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PycharmProjects\GetCrashIssue\"/>
    </mc:Choice>
  </mc:AlternateContent>
  <xr:revisionPtr revIDLastSave="0" documentId="13_ncr:1_{1D171AD4-26F7-4E13-9536-E7FA6BC569D6}" xr6:coauthVersionLast="47" xr6:coauthVersionMax="47" xr10:uidLastSave="{00000000-0000-0000-0000-000000000000}"/>
  <bookViews>
    <workbookView xWindow="38280" yWindow="-120" windowWidth="38640" windowHeight="21120" xr2:uid="{00000000-000D-0000-FFFF-FFFF00000000}"/>
  </bookViews>
  <sheets>
    <sheet name="Sheet1" sheetId="1" r:id="rId1"/>
  </sheets>
  <definedNames>
    <definedName name="_xlnm._FilterDatabase" localSheetId="0" hidden="1">Sheet1!$A$1:$M$11822</definedName>
  </definedNames>
  <calcPr calcId="191029"/>
</workbook>
</file>

<file path=xl/calcChain.xml><?xml version="1.0" encoding="utf-8"?>
<calcChain xmlns="http://schemas.openxmlformats.org/spreadsheetml/2006/main">
  <c r="H11822" i="1" l="1"/>
  <c r="G11822" i="1"/>
  <c r="F11822" i="1"/>
  <c r="H11821" i="1"/>
  <c r="G11821" i="1"/>
  <c r="F11821" i="1"/>
  <c r="H11820" i="1"/>
  <c r="G11820" i="1"/>
  <c r="F11820" i="1"/>
  <c r="H11819" i="1"/>
  <c r="G11819" i="1"/>
  <c r="F11819" i="1"/>
  <c r="H11818" i="1"/>
  <c r="G11818" i="1"/>
  <c r="F11818" i="1"/>
  <c r="H11817" i="1"/>
  <c r="G11817" i="1"/>
  <c r="F11817" i="1"/>
  <c r="H11816" i="1"/>
  <c r="G11816" i="1"/>
  <c r="F11816" i="1"/>
  <c r="H11815" i="1"/>
  <c r="G11815" i="1"/>
  <c r="F11815" i="1"/>
  <c r="H11814" i="1"/>
  <c r="G11814" i="1"/>
  <c r="F11814" i="1"/>
  <c r="H11813" i="1"/>
  <c r="G11813" i="1"/>
  <c r="F11813" i="1"/>
  <c r="H11812" i="1"/>
  <c r="G11812" i="1"/>
  <c r="F11812" i="1"/>
  <c r="H11811" i="1"/>
  <c r="G11811" i="1"/>
  <c r="F11811" i="1"/>
  <c r="H11810" i="1"/>
  <c r="G11810" i="1"/>
  <c r="F11810" i="1"/>
  <c r="H11809" i="1"/>
  <c r="G11809" i="1"/>
  <c r="F11809" i="1"/>
  <c r="H11808" i="1"/>
  <c r="G11808" i="1"/>
  <c r="F11808" i="1"/>
  <c r="H11807" i="1"/>
  <c r="G11807" i="1"/>
  <c r="F11807" i="1"/>
  <c r="H11806" i="1"/>
  <c r="G11806" i="1"/>
  <c r="F11806" i="1"/>
  <c r="H11805" i="1"/>
  <c r="G11805" i="1"/>
  <c r="F11805" i="1"/>
  <c r="H11804" i="1"/>
  <c r="G11804" i="1"/>
  <c r="F11804" i="1"/>
  <c r="H11803" i="1"/>
  <c r="G11803" i="1"/>
  <c r="F11803" i="1"/>
  <c r="H11802" i="1"/>
  <c r="G11802" i="1"/>
  <c r="F11802" i="1"/>
  <c r="H11801" i="1"/>
  <c r="G11801" i="1"/>
  <c r="F11801" i="1"/>
  <c r="H11800" i="1"/>
  <c r="G11800" i="1"/>
  <c r="F11800" i="1"/>
  <c r="H11799" i="1"/>
  <c r="G11799" i="1"/>
  <c r="F11799" i="1"/>
  <c r="H11798" i="1"/>
  <c r="G11798" i="1"/>
  <c r="F11798" i="1"/>
  <c r="H11797" i="1"/>
  <c r="G11797" i="1"/>
  <c r="F11797" i="1"/>
  <c r="H11796" i="1"/>
  <c r="G11796" i="1"/>
  <c r="F11796" i="1"/>
  <c r="H11795" i="1"/>
  <c r="G11795" i="1"/>
  <c r="F11795" i="1"/>
  <c r="H11794" i="1"/>
  <c r="G11794" i="1"/>
  <c r="F11794" i="1"/>
  <c r="H11793" i="1"/>
  <c r="G11793" i="1"/>
  <c r="F11793" i="1"/>
  <c r="H11792" i="1"/>
  <c r="G11792" i="1"/>
  <c r="F11792" i="1"/>
  <c r="H11791" i="1"/>
  <c r="G11791" i="1"/>
  <c r="F11791" i="1"/>
  <c r="H11790" i="1"/>
  <c r="G11790" i="1"/>
  <c r="F11790" i="1"/>
  <c r="H11789" i="1"/>
  <c r="G11789" i="1"/>
  <c r="F11789" i="1"/>
  <c r="H11788" i="1"/>
  <c r="G11788" i="1"/>
  <c r="F11788" i="1"/>
  <c r="H11787" i="1"/>
  <c r="G11787" i="1"/>
  <c r="F11787" i="1"/>
  <c r="H11786" i="1"/>
  <c r="G11786" i="1"/>
  <c r="F11786" i="1"/>
  <c r="H11785" i="1"/>
  <c r="G11785" i="1"/>
  <c r="F11785" i="1"/>
  <c r="H11784" i="1"/>
  <c r="G11784" i="1"/>
  <c r="F11784" i="1"/>
  <c r="H11783" i="1"/>
  <c r="G11783" i="1"/>
  <c r="F11783" i="1"/>
  <c r="H11782" i="1"/>
  <c r="G11782" i="1"/>
  <c r="F11782" i="1"/>
  <c r="H11781" i="1"/>
  <c r="G11781" i="1"/>
  <c r="F11781" i="1"/>
  <c r="H11780" i="1"/>
  <c r="G11780" i="1"/>
  <c r="F11780" i="1"/>
  <c r="H11779" i="1"/>
  <c r="G11779" i="1"/>
  <c r="F11779" i="1"/>
  <c r="H11778" i="1"/>
  <c r="G11778" i="1"/>
  <c r="F11778" i="1"/>
  <c r="H11777" i="1"/>
  <c r="G11777" i="1"/>
  <c r="F11777" i="1"/>
  <c r="H11776" i="1"/>
  <c r="G11776" i="1"/>
  <c r="F11776" i="1"/>
  <c r="H11775" i="1"/>
  <c r="G11775" i="1"/>
  <c r="F11775" i="1"/>
  <c r="H11774" i="1"/>
  <c r="G11774" i="1"/>
  <c r="F11774" i="1"/>
  <c r="H11773" i="1"/>
  <c r="G11773" i="1"/>
  <c r="F11773" i="1"/>
  <c r="H11772" i="1"/>
  <c r="G11772" i="1"/>
  <c r="F11772" i="1"/>
  <c r="H11771" i="1"/>
  <c r="G11771" i="1"/>
  <c r="F11771" i="1"/>
  <c r="H11770" i="1"/>
  <c r="G11770" i="1"/>
  <c r="F11770" i="1"/>
  <c r="H11769" i="1"/>
  <c r="G11769" i="1"/>
  <c r="F11769" i="1"/>
  <c r="H11768" i="1"/>
  <c r="G11768" i="1"/>
  <c r="F11768" i="1"/>
  <c r="H11767" i="1"/>
  <c r="G11767" i="1"/>
  <c r="F11767" i="1"/>
  <c r="H11766" i="1"/>
  <c r="G11766" i="1"/>
  <c r="F11766" i="1"/>
  <c r="H11765" i="1"/>
  <c r="G11765" i="1"/>
  <c r="F11765" i="1"/>
  <c r="H11764" i="1"/>
  <c r="G11764" i="1"/>
  <c r="F11764" i="1"/>
  <c r="H11763" i="1"/>
  <c r="G11763" i="1"/>
  <c r="F11763" i="1"/>
  <c r="H11762" i="1"/>
  <c r="G11762" i="1"/>
  <c r="F11762" i="1"/>
  <c r="H11761" i="1"/>
  <c r="G11761" i="1"/>
  <c r="F11761" i="1"/>
  <c r="H11760" i="1"/>
  <c r="G11760" i="1"/>
  <c r="F11760" i="1"/>
  <c r="H11759" i="1"/>
  <c r="G11759" i="1"/>
  <c r="F11759" i="1"/>
  <c r="H11758" i="1"/>
  <c r="G11758" i="1"/>
  <c r="F11758" i="1"/>
  <c r="H11757" i="1"/>
  <c r="G11757" i="1"/>
  <c r="F11757" i="1"/>
  <c r="H11756" i="1"/>
  <c r="G11756" i="1"/>
  <c r="F11756" i="1"/>
  <c r="H11755" i="1"/>
  <c r="G11755" i="1"/>
  <c r="F11755" i="1"/>
  <c r="H11754" i="1"/>
  <c r="G11754" i="1"/>
  <c r="F11754" i="1"/>
  <c r="H11753" i="1"/>
  <c r="G11753" i="1"/>
  <c r="F11753" i="1"/>
  <c r="H11752" i="1"/>
  <c r="G11752" i="1"/>
  <c r="F11752" i="1"/>
  <c r="H11751" i="1"/>
  <c r="G11751" i="1"/>
  <c r="F11751" i="1"/>
  <c r="H11750" i="1"/>
  <c r="G11750" i="1"/>
  <c r="F11750" i="1"/>
  <c r="H11749" i="1"/>
  <c r="G11749" i="1"/>
  <c r="F11749" i="1"/>
  <c r="H11748" i="1"/>
  <c r="G11748" i="1"/>
  <c r="F11748" i="1"/>
  <c r="H11747" i="1"/>
  <c r="G11747" i="1"/>
  <c r="F11747" i="1"/>
  <c r="H11746" i="1"/>
  <c r="G11746" i="1"/>
  <c r="F11746" i="1"/>
  <c r="H11745" i="1"/>
  <c r="G11745" i="1"/>
  <c r="F11745" i="1"/>
  <c r="H11744" i="1"/>
  <c r="G11744" i="1"/>
  <c r="F11744" i="1"/>
  <c r="H11743" i="1"/>
  <c r="G11743" i="1"/>
  <c r="F11743" i="1"/>
  <c r="H11742" i="1"/>
  <c r="G11742" i="1"/>
  <c r="F11742" i="1"/>
  <c r="H11741" i="1"/>
  <c r="G11741" i="1"/>
  <c r="F11741" i="1"/>
  <c r="H11740" i="1"/>
  <c r="G11740" i="1"/>
  <c r="F11740" i="1"/>
  <c r="H11739" i="1"/>
  <c r="G11739" i="1"/>
  <c r="F11739" i="1"/>
  <c r="H11738" i="1"/>
  <c r="G11738" i="1"/>
  <c r="F11738" i="1"/>
  <c r="H11737" i="1"/>
  <c r="G11737" i="1"/>
  <c r="F11737" i="1"/>
  <c r="H11736" i="1"/>
  <c r="G11736" i="1"/>
  <c r="F11736" i="1"/>
  <c r="H11735" i="1"/>
  <c r="G11735" i="1"/>
  <c r="F11735" i="1"/>
  <c r="H11734" i="1"/>
  <c r="G11734" i="1"/>
  <c r="F11734" i="1"/>
  <c r="H11733" i="1"/>
  <c r="G11733" i="1"/>
  <c r="F11733" i="1"/>
  <c r="H11732" i="1"/>
  <c r="G11732" i="1"/>
  <c r="F11732" i="1"/>
  <c r="H11731" i="1"/>
  <c r="G11731" i="1"/>
  <c r="F11731" i="1"/>
  <c r="H11730" i="1"/>
  <c r="G11730" i="1"/>
  <c r="F11730" i="1"/>
  <c r="H11729" i="1"/>
  <c r="G11729" i="1"/>
  <c r="F11729" i="1"/>
  <c r="H11728" i="1"/>
  <c r="G11728" i="1"/>
  <c r="F11728" i="1"/>
  <c r="H11727" i="1"/>
  <c r="G11727" i="1"/>
  <c r="F11727" i="1"/>
  <c r="H11726" i="1"/>
  <c r="G11726" i="1"/>
  <c r="F11726" i="1"/>
  <c r="H11725" i="1"/>
  <c r="G11725" i="1"/>
  <c r="F11725" i="1"/>
  <c r="H11724" i="1"/>
  <c r="G11724" i="1"/>
  <c r="F11724" i="1"/>
  <c r="H11723" i="1"/>
  <c r="G11723" i="1"/>
  <c r="F11723" i="1"/>
  <c r="H11722" i="1"/>
  <c r="G11722" i="1"/>
  <c r="F11722" i="1"/>
  <c r="H11721" i="1"/>
  <c r="G11721" i="1"/>
  <c r="F11721" i="1"/>
  <c r="H11720" i="1"/>
  <c r="G11720" i="1"/>
  <c r="F11720" i="1"/>
  <c r="H11719" i="1"/>
  <c r="G11719" i="1"/>
  <c r="F11719" i="1"/>
  <c r="H11718" i="1"/>
  <c r="G11718" i="1"/>
  <c r="F11718" i="1"/>
  <c r="H11717" i="1"/>
  <c r="G11717" i="1"/>
  <c r="F11717" i="1"/>
  <c r="H11716" i="1"/>
  <c r="G11716" i="1"/>
  <c r="F11716" i="1"/>
  <c r="H11715" i="1"/>
  <c r="G11715" i="1"/>
  <c r="F11715" i="1"/>
  <c r="H11714" i="1"/>
  <c r="G11714" i="1"/>
  <c r="F11714" i="1"/>
  <c r="H11713" i="1"/>
  <c r="G11713" i="1"/>
  <c r="F11713" i="1"/>
  <c r="H11712" i="1"/>
  <c r="G11712" i="1"/>
  <c r="F11712" i="1"/>
  <c r="H11711" i="1"/>
  <c r="G11711" i="1"/>
  <c r="F11711" i="1"/>
  <c r="H11710" i="1"/>
  <c r="G11710" i="1"/>
  <c r="F11710" i="1"/>
  <c r="H11709" i="1"/>
  <c r="G11709" i="1"/>
  <c r="F11709" i="1"/>
  <c r="H11708" i="1"/>
  <c r="G11708" i="1"/>
  <c r="F11708" i="1"/>
  <c r="H11707" i="1"/>
  <c r="G11707" i="1"/>
  <c r="F11707" i="1"/>
  <c r="H11706" i="1"/>
  <c r="G11706" i="1"/>
  <c r="F11706" i="1"/>
  <c r="H11705" i="1"/>
  <c r="G11705" i="1"/>
  <c r="F11705" i="1"/>
  <c r="H11704" i="1"/>
  <c r="G11704" i="1"/>
  <c r="F11704" i="1"/>
  <c r="H11703" i="1"/>
  <c r="G11703" i="1"/>
  <c r="F11703" i="1"/>
  <c r="H11702" i="1"/>
  <c r="G11702" i="1"/>
  <c r="F11702" i="1"/>
  <c r="H11701" i="1"/>
  <c r="G11701" i="1"/>
  <c r="F11701" i="1"/>
  <c r="H11700" i="1"/>
  <c r="G11700" i="1"/>
  <c r="F11700" i="1"/>
  <c r="H11699" i="1"/>
  <c r="G11699" i="1"/>
  <c r="F11699" i="1"/>
  <c r="H11698" i="1"/>
  <c r="G11698" i="1"/>
  <c r="F11698" i="1"/>
  <c r="H11697" i="1"/>
  <c r="G11697" i="1"/>
  <c r="F11697" i="1"/>
  <c r="H11696" i="1"/>
  <c r="G11696" i="1"/>
  <c r="F11696" i="1"/>
  <c r="H11695" i="1"/>
  <c r="G11695" i="1"/>
  <c r="F11695" i="1"/>
  <c r="H11694" i="1"/>
  <c r="G11694" i="1"/>
  <c r="F11694" i="1"/>
  <c r="H11693" i="1"/>
  <c r="G11693" i="1"/>
  <c r="F11693" i="1"/>
  <c r="H11692" i="1"/>
  <c r="G11692" i="1"/>
  <c r="F11692" i="1"/>
  <c r="H11691" i="1"/>
  <c r="G11691" i="1"/>
  <c r="F11691" i="1"/>
  <c r="H11690" i="1"/>
  <c r="G11690" i="1"/>
  <c r="F11690" i="1"/>
  <c r="H11689" i="1"/>
  <c r="G11689" i="1"/>
  <c r="F11689" i="1"/>
  <c r="H11688" i="1"/>
  <c r="G11688" i="1"/>
  <c r="F11688" i="1"/>
  <c r="H11687" i="1"/>
  <c r="G11687" i="1"/>
  <c r="F11687" i="1"/>
  <c r="H11686" i="1"/>
  <c r="G11686" i="1"/>
  <c r="F11686" i="1"/>
  <c r="H11685" i="1"/>
  <c r="G11685" i="1"/>
  <c r="F11685" i="1"/>
  <c r="H11684" i="1"/>
  <c r="G11684" i="1"/>
  <c r="F11684" i="1"/>
  <c r="H11683" i="1"/>
  <c r="G11683" i="1"/>
  <c r="F11683" i="1"/>
  <c r="H11682" i="1"/>
  <c r="G11682" i="1"/>
  <c r="F11682" i="1"/>
  <c r="H11681" i="1"/>
  <c r="G11681" i="1"/>
  <c r="F11681" i="1"/>
  <c r="H11680" i="1"/>
  <c r="G11680" i="1"/>
  <c r="F11680" i="1"/>
  <c r="H11679" i="1"/>
  <c r="G11679" i="1"/>
  <c r="F11679" i="1"/>
  <c r="H11678" i="1"/>
  <c r="G11678" i="1"/>
  <c r="F11678" i="1"/>
  <c r="H11677" i="1"/>
  <c r="G11677" i="1"/>
  <c r="F11677" i="1"/>
  <c r="H11676" i="1"/>
  <c r="G11676" i="1"/>
  <c r="F11676" i="1"/>
  <c r="H11675" i="1"/>
  <c r="G11675" i="1"/>
  <c r="F11675" i="1"/>
  <c r="H11674" i="1"/>
  <c r="G11674" i="1"/>
  <c r="F11674" i="1"/>
  <c r="H11673" i="1"/>
  <c r="G11673" i="1"/>
  <c r="F11673" i="1"/>
  <c r="H11672" i="1"/>
  <c r="G11672" i="1"/>
  <c r="F11672" i="1"/>
  <c r="H11671" i="1"/>
  <c r="G11671" i="1"/>
  <c r="F11671" i="1"/>
  <c r="H11670" i="1"/>
  <c r="G11670" i="1"/>
  <c r="F11670" i="1"/>
  <c r="H11669" i="1"/>
  <c r="G11669" i="1"/>
  <c r="F11669" i="1"/>
  <c r="H11668" i="1"/>
  <c r="G11668" i="1"/>
  <c r="F11668" i="1"/>
  <c r="H11667" i="1"/>
  <c r="G11667" i="1"/>
  <c r="F11667" i="1"/>
  <c r="H11666" i="1"/>
  <c r="G11666" i="1"/>
  <c r="F11666" i="1"/>
  <c r="H11665" i="1"/>
  <c r="G11665" i="1"/>
  <c r="F11665" i="1"/>
  <c r="H11664" i="1"/>
  <c r="G11664" i="1"/>
  <c r="F11664" i="1"/>
  <c r="H11663" i="1"/>
  <c r="G11663" i="1"/>
  <c r="F11663" i="1"/>
  <c r="H11662" i="1"/>
  <c r="G11662" i="1"/>
  <c r="F11662" i="1"/>
  <c r="H11661" i="1"/>
  <c r="G11661" i="1"/>
  <c r="F11661" i="1"/>
  <c r="H11660" i="1"/>
  <c r="G11660" i="1"/>
  <c r="F11660" i="1"/>
  <c r="H11659" i="1"/>
  <c r="G11659" i="1"/>
  <c r="F11659" i="1"/>
  <c r="H11658" i="1"/>
  <c r="G11658" i="1"/>
  <c r="F11658" i="1"/>
  <c r="H11657" i="1"/>
  <c r="G11657" i="1"/>
  <c r="F11657" i="1"/>
  <c r="H11656" i="1"/>
  <c r="G11656" i="1"/>
  <c r="F11656" i="1"/>
  <c r="H11655" i="1"/>
  <c r="G11655" i="1"/>
  <c r="F11655" i="1"/>
  <c r="H11654" i="1"/>
  <c r="G11654" i="1"/>
  <c r="F11654" i="1"/>
  <c r="H11653" i="1"/>
  <c r="G11653" i="1"/>
  <c r="F11653" i="1"/>
  <c r="H11652" i="1"/>
  <c r="G11652" i="1"/>
  <c r="F11652" i="1"/>
  <c r="H11651" i="1"/>
  <c r="G11651" i="1"/>
  <c r="F11651" i="1"/>
  <c r="H11650" i="1"/>
  <c r="G11650" i="1"/>
  <c r="F11650" i="1"/>
  <c r="H11649" i="1"/>
  <c r="G11649" i="1"/>
  <c r="F11649" i="1"/>
  <c r="H11648" i="1"/>
  <c r="G11648" i="1"/>
  <c r="F11648" i="1"/>
  <c r="H11647" i="1"/>
  <c r="G11647" i="1"/>
  <c r="F11647" i="1"/>
  <c r="H11646" i="1"/>
  <c r="G11646" i="1"/>
  <c r="F11646" i="1"/>
  <c r="H11645" i="1"/>
  <c r="G11645" i="1"/>
  <c r="F11645" i="1"/>
  <c r="H11644" i="1"/>
  <c r="G11644" i="1"/>
  <c r="F11644" i="1"/>
  <c r="H11643" i="1"/>
  <c r="G11643" i="1"/>
  <c r="F11643" i="1"/>
  <c r="H11642" i="1"/>
  <c r="G11642" i="1"/>
  <c r="F11642" i="1"/>
  <c r="H11641" i="1"/>
  <c r="G11641" i="1"/>
  <c r="F11641" i="1"/>
  <c r="H11640" i="1"/>
  <c r="G11640" i="1"/>
  <c r="F11640" i="1"/>
  <c r="H11639" i="1"/>
  <c r="G11639" i="1"/>
  <c r="F11639" i="1"/>
  <c r="H11638" i="1"/>
  <c r="G11638" i="1"/>
  <c r="F11638" i="1"/>
  <c r="H11637" i="1"/>
  <c r="G11637" i="1"/>
  <c r="F11637" i="1"/>
  <c r="H11636" i="1"/>
  <c r="G11636" i="1"/>
  <c r="F11636" i="1"/>
  <c r="H11635" i="1"/>
  <c r="G11635" i="1"/>
  <c r="F11635" i="1"/>
  <c r="H11634" i="1"/>
  <c r="G11634" i="1"/>
  <c r="F11634" i="1"/>
  <c r="H11633" i="1"/>
  <c r="G11633" i="1"/>
  <c r="F11633" i="1"/>
  <c r="H11632" i="1"/>
  <c r="G11632" i="1"/>
  <c r="F11632" i="1"/>
  <c r="H11631" i="1"/>
  <c r="G11631" i="1"/>
  <c r="F11631" i="1"/>
  <c r="H11630" i="1"/>
  <c r="G11630" i="1"/>
  <c r="F11630" i="1"/>
  <c r="H11629" i="1"/>
  <c r="G11629" i="1"/>
  <c r="F11629" i="1"/>
  <c r="H11628" i="1"/>
  <c r="G11628" i="1"/>
  <c r="F11628" i="1"/>
  <c r="H11627" i="1"/>
  <c r="G11627" i="1"/>
  <c r="F11627" i="1"/>
  <c r="H11626" i="1"/>
  <c r="G11626" i="1"/>
  <c r="F11626" i="1"/>
  <c r="H11625" i="1"/>
  <c r="G11625" i="1"/>
  <c r="F11625" i="1"/>
  <c r="H11624" i="1"/>
  <c r="G11624" i="1"/>
  <c r="F11624" i="1"/>
  <c r="H11623" i="1"/>
  <c r="G11623" i="1"/>
  <c r="F11623" i="1"/>
  <c r="H11622" i="1"/>
  <c r="G11622" i="1"/>
  <c r="F11622" i="1"/>
  <c r="H11621" i="1"/>
  <c r="G11621" i="1"/>
  <c r="F11621" i="1"/>
  <c r="H11620" i="1"/>
  <c r="G11620" i="1"/>
  <c r="F11620" i="1"/>
  <c r="H11619" i="1"/>
  <c r="G11619" i="1"/>
  <c r="F11619" i="1"/>
  <c r="H11618" i="1"/>
  <c r="G11618" i="1"/>
  <c r="F11618" i="1"/>
  <c r="H11617" i="1"/>
  <c r="G11617" i="1"/>
  <c r="F11617" i="1"/>
  <c r="H11616" i="1"/>
  <c r="G11616" i="1"/>
  <c r="F11616" i="1"/>
  <c r="H11615" i="1"/>
  <c r="G11615" i="1"/>
  <c r="F11615" i="1"/>
  <c r="H11614" i="1"/>
  <c r="G11614" i="1"/>
  <c r="F11614" i="1"/>
  <c r="H11613" i="1"/>
  <c r="G11613" i="1"/>
  <c r="F11613" i="1"/>
  <c r="H11612" i="1"/>
  <c r="G11612" i="1"/>
  <c r="F11612" i="1"/>
  <c r="H11611" i="1"/>
  <c r="G11611" i="1"/>
  <c r="F11611" i="1"/>
  <c r="H11610" i="1"/>
  <c r="G11610" i="1"/>
  <c r="F11610" i="1"/>
  <c r="H11609" i="1"/>
  <c r="G11609" i="1"/>
  <c r="F11609" i="1"/>
  <c r="H11608" i="1"/>
  <c r="G11608" i="1"/>
  <c r="F11608" i="1"/>
  <c r="H11607" i="1"/>
  <c r="G11607" i="1"/>
  <c r="F11607" i="1"/>
  <c r="H11606" i="1"/>
  <c r="G11606" i="1"/>
  <c r="F11606" i="1"/>
  <c r="H11605" i="1"/>
  <c r="G11605" i="1"/>
  <c r="F11605" i="1"/>
  <c r="H11604" i="1"/>
  <c r="G11604" i="1"/>
  <c r="F11604" i="1"/>
  <c r="H11603" i="1"/>
  <c r="G11603" i="1"/>
  <c r="F11603" i="1"/>
  <c r="H11602" i="1"/>
  <c r="G11602" i="1"/>
  <c r="F11602" i="1"/>
  <c r="H11601" i="1"/>
  <c r="G11601" i="1"/>
  <c r="F11601" i="1"/>
  <c r="H11600" i="1"/>
  <c r="G11600" i="1"/>
  <c r="F11600" i="1"/>
  <c r="H11599" i="1"/>
  <c r="G11599" i="1"/>
  <c r="F11599" i="1"/>
  <c r="H11598" i="1"/>
  <c r="G11598" i="1"/>
  <c r="F11598" i="1"/>
  <c r="H11597" i="1"/>
  <c r="G11597" i="1"/>
  <c r="F11597" i="1"/>
  <c r="H11596" i="1"/>
  <c r="G11596" i="1"/>
  <c r="F11596" i="1"/>
  <c r="H11595" i="1"/>
  <c r="G11595" i="1"/>
  <c r="F11595" i="1"/>
  <c r="H11594" i="1"/>
  <c r="G11594" i="1"/>
  <c r="F11594" i="1"/>
  <c r="H11593" i="1"/>
  <c r="G11593" i="1"/>
  <c r="F11593" i="1"/>
  <c r="H11592" i="1"/>
  <c r="G11592" i="1"/>
  <c r="F11592" i="1"/>
  <c r="H11591" i="1"/>
  <c r="G11591" i="1"/>
  <c r="F11591" i="1"/>
  <c r="H11590" i="1"/>
  <c r="G11590" i="1"/>
  <c r="F11590" i="1"/>
  <c r="H11589" i="1"/>
  <c r="G11589" i="1"/>
  <c r="F11589" i="1"/>
  <c r="H11588" i="1"/>
  <c r="G11588" i="1"/>
  <c r="F11588" i="1"/>
  <c r="H11587" i="1"/>
  <c r="G11587" i="1"/>
  <c r="F11587" i="1"/>
  <c r="H11586" i="1"/>
  <c r="G11586" i="1"/>
  <c r="F11586" i="1"/>
  <c r="H11585" i="1"/>
  <c r="G11585" i="1"/>
  <c r="F11585" i="1"/>
  <c r="H11584" i="1"/>
  <c r="G11584" i="1"/>
  <c r="F11584" i="1"/>
  <c r="H11583" i="1"/>
  <c r="G11583" i="1"/>
  <c r="F11583" i="1"/>
  <c r="H11582" i="1"/>
  <c r="G11582" i="1"/>
  <c r="F11582" i="1"/>
  <c r="H11581" i="1"/>
  <c r="G11581" i="1"/>
  <c r="F11581" i="1"/>
  <c r="H11580" i="1"/>
  <c r="G11580" i="1"/>
  <c r="F11580" i="1"/>
  <c r="H11579" i="1"/>
  <c r="G11579" i="1"/>
  <c r="F11579" i="1"/>
  <c r="H11578" i="1"/>
  <c r="G11578" i="1"/>
  <c r="F11578" i="1"/>
  <c r="H11577" i="1"/>
  <c r="G11577" i="1"/>
  <c r="F11577" i="1"/>
  <c r="H11576" i="1"/>
  <c r="G11576" i="1"/>
  <c r="F11576" i="1"/>
  <c r="H11575" i="1"/>
  <c r="G11575" i="1"/>
  <c r="F11575" i="1"/>
  <c r="H11574" i="1"/>
  <c r="G11574" i="1"/>
  <c r="F11574" i="1"/>
  <c r="H11573" i="1"/>
  <c r="G11573" i="1"/>
  <c r="F11573" i="1"/>
  <c r="H11572" i="1"/>
  <c r="G11572" i="1"/>
  <c r="F11572" i="1"/>
  <c r="H11571" i="1"/>
  <c r="G11571" i="1"/>
  <c r="F11571" i="1"/>
  <c r="H11570" i="1"/>
  <c r="G11570" i="1"/>
  <c r="F11570" i="1"/>
  <c r="H11569" i="1"/>
  <c r="G11569" i="1"/>
  <c r="F11569" i="1"/>
  <c r="H11568" i="1"/>
  <c r="G11568" i="1"/>
  <c r="F11568" i="1"/>
  <c r="H11567" i="1"/>
  <c r="G11567" i="1"/>
  <c r="F11567" i="1"/>
  <c r="H11566" i="1"/>
  <c r="G11566" i="1"/>
  <c r="F11566" i="1"/>
  <c r="H11565" i="1"/>
  <c r="G11565" i="1"/>
  <c r="F11565" i="1"/>
  <c r="H11564" i="1"/>
  <c r="G11564" i="1"/>
  <c r="F11564" i="1"/>
  <c r="H11563" i="1"/>
  <c r="G11563" i="1"/>
  <c r="F11563" i="1"/>
  <c r="H11562" i="1"/>
  <c r="G11562" i="1"/>
  <c r="F11562" i="1"/>
  <c r="H11561" i="1"/>
  <c r="G11561" i="1"/>
  <c r="F11561" i="1"/>
  <c r="H11560" i="1"/>
  <c r="G11560" i="1"/>
  <c r="F11560" i="1"/>
  <c r="H11559" i="1"/>
  <c r="G11559" i="1"/>
  <c r="F11559" i="1"/>
  <c r="H11558" i="1"/>
  <c r="G11558" i="1"/>
  <c r="F11558" i="1"/>
  <c r="H11557" i="1"/>
  <c r="G11557" i="1"/>
  <c r="F11557" i="1"/>
  <c r="H11556" i="1"/>
  <c r="G11556" i="1"/>
  <c r="F11556" i="1"/>
  <c r="H11555" i="1"/>
  <c r="G11555" i="1"/>
  <c r="F11555" i="1"/>
  <c r="H11554" i="1"/>
  <c r="G11554" i="1"/>
  <c r="F11554" i="1"/>
  <c r="H11553" i="1"/>
  <c r="G11553" i="1"/>
  <c r="F11553" i="1"/>
  <c r="H11552" i="1"/>
  <c r="G11552" i="1"/>
  <c r="F11552" i="1"/>
  <c r="H11551" i="1"/>
  <c r="G11551" i="1"/>
  <c r="F11551" i="1"/>
  <c r="H11550" i="1"/>
  <c r="G11550" i="1"/>
  <c r="F11550" i="1"/>
  <c r="H11549" i="1"/>
  <c r="G11549" i="1"/>
  <c r="F11549" i="1"/>
  <c r="H11548" i="1"/>
  <c r="G11548" i="1"/>
  <c r="F11548" i="1"/>
  <c r="H11547" i="1"/>
  <c r="G11547" i="1"/>
  <c r="F11547" i="1"/>
  <c r="H11546" i="1"/>
  <c r="G11546" i="1"/>
  <c r="F11546" i="1"/>
  <c r="H11545" i="1"/>
  <c r="G11545" i="1"/>
  <c r="F11545" i="1"/>
  <c r="H11544" i="1"/>
  <c r="G11544" i="1"/>
  <c r="F11544" i="1"/>
  <c r="H11543" i="1"/>
  <c r="G11543" i="1"/>
  <c r="F11543" i="1"/>
  <c r="H11542" i="1"/>
  <c r="G11542" i="1"/>
  <c r="F11542" i="1"/>
  <c r="H11541" i="1"/>
  <c r="G11541" i="1"/>
  <c r="F11541" i="1"/>
  <c r="H11540" i="1"/>
  <c r="G11540" i="1"/>
  <c r="F11540" i="1"/>
  <c r="H11539" i="1"/>
  <c r="G11539" i="1"/>
  <c r="F11539" i="1"/>
  <c r="H11538" i="1"/>
  <c r="G11538" i="1"/>
  <c r="F11538" i="1"/>
  <c r="H11537" i="1"/>
  <c r="G11537" i="1"/>
  <c r="F11537" i="1"/>
  <c r="H11536" i="1"/>
  <c r="G11536" i="1"/>
  <c r="F11536" i="1"/>
  <c r="H11535" i="1"/>
  <c r="G11535" i="1"/>
  <c r="F11535" i="1"/>
  <c r="H11534" i="1"/>
  <c r="G11534" i="1"/>
  <c r="F11534" i="1"/>
  <c r="H11533" i="1"/>
  <c r="G11533" i="1"/>
  <c r="F11533" i="1"/>
  <c r="H11532" i="1"/>
  <c r="G11532" i="1"/>
  <c r="F11532" i="1"/>
  <c r="H11531" i="1"/>
  <c r="G11531" i="1"/>
  <c r="F11531" i="1"/>
  <c r="H11530" i="1"/>
  <c r="G11530" i="1"/>
  <c r="F11530" i="1"/>
  <c r="H11529" i="1"/>
  <c r="G11529" i="1"/>
  <c r="F11529" i="1"/>
  <c r="H11528" i="1"/>
  <c r="G11528" i="1"/>
  <c r="F11528" i="1"/>
  <c r="H11527" i="1"/>
  <c r="G11527" i="1"/>
  <c r="F11527" i="1"/>
  <c r="H11526" i="1"/>
  <c r="G11526" i="1"/>
  <c r="F11526" i="1"/>
  <c r="H11525" i="1"/>
  <c r="G11525" i="1"/>
  <c r="F11525" i="1"/>
  <c r="H11524" i="1"/>
  <c r="G11524" i="1"/>
  <c r="F11524" i="1"/>
  <c r="H11523" i="1"/>
  <c r="G11523" i="1"/>
  <c r="F11523" i="1"/>
  <c r="H11522" i="1"/>
  <c r="G11522" i="1"/>
  <c r="F11522" i="1"/>
  <c r="H11521" i="1"/>
  <c r="G11521" i="1"/>
  <c r="F11521" i="1"/>
  <c r="H11520" i="1"/>
  <c r="G11520" i="1"/>
  <c r="F11520" i="1"/>
  <c r="H11519" i="1"/>
  <c r="G11519" i="1"/>
  <c r="F11519" i="1"/>
  <c r="H11518" i="1"/>
  <c r="G11518" i="1"/>
  <c r="F11518" i="1"/>
  <c r="H11517" i="1"/>
  <c r="G11517" i="1"/>
  <c r="F11517" i="1"/>
  <c r="H11516" i="1"/>
  <c r="G11516" i="1"/>
  <c r="F11516" i="1"/>
  <c r="H11515" i="1"/>
  <c r="G11515" i="1"/>
  <c r="F11515" i="1"/>
  <c r="H11514" i="1"/>
  <c r="G11514" i="1"/>
  <c r="F11514" i="1"/>
  <c r="H11513" i="1"/>
  <c r="G11513" i="1"/>
  <c r="F11513" i="1"/>
  <c r="H11512" i="1"/>
  <c r="G11512" i="1"/>
  <c r="F11512" i="1"/>
  <c r="H11511" i="1"/>
  <c r="G11511" i="1"/>
  <c r="F11511" i="1"/>
  <c r="H11510" i="1"/>
  <c r="G11510" i="1"/>
  <c r="F11510" i="1"/>
  <c r="H11509" i="1"/>
  <c r="G11509" i="1"/>
  <c r="F11509" i="1"/>
  <c r="H11508" i="1"/>
  <c r="G11508" i="1"/>
  <c r="F11508" i="1"/>
  <c r="H11507" i="1"/>
  <c r="G11507" i="1"/>
  <c r="F11507" i="1"/>
  <c r="H11506" i="1"/>
  <c r="G11506" i="1"/>
  <c r="F11506" i="1"/>
  <c r="H11505" i="1"/>
  <c r="G11505" i="1"/>
  <c r="F11505" i="1"/>
  <c r="H11504" i="1"/>
  <c r="G11504" i="1"/>
  <c r="F11504" i="1"/>
  <c r="H11503" i="1"/>
  <c r="G11503" i="1"/>
  <c r="F11503" i="1"/>
  <c r="H11502" i="1"/>
  <c r="G11502" i="1"/>
  <c r="F11502" i="1"/>
  <c r="H11501" i="1"/>
  <c r="G11501" i="1"/>
  <c r="F11501" i="1"/>
  <c r="H11500" i="1"/>
  <c r="G11500" i="1"/>
  <c r="F11500" i="1"/>
  <c r="H11499" i="1"/>
  <c r="G11499" i="1"/>
  <c r="F11499" i="1"/>
  <c r="H11498" i="1"/>
  <c r="G11498" i="1"/>
  <c r="F11498" i="1"/>
  <c r="H11497" i="1"/>
  <c r="G11497" i="1"/>
  <c r="F11497" i="1"/>
  <c r="H11496" i="1"/>
  <c r="G11496" i="1"/>
  <c r="F11496" i="1"/>
  <c r="H11495" i="1"/>
  <c r="G11495" i="1"/>
  <c r="F11495" i="1"/>
  <c r="H11494" i="1"/>
  <c r="G11494" i="1"/>
  <c r="F11494" i="1"/>
  <c r="H11493" i="1"/>
  <c r="G11493" i="1"/>
  <c r="F11493" i="1"/>
  <c r="H11492" i="1"/>
  <c r="G11492" i="1"/>
  <c r="F11492" i="1"/>
  <c r="H11491" i="1"/>
  <c r="G11491" i="1"/>
  <c r="F11491" i="1"/>
  <c r="H11490" i="1"/>
  <c r="G11490" i="1"/>
  <c r="F11490" i="1"/>
  <c r="H11489" i="1"/>
  <c r="G11489" i="1"/>
  <c r="F11489" i="1"/>
  <c r="H11488" i="1"/>
  <c r="G11488" i="1"/>
  <c r="F11488" i="1"/>
  <c r="H11487" i="1"/>
  <c r="G11487" i="1"/>
  <c r="F11487" i="1"/>
  <c r="H11486" i="1"/>
  <c r="G11486" i="1"/>
  <c r="F11486" i="1"/>
  <c r="H11485" i="1"/>
  <c r="G11485" i="1"/>
  <c r="F11485" i="1"/>
  <c r="H11484" i="1"/>
  <c r="G11484" i="1"/>
  <c r="F11484" i="1"/>
  <c r="H11483" i="1"/>
  <c r="G11483" i="1"/>
  <c r="F11483" i="1"/>
  <c r="H11482" i="1"/>
  <c r="G11482" i="1"/>
  <c r="F11482" i="1"/>
  <c r="H11481" i="1"/>
  <c r="G11481" i="1"/>
  <c r="F11481" i="1"/>
  <c r="H11480" i="1"/>
  <c r="G11480" i="1"/>
  <c r="F11480" i="1"/>
  <c r="H11479" i="1"/>
  <c r="G11479" i="1"/>
  <c r="F11479" i="1"/>
  <c r="H11478" i="1"/>
  <c r="G11478" i="1"/>
  <c r="F11478" i="1"/>
  <c r="H11477" i="1"/>
  <c r="G11477" i="1"/>
  <c r="F11477" i="1"/>
  <c r="H11476" i="1"/>
  <c r="G11476" i="1"/>
  <c r="F11476" i="1"/>
  <c r="H11475" i="1"/>
  <c r="G11475" i="1"/>
  <c r="F11475" i="1"/>
  <c r="H11474" i="1"/>
  <c r="G11474" i="1"/>
  <c r="F11474" i="1"/>
  <c r="H11473" i="1"/>
  <c r="G11473" i="1"/>
  <c r="F11473" i="1"/>
  <c r="H11472" i="1"/>
  <c r="G11472" i="1"/>
  <c r="F11472" i="1"/>
  <c r="H11471" i="1"/>
  <c r="G11471" i="1"/>
  <c r="F11471" i="1"/>
  <c r="H11470" i="1"/>
  <c r="G11470" i="1"/>
  <c r="F11470" i="1"/>
  <c r="H11469" i="1"/>
  <c r="G11469" i="1"/>
  <c r="F11469" i="1"/>
  <c r="H11468" i="1"/>
  <c r="G11468" i="1"/>
  <c r="F11468" i="1"/>
  <c r="H11467" i="1"/>
  <c r="G11467" i="1"/>
  <c r="F11467" i="1"/>
  <c r="H11466" i="1"/>
  <c r="G11466" i="1"/>
  <c r="F11466" i="1"/>
  <c r="H11465" i="1"/>
  <c r="G11465" i="1"/>
  <c r="F11465" i="1"/>
  <c r="H11464" i="1"/>
  <c r="G11464" i="1"/>
  <c r="F11464" i="1"/>
  <c r="H11463" i="1"/>
  <c r="G11463" i="1"/>
  <c r="F11463" i="1"/>
  <c r="H11462" i="1"/>
  <c r="G11462" i="1"/>
  <c r="F11462" i="1"/>
  <c r="H11461" i="1"/>
  <c r="G11461" i="1"/>
  <c r="F11461" i="1"/>
  <c r="H11460" i="1"/>
  <c r="G11460" i="1"/>
  <c r="F11460" i="1"/>
  <c r="H11459" i="1"/>
  <c r="G11459" i="1"/>
  <c r="F11459" i="1"/>
  <c r="H11458" i="1"/>
  <c r="G11458" i="1"/>
  <c r="F11458" i="1"/>
  <c r="H11457" i="1"/>
  <c r="G11457" i="1"/>
  <c r="F11457" i="1"/>
  <c r="H11456" i="1"/>
  <c r="G11456" i="1"/>
  <c r="F11456" i="1"/>
  <c r="H11455" i="1"/>
  <c r="G11455" i="1"/>
  <c r="F11455" i="1"/>
  <c r="H11454" i="1"/>
  <c r="G11454" i="1"/>
  <c r="F11454" i="1"/>
  <c r="H11453" i="1"/>
  <c r="G11453" i="1"/>
  <c r="F11453" i="1"/>
  <c r="H11452" i="1"/>
  <c r="G11452" i="1"/>
  <c r="F11452" i="1"/>
  <c r="H11451" i="1"/>
  <c r="G11451" i="1"/>
  <c r="F11451" i="1"/>
  <c r="H11450" i="1"/>
  <c r="G11450" i="1"/>
  <c r="F11450" i="1"/>
  <c r="H11449" i="1"/>
  <c r="G11449" i="1"/>
  <c r="F11449" i="1"/>
  <c r="H11448" i="1"/>
  <c r="G11448" i="1"/>
  <c r="F11448" i="1"/>
  <c r="H11447" i="1"/>
  <c r="G11447" i="1"/>
  <c r="F11447" i="1"/>
  <c r="H11446" i="1"/>
  <c r="G11446" i="1"/>
  <c r="F11446" i="1"/>
  <c r="H11445" i="1"/>
  <c r="G11445" i="1"/>
  <c r="F11445" i="1"/>
  <c r="H11444" i="1"/>
  <c r="G11444" i="1"/>
  <c r="F11444" i="1"/>
  <c r="H11443" i="1"/>
  <c r="G11443" i="1"/>
  <c r="F11443" i="1"/>
  <c r="H11442" i="1"/>
  <c r="G11442" i="1"/>
  <c r="F11442" i="1"/>
  <c r="H11441" i="1"/>
  <c r="G11441" i="1"/>
  <c r="F11441" i="1"/>
  <c r="H11440" i="1"/>
  <c r="G11440" i="1"/>
  <c r="F11440" i="1"/>
  <c r="H11439" i="1"/>
  <c r="G11439" i="1"/>
  <c r="F11439" i="1"/>
  <c r="H11438" i="1"/>
  <c r="G11438" i="1"/>
  <c r="F11438" i="1"/>
  <c r="H11437" i="1"/>
  <c r="G11437" i="1"/>
  <c r="F11437" i="1"/>
  <c r="H11436" i="1"/>
  <c r="G11436" i="1"/>
  <c r="F11436" i="1"/>
  <c r="H11435" i="1"/>
  <c r="G11435" i="1"/>
  <c r="F11435" i="1"/>
  <c r="H11434" i="1"/>
  <c r="G11434" i="1"/>
  <c r="F11434" i="1"/>
  <c r="H11433" i="1"/>
  <c r="G11433" i="1"/>
  <c r="F11433" i="1"/>
  <c r="H11432" i="1"/>
  <c r="G11432" i="1"/>
  <c r="F11432" i="1"/>
  <c r="H11431" i="1"/>
  <c r="G11431" i="1"/>
  <c r="F11431" i="1"/>
  <c r="H11430" i="1"/>
  <c r="G11430" i="1"/>
  <c r="F11430" i="1"/>
  <c r="H11429" i="1"/>
  <c r="G11429" i="1"/>
  <c r="F11429" i="1"/>
  <c r="H11428" i="1"/>
  <c r="G11428" i="1"/>
  <c r="F11428" i="1"/>
  <c r="H11427" i="1"/>
  <c r="G11427" i="1"/>
  <c r="F11427" i="1"/>
  <c r="H11426" i="1"/>
  <c r="G11426" i="1"/>
  <c r="F11426" i="1"/>
  <c r="H11425" i="1"/>
  <c r="G11425" i="1"/>
  <c r="F11425" i="1"/>
  <c r="H11424" i="1"/>
  <c r="G11424" i="1"/>
  <c r="F11424" i="1"/>
  <c r="H11423" i="1"/>
  <c r="G11423" i="1"/>
  <c r="F11423" i="1"/>
  <c r="H11422" i="1"/>
  <c r="G11422" i="1"/>
  <c r="F11422" i="1"/>
  <c r="H11421" i="1"/>
  <c r="G11421" i="1"/>
  <c r="F11421" i="1"/>
  <c r="H11420" i="1"/>
  <c r="G11420" i="1"/>
  <c r="F11420" i="1"/>
  <c r="H11419" i="1"/>
  <c r="G11419" i="1"/>
  <c r="F11419" i="1"/>
  <c r="H11418" i="1"/>
  <c r="G11418" i="1"/>
  <c r="F11418" i="1"/>
  <c r="H11417" i="1"/>
  <c r="G11417" i="1"/>
  <c r="F11417" i="1"/>
  <c r="H11416" i="1"/>
  <c r="G11416" i="1"/>
  <c r="F11416" i="1"/>
  <c r="H11415" i="1"/>
  <c r="G11415" i="1"/>
  <c r="F11415" i="1"/>
  <c r="H11414" i="1"/>
  <c r="G11414" i="1"/>
  <c r="F11414" i="1"/>
  <c r="H11413" i="1"/>
  <c r="G11413" i="1"/>
  <c r="F11413" i="1"/>
  <c r="H11412" i="1"/>
  <c r="G11412" i="1"/>
  <c r="F11412" i="1"/>
  <c r="H11411" i="1"/>
  <c r="G11411" i="1"/>
  <c r="F11411" i="1"/>
  <c r="H11410" i="1"/>
  <c r="G11410" i="1"/>
  <c r="F11410" i="1"/>
  <c r="H11409" i="1"/>
  <c r="G11409" i="1"/>
  <c r="F11409" i="1"/>
  <c r="H11408" i="1"/>
  <c r="G11408" i="1"/>
  <c r="F11408" i="1"/>
  <c r="H11407" i="1"/>
  <c r="G11407" i="1"/>
  <c r="F11407" i="1"/>
  <c r="H11406" i="1"/>
  <c r="G11406" i="1"/>
  <c r="F11406" i="1"/>
  <c r="H11405" i="1"/>
  <c r="G11405" i="1"/>
  <c r="F11405" i="1"/>
  <c r="H11404" i="1"/>
  <c r="G11404" i="1"/>
  <c r="F11404" i="1"/>
  <c r="H11403" i="1"/>
  <c r="G11403" i="1"/>
  <c r="F11403" i="1"/>
  <c r="H11402" i="1"/>
  <c r="G11402" i="1"/>
  <c r="F11402" i="1"/>
  <c r="H11401" i="1"/>
  <c r="G11401" i="1"/>
  <c r="F11401" i="1"/>
  <c r="H11400" i="1"/>
  <c r="G11400" i="1"/>
  <c r="F11400" i="1"/>
  <c r="H11399" i="1"/>
  <c r="G11399" i="1"/>
  <c r="F11399" i="1"/>
  <c r="H11398" i="1"/>
  <c r="G11398" i="1"/>
  <c r="F11398" i="1"/>
  <c r="H11397" i="1"/>
  <c r="G11397" i="1"/>
  <c r="F11397" i="1"/>
  <c r="H11396" i="1"/>
  <c r="G11396" i="1"/>
  <c r="F11396" i="1"/>
  <c r="H11395" i="1"/>
  <c r="G11395" i="1"/>
  <c r="F11395" i="1"/>
  <c r="H11394" i="1"/>
  <c r="G11394" i="1"/>
  <c r="F11394" i="1"/>
  <c r="H11393" i="1"/>
  <c r="G11393" i="1"/>
  <c r="F11393" i="1"/>
  <c r="H11392" i="1"/>
  <c r="G11392" i="1"/>
  <c r="F11392" i="1"/>
  <c r="H11391" i="1"/>
  <c r="G11391" i="1"/>
  <c r="F11391" i="1"/>
  <c r="H11390" i="1"/>
  <c r="G11390" i="1"/>
  <c r="F11390" i="1"/>
  <c r="H11389" i="1"/>
  <c r="G11389" i="1"/>
  <c r="F11389" i="1"/>
  <c r="H11388" i="1"/>
  <c r="G11388" i="1"/>
  <c r="F11388" i="1"/>
  <c r="H11387" i="1"/>
  <c r="G11387" i="1"/>
  <c r="F11387" i="1"/>
  <c r="H11386" i="1"/>
  <c r="G11386" i="1"/>
  <c r="F11386" i="1"/>
  <c r="H11385" i="1"/>
  <c r="G11385" i="1"/>
  <c r="F11385" i="1"/>
  <c r="H11384" i="1"/>
  <c r="G11384" i="1"/>
  <c r="F11384" i="1"/>
  <c r="H11383" i="1"/>
  <c r="G11383" i="1"/>
  <c r="F11383" i="1"/>
  <c r="H11382" i="1"/>
  <c r="G11382" i="1"/>
  <c r="F11382" i="1"/>
  <c r="H11381" i="1"/>
  <c r="G11381" i="1"/>
  <c r="F11381" i="1"/>
  <c r="H11380" i="1"/>
  <c r="G11380" i="1"/>
  <c r="F11380" i="1"/>
  <c r="H11379" i="1"/>
  <c r="G11379" i="1"/>
  <c r="F11379" i="1"/>
  <c r="H11378" i="1"/>
  <c r="G11378" i="1"/>
  <c r="F11378" i="1"/>
  <c r="H11377" i="1"/>
  <c r="G11377" i="1"/>
  <c r="F11377" i="1"/>
  <c r="H11376" i="1"/>
  <c r="G11376" i="1"/>
  <c r="F11376" i="1"/>
  <c r="H11375" i="1"/>
  <c r="G11375" i="1"/>
  <c r="F11375" i="1"/>
  <c r="H11374" i="1"/>
  <c r="G11374" i="1"/>
  <c r="F11374" i="1"/>
  <c r="H11373" i="1"/>
  <c r="G11373" i="1"/>
  <c r="F11373" i="1"/>
  <c r="H11372" i="1"/>
  <c r="G11372" i="1"/>
  <c r="F11372" i="1"/>
  <c r="H11371" i="1"/>
  <c r="G11371" i="1"/>
  <c r="F11371" i="1"/>
  <c r="H11370" i="1"/>
  <c r="G11370" i="1"/>
  <c r="F11370" i="1"/>
  <c r="H11369" i="1"/>
  <c r="G11369" i="1"/>
  <c r="F11369" i="1"/>
  <c r="H11368" i="1"/>
  <c r="G11368" i="1"/>
  <c r="F11368" i="1"/>
  <c r="H11367" i="1"/>
  <c r="G11367" i="1"/>
  <c r="F11367" i="1"/>
  <c r="H11366" i="1"/>
  <c r="G11366" i="1"/>
  <c r="F11366" i="1"/>
  <c r="H11365" i="1"/>
  <c r="G11365" i="1"/>
  <c r="F11365" i="1"/>
  <c r="H11364" i="1"/>
  <c r="G11364" i="1"/>
  <c r="F11364" i="1"/>
  <c r="H11363" i="1"/>
  <c r="G11363" i="1"/>
  <c r="F11363" i="1"/>
  <c r="H11362" i="1"/>
  <c r="G11362" i="1"/>
  <c r="F11362" i="1"/>
  <c r="H11361" i="1"/>
  <c r="G11361" i="1"/>
  <c r="F11361" i="1"/>
  <c r="H11360" i="1"/>
  <c r="G11360" i="1"/>
  <c r="F11360" i="1"/>
  <c r="H11359" i="1"/>
  <c r="G11359" i="1"/>
  <c r="F11359" i="1"/>
  <c r="H11358" i="1"/>
  <c r="G11358" i="1"/>
  <c r="F11358" i="1"/>
  <c r="H11357" i="1"/>
  <c r="G11357" i="1"/>
  <c r="F11357" i="1"/>
  <c r="H11356" i="1"/>
  <c r="G11356" i="1"/>
  <c r="F11356" i="1"/>
  <c r="H11355" i="1"/>
  <c r="G11355" i="1"/>
  <c r="F11355" i="1"/>
  <c r="H11354" i="1"/>
  <c r="G11354" i="1"/>
  <c r="F11354" i="1"/>
  <c r="H11353" i="1"/>
  <c r="G11353" i="1"/>
  <c r="F11353" i="1"/>
  <c r="H11352" i="1"/>
  <c r="G11352" i="1"/>
  <c r="F11352" i="1"/>
  <c r="H11351" i="1"/>
  <c r="G11351" i="1"/>
  <c r="F11351" i="1"/>
  <c r="H11350" i="1"/>
  <c r="G11350" i="1"/>
  <c r="F11350" i="1"/>
  <c r="H11349" i="1"/>
  <c r="G11349" i="1"/>
  <c r="F11349" i="1"/>
  <c r="H11348" i="1"/>
  <c r="G11348" i="1"/>
  <c r="F11348" i="1"/>
  <c r="H11347" i="1"/>
  <c r="G11347" i="1"/>
  <c r="F11347" i="1"/>
  <c r="H11346" i="1"/>
  <c r="G11346" i="1"/>
  <c r="F11346" i="1"/>
  <c r="H11345" i="1"/>
  <c r="G11345" i="1"/>
  <c r="F11345" i="1"/>
  <c r="H11344" i="1"/>
  <c r="G11344" i="1"/>
  <c r="F11344" i="1"/>
  <c r="H11343" i="1"/>
  <c r="G11343" i="1"/>
  <c r="F11343" i="1"/>
  <c r="H11342" i="1"/>
  <c r="G11342" i="1"/>
  <c r="F11342" i="1"/>
  <c r="H11341" i="1"/>
  <c r="G11341" i="1"/>
  <c r="F11341" i="1"/>
  <c r="H11340" i="1"/>
  <c r="G11340" i="1"/>
  <c r="F11340" i="1"/>
  <c r="H11339" i="1"/>
  <c r="G11339" i="1"/>
  <c r="F11339" i="1"/>
  <c r="H11338" i="1"/>
  <c r="G11338" i="1"/>
  <c r="F11338" i="1"/>
  <c r="H11337" i="1"/>
  <c r="G11337" i="1"/>
  <c r="F11337" i="1"/>
  <c r="H11336" i="1"/>
  <c r="G11336" i="1"/>
  <c r="F11336" i="1"/>
  <c r="H11335" i="1"/>
  <c r="G11335" i="1"/>
  <c r="F11335" i="1"/>
  <c r="H11334" i="1"/>
  <c r="G11334" i="1"/>
  <c r="F11334" i="1"/>
  <c r="H11333" i="1"/>
  <c r="G11333" i="1"/>
  <c r="F11333" i="1"/>
  <c r="H11332" i="1"/>
  <c r="G11332" i="1"/>
  <c r="F11332" i="1"/>
  <c r="H11331" i="1"/>
  <c r="G11331" i="1"/>
  <c r="F11331" i="1"/>
  <c r="H11330" i="1"/>
  <c r="G11330" i="1"/>
  <c r="F11330" i="1"/>
  <c r="H11329" i="1"/>
  <c r="G11329" i="1"/>
  <c r="F11329" i="1"/>
  <c r="H11328" i="1"/>
  <c r="G11328" i="1"/>
  <c r="F11328" i="1"/>
  <c r="H11327" i="1"/>
  <c r="G11327" i="1"/>
  <c r="F11327" i="1"/>
  <c r="H11326" i="1"/>
  <c r="G11326" i="1"/>
  <c r="F11326" i="1"/>
  <c r="H11325" i="1"/>
  <c r="G11325" i="1"/>
  <c r="F11325" i="1"/>
  <c r="H11324" i="1"/>
  <c r="G11324" i="1"/>
  <c r="F11324" i="1"/>
  <c r="H11323" i="1"/>
  <c r="G11323" i="1"/>
  <c r="F11323" i="1"/>
  <c r="H11322" i="1"/>
  <c r="G11322" i="1"/>
  <c r="F11322" i="1"/>
  <c r="H11321" i="1"/>
  <c r="G11321" i="1"/>
  <c r="F11321" i="1"/>
  <c r="H11320" i="1"/>
  <c r="G11320" i="1"/>
  <c r="F11320" i="1"/>
  <c r="H11319" i="1"/>
  <c r="G11319" i="1"/>
  <c r="F11319" i="1"/>
  <c r="H11318" i="1"/>
  <c r="G11318" i="1"/>
  <c r="F11318" i="1"/>
  <c r="H11317" i="1"/>
  <c r="G11317" i="1"/>
  <c r="F11317" i="1"/>
  <c r="H11316" i="1"/>
  <c r="G11316" i="1"/>
  <c r="F11316" i="1"/>
  <c r="H11315" i="1"/>
  <c r="G11315" i="1"/>
  <c r="F11315" i="1"/>
  <c r="H11314" i="1"/>
  <c r="G11314" i="1"/>
  <c r="F11314" i="1"/>
  <c r="H11313" i="1"/>
  <c r="G11313" i="1"/>
  <c r="F11313" i="1"/>
  <c r="H11312" i="1"/>
  <c r="G11312" i="1"/>
  <c r="F11312" i="1"/>
  <c r="H11311" i="1"/>
  <c r="G11311" i="1"/>
  <c r="F11311" i="1"/>
  <c r="H11310" i="1"/>
  <c r="G11310" i="1"/>
  <c r="F11310" i="1"/>
  <c r="H11309" i="1"/>
  <c r="G11309" i="1"/>
  <c r="F11309" i="1"/>
  <c r="H11308" i="1"/>
  <c r="G11308" i="1"/>
  <c r="F11308" i="1"/>
  <c r="H11307" i="1"/>
  <c r="G11307" i="1"/>
  <c r="F11307" i="1"/>
  <c r="H11306" i="1"/>
  <c r="G11306" i="1"/>
  <c r="F11306" i="1"/>
  <c r="H11305" i="1"/>
  <c r="G11305" i="1"/>
  <c r="F11305" i="1"/>
  <c r="H11304" i="1"/>
  <c r="G11304" i="1"/>
  <c r="F11304" i="1"/>
  <c r="H11303" i="1"/>
  <c r="G11303" i="1"/>
  <c r="F11303" i="1"/>
  <c r="H11302" i="1"/>
  <c r="G11302" i="1"/>
  <c r="F11302" i="1"/>
  <c r="H11301" i="1"/>
  <c r="G11301" i="1"/>
  <c r="F11301" i="1"/>
  <c r="H11300" i="1"/>
  <c r="G11300" i="1"/>
  <c r="F11300" i="1"/>
  <c r="H11299" i="1"/>
  <c r="G11299" i="1"/>
  <c r="F11299" i="1"/>
  <c r="H11298" i="1"/>
  <c r="G11298" i="1"/>
  <c r="F11298" i="1"/>
  <c r="H11297" i="1"/>
  <c r="G11297" i="1"/>
  <c r="F11297" i="1"/>
  <c r="H11296" i="1"/>
  <c r="G11296" i="1"/>
  <c r="F11296" i="1"/>
  <c r="H11295" i="1"/>
  <c r="G11295" i="1"/>
  <c r="F11295" i="1"/>
  <c r="H11294" i="1"/>
  <c r="G11294" i="1"/>
  <c r="F11294" i="1"/>
  <c r="H11293" i="1"/>
  <c r="G11293" i="1"/>
  <c r="F11293" i="1"/>
  <c r="H11292" i="1"/>
  <c r="G11292" i="1"/>
  <c r="F11292" i="1"/>
  <c r="H11291" i="1"/>
  <c r="G11291" i="1"/>
  <c r="F11291" i="1"/>
  <c r="H11290" i="1"/>
  <c r="G11290" i="1"/>
  <c r="F11290" i="1"/>
  <c r="H11289" i="1"/>
  <c r="G11289" i="1"/>
  <c r="F11289" i="1"/>
  <c r="H11288" i="1"/>
  <c r="G11288" i="1"/>
  <c r="F11288" i="1"/>
  <c r="H11287" i="1"/>
  <c r="G11287" i="1"/>
  <c r="F11287" i="1"/>
  <c r="H11286" i="1"/>
  <c r="G11286" i="1"/>
  <c r="F11286" i="1"/>
  <c r="H11285" i="1"/>
  <c r="G11285" i="1"/>
  <c r="F11285" i="1"/>
  <c r="H11284" i="1"/>
  <c r="G11284" i="1"/>
  <c r="F11284" i="1"/>
  <c r="H11283" i="1"/>
  <c r="G11283" i="1"/>
  <c r="F11283" i="1"/>
  <c r="H11282" i="1"/>
  <c r="G11282" i="1"/>
  <c r="F11282" i="1"/>
  <c r="H11281" i="1"/>
  <c r="G11281" i="1"/>
  <c r="F11281" i="1"/>
  <c r="H11280" i="1"/>
  <c r="G11280" i="1"/>
  <c r="F11280" i="1"/>
  <c r="H11279" i="1"/>
  <c r="G11279" i="1"/>
  <c r="F11279" i="1"/>
  <c r="H11278" i="1"/>
  <c r="G11278" i="1"/>
  <c r="F11278" i="1"/>
  <c r="H11277" i="1"/>
  <c r="G11277" i="1"/>
  <c r="F11277" i="1"/>
  <c r="H11276" i="1"/>
  <c r="G11276" i="1"/>
  <c r="F11276" i="1"/>
  <c r="H11275" i="1"/>
  <c r="G11275" i="1"/>
  <c r="F11275" i="1"/>
  <c r="H11274" i="1"/>
  <c r="G11274" i="1"/>
  <c r="F11274" i="1"/>
  <c r="H11273" i="1"/>
  <c r="G11273" i="1"/>
  <c r="F11273" i="1"/>
  <c r="H11272" i="1"/>
  <c r="G11272" i="1"/>
  <c r="F11272" i="1"/>
  <c r="H11271" i="1"/>
  <c r="G11271" i="1"/>
  <c r="F11271" i="1"/>
  <c r="H11270" i="1"/>
  <c r="G11270" i="1"/>
  <c r="F11270" i="1"/>
  <c r="H11269" i="1"/>
  <c r="G11269" i="1"/>
  <c r="F11269" i="1"/>
  <c r="H11268" i="1"/>
  <c r="G11268" i="1"/>
  <c r="F11268" i="1"/>
  <c r="H11267" i="1"/>
  <c r="G11267" i="1"/>
  <c r="F11267" i="1"/>
  <c r="H11266" i="1"/>
  <c r="G11266" i="1"/>
  <c r="F11266" i="1"/>
  <c r="H11265" i="1"/>
  <c r="G11265" i="1"/>
  <c r="F11265" i="1"/>
  <c r="H11264" i="1"/>
  <c r="G11264" i="1"/>
  <c r="F11264" i="1"/>
  <c r="H11263" i="1"/>
  <c r="G11263" i="1"/>
  <c r="F11263" i="1"/>
  <c r="H11262" i="1"/>
  <c r="G11262" i="1"/>
  <c r="F11262" i="1"/>
  <c r="H11261" i="1"/>
  <c r="G11261" i="1"/>
  <c r="F11261" i="1"/>
  <c r="H11260" i="1"/>
  <c r="G11260" i="1"/>
  <c r="F11260" i="1"/>
  <c r="H11259" i="1"/>
  <c r="G11259" i="1"/>
  <c r="F11259" i="1"/>
  <c r="H11258" i="1"/>
  <c r="G11258" i="1"/>
  <c r="F11258" i="1"/>
  <c r="H11257" i="1"/>
  <c r="G11257" i="1"/>
  <c r="F11257" i="1"/>
  <c r="H11256" i="1"/>
  <c r="G11256" i="1"/>
  <c r="F11256" i="1"/>
  <c r="H11255" i="1"/>
  <c r="G11255" i="1"/>
  <c r="F11255" i="1"/>
  <c r="H11254" i="1"/>
  <c r="G11254" i="1"/>
  <c r="F11254" i="1"/>
  <c r="H11253" i="1"/>
  <c r="G11253" i="1"/>
  <c r="F11253" i="1"/>
  <c r="H11252" i="1"/>
  <c r="G11252" i="1"/>
  <c r="F11252" i="1"/>
  <c r="H11251" i="1"/>
  <c r="G11251" i="1"/>
  <c r="F11251" i="1"/>
  <c r="H11250" i="1"/>
  <c r="G11250" i="1"/>
  <c r="F11250" i="1"/>
  <c r="H11249" i="1"/>
  <c r="G11249" i="1"/>
  <c r="F11249" i="1"/>
  <c r="H11248" i="1"/>
  <c r="G11248" i="1"/>
  <c r="F11248" i="1"/>
  <c r="H11247" i="1"/>
  <c r="G11247" i="1"/>
  <c r="F11247" i="1"/>
  <c r="H11246" i="1"/>
  <c r="G11246" i="1"/>
  <c r="F11246" i="1"/>
  <c r="H11245" i="1"/>
  <c r="G11245" i="1"/>
  <c r="F11245" i="1"/>
  <c r="H11244" i="1"/>
  <c r="G11244" i="1"/>
  <c r="F11244" i="1"/>
  <c r="H11243" i="1"/>
  <c r="G11243" i="1"/>
  <c r="F11243" i="1"/>
  <c r="H11242" i="1"/>
  <c r="G11242" i="1"/>
  <c r="F11242" i="1"/>
  <c r="H11241" i="1"/>
  <c r="G11241" i="1"/>
  <c r="F11241" i="1"/>
  <c r="H11240" i="1"/>
  <c r="G11240" i="1"/>
  <c r="F11240" i="1"/>
  <c r="H11239" i="1"/>
  <c r="G11239" i="1"/>
  <c r="F11239" i="1"/>
  <c r="H11238" i="1"/>
  <c r="G11238" i="1"/>
  <c r="F11238" i="1"/>
  <c r="H11237" i="1"/>
  <c r="G11237" i="1"/>
  <c r="F11237" i="1"/>
  <c r="H11236" i="1"/>
  <c r="G11236" i="1"/>
  <c r="F11236" i="1"/>
  <c r="H11235" i="1"/>
  <c r="G11235" i="1"/>
  <c r="F11235" i="1"/>
  <c r="H11234" i="1"/>
  <c r="G11234" i="1"/>
  <c r="F11234" i="1"/>
  <c r="H11233" i="1"/>
  <c r="G11233" i="1"/>
  <c r="F11233" i="1"/>
  <c r="H11232" i="1"/>
  <c r="G11232" i="1"/>
  <c r="F11232" i="1"/>
  <c r="H11231" i="1"/>
  <c r="G11231" i="1"/>
  <c r="F11231" i="1"/>
  <c r="H11230" i="1"/>
  <c r="G11230" i="1"/>
  <c r="F11230" i="1"/>
  <c r="H11229" i="1"/>
  <c r="G11229" i="1"/>
  <c r="F11229" i="1"/>
  <c r="H11228" i="1"/>
  <c r="G11228" i="1"/>
  <c r="F11228" i="1"/>
  <c r="H11227" i="1"/>
  <c r="G11227" i="1"/>
  <c r="F11227" i="1"/>
  <c r="H11226" i="1"/>
  <c r="G11226" i="1"/>
  <c r="F11226" i="1"/>
  <c r="H11225" i="1"/>
  <c r="G11225" i="1"/>
  <c r="F11225" i="1"/>
  <c r="H11224" i="1"/>
  <c r="G11224" i="1"/>
  <c r="F11224" i="1"/>
  <c r="H11223" i="1"/>
  <c r="G11223" i="1"/>
  <c r="F11223" i="1"/>
  <c r="H11222" i="1"/>
  <c r="G11222" i="1"/>
  <c r="F11222" i="1"/>
  <c r="H11221" i="1"/>
  <c r="G11221" i="1"/>
  <c r="F11221" i="1"/>
  <c r="H11220" i="1"/>
  <c r="G11220" i="1"/>
  <c r="F11220" i="1"/>
  <c r="H11219" i="1"/>
  <c r="G11219" i="1"/>
  <c r="F11219" i="1"/>
  <c r="H11218" i="1"/>
  <c r="G11218" i="1"/>
  <c r="F11218" i="1"/>
  <c r="H11217" i="1"/>
  <c r="G11217" i="1"/>
  <c r="F11217" i="1"/>
  <c r="H11216" i="1"/>
  <c r="G11216" i="1"/>
  <c r="F11216" i="1"/>
  <c r="H11215" i="1"/>
  <c r="G11215" i="1"/>
  <c r="F11215" i="1"/>
  <c r="H11214" i="1"/>
  <c r="G11214" i="1"/>
  <c r="F11214" i="1"/>
  <c r="H11213" i="1"/>
  <c r="G11213" i="1"/>
  <c r="F11213" i="1"/>
  <c r="H11212" i="1"/>
  <c r="G11212" i="1"/>
  <c r="F11212" i="1"/>
  <c r="H11211" i="1"/>
  <c r="G11211" i="1"/>
  <c r="F11211" i="1"/>
  <c r="H11210" i="1"/>
  <c r="G11210" i="1"/>
  <c r="F11210" i="1"/>
  <c r="H11209" i="1"/>
  <c r="G11209" i="1"/>
  <c r="F11209" i="1"/>
  <c r="H11208" i="1"/>
  <c r="G11208" i="1"/>
  <c r="F11208" i="1"/>
  <c r="H11207" i="1"/>
  <c r="G11207" i="1"/>
  <c r="F11207" i="1"/>
  <c r="H11206" i="1"/>
  <c r="G11206" i="1"/>
  <c r="F11206" i="1"/>
  <c r="H11205" i="1"/>
  <c r="G11205" i="1"/>
  <c r="F11205" i="1"/>
  <c r="H11204" i="1"/>
  <c r="G11204" i="1"/>
  <c r="F11204" i="1"/>
  <c r="H11203" i="1"/>
  <c r="G11203" i="1"/>
  <c r="F11203" i="1"/>
  <c r="H11202" i="1"/>
  <c r="G11202" i="1"/>
  <c r="F11202" i="1"/>
  <c r="H11201" i="1"/>
  <c r="G11201" i="1"/>
  <c r="F11201" i="1"/>
  <c r="H11200" i="1"/>
  <c r="G11200" i="1"/>
  <c r="F11200" i="1"/>
  <c r="H11199" i="1"/>
  <c r="G11199" i="1"/>
  <c r="F11199" i="1"/>
  <c r="H11198" i="1"/>
  <c r="G11198" i="1"/>
  <c r="F11198" i="1"/>
  <c r="H11197" i="1"/>
  <c r="G11197" i="1"/>
  <c r="F11197" i="1"/>
  <c r="H11196" i="1"/>
  <c r="G11196" i="1"/>
  <c r="F11196" i="1"/>
  <c r="H11195" i="1"/>
  <c r="G11195" i="1"/>
  <c r="F11195" i="1"/>
  <c r="H11194" i="1"/>
  <c r="G11194" i="1"/>
  <c r="F11194" i="1"/>
  <c r="H11193" i="1"/>
  <c r="G11193" i="1"/>
  <c r="F11193" i="1"/>
  <c r="H11192" i="1"/>
  <c r="G11192" i="1"/>
  <c r="F11192" i="1"/>
  <c r="H11191" i="1"/>
  <c r="G11191" i="1"/>
  <c r="F11191" i="1"/>
  <c r="H11190" i="1"/>
  <c r="G11190" i="1"/>
  <c r="F11190" i="1"/>
  <c r="H11189" i="1"/>
  <c r="G11189" i="1"/>
  <c r="F11189" i="1"/>
  <c r="H11188" i="1"/>
  <c r="G11188" i="1"/>
  <c r="F11188" i="1"/>
  <c r="H11187" i="1"/>
  <c r="G11187" i="1"/>
  <c r="F11187" i="1"/>
  <c r="H11186" i="1"/>
  <c r="G11186" i="1"/>
  <c r="F11186" i="1"/>
  <c r="H11185" i="1"/>
  <c r="G11185" i="1"/>
  <c r="F11185" i="1"/>
  <c r="H11184" i="1"/>
  <c r="G11184" i="1"/>
  <c r="F11184" i="1"/>
  <c r="H11183" i="1"/>
  <c r="G11183" i="1"/>
  <c r="F11183" i="1"/>
  <c r="H11182" i="1"/>
  <c r="G11182" i="1"/>
  <c r="F11182" i="1"/>
  <c r="H11181" i="1"/>
  <c r="G11181" i="1"/>
  <c r="F11181" i="1"/>
  <c r="H11180" i="1"/>
  <c r="G11180" i="1"/>
  <c r="F11180" i="1"/>
  <c r="H11179" i="1"/>
  <c r="G11179" i="1"/>
  <c r="F11179" i="1"/>
  <c r="H11178" i="1"/>
  <c r="G11178" i="1"/>
  <c r="F11178" i="1"/>
  <c r="H11177" i="1"/>
  <c r="G11177" i="1"/>
  <c r="F11177" i="1"/>
  <c r="H11176" i="1"/>
  <c r="G11176" i="1"/>
  <c r="F11176" i="1"/>
  <c r="H11175" i="1"/>
  <c r="G11175" i="1"/>
  <c r="F11175" i="1"/>
  <c r="H11174" i="1"/>
  <c r="G11174" i="1"/>
  <c r="F11174" i="1"/>
  <c r="H11173" i="1"/>
  <c r="G11173" i="1"/>
  <c r="F11173" i="1"/>
  <c r="H11172" i="1"/>
  <c r="G11172" i="1"/>
  <c r="F11172" i="1"/>
  <c r="H11171" i="1"/>
  <c r="G11171" i="1"/>
  <c r="F11171" i="1"/>
  <c r="H11170" i="1"/>
  <c r="G11170" i="1"/>
  <c r="F11170" i="1"/>
  <c r="H11169" i="1"/>
  <c r="G11169" i="1"/>
  <c r="F11169" i="1"/>
  <c r="H11168" i="1"/>
  <c r="G11168" i="1"/>
  <c r="F11168" i="1"/>
  <c r="H11167" i="1"/>
  <c r="G11167" i="1"/>
  <c r="F11167" i="1"/>
  <c r="H11166" i="1"/>
  <c r="G11166" i="1"/>
  <c r="F11166" i="1"/>
  <c r="H11165" i="1"/>
  <c r="G11165" i="1"/>
  <c r="F11165" i="1"/>
  <c r="H11164" i="1"/>
  <c r="G11164" i="1"/>
  <c r="F11164" i="1"/>
  <c r="H11163" i="1"/>
  <c r="G11163" i="1"/>
  <c r="F11163" i="1"/>
  <c r="H11162" i="1"/>
  <c r="G11162" i="1"/>
  <c r="F11162" i="1"/>
  <c r="H11161" i="1"/>
  <c r="G11161" i="1"/>
  <c r="F11161" i="1"/>
  <c r="H11160" i="1"/>
  <c r="G11160" i="1"/>
  <c r="F11160" i="1"/>
  <c r="H11159" i="1"/>
  <c r="G11159" i="1"/>
  <c r="F11159" i="1"/>
  <c r="H11158" i="1"/>
  <c r="G11158" i="1"/>
  <c r="F11158" i="1"/>
  <c r="H11157" i="1"/>
  <c r="G11157" i="1"/>
  <c r="F11157" i="1"/>
  <c r="H11156" i="1"/>
  <c r="G11156" i="1"/>
  <c r="F11156" i="1"/>
  <c r="H11155" i="1"/>
  <c r="G11155" i="1"/>
  <c r="F11155" i="1"/>
  <c r="H11154" i="1"/>
  <c r="G11154" i="1"/>
  <c r="F11154" i="1"/>
  <c r="H11153" i="1"/>
  <c r="G11153" i="1"/>
  <c r="F11153" i="1"/>
  <c r="H11152" i="1"/>
  <c r="G11152" i="1"/>
  <c r="F11152" i="1"/>
  <c r="H11151" i="1"/>
  <c r="G11151" i="1"/>
  <c r="F11151" i="1"/>
  <c r="H11150" i="1"/>
  <c r="G11150" i="1"/>
  <c r="F11150" i="1"/>
  <c r="H11149" i="1"/>
  <c r="G11149" i="1"/>
  <c r="F11149" i="1"/>
  <c r="H11148" i="1"/>
  <c r="G11148" i="1"/>
  <c r="F11148" i="1"/>
  <c r="H11147" i="1"/>
  <c r="G11147" i="1"/>
  <c r="F11147" i="1"/>
  <c r="H11146" i="1"/>
  <c r="G11146" i="1"/>
  <c r="F11146" i="1"/>
  <c r="H11145" i="1"/>
  <c r="G11145" i="1"/>
  <c r="F11145" i="1"/>
  <c r="H11144" i="1"/>
  <c r="G11144" i="1"/>
  <c r="F11144" i="1"/>
  <c r="H11143" i="1"/>
  <c r="G11143" i="1"/>
  <c r="F11143" i="1"/>
  <c r="H11142" i="1"/>
  <c r="G11142" i="1"/>
  <c r="F11142" i="1"/>
  <c r="H11141" i="1"/>
  <c r="G11141" i="1"/>
  <c r="F11141" i="1"/>
  <c r="H11140" i="1"/>
  <c r="G11140" i="1"/>
  <c r="F11140" i="1"/>
  <c r="H11139" i="1"/>
  <c r="G11139" i="1"/>
  <c r="F11139" i="1"/>
  <c r="H11138" i="1"/>
  <c r="G11138" i="1"/>
  <c r="F11138" i="1"/>
  <c r="H11137" i="1"/>
  <c r="G11137" i="1"/>
  <c r="F11137" i="1"/>
  <c r="H11136" i="1"/>
  <c r="G11136" i="1"/>
  <c r="F11136" i="1"/>
  <c r="H11135" i="1"/>
  <c r="G11135" i="1"/>
  <c r="F11135" i="1"/>
  <c r="H11134" i="1"/>
  <c r="G11134" i="1"/>
  <c r="F11134" i="1"/>
  <c r="H11133" i="1"/>
  <c r="G11133" i="1"/>
  <c r="F11133" i="1"/>
  <c r="H11132" i="1"/>
  <c r="G11132" i="1"/>
  <c r="F11132" i="1"/>
  <c r="H11131" i="1"/>
  <c r="G11131" i="1"/>
  <c r="F11131" i="1"/>
  <c r="H11130" i="1"/>
  <c r="G11130" i="1"/>
  <c r="F11130" i="1"/>
  <c r="H11129" i="1"/>
  <c r="G11129" i="1"/>
  <c r="F11129" i="1"/>
  <c r="H11128" i="1"/>
  <c r="G11128" i="1"/>
  <c r="F11128" i="1"/>
  <c r="H11127" i="1"/>
  <c r="G11127" i="1"/>
  <c r="F11127" i="1"/>
  <c r="H11126" i="1"/>
  <c r="G11126" i="1"/>
  <c r="F11126" i="1"/>
  <c r="H11125" i="1"/>
  <c r="G11125" i="1"/>
  <c r="F11125" i="1"/>
  <c r="H11124" i="1"/>
  <c r="G11124" i="1"/>
  <c r="F11124" i="1"/>
  <c r="H11123" i="1"/>
  <c r="G11123" i="1"/>
  <c r="F11123" i="1"/>
  <c r="H11122" i="1"/>
  <c r="G11122" i="1"/>
  <c r="F11122" i="1"/>
  <c r="H11121" i="1"/>
  <c r="G11121" i="1"/>
  <c r="F11121" i="1"/>
  <c r="H11120" i="1"/>
  <c r="G11120" i="1"/>
  <c r="F11120" i="1"/>
  <c r="H11119" i="1"/>
  <c r="G11119" i="1"/>
  <c r="F11119" i="1"/>
  <c r="H11118" i="1"/>
  <c r="G11118" i="1"/>
  <c r="F11118" i="1"/>
  <c r="H11117" i="1"/>
  <c r="G11117" i="1"/>
  <c r="F11117" i="1"/>
  <c r="H11116" i="1"/>
  <c r="G11116" i="1"/>
  <c r="F11116" i="1"/>
  <c r="H11115" i="1"/>
  <c r="G11115" i="1"/>
  <c r="F11115" i="1"/>
  <c r="H11114" i="1"/>
  <c r="G11114" i="1"/>
  <c r="F11114" i="1"/>
  <c r="H11113" i="1"/>
  <c r="G11113" i="1"/>
  <c r="F11113" i="1"/>
  <c r="H11112" i="1"/>
  <c r="G11112" i="1"/>
  <c r="F11112" i="1"/>
  <c r="H11111" i="1"/>
  <c r="G11111" i="1"/>
  <c r="F11111" i="1"/>
  <c r="H11110" i="1"/>
  <c r="G11110" i="1"/>
  <c r="F11110" i="1"/>
  <c r="H11109" i="1"/>
  <c r="G11109" i="1"/>
  <c r="F11109" i="1"/>
  <c r="H11108" i="1"/>
  <c r="G11108" i="1"/>
  <c r="F11108" i="1"/>
  <c r="H11107" i="1"/>
  <c r="G11107" i="1"/>
  <c r="F11107" i="1"/>
  <c r="H11106" i="1"/>
  <c r="G11106" i="1"/>
  <c r="F11106" i="1"/>
  <c r="H11105" i="1"/>
  <c r="G11105" i="1"/>
  <c r="F11105" i="1"/>
  <c r="H11104" i="1"/>
  <c r="G11104" i="1"/>
  <c r="F11104" i="1"/>
  <c r="H11103" i="1"/>
  <c r="G11103" i="1"/>
  <c r="F11103" i="1"/>
  <c r="H11102" i="1"/>
  <c r="G11102" i="1"/>
  <c r="F11102" i="1"/>
  <c r="H11101" i="1"/>
  <c r="G11101" i="1"/>
  <c r="F11101" i="1"/>
  <c r="H11100" i="1"/>
  <c r="G11100" i="1"/>
  <c r="F11100" i="1"/>
  <c r="H11099" i="1"/>
  <c r="G11099" i="1"/>
  <c r="F11099" i="1"/>
  <c r="H11098" i="1"/>
  <c r="G11098" i="1"/>
  <c r="F11098" i="1"/>
  <c r="H11097" i="1"/>
  <c r="G11097" i="1"/>
  <c r="F11097" i="1"/>
  <c r="H11096" i="1"/>
  <c r="G11096" i="1"/>
  <c r="F11096" i="1"/>
  <c r="H11095" i="1"/>
  <c r="G11095" i="1"/>
  <c r="F11095" i="1"/>
  <c r="H11094" i="1"/>
  <c r="G11094" i="1"/>
  <c r="F11094" i="1"/>
  <c r="H11093" i="1"/>
  <c r="G11093" i="1"/>
  <c r="F11093" i="1"/>
  <c r="H11092" i="1"/>
  <c r="G11092" i="1"/>
  <c r="F11092" i="1"/>
  <c r="H11091" i="1"/>
  <c r="G11091" i="1"/>
  <c r="F11091" i="1"/>
  <c r="H11090" i="1"/>
  <c r="G11090" i="1"/>
  <c r="F11090" i="1"/>
  <c r="H11089" i="1"/>
  <c r="G11089" i="1"/>
  <c r="F11089" i="1"/>
  <c r="H11088" i="1"/>
  <c r="G11088" i="1"/>
  <c r="F11088" i="1"/>
  <c r="H11087" i="1"/>
  <c r="G11087" i="1"/>
  <c r="F11087" i="1"/>
  <c r="H11086" i="1"/>
  <c r="G11086" i="1"/>
  <c r="F11086" i="1"/>
  <c r="H11085" i="1"/>
  <c r="G11085" i="1"/>
  <c r="F11085" i="1"/>
  <c r="H11084" i="1"/>
  <c r="G11084" i="1"/>
  <c r="F11084" i="1"/>
  <c r="H11083" i="1"/>
  <c r="G11083" i="1"/>
  <c r="F11083" i="1"/>
  <c r="H11082" i="1"/>
  <c r="G11082" i="1"/>
  <c r="F11082" i="1"/>
  <c r="H11081" i="1"/>
  <c r="G11081" i="1"/>
  <c r="F11081" i="1"/>
  <c r="H11080" i="1"/>
  <c r="G11080" i="1"/>
  <c r="F11080" i="1"/>
  <c r="H11079" i="1"/>
  <c r="G11079" i="1"/>
  <c r="F11079" i="1"/>
  <c r="H11078" i="1"/>
  <c r="G11078" i="1"/>
  <c r="F11078" i="1"/>
  <c r="H11077" i="1"/>
  <c r="G11077" i="1"/>
  <c r="F11077" i="1"/>
  <c r="H11076" i="1"/>
  <c r="G11076" i="1"/>
  <c r="F11076" i="1"/>
  <c r="H11075" i="1"/>
  <c r="G11075" i="1"/>
  <c r="F11075" i="1"/>
  <c r="H11074" i="1"/>
  <c r="G11074" i="1"/>
  <c r="F11074" i="1"/>
  <c r="H11073" i="1"/>
  <c r="G11073" i="1"/>
  <c r="F11073" i="1"/>
  <c r="H11072" i="1"/>
  <c r="G11072" i="1"/>
  <c r="F11072" i="1"/>
  <c r="H11071" i="1"/>
  <c r="G11071" i="1"/>
  <c r="F11071" i="1"/>
  <c r="H11070" i="1"/>
  <c r="G11070" i="1"/>
  <c r="F11070" i="1"/>
  <c r="H11069" i="1"/>
  <c r="G11069" i="1"/>
  <c r="F11069" i="1"/>
  <c r="H11068" i="1"/>
  <c r="G11068" i="1"/>
  <c r="F11068" i="1"/>
  <c r="H11067" i="1"/>
  <c r="G11067" i="1"/>
  <c r="F11067" i="1"/>
  <c r="H11066" i="1"/>
  <c r="G11066" i="1"/>
  <c r="F11066" i="1"/>
  <c r="H11065" i="1"/>
  <c r="G11065" i="1"/>
  <c r="F11065" i="1"/>
  <c r="H11064" i="1"/>
  <c r="G11064" i="1"/>
  <c r="F11064" i="1"/>
  <c r="H11063" i="1"/>
  <c r="G11063" i="1"/>
  <c r="F11063" i="1"/>
  <c r="H11062" i="1"/>
  <c r="G11062" i="1"/>
  <c r="F11062" i="1"/>
  <c r="H11061" i="1"/>
  <c r="G11061" i="1"/>
  <c r="F11061" i="1"/>
  <c r="H11060" i="1"/>
  <c r="G11060" i="1"/>
  <c r="F11060" i="1"/>
  <c r="H11059" i="1"/>
  <c r="G11059" i="1"/>
  <c r="F11059" i="1"/>
  <c r="H11058" i="1"/>
  <c r="G11058" i="1"/>
  <c r="F11058" i="1"/>
  <c r="H11057" i="1"/>
  <c r="G11057" i="1"/>
  <c r="F11057" i="1"/>
  <c r="H11056" i="1"/>
  <c r="G11056" i="1"/>
  <c r="F11056" i="1"/>
  <c r="H11055" i="1"/>
  <c r="G11055" i="1"/>
  <c r="F11055" i="1"/>
  <c r="H11054" i="1"/>
  <c r="G11054" i="1"/>
  <c r="F11054" i="1"/>
  <c r="H11053" i="1"/>
  <c r="G11053" i="1"/>
  <c r="F11053" i="1"/>
  <c r="H11052" i="1"/>
  <c r="G11052" i="1"/>
  <c r="F11052" i="1"/>
  <c r="H11051" i="1"/>
  <c r="G11051" i="1"/>
  <c r="F11051" i="1"/>
  <c r="H11050" i="1"/>
  <c r="G11050" i="1"/>
  <c r="F11050" i="1"/>
  <c r="H11049" i="1"/>
  <c r="G11049" i="1"/>
  <c r="F11049" i="1"/>
  <c r="H11048" i="1"/>
  <c r="G11048" i="1"/>
  <c r="F11048" i="1"/>
  <c r="H11047" i="1"/>
  <c r="G11047" i="1"/>
  <c r="F11047" i="1"/>
  <c r="H11046" i="1"/>
  <c r="G11046" i="1"/>
  <c r="F11046" i="1"/>
  <c r="H11045" i="1"/>
  <c r="G11045" i="1"/>
  <c r="F11045" i="1"/>
  <c r="H11044" i="1"/>
  <c r="G11044" i="1"/>
  <c r="F11044" i="1"/>
  <c r="H11043" i="1"/>
  <c r="G11043" i="1"/>
  <c r="F11043" i="1"/>
  <c r="H11042" i="1"/>
  <c r="G11042" i="1"/>
  <c r="F11042" i="1"/>
  <c r="H11041" i="1"/>
  <c r="G11041" i="1"/>
  <c r="F11041" i="1"/>
  <c r="H11040" i="1"/>
  <c r="G11040" i="1"/>
  <c r="F11040" i="1"/>
  <c r="H11039" i="1"/>
  <c r="G11039" i="1"/>
  <c r="F11039" i="1"/>
  <c r="H11038" i="1"/>
  <c r="G11038" i="1"/>
  <c r="F11038" i="1"/>
  <c r="H11037" i="1"/>
  <c r="G11037" i="1"/>
  <c r="F11037" i="1"/>
  <c r="H11036" i="1"/>
  <c r="G11036" i="1"/>
  <c r="F11036" i="1"/>
  <c r="H11035" i="1"/>
  <c r="G11035" i="1"/>
  <c r="F11035" i="1"/>
  <c r="H11034" i="1"/>
  <c r="G11034" i="1"/>
  <c r="F11034" i="1"/>
  <c r="H11033" i="1"/>
  <c r="G11033" i="1"/>
  <c r="F11033" i="1"/>
  <c r="H11032" i="1"/>
  <c r="G11032" i="1"/>
  <c r="F11032" i="1"/>
  <c r="H11031" i="1"/>
  <c r="G11031" i="1"/>
  <c r="F11031" i="1"/>
  <c r="H11030" i="1"/>
  <c r="G11030" i="1"/>
  <c r="F11030" i="1"/>
  <c r="H11029" i="1"/>
  <c r="G11029" i="1"/>
  <c r="F11029" i="1"/>
  <c r="H11028" i="1"/>
  <c r="G11028" i="1"/>
  <c r="F11028" i="1"/>
  <c r="H11027" i="1"/>
  <c r="G11027" i="1"/>
  <c r="F11027" i="1"/>
  <c r="H11026" i="1"/>
  <c r="G11026" i="1"/>
  <c r="F11026" i="1"/>
  <c r="H11025" i="1"/>
  <c r="G11025" i="1"/>
  <c r="F11025" i="1"/>
  <c r="H11024" i="1"/>
  <c r="G11024" i="1"/>
  <c r="F11024" i="1"/>
  <c r="H11023" i="1"/>
  <c r="G11023" i="1"/>
  <c r="F11023" i="1"/>
  <c r="H11022" i="1"/>
  <c r="G11022" i="1"/>
  <c r="F11022" i="1"/>
  <c r="H11021" i="1"/>
  <c r="G11021" i="1"/>
  <c r="F11021" i="1"/>
  <c r="H11020" i="1"/>
  <c r="G11020" i="1"/>
  <c r="F11020" i="1"/>
  <c r="H11019" i="1"/>
  <c r="G11019" i="1"/>
  <c r="F11019" i="1"/>
  <c r="H11018" i="1"/>
  <c r="G11018" i="1"/>
  <c r="F11018" i="1"/>
  <c r="H11017" i="1"/>
  <c r="G11017" i="1"/>
  <c r="F11017" i="1"/>
  <c r="H11016" i="1"/>
  <c r="G11016" i="1"/>
  <c r="F11016" i="1"/>
  <c r="H11015" i="1"/>
  <c r="G11015" i="1"/>
  <c r="F11015" i="1"/>
  <c r="H11014" i="1"/>
  <c r="G11014" i="1"/>
  <c r="F11014" i="1"/>
  <c r="H11013" i="1"/>
  <c r="G11013" i="1"/>
  <c r="F11013" i="1"/>
  <c r="H11012" i="1"/>
  <c r="G11012" i="1"/>
  <c r="F11012" i="1"/>
  <c r="H11011" i="1"/>
  <c r="G11011" i="1"/>
  <c r="F11011" i="1"/>
  <c r="H11010" i="1"/>
  <c r="G11010" i="1"/>
  <c r="F11010" i="1"/>
  <c r="H11009" i="1"/>
  <c r="G11009" i="1"/>
  <c r="F11009" i="1"/>
  <c r="H11008" i="1"/>
  <c r="G11008" i="1"/>
  <c r="F11008" i="1"/>
  <c r="H11007" i="1"/>
  <c r="G11007" i="1"/>
  <c r="F11007" i="1"/>
  <c r="H11006" i="1"/>
  <c r="G11006" i="1"/>
  <c r="F11006" i="1"/>
  <c r="H11005" i="1"/>
  <c r="G11005" i="1"/>
  <c r="F11005" i="1"/>
  <c r="H11004" i="1"/>
  <c r="G11004" i="1"/>
  <c r="F11004" i="1"/>
  <c r="H11003" i="1"/>
  <c r="G11003" i="1"/>
  <c r="F11003" i="1"/>
  <c r="H11002" i="1"/>
  <c r="G11002" i="1"/>
  <c r="F11002" i="1"/>
  <c r="H11001" i="1"/>
  <c r="G11001" i="1"/>
  <c r="F11001" i="1"/>
  <c r="H11000" i="1"/>
  <c r="G11000" i="1"/>
  <c r="F11000" i="1"/>
  <c r="H10999" i="1"/>
  <c r="G10999" i="1"/>
  <c r="F10999" i="1"/>
  <c r="H10998" i="1"/>
  <c r="G10998" i="1"/>
  <c r="F10998" i="1"/>
  <c r="H10997" i="1"/>
  <c r="G10997" i="1"/>
  <c r="F10997" i="1"/>
  <c r="H10996" i="1"/>
  <c r="G10996" i="1"/>
  <c r="F10996" i="1"/>
  <c r="H10995" i="1"/>
  <c r="G10995" i="1"/>
  <c r="F10995" i="1"/>
  <c r="H10994" i="1"/>
  <c r="G10994" i="1"/>
  <c r="F10994" i="1"/>
  <c r="H10993" i="1"/>
  <c r="G10993" i="1"/>
  <c r="F10993" i="1"/>
  <c r="H10992" i="1"/>
  <c r="G10992" i="1"/>
  <c r="F10992" i="1"/>
  <c r="H10991" i="1"/>
  <c r="G10991" i="1"/>
  <c r="F10991" i="1"/>
  <c r="H10990" i="1"/>
  <c r="G10990" i="1"/>
  <c r="F10990" i="1"/>
  <c r="H10989" i="1"/>
  <c r="G10989" i="1"/>
  <c r="F10989" i="1"/>
  <c r="H10988" i="1"/>
  <c r="G10988" i="1"/>
  <c r="F10988" i="1"/>
  <c r="H10987" i="1"/>
  <c r="G10987" i="1"/>
  <c r="F10987" i="1"/>
  <c r="H10986" i="1"/>
  <c r="G10986" i="1"/>
  <c r="F10986" i="1"/>
  <c r="H10985" i="1"/>
  <c r="G10985" i="1"/>
  <c r="F10985" i="1"/>
  <c r="H10984" i="1"/>
  <c r="G10984" i="1"/>
  <c r="F10984" i="1"/>
  <c r="H10983" i="1"/>
  <c r="G10983" i="1"/>
  <c r="F10983" i="1"/>
  <c r="H10982" i="1"/>
  <c r="G10982" i="1"/>
  <c r="F10982" i="1"/>
  <c r="H10981" i="1"/>
  <c r="G10981" i="1"/>
  <c r="F10981" i="1"/>
  <c r="H10980" i="1"/>
  <c r="G10980" i="1"/>
  <c r="F10980" i="1"/>
  <c r="H10979" i="1"/>
  <c r="G10979" i="1"/>
  <c r="F10979" i="1"/>
  <c r="H10978" i="1"/>
  <c r="G10978" i="1"/>
  <c r="F10978" i="1"/>
  <c r="H10977" i="1"/>
  <c r="G10977" i="1"/>
  <c r="F10977" i="1"/>
  <c r="H10976" i="1"/>
  <c r="G10976" i="1"/>
  <c r="F10976" i="1"/>
  <c r="H10975" i="1"/>
  <c r="G10975" i="1"/>
  <c r="F10975" i="1"/>
  <c r="H10974" i="1"/>
  <c r="G10974" i="1"/>
  <c r="F10974" i="1"/>
  <c r="H10973" i="1"/>
  <c r="G10973" i="1"/>
  <c r="F10973" i="1"/>
  <c r="H10972" i="1"/>
  <c r="G10972" i="1"/>
  <c r="F10972" i="1"/>
  <c r="H10971" i="1"/>
  <c r="G10971" i="1"/>
  <c r="F10971" i="1"/>
  <c r="H10970" i="1"/>
  <c r="G10970" i="1"/>
  <c r="F10970" i="1"/>
  <c r="H10969" i="1"/>
  <c r="G10969" i="1"/>
  <c r="F10969" i="1"/>
  <c r="H10968" i="1"/>
  <c r="G10968" i="1"/>
  <c r="F10968" i="1"/>
  <c r="H10967" i="1"/>
  <c r="G10967" i="1"/>
  <c r="F10967" i="1"/>
  <c r="H10966" i="1"/>
  <c r="G10966" i="1"/>
  <c r="F10966" i="1"/>
  <c r="H10965" i="1"/>
  <c r="G10965" i="1"/>
  <c r="F10965" i="1"/>
  <c r="H10964" i="1"/>
  <c r="G10964" i="1"/>
  <c r="F10964" i="1"/>
  <c r="H10963" i="1"/>
  <c r="G10963" i="1"/>
  <c r="F10963" i="1"/>
  <c r="H10962" i="1"/>
  <c r="G10962" i="1"/>
  <c r="F10962" i="1"/>
  <c r="H10961" i="1"/>
  <c r="G10961" i="1"/>
  <c r="F10961" i="1"/>
  <c r="H10960" i="1"/>
  <c r="G10960" i="1"/>
  <c r="F10960" i="1"/>
  <c r="H10959" i="1"/>
  <c r="G10959" i="1"/>
  <c r="F10959" i="1"/>
  <c r="H10958" i="1"/>
  <c r="G10958" i="1"/>
  <c r="F10958" i="1"/>
  <c r="H10957" i="1"/>
  <c r="G10957" i="1"/>
  <c r="F10957" i="1"/>
  <c r="H10956" i="1"/>
  <c r="G10956" i="1"/>
  <c r="F10956" i="1"/>
  <c r="H10955" i="1"/>
  <c r="G10955" i="1"/>
  <c r="F10955" i="1"/>
  <c r="H10954" i="1"/>
  <c r="G10954" i="1"/>
  <c r="F10954" i="1"/>
  <c r="H10953" i="1"/>
  <c r="G10953" i="1"/>
  <c r="F10953" i="1"/>
  <c r="H10952" i="1"/>
  <c r="G10952" i="1"/>
  <c r="F10952" i="1"/>
  <c r="H10951" i="1"/>
  <c r="G10951" i="1"/>
  <c r="F10951" i="1"/>
  <c r="H10950" i="1"/>
  <c r="G10950" i="1"/>
  <c r="F10950" i="1"/>
  <c r="H10949" i="1"/>
  <c r="G10949" i="1"/>
  <c r="F10949" i="1"/>
  <c r="H10948" i="1"/>
  <c r="G10948" i="1"/>
  <c r="F10948" i="1"/>
  <c r="H10947" i="1"/>
  <c r="G10947" i="1"/>
  <c r="F10947" i="1"/>
  <c r="H10946" i="1"/>
  <c r="G10946" i="1"/>
  <c r="F10946" i="1"/>
  <c r="H10945" i="1"/>
  <c r="G10945" i="1"/>
  <c r="F10945" i="1"/>
  <c r="H10944" i="1"/>
  <c r="G10944" i="1"/>
  <c r="F10944" i="1"/>
  <c r="H10943" i="1"/>
  <c r="G10943" i="1"/>
  <c r="F10943" i="1"/>
  <c r="H10942" i="1"/>
  <c r="G10942" i="1"/>
  <c r="F10942" i="1"/>
  <c r="H10941" i="1"/>
  <c r="G10941" i="1"/>
  <c r="F10941" i="1"/>
  <c r="H10940" i="1"/>
  <c r="G10940" i="1"/>
  <c r="F10940" i="1"/>
  <c r="H10939" i="1"/>
  <c r="G10939" i="1"/>
  <c r="F10939" i="1"/>
  <c r="H10938" i="1"/>
  <c r="G10938" i="1"/>
  <c r="F10938" i="1"/>
  <c r="H10937" i="1"/>
  <c r="G10937" i="1"/>
  <c r="F10937" i="1"/>
  <c r="H10936" i="1"/>
  <c r="G10936" i="1"/>
  <c r="F10936" i="1"/>
  <c r="H10935" i="1"/>
  <c r="G10935" i="1"/>
  <c r="F10935" i="1"/>
  <c r="H10934" i="1"/>
  <c r="G10934" i="1"/>
  <c r="F10934" i="1"/>
  <c r="H10933" i="1"/>
  <c r="G10933" i="1"/>
  <c r="F10933" i="1"/>
  <c r="H10932" i="1"/>
  <c r="G10932" i="1"/>
  <c r="F10932" i="1"/>
  <c r="H10931" i="1"/>
  <c r="G10931" i="1"/>
  <c r="F10931" i="1"/>
  <c r="H10930" i="1"/>
  <c r="G10930" i="1"/>
  <c r="F10930" i="1"/>
  <c r="H10929" i="1"/>
  <c r="G10929" i="1"/>
  <c r="F10929" i="1"/>
  <c r="H10928" i="1"/>
  <c r="G10928" i="1"/>
  <c r="F10928" i="1"/>
  <c r="H10927" i="1"/>
  <c r="G10927" i="1"/>
  <c r="F10927" i="1"/>
  <c r="H10926" i="1"/>
  <c r="G10926" i="1"/>
  <c r="F10926" i="1"/>
  <c r="H10925" i="1"/>
  <c r="G10925" i="1"/>
  <c r="F10925" i="1"/>
  <c r="H10924" i="1"/>
  <c r="G10924" i="1"/>
  <c r="F10924" i="1"/>
  <c r="H10923" i="1"/>
  <c r="G10923" i="1"/>
  <c r="F10923" i="1"/>
  <c r="H10922" i="1"/>
  <c r="G10922" i="1"/>
  <c r="F10922" i="1"/>
  <c r="H10921" i="1"/>
  <c r="G10921" i="1"/>
  <c r="F10921" i="1"/>
  <c r="H10920" i="1"/>
  <c r="G10920" i="1"/>
  <c r="F10920" i="1"/>
  <c r="H10919" i="1"/>
  <c r="G10919" i="1"/>
  <c r="F10919" i="1"/>
  <c r="H10918" i="1"/>
  <c r="G10918" i="1"/>
  <c r="F10918" i="1"/>
  <c r="H10917" i="1"/>
  <c r="G10917" i="1"/>
  <c r="F10917" i="1"/>
  <c r="H10916" i="1"/>
  <c r="G10916" i="1"/>
  <c r="F10916" i="1"/>
  <c r="H10915" i="1"/>
  <c r="G10915" i="1"/>
  <c r="F10915" i="1"/>
  <c r="H10914" i="1"/>
  <c r="G10914" i="1"/>
  <c r="F10914" i="1"/>
  <c r="H10913" i="1"/>
  <c r="G10913" i="1"/>
  <c r="F10913" i="1"/>
  <c r="H10912" i="1"/>
  <c r="G10912" i="1"/>
  <c r="F10912" i="1"/>
  <c r="H10911" i="1"/>
  <c r="G10911" i="1"/>
  <c r="F10911" i="1"/>
  <c r="H10910" i="1"/>
  <c r="G10910" i="1"/>
  <c r="F10910" i="1"/>
  <c r="H10909" i="1"/>
  <c r="G10909" i="1"/>
  <c r="F10909" i="1"/>
  <c r="H10908" i="1"/>
  <c r="G10908" i="1"/>
  <c r="F10908" i="1"/>
  <c r="H10907" i="1"/>
  <c r="G10907" i="1"/>
  <c r="F10907" i="1"/>
  <c r="H10906" i="1"/>
  <c r="G10906" i="1"/>
  <c r="F10906" i="1"/>
  <c r="H10905" i="1"/>
  <c r="G10905" i="1"/>
  <c r="F10905" i="1"/>
  <c r="H10904" i="1"/>
  <c r="G10904" i="1"/>
  <c r="F10904" i="1"/>
  <c r="H10903" i="1"/>
  <c r="G10903" i="1"/>
  <c r="F10903" i="1"/>
  <c r="H10902" i="1"/>
  <c r="G10902" i="1"/>
  <c r="F10902" i="1"/>
  <c r="H10901" i="1"/>
  <c r="G10901" i="1"/>
  <c r="F10901" i="1"/>
  <c r="H10900" i="1"/>
  <c r="G10900" i="1"/>
  <c r="F10900" i="1"/>
  <c r="H10899" i="1"/>
  <c r="G10899" i="1"/>
  <c r="F10899" i="1"/>
  <c r="H10898" i="1"/>
  <c r="G10898" i="1"/>
  <c r="F10898" i="1"/>
  <c r="H10897" i="1"/>
  <c r="G10897" i="1"/>
  <c r="F10897" i="1"/>
  <c r="H10896" i="1"/>
  <c r="G10896" i="1"/>
  <c r="F10896" i="1"/>
  <c r="H10895" i="1"/>
  <c r="G10895" i="1"/>
  <c r="F10895" i="1"/>
  <c r="H10894" i="1"/>
  <c r="G10894" i="1"/>
  <c r="F10894" i="1"/>
  <c r="H10893" i="1"/>
  <c r="G10893" i="1"/>
  <c r="F10893" i="1"/>
  <c r="H10892" i="1"/>
  <c r="G10892" i="1"/>
  <c r="F10892" i="1"/>
  <c r="H10891" i="1"/>
  <c r="G10891" i="1"/>
  <c r="F10891" i="1"/>
  <c r="H10890" i="1"/>
  <c r="G10890" i="1"/>
  <c r="F10890" i="1"/>
  <c r="H10889" i="1"/>
  <c r="G10889" i="1"/>
  <c r="F10889" i="1"/>
  <c r="H10888" i="1"/>
  <c r="G10888" i="1"/>
  <c r="F10888" i="1"/>
  <c r="H10887" i="1"/>
  <c r="G10887" i="1"/>
  <c r="F10887" i="1"/>
  <c r="H10886" i="1"/>
  <c r="G10886" i="1"/>
  <c r="F10886" i="1"/>
  <c r="H10885" i="1"/>
  <c r="G10885" i="1"/>
  <c r="F10885" i="1"/>
  <c r="H10884" i="1"/>
  <c r="G10884" i="1"/>
  <c r="F10884" i="1"/>
  <c r="H10883" i="1"/>
  <c r="G10883" i="1"/>
  <c r="F10883" i="1"/>
  <c r="H10882" i="1"/>
  <c r="G10882" i="1"/>
  <c r="F10882" i="1"/>
  <c r="H10881" i="1"/>
  <c r="G10881" i="1"/>
  <c r="F10881" i="1"/>
  <c r="H10880" i="1"/>
  <c r="G10880" i="1"/>
  <c r="F10880" i="1"/>
  <c r="H10879" i="1"/>
  <c r="G10879" i="1"/>
  <c r="F10879" i="1"/>
  <c r="H10878" i="1"/>
  <c r="G10878" i="1"/>
  <c r="F10878" i="1"/>
  <c r="H10877" i="1"/>
  <c r="G10877" i="1"/>
  <c r="F10877" i="1"/>
  <c r="H10876" i="1"/>
  <c r="G10876" i="1"/>
  <c r="F10876" i="1"/>
  <c r="H10875" i="1"/>
  <c r="G10875" i="1"/>
  <c r="F10875" i="1"/>
  <c r="H10874" i="1"/>
  <c r="G10874" i="1"/>
  <c r="F10874" i="1"/>
  <c r="H10873" i="1"/>
  <c r="G10873" i="1"/>
  <c r="F10873" i="1"/>
  <c r="H10872" i="1"/>
  <c r="G10872" i="1"/>
  <c r="F10872" i="1"/>
  <c r="H10871" i="1"/>
  <c r="G10871" i="1"/>
  <c r="F10871" i="1"/>
  <c r="H10870" i="1"/>
  <c r="G10870" i="1"/>
  <c r="F10870" i="1"/>
  <c r="H10869" i="1"/>
  <c r="G10869" i="1"/>
  <c r="F10869" i="1"/>
  <c r="H10868" i="1"/>
  <c r="G10868" i="1"/>
  <c r="F10868" i="1"/>
  <c r="H10867" i="1"/>
  <c r="G10867" i="1"/>
  <c r="F10867" i="1"/>
  <c r="H10866" i="1"/>
  <c r="G10866" i="1"/>
  <c r="F10866" i="1"/>
  <c r="H10865" i="1"/>
  <c r="G10865" i="1"/>
  <c r="F10865" i="1"/>
  <c r="H10864" i="1"/>
  <c r="G10864" i="1"/>
  <c r="F10864" i="1"/>
  <c r="H10863" i="1"/>
  <c r="G10863" i="1"/>
  <c r="F10863" i="1"/>
  <c r="H10862" i="1"/>
  <c r="G10862" i="1"/>
  <c r="F10862" i="1"/>
  <c r="H10861" i="1"/>
  <c r="G10861" i="1"/>
  <c r="F10861" i="1"/>
  <c r="H10860" i="1"/>
  <c r="G10860" i="1"/>
  <c r="F10860" i="1"/>
  <c r="H10859" i="1"/>
  <c r="G10859" i="1"/>
  <c r="F10859" i="1"/>
  <c r="H10858" i="1"/>
  <c r="G10858" i="1"/>
  <c r="F10858" i="1"/>
  <c r="H10857" i="1"/>
  <c r="G10857" i="1"/>
  <c r="F10857" i="1"/>
  <c r="H10856" i="1"/>
  <c r="G10856" i="1"/>
  <c r="F10856" i="1"/>
  <c r="H10855" i="1"/>
  <c r="G10855" i="1"/>
  <c r="F10855" i="1"/>
  <c r="H10854" i="1"/>
  <c r="G10854" i="1"/>
  <c r="F10854" i="1"/>
  <c r="H10853" i="1"/>
  <c r="G10853" i="1"/>
  <c r="F10853" i="1"/>
  <c r="H10852" i="1"/>
  <c r="G10852" i="1"/>
  <c r="F10852" i="1"/>
  <c r="H10851" i="1"/>
  <c r="G10851" i="1"/>
  <c r="F10851" i="1"/>
  <c r="H10850" i="1"/>
  <c r="G10850" i="1"/>
  <c r="F10850" i="1"/>
  <c r="H10849" i="1"/>
  <c r="G10849" i="1"/>
  <c r="F10849" i="1"/>
  <c r="H10848" i="1"/>
  <c r="G10848" i="1"/>
  <c r="F10848" i="1"/>
  <c r="H10847" i="1"/>
  <c r="G10847" i="1"/>
  <c r="F10847" i="1"/>
  <c r="H10846" i="1"/>
  <c r="G10846" i="1"/>
  <c r="F10846" i="1"/>
  <c r="H10845" i="1"/>
  <c r="G10845" i="1"/>
  <c r="F10845" i="1"/>
  <c r="H10844" i="1"/>
  <c r="G10844" i="1"/>
  <c r="F10844" i="1"/>
  <c r="H10843" i="1"/>
  <c r="G10843" i="1"/>
  <c r="F10843" i="1"/>
  <c r="H10842" i="1"/>
  <c r="G10842" i="1"/>
  <c r="F10842" i="1"/>
  <c r="H10841" i="1"/>
  <c r="G10841" i="1"/>
  <c r="F10841" i="1"/>
  <c r="H10840" i="1"/>
  <c r="G10840" i="1"/>
  <c r="F10840" i="1"/>
  <c r="H10839" i="1"/>
  <c r="G10839" i="1"/>
  <c r="F10839" i="1"/>
  <c r="H10838" i="1"/>
  <c r="G10838" i="1"/>
  <c r="F10838" i="1"/>
  <c r="H10837" i="1"/>
  <c r="G10837" i="1"/>
  <c r="F10837" i="1"/>
  <c r="H10836" i="1"/>
  <c r="G10836" i="1"/>
  <c r="F10836" i="1"/>
  <c r="H10835" i="1"/>
  <c r="G10835" i="1"/>
  <c r="F10835" i="1"/>
  <c r="H10834" i="1"/>
  <c r="G10834" i="1"/>
  <c r="F10834" i="1"/>
  <c r="H10833" i="1"/>
  <c r="G10833" i="1"/>
  <c r="F10833" i="1"/>
  <c r="H10832" i="1"/>
  <c r="G10832" i="1"/>
  <c r="F10832" i="1"/>
  <c r="H10831" i="1"/>
  <c r="G10831" i="1"/>
  <c r="F10831" i="1"/>
  <c r="H10830" i="1"/>
  <c r="G10830" i="1"/>
  <c r="F10830" i="1"/>
  <c r="H10829" i="1"/>
  <c r="G10829" i="1"/>
  <c r="F10829" i="1"/>
  <c r="H10828" i="1"/>
  <c r="G10828" i="1"/>
  <c r="F10828" i="1"/>
  <c r="H10827" i="1"/>
  <c r="G10827" i="1"/>
  <c r="F10827" i="1"/>
  <c r="H10826" i="1"/>
  <c r="G10826" i="1"/>
  <c r="F10826" i="1"/>
  <c r="H10825" i="1"/>
  <c r="G10825" i="1"/>
  <c r="F10825" i="1"/>
  <c r="H10824" i="1"/>
  <c r="G10824" i="1"/>
  <c r="F10824" i="1"/>
  <c r="H10823" i="1"/>
  <c r="G10823" i="1"/>
  <c r="F10823" i="1"/>
  <c r="H10822" i="1"/>
  <c r="G10822" i="1"/>
  <c r="F10822" i="1"/>
  <c r="H10821" i="1"/>
  <c r="G10821" i="1"/>
  <c r="F10821" i="1"/>
  <c r="H10820" i="1"/>
  <c r="G10820" i="1"/>
  <c r="F10820" i="1"/>
  <c r="H10819" i="1"/>
  <c r="G10819" i="1"/>
  <c r="F10819" i="1"/>
  <c r="H10818" i="1"/>
  <c r="G10818" i="1"/>
  <c r="F10818" i="1"/>
  <c r="H10817" i="1"/>
  <c r="G10817" i="1"/>
  <c r="F10817" i="1"/>
  <c r="H10816" i="1"/>
  <c r="G10816" i="1"/>
  <c r="F10816" i="1"/>
  <c r="H10815" i="1"/>
  <c r="G10815" i="1"/>
  <c r="F10815" i="1"/>
  <c r="H10814" i="1"/>
  <c r="G10814" i="1"/>
  <c r="F10814" i="1"/>
  <c r="H10813" i="1"/>
  <c r="G10813" i="1"/>
  <c r="F10813" i="1"/>
  <c r="H10812" i="1"/>
  <c r="G10812" i="1"/>
  <c r="F10812" i="1"/>
  <c r="H10811" i="1"/>
  <c r="G10811" i="1"/>
  <c r="F10811" i="1"/>
  <c r="H10810" i="1"/>
  <c r="G10810" i="1"/>
  <c r="F10810" i="1"/>
  <c r="H10809" i="1"/>
  <c r="G10809" i="1"/>
  <c r="F10809" i="1"/>
  <c r="H10808" i="1"/>
  <c r="G10808" i="1"/>
  <c r="F10808" i="1"/>
  <c r="H10807" i="1"/>
  <c r="G10807" i="1"/>
  <c r="F10807" i="1"/>
  <c r="H10806" i="1"/>
  <c r="G10806" i="1"/>
  <c r="F10806" i="1"/>
  <c r="H10805" i="1"/>
  <c r="G10805" i="1"/>
  <c r="F10805" i="1"/>
  <c r="H10804" i="1"/>
  <c r="G10804" i="1"/>
  <c r="F10804" i="1"/>
  <c r="H10803" i="1"/>
  <c r="G10803" i="1"/>
  <c r="F10803" i="1"/>
  <c r="H10802" i="1"/>
  <c r="G10802" i="1"/>
  <c r="F10802" i="1"/>
  <c r="H10801" i="1"/>
  <c r="G10801" i="1"/>
  <c r="F10801" i="1"/>
  <c r="H10800" i="1"/>
  <c r="G10800" i="1"/>
  <c r="F10800" i="1"/>
  <c r="H10799" i="1"/>
  <c r="G10799" i="1"/>
  <c r="F10799" i="1"/>
  <c r="H10798" i="1"/>
  <c r="G10798" i="1"/>
  <c r="F10798" i="1"/>
  <c r="H10797" i="1"/>
  <c r="G10797" i="1"/>
  <c r="F10797" i="1"/>
  <c r="H10796" i="1"/>
  <c r="G10796" i="1"/>
  <c r="F10796" i="1"/>
  <c r="H10795" i="1"/>
  <c r="G10795" i="1"/>
  <c r="F10795" i="1"/>
  <c r="H10794" i="1"/>
  <c r="G10794" i="1"/>
  <c r="F10794" i="1"/>
  <c r="H10793" i="1"/>
  <c r="G10793" i="1"/>
  <c r="F10793" i="1"/>
  <c r="H10792" i="1"/>
  <c r="G10792" i="1"/>
  <c r="F10792" i="1"/>
  <c r="H10791" i="1"/>
  <c r="G10791" i="1"/>
  <c r="F10791" i="1"/>
  <c r="H10790" i="1"/>
  <c r="G10790" i="1"/>
  <c r="F10790" i="1"/>
  <c r="H10789" i="1"/>
  <c r="G10789" i="1"/>
  <c r="F10789" i="1"/>
  <c r="H10788" i="1"/>
  <c r="G10788" i="1"/>
  <c r="F10788" i="1"/>
  <c r="H10787" i="1"/>
  <c r="G10787" i="1"/>
  <c r="F10787" i="1"/>
  <c r="H10786" i="1"/>
  <c r="G10786" i="1"/>
  <c r="F10786" i="1"/>
  <c r="H10785" i="1"/>
  <c r="G10785" i="1"/>
  <c r="F10785" i="1"/>
  <c r="H10784" i="1"/>
  <c r="G10784" i="1"/>
  <c r="F10784" i="1"/>
  <c r="H10783" i="1"/>
  <c r="G10783" i="1"/>
  <c r="F10783" i="1"/>
  <c r="H10782" i="1"/>
  <c r="G10782" i="1"/>
  <c r="F10782" i="1"/>
  <c r="H10781" i="1"/>
  <c r="G10781" i="1"/>
  <c r="F10781" i="1"/>
  <c r="H10780" i="1"/>
  <c r="G10780" i="1"/>
  <c r="F10780" i="1"/>
  <c r="H10779" i="1"/>
  <c r="G10779" i="1"/>
  <c r="F10779" i="1"/>
  <c r="H10778" i="1"/>
  <c r="G10778" i="1"/>
  <c r="F10778" i="1"/>
  <c r="H10777" i="1"/>
  <c r="G10777" i="1"/>
  <c r="F10777" i="1"/>
  <c r="H10776" i="1"/>
  <c r="G10776" i="1"/>
  <c r="F10776" i="1"/>
  <c r="H10775" i="1"/>
  <c r="G10775" i="1"/>
  <c r="F10775" i="1"/>
  <c r="H10774" i="1"/>
  <c r="G10774" i="1"/>
  <c r="F10774" i="1"/>
  <c r="H10773" i="1"/>
  <c r="G10773" i="1"/>
  <c r="F10773" i="1"/>
  <c r="H10772" i="1"/>
  <c r="G10772" i="1"/>
  <c r="F10772" i="1"/>
  <c r="H10771" i="1"/>
  <c r="G10771" i="1"/>
  <c r="F10771" i="1"/>
  <c r="H10770" i="1"/>
  <c r="G10770" i="1"/>
  <c r="F10770" i="1"/>
  <c r="H10769" i="1"/>
  <c r="G10769" i="1"/>
  <c r="F10769" i="1"/>
  <c r="H10768" i="1"/>
  <c r="G10768" i="1"/>
  <c r="F10768" i="1"/>
  <c r="H10767" i="1"/>
  <c r="G10767" i="1"/>
  <c r="F10767" i="1"/>
  <c r="H10766" i="1"/>
  <c r="G10766" i="1"/>
  <c r="F10766" i="1"/>
  <c r="H10765" i="1"/>
  <c r="G10765" i="1"/>
  <c r="F10765" i="1"/>
  <c r="H10764" i="1"/>
  <c r="G10764" i="1"/>
  <c r="F10764" i="1"/>
  <c r="H10763" i="1"/>
  <c r="G10763" i="1"/>
  <c r="F10763" i="1"/>
  <c r="H10762" i="1"/>
  <c r="G10762" i="1"/>
  <c r="F10762" i="1"/>
  <c r="H10761" i="1"/>
  <c r="G10761" i="1"/>
  <c r="F10761" i="1"/>
  <c r="H10760" i="1"/>
  <c r="G10760" i="1"/>
  <c r="F10760" i="1"/>
  <c r="H10759" i="1"/>
  <c r="G10759" i="1"/>
  <c r="F10759" i="1"/>
  <c r="H10758" i="1"/>
  <c r="G10758" i="1"/>
  <c r="F10758" i="1"/>
  <c r="H10757" i="1"/>
  <c r="G10757" i="1"/>
  <c r="F10757" i="1"/>
  <c r="H10756" i="1"/>
  <c r="G10756" i="1"/>
  <c r="F10756" i="1"/>
  <c r="H10755" i="1"/>
  <c r="G10755" i="1"/>
  <c r="F10755" i="1"/>
  <c r="H10754" i="1"/>
  <c r="G10754" i="1"/>
  <c r="F10754" i="1"/>
  <c r="H10753" i="1"/>
  <c r="G10753" i="1"/>
  <c r="F10753" i="1"/>
  <c r="H10752" i="1"/>
  <c r="G10752" i="1"/>
  <c r="F10752" i="1"/>
  <c r="H10751" i="1"/>
  <c r="G10751" i="1"/>
  <c r="F10751" i="1"/>
  <c r="H10750" i="1"/>
  <c r="G10750" i="1"/>
  <c r="F10750" i="1"/>
  <c r="H10749" i="1"/>
  <c r="G10749" i="1"/>
  <c r="F10749" i="1"/>
  <c r="H10748" i="1"/>
  <c r="G10748" i="1"/>
  <c r="F10748" i="1"/>
  <c r="H10747" i="1"/>
  <c r="G10747" i="1"/>
  <c r="F10747" i="1"/>
  <c r="H10746" i="1"/>
  <c r="G10746" i="1"/>
  <c r="F10746" i="1"/>
  <c r="H10745" i="1"/>
  <c r="G10745" i="1"/>
  <c r="F10745" i="1"/>
  <c r="H10744" i="1"/>
  <c r="G10744" i="1"/>
  <c r="F10744" i="1"/>
  <c r="H10743" i="1"/>
  <c r="G10743" i="1"/>
  <c r="F10743" i="1"/>
  <c r="H10742" i="1"/>
  <c r="G10742" i="1"/>
  <c r="F10742" i="1"/>
  <c r="H10741" i="1"/>
  <c r="G10741" i="1"/>
  <c r="F10741" i="1"/>
  <c r="H10740" i="1"/>
  <c r="G10740" i="1"/>
  <c r="F10740" i="1"/>
  <c r="H10739" i="1"/>
  <c r="G10739" i="1"/>
  <c r="F10739" i="1"/>
  <c r="H10738" i="1"/>
  <c r="G10738" i="1"/>
  <c r="F10738" i="1"/>
  <c r="H10737" i="1"/>
  <c r="G10737" i="1"/>
  <c r="F10737" i="1"/>
  <c r="H10736" i="1"/>
  <c r="G10736" i="1"/>
  <c r="F10736" i="1"/>
  <c r="H10735" i="1"/>
  <c r="G10735" i="1"/>
  <c r="F10735" i="1"/>
  <c r="H10734" i="1"/>
  <c r="G10734" i="1"/>
  <c r="F10734" i="1"/>
  <c r="H10733" i="1"/>
  <c r="G10733" i="1"/>
  <c r="F10733" i="1"/>
  <c r="H10732" i="1"/>
  <c r="G10732" i="1"/>
  <c r="F10732" i="1"/>
  <c r="H10731" i="1"/>
  <c r="G10731" i="1"/>
  <c r="F10731" i="1"/>
  <c r="H10730" i="1"/>
  <c r="G10730" i="1"/>
  <c r="F10730" i="1"/>
  <c r="H10729" i="1"/>
  <c r="G10729" i="1"/>
  <c r="F10729" i="1"/>
  <c r="H10728" i="1"/>
  <c r="G10728" i="1"/>
  <c r="F10728" i="1"/>
  <c r="H10727" i="1"/>
  <c r="G10727" i="1"/>
  <c r="F10727" i="1"/>
  <c r="H10726" i="1"/>
  <c r="G10726" i="1"/>
  <c r="F10726" i="1"/>
  <c r="H10725" i="1"/>
  <c r="G10725" i="1"/>
  <c r="F10725" i="1"/>
  <c r="H10724" i="1"/>
  <c r="G10724" i="1"/>
  <c r="F10724" i="1"/>
  <c r="H10723" i="1"/>
  <c r="G10723" i="1"/>
  <c r="F10723" i="1"/>
  <c r="H10722" i="1"/>
  <c r="G10722" i="1"/>
  <c r="F10722" i="1"/>
  <c r="H10721" i="1"/>
  <c r="G10721" i="1"/>
  <c r="F10721" i="1"/>
  <c r="H10720" i="1"/>
  <c r="G10720" i="1"/>
  <c r="F10720" i="1"/>
  <c r="H10719" i="1"/>
  <c r="G10719" i="1"/>
  <c r="F10719" i="1"/>
  <c r="H10718" i="1"/>
  <c r="G10718" i="1"/>
  <c r="F10718" i="1"/>
  <c r="H10717" i="1"/>
  <c r="G10717" i="1"/>
  <c r="F10717" i="1"/>
  <c r="H10716" i="1"/>
  <c r="G10716" i="1"/>
  <c r="F10716" i="1"/>
  <c r="H10715" i="1"/>
  <c r="G10715" i="1"/>
  <c r="F10715" i="1"/>
  <c r="H10714" i="1"/>
  <c r="G10714" i="1"/>
  <c r="F10714" i="1"/>
  <c r="H10713" i="1"/>
  <c r="G10713" i="1"/>
  <c r="F10713" i="1"/>
  <c r="H10712" i="1"/>
  <c r="G10712" i="1"/>
  <c r="F10712" i="1"/>
  <c r="H10711" i="1"/>
  <c r="G10711" i="1"/>
  <c r="F10711" i="1"/>
  <c r="H10710" i="1"/>
  <c r="G10710" i="1"/>
  <c r="F10710" i="1"/>
  <c r="H10709" i="1"/>
  <c r="G10709" i="1"/>
  <c r="F10709" i="1"/>
  <c r="H10708" i="1"/>
  <c r="G10708" i="1"/>
  <c r="F10708" i="1"/>
  <c r="H10707" i="1"/>
  <c r="G10707" i="1"/>
  <c r="F10707" i="1"/>
  <c r="H10706" i="1"/>
  <c r="G10706" i="1"/>
  <c r="F10706" i="1"/>
  <c r="H10705" i="1"/>
  <c r="G10705" i="1"/>
  <c r="F10705" i="1"/>
  <c r="H10704" i="1"/>
  <c r="G10704" i="1"/>
  <c r="F10704" i="1"/>
  <c r="H10703" i="1"/>
  <c r="G10703" i="1"/>
  <c r="F10703" i="1"/>
  <c r="H10702" i="1"/>
  <c r="G10702" i="1"/>
  <c r="F10702" i="1"/>
  <c r="H10701" i="1"/>
  <c r="G10701" i="1"/>
  <c r="F10701" i="1"/>
  <c r="H10700" i="1"/>
  <c r="G10700" i="1"/>
  <c r="F10700" i="1"/>
  <c r="H10699" i="1"/>
  <c r="G10699" i="1"/>
  <c r="F10699" i="1"/>
  <c r="H10698" i="1"/>
  <c r="G10698" i="1"/>
  <c r="F10698" i="1"/>
  <c r="H10697" i="1"/>
  <c r="G10697" i="1"/>
  <c r="F10697" i="1"/>
  <c r="H10696" i="1"/>
  <c r="G10696" i="1"/>
  <c r="F10696" i="1"/>
  <c r="H10695" i="1"/>
  <c r="G10695" i="1"/>
  <c r="F10695" i="1"/>
  <c r="H10694" i="1"/>
  <c r="G10694" i="1"/>
  <c r="F10694" i="1"/>
  <c r="H10693" i="1"/>
  <c r="G10693" i="1"/>
  <c r="F10693" i="1"/>
  <c r="H10692" i="1"/>
  <c r="G10692" i="1"/>
  <c r="F10692" i="1"/>
  <c r="H10691" i="1"/>
  <c r="G10691" i="1"/>
  <c r="F10691" i="1"/>
  <c r="H10690" i="1"/>
  <c r="G10690" i="1"/>
  <c r="F10690" i="1"/>
  <c r="H10689" i="1"/>
  <c r="G10689" i="1"/>
  <c r="F10689" i="1"/>
  <c r="H10688" i="1"/>
  <c r="G10688" i="1"/>
  <c r="F10688" i="1"/>
  <c r="H10687" i="1"/>
  <c r="G10687" i="1"/>
  <c r="F10687" i="1"/>
  <c r="H10686" i="1"/>
  <c r="G10686" i="1"/>
  <c r="F10686" i="1"/>
  <c r="H10685" i="1"/>
  <c r="G10685" i="1"/>
  <c r="F10685" i="1"/>
  <c r="H10684" i="1"/>
  <c r="G10684" i="1"/>
  <c r="F10684" i="1"/>
  <c r="H10683" i="1"/>
  <c r="G10683" i="1"/>
  <c r="F10683" i="1"/>
  <c r="H10682" i="1"/>
  <c r="G10682" i="1"/>
  <c r="F10682" i="1"/>
  <c r="H10681" i="1"/>
  <c r="G10681" i="1"/>
  <c r="F10681" i="1"/>
  <c r="H10680" i="1"/>
  <c r="G10680" i="1"/>
  <c r="F10680" i="1"/>
  <c r="H10679" i="1"/>
  <c r="G10679" i="1"/>
  <c r="F10679" i="1"/>
  <c r="H10678" i="1"/>
  <c r="G10678" i="1"/>
  <c r="F10678" i="1"/>
  <c r="H10677" i="1"/>
  <c r="G10677" i="1"/>
  <c r="F10677" i="1"/>
  <c r="H10676" i="1"/>
  <c r="G10676" i="1"/>
  <c r="F10676" i="1"/>
  <c r="H10675" i="1"/>
  <c r="G10675" i="1"/>
  <c r="F10675" i="1"/>
  <c r="H10674" i="1"/>
  <c r="G10674" i="1"/>
  <c r="F10674" i="1"/>
  <c r="H10673" i="1"/>
  <c r="G10673" i="1"/>
  <c r="F10673" i="1"/>
  <c r="H10672" i="1"/>
  <c r="G10672" i="1"/>
  <c r="F10672" i="1"/>
  <c r="H10671" i="1"/>
  <c r="G10671" i="1"/>
  <c r="F10671" i="1"/>
  <c r="H10670" i="1"/>
  <c r="G10670" i="1"/>
  <c r="F10670" i="1"/>
  <c r="H10669" i="1"/>
  <c r="G10669" i="1"/>
  <c r="F10669" i="1"/>
  <c r="H10668" i="1"/>
  <c r="G10668" i="1"/>
  <c r="F10668" i="1"/>
  <c r="H10667" i="1"/>
  <c r="G10667" i="1"/>
  <c r="F10667" i="1"/>
  <c r="H10666" i="1"/>
  <c r="G10666" i="1"/>
  <c r="F10666" i="1"/>
  <c r="H10665" i="1"/>
  <c r="G10665" i="1"/>
  <c r="F10665" i="1"/>
  <c r="H10664" i="1"/>
  <c r="G10664" i="1"/>
  <c r="F10664" i="1"/>
  <c r="H10663" i="1"/>
  <c r="G10663" i="1"/>
  <c r="F10663" i="1"/>
  <c r="H10662" i="1"/>
  <c r="G10662" i="1"/>
  <c r="F10662" i="1"/>
  <c r="H10661" i="1"/>
  <c r="G10661" i="1"/>
  <c r="F10661" i="1"/>
  <c r="H10660" i="1"/>
  <c r="G10660" i="1"/>
  <c r="F10660" i="1"/>
  <c r="H10659" i="1"/>
  <c r="G10659" i="1"/>
  <c r="F10659" i="1"/>
  <c r="H10658" i="1"/>
  <c r="G10658" i="1"/>
  <c r="F10658" i="1"/>
  <c r="H10657" i="1"/>
  <c r="G10657" i="1"/>
  <c r="F10657" i="1"/>
  <c r="H10656" i="1"/>
  <c r="G10656" i="1"/>
  <c r="F10656" i="1"/>
  <c r="H10655" i="1"/>
  <c r="G10655" i="1"/>
  <c r="F10655" i="1"/>
  <c r="H10654" i="1"/>
  <c r="G10654" i="1"/>
  <c r="F10654" i="1"/>
  <c r="H10653" i="1"/>
  <c r="G10653" i="1"/>
  <c r="F10653" i="1"/>
  <c r="H10652" i="1"/>
  <c r="G10652" i="1"/>
  <c r="F10652" i="1"/>
  <c r="H10651" i="1"/>
  <c r="G10651" i="1"/>
  <c r="F10651" i="1"/>
  <c r="H10650" i="1"/>
  <c r="G10650" i="1"/>
  <c r="F10650" i="1"/>
  <c r="H10649" i="1"/>
  <c r="G10649" i="1"/>
  <c r="F10649" i="1"/>
  <c r="H10648" i="1"/>
  <c r="G10648" i="1"/>
  <c r="F10648" i="1"/>
  <c r="H10647" i="1"/>
  <c r="G10647" i="1"/>
  <c r="F10647" i="1"/>
  <c r="H10646" i="1"/>
  <c r="G10646" i="1"/>
  <c r="F10646" i="1"/>
  <c r="H10645" i="1"/>
  <c r="G10645" i="1"/>
  <c r="F10645" i="1"/>
  <c r="H10644" i="1"/>
  <c r="G10644" i="1"/>
  <c r="F10644" i="1"/>
  <c r="H10643" i="1"/>
  <c r="G10643" i="1"/>
  <c r="F10643" i="1"/>
  <c r="H10642" i="1"/>
  <c r="G10642" i="1"/>
  <c r="F10642" i="1"/>
  <c r="H10641" i="1"/>
  <c r="G10641" i="1"/>
  <c r="F10641" i="1"/>
  <c r="H10640" i="1"/>
  <c r="G10640" i="1"/>
  <c r="F10640" i="1"/>
  <c r="H10639" i="1"/>
  <c r="G10639" i="1"/>
  <c r="F10639" i="1"/>
  <c r="H10638" i="1"/>
  <c r="G10638" i="1"/>
  <c r="F10638" i="1"/>
  <c r="H10637" i="1"/>
  <c r="G10637" i="1"/>
  <c r="F10637" i="1"/>
  <c r="H10636" i="1"/>
  <c r="G10636" i="1"/>
  <c r="F10636" i="1"/>
  <c r="H10635" i="1"/>
  <c r="G10635" i="1"/>
  <c r="F10635" i="1"/>
  <c r="H10634" i="1"/>
  <c r="G10634" i="1"/>
  <c r="F10634" i="1"/>
  <c r="H10633" i="1"/>
  <c r="G10633" i="1"/>
  <c r="F10633" i="1"/>
  <c r="H10632" i="1"/>
  <c r="G10632" i="1"/>
  <c r="F10632" i="1"/>
  <c r="H10631" i="1"/>
  <c r="G10631" i="1"/>
  <c r="F10631" i="1"/>
  <c r="H10630" i="1"/>
  <c r="G10630" i="1"/>
  <c r="F10630" i="1"/>
  <c r="H10629" i="1"/>
  <c r="G10629" i="1"/>
  <c r="F10629" i="1"/>
  <c r="H10628" i="1"/>
  <c r="G10628" i="1"/>
  <c r="F10628" i="1"/>
  <c r="H10627" i="1"/>
  <c r="G10627" i="1"/>
  <c r="F10627" i="1"/>
  <c r="H10626" i="1"/>
  <c r="G10626" i="1"/>
  <c r="F10626" i="1"/>
  <c r="H10625" i="1"/>
  <c r="G10625" i="1"/>
  <c r="F10625" i="1"/>
  <c r="H10624" i="1"/>
  <c r="G10624" i="1"/>
  <c r="F10624" i="1"/>
  <c r="H10623" i="1"/>
  <c r="G10623" i="1"/>
  <c r="F10623" i="1"/>
  <c r="H10622" i="1"/>
  <c r="G10622" i="1"/>
  <c r="F10622" i="1"/>
  <c r="H10621" i="1"/>
  <c r="G10621" i="1"/>
  <c r="F10621" i="1"/>
  <c r="H10620" i="1"/>
  <c r="G10620" i="1"/>
  <c r="F10620" i="1"/>
  <c r="H10619" i="1"/>
  <c r="G10619" i="1"/>
  <c r="F10619" i="1"/>
  <c r="H10618" i="1"/>
  <c r="G10618" i="1"/>
  <c r="F10618" i="1"/>
  <c r="H10617" i="1"/>
  <c r="G10617" i="1"/>
  <c r="F10617" i="1"/>
  <c r="H10616" i="1"/>
  <c r="G10616" i="1"/>
  <c r="F10616" i="1"/>
  <c r="H10615" i="1"/>
  <c r="G10615" i="1"/>
  <c r="F10615" i="1"/>
  <c r="H10614" i="1"/>
  <c r="G10614" i="1"/>
  <c r="F10614" i="1"/>
  <c r="H10613" i="1"/>
  <c r="G10613" i="1"/>
  <c r="F10613" i="1"/>
  <c r="H10612" i="1"/>
  <c r="G10612" i="1"/>
  <c r="F10612" i="1"/>
  <c r="H10611" i="1"/>
  <c r="G10611" i="1"/>
  <c r="F10611" i="1"/>
  <c r="H10610" i="1"/>
  <c r="G10610" i="1"/>
  <c r="F10610" i="1"/>
  <c r="H10609" i="1"/>
  <c r="G10609" i="1"/>
  <c r="F10609" i="1"/>
  <c r="H10608" i="1"/>
  <c r="G10608" i="1"/>
  <c r="F10608" i="1"/>
  <c r="H10607" i="1"/>
  <c r="G10607" i="1"/>
  <c r="F10607" i="1"/>
  <c r="H10606" i="1"/>
  <c r="G10606" i="1"/>
  <c r="F10606" i="1"/>
  <c r="H10605" i="1"/>
  <c r="G10605" i="1"/>
  <c r="F10605" i="1"/>
  <c r="H10604" i="1"/>
  <c r="G10604" i="1"/>
  <c r="F10604" i="1"/>
  <c r="H10603" i="1"/>
  <c r="G10603" i="1"/>
  <c r="F10603" i="1"/>
  <c r="H10602" i="1"/>
  <c r="G10602" i="1"/>
  <c r="F10602" i="1"/>
  <c r="H10601" i="1"/>
  <c r="G10601" i="1"/>
  <c r="F10601" i="1"/>
  <c r="H10600" i="1"/>
  <c r="G10600" i="1"/>
  <c r="F10600" i="1"/>
  <c r="H10599" i="1"/>
  <c r="G10599" i="1"/>
  <c r="F10599" i="1"/>
  <c r="H10598" i="1"/>
  <c r="G10598" i="1"/>
  <c r="F10598" i="1"/>
  <c r="H10597" i="1"/>
  <c r="G10597" i="1"/>
  <c r="F10597" i="1"/>
  <c r="H10596" i="1"/>
  <c r="G10596" i="1"/>
  <c r="F10596" i="1"/>
  <c r="H10595" i="1"/>
  <c r="G10595" i="1"/>
  <c r="F10595" i="1"/>
  <c r="H10594" i="1"/>
  <c r="G10594" i="1"/>
  <c r="F10594" i="1"/>
  <c r="H10593" i="1"/>
  <c r="G10593" i="1"/>
  <c r="F10593" i="1"/>
  <c r="H10592" i="1"/>
  <c r="G10592" i="1"/>
  <c r="F10592" i="1"/>
  <c r="H10591" i="1"/>
  <c r="G10591" i="1"/>
  <c r="F10591" i="1"/>
  <c r="H10590" i="1"/>
  <c r="G10590" i="1"/>
  <c r="F10590" i="1"/>
  <c r="H10589" i="1"/>
  <c r="G10589" i="1"/>
  <c r="F10589" i="1"/>
  <c r="H10588" i="1"/>
  <c r="G10588" i="1"/>
  <c r="F10588" i="1"/>
  <c r="H10587" i="1"/>
  <c r="G10587" i="1"/>
  <c r="F10587" i="1"/>
  <c r="H10586" i="1"/>
  <c r="G10586" i="1"/>
  <c r="F10586" i="1"/>
  <c r="H10585" i="1"/>
  <c r="G10585" i="1"/>
  <c r="F10585" i="1"/>
  <c r="H10584" i="1"/>
  <c r="G10584" i="1"/>
  <c r="F10584" i="1"/>
  <c r="H10583" i="1"/>
  <c r="G10583" i="1"/>
  <c r="F10583" i="1"/>
  <c r="H10582" i="1"/>
  <c r="G10582" i="1"/>
  <c r="F10582" i="1"/>
  <c r="H10581" i="1"/>
  <c r="G10581" i="1"/>
  <c r="F10581" i="1"/>
  <c r="H10580" i="1"/>
  <c r="G10580" i="1"/>
  <c r="F10580" i="1"/>
  <c r="H10579" i="1"/>
  <c r="G10579" i="1"/>
  <c r="F10579" i="1"/>
  <c r="H10578" i="1"/>
  <c r="G10578" i="1"/>
  <c r="F10578" i="1"/>
  <c r="H10577" i="1"/>
  <c r="G10577" i="1"/>
  <c r="F10577" i="1"/>
  <c r="H10576" i="1"/>
  <c r="G10576" i="1"/>
  <c r="F10576" i="1"/>
  <c r="H10575" i="1"/>
  <c r="G10575" i="1"/>
  <c r="F10575" i="1"/>
  <c r="H10574" i="1"/>
  <c r="G10574" i="1"/>
  <c r="F10574" i="1"/>
  <c r="H10573" i="1"/>
  <c r="G10573" i="1"/>
  <c r="F10573" i="1"/>
  <c r="H10572" i="1"/>
  <c r="G10572" i="1"/>
  <c r="F10572" i="1"/>
  <c r="H10571" i="1"/>
  <c r="G10571" i="1"/>
  <c r="F10571" i="1"/>
  <c r="H10570" i="1"/>
  <c r="G10570" i="1"/>
  <c r="F10570" i="1"/>
  <c r="H10569" i="1"/>
  <c r="G10569" i="1"/>
  <c r="F10569" i="1"/>
  <c r="H10568" i="1"/>
  <c r="G10568" i="1"/>
  <c r="F10568" i="1"/>
  <c r="H10567" i="1"/>
  <c r="G10567" i="1"/>
  <c r="F10567" i="1"/>
  <c r="H10566" i="1"/>
  <c r="G10566" i="1"/>
  <c r="F10566" i="1"/>
  <c r="H10565" i="1"/>
  <c r="G10565" i="1"/>
  <c r="F10565" i="1"/>
  <c r="H10564" i="1"/>
  <c r="G10564" i="1"/>
  <c r="F10564" i="1"/>
  <c r="H10563" i="1"/>
  <c r="G10563" i="1"/>
  <c r="F10563" i="1"/>
  <c r="H10562" i="1"/>
  <c r="G10562" i="1"/>
  <c r="F10562" i="1"/>
  <c r="H10561" i="1"/>
  <c r="G10561" i="1"/>
  <c r="F10561" i="1"/>
  <c r="H10560" i="1"/>
  <c r="G10560" i="1"/>
  <c r="F10560" i="1"/>
  <c r="H10559" i="1"/>
  <c r="G10559" i="1"/>
  <c r="F10559" i="1"/>
  <c r="H10558" i="1"/>
  <c r="G10558" i="1"/>
  <c r="F10558" i="1"/>
  <c r="H10557" i="1"/>
  <c r="G10557" i="1"/>
  <c r="F10557" i="1"/>
  <c r="H10556" i="1"/>
  <c r="G10556" i="1"/>
  <c r="F10556" i="1"/>
  <c r="H10555" i="1"/>
  <c r="G10555" i="1"/>
  <c r="F10555" i="1"/>
  <c r="H10554" i="1"/>
  <c r="G10554" i="1"/>
  <c r="F10554" i="1"/>
  <c r="H10553" i="1"/>
  <c r="G10553" i="1"/>
  <c r="F10553" i="1"/>
  <c r="H10552" i="1"/>
  <c r="G10552" i="1"/>
  <c r="F10552" i="1"/>
  <c r="H10551" i="1"/>
  <c r="G10551" i="1"/>
  <c r="F10551" i="1"/>
  <c r="H10550" i="1"/>
  <c r="G10550" i="1"/>
  <c r="F10550" i="1"/>
  <c r="H10549" i="1"/>
  <c r="G10549" i="1"/>
  <c r="F10549" i="1"/>
  <c r="H10548" i="1"/>
  <c r="G10548" i="1"/>
  <c r="F10548" i="1"/>
  <c r="H10547" i="1"/>
  <c r="G10547" i="1"/>
  <c r="F10547" i="1"/>
  <c r="H10546" i="1"/>
  <c r="G10546" i="1"/>
  <c r="F10546" i="1"/>
  <c r="H10545" i="1"/>
  <c r="G10545" i="1"/>
  <c r="F10545" i="1"/>
  <c r="H10544" i="1"/>
  <c r="G10544" i="1"/>
  <c r="F10544" i="1"/>
  <c r="H10543" i="1"/>
  <c r="G10543" i="1"/>
  <c r="F10543" i="1"/>
  <c r="H10542" i="1"/>
  <c r="G10542" i="1"/>
  <c r="F10542" i="1"/>
  <c r="H10541" i="1"/>
  <c r="G10541" i="1"/>
  <c r="F10541" i="1"/>
  <c r="H10540" i="1"/>
  <c r="G10540" i="1"/>
  <c r="F10540" i="1"/>
  <c r="H10539" i="1"/>
  <c r="G10539" i="1"/>
  <c r="F10539" i="1"/>
  <c r="H10538" i="1"/>
  <c r="G10538" i="1"/>
  <c r="F10538" i="1"/>
  <c r="H10537" i="1"/>
  <c r="G10537" i="1"/>
  <c r="F10537" i="1"/>
  <c r="H10536" i="1"/>
  <c r="G10536" i="1"/>
  <c r="F10536" i="1"/>
  <c r="H10535" i="1"/>
  <c r="G10535" i="1"/>
  <c r="F10535" i="1"/>
  <c r="H10534" i="1"/>
  <c r="G10534" i="1"/>
  <c r="F10534" i="1"/>
  <c r="H10533" i="1"/>
  <c r="G10533" i="1"/>
  <c r="F10533" i="1"/>
  <c r="H10532" i="1"/>
  <c r="G10532" i="1"/>
  <c r="F10532" i="1"/>
  <c r="H10531" i="1"/>
  <c r="G10531" i="1"/>
  <c r="F10531" i="1"/>
  <c r="H10530" i="1"/>
  <c r="G10530" i="1"/>
  <c r="F10530" i="1"/>
  <c r="H10529" i="1"/>
  <c r="G10529" i="1"/>
  <c r="F10529" i="1"/>
  <c r="H10528" i="1"/>
  <c r="G10528" i="1"/>
  <c r="F10528" i="1"/>
  <c r="H10527" i="1"/>
  <c r="G10527" i="1"/>
  <c r="F10527" i="1"/>
  <c r="H10526" i="1"/>
  <c r="G10526" i="1"/>
  <c r="F10526" i="1"/>
  <c r="H10525" i="1"/>
  <c r="G10525" i="1"/>
  <c r="F10525" i="1"/>
  <c r="H10524" i="1"/>
  <c r="G10524" i="1"/>
  <c r="F10524" i="1"/>
  <c r="H10523" i="1"/>
  <c r="G10523" i="1"/>
  <c r="F10523" i="1"/>
  <c r="H10522" i="1"/>
  <c r="G10522" i="1"/>
  <c r="F10522" i="1"/>
  <c r="H10521" i="1"/>
  <c r="G10521" i="1"/>
  <c r="F10521" i="1"/>
  <c r="H10520" i="1"/>
  <c r="G10520" i="1"/>
  <c r="F10520" i="1"/>
  <c r="H10519" i="1"/>
  <c r="G10519" i="1"/>
  <c r="F10519" i="1"/>
  <c r="H10518" i="1"/>
  <c r="G10518" i="1"/>
  <c r="F10518" i="1"/>
  <c r="H10517" i="1"/>
  <c r="G10517" i="1"/>
  <c r="F10517" i="1"/>
  <c r="H10516" i="1"/>
  <c r="G10516" i="1"/>
  <c r="F10516" i="1"/>
  <c r="H10515" i="1"/>
  <c r="G10515" i="1"/>
  <c r="F10515" i="1"/>
  <c r="H10514" i="1"/>
  <c r="G10514" i="1"/>
  <c r="F10514" i="1"/>
  <c r="H10513" i="1"/>
  <c r="G10513" i="1"/>
  <c r="F10513" i="1"/>
  <c r="H10512" i="1"/>
  <c r="G10512" i="1"/>
  <c r="F10512" i="1"/>
  <c r="H10511" i="1"/>
  <c r="G10511" i="1"/>
  <c r="F10511" i="1"/>
  <c r="H10510" i="1"/>
  <c r="G10510" i="1"/>
  <c r="F10510" i="1"/>
  <c r="H10509" i="1"/>
  <c r="G10509" i="1"/>
  <c r="F10509" i="1"/>
  <c r="H10508" i="1"/>
  <c r="G10508" i="1"/>
  <c r="F10508" i="1"/>
  <c r="H10507" i="1"/>
  <c r="G10507" i="1"/>
  <c r="F10507" i="1"/>
  <c r="H10506" i="1"/>
  <c r="G10506" i="1"/>
  <c r="F10506" i="1"/>
  <c r="H10505" i="1"/>
  <c r="G10505" i="1"/>
  <c r="F10505" i="1"/>
  <c r="H10504" i="1"/>
  <c r="G10504" i="1"/>
  <c r="F10504" i="1"/>
  <c r="H10503" i="1"/>
  <c r="G10503" i="1"/>
  <c r="F10503" i="1"/>
  <c r="H10502" i="1"/>
  <c r="G10502" i="1"/>
  <c r="F10502" i="1"/>
  <c r="H10501" i="1"/>
  <c r="G10501" i="1"/>
  <c r="F10501" i="1"/>
  <c r="H10500" i="1"/>
  <c r="G10500" i="1"/>
  <c r="F10500" i="1"/>
  <c r="H10499" i="1"/>
  <c r="G10499" i="1"/>
  <c r="F10499" i="1"/>
  <c r="H10498" i="1"/>
  <c r="G10498" i="1"/>
  <c r="F10498" i="1"/>
  <c r="H10497" i="1"/>
  <c r="G10497" i="1"/>
  <c r="F10497" i="1"/>
  <c r="H10496" i="1"/>
  <c r="G10496" i="1"/>
  <c r="F10496" i="1"/>
  <c r="H10495" i="1"/>
  <c r="G10495" i="1"/>
  <c r="F10495" i="1"/>
  <c r="H10494" i="1"/>
  <c r="G10494" i="1"/>
  <c r="F10494" i="1"/>
  <c r="H10493" i="1"/>
  <c r="G10493" i="1"/>
  <c r="F10493" i="1"/>
  <c r="H10492" i="1"/>
  <c r="G10492" i="1"/>
  <c r="F10492" i="1"/>
  <c r="H10491" i="1"/>
  <c r="G10491" i="1"/>
  <c r="F10491" i="1"/>
  <c r="H10490" i="1"/>
  <c r="G10490" i="1"/>
  <c r="F10490" i="1"/>
  <c r="H10489" i="1"/>
  <c r="G10489" i="1"/>
  <c r="F10489" i="1"/>
  <c r="H10488" i="1"/>
  <c r="G10488" i="1"/>
  <c r="F10488" i="1"/>
  <c r="H10487" i="1"/>
  <c r="G10487" i="1"/>
  <c r="F10487" i="1"/>
  <c r="H10486" i="1"/>
  <c r="G10486" i="1"/>
  <c r="F10486" i="1"/>
  <c r="H10485" i="1"/>
  <c r="G10485" i="1"/>
  <c r="F10485" i="1"/>
  <c r="H10484" i="1"/>
  <c r="G10484" i="1"/>
  <c r="F10484" i="1"/>
  <c r="H10483" i="1"/>
  <c r="G10483" i="1"/>
  <c r="F10483" i="1"/>
  <c r="H10482" i="1"/>
  <c r="G10482" i="1"/>
  <c r="F10482" i="1"/>
  <c r="H10481" i="1"/>
  <c r="G10481" i="1"/>
  <c r="F10481" i="1"/>
  <c r="H10480" i="1"/>
  <c r="G10480" i="1"/>
  <c r="F10480" i="1"/>
  <c r="H10479" i="1"/>
  <c r="G10479" i="1"/>
  <c r="F10479" i="1"/>
  <c r="H10478" i="1"/>
  <c r="G10478" i="1"/>
  <c r="F10478" i="1"/>
  <c r="H10477" i="1"/>
  <c r="G10477" i="1"/>
  <c r="F10477" i="1"/>
  <c r="H10476" i="1"/>
  <c r="G10476" i="1"/>
  <c r="F10476" i="1"/>
  <c r="H10475" i="1"/>
  <c r="G10475" i="1"/>
  <c r="F10475" i="1"/>
  <c r="H10474" i="1"/>
  <c r="G10474" i="1"/>
  <c r="F10474" i="1"/>
  <c r="H10473" i="1"/>
  <c r="G10473" i="1"/>
  <c r="F10473" i="1"/>
  <c r="H10472" i="1"/>
  <c r="G10472" i="1"/>
  <c r="F10472" i="1"/>
  <c r="H10471" i="1"/>
  <c r="G10471" i="1"/>
  <c r="F10471" i="1"/>
  <c r="H10470" i="1"/>
  <c r="G10470" i="1"/>
  <c r="F10470" i="1"/>
  <c r="H10469" i="1"/>
  <c r="G10469" i="1"/>
  <c r="F10469" i="1"/>
  <c r="H10468" i="1"/>
  <c r="G10468" i="1"/>
  <c r="F10468" i="1"/>
  <c r="H10467" i="1"/>
  <c r="G10467" i="1"/>
  <c r="F10467" i="1"/>
  <c r="H10466" i="1"/>
  <c r="G10466" i="1"/>
  <c r="F10466" i="1"/>
  <c r="H10465" i="1"/>
  <c r="G10465" i="1"/>
  <c r="F10465" i="1"/>
  <c r="H10464" i="1"/>
  <c r="G10464" i="1"/>
  <c r="F10464" i="1"/>
  <c r="H10463" i="1"/>
  <c r="G10463" i="1"/>
  <c r="F10463" i="1"/>
  <c r="H10462" i="1"/>
  <c r="G10462" i="1"/>
  <c r="F10462" i="1"/>
  <c r="H10461" i="1"/>
  <c r="G10461" i="1"/>
  <c r="F10461" i="1"/>
  <c r="H10460" i="1"/>
  <c r="G10460" i="1"/>
  <c r="F10460" i="1"/>
  <c r="H10459" i="1"/>
  <c r="G10459" i="1"/>
  <c r="F10459" i="1"/>
  <c r="H10458" i="1"/>
  <c r="G10458" i="1"/>
  <c r="F10458" i="1"/>
  <c r="H10457" i="1"/>
  <c r="G10457" i="1"/>
  <c r="F10457" i="1"/>
  <c r="H10456" i="1"/>
  <c r="G10456" i="1"/>
  <c r="F10456" i="1"/>
  <c r="H10455" i="1"/>
  <c r="G10455" i="1"/>
  <c r="F10455" i="1"/>
  <c r="H10454" i="1"/>
  <c r="G10454" i="1"/>
  <c r="F10454" i="1"/>
  <c r="H10453" i="1"/>
  <c r="G10453" i="1"/>
  <c r="F10453" i="1"/>
  <c r="H10452" i="1"/>
  <c r="G10452" i="1"/>
  <c r="F10452" i="1"/>
  <c r="H10451" i="1"/>
  <c r="G10451" i="1"/>
  <c r="F10451" i="1"/>
  <c r="H10450" i="1"/>
  <c r="G10450" i="1"/>
  <c r="F10450" i="1"/>
  <c r="H10449" i="1"/>
  <c r="G10449" i="1"/>
  <c r="F10449" i="1"/>
  <c r="H10448" i="1"/>
  <c r="G10448" i="1"/>
  <c r="F10448" i="1"/>
  <c r="H10447" i="1"/>
  <c r="G10447" i="1"/>
  <c r="F10447" i="1"/>
  <c r="H10446" i="1"/>
  <c r="G10446" i="1"/>
  <c r="F10446" i="1"/>
  <c r="H10445" i="1"/>
  <c r="G10445" i="1"/>
  <c r="F10445" i="1"/>
  <c r="H10444" i="1"/>
  <c r="G10444" i="1"/>
  <c r="F10444" i="1"/>
  <c r="H10443" i="1"/>
  <c r="G10443" i="1"/>
  <c r="F10443" i="1"/>
  <c r="H10442" i="1"/>
  <c r="G10442" i="1"/>
  <c r="F10442" i="1"/>
  <c r="H10441" i="1"/>
  <c r="G10441" i="1"/>
  <c r="F10441" i="1"/>
  <c r="H10440" i="1"/>
  <c r="G10440" i="1"/>
  <c r="F10440" i="1"/>
  <c r="H10439" i="1"/>
  <c r="G10439" i="1"/>
  <c r="F10439" i="1"/>
  <c r="H10438" i="1"/>
  <c r="G10438" i="1"/>
  <c r="F10438" i="1"/>
  <c r="H10437" i="1"/>
  <c r="G10437" i="1"/>
  <c r="F10437" i="1"/>
  <c r="H10436" i="1"/>
  <c r="G10436" i="1"/>
  <c r="F10436" i="1"/>
  <c r="H10435" i="1"/>
  <c r="G10435" i="1"/>
  <c r="F10435" i="1"/>
  <c r="H10434" i="1"/>
  <c r="G10434" i="1"/>
  <c r="F10434" i="1"/>
  <c r="H10433" i="1"/>
  <c r="G10433" i="1"/>
  <c r="F10433" i="1"/>
  <c r="H10432" i="1"/>
  <c r="G10432" i="1"/>
  <c r="F10432" i="1"/>
  <c r="H10431" i="1"/>
  <c r="G10431" i="1"/>
  <c r="F10431" i="1"/>
  <c r="H10430" i="1"/>
  <c r="G10430" i="1"/>
  <c r="F10430" i="1"/>
  <c r="H10429" i="1"/>
  <c r="G10429" i="1"/>
  <c r="F10429" i="1"/>
  <c r="H10428" i="1"/>
  <c r="G10428" i="1"/>
  <c r="F10428" i="1"/>
  <c r="H10427" i="1"/>
  <c r="G10427" i="1"/>
  <c r="F10427" i="1"/>
  <c r="H10426" i="1"/>
  <c r="G10426" i="1"/>
  <c r="F10426" i="1"/>
  <c r="H10425" i="1"/>
  <c r="G10425" i="1"/>
  <c r="F10425" i="1"/>
  <c r="H10424" i="1"/>
  <c r="G10424" i="1"/>
  <c r="F10424" i="1"/>
  <c r="H10423" i="1"/>
  <c r="G10423" i="1"/>
  <c r="F10423" i="1"/>
  <c r="H10422" i="1"/>
  <c r="G10422" i="1"/>
  <c r="F10422" i="1"/>
  <c r="H10421" i="1"/>
  <c r="G10421" i="1"/>
  <c r="F10421" i="1"/>
  <c r="H10420" i="1"/>
  <c r="G10420" i="1"/>
  <c r="F10420" i="1"/>
  <c r="H10419" i="1"/>
  <c r="G10419" i="1"/>
  <c r="F10419" i="1"/>
  <c r="H10418" i="1"/>
  <c r="G10418" i="1"/>
  <c r="F10418" i="1"/>
  <c r="H10417" i="1"/>
  <c r="G10417" i="1"/>
  <c r="F10417" i="1"/>
  <c r="H10416" i="1"/>
  <c r="G10416" i="1"/>
  <c r="F10416" i="1"/>
  <c r="H10415" i="1"/>
  <c r="G10415" i="1"/>
  <c r="F10415" i="1"/>
  <c r="H10414" i="1"/>
  <c r="G10414" i="1"/>
  <c r="F10414" i="1"/>
  <c r="H10413" i="1"/>
  <c r="G10413" i="1"/>
  <c r="F10413" i="1"/>
  <c r="H10412" i="1"/>
  <c r="G10412" i="1"/>
  <c r="F10412" i="1"/>
  <c r="H10411" i="1"/>
  <c r="G10411" i="1"/>
  <c r="F10411" i="1"/>
  <c r="H10410" i="1"/>
  <c r="G10410" i="1"/>
  <c r="F10410" i="1"/>
  <c r="H10409" i="1"/>
  <c r="G10409" i="1"/>
  <c r="F10409" i="1"/>
  <c r="H10408" i="1"/>
  <c r="G10408" i="1"/>
  <c r="F10408" i="1"/>
  <c r="H10407" i="1"/>
  <c r="G10407" i="1"/>
  <c r="F10407" i="1"/>
  <c r="H10406" i="1"/>
  <c r="G10406" i="1"/>
  <c r="F10406" i="1"/>
  <c r="H10405" i="1"/>
  <c r="G10405" i="1"/>
  <c r="F10405" i="1"/>
  <c r="H10404" i="1"/>
  <c r="G10404" i="1"/>
  <c r="F10404" i="1"/>
  <c r="H10403" i="1"/>
  <c r="G10403" i="1"/>
  <c r="F10403" i="1"/>
  <c r="H10402" i="1"/>
  <c r="G10402" i="1"/>
  <c r="F10402" i="1"/>
  <c r="H10401" i="1"/>
  <c r="G10401" i="1"/>
  <c r="F10401" i="1"/>
  <c r="H10400" i="1"/>
  <c r="G10400" i="1"/>
  <c r="F10400" i="1"/>
  <c r="H10399" i="1"/>
  <c r="G10399" i="1"/>
  <c r="F10399" i="1"/>
  <c r="H10398" i="1"/>
  <c r="G10398" i="1"/>
  <c r="F10398" i="1"/>
  <c r="H10397" i="1"/>
  <c r="G10397" i="1"/>
  <c r="F10397" i="1"/>
  <c r="H10396" i="1"/>
  <c r="G10396" i="1"/>
  <c r="F10396" i="1"/>
  <c r="H10395" i="1"/>
  <c r="G10395" i="1"/>
  <c r="F10395" i="1"/>
  <c r="H10394" i="1"/>
  <c r="G10394" i="1"/>
  <c r="F10394" i="1"/>
  <c r="H10393" i="1"/>
  <c r="G10393" i="1"/>
  <c r="F10393" i="1"/>
  <c r="H10392" i="1"/>
  <c r="G10392" i="1"/>
  <c r="F10392" i="1"/>
  <c r="H10391" i="1"/>
  <c r="G10391" i="1"/>
  <c r="F10391" i="1"/>
  <c r="H10390" i="1"/>
  <c r="G10390" i="1"/>
  <c r="F10390" i="1"/>
  <c r="H10389" i="1"/>
  <c r="G10389" i="1"/>
  <c r="F10389" i="1"/>
  <c r="H10388" i="1"/>
  <c r="G10388" i="1"/>
  <c r="F10388" i="1"/>
  <c r="H10387" i="1"/>
  <c r="G10387" i="1"/>
  <c r="F10387" i="1"/>
  <c r="H10386" i="1"/>
  <c r="G10386" i="1"/>
  <c r="F10386" i="1"/>
  <c r="H10385" i="1"/>
  <c r="G10385" i="1"/>
  <c r="F10385" i="1"/>
  <c r="H10384" i="1"/>
  <c r="G10384" i="1"/>
  <c r="F10384" i="1"/>
  <c r="H10383" i="1"/>
  <c r="G10383" i="1"/>
  <c r="F10383" i="1"/>
  <c r="H10382" i="1"/>
  <c r="G10382" i="1"/>
  <c r="F10382" i="1"/>
  <c r="H10381" i="1"/>
  <c r="G10381" i="1"/>
  <c r="F10381" i="1"/>
  <c r="H10380" i="1"/>
  <c r="G10380" i="1"/>
  <c r="F10380" i="1"/>
  <c r="H10379" i="1"/>
  <c r="G10379" i="1"/>
  <c r="F10379" i="1"/>
  <c r="H10378" i="1"/>
  <c r="G10378" i="1"/>
  <c r="F10378" i="1"/>
  <c r="H10377" i="1"/>
  <c r="G10377" i="1"/>
  <c r="F10377" i="1"/>
  <c r="H10376" i="1"/>
  <c r="G10376" i="1"/>
  <c r="F10376" i="1"/>
  <c r="H10375" i="1"/>
  <c r="G10375" i="1"/>
  <c r="F10375" i="1"/>
  <c r="H10374" i="1"/>
  <c r="G10374" i="1"/>
  <c r="F10374" i="1"/>
  <c r="H10373" i="1"/>
  <c r="G10373" i="1"/>
  <c r="F10373" i="1"/>
  <c r="H10372" i="1"/>
  <c r="G10372" i="1"/>
  <c r="F10372" i="1"/>
  <c r="H10371" i="1"/>
  <c r="G10371" i="1"/>
  <c r="F10371" i="1"/>
  <c r="H10370" i="1"/>
  <c r="G10370" i="1"/>
  <c r="F10370" i="1"/>
  <c r="H10369" i="1"/>
  <c r="G10369" i="1"/>
  <c r="F10369" i="1"/>
  <c r="H10368" i="1"/>
  <c r="G10368" i="1"/>
  <c r="F10368" i="1"/>
  <c r="H10367" i="1"/>
  <c r="G10367" i="1"/>
  <c r="F10367" i="1"/>
  <c r="H10366" i="1"/>
  <c r="G10366" i="1"/>
  <c r="F10366" i="1"/>
  <c r="H10365" i="1"/>
  <c r="G10365" i="1"/>
  <c r="F10365" i="1"/>
  <c r="H10364" i="1"/>
  <c r="G10364" i="1"/>
  <c r="F10364" i="1"/>
  <c r="H10363" i="1"/>
  <c r="G10363" i="1"/>
  <c r="F10363" i="1"/>
  <c r="H10362" i="1"/>
  <c r="G10362" i="1"/>
  <c r="F10362" i="1"/>
  <c r="H10361" i="1"/>
  <c r="G10361" i="1"/>
  <c r="F10361" i="1"/>
  <c r="H10360" i="1"/>
  <c r="G10360" i="1"/>
  <c r="F10360" i="1"/>
  <c r="H10359" i="1"/>
  <c r="G10359" i="1"/>
  <c r="F10359" i="1"/>
  <c r="H10358" i="1"/>
  <c r="G10358" i="1"/>
  <c r="F10358" i="1"/>
  <c r="H10357" i="1"/>
  <c r="G10357" i="1"/>
  <c r="F10357" i="1"/>
  <c r="H10356" i="1"/>
  <c r="G10356" i="1"/>
  <c r="F10356" i="1"/>
  <c r="H10355" i="1"/>
  <c r="G10355" i="1"/>
  <c r="F10355" i="1"/>
  <c r="H10354" i="1"/>
  <c r="G10354" i="1"/>
  <c r="F10354" i="1"/>
  <c r="H10353" i="1"/>
  <c r="G10353" i="1"/>
  <c r="F10353" i="1"/>
  <c r="H10352" i="1"/>
  <c r="G10352" i="1"/>
  <c r="F10352" i="1"/>
  <c r="H10351" i="1"/>
  <c r="G10351" i="1"/>
  <c r="F10351" i="1"/>
  <c r="H10350" i="1"/>
  <c r="G10350" i="1"/>
  <c r="F10350" i="1"/>
  <c r="H10349" i="1"/>
  <c r="G10349" i="1"/>
  <c r="F10349" i="1"/>
  <c r="H10348" i="1"/>
  <c r="G10348" i="1"/>
  <c r="F10348" i="1"/>
  <c r="H10347" i="1"/>
  <c r="G10347" i="1"/>
  <c r="F10347" i="1"/>
  <c r="H10346" i="1"/>
  <c r="G10346" i="1"/>
  <c r="F10346" i="1"/>
  <c r="H10345" i="1"/>
  <c r="G10345" i="1"/>
  <c r="F10345" i="1"/>
  <c r="H10344" i="1"/>
  <c r="G10344" i="1"/>
  <c r="F10344" i="1"/>
  <c r="H10343" i="1"/>
  <c r="G10343" i="1"/>
  <c r="F10343" i="1"/>
  <c r="H10342" i="1"/>
  <c r="G10342" i="1"/>
  <c r="F10342" i="1"/>
  <c r="H10341" i="1"/>
  <c r="G10341" i="1"/>
  <c r="F10341" i="1"/>
  <c r="H10340" i="1"/>
  <c r="G10340" i="1"/>
  <c r="F10340" i="1"/>
  <c r="H10339" i="1"/>
  <c r="G10339" i="1"/>
  <c r="F10339" i="1"/>
  <c r="H10338" i="1"/>
  <c r="G10338" i="1"/>
  <c r="F10338" i="1"/>
  <c r="H10337" i="1"/>
  <c r="G10337" i="1"/>
  <c r="F10337" i="1"/>
  <c r="H10336" i="1"/>
  <c r="G10336" i="1"/>
  <c r="F10336" i="1"/>
  <c r="H10335" i="1"/>
  <c r="G10335" i="1"/>
  <c r="F10335" i="1"/>
  <c r="H10334" i="1"/>
  <c r="G10334" i="1"/>
  <c r="F10334" i="1"/>
  <c r="H10333" i="1"/>
  <c r="G10333" i="1"/>
  <c r="F10333" i="1"/>
  <c r="H10332" i="1"/>
  <c r="G10332" i="1"/>
  <c r="F10332" i="1"/>
  <c r="H10331" i="1"/>
  <c r="G10331" i="1"/>
  <c r="F10331" i="1"/>
  <c r="H10330" i="1"/>
  <c r="G10330" i="1"/>
  <c r="F10330" i="1"/>
  <c r="H10329" i="1"/>
  <c r="G10329" i="1"/>
  <c r="F10329" i="1"/>
  <c r="H10328" i="1"/>
  <c r="G10328" i="1"/>
  <c r="F10328" i="1"/>
  <c r="H10327" i="1"/>
  <c r="G10327" i="1"/>
  <c r="F10327" i="1"/>
  <c r="H10326" i="1"/>
  <c r="G10326" i="1"/>
  <c r="F10326" i="1"/>
  <c r="H10325" i="1"/>
  <c r="G10325" i="1"/>
  <c r="F10325" i="1"/>
  <c r="H10324" i="1"/>
  <c r="G10324" i="1"/>
  <c r="F10324" i="1"/>
  <c r="H10323" i="1"/>
  <c r="G10323" i="1"/>
  <c r="F10323" i="1"/>
  <c r="H10322" i="1"/>
  <c r="G10322" i="1"/>
  <c r="F10322" i="1"/>
  <c r="H10321" i="1"/>
  <c r="G10321" i="1"/>
  <c r="F10321" i="1"/>
  <c r="H10320" i="1"/>
  <c r="G10320" i="1"/>
  <c r="F10320" i="1"/>
  <c r="H10319" i="1"/>
  <c r="G10319" i="1"/>
  <c r="F10319" i="1"/>
  <c r="H10318" i="1"/>
  <c r="G10318" i="1"/>
  <c r="F10318" i="1"/>
  <c r="H10317" i="1"/>
  <c r="G10317" i="1"/>
  <c r="F10317" i="1"/>
  <c r="H10316" i="1"/>
  <c r="G10316" i="1"/>
  <c r="F10316" i="1"/>
  <c r="H10315" i="1"/>
  <c r="G10315" i="1"/>
  <c r="F10315" i="1"/>
  <c r="H10314" i="1"/>
  <c r="G10314" i="1"/>
  <c r="F10314" i="1"/>
  <c r="H10313" i="1"/>
  <c r="G10313" i="1"/>
  <c r="F10313" i="1"/>
  <c r="H10312" i="1"/>
  <c r="G10312" i="1"/>
  <c r="F10312" i="1"/>
  <c r="H10311" i="1"/>
  <c r="G10311" i="1"/>
  <c r="F10311" i="1"/>
  <c r="H10310" i="1"/>
  <c r="G10310" i="1"/>
  <c r="F10310" i="1"/>
  <c r="H10309" i="1"/>
  <c r="G10309" i="1"/>
  <c r="F10309" i="1"/>
  <c r="H10308" i="1"/>
  <c r="G10308" i="1"/>
  <c r="F10308" i="1"/>
  <c r="H10307" i="1"/>
  <c r="G10307" i="1"/>
  <c r="F10307" i="1"/>
  <c r="H10306" i="1"/>
  <c r="G10306" i="1"/>
  <c r="F10306" i="1"/>
  <c r="H10305" i="1"/>
  <c r="G10305" i="1"/>
  <c r="F10305" i="1"/>
  <c r="H10304" i="1"/>
  <c r="G10304" i="1"/>
  <c r="F10304" i="1"/>
  <c r="H10303" i="1"/>
  <c r="G10303" i="1"/>
  <c r="F10303" i="1"/>
  <c r="H10302" i="1"/>
  <c r="G10302" i="1"/>
  <c r="F10302" i="1"/>
  <c r="H10301" i="1"/>
  <c r="G10301" i="1"/>
  <c r="F10301" i="1"/>
  <c r="H10300" i="1"/>
  <c r="G10300" i="1"/>
  <c r="F10300" i="1"/>
  <c r="H10299" i="1"/>
  <c r="G10299" i="1"/>
  <c r="F10299" i="1"/>
  <c r="H10298" i="1"/>
  <c r="G10298" i="1"/>
  <c r="F10298" i="1"/>
  <c r="H10297" i="1"/>
  <c r="G10297" i="1"/>
  <c r="F10297" i="1"/>
  <c r="H10296" i="1"/>
  <c r="G10296" i="1"/>
  <c r="F10296" i="1"/>
  <c r="H10295" i="1"/>
  <c r="G10295" i="1"/>
  <c r="F10295" i="1"/>
  <c r="H10294" i="1"/>
  <c r="G10294" i="1"/>
  <c r="F10294" i="1"/>
  <c r="H10293" i="1"/>
  <c r="G10293" i="1"/>
  <c r="F10293" i="1"/>
  <c r="H10292" i="1"/>
  <c r="G10292" i="1"/>
  <c r="F10292" i="1"/>
  <c r="H10291" i="1"/>
  <c r="G10291" i="1"/>
  <c r="F10291" i="1"/>
  <c r="H10290" i="1"/>
  <c r="G10290" i="1"/>
  <c r="F10290" i="1"/>
  <c r="H10289" i="1"/>
  <c r="G10289" i="1"/>
  <c r="F10289" i="1"/>
  <c r="H10288" i="1"/>
  <c r="G10288" i="1"/>
  <c r="F10288" i="1"/>
  <c r="H10287" i="1"/>
  <c r="G10287" i="1"/>
  <c r="F10287" i="1"/>
  <c r="H10286" i="1"/>
  <c r="G10286" i="1"/>
  <c r="F10286" i="1"/>
  <c r="H10285" i="1"/>
  <c r="G10285" i="1"/>
  <c r="F10285" i="1"/>
  <c r="H10284" i="1"/>
  <c r="G10284" i="1"/>
  <c r="F10284" i="1"/>
  <c r="H10283" i="1"/>
  <c r="G10283" i="1"/>
  <c r="F10283" i="1"/>
  <c r="H10282" i="1"/>
  <c r="G10282" i="1"/>
  <c r="F10282" i="1"/>
  <c r="H10281" i="1"/>
  <c r="G10281" i="1"/>
  <c r="F10281" i="1"/>
  <c r="H10280" i="1"/>
  <c r="G10280" i="1"/>
  <c r="F10280" i="1"/>
  <c r="H10279" i="1"/>
  <c r="G10279" i="1"/>
  <c r="F10279" i="1"/>
  <c r="H10278" i="1"/>
  <c r="G10278" i="1"/>
  <c r="F10278" i="1"/>
  <c r="H10277" i="1"/>
  <c r="G10277" i="1"/>
  <c r="F10277" i="1"/>
  <c r="H10276" i="1"/>
  <c r="G10276" i="1"/>
  <c r="F10276" i="1"/>
  <c r="H10275" i="1"/>
  <c r="G10275" i="1"/>
  <c r="F10275" i="1"/>
  <c r="H10274" i="1"/>
  <c r="G10274" i="1"/>
  <c r="F10274" i="1"/>
  <c r="H10273" i="1"/>
  <c r="G10273" i="1"/>
  <c r="F10273" i="1"/>
  <c r="H10272" i="1"/>
  <c r="G10272" i="1"/>
  <c r="F10272" i="1"/>
  <c r="H10271" i="1"/>
  <c r="G10271" i="1"/>
  <c r="F10271" i="1"/>
  <c r="H10270" i="1"/>
  <c r="G10270" i="1"/>
  <c r="F10270" i="1"/>
  <c r="H10269" i="1"/>
  <c r="G10269" i="1"/>
  <c r="F10269" i="1"/>
  <c r="H10268" i="1"/>
  <c r="G10268" i="1"/>
  <c r="F10268" i="1"/>
  <c r="H10267" i="1"/>
  <c r="G10267" i="1"/>
  <c r="F10267" i="1"/>
  <c r="H10266" i="1"/>
  <c r="G10266" i="1"/>
  <c r="F10266" i="1"/>
  <c r="H10265" i="1"/>
  <c r="G10265" i="1"/>
  <c r="F10265" i="1"/>
  <c r="H10264" i="1"/>
  <c r="G10264" i="1"/>
  <c r="F10264" i="1"/>
  <c r="H10263" i="1"/>
  <c r="G10263" i="1"/>
  <c r="F10263" i="1"/>
  <c r="H10262" i="1"/>
  <c r="G10262" i="1"/>
  <c r="F10262" i="1"/>
  <c r="H10261" i="1"/>
  <c r="G10261" i="1"/>
  <c r="F10261" i="1"/>
  <c r="H10260" i="1"/>
  <c r="G10260" i="1"/>
  <c r="F10260" i="1"/>
  <c r="H10259" i="1"/>
  <c r="G10259" i="1"/>
  <c r="F10259" i="1"/>
  <c r="H10258" i="1"/>
  <c r="G10258" i="1"/>
  <c r="F10258" i="1"/>
  <c r="H10257" i="1"/>
  <c r="G10257" i="1"/>
  <c r="F10257" i="1"/>
  <c r="H10256" i="1"/>
  <c r="G10256" i="1"/>
  <c r="F10256" i="1"/>
  <c r="H10255" i="1"/>
  <c r="G10255" i="1"/>
  <c r="F10255" i="1"/>
  <c r="H10254" i="1"/>
  <c r="G10254" i="1"/>
  <c r="F10254" i="1"/>
  <c r="H10253" i="1"/>
  <c r="G10253" i="1"/>
  <c r="F10253" i="1"/>
  <c r="H10252" i="1"/>
  <c r="G10252" i="1"/>
  <c r="F10252" i="1"/>
  <c r="H10251" i="1"/>
  <c r="G10251" i="1"/>
  <c r="F10251" i="1"/>
  <c r="H10250" i="1"/>
  <c r="G10250" i="1"/>
  <c r="F10250" i="1"/>
  <c r="H10249" i="1"/>
  <c r="G10249" i="1"/>
  <c r="F10249" i="1"/>
  <c r="H10248" i="1"/>
  <c r="G10248" i="1"/>
  <c r="F10248" i="1"/>
  <c r="H10247" i="1"/>
  <c r="G10247" i="1"/>
  <c r="F10247" i="1"/>
  <c r="H10246" i="1"/>
  <c r="G10246" i="1"/>
  <c r="F10246" i="1"/>
  <c r="H10245" i="1"/>
  <c r="G10245" i="1"/>
  <c r="F10245" i="1"/>
  <c r="H10244" i="1"/>
  <c r="G10244" i="1"/>
  <c r="F10244" i="1"/>
  <c r="H10243" i="1"/>
  <c r="G10243" i="1"/>
  <c r="F10243" i="1"/>
  <c r="H10242" i="1"/>
  <c r="G10242" i="1"/>
  <c r="F10242" i="1"/>
  <c r="H10241" i="1"/>
  <c r="G10241" i="1"/>
  <c r="F10241" i="1"/>
  <c r="H10240" i="1"/>
  <c r="G10240" i="1"/>
  <c r="F10240" i="1"/>
  <c r="H10239" i="1"/>
  <c r="G10239" i="1"/>
  <c r="F10239" i="1"/>
  <c r="H10238" i="1"/>
  <c r="G10238" i="1"/>
  <c r="F10238" i="1"/>
  <c r="H10237" i="1"/>
  <c r="G10237" i="1"/>
  <c r="F10237" i="1"/>
  <c r="H10236" i="1"/>
  <c r="G10236" i="1"/>
  <c r="F10236" i="1"/>
  <c r="H10235" i="1"/>
  <c r="G10235" i="1"/>
  <c r="F10235" i="1"/>
  <c r="H10234" i="1"/>
  <c r="G10234" i="1"/>
  <c r="F10234" i="1"/>
  <c r="H10233" i="1"/>
  <c r="G10233" i="1"/>
  <c r="F10233" i="1"/>
  <c r="H10232" i="1"/>
  <c r="G10232" i="1"/>
  <c r="F10232" i="1"/>
  <c r="H10231" i="1"/>
  <c r="G10231" i="1"/>
  <c r="F10231" i="1"/>
  <c r="H10230" i="1"/>
  <c r="G10230" i="1"/>
  <c r="F10230" i="1"/>
  <c r="H10229" i="1"/>
  <c r="G10229" i="1"/>
  <c r="F10229" i="1"/>
  <c r="H10228" i="1"/>
  <c r="G10228" i="1"/>
  <c r="F10228" i="1"/>
  <c r="H10227" i="1"/>
  <c r="G10227" i="1"/>
  <c r="F10227" i="1"/>
  <c r="H10226" i="1"/>
  <c r="G10226" i="1"/>
  <c r="F10226" i="1"/>
  <c r="H10225" i="1"/>
  <c r="G10225" i="1"/>
  <c r="F10225" i="1"/>
  <c r="H10224" i="1"/>
  <c r="G10224" i="1"/>
  <c r="F10224" i="1"/>
  <c r="H10223" i="1"/>
  <c r="G10223" i="1"/>
  <c r="F10223" i="1"/>
  <c r="H10222" i="1"/>
  <c r="G10222" i="1"/>
  <c r="F10222" i="1"/>
  <c r="H10221" i="1"/>
  <c r="G10221" i="1"/>
  <c r="F10221" i="1"/>
  <c r="H10220" i="1"/>
  <c r="G10220" i="1"/>
  <c r="F10220" i="1"/>
  <c r="H10219" i="1"/>
  <c r="G10219" i="1"/>
  <c r="F10219" i="1"/>
  <c r="H10218" i="1"/>
  <c r="G10218" i="1"/>
  <c r="F10218" i="1"/>
  <c r="H10217" i="1"/>
  <c r="G10217" i="1"/>
  <c r="F10217" i="1"/>
  <c r="H10216" i="1"/>
  <c r="G10216" i="1"/>
  <c r="F10216" i="1"/>
  <c r="H10215" i="1"/>
  <c r="G10215" i="1"/>
  <c r="F10215" i="1"/>
  <c r="H10214" i="1"/>
  <c r="G10214" i="1"/>
  <c r="F10214" i="1"/>
  <c r="H10213" i="1"/>
  <c r="G10213" i="1"/>
  <c r="F10213" i="1"/>
  <c r="H10212" i="1"/>
  <c r="G10212" i="1"/>
  <c r="F10212" i="1"/>
  <c r="H10211" i="1"/>
  <c r="G10211" i="1"/>
  <c r="F10211" i="1"/>
  <c r="H10210" i="1"/>
  <c r="G10210" i="1"/>
  <c r="F10210" i="1"/>
  <c r="H10209" i="1"/>
  <c r="G10209" i="1"/>
  <c r="F10209" i="1"/>
  <c r="H10208" i="1"/>
  <c r="G10208" i="1"/>
  <c r="F10208" i="1"/>
  <c r="H10207" i="1"/>
  <c r="G10207" i="1"/>
  <c r="F10207" i="1"/>
  <c r="H10206" i="1"/>
  <c r="G10206" i="1"/>
  <c r="F10206" i="1"/>
  <c r="H10205" i="1"/>
  <c r="G10205" i="1"/>
  <c r="F10205" i="1"/>
  <c r="H10204" i="1"/>
  <c r="G10204" i="1"/>
  <c r="F10204" i="1"/>
  <c r="H10203" i="1"/>
  <c r="G10203" i="1"/>
  <c r="F10203" i="1"/>
  <c r="H10202" i="1"/>
  <c r="G10202" i="1"/>
  <c r="F10202" i="1"/>
  <c r="H10201" i="1"/>
  <c r="G10201" i="1"/>
  <c r="F10201" i="1"/>
  <c r="H10200" i="1"/>
  <c r="G10200" i="1"/>
  <c r="F10200" i="1"/>
  <c r="H10199" i="1"/>
  <c r="G10199" i="1"/>
  <c r="F10199" i="1"/>
  <c r="H10198" i="1"/>
  <c r="G10198" i="1"/>
  <c r="F10198" i="1"/>
  <c r="H10197" i="1"/>
  <c r="G10197" i="1"/>
  <c r="F10197" i="1"/>
  <c r="H10196" i="1"/>
  <c r="G10196" i="1"/>
  <c r="F10196" i="1"/>
  <c r="H10195" i="1"/>
  <c r="G10195" i="1"/>
  <c r="F10195" i="1"/>
  <c r="H10194" i="1"/>
  <c r="G10194" i="1"/>
  <c r="F10194" i="1"/>
  <c r="H10193" i="1"/>
  <c r="G10193" i="1"/>
  <c r="F10193" i="1"/>
  <c r="H10192" i="1"/>
  <c r="G10192" i="1"/>
  <c r="F10192" i="1"/>
  <c r="H10191" i="1"/>
  <c r="G10191" i="1"/>
  <c r="F10191" i="1"/>
  <c r="H10190" i="1"/>
  <c r="G10190" i="1"/>
  <c r="F10190" i="1"/>
  <c r="H10189" i="1"/>
  <c r="G10189" i="1"/>
  <c r="F10189" i="1"/>
  <c r="H10188" i="1"/>
  <c r="G10188" i="1"/>
  <c r="F10188" i="1"/>
  <c r="H10187" i="1"/>
  <c r="G10187" i="1"/>
  <c r="F10187" i="1"/>
  <c r="H10186" i="1"/>
  <c r="G10186" i="1"/>
  <c r="F10186" i="1"/>
  <c r="H10185" i="1"/>
  <c r="G10185" i="1"/>
  <c r="F10185" i="1"/>
  <c r="H10184" i="1"/>
  <c r="G10184" i="1"/>
  <c r="F10184" i="1"/>
  <c r="H10183" i="1"/>
  <c r="G10183" i="1"/>
  <c r="F10183" i="1"/>
  <c r="H10182" i="1"/>
  <c r="G10182" i="1"/>
  <c r="F10182" i="1"/>
  <c r="H10181" i="1"/>
  <c r="G10181" i="1"/>
  <c r="F10181" i="1"/>
  <c r="H10180" i="1"/>
  <c r="G10180" i="1"/>
  <c r="F10180" i="1"/>
  <c r="H10179" i="1"/>
  <c r="G10179" i="1"/>
  <c r="F10179" i="1"/>
  <c r="H10178" i="1"/>
  <c r="G10178" i="1"/>
  <c r="F10178" i="1"/>
  <c r="H10177" i="1"/>
  <c r="G10177" i="1"/>
  <c r="F10177" i="1"/>
  <c r="H10176" i="1"/>
  <c r="G10176" i="1"/>
  <c r="F10176" i="1"/>
  <c r="H10175" i="1"/>
  <c r="G10175" i="1"/>
  <c r="F10175" i="1"/>
  <c r="H10174" i="1"/>
  <c r="G10174" i="1"/>
  <c r="F10174" i="1"/>
  <c r="H10173" i="1"/>
  <c r="G10173" i="1"/>
  <c r="F10173" i="1"/>
  <c r="H10172" i="1"/>
  <c r="G10172" i="1"/>
  <c r="F10172" i="1"/>
  <c r="H10171" i="1"/>
  <c r="G10171" i="1"/>
  <c r="F10171" i="1"/>
  <c r="H10170" i="1"/>
  <c r="G10170" i="1"/>
  <c r="F10170" i="1"/>
  <c r="H10169" i="1"/>
  <c r="G10169" i="1"/>
  <c r="F10169" i="1"/>
  <c r="H10168" i="1"/>
  <c r="G10168" i="1"/>
  <c r="F10168" i="1"/>
  <c r="H10167" i="1"/>
  <c r="G10167" i="1"/>
  <c r="F10167" i="1"/>
  <c r="H10166" i="1"/>
  <c r="G10166" i="1"/>
  <c r="F10166" i="1"/>
  <c r="H10165" i="1"/>
  <c r="G10165" i="1"/>
  <c r="F10165" i="1"/>
  <c r="H10164" i="1"/>
  <c r="G10164" i="1"/>
  <c r="F10164" i="1"/>
  <c r="H10163" i="1"/>
  <c r="G10163" i="1"/>
  <c r="F10163" i="1"/>
  <c r="H10162" i="1"/>
  <c r="G10162" i="1"/>
  <c r="F10162" i="1"/>
  <c r="H10161" i="1"/>
  <c r="G10161" i="1"/>
  <c r="F10161" i="1"/>
  <c r="H10160" i="1"/>
  <c r="G10160" i="1"/>
  <c r="F10160" i="1"/>
  <c r="H10159" i="1"/>
  <c r="G10159" i="1"/>
  <c r="F10159" i="1"/>
  <c r="H10158" i="1"/>
  <c r="G10158" i="1"/>
  <c r="F10158" i="1"/>
  <c r="H10157" i="1"/>
  <c r="G10157" i="1"/>
  <c r="F10157" i="1"/>
  <c r="H10156" i="1"/>
  <c r="G10156" i="1"/>
  <c r="F10156" i="1"/>
  <c r="H10155" i="1"/>
  <c r="G10155" i="1"/>
  <c r="F10155" i="1"/>
  <c r="H10154" i="1"/>
  <c r="G10154" i="1"/>
  <c r="F10154" i="1"/>
  <c r="H10153" i="1"/>
  <c r="G10153" i="1"/>
  <c r="F10153" i="1"/>
  <c r="H10152" i="1"/>
  <c r="G10152" i="1"/>
  <c r="F10152" i="1"/>
  <c r="H10151" i="1"/>
  <c r="G10151" i="1"/>
  <c r="F10151" i="1"/>
  <c r="H10150" i="1"/>
  <c r="G10150" i="1"/>
  <c r="F10150" i="1"/>
  <c r="H10149" i="1"/>
  <c r="G10149" i="1"/>
  <c r="F10149" i="1"/>
  <c r="H10148" i="1"/>
  <c r="G10148" i="1"/>
  <c r="F10148" i="1"/>
  <c r="H10147" i="1"/>
  <c r="G10147" i="1"/>
  <c r="F10147" i="1"/>
  <c r="H10146" i="1"/>
  <c r="G10146" i="1"/>
  <c r="F10146" i="1"/>
  <c r="H10145" i="1"/>
  <c r="G10145" i="1"/>
  <c r="F10145" i="1"/>
  <c r="H10144" i="1"/>
  <c r="G10144" i="1"/>
  <c r="F10144" i="1"/>
  <c r="H10143" i="1"/>
  <c r="G10143" i="1"/>
  <c r="F10143" i="1"/>
  <c r="H10142" i="1"/>
  <c r="G10142" i="1"/>
  <c r="F10142" i="1"/>
  <c r="H10141" i="1"/>
  <c r="G10141" i="1"/>
  <c r="F10141" i="1"/>
  <c r="H10140" i="1"/>
  <c r="G10140" i="1"/>
  <c r="F10140" i="1"/>
  <c r="H10139" i="1"/>
  <c r="G10139" i="1"/>
  <c r="F10139" i="1"/>
  <c r="H10138" i="1"/>
  <c r="G10138" i="1"/>
  <c r="F10138" i="1"/>
  <c r="H10137" i="1"/>
  <c r="G10137" i="1"/>
  <c r="F10137" i="1"/>
  <c r="H10136" i="1"/>
  <c r="G10136" i="1"/>
  <c r="F10136" i="1"/>
  <c r="H10135" i="1"/>
  <c r="G10135" i="1"/>
  <c r="F10135" i="1"/>
  <c r="H10134" i="1"/>
  <c r="G10134" i="1"/>
  <c r="F10134" i="1"/>
  <c r="H10133" i="1"/>
  <c r="G10133" i="1"/>
  <c r="F10133" i="1"/>
  <c r="H10132" i="1"/>
  <c r="G10132" i="1"/>
  <c r="F10132" i="1"/>
  <c r="H10131" i="1"/>
  <c r="G10131" i="1"/>
  <c r="F10131" i="1"/>
  <c r="H10130" i="1"/>
  <c r="G10130" i="1"/>
  <c r="F10130" i="1"/>
  <c r="H10129" i="1"/>
  <c r="G10129" i="1"/>
  <c r="F10129" i="1"/>
  <c r="H10128" i="1"/>
  <c r="G10128" i="1"/>
  <c r="F10128" i="1"/>
  <c r="H10127" i="1"/>
  <c r="G10127" i="1"/>
  <c r="F10127" i="1"/>
  <c r="H10126" i="1"/>
  <c r="G10126" i="1"/>
  <c r="F10126" i="1"/>
  <c r="H10125" i="1"/>
  <c r="G10125" i="1"/>
  <c r="F10125" i="1"/>
  <c r="H10124" i="1"/>
  <c r="G10124" i="1"/>
  <c r="F10124" i="1"/>
  <c r="H10123" i="1"/>
  <c r="G10123" i="1"/>
  <c r="F10123" i="1"/>
  <c r="H10122" i="1"/>
  <c r="G10122" i="1"/>
  <c r="F10122" i="1"/>
  <c r="H10121" i="1"/>
  <c r="G10121" i="1"/>
  <c r="F10121" i="1"/>
  <c r="H10120" i="1"/>
  <c r="G10120" i="1"/>
  <c r="F10120" i="1"/>
  <c r="H10119" i="1"/>
  <c r="G10119" i="1"/>
  <c r="F10119" i="1"/>
  <c r="H10118" i="1"/>
  <c r="G10118" i="1"/>
  <c r="F10118" i="1"/>
  <c r="H10117" i="1"/>
  <c r="G10117" i="1"/>
  <c r="F10117" i="1"/>
  <c r="H10116" i="1"/>
  <c r="G10116" i="1"/>
  <c r="F10116" i="1"/>
  <c r="H10115" i="1"/>
  <c r="G10115" i="1"/>
  <c r="F10115" i="1"/>
  <c r="H10114" i="1"/>
  <c r="G10114" i="1"/>
  <c r="F10114" i="1"/>
  <c r="H10113" i="1"/>
  <c r="G10113" i="1"/>
  <c r="F10113" i="1"/>
  <c r="H10112" i="1"/>
  <c r="G10112" i="1"/>
  <c r="F10112" i="1"/>
  <c r="H10111" i="1"/>
  <c r="G10111" i="1"/>
  <c r="F10111" i="1"/>
  <c r="H10110" i="1"/>
  <c r="G10110" i="1"/>
  <c r="F10110" i="1"/>
  <c r="H10109" i="1"/>
  <c r="G10109" i="1"/>
  <c r="F10109" i="1"/>
  <c r="H10108" i="1"/>
  <c r="G10108" i="1"/>
  <c r="F10108" i="1"/>
  <c r="H10107" i="1"/>
  <c r="G10107" i="1"/>
  <c r="F10107" i="1"/>
  <c r="H10106" i="1"/>
  <c r="G10106" i="1"/>
  <c r="F10106" i="1"/>
  <c r="H10105" i="1"/>
  <c r="G10105" i="1"/>
  <c r="F10105" i="1"/>
  <c r="H10104" i="1"/>
  <c r="G10104" i="1"/>
  <c r="F10104" i="1"/>
  <c r="H10103" i="1"/>
  <c r="G10103" i="1"/>
  <c r="F10103" i="1"/>
  <c r="H10102" i="1"/>
  <c r="G10102" i="1"/>
  <c r="F10102" i="1"/>
  <c r="H10101" i="1"/>
  <c r="G10101" i="1"/>
  <c r="F10101" i="1"/>
  <c r="H10100" i="1"/>
  <c r="G10100" i="1"/>
  <c r="F10100" i="1"/>
  <c r="H10099" i="1"/>
  <c r="G10099" i="1"/>
  <c r="F10099" i="1"/>
  <c r="H10098" i="1"/>
  <c r="G10098" i="1"/>
  <c r="F10098" i="1"/>
  <c r="H10097" i="1"/>
  <c r="G10097" i="1"/>
  <c r="F10097" i="1"/>
  <c r="H10096" i="1"/>
  <c r="G10096" i="1"/>
  <c r="F10096" i="1"/>
  <c r="H10095" i="1"/>
  <c r="G10095" i="1"/>
  <c r="F10095" i="1"/>
  <c r="H10094" i="1"/>
  <c r="G10094" i="1"/>
  <c r="F10094" i="1"/>
  <c r="H10093" i="1"/>
  <c r="G10093" i="1"/>
  <c r="F10093" i="1"/>
  <c r="H10092" i="1"/>
  <c r="G10092" i="1"/>
  <c r="F10092" i="1"/>
  <c r="H10091" i="1"/>
  <c r="G10091" i="1"/>
  <c r="F10091" i="1"/>
  <c r="H10090" i="1"/>
  <c r="G10090" i="1"/>
  <c r="F10090" i="1"/>
  <c r="H10089" i="1"/>
  <c r="G10089" i="1"/>
  <c r="F10089" i="1"/>
  <c r="H10088" i="1"/>
  <c r="G10088" i="1"/>
  <c r="F10088" i="1"/>
  <c r="H10087" i="1"/>
  <c r="G10087" i="1"/>
  <c r="F10087" i="1"/>
  <c r="H10086" i="1"/>
  <c r="G10086" i="1"/>
  <c r="F10086" i="1"/>
  <c r="H10085" i="1"/>
  <c r="G10085" i="1"/>
  <c r="F10085" i="1"/>
  <c r="H10084" i="1"/>
  <c r="G10084" i="1"/>
  <c r="F10084" i="1"/>
  <c r="H10083" i="1"/>
  <c r="G10083" i="1"/>
  <c r="F10083" i="1"/>
  <c r="H10082" i="1"/>
  <c r="G10082" i="1"/>
  <c r="F10082" i="1"/>
  <c r="H10081" i="1"/>
  <c r="G10081" i="1"/>
  <c r="F10081" i="1"/>
  <c r="H10080" i="1"/>
  <c r="G10080" i="1"/>
  <c r="F10080" i="1"/>
  <c r="H10079" i="1"/>
  <c r="G10079" i="1"/>
  <c r="F10079" i="1"/>
  <c r="H10078" i="1"/>
  <c r="G10078" i="1"/>
  <c r="F10078" i="1"/>
  <c r="H10077" i="1"/>
  <c r="G10077" i="1"/>
  <c r="F10077" i="1"/>
  <c r="H10076" i="1"/>
  <c r="G10076" i="1"/>
  <c r="F10076" i="1"/>
  <c r="H10075" i="1"/>
  <c r="G10075" i="1"/>
  <c r="F10075" i="1"/>
  <c r="H10074" i="1"/>
  <c r="G10074" i="1"/>
  <c r="F10074" i="1"/>
  <c r="H10073" i="1"/>
  <c r="G10073" i="1"/>
  <c r="F10073" i="1"/>
  <c r="H10072" i="1"/>
  <c r="G10072" i="1"/>
  <c r="F10072" i="1"/>
  <c r="H10071" i="1"/>
  <c r="G10071" i="1"/>
  <c r="F10071" i="1"/>
  <c r="H10070" i="1"/>
  <c r="G10070" i="1"/>
  <c r="F10070" i="1"/>
  <c r="H10069" i="1"/>
  <c r="G10069" i="1"/>
  <c r="F10069" i="1"/>
  <c r="H10068" i="1"/>
  <c r="G10068" i="1"/>
  <c r="F10068" i="1"/>
  <c r="H10067" i="1"/>
  <c r="G10067" i="1"/>
  <c r="F10067" i="1"/>
  <c r="H10066" i="1"/>
  <c r="G10066" i="1"/>
  <c r="F10066" i="1"/>
  <c r="H10065" i="1"/>
  <c r="G10065" i="1"/>
  <c r="F10065" i="1"/>
  <c r="H10064" i="1"/>
  <c r="G10064" i="1"/>
  <c r="F10064" i="1"/>
  <c r="H10063" i="1"/>
  <c r="G10063" i="1"/>
  <c r="F10063" i="1"/>
  <c r="H10062" i="1"/>
  <c r="G10062" i="1"/>
  <c r="F10062" i="1"/>
  <c r="H10061" i="1"/>
  <c r="G10061" i="1"/>
  <c r="F10061" i="1"/>
  <c r="H10060" i="1"/>
  <c r="G10060" i="1"/>
  <c r="F10060" i="1"/>
  <c r="H10059" i="1"/>
  <c r="G10059" i="1"/>
  <c r="F10059" i="1"/>
  <c r="H10058" i="1"/>
  <c r="G10058" i="1"/>
  <c r="F10058" i="1"/>
  <c r="H10057" i="1"/>
  <c r="G10057" i="1"/>
  <c r="F10057" i="1"/>
  <c r="H10056" i="1"/>
  <c r="G10056" i="1"/>
  <c r="F10056" i="1"/>
  <c r="H10055" i="1"/>
  <c r="G10055" i="1"/>
  <c r="F10055" i="1"/>
  <c r="H10054" i="1"/>
  <c r="G10054" i="1"/>
  <c r="F10054" i="1"/>
  <c r="H10053" i="1"/>
  <c r="G10053" i="1"/>
  <c r="F10053" i="1"/>
  <c r="H10052" i="1"/>
  <c r="G10052" i="1"/>
  <c r="F10052" i="1"/>
  <c r="H10051" i="1"/>
  <c r="G10051" i="1"/>
  <c r="F10051" i="1"/>
  <c r="H10050" i="1"/>
  <c r="G10050" i="1"/>
  <c r="F10050" i="1"/>
  <c r="H10049" i="1"/>
  <c r="G10049" i="1"/>
  <c r="F10049" i="1"/>
  <c r="H10048" i="1"/>
  <c r="G10048" i="1"/>
  <c r="F10048" i="1"/>
  <c r="H10047" i="1"/>
  <c r="G10047" i="1"/>
  <c r="F10047" i="1"/>
  <c r="H10046" i="1"/>
  <c r="G10046" i="1"/>
  <c r="F10046" i="1"/>
  <c r="H10045" i="1"/>
  <c r="G10045" i="1"/>
  <c r="F10045" i="1"/>
  <c r="H10044" i="1"/>
  <c r="G10044" i="1"/>
  <c r="F10044" i="1"/>
  <c r="H10043" i="1"/>
  <c r="G10043" i="1"/>
  <c r="F10043" i="1"/>
  <c r="H10042" i="1"/>
  <c r="G10042" i="1"/>
  <c r="F10042" i="1"/>
  <c r="H10041" i="1"/>
  <c r="G10041" i="1"/>
  <c r="F10041" i="1"/>
  <c r="H10040" i="1"/>
  <c r="G10040" i="1"/>
  <c r="F10040" i="1"/>
  <c r="H10039" i="1"/>
  <c r="G10039" i="1"/>
  <c r="F10039" i="1"/>
  <c r="H10038" i="1"/>
  <c r="G10038" i="1"/>
  <c r="F10038" i="1"/>
  <c r="H10037" i="1"/>
  <c r="G10037" i="1"/>
  <c r="F10037" i="1"/>
  <c r="H10036" i="1"/>
  <c r="G10036" i="1"/>
  <c r="F10036" i="1"/>
  <c r="H10035" i="1"/>
  <c r="G10035" i="1"/>
  <c r="F10035" i="1"/>
  <c r="H10034" i="1"/>
  <c r="G10034" i="1"/>
  <c r="F10034" i="1"/>
  <c r="H10033" i="1"/>
  <c r="G10033" i="1"/>
  <c r="F10033" i="1"/>
  <c r="H10032" i="1"/>
  <c r="G10032" i="1"/>
  <c r="F10032" i="1"/>
  <c r="H10031" i="1"/>
  <c r="G10031" i="1"/>
  <c r="F10031" i="1"/>
  <c r="H10030" i="1"/>
  <c r="G10030" i="1"/>
  <c r="F10030" i="1"/>
  <c r="H10029" i="1"/>
  <c r="G10029" i="1"/>
  <c r="F10029" i="1"/>
  <c r="H10028" i="1"/>
  <c r="G10028" i="1"/>
  <c r="F10028" i="1"/>
  <c r="H10027" i="1"/>
  <c r="G10027" i="1"/>
  <c r="F10027" i="1"/>
  <c r="H10026" i="1"/>
  <c r="G10026" i="1"/>
  <c r="F10026" i="1"/>
  <c r="H10025" i="1"/>
  <c r="G10025" i="1"/>
  <c r="F10025" i="1"/>
  <c r="H10024" i="1"/>
  <c r="G10024" i="1"/>
  <c r="F10024" i="1"/>
  <c r="H10023" i="1"/>
  <c r="G10023" i="1"/>
  <c r="F10023" i="1"/>
  <c r="H10022" i="1"/>
  <c r="G10022" i="1"/>
  <c r="F10022" i="1"/>
  <c r="H10021" i="1"/>
  <c r="G10021" i="1"/>
  <c r="F10021" i="1"/>
  <c r="H10020" i="1"/>
  <c r="G10020" i="1"/>
  <c r="F10020" i="1"/>
  <c r="H10019" i="1"/>
  <c r="G10019" i="1"/>
  <c r="F10019" i="1"/>
  <c r="H10018" i="1"/>
  <c r="G10018" i="1"/>
  <c r="F10018" i="1"/>
  <c r="H10017" i="1"/>
  <c r="G10017" i="1"/>
  <c r="F10017" i="1"/>
  <c r="H10016" i="1"/>
  <c r="G10016" i="1"/>
  <c r="F10016" i="1"/>
  <c r="H10015" i="1"/>
  <c r="G10015" i="1"/>
  <c r="F10015" i="1"/>
  <c r="H10014" i="1"/>
  <c r="G10014" i="1"/>
  <c r="F10014" i="1"/>
  <c r="H10013" i="1"/>
  <c r="G10013" i="1"/>
  <c r="F10013" i="1"/>
  <c r="H10012" i="1"/>
  <c r="G10012" i="1"/>
  <c r="F10012" i="1"/>
  <c r="H10011" i="1"/>
  <c r="G10011" i="1"/>
  <c r="F10011" i="1"/>
  <c r="H10010" i="1"/>
  <c r="G10010" i="1"/>
  <c r="F10010" i="1"/>
  <c r="H10009" i="1"/>
  <c r="G10009" i="1"/>
  <c r="F10009" i="1"/>
  <c r="H10008" i="1"/>
  <c r="G10008" i="1"/>
  <c r="F10008" i="1"/>
  <c r="H10007" i="1"/>
  <c r="G10007" i="1"/>
  <c r="F10007" i="1"/>
  <c r="H10006" i="1"/>
  <c r="G10006" i="1"/>
  <c r="F10006" i="1"/>
  <c r="H10005" i="1"/>
  <c r="G10005" i="1"/>
  <c r="F10005" i="1"/>
  <c r="H10004" i="1"/>
  <c r="G10004" i="1"/>
  <c r="F10004" i="1"/>
  <c r="H10003" i="1"/>
  <c r="G10003" i="1"/>
  <c r="F10003" i="1"/>
  <c r="H10002" i="1"/>
  <c r="G10002" i="1"/>
  <c r="F10002" i="1"/>
  <c r="H10001" i="1"/>
  <c r="G10001" i="1"/>
  <c r="F10001" i="1"/>
  <c r="H10000" i="1"/>
  <c r="G10000" i="1"/>
  <c r="F10000" i="1"/>
  <c r="H9999" i="1"/>
  <c r="G9999" i="1"/>
  <c r="F9999" i="1"/>
  <c r="H9998" i="1"/>
  <c r="G9998" i="1"/>
  <c r="F9998" i="1"/>
  <c r="H9997" i="1"/>
  <c r="G9997" i="1"/>
  <c r="F9997" i="1"/>
  <c r="H9996" i="1"/>
  <c r="G9996" i="1"/>
  <c r="F9996" i="1"/>
  <c r="H9995" i="1"/>
  <c r="G9995" i="1"/>
  <c r="F9995" i="1"/>
  <c r="H9994" i="1"/>
  <c r="G9994" i="1"/>
  <c r="F9994" i="1"/>
  <c r="H9993" i="1"/>
  <c r="G9993" i="1"/>
  <c r="F9993" i="1"/>
  <c r="H9992" i="1"/>
  <c r="G9992" i="1"/>
  <c r="F9992" i="1"/>
  <c r="H9991" i="1"/>
  <c r="G9991" i="1"/>
  <c r="F9991" i="1"/>
  <c r="H9990" i="1"/>
  <c r="G9990" i="1"/>
  <c r="F9990" i="1"/>
  <c r="H9989" i="1"/>
  <c r="G9989" i="1"/>
  <c r="F9989" i="1"/>
  <c r="H9988" i="1"/>
  <c r="G9988" i="1"/>
  <c r="F9988" i="1"/>
  <c r="H9987" i="1"/>
  <c r="G9987" i="1"/>
  <c r="F9987" i="1"/>
  <c r="H9986" i="1"/>
  <c r="G9986" i="1"/>
  <c r="F9986" i="1"/>
  <c r="H9985" i="1"/>
  <c r="G9985" i="1"/>
  <c r="F9985" i="1"/>
  <c r="H9984" i="1"/>
  <c r="G9984" i="1"/>
  <c r="F9984" i="1"/>
  <c r="H9983" i="1"/>
  <c r="G9983" i="1"/>
  <c r="F9983" i="1"/>
  <c r="H9982" i="1"/>
  <c r="G9982" i="1"/>
  <c r="F9982" i="1"/>
  <c r="H9981" i="1"/>
  <c r="G9981" i="1"/>
  <c r="F9981" i="1"/>
  <c r="H9980" i="1"/>
  <c r="G9980" i="1"/>
  <c r="F9980" i="1"/>
  <c r="H9979" i="1"/>
  <c r="G9979" i="1"/>
  <c r="F9979" i="1"/>
  <c r="H9978" i="1"/>
  <c r="G9978" i="1"/>
  <c r="F9978" i="1"/>
  <c r="H9977" i="1"/>
  <c r="G9977" i="1"/>
  <c r="F9977" i="1"/>
  <c r="H9976" i="1"/>
  <c r="G9976" i="1"/>
  <c r="F9976" i="1"/>
  <c r="H9975" i="1"/>
  <c r="G9975" i="1"/>
  <c r="F9975" i="1"/>
  <c r="H9974" i="1"/>
  <c r="G9974" i="1"/>
  <c r="F9974" i="1"/>
  <c r="H9973" i="1"/>
  <c r="G9973" i="1"/>
  <c r="F9973" i="1"/>
  <c r="H9972" i="1"/>
  <c r="G9972" i="1"/>
  <c r="F9972" i="1"/>
  <c r="H9971" i="1"/>
  <c r="G9971" i="1"/>
  <c r="F9971" i="1"/>
  <c r="H9970" i="1"/>
  <c r="G9970" i="1"/>
  <c r="F9970" i="1"/>
  <c r="H9969" i="1"/>
  <c r="G9969" i="1"/>
  <c r="F9969" i="1"/>
  <c r="H9968" i="1"/>
  <c r="G9968" i="1"/>
  <c r="F9968" i="1"/>
  <c r="H9967" i="1"/>
  <c r="G9967" i="1"/>
  <c r="F9967" i="1"/>
  <c r="H9966" i="1"/>
  <c r="G9966" i="1"/>
  <c r="F9966" i="1"/>
  <c r="H9965" i="1"/>
  <c r="G9965" i="1"/>
  <c r="F9965" i="1"/>
  <c r="H9964" i="1"/>
  <c r="G9964" i="1"/>
  <c r="F9964" i="1"/>
  <c r="H9963" i="1"/>
  <c r="G9963" i="1"/>
  <c r="F9963" i="1"/>
  <c r="H9962" i="1"/>
  <c r="G9962" i="1"/>
  <c r="F9962" i="1"/>
  <c r="H9961" i="1"/>
  <c r="G9961" i="1"/>
  <c r="F9961" i="1"/>
  <c r="H9960" i="1"/>
  <c r="G9960" i="1"/>
  <c r="F9960" i="1"/>
  <c r="H9959" i="1"/>
  <c r="G9959" i="1"/>
  <c r="F9959" i="1"/>
  <c r="H9958" i="1"/>
  <c r="G9958" i="1"/>
  <c r="F9958" i="1"/>
  <c r="H9957" i="1"/>
  <c r="G9957" i="1"/>
  <c r="F9957" i="1"/>
  <c r="H9956" i="1"/>
  <c r="G9956" i="1"/>
  <c r="F9956" i="1"/>
  <c r="H9955" i="1"/>
  <c r="G9955" i="1"/>
  <c r="F9955" i="1"/>
  <c r="H9954" i="1"/>
  <c r="G9954" i="1"/>
  <c r="F9954" i="1"/>
  <c r="H9953" i="1"/>
  <c r="G9953" i="1"/>
  <c r="F9953" i="1"/>
  <c r="H9952" i="1"/>
  <c r="G9952" i="1"/>
  <c r="F9952" i="1"/>
  <c r="H9951" i="1"/>
  <c r="G9951" i="1"/>
  <c r="F9951" i="1"/>
  <c r="H9950" i="1"/>
  <c r="G9950" i="1"/>
  <c r="F9950" i="1"/>
  <c r="H9949" i="1"/>
  <c r="G9949" i="1"/>
  <c r="F9949" i="1"/>
  <c r="H9948" i="1"/>
  <c r="G9948" i="1"/>
  <c r="F9948" i="1"/>
  <c r="H9947" i="1"/>
  <c r="G9947" i="1"/>
  <c r="F9947" i="1"/>
  <c r="H9946" i="1"/>
  <c r="G9946" i="1"/>
  <c r="F9946" i="1"/>
  <c r="H9945" i="1"/>
  <c r="G9945" i="1"/>
  <c r="F9945" i="1"/>
  <c r="H9944" i="1"/>
  <c r="G9944" i="1"/>
  <c r="F9944" i="1"/>
  <c r="H9943" i="1"/>
  <c r="G9943" i="1"/>
  <c r="F9943" i="1"/>
  <c r="H9942" i="1"/>
  <c r="G9942" i="1"/>
  <c r="F9942" i="1"/>
  <c r="H9941" i="1"/>
  <c r="G9941" i="1"/>
  <c r="F9941" i="1"/>
  <c r="H9940" i="1"/>
  <c r="G9940" i="1"/>
  <c r="F9940" i="1"/>
  <c r="H9939" i="1"/>
  <c r="G9939" i="1"/>
  <c r="F9939" i="1"/>
  <c r="H9938" i="1"/>
  <c r="G9938" i="1"/>
  <c r="F9938" i="1"/>
  <c r="H9937" i="1"/>
  <c r="G9937" i="1"/>
  <c r="F9937" i="1"/>
  <c r="H9936" i="1"/>
  <c r="G9936" i="1"/>
  <c r="F9936" i="1"/>
  <c r="H9935" i="1"/>
  <c r="G9935" i="1"/>
  <c r="F9935" i="1"/>
  <c r="H9934" i="1"/>
  <c r="G9934" i="1"/>
  <c r="F9934" i="1"/>
  <c r="H9933" i="1"/>
  <c r="G9933" i="1"/>
  <c r="F9933" i="1"/>
  <c r="H9932" i="1"/>
  <c r="G9932" i="1"/>
  <c r="F9932" i="1"/>
  <c r="H9931" i="1"/>
  <c r="G9931" i="1"/>
  <c r="F9931" i="1"/>
  <c r="H9930" i="1"/>
  <c r="G9930" i="1"/>
  <c r="F9930" i="1"/>
  <c r="H9929" i="1"/>
  <c r="G9929" i="1"/>
  <c r="F9929" i="1"/>
  <c r="H9928" i="1"/>
  <c r="G9928" i="1"/>
  <c r="F9928" i="1"/>
  <c r="H9927" i="1"/>
  <c r="G9927" i="1"/>
  <c r="F9927" i="1"/>
  <c r="H9926" i="1"/>
  <c r="G9926" i="1"/>
  <c r="F9926" i="1"/>
  <c r="H9925" i="1"/>
  <c r="G9925" i="1"/>
  <c r="F9925" i="1"/>
  <c r="H9924" i="1"/>
  <c r="G9924" i="1"/>
  <c r="F9924" i="1"/>
  <c r="H9923" i="1"/>
  <c r="G9923" i="1"/>
  <c r="F9923" i="1"/>
  <c r="H9922" i="1"/>
  <c r="G9922" i="1"/>
  <c r="F9922" i="1"/>
  <c r="H9921" i="1"/>
  <c r="G9921" i="1"/>
  <c r="F9921" i="1"/>
  <c r="H9920" i="1"/>
  <c r="G9920" i="1"/>
  <c r="F9920" i="1"/>
  <c r="H9919" i="1"/>
  <c r="G9919" i="1"/>
  <c r="F9919" i="1"/>
  <c r="H9918" i="1"/>
  <c r="G9918" i="1"/>
  <c r="F9918" i="1"/>
  <c r="H9917" i="1"/>
  <c r="G9917" i="1"/>
  <c r="F9917" i="1"/>
  <c r="H9916" i="1"/>
  <c r="G9916" i="1"/>
  <c r="F9916" i="1"/>
  <c r="H9915" i="1"/>
  <c r="G9915" i="1"/>
  <c r="F9915" i="1"/>
  <c r="H9914" i="1"/>
  <c r="G9914" i="1"/>
  <c r="F9914" i="1"/>
  <c r="H9913" i="1"/>
  <c r="G9913" i="1"/>
  <c r="F9913" i="1"/>
  <c r="H9912" i="1"/>
  <c r="G9912" i="1"/>
  <c r="F9912" i="1"/>
  <c r="H9911" i="1"/>
  <c r="G9911" i="1"/>
  <c r="F9911" i="1"/>
  <c r="H9910" i="1"/>
  <c r="G9910" i="1"/>
  <c r="F9910" i="1"/>
  <c r="H9909" i="1"/>
  <c r="G9909" i="1"/>
  <c r="F9909" i="1"/>
  <c r="H9908" i="1"/>
  <c r="G9908" i="1"/>
  <c r="F9908" i="1"/>
  <c r="H9907" i="1"/>
  <c r="G9907" i="1"/>
  <c r="F9907" i="1"/>
  <c r="H9906" i="1"/>
  <c r="G9906" i="1"/>
  <c r="F9906" i="1"/>
  <c r="H9905" i="1"/>
  <c r="G9905" i="1"/>
  <c r="F9905" i="1"/>
  <c r="H9904" i="1"/>
  <c r="G9904" i="1"/>
  <c r="F9904" i="1"/>
  <c r="H9903" i="1"/>
  <c r="G9903" i="1"/>
  <c r="F9903" i="1"/>
  <c r="H9902" i="1"/>
  <c r="G9902" i="1"/>
  <c r="F9902" i="1"/>
  <c r="H9901" i="1"/>
  <c r="G9901" i="1"/>
  <c r="F9901" i="1"/>
  <c r="H9900" i="1"/>
  <c r="G9900" i="1"/>
  <c r="F9900" i="1"/>
  <c r="H9899" i="1"/>
  <c r="G9899" i="1"/>
  <c r="F9899" i="1"/>
  <c r="H9898" i="1"/>
  <c r="G9898" i="1"/>
  <c r="F9898" i="1"/>
  <c r="H9897" i="1"/>
  <c r="G9897" i="1"/>
  <c r="F9897" i="1"/>
  <c r="H9896" i="1"/>
  <c r="G9896" i="1"/>
  <c r="F9896" i="1"/>
  <c r="H9895" i="1"/>
  <c r="G9895" i="1"/>
  <c r="F9895" i="1"/>
  <c r="H9894" i="1"/>
  <c r="G9894" i="1"/>
  <c r="F9894" i="1"/>
  <c r="H9893" i="1"/>
  <c r="G9893" i="1"/>
  <c r="F9893" i="1"/>
  <c r="H9892" i="1"/>
  <c r="G9892" i="1"/>
  <c r="F9892" i="1"/>
  <c r="H9891" i="1"/>
  <c r="G9891" i="1"/>
  <c r="F9891" i="1"/>
  <c r="H9890" i="1"/>
  <c r="G9890" i="1"/>
  <c r="F9890" i="1"/>
  <c r="H9889" i="1"/>
  <c r="G9889" i="1"/>
  <c r="F9889" i="1"/>
  <c r="H9888" i="1"/>
  <c r="G9888" i="1"/>
  <c r="F9888" i="1"/>
  <c r="H9887" i="1"/>
  <c r="G9887" i="1"/>
  <c r="F9887" i="1"/>
  <c r="H9886" i="1"/>
  <c r="G9886" i="1"/>
  <c r="F9886" i="1"/>
  <c r="H9885" i="1"/>
  <c r="G9885" i="1"/>
  <c r="F9885" i="1"/>
  <c r="H9884" i="1"/>
  <c r="G9884" i="1"/>
  <c r="F9884" i="1"/>
  <c r="H9883" i="1"/>
  <c r="G9883" i="1"/>
  <c r="F9883" i="1"/>
  <c r="H9882" i="1"/>
  <c r="G9882" i="1"/>
  <c r="F9882" i="1"/>
  <c r="H9881" i="1"/>
  <c r="G9881" i="1"/>
  <c r="F9881" i="1"/>
  <c r="H9880" i="1"/>
  <c r="G9880" i="1"/>
  <c r="F9880" i="1"/>
  <c r="H9879" i="1"/>
  <c r="G9879" i="1"/>
  <c r="F9879" i="1"/>
  <c r="H9878" i="1"/>
  <c r="G9878" i="1"/>
  <c r="F9878" i="1"/>
  <c r="H9877" i="1"/>
  <c r="G9877" i="1"/>
  <c r="F9877" i="1"/>
  <c r="H9876" i="1"/>
  <c r="G9876" i="1"/>
  <c r="F9876" i="1"/>
  <c r="H9875" i="1"/>
  <c r="G9875" i="1"/>
  <c r="F9875" i="1"/>
  <c r="H9874" i="1"/>
  <c r="G9874" i="1"/>
  <c r="F9874" i="1"/>
  <c r="H9873" i="1"/>
  <c r="G9873" i="1"/>
  <c r="F9873" i="1"/>
  <c r="H9872" i="1"/>
  <c r="G9872" i="1"/>
  <c r="F9872" i="1"/>
  <c r="H9871" i="1"/>
  <c r="G9871" i="1"/>
  <c r="F9871" i="1"/>
  <c r="H9870" i="1"/>
  <c r="G9870" i="1"/>
  <c r="F9870" i="1"/>
  <c r="H9869" i="1"/>
  <c r="G9869" i="1"/>
  <c r="F9869" i="1"/>
  <c r="H9868" i="1"/>
  <c r="G9868" i="1"/>
  <c r="F9868" i="1"/>
  <c r="H9867" i="1"/>
  <c r="G9867" i="1"/>
  <c r="F9867" i="1"/>
  <c r="H9866" i="1"/>
  <c r="G9866" i="1"/>
  <c r="F9866" i="1"/>
  <c r="H9865" i="1"/>
  <c r="G9865" i="1"/>
  <c r="F9865" i="1"/>
  <c r="H9864" i="1"/>
  <c r="G9864" i="1"/>
  <c r="F9864" i="1"/>
  <c r="H9863" i="1"/>
  <c r="G9863" i="1"/>
  <c r="F9863" i="1"/>
  <c r="H9862" i="1"/>
  <c r="G9862" i="1"/>
  <c r="F9862" i="1"/>
  <c r="H9861" i="1"/>
  <c r="G9861" i="1"/>
  <c r="F9861" i="1"/>
  <c r="H9860" i="1"/>
  <c r="G9860" i="1"/>
  <c r="F9860" i="1"/>
  <c r="H9859" i="1"/>
  <c r="G9859" i="1"/>
  <c r="F9859" i="1"/>
  <c r="H9858" i="1"/>
  <c r="G9858" i="1"/>
  <c r="F9858" i="1"/>
  <c r="H9857" i="1"/>
  <c r="G9857" i="1"/>
  <c r="F9857" i="1"/>
  <c r="H9856" i="1"/>
  <c r="G9856" i="1"/>
  <c r="F9856" i="1"/>
  <c r="H9855" i="1"/>
  <c r="G9855" i="1"/>
  <c r="F9855" i="1"/>
  <c r="H9854" i="1"/>
  <c r="G9854" i="1"/>
  <c r="F9854" i="1"/>
  <c r="H9853" i="1"/>
  <c r="G9853" i="1"/>
  <c r="F9853" i="1"/>
  <c r="H9852" i="1"/>
  <c r="G9852" i="1"/>
  <c r="F9852" i="1"/>
  <c r="H9851" i="1"/>
  <c r="G9851" i="1"/>
  <c r="F9851" i="1"/>
  <c r="H9850" i="1"/>
  <c r="G9850" i="1"/>
  <c r="F9850" i="1"/>
  <c r="H9849" i="1"/>
  <c r="G9849" i="1"/>
  <c r="F9849" i="1"/>
  <c r="H9848" i="1"/>
  <c r="G9848" i="1"/>
  <c r="F9848" i="1"/>
  <c r="H9847" i="1"/>
  <c r="G9847" i="1"/>
  <c r="F9847" i="1"/>
  <c r="H9846" i="1"/>
  <c r="G9846" i="1"/>
  <c r="F9846" i="1"/>
  <c r="H9845" i="1"/>
  <c r="G9845" i="1"/>
  <c r="F9845" i="1"/>
  <c r="H9844" i="1"/>
  <c r="G9844" i="1"/>
  <c r="F9844" i="1"/>
  <c r="H9843" i="1"/>
  <c r="G9843" i="1"/>
  <c r="F9843" i="1"/>
  <c r="H9842" i="1"/>
  <c r="G9842" i="1"/>
  <c r="F9842" i="1"/>
  <c r="H9841" i="1"/>
  <c r="G9841" i="1"/>
  <c r="F9841" i="1"/>
  <c r="H9840" i="1"/>
  <c r="G9840" i="1"/>
  <c r="F9840" i="1"/>
  <c r="H9839" i="1"/>
  <c r="G9839" i="1"/>
  <c r="F9839" i="1"/>
  <c r="H9838" i="1"/>
  <c r="G9838" i="1"/>
  <c r="F9838" i="1"/>
  <c r="H9837" i="1"/>
  <c r="G9837" i="1"/>
  <c r="F9837" i="1"/>
  <c r="H9836" i="1"/>
  <c r="G9836" i="1"/>
  <c r="F9836" i="1"/>
  <c r="H9835" i="1"/>
  <c r="G9835" i="1"/>
  <c r="F9835" i="1"/>
  <c r="H9834" i="1"/>
  <c r="G9834" i="1"/>
  <c r="F9834" i="1"/>
  <c r="H9833" i="1"/>
  <c r="G9833" i="1"/>
  <c r="F9833" i="1"/>
  <c r="H9832" i="1"/>
  <c r="G9832" i="1"/>
  <c r="F9832" i="1"/>
  <c r="H9831" i="1"/>
  <c r="G9831" i="1"/>
  <c r="F9831" i="1"/>
  <c r="H9830" i="1"/>
  <c r="G9830" i="1"/>
  <c r="F9830" i="1"/>
  <c r="H9829" i="1"/>
  <c r="G9829" i="1"/>
  <c r="F9829" i="1"/>
  <c r="H9828" i="1"/>
  <c r="G9828" i="1"/>
  <c r="F9828" i="1"/>
  <c r="H9827" i="1"/>
  <c r="G9827" i="1"/>
  <c r="F9827" i="1"/>
  <c r="H9826" i="1"/>
  <c r="G9826" i="1"/>
  <c r="F9826" i="1"/>
  <c r="H9825" i="1"/>
  <c r="G9825" i="1"/>
  <c r="F9825" i="1"/>
  <c r="H9824" i="1"/>
  <c r="G9824" i="1"/>
  <c r="F9824" i="1"/>
  <c r="H9823" i="1"/>
  <c r="G9823" i="1"/>
  <c r="F9823" i="1"/>
  <c r="H9822" i="1"/>
  <c r="G9822" i="1"/>
  <c r="F9822" i="1"/>
  <c r="H9821" i="1"/>
  <c r="G9821" i="1"/>
  <c r="F9821" i="1"/>
  <c r="H9820" i="1"/>
  <c r="G9820" i="1"/>
  <c r="F9820" i="1"/>
  <c r="H9819" i="1"/>
  <c r="G9819" i="1"/>
  <c r="F9819" i="1"/>
  <c r="H9818" i="1"/>
  <c r="G9818" i="1"/>
  <c r="F9818" i="1"/>
  <c r="H9817" i="1"/>
  <c r="G9817" i="1"/>
  <c r="F9817" i="1"/>
  <c r="H9816" i="1"/>
  <c r="G9816" i="1"/>
  <c r="F9816" i="1"/>
  <c r="H9815" i="1"/>
  <c r="G9815" i="1"/>
  <c r="F9815" i="1"/>
  <c r="H9814" i="1"/>
  <c r="G9814" i="1"/>
  <c r="F9814" i="1"/>
  <c r="H9813" i="1"/>
  <c r="G9813" i="1"/>
  <c r="F9813" i="1"/>
  <c r="H9812" i="1"/>
  <c r="G9812" i="1"/>
  <c r="F9812" i="1"/>
  <c r="H9811" i="1"/>
  <c r="G9811" i="1"/>
  <c r="F9811" i="1"/>
  <c r="H9810" i="1"/>
  <c r="G9810" i="1"/>
  <c r="F9810" i="1"/>
  <c r="H9809" i="1"/>
  <c r="G9809" i="1"/>
  <c r="F9809" i="1"/>
  <c r="H9808" i="1"/>
  <c r="G9808" i="1"/>
  <c r="F9808" i="1"/>
  <c r="H9807" i="1"/>
  <c r="G9807" i="1"/>
  <c r="F9807" i="1"/>
  <c r="H9806" i="1"/>
  <c r="G9806" i="1"/>
  <c r="F9806" i="1"/>
  <c r="H9805" i="1"/>
  <c r="G9805" i="1"/>
  <c r="F9805" i="1"/>
  <c r="H9804" i="1"/>
  <c r="G9804" i="1"/>
  <c r="F9804" i="1"/>
  <c r="H9803" i="1"/>
  <c r="G9803" i="1"/>
  <c r="F9803" i="1"/>
  <c r="H9802" i="1"/>
  <c r="G9802" i="1"/>
  <c r="F9802" i="1"/>
  <c r="H9801" i="1"/>
  <c r="G9801" i="1"/>
  <c r="F9801" i="1"/>
  <c r="H9800" i="1"/>
  <c r="G9800" i="1"/>
  <c r="F9800" i="1"/>
  <c r="H9799" i="1"/>
  <c r="G9799" i="1"/>
  <c r="F9799" i="1"/>
  <c r="H9798" i="1"/>
  <c r="G9798" i="1"/>
  <c r="F9798" i="1"/>
  <c r="H9797" i="1"/>
  <c r="G9797" i="1"/>
  <c r="F9797" i="1"/>
  <c r="H9796" i="1"/>
  <c r="G9796" i="1"/>
  <c r="F9796" i="1"/>
  <c r="H9795" i="1"/>
  <c r="G9795" i="1"/>
  <c r="F9795" i="1"/>
  <c r="H9794" i="1"/>
  <c r="G9794" i="1"/>
  <c r="F9794" i="1"/>
  <c r="H9793" i="1"/>
  <c r="G9793" i="1"/>
  <c r="F9793" i="1"/>
  <c r="H9792" i="1"/>
  <c r="G9792" i="1"/>
  <c r="F9792" i="1"/>
  <c r="H9791" i="1"/>
  <c r="G9791" i="1"/>
  <c r="F9791" i="1"/>
  <c r="H9790" i="1"/>
  <c r="G9790" i="1"/>
  <c r="F9790" i="1"/>
  <c r="H9789" i="1"/>
  <c r="G9789" i="1"/>
  <c r="F9789" i="1"/>
  <c r="H9788" i="1"/>
  <c r="G9788" i="1"/>
  <c r="F9788" i="1"/>
  <c r="H9787" i="1"/>
  <c r="G9787" i="1"/>
  <c r="F9787" i="1"/>
  <c r="H9786" i="1"/>
  <c r="G9786" i="1"/>
  <c r="F9786" i="1"/>
  <c r="H9785" i="1"/>
  <c r="G9785" i="1"/>
  <c r="F9785" i="1"/>
  <c r="H9784" i="1"/>
  <c r="G9784" i="1"/>
  <c r="F9784" i="1"/>
  <c r="H9783" i="1"/>
  <c r="G9783" i="1"/>
  <c r="F9783" i="1"/>
  <c r="H9782" i="1"/>
  <c r="G9782" i="1"/>
  <c r="F9782" i="1"/>
  <c r="H9781" i="1"/>
  <c r="G9781" i="1"/>
  <c r="F9781" i="1"/>
  <c r="H9780" i="1"/>
  <c r="G9780" i="1"/>
  <c r="F9780" i="1"/>
  <c r="H9779" i="1"/>
  <c r="G9779" i="1"/>
  <c r="F9779" i="1"/>
  <c r="H9778" i="1"/>
  <c r="G9778" i="1"/>
  <c r="F9778" i="1"/>
  <c r="H9777" i="1"/>
  <c r="G9777" i="1"/>
  <c r="F9777" i="1"/>
  <c r="H9776" i="1"/>
  <c r="G9776" i="1"/>
  <c r="F9776" i="1"/>
  <c r="H9775" i="1"/>
  <c r="G9775" i="1"/>
  <c r="F9775" i="1"/>
  <c r="H9774" i="1"/>
  <c r="G9774" i="1"/>
  <c r="F9774" i="1"/>
  <c r="H9773" i="1"/>
  <c r="G9773" i="1"/>
  <c r="F9773" i="1"/>
  <c r="H9772" i="1"/>
  <c r="G9772" i="1"/>
  <c r="F9772" i="1"/>
  <c r="H9771" i="1"/>
  <c r="G9771" i="1"/>
  <c r="F9771" i="1"/>
  <c r="H9770" i="1"/>
  <c r="G9770" i="1"/>
  <c r="F9770" i="1"/>
  <c r="H9769" i="1"/>
  <c r="G9769" i="1"/>
  <c r="F9769" i="1"/>
  <c r="H9768" i="1"/>
  <c r="G9768" i="1"/>
  <c r="F9768" i="1"/>
  <c r="H9767" i="1"/>
  <c r="G9767" i="1"/>
  <c r="F9767" i="1"/>
  <c r="H9766" i="1"/>
  <c r="G9766" i="1"/>
  <c r="F9766" i="1"/>
  <c r="H9765" i="1"/>
  <c r="G9765" i="1"/>
  <c r="F9765" i="1"/>
  <c r="H9764" i="1"/>
  <c r="G9764" i="1"/>
  <c r="F9764" i="1"/>
  <c r="H9763" i="1"/>
  <c r="G9763" i="1"/>
  <c r="F9763" i="1"/>
  <c r="H9762" i="1"/>
  <c r="G9762" i="1"/>
  <c r="F9762" i="1"/>
  <c r="H9761" i="1"/>
  <c r="G9761" i="1"/>
  <c r="F9761" i="1"/>
  <c r="H9760" i="1"/>
  <c r="G9760" i="1"/>
  <c r="F9760" i="1"/>
  <c r="H9759" i="1"/>
  <c r="G9759" i="1"/>
  <c r="F9759" i="1"/>
  <c r="H9758" i="1"/>
  <c r="G9758" i="1"/>
  <c r="F9758" i="1"/>
  <c r="H9757" i="1"/>
  <c r="G9757" i="1"/>
  <c r="F9757" i="1"/>
  <c r="H9756" i="1"/>
  <c r="G9756" i="1"/>
  <c r="F9756" i="1"/>
  <c r="H9755" i="1"/>
  <c r="G9755" i="1"/>
  <c r="F9755" i="1"/>
  <c r="H9754" i="1"/>
  <c r="G9754" i="1"/>
  <c r="F9754" i="1"/>
  <c r="H9753" i="1"/>
  <c r="G9753" i="1"/>
  <c r="F9753" i="1"/>
  <c r="H9752" i="1"/>
  <c r="G9752" i="1"/>
  <c r="F9752" i="1"/>
  <c r="H9751" i="1"/>
  <c r="G9751" i="1"/>
  <c r="F9751" i="1"/>
  <c r="H9750" i="1"/>
  <c r="G9750" i="1"/>
  <c r="F9750" i="1"/>
  <c r="H9749" i="1"/>
  <c r="G9749" i="1"/>
  <c r="F9749" i="1"/>
  <c r="H9748" i="1"/>
  <c r="G9748" i="1"/>
  <c r="F9748" i="1"/>
  <c r="H9747" i="1"/>
  <c r="G9747" i="1"/>
  <c r="F9747" i="1"/>
  <c r="H9746" i="1"/>
  <c r="G9746" i="1"/>
  <c r="F9746" i="1"/>
  <c r="H9745" i="1"/>
  <c r="G9745" i="1"/>
  <c r="F9745" i="1"/>
  <c r="H9744" i="1"/>
  <c r="G9744" i="1"/>
  <c r="F9744" i="1"/>
  <c r="H9743" i="1"/>
  <c r="G9743" i="1"/>
  <c r="F9743" i="1"/>
  <c r="H9742" i="1"/>
  <c r="G9742" i="1"/>
  <c r="F9742" i="1"/>
  <c r="H9741" i="1"/>
  <c r="G9741" i="1"/>
  <c r="F9741" i="1"/>
  <c r="H9740" i="1"/>
  <c r="G9740" i="1"/>
  <c r="F9740" i="1"/>
  <c r="H9739" i="1"/>
  <c r="G9739" i="1"/>
  <c r="F9739" i="1"/>
  <c r="H9738" i="1"/>
  <c r="G9738" i="1"/>
  <c r="F9738" i="1"/>
  <c r="H9737" i="1"/>
  <c r="G9737" i="1"/>
  <c r="F9737" i="1"/>
  <c r="H9736" i="1"/>
  <c r="G9736" i="1"/>
  <c r="F9736" i="1"/>
  <c r="H9735" i="1"/>
  <c r="G9735" i="1"/>
  <c r="F9735" i="1"/>
  <c r="H9734" i="1"/>
  <c r="G9734" i="1"/>
  <c r="F9734" i="1"/>
  <c r="H9733" i="1"/>
  <c r="G9733" i="1"/>
  <c r="F9733" i="1"/>
  <c r="H9732" i="1"/>
  <c r="G9732" i="1"/>
  <c r="F9732" i="1"/>
  <c r="H9731" i="1"/>
  <c r="G9731" i="1"/>
  <c r="F9731" i="1"/>
  <c r="H9730" i="1"/>
  <c r="G9730" i="1"/>
  <c r="F9730" i="1"/>
  <c r="H9729" i="1"/>
  <c r="G9729" i="1"/>
  <c r="F9729" i="1"/>
  <c r="H9728" i="1"/>
  <c r="G9728" i="1"/>
  <c r="F9728" i="1"/>
  <c r="H9727" i="1"/>
  <c r="G9727" i="1"/>
  <c r="F9727" i="1"/>
  <c r="H9726" i="1"/>
  <c r="G9726" i="1"/>
  <c r="F9726" i="1"/>
  <c r="H9725" i="1"/>
  <c r="G9725" i="1"/>
  <c r="F9725" i="1"/>
  <c r="H9724" i="1"/>
  <c r="G9724" i="1"/>
  <c r="F9724" i="1"/>
  <c r="H9723" i="1"/>
  <c r="G9723" i="1"/>
  <c r="F9723" i="1"/>
  <c r="H9722" i="1"/>
  <c r="G9722" i="1"/>
  <c r="F9722" i="1"/>
  <c r="H9721" i="1"/>
  <c r="G9721" i="1"/>
  <c r="F9721" i="1"/>
  <c r="H9720" i="1"/>
  <c r="G9720" i="1"/>
  <c r="F9720" i="1"/>
  <c r="H9719" i="1"/>
  <c r="G9719" i="1"/>
  <c r="F9719" i="1"/>
  <c r="H9718" i="1"/>
  <c r="G9718" i="1"/>
  <c r="F9718" i="1"/>
  <c r="H9717" i="1"/>
  <c r="G9717" i="1"/>
  <c r="F9717" i="1"/>
  <c r="H9716" i="1"/>
  <c r="G9716" i="1"/>
  <c r="F9716" i="1"/>
  <c r="H9715" i="1"/>
  <c r="G9715" i="1"/>
  <c r="F9715" i="1"/>
  <c r="H9714" i="1"/>
  <c r="G9714" i="1"/>
  <c r="F9714" i="1"/>
  <c r="H9713" i="1"/>
  <c r="G9713" i="1"/>
  <c r="F9713" i="1"/>
  <c r="H9712" i="1"/>
  <c r="G9712" i="1"/>
  <c r="F9712" i="1"/>
  <c r="H9711" i="1"/>
  <c r="G9711" i="1"/>
  <c r="F9711" i="1"/>
  <c r="H9710" i="1"/>
  <c r="G9710" i="1"/>
  <c r="F9710" i="1"/>
  <c r="H9709" i="1"/>
  <c r="G9709" i="1"/>
  <c r="F9709" i="1"/>
  <c r="H9708" i="1"/>
  <c r="G9708" i="1"/>
  <c r="F9708" i="1"/>
  <c r="H9707" i="1"/>
  <c r="G9707" i="1"/>
  <c r="F9707" i="1"/>
  <c r="H9706" i="1"/>
  <c r="G9706" i="1"/>
  <c r="F9706" i="1"/>
  <c r="H9705" i="1"/>
  <c r="G9705" i="1"/>
  <c r="F9705" i="1"/>
  <c r="H9704" i="1"/>
  <c r="G9704" i="1"/>
  <c r="F9704" i="1"/>
  <c r="H9703" i="1"/>
  <c r="G9703" i="1"/>
  <c r="F9703" i="1"/>
  <c r="H9702" i="1"/>
  <c r="G9702" i="1"/>
  <c r="F9702" i="1"/>
  <c r="H9701" i="1"/>
  <c r="G9701" i="1"/>
  <c r="F9701" i="1"/>
  <c r="H9700" i="1"/>
  <c r="G9700" i="1"/>
  <c r="F9700" i="1"/>
  <c r="H9699" i="1"/>
  <c r="G9699" i="1"/>
  <c r="F9699" i="1"/>
  <c r="H9698" i="1"/>
  <c r="G9698" i="1"/>
  <c r="F9698" i="1"/>
  <c r="H9697" i="1"/>
  <c r="G9697" i="1"/>
  <c r="F9697" i="1"/>
  <c r="H9696" i="1"/>
  <c r="G9696" i="1"/>
  <c r="F9696" i="1"/>
  <c r="H9695" i="1"/>
  <c r="G9695" i="1"/>
  <c r="F9695" i="1"/>
  <c r="H9694" i="1"/>
  <c r="G9694" i="1"/>
  <c r="F9694" i="1"/>
  <c r="H9693" i="1"/>
  <c r="G9693" i="1"/>
  <c r="F9693" i="1"/>
  <c r="H9692" i="1"/>
  <c r="G9692" i="1"/>
  <c r="F9692" i="1"/>
  <c r="H9691" i="1"/>
  <c r="G9691" i="1"/>
  <c r="F9691" i="1"/>
  <c r="H9690" i="1"/>
  <c r="G9690" i="1"/>
  <c r="F9690" i="1"/>
  <c r="H9689" i="1"/>
  <c r="G9689" i="1"/>
  <c r="F9689" i="1"/>
  <c r="H9688" i="1"/>
  <c r="G9688" i="1"/>
  <c r="F9688" i="1"/>
  <c r="H9687" i="1"/>
  <c r="G9687" i="1"/>
  <c r="F9687" i="1"/>
  <c r="H9686" i="1"/>
  <c r="G9686" i="1"/>
  <c r="F9686" i="1"/>
  <c r="H9685" i="1"/>
  <c r="G9685" i="1"/>
  <c r="F9685" i="1"/>
  <c r="H9684" i="1"/>
  <c r="G9684" i="1"/>
  <c r="F9684" i="1"/>
  <c r="H9683" i="1"/>
  <c r="G9683" i="1"/>
  <c r="F9683" i="1"/>
  <c r="H9682" i="1"/>
  <c r="G9682" i="1"/>
  <c r="F9682" i="1"/>
  <c r="H9681" i="1"/>
  <c r="G9681" i="1"/>
  <c r="F9681" i="1"/>
  <c r="H9680" i="1"/>
  <c r="G9680" i="1"/>
  <c r="F9680" i="1"/>
  <c r="H9679" i="1"/>
  <c r="G9679" i="1"/>
  <c r="F9679" i="1"/>
  <c r="H9678" i="1"/>
  <c r="G9678" i="1"/>
  <c r="F9678" i="1"/>
  <c r="H9677" i="1"/>
  <c r="G9677" i="1"/>
  <c r="F9677" i="1"/>
  <c r="H9676" i="1"/>
  <c r="G9676" i="1"/>
  <c r="F9676" i="1"/>
  <c r="H9675" i="1"/>
  <c r="G9675" i="1"/>
  <c r="F9675" i="1"/>
  <c r="H9674" i="1"/>
  <c r="G9674" i="1"/>
  <c r="F9674" i="1"/>
  <c r="H9673" i="1"/>
  <c r="G9673" i="1"/>
  <c r="F9673" i="1"/>
  <c r="H9672" i="1"/>
  <c r="G9672" i="1"/>
  <c r="F9672" i="1"/>
  <c r="H9671" i="1"/>
  <c r="G9671" i="1"/>
  <c r="F9671" i="1"/>
  <c r="H9670" i="1"/>
  <c r="G9670" i="1"/>
  <c r="F9670" i="1"/>
  <c r="H9669" i="1"/>
  <c r="G9669" i="1"/>
  <c r="F9669" i="1"/>
  <c r="H9668" i="1"/>
  <c r="G9668" i="1"/>
  <c r="F9668" i="1"/>
  <c r="H9667" i="1"/>
  <c r="G9667" i="1"/>
  <c r="F9667" i="1"/>
  <c r="H9666" i="1"/>
  <c r="G9666" i="1"/>
  <c r="F9666" i="1"/>
  <c r="H9665" i="1"/>
  <c r="G9665" i="1"/>
  <c r="F9665" i="1"/>
  <c r="H9664" i="1"/>
  <c r="G9664" i="1"/>
  <c r="F9664" i="1"/>
  <c r="H9663" i="1"/>
  <c r="G9663" i="1"/>
  <c r="F9663" i="1"/>
  <c r="H9662" i="1"/>
  <c r="G9662" i="1"/>
  <c r="F9662" i="1"/>
  <c r="H9661" i="1"/>
  <c r="G9661" i="1"/>
  <c r="F9661" i="1"/>
  <c r="H9660" i="1"/>
  <c r="G9660" i="1"/>
  <c r="F9660" i="1"/>
  <c r="H9659" i="1"/>
  <c r="G9659" i="1"/>
  <c r="F9659" i="1"/>
  <c r="H9658" i="1"/>
  <c r="G9658" i="1"/>
  <c r="F9658" i="1"/>
  <c r="H9657" i="1"/>
  <c r="G9657" i="1"/>
  <c r="F9657" i="1"/>
  <c r="H9656" i="1"/>
  <c r="G9656" i="1"/>
  <c r="F9656" i="1"/>
  <c r="H9655" i="1"/>
  <c r="G9655" i="1"/>
  <c r="F9655" i="1"/>
  <c r="H9654" i="1"/>
  <c r="G9654" i="1"/>
  <c r="F9654" i="1"/>
  <c r="H9653" i="1"/>
  <c r="G9653" i="1"/>
  <c r="F9653" i="1"/>
  <c r="H9652" i="1"/>
  <c r="G9652" i="1"/>
  <c r="F9652" i="1"/>
  <c r="H9651" i="1"/>
  <c r="G9651" i="1"/>
  <c r="F9651" i="1"/>
  <c r="H9650" i="1"/>
  <c r="G9650" i="1"/>
  <c r="F9650" i="1"/>
  <c r="H9649" i="1"/>
  <c r="G9649" i="1"/>
  <c r="F9649" i="1"/>
  <c r="H9648" i="1"/>
  <c r="G9648" i="1"/>
  <c r="F9648" i="1"/>
  <c r="H9647" i="1"/>
  <c r="G9647" i="1"/>
  <c r="F9647" i="1"/>
  <c r="H9646" i="1"/>
  <c r="G9646" i="1"/>
  <c r="F9646" i="1"/>
  <c r="H9645" i="1"/>
  <c r="G9645" i="1"/>
  <c r="F9645" i="1"/>
  <c r="H9644" i="1"/>
  <c r="G9644" i="1"/>
  <c r="F9644" i="1"/>
  <c r="H9643" i="1"/>
  <c r="G9643" i="1"/>
  <c r="F9643" i="1"/>
  <c r="H9642" i="1"/>
  <c r="G9642" i="1"/>
  <c r="F9642" i="1"/>
  <c r="H9641" i="1"/>
  <c r="G9641" i="1"/>
  <c r="F9641" i="1"/>
  <c r="H9640" i="1"/>
  <c r="G9640" i="1"/>
  <c r="F9640" i="1"/>
  <c r="H9639" i="1"/>
  <c r="G9639" i="1"/>
  <c r="F9639" i="1"/>
  <c r="H9638" i="1"/>
  <c r="G9638" i="1"/>
  <c r="F9638" i="1"/>
  <c r="H9637" i="1"/>
  <c r="G9637" i="1"/>
  <c r="F9637" i="1"/>
  <c r="H9636" i="1"/>
  <c r="G9636" i="1"/>
  <c r="F9636" i="1"/>
  <c r="H9635" i="1"/>
  <c r="G9635" i="1"/>
  <c r="F9635" i="1"/>
  <c r="H9634" i="1"/>
  <c r="G9634" i="1"/>
  <c r="F9634" i="1"/>
  <c r="H9633" i="1"/>
  <c r="G9633" i="1"/>
  <c r="F9633" i="1"/>
  <c r="H9632" i="1"/>
  <c r="G9632" i="1"/>
  <c r="F9632" i="1"/>
  <c r="H9631" i="1"/>
  <c r="G9631" i="1"/>
  <c r="F9631" i="1"/>
  <c r="H9630" i="1"/>
  <c r="G9630" i="1"/>
  <c r="F9630" i="1"/>
  <c r="H9629" i="1"/>
  <c r="G9629" i="1"/>
  <c r="F9629" i="1"/>
  <c r="H9628" i="1"/>
  <c r="G9628" i="1"/>
  <c r="F9628" i="1"/>
  <c r="H9627" i="1"/>
  <c r="G9627" i="1"/>
  <c r="F9627" i="1"/>
  <c r="H9626" i="1"/>
  <c r="G9626" i="1"/>
  <c r="F9626" i="1"/>
  <c r="H9625" i="1"/>
  <c r="G9625" i="1"/>
  <c r="F9625" i="1"/>
  <c r="H9624" i="1"/>
  <c r="G9624" i="1"/>
  <c r="F9624" i="1"/>
  <c r="H9623" i="1"/>
  <c r="G9623" i="1"/>
  <c r="F9623" i="1"/>
  <c r="H9622" i="1"/>
  <c r="G9622" i="1"/>
  <c r="F9622" i="1"/>
  <c r="H9621" i="1"/>
  <c r="G9621" i="1"/>
  <c r="F9621" i="1"/>
  <c r="H9620" i="1"/>
  <c r="G9620" i="1"/>
  <c r="F9620" i="1"/>
  <c r="H9619" i="1"/>
  <c r="G9619" i="1"/>
  <c r="F9619" i="1"/>
  <c r="H9618" i="1"/>
  <c r="G9618" i="1"/>
  <c r="F9618" i="1"/>
  <c r="H9617" i="1"/>
  <c r="G9617" i="1"/>
  <c r="F9617" i="1"/>
  <c r="H9616" i="1"/>
  <c r="G9616" i="1"/>
  <c r="F9616" i="1"/>
  <c r="H9615" i="1"/>
  <c r="G9615" i="1"/>
  <c r="F9615" i="1"/>
  <c r="H9614" i="1"/>
  <c r="G9614" i="1"/>
  <c r="F9614" i="1"/>
  <c r="H9613" i="1"/>
  <c r="G9613" i="1"/>
  <c r="F9613" i="1"/>
  <c r="H9612" i="1"/>
  <c r="G9612" i="1"/>
  <c r="F9612" i="1"/>
  <c r="H9611" i="1"/>
  <c r="G9611" i="1"/>
  <c r="F9611" i="1"/>
  <c r="H9610" i="1"/>
  <c r="G9610" i="1"/>
  <c r="F9610" i="1"/>
  <c r="H9609" i="1"/>
  <c r="G9609" i="1"/>
  <c r="F9609" i="1"/>
  <c r="H9608" i="1"/>
  <c r="G9608" i="1"/>
  <c r="F9608" i="1"/>
  <c r="H9607" i="1"/>
  <c r="G9607" i="1"/>
  <c r="F9607" i="1"/>
  <c r="H9606" i="1"/>
  <c r="G9606" i="1"/>
  <c r="F9606" i="1"/>
  <c r="H9605" i="1"/>
  <c r="G9605" i="1"/>
  <c r="F9605" i="1"/>
  <c r="H9604" i="1"/>
  <c r="G9604" i="1"/>
  <c r="F9604" i="1"/>
  <c r="H9603" i="1"/>
  <c r="G9603" i="1"/>
  <c r="F9603" i="1"/>
  <c r="H9602" i="1"/>
  <c r="G9602" i="1"/>
  <c r="F9602" i="1"/>
  <c r="H9601" i="1"/>
  <c r="G9601" i="1"/>
  <c r="F9601" i="1"/>
  <c r="H9600" i="1"/>
  <c r="G9600" i="1"/>
  <c r="F9600" i="1"/>
  <c r="H9599" i="1"/>
  <c r="G9599" i="1"/>
  <c r="F9599" i="1"/>
  <c r="H9598" i="1"/>
  <c r="G9598" i="1"/>
  <c r="F9598" i="1"/>
  <c r="H9597" i="1"/>
  <c r="G9597" i="1"/>
  <c r="F9597" i="1"/>
  <c r="H9596" i="1"/>
  <c r="G9596" i="1"/>
  <c r="F9596" i="1"/>
  <c r="H9595" i="1"/>
  <c r="G9595" i="1"/>
  <c r="F9595" i="1"/>
  <c r="H9594" i="1"/>
  <c r="G9594" i="1"/>
  <c r="F9594" i="1"/>
  <c r="H9593" i="1"/>
  <c r="G9593" i="1"/>
  <c r="F9593" i="1"/>
  <c r="H9592" i="1"/>
  <c r="G9592" i="1"/>
  <c r="F9592" i="1"/>
  <c r="H9591" i="1"/>
  <c r="G9591" i="1"/>
  <c r="F9591" i="1"/>
  <c r="H9590" i="1"/>
  <c r="G9590" i="1"/>
  <c r="F9590" i="1"/>
  <c r="H9589" i="1"/>
  <c r="G9589" i="1"/>
  <c r="F9589" i="1"/>
  <c r="H9588" i="1"/>
  <c r="G9588" i="1"/>
  <c r="F9588" i="1"/>
  <c r="H9587" i="1"/>
  <c r="G9587" i="1"/>
  <c r="F9587" i="1"/>
  <c r="H9586" i="1"/>
  <c r="G9586" i="1"/>
  <c r="F9586" i="1"/>
  <c r="H9585" i="1"/>
  <c r="G9585" i="1"/>
  <c r="F9585" i="1"/>
  <c r="H9584" i="1"/>
  <c r="G9584" i="1"/>
  <c r="F9584" i="1"/>
  <c r="H9583" i="1"/>
  <c r="G9583" i="1"/>
  <c r="F9583" i="1"/>
  <c r="H9582" i="1"/>
  <c r="G9582" i="1"/>
  <c r="F9582" i="1"/>
  <c r="H9581" i="1"/>
  <c r="G9581" i="1"/>
  <c r="F9581" i="1"/>
  <c r="H9580" i="1"/>
  <c r="G9580" i="1"/>
  <c r="F9580" i="1"/>
  <c r="H9579" i="1"/>
  <c r="G9579" i="1"/>
  <c r="F9579" i="1"/>
  <c r="H9578" i="1"/>
  <c r="G9578" i="1"/>
  <c r="F9578" i="1"/>
  <c r="H9577" i="1"/>
  <c r="G9577" i="1"/>
  <c r="F9577" i="1"/>
  <c r="H9576" i="1"/>
  <c r="G9576" i="1"/>
  <c r="F9576" i="1"/>
  <c r="H9575" i="1"/>
  <c r="G9575" i="1"/>
  <c r="F9575" i="1"/>
  <c r="H9574" i="1"/>
  <c r="G9574" i="1"/>
  <c r="F9574" i="1"/>
  <c r="H9573" i="1"/>
  <c r="G9573" i="1"/>
  <c r="F9573" i="1"/>
  <c r="H9572" i="1"/>
  <c r="G9572" i="1"/>
  <c r="F9572" i="1"/>
  <c r="H9571" i="1"/>
  <c r="G9571" i="1"/>
  <c r="F9571" i="1"/>
  <c r="H9570" i="1"/>
  <c r="G9570" i="1"/>
  <c r="F9570" i="1"/>
  <c r="H9569" i="1"/>
  <c r="G9569" i="1"/>
  <c r="F9569" i="1"/>
  <c r="H9568" i="1"/>
  <c r="G9568" i="1"/>
  <c r="F9568" i="1"/>
  <c r="H9567" i="1"/>
  <c r="G9567" i="1"/>
  <c r="F9567" i="1"/>
  <c r="H9566" i="1"/>
  <c r="G9566" i="1"/>
  <c r="F9566" i="1"/>
  <c r="H9565" i="1"/>
  <c r="G9565" i="1"/>
  <c r="F9565" i="1"/>
  <c r="H9564" i="1"/>
  <c r="G9564" i="1"/>
  <c r="F9564" i="1"/>
  <c r="H9563" i="1"/>
  <c r="G9563" i="1"/>
  <c r="F9563" i="1"/>
  <c r="H9562" i="1"/>
  <c r="G9562" i="1"/>
  <c r="F9562" i="1"/>
  <c r="H9561" i="1"/>
  <c r="G9561" i="1"/>
  <c r="F9561" i="1"/>
  <c r="H9560" i="1"/>
  <c r="G9560" i="1"/>
  <c r="F9560" i="1"/>
  <c r="H9559" i="1"/>
  <c r="G9559" i="1"/>
  <c r="F9559" i="1"/>
  <c r="H9558" i="1"/>
  <c r="G9558" i="1"/>
  <c r="F9558" i="1"/>
  <c r="H9557" i="1"/>
  <c r="G9557" i="1"/>
  <c r="F9557" i="1"/>
  <c r="H9556" i="1"/>
  <c r="G9556" i="1"/>
  <c r="F9556" i="1"/>
  <c r="H9555" i="1"/>
  <c r="G9555" i="1"/>
  <c r="F9555" i="1"/>
  <c r="H9554" i="1"/>
  <c r="G9554" i="1"/>
  <c r="F9554" i="1"/>
  <c r="H9553" i="1"/>
  <c r="G9553" i="1"/>
  <c r="F9553" i="1"/>
  <c r="H9552" i="1"/>
  <c r="G9552" i="1"/>
  <c r="F9552" i="1"/>
  <c r="H9551" i="1"/>
  <c r="G9551" i="1"/>
  <c r="F9551" i="1"/>
  <c r="H9550" i="1"/>
  <c r="G9550" i="1"/>
  <c r="F9550" i="1"/>
  <c r="H9549" i="1"/>
  <c r="G9549" i="1"/>
  <c r="F9549" i="1"/>
  <c r="H9548" i="1"/>
  <c r="G9548" i="1"/>
  <c r="F9548" i="1"/>
  <c r="H9547" i="1"/>
  <c r="G9547" i="1"/>
  <c r="F9547" i="1"/>
  <c r="H9546" i="1"/>
  <c r="G9546" i="1"/>
  <c r="F9546" i="1"/>
  <c r="H9545" i="1"/>
  <c r="G9545" i="1"/>
  <c r="F9545" i="1"/>
  <c r="H9544" i="1"/>
  <c r="G9544" i="1"/>
  <c r="F9544" i="1"/>
  <c r="H9543" i="1"/>
  <c r="G9543" i="1"/>
  <c r="F9543" i="1"/>
  <c r="H9542" i="1"/>
  <c r="G9542" i="1"/>
  <c r="F9542" i="1"/>
  <c r="H9541" i="1"/>
  <c r="G9541" i="1"/>
  <c r="F9541" i="1"/>
  <c r="H9540" i="1"/>
  <c r="G9540" i="1"/>
  <c r="F9540" i="1"/>
  <c r="H9539" i="1"/>
  <c r="G9539" i="1"/>
  <c r="F9539" i="1"/>
  <c r="H9538" i="1"/>
  <c r="G9538" i="1"/>
  <c r="F9538" i="1"/>
  <c r="H9537" i="1"/>
  <c r="G9537" i="1"/>
  <c r="F9537" i="1"/>
  <c r="H9536" i="1"/>
  <c r="G9536" i="1"/>
  <c r="F9536" i="1"/>
  <c r="H9535" i="1"/>
  <c r="G9535" i="1"/>
  <c r="F9535" i="1"/>
  <c r="H9534" i="1"/>
  <c r="G9534" i="1"/>
  <c r="F9534" i="1"/>
  <c r="H9533" i="1"/>
  <c r="G9533" i="1"/>
  <c r="F9533" i="1"/>
  <c r="H9532" i="1"/>
  <c r="G9532" i="1"/>
  <c r="F9532" i="1"/>
  <c r="H9531" i="1"/>
  <c r="G9531" i="1"/>
  <c r="F9531" i="1"/>
  <c r="H9530" i="1"/>
  <c r="G9530" i="1"/>
  <c r="F9530" i="1"/>
  <c r="H9529" i="1"/>
  <c r="G9529" i="1"/>
  <c r="F9529" i="1"/>
  <c r="H9528" i="1"/>
  <c r="G9528" i="1"/>
  <c r="F9528" i="1"/>
  <c r="H9527" i="1"/>
  <c r="G9527" i="1"/>
  <c r="F9527" i="1"/>
  <c r="H9526" i="1"/>
  <c r="G9526" i="1"/>
  <c r="F9526" i="1"/>
  <c r="H9525" i="1"/>
  <c r="G9525" i="1"/>
  <c r="F9525" i="1"/>
  <c r="H9524" i="1"/>
  <c r="G9524" i="1"/>
  <c r="F9524" i="1"/>
  <c r="H9523" i="1"/>
  <c r="G9523" i="1"/>
  <c r="F9523" i="1"/>
  <c r="H9522" i="1"/>
  <c r="G9522" i="1"/>
  <c r="F9522" i="1"/>
  <c r="H9521" i="1"/>
  <c r="G9521" i="1"/>
  <c r="F9521" i="1"/>
  <c r="H9520" i="1"/>
  <c r="G9520" i="1"/>
  <c r="F9520" i="1"/>
  <c r="H9519" i="1"/>
  <c r="G9519" i="1"/>
  <c r="F9519" i="1"/>
  <c r="H9518" i="1"/>
  <c r="G9518" i="1"/>
  <c r="F9518" i="1"/>
  <c r="H9517" i="1"/>
  <c r="G9517" i="1"/>
  <c r="F9517" i="1"/>
  <c r="H9516" i="1"/>
  <c r="G9516" i="1"/>
  <c r="F9516" i="1"/>
  <c r="H9515" i="1"/>
  <c r="G9515" i="1"/>
  <c r="F9515" i="1"/>
  <c r="H9514" i="1"/>
  <c r="G9514" i="1"/>
  <c r="F9514" i="1"/>
  <c r="H9513" i="1"/>
  <c r="G9513" i="1"/>
  <c r="F9513" i="1"/>
  <c r="H9512" i="1"/>
  <c r="G9512" i="1"/>
  <c r="F9512" i="1"/>
  <c r="H9511" i="1"/>
  <c r="G9511" i="1"/>
  <c r="F9511" i="1"/>
  <c r="H9510" i="1"/>
  <c r="G9510" i="1"/>
  <c r="F9510" i="1"/>
  <c r="H9509" i="1"/>
  <c r="G9509" i="1"/>
  <c r="F9509" i="1"/>
  <c r="H9508" i="1"/>
  <c r="G9508" i="1"/>
  <c r="F9508" i="1"/>
  <c r="H9507" i="1"/>
  <c r="G9507" i="1"/>
  <c r="F9507" i="1"/>
  <c r="H9506" i="1"/>
  <c r="G9506" i="1"/>
  <c r="F9506" i="1"/>
  <c r="H9505" i="1"/>
  <c r="G9505" i="1"/>
  <c r="F9505" i="1"/>
  <c r="H9504" i="1"/>
  <c r="G9504" i="1"/>
  <c r="F9504" i="1"/>
  <c r="H9503" i="1"/>
  <c r="G9503" i="1"/>
  <c r="F9503" i="1"/>
  <c r="H9502" i="1"/>
  <c r="G9502" i="1"/>
  <c r="F9502" i="1"/>
  <c r="H9501" i="1"/>
  <c r="G9501" i="1"/>
  <c r="F9501" i="1"/>
  <c r="H9500" i="1"/>
  <c r="G9500" i="1"/>
  <c r="F9500" i="1"/>
  <c r="H9499" i="1"/>
  <c r="G9499" i="1"/>
  <c r="F9499" i="1"/>
  <c r="H9498" i="1"/>
  <c r="G9498" i="1"/>
  <c r="F9498" i="1"/>
  <c r="H9497" i="1"/>
  <c r="G9497" i="1"/>
  <c r="F9497" i="1"/>
  <c r="H9496" i="1"/>
  <c r="G9496" i="1"/>
  <c r="F9496" i="1"/>
  <c r="H9495" i="1"/>
  <c r="G9495" i="1"/>
  <c r="F9495" i="1"/>
  <c r="H9494" i="1"/>
  <c r="G9494" i="1"/>
  <c r="F9494" i="1"/>
  <c r="H9493" i="1"/>
  <c r="G9493" i="1"/>
  <c r="F9493" i="1"/>
  <c r="H9492" i="1"/>
  <c r="G9492" i="1"/>
  <c r="F9492" i="1"/>
  <c r="H9491" i="1"/>
  <c r="G9491" i="1"/>
  <c r="F9491" i="1"/>
  <c r="H9490" i="1"/>
  <c r="G9490" i="1"/>
  <c r="F9490" i="1"/>
  <c r="H9489" i="1"/>
  <c r="G9489" i="1"/>
  <c r="F9489" i="1"/>
  <c r="H9488" i="1"/>
  <c r="G9488" i="1"/>
  <c r="F9488" i="1"/>
  <c r="H9487" i="1"/>
  <c r="G9487" i="1"/>
  <c r="F9487" i="1"/>
  <c r="H9486" i="1"/>
  <c r="G9486" i="1"/>
  <c r="F9486" i="1"/>
  <c r="H9485" i="1"/>
  <c r="G9485" i="1"/>
  <c r="F9485" i="1"/>
  <c r="H9484" i="1"/>
  <c r="G9484" i="1"/>
  <c r="F9484" i="1"/>
  <c r="H9483" i="1"/>
  <c r="G9483" i="1"/>
  <c r="F9483" i="1"/>
  <c r="H9482" i="1"/>
  <c r="G9482" i="1"/>
  <c r="F9482" i="1"/>
  <c r="H9481" i="1"/>
  <c r="G9481" i="1"/>
  <c r="F9481" i="1"/>
  <c r="H9480" i="1"/>
  <c r="G9480" i="1"/>
  <c r="F9480" i="1"/>
  <c r="H9479" i="1"/>
  <c r="G9479" i="1"/>
  <c r="F9479" i="1"/>
  <c r="H9478" i="1"/>
  <c r="G9478" i="1"/>
  <c r="F9478" i="1"/>
  <c r="H9477" i="1"/>
  <c r="G9477" i="1"/>
  <c r="F9477" i="1"/>
  <c r="H9476" i="1"/>
  <c r="G9476" i="1"/>
  <c r="F9476" i="1"/>
  <c r="H9475" i="1"/>
  <c r="G9475" i="1"/>
  <c r="F9475" i="1"/>
  <c r="H9474" i="1"/>
  <c r="G9474" i="1"/>
  <c r="F9474" i="1"/>
  <c r="H9473" i="1"/>
  <c r="G9473" i="1"/>
  <c r="F9473" i="1"/>
  <c r="H9472" i="1"/>
  <c r="G9472" i="1"/>
  <c r="F9472" i="1"/>
  <c r="H9471" i="1"/>
  <c r="G9471" i="1"/>
  <c r="F9471" i="1"/>
  <c r="H9470" i="1"/>
  <c r="G9470" i="1"/>
  <c r="F9470" i="1"/>
  <c r="H9469" i="1"/>
  <c r="G9469" i="1"/>
  <c r="F9469" i="1"/>
  <c r="H9468" i="1"/>
  <c r="G9468" i="1"/>
  <c r="F9468" i="1"/>
  <c r="H9467" i="1"/>
  <c r="G9467" i="1"/>
  <c r="F9467" i="1"/>
  <c r="H9466" i="1"/>
  <c r="G9466" i="1"/>
  <c r="F9466" i="1"/>
  <c r="H9465" i="1"/>
  <c r="G9465" i="1"/>
  <c r="F9465" i="1"/>
  <c r="H9464" i="1"/>
  <c r="G9464" i="1"/>
  <c r="F9464" i="1"/>
  <c r="H9463" i="1"/>
  <c r="G9463" i="1"/>
  <c r="F9463" i="1"/>
  <c r="H9462" i="1"/>
  <c r="G9462" i="1"/>
  <c r="F9462" i="1"/>
  <c r="H9461" i="1"/>
  <c r="G9461" i="1"/>
  <c r="F9461" i="1"/>
  <c r="H9460" i="1"/>
  <c r="G9460" i="1"/>
  <c r="F9460" i="1"/>
  <c r="H9459" i="1"/>
  <c r="G9459" i="1"/>
  <c r="F9459" i="1"/>
  <c r="H9458" i="1"/>
  <c r="G9458" i="1"/>
  <c r="F9458" i="1"/>
  <c r="H9457" i="1"/>
  <c r="G9457" i="1"/>
  <c r="F9457" i="1"/>
  <c r="H9456" i="1"/>
  <c r="G9456" i="1"/>
  <c r="F9456" i="1"/>
  <c r="H9455" i="1"/>
  <c r="G9455" i="1"/>
  <c r="F9455" i="1"/>
  <c r="H9454" i="1"/>
  <c r="G9454" i="1"/>
  <c r="F9454" i="1"/>
  <c r="H9453" i="1"/>
  <c r="G9453" i="1"/>
  <c r="F9453" i="1"/>
  <c r="H9452" i="1"/>
  <c r="G9452" i="1"/>
  <c r="F9452" i="1"/>
  <c r="H9451" i="1"/>
  <c r="G9451" i="1"/>
  <c r="F9451" i="1"/>
  <c r="H9450" i="1"/>
  <c r="G9450" i="1"/>
  <c r="F9450" i="1"/>
  <c r="H9449" i="1"/>
  <c r="G9449" i="1"/>
  <c r="F9449" i="1"/>
  <c r="H9448" i="1"/>
  <c r="G9448" i="1"/>
  <c r="F9448" i="1"/>
  <c r="H9447" i="1"/>
  <c r="G9447" i="1"/>
  <c r="F9447" i="1"/>
  <c r="H9446" i="1"/>
  <c r="G9446" i="1"/>
  <c r="F9446" i="1"/>
  <c r="H9445" i="1"/>
  <c r="G9445" i="1"/>
  <c r="F9445" i="1"/>
  <c r="H9444" i="1"/>
  <c r="G9444" i="1"/>
  <c r="F9444" i="1"/>
  <c r="H9443" i="1"/>
  <c r="G9443" i="1"/>
  <c r="F9443" i="1"/>
  <c r="H9442" i="1"/>
  <c r="G9442" i="1"/>
  <c r="F9442" i="1"/>
  <c r="H9441" i="1"/>
  <c r="G9441" i="1"/>
  <c r="F9441" i="1"/>
  <c r="H9440" i="1"/>
  <c r="G9440" i="1"/>
  <c r="F9440" i="1"/>
  <c r="H9439" i="1"/>
  <c r="G9439" i="1"/>
  <c r="F9439" i="1"/>
  <c r="H9438" i="1"/>
  <c r="G9438" i="1"/>
  <c r="F9438" i="1"/>
  <c r="H9437" i="1"/>
  <c r="G9437" i="1"/>
  <c r="F9437" i="1"/>
  <c r="H9436" i="1"/>
  <c r="G9436" i="1"/>
  <c r="F9436" i="1"/>
  <c r="H9435" i="1"/>
  <c r="G9435" i="1"/>
  <c r="F9435" i="1"/>
  <c r="H9434" i="1"/>
  <c r="G9434" i="1"/>
  <c r="F9434" i="1"/>
  <c r="H9433" i="1"/>
  <c r="G9433" i="1"/>
  <c r="F9433" i="1"/>
  <c r="H9432" i="1"/>
  <c r="G9432" i="1"/>
  <c r="F9432" i="1"/>
  <c r="H9431" i="1"/>
  <c r="G9431" i="1"/>
  <c r="F9431" i="1"/>
  <c r="H9430" i="1"/>
  <c r="G9430" i="1"/>
  <c r="F9430" i="1"/>
  <c r="H9429" i="1"/>
  <c r="G9429" i="1"/>
  <c r="F9429" i="1"/>
  <c r="H9428" i="1"/>
  <c r="G9428" i="1"/>
  <c r="F9428" i="1"/>
  <c r="H9427" i="1"/>
  <c r="G9427" i="1"/>
  <c r="F9427" i="1"/>
  <c r="H9426" i="1"/>
  <c r="G9426" i="1"/>
  <c r="F9426" i="1"/>
  <c r="H9425" i="1"/>
  <c r="G9425" i="1"/>
  <c r="F9425" i="1"/>
  <c r="H9424" i="1"/>
  <c r="G9424" i="1"/>
  <c r="F9424" i="1"/>
  <c r="H9423" i="1"/>
  <c r="G9423" i="1"/>
  <c r="F9423" i="1"/>
  <c r="H9422" i="1"/>
  <c r="G9422" i="1"/>
  <c r="F9422" i="1"/>
  <c r="H9421" i="1"/>
  <c r="G9421" i="1"/>
  <c r="F9421" i="1"/>
  <c r="H9420" i="1"/>
  <c r="G9420" i="1"/>
  <c r="F9420" i="1"/>
  <c r="H9419" i="1"/>
  <c r="G9419" i="1"/>
  <c r="F9419" i="1"/>
  <c r="H9418" i="1"/>
  <c r="G9418" i="1"/>
  <c r="F9418" i="1"/>
  <c r="H9417" i="1"/>
  <c r="G9417" i="1"/>
  <c r="F9417" i="1"/>
  <c r="H9416" i="1"/>
  <c r="G9416" i="1"/>
  <c r="F9416" i="1"/>
  <c r="H9415" i="1"/>
  <c r="G9415" i="1"/>
  <c r="F9415" i="1"/>
  <c r="H9414" i="1"/>
  <c r="G9414" i="1"/>
  <c r="F9414" i="1"/>
  <c r="H9413" i="1"/>
  <c r="G9413" i="1"/>
  <c r="F9413" i="1"/>
  <c r="H9412" i="1"/>
  <c r="G9412" i="1"/>
  <c r="F9412" i="1"/>
  <c r="H9411" i="1"/>
  <c r="G9411" i="1"/>
  <c r="F9411" i="1"/>
  <c r="H9410" i="1"/>
  <c r="G9410" i="1"/>
  <c r="F9410" i="1"/>
  <c r="H9409" i="1"/>
  <c r="G9409" i="1"/>
  <c r="F9409" i="1"/>
  <c r="H9408" i="1"/>
  <c r="G9408" i="1"/>
  <c r="F9408" i="1"/>
  <c r="H9407" i="1"/>
  <c r="G9407" i="1"/>
  <c r="F9407" i="1"/>
  <c r="H9406" i="1"/>
  <c r="G9406" i="1"/>
  <c r="F9406" i="1"/>
  <c r="H9405" i="1"/>
  <c r="G9405" i="1"/>
  <c r="F9405" i="1"/>
  <c r="H9404" i="1"/>
  <c r="G9404" i="1"/>
  <c r="F9404" i="1"/>
  <c r="H9403" i="1"/>
  <c r="G9403" i="1"/>
  <c r="F9403" i="1"/>
  <c r="H9402" i="1"/>
  <c r="G9402" i="1"/>
  <c r="F9402" i="1"/>
  <c r="H9401" i="1"/>
  <c r="G9401" i="1"/>
  <c r="F9401" i="1"/>
  <c r="H9400" i="1"/>
  <c r="G9400" i="1"/>
  <c r="F9400" i="1"/>
  <c r="H9399" i="1"/>
  <c r="G9399" i="1"/>
  <c r="F9399" i="1"/>
  <c r="H9398" i="1"/>
  <c r="G9398" i="1"/>
  <c r="F9398" i="1"/>
  <c r="H9397" i="1"/>
  <c r="G9397" i="1"/>
  <c r="F9397" i="1"/>
  <c r="H9396" i="1"/>
  <c r="G9396" i="1"/>
  <c r="F9396" i="1"/>
  <c r="H9395" i="1"/>
  <c r="G9395" i="1"/>
  <c r="F9395" i="1"/>
  <c r="H9394" i="1"/>
  <c r="G9394" i="1"/>
  <c r="F9394" i="1"/>
  <c r="H9393" i="1"/>
  <c r="G9393" i="1"/>
  <c r="F9393" i="1"/>
  <c r="H9392" i="1"/>
  <c r="G9392" i="1"/>
  <c r="F9392" i="1"/>
  <c r="H9391" i="1"/>
  <c r="G9391" i="1"/>
  <c r="F9391" i="1"/>
  <c r="H9390" i="1"/>
  <c r="G9390" i="1"/>
  <c r="F9390" i="1"/>
  <c r="H9389" i="1"/>
  <c r="G9389" i="1"/>
  <c r="F9389" i="1"/>
  <c r="H9388" i="1"/>
  <c r="G9388" i="1"/>
  <c r="F9388" i="1"/>
  <c r="H9387" i="1"/>
  <c r="G9387" i="1"/>
  <c r="F9387" i="1"/>
  <c r="H9386" i="1"/>
  <c r="G9386" i="1"/>
  <c r="F9386" i="1"/>
  <c r="H9385" i="1"/>
  <c r="G9385" i="1"/>
  <c r="F9385" i="1"/>
  <c r="H9384" i="1"/>
  <c r="G9384" i="1"/>
  <c r="F9384" i="1"/>
  <c r="H9383" i="1"/>
  <c r="G9383" i="1"/>
  <c r="F9383" i="1"/>
  <c r="H9382" i="1"/>
  <c r="G9382" i="1"/>
  <c r="F9382" i="1"/>
  <c r="H9381" i="1"/>
  <c r="G9381" i="1"/>
  <c r="F9381" i="1"/>
  <c r="H9380" i="1"/>
  <c r="G9380" i="1"/>
  <c r="F9380" i="1"/>
  <c r="H9379" i="1"/>
  <c r="G9379" i="1"/>
  <c r="F9379" i="1"/>
  <c r="H9378" i="1"/>
  <c r="G9378" i="1"/>
  <c r="F9378" i="1"/>
  <c r="H9377" i="1"/>
  <c r="G9377" i="1"/>
  <c r="F9377" i="1"/>
  <c r="H9376" i="1"/>
  <c r="G9376" i="1"/>
  <c r="F9376" i="1"/>
  <c r="H9375" i="1"/>
  <c r="G9375" i="1"/>
  <c r="F9375" i="1"/>
  <c r="H9374" i="1"/>
  <c r="G9374" i="1"/>
  <c r="F9374" i="1"/>
  <c r="H9373" i="1"/>
  <c r="G9373" i="1"/>
  <c r="F9373" i="1"/>
  <c r="H9372" i="1"/>
  <c r="G9372" i="1"/>
  <c r="F9372" i="1"/>
  <c r="H9371" i="1"/>
  <c r="G9371" i="1"/>
  <c r="F9371" i="1"/>
  <c r="H9370" i="1"/>
  <c r="G9370" i="1"/>
  <c r="F9370" i="1"/>
  <c r="H9369" i="1"/>
  <c r="G9369" i="1"/>
  <c r="F9369" i="1"/>
  <c r="H9368" i="1"/>
  <c r="G9368" i="1"/>
  <c r="F9368" i="1"/>
  <c r="H9367" i="1"/>
  <c r="G9367" i="1"/>
  <c r="F9367" i="1"/>
  <c r="H9366" i="1"/>
  <c r="G9366" i="1"/>
  <c r="F9366" i="1"/>
  <c r="H9365" i="1"/>
  <c r="G9365" i="1"/>
  <c r="F9365" i="1"/>
  <c r="H9364" i="1"/>
  <c r="G9364" i="1"/>
  <c r="F9364" i="1"/>
  <c r="H9363" i="1"/>
  <c r="G9363" i="1"/>
  <c r="F9363" i="1"/>
  <c r="H9362" i="1"/>
  <c r="G9362" i="1"/>
  <c r="F9362" i="1"/>
  <c r="H9361" i="1"/>
  <c r="G9361" i="1"/>
  <c r="F9361" i="1"/>
  <c r="H9360" i="1"/>
  <c r="G9360" i="1"/>
  <c r="F9360" i="1"/>
  <c r="H9359" i="1"/>
  <c r="G9359" i="1"/>
  <c r="F9359" i="1"/>
  <c r="H9358" i="1"/>
  <c r="G9358" i="1"/>
  <c r="F9358" i="1"/>
  <c r="H9357" i="1"/>
  <c r="G9357" i="1"/>
  <c r="F9357" i="1"/>
  <c r="H9356" i="1"/>
  <c r="G9356" i="1"/>
  <c r="F9356" i="1"/>
  <c r="H9355" i="1"/>
  <c r="G9355" i="1"/>
  <c r="F9355" i="1"/>
  <c r="H9354" i="1"/>
  <c r="G9354" i="1"/>
  <c r="F9354" i="1"/>
  <c r="H9353" i="1"/>
  <c r="G9353" i="1"/>
  <c r="F9353" i="1"/>
  <c r="H9352" i="1"/>
  <c r="G9352" i="1"/>
  <c r="F9352" i="1"/>
  <c r="H9351" i="1"/>
  <c r="G9351" i="1"/>
  <c r="F9351" i="1"/>
  <c r="H9350" i="1"/>
  <c r="G9350" i="1"/>
  <c r="F9350" i="1"/>
  <c r="H9349" i="1"/>
  <c r="G9349" i="1"/>
  <c r="F9349" i="1"/>
  <c r="H9348" i="1"/>
  <c r="G9348" i="1"/>
  <c r="F9348" i="1"/>
  <c r="H9347" i="1"/>
  <c r="G9347" i="1"/>
  <c r="F9347" i="1"/>
  <c r="H9346" i="1"/>
  <c r="G9346" i="1"/>
  <c r="F9346" i="1"/>
  <c r="H9345" i="1"/>
  <c r="G9345" i="1"/>
  <c r="F9345" i="1"/>
  <c r="H9344" i="1"/>
  <c r="G9344" i="1"/>
  <c r="F9344" i="1"/>
  <c r="H9343" i="1"/>
  <c r="G9343" i="1"/>
  <c r="F9343" i="1"/>
  <c r="H9342" i="1"/>
  <c r="G9342" i="1"/>
  <c r="F9342" i="1"/>
  <c r="H9341" i="1"/>
  <c r="G9341" i="1"/>
  <c r="F9341" i="1"/>
  <c r="H9340" i="1"/>
  <c r="G9340" i="1"/>
  <c r="F9340" i="1"/>
  <c r="H9339" i="1"/>
  <c r="G9339" i="1"/>
  <c r="F9339" i="1"/>
  <c r="H9338" i="1"/>
  <c r="G9338" i="1"/>
  <c r="F9338" i="1"/>
  <c r="H9337" i="1"/>
  <c r="G9337" i="1"/>
  <c r="F9337" i="1"/>
  <c r="H9336" i="1"/>
  <c r="G9336" i="1"/>
  <c r="F9336" i="1"/>
  <c r="H9335" i="1"/>
  <c r="G9335" i="1"/>
  <c r="F9335" i="1"/>
  <c r="H9334" i="1"/>
  <c r="G9334" i="1"/>
  <c r="F9334" i="1"/>
  <c r="H9333" i="1"/>
  <c r="G9333" i="1"/>
  <c r="F9333" i="1"/>
  <c r="H9332" i="1"/>
  <c r="G9332" i="1"/>
  <c r="F9332" i="1"/>
  <c r="H9331" i="1"/>
  <c r="G9331" i="1"/>
  <c r="F9331" i="1"/>
  <c r="H9330" i="1"/>
  <c r="G9330" i="1"/>
  <c r="F9330" i="1"/>
  <c r="H9329" i="1"/>
  <c r="G9329" i="1"/>
  <c r="F9329" i="1"/>
  <c r="H9328" i="1"/>
  <c r="G9328" i="1"/>
  <c r="F9328" i="1"/>
  <c r="H9327" i="1"/>
  <c r="G9327" i="1"/>
  <c r="F9327" i="1"/>
  <c r="H9326" i="1"/>
  <c r="G9326" i="1"/>
  <c r="F9326" i="1"/>
  <c r="H9325" i="1"/>
  <c r="G9325" i="1"/>
  <c r="F9325" i="1"/>
  <c r="H9324" i="1"/>
  <c r="G9324" i="1"/>
  <c r="F9324" i="1"/>
  <c r="H9323" i="1"/>
  <c r="G9323" i="1"/>
  <c r="F9323" i="1"/>
  <c r="H9322" i="1"/>
  <c r="G9322" i="1"/>
  <c r="F9322" i="1"/>
  <c r="H9321" i="1"/>
  <c r="G9321" i="1"/>
  <c r="F9321" i="1"/>
  <c r="H9320" i="1"/>
  <c r="G9320" i="1"/>
  <c r="F9320" i="1"/>
  <c r="H9319" i="1"/>
  <c r="G9319" i="1"/>
  <c r="F9319" i="1"/>
  <c r="H9318" i="1"/>
  <c r="G9318" i="1"/>
  <c r="F9318" i="1"/>
  <c r="H9317" i="1"/>
  <c r="G9317" i="1"/>
  <c r="F9317" i="1"/>
  <c r="H9316" i="1"/>
  <c r="G9316" i="1"/>
  <c r="F9316" i="1"/>
  <c r="H9315" i="1"/>
  <c r="G9315" i="1"/>
  <c r="F9315" i="1"/>
  <c r="H9314" i="1"/>
  <c r="G9314" i="1"/>
  <c r="F9314" i="1"/>
  <c r="H9313" i="1"/>
  <c r="G9313" i="1"/>
  <c r="F9313" i="1"/>
  <c r="H9312" i="1"/>
  <c r="G9312" i="1"/>
  <c r="F9312" i="1"/>
  <c r="H9311" i="1"/>
  <c r="G9311" i="1"/>
  <c r="F9311" i="1"/>
  <c r="H9310" i="1"/>
  <c r="G9310" i="1"/>
  <c r="F9310" i="1"/>
  <c r="H9309" i="1"/>
  <c r="G9309" i="1"/>
  <c r="F9309" i="1"/>
  <c r="H9308" i="1"/>
  <c r="G9308" i="1"/>
  <c r="F9308" i="1"/>
  <c r="H9307" i="1"/>
  <c r="G9307" i="1"/>
  <c r="F9307" i="1"/>
  <c r="H9306" i="1"/>
  <c r="G9306" i="1"/>
  <c r="F9306" i="1"/>
  <c r="H9305" i="1"/>
  <c r="G9305" i="1"/>
  <c r="F9305" i="1"/>
  <c r="H9304" i="1"/>
  <c r="G9304" i="1"/>
  <c r="F9304" i="1"/>
  <c r="H9303" i="1"/>
  <c r="G9303" i="1"/>
  <c r="F9303" i="1"/>
  <c r="H9302" i="1"/>
  <c r="G9302" i="1"/>
  <c r="F9302" i="1"/>
  <c r="H9301" i="1"/>
  <c r="G9301" i="1"/>
  <c r="F9301" i="1"/>
  <c r="H9300" i="1"/>
  <c r="G9300" i="1"/>
  <c r="F9300" i="1"/>
  <c r="H9299" i="1"/>
  <c r="G9299" i="1"/>
  <c r="F9299" i="1"/>
  <c r="H9298" i="1"/>
  <c r="G9298" i="1"/>
  <c r="F9298" i="1"/>
  <c r="H9297" i="1"/>
  <c r="G9297" i="1"/>
  <c r="F9297" i="1"/>
  <c r="H9296" i="1"/>
  <c r="G9296" i="1"/>
  <c r="F9296" i="1"/>
  <c r="H9295" i="1"/>
  <c r="G9295" i="1"/>
  <c r="F9295" i="1"/>
  <c r="H9294" i="1"/>
  <c r="G9294" i="1"/>
  <c r="F9294" i="1"/>
  <c r="H9293" i="1"/>
  <c r="G9293" i="1"/>
  <c r="F9293" i="1"/>
  <c r="H9292" i="1"/>
  <c r="G9292" i="1"/>
  <c r="F9292" i="1"/>
  <c r="H9291" i="1"/>
  <c r="G9291" i="1"/>
  <c r="F9291" i="1"/>
  <c r="H9290" i="1"/>
  <c r="G9290" i="1"/>
  <c r="F9290" i="1"/>
  <c r="H9289" i="1"/>
  <c r="G9289" i="1"/>
  <c r="F9289" i="1"/>
  <c r="H9288" i="1"/>
  <c r="G9288" i="1"/>
  <c r="F9288" i="1"/>
  <c r="H9287" i="1"/>
  <c r="G9287" i="1"/>
  <c r="F9287" i="1"/>
  <c r="H9286" i="1"/>
  <c r="G9286" i="1"/>
  <c r="F9286" i="1"/>
  <c r="H9285" i="1"/>
  <c r="G9285" i="1"/>
  <c r="F9285" i="1"/>
  <c r="H9284" i="1"/>
  <c r="G9284" i="1"/>
  <c r="F9284" i="1"/>
  <c r="H9283" i="1"/>
  <c r="G9283" i="1"/>
  <c r="F9283" i="1"/>
  <c r="H9282" i="1"/>
  <c r="G9282" i="1"/>
  <c r="F9282" i="1"/>
  <c r="H9281" i="1"/>
  <c r="G9281" i="1"/>
  <c r="F9281" i="1"/>
  <c r="H9280" i="1"/>
  <c r="G9280" i="1"/>
  <c r="F9280" i="1"/>
  <c r="H9279" i="1"/>
  <c r="G9279" i="1"/>
  <c r="F9279" i="1"/>
  <c r="H9278" i="1"/>
  <c r="G9278" i="1"/>
  <c r="F9278" i="1"/>
  <c r="H9277" i="1"/>
  <c r="G9277" i="1"/>
  <c r="F9277" i="1"/>
  <c r="H9276" i="1"/>
  <c r="G9276" i="1"/>
  <c r="F9276" i="1"/>
  <c r="H9275" i="1"/>
  <c r="G9275" i="1"/>
  <c r="F9275" i="1"/>
  <c r="H9274" i="1"/>
  <c r="G9274" i="1"/>
  <c r="F9274" i="1"/>
  <c r="H9273" i="1"/>
  <c r="G9273" i="1"/>
  <c r="F9273" i="1"/>
  <c r="H9272" i="1"/>
  <c r="G9272" i="1"/>
  <c r="F9272" i="1"/>
  <c r="H9271" i="1"/>
  <c r="G9271" i="1"/>
  <c r="F9271" i="1"/>
  <c r="H9270" i="1"/>
  <c r="G9270" i="1"/>
  <c r="F9270" i="1"/>
  <c r="H9269" i="1"/>
  <c r="G9269" i="1"/>
  <c r="F9269" i="1"/>
  <c r="H9268" i="1"/>
  <c r="G9268" i="1"/>
  <c r="F9268" i="1"/>
  <c r="H9267" i="1"/>
  <c r="G9267" i="1"/>
  <c r="F9267" i="1"/>
  <c r="H9266" i="1"/>
  <c r="G9266" i="1"/>
  <c r="F9266" i="1"/>
  <c r="H9265" i="1"/>
  <c r="G9265" i="1"/>
  <c r="F9265" i="1"/>
  <c r="H9264" i="1"/>
  <c r="G9264" i="1"/>
  <c r="F9264" i="1"/>
  <c r="H9263" i="1"/>
  <c r="G9263" i="1"/>
  <c r="F9263" i="1"/>
  <c r="H9262" i="1"/>
  <c r="G9262" i="1"/>
  <c r="F9262" i="1"/>
  <c r="H9261" i="1"/>
  <c r="G9261" i="1"/>
  <c r="F9261" i="1"/>
  <c r="H9260" i="1"/>
  <c r="G9260" i="1"/>
  <c r="F9260" i="1"/>
  <c r="H9259" i="1"/>
  <c r="G9259" i="1"/>
  <c r="F9259" i="1"/>
  <c r="H9258" i="1"/>
  <c r="G9258" i="1"/>
  <c r="F9258" i="1"/>
  <c r="H9257" i="1"/>
  <c r="G9257" i="1"/>
  <c r="F9257" i="1"/>
  <c r="H9256" i="1"/>
  <c r="G9256" i="1"/>
  <c r="F9256" i="1"/>
  <c r="H9255" i="1"/>
  <c r="G9255" i="1"/>
  <c r="F9255" i="1"/>
  <c r="H9254" i="1"/>
  <c r="G9254" i="1"/>
  <c r="F9254" i="1"/>
  <c r="H9253" i="1"/>
  <c r="G9253" i="1"/>
  <c r="F9253" i="1"/>
  <c r="H9252" i="1"/>
  <c r="G9252" i="1"/>
  <c r="F9252" i="1"/>
  <c r="H9251" i="1"/>
  <c r="G9251" i="1"/>
  <c r="F9251" i="1"/>
  <c r="H9250" i="1"/>
  <c r="G9250" i="1"/>
  <c r="F9250" i="1"/>
  <c r="H9249" i="1"/>
  <c r="G9249" i="1"/>
  <c r="F9249" i="1"/>
  <c r="H9248" i="1"/>
  <c r="G9248" i="1"/>
  <c r="F9248" i="1"/>
  <c r="H9247" i="1"/>
  <c r="G9247" i="1"/>
  <c r="F9247" i="1"/>
  <c r="H9246" i="1"/>
  <c r="G9246" i="1"/>
  <c r="F9246" i="1"/>
  <c r="H9245" i="1"/>
  <c r="G9245" i="1"/>
  <c r="F9245" i="1"/>
  <c r="H9244" i="1"/>
  <c r="G9244" i="1"/>
  <c r="F9244" i="1"/>
  <c r="H9243" i="1"/>
  <c r="G9243" i="1"/>
  <c r="F9243" i="1"/>
  <c r="H9242" i="1"/>
  <c r="G9242" i="1"/>
  <c r="F9242" i="1"/>
  <c r="H9241" i="1"/>
  <c r="G9241" i="1"/>
  <c r="F9241" i="1"/>
  <c r="H9240" i="1"/>
  <c r="G9240" i="1"/>
  <c r="F9240" i="1"/>
  <c r="H9239" i="1"/>
  <c r="G9239" i="1"/>
  <c r="F9239" i="1"/>
  <c r="H9238" i="1"/>
  <c r="G9238" i="1"/>
  <c r="F9238" i="1"/>
  <c r="H9237" i="1"/>
  <c r="G9237" i="1"/>
  <c r="F9237" i="1"/>
  <c r="H9236" i="1"/>
  <c r="G9236" i="1"/>
  <c r="F9236" i="1"/>
  <c r="H9235" i="1"/>
  <c r="G9235" i="1"/>
  <c r="F9235" i="1"/>
  <c r="H9234" i="1"/>
  <c r="G9234" i="1"/>
  <c r="F9234" i="1"/>
  <c r="H9233" i="1"/>
  <c r="G9233" i="1"/>
  <c r="F9233" i="1"/>
  <c r="H9232" i="1"/>
  <c r="G9232" i="1"/>
  <c r="F9232" i="1"/>
  <c r="H9231" i="1"/>
  <c r="G9231" i="1"/>
  <c r="F9231" i="1"/>
  <c r="H9230" i="1"/>
  <c r="G9230" i="1"/>
  <c r="F9230" i="1"/>
  <c r="H9229" i="1"/>
  <c r="G9229" i="1"/>
  <c r="F9229" i="1"/>
  <c r="H9228" i="1"/>
  <c r="G9228" i="1"/>
  <c r="F9228" i="1"/>
  <c r="H9227" i="1"/>
  <c r="G9227" i="1"/>
  <c r="F9227" i="1"/>
  <c r="H9226" i="1"/>
  <c r="G9226" i="1"/>
  <c r="F9226" i="1"/>
  <c r="H9225" i="1"/>
  <c r="G9225" i="1"/>
  <c r="F9225" i="1"/>
  <c r="H9224" i="1"/>
  <c r="G9224" i="1"/>
  <c r="F9224" i="1"/>
  <c r="H9223" i="1"/>
  <c r="G9223" i="1"/>
  <c r="F9223" i="1"/>
  <c r="H9222" i="1"/>
  <c r="G9222" i="1"/>
  <c r="F9222" i="1"/>
  <c r="H9221" i="1"/>
  <c r="G9221" i="1"/>
  <c r="F9221" i="1"/>
  <c r="H9220" i="1"/>
  <c r="G9220" i="1"/>
  <c r="F9220" i="1"/>
  <c r="H9219" i="1"/>
  <c r="G9219" i="1"/>
  <c r="F9219" i="1"/>
  <c r="H9218" i="1"/>
  <c r="G9218" i="1"/>
  <c r="F9218" i="1"/>
  <c r="H9217" i="1"/>
  <c r="G9217" i="1"/>
  <c r="F9217" i="1"/>
  <c r="H9216" i="1"/>
  <c r="G9216" i="1"/>
  <c r="F9216" i="1"/>
  <c r="H9215" i="1"/>
  <c r="G9215" i="1"/>
  <c r="F9215" i="1"/>
  <c r="H9214" i="1"/>
  <c r="G9214" i="1"/>
  <c r="F9214" i="1"/>
  <c r="H9213" i="1"/>
  <c r="G9213" i="1"/>
  <c r="F9213" i="1"/>
  <c r="H9212" i="1"/>
  <c r="G9212" i="1"/>
  <c r="F9212" i="1"/>
  <c r="H9211" i="1"/>
  <c r="G9211" i="1"/>
  <c r="F9211" i="1"/>
  <c r="H9210" i="1"/>
  <c r="G9210" i="1"/>
  <c r="F9210" i="1"/>
  <c r="H9209" i="1"/>
  <c r="G9209" i="1"/>
  <c r="F9209" i="1"/>
  <c r="H9208" i="1"/>
  <c r="G9208" i="1"/>
  <c r="F9208" i="1"/>
  <c r="H9207" i="1"/>
  <c r="G9207" i="1"/>
  <c r="F9207" i="1"/>
  <c r="H9206" i="1"/>
  <c r="G9206" i="1"/>
  <c r="F9206" i="1"/>
  <c r="H9205" i="1"/>
  <c r="G9205" i="1"/>
  <c r="F9205" i="1"/>
  <c r="H9204" i="1"/>
  <c r="G9204" i="1"/>
  <c r="F9204" i="1"/>
  <c r="H9203" i="1"/>
  <c r="G9203" i="1"/>
  <c r="F9203" i="1"/>
  <c r="H9202" i="1"/>
  <c r="G9202" i="1"/>
  <c r="F9202" i="1"/>
  <c r="H9201" i="1"/>
  <c r="G9201" i="1"/>
  <c r="F9201" i="1"/>
  <c r="H9200" i="1"/>
  <c r="G9200" i="1"/>
  <c r="F9200" i="1"/>
  <c r="H9199" i="1"/>
  <c r="G9199" i="1"/>
  <c r="F9199" i="1"/>
  <c r="H9198" i="1"/>
  <c r="G9198" i="1"/>
  <c r="F9198" i="1"/>
  <c r="H9197" i="1"/>
  <c r="G9197" i="1"/>
  <c r="F9197" i="1"/>
  <c r="H9196" i="1"/>
  <c r="G9196" i="1"/>
  <c r="F9196" i="1"/>
  <c r="H9195" i="1"/>
  <c r="G9195" i="1"/>
  <c r="F9195" i="1"/>
  <c r="H9194" i="1"/>
  <c r="G9194" i="1"/>
  <c r="F9194" i="1"/>
  <c r="H9193" i="1"/>
  <c r="G9193" i="1"/>
  <c r="F9193" i="1"/>
  <c r="H9192" i="1"/>
  <c r="G9192" i="1"/>
  <c r="F9192" i="1"/>
  <c r="H9191" i="1"/>
  <c r="G9191" i="1"/>
  <c r="F9191" i="1"/>
  <c r="H9190" i="1"/>
  <c r="G9190" i="1"/>
  <c r="F9190" i="1"/>
  <c r="H9189" i="1"/>
  <c r="G9189" i="1"/>
  <c r="F9189" i="1"/>
  <c r="H9188" i="1"/>
  <c r="G9188" i="1"/>
  <c r="F9188" i="1"/>
  <c r="H9187" i="1"/>
  <c r="G9187" i="1"/>
  <c r="F9187" i="1"/>
  <c r="H9186" i="1"/>
  <c r="G9186" i="1"/>
  <c r="F9186" i="1"/>
  <c r="H9185" i="1"/>
  <c r="G9185" i="1"/>
  <c r="F9185" i="1"/>
  <c r="H9184" i="1"/>
  <c r="G9184" i="1"/>
  <c r="F9184" i="1"/>
  <c r="H9183" i="1"/>
  <c r="G9183" i="1"/>
  <c r="F9183" i="1"/>
  <c r="H9182" i="1"/>
  <c r="G9182" i="1"/>
  <c r="F9182" i="1"/>
  <c r="H9181" i="1"/>
  <c r="G9181" i="1"/>
  <c r="F9181" i="1"/>
  <c r="H9180" i="1"/>
  <c r="G9180" i="1"/>
  <c r="F9180" i="1"/>
  <c r="H9179" i="1"/>
  <c r="G9179" i="1"/>
  <c r="F9179" i="1"/>
  <c r="H9178" i="1"/>
  <c r="G9178" i="1"/>
  <c r="F9178" i="1"/>
  <c r="H9177" i="1"/>
  <c r="G9177" i="1"/>
  <c r="F9177" i="1"/>
  <c r="H9176" i="1"/>
  <c r="G9176" i="1"/>
  <c r="F9176" i="1"/>
  <c r="H9175" i="1"/>
  <c r="G9175" i="1"/>
  <c r="F9175" i="1"/>
  <c r="H9174" i="1"/>
  <c r="G9174" i="1"/>
  <c r="F9174" i="1"/>
  <c r="H9173" i="1"/>
  <c r="G9173" i="1"/>
  <c r="F9173" i="1"/>
  <c r="H9172" i="1"/>
  <c r="G9172" i="1"/>
  <c r="F9172" i="1"/>
  <c r="H9171" i="1"/>
  <c r="G9171" i="1"/>
  <c r="F9171" i="1"/>
  <c r="H9170" i="1"/>
  <c r="G9170" i="1"/>
  <c r="F9170" i="1"/>
  <c r="H9169" i="1"/>
  <c r="G9169" i="1"/>
  <c r="F9169" i="1"/>
  <c r="H9168" i="1"/>
  <c r="G9168" i="1"/>
  <c r="F9168" i="1"/>
  <c r="H9167" i="1"/>
  <c r="G9167" i="1"/>
  <c r="F9167" i="1"/>
  <c r="H9166" i="1"/>
  <c r="G9166" i="1"/>
  <c r="F9166" i="1"/>
  <c r="H9165" i="1"/>
  <c r="G9165" i="1"/>
  <c r="F9165" i="1"/>
  <c r="H9164" i="1"/>
  <c r="G9164" i="1"/>
  <c r="F9164" i="1"/>
  <c r="H9163" i="1"/>
  <c r="G9163" i="1"/>
  <c r="F9163" i="1"/>
  <c r="H9162" i="1"/>
  <c r="G9162" i="1"/>
  <c r="F9162" i="1"/>
  <c r="H9161" i="1"/>
  <c r="G9161" i="1"/>
  <c r="F9161" i="1"/>
  <c r="H9160" i="1"/>
  <c r="G9160" i="1"/>
  <c r="F9160" i="1"/>
  <c r="H9159" i="1"/>
  <c r="G9159" i="1"/>
  <c r="F9159" i="1"/>
  <c r="H9158" i="1"/>
  <c r="G9158" i="1"/>
  <c r="F9158" i="1"/>
  <c r="H9157" i="1"/>
  <c r="G9157" i="1"/>
  <c r="F9157" i="1"/>
  <c r="H9156" i="1"/>
  <c r="G9156" i="1"/>
  <c r="F9156" i="1"/>
  <c r="H9155" i="1"/>
  <c r="G9155" i="1"/>
  <c r="F9155" i="1"/>
  <c r="H9154" i="1"/>
  <c r="G9154" i="1"/>
  <c r="F9154" i="1"/>
  <c r="H9153" i="1"/>
  <c r="G9153" i="1"/>
  <c r="F9153" i="1"/>
  <c r="H9152" i="1"/>
  <c r="G9152" i="1"/>
  <c r="F9152" i="1"/>
  <c r="H9151" i="1"/>
  <c r="G9151" i="1"/>
  <c r="F9151" i="1"/>
  <c r="H9150" i="1"/>
  <c r="G9150" i="1"/>
  <c r="F9150" i="1"/>
  <c r="H9149" i="1"/>
  <c r="G9149" i="1"/>
  <c r="F9149" i="1"/>
  <c r="H9148" i="1"/>
  <c r="G9148" i="1"/>
  <c r="F9148" i="1"/>
  <c r="H9147" i="1"/>
  <c r="G9147" i="1"/>
  <c r="F9147" i="1"/>
  <c r="H9146" i="1"/>
  <c r="G9146" i="1"/>
  <c r="F9146" i="1"/>
  <c r="H9145" i="1"/>
  <c r="G9145" i="1"/>
  <c r="F9145" i="1"/>
  <c r="H9144" i="1"/>
  <c r="G9144" i="1"/>
  <c r="F9144" i="1"/>
  <c r="H9143" i="1"/>
  <c r="G9143" i="1"/>
  <c r="F9143" i="1"/>
  <c r="H9142" i="1"/>
  <c r="G9142" i="1"/>
  <c r="F9142" i="1"/>
  <c r="H9141" i="1"/>
  <c r="G9141" i="1"/>
  <c r="F9141" i="1"/>
  <c r="H9140" i="1"/>
  <c r="G9140" i="1"/>
  <c r="F9140" i="1"/>
  <c r="H9139" i="1"/>
  <c r="G9139" i="1"/>
  <c r="F9139" i="1"/>
  <c r="H9138" i="1"/>
  <c r="G9138" i="1"/>
  <c r="F9138" i="1"/>
  <c r="H9137" i="1"/>
  <c r="G9137" i="1"/>
  <c r="F9137" i="1"/>
  <c r="H9136" i="1"/>
  <c r="G9136" i="1"/>
  <c r="F9136" i="1"/>
  <c r="H9135" i="1"/>
  <c r="G9135" i="1"/>
  <c r="F9135" i="1"/>
  <c r="H9134" i="1"/>
  <c r="G9134" i="1"/>
  <c r="F9134" i="1"/>
  <c r="H9133" i="1"/>
  <c r="G9133" i="1"/>
  <c r="F9133" i="1"/>
  <c r="H9132" i="1"/>
  <c r="G9132" i="1"/>
  <c r="F9132" i="1"/>
  <c r="H9131" i="1"/>
  <c r="G9131" i="1"/>
  <c r="F9131" i="1"/>
  <c r="H9130" i="1"/>
  <c r="G9130" i="1"/>
  <c r="F9130" i="1"/>
  <c r="H9129" i="1"/>
  <c r="G9129" i="1"/>
  <c r="F9129" i="1"/>
  <c r="H9128" i="1"/>
  <c r="G9128" i="1"/>
  <c r="F9128" i="1"/>
  <c r="H9127" i="1"/>
  <c r="G9127" i="1"/>
  <c r="F9127" i="1"/>
  <c r="H9126" i="1"/>
  <c r="G9126" i="1"/>
  <c r="F9126" i="1"/>
  <c r="H9125" i="1"/>
  <c r="G9125" i="1"/>
  <c r="F9125" i="1"/>
  <c r="H9124" i="1"/>
  <c r="G9124" i="1"/>
  <c r="F9124" i="1"/>
  <c r="H9123" i="1"/>
  <c r="G9123" i="1"/>
  <c r="F9123" i="1"/>
  <c r="H9122" i="1"/>
  <c r="G9122" i="1"/>
  <c r="F9122" i="1"/>
  <c r="H9121" i="1"/>
  <c r="G9121" i="1"/>
  <c r="F9121" i="1"/>
  <c r="H9120" i="1"/>
  <c r="G9120" i="1"/>
  <c r="F9120" i="1"/>
  <c r="H9119" i="1"/>
  <c r="G9119" i="1"/>
  <c r="F9119" i="1"/>
  <c r="H9118" i="1"/>
  <c r="G9118" i="1"/>
  <c r="F9118" i="1"/>
  <c r="H9117" i="1"/>
  <c r="G9117" i="1"/>
  <c r="F9117" i="1"/>
  <c r="H9116" i="1"/>
  <c r="G9116" i="1"/>
  <c r="F9116" i="1"/>
  <c r="H9115" i="1"/>
  <c r="G9115" i="1"/>
  <c r="F9115" i="1"/>
  <c r="H9114" i="1"/>
  <c r="G9114" i="1"/>
  <c r="F9114" i="1"/>
  <c r="H9113" i="1"/>
  <c r="G9113" i="1"/>
  <c r="F9113" i="1"/>
  <c r="H9112" i="1"/>
  <c r="G9112" i="1"/>
  <c r="F9112" i="1"/>
  <c r="H9111" i="1"/>
  <c r="G9111" i="1"/>
  <c r="F9111" i="1"/>
  <c r="H9110" i="1"/>
  <c r="G9110" i="1"/>
  <c r="F9110" i="1"/>
  <c r="H9109" i="1"/>
  <c r="G9109" i="1"/>
  <c r="F9109" i="1"/>
  <c r="H9108" i="1"/>
  <c r="G9108" i="1"/>
  <c r="F9108" i="1"/>
  <c r="H9107" i="1"/>
  <c r="G9107" i="1"/>
  <c r="F9107" i="1"/>
  <c r="H9106" i="1"/>
  <c r="G9106" i="1"/>
  <c r="F9106" i="1"/>
  <c r="H9105" i="1"/>
  <c r="G9105" i="1"/>
  <c r="F9105" i="1"/>
  <c r="H9104" i="1"/>
  <c r="G9104" i="1"/>
  <c r="F9104" i="1"/>
  <c r="H9103" i="1"/>
  <c r="G9103" i="1"/>
  <c r="F9103" i="1"/>
  <c r="H9102" i="1"/>
  <c r="G9102" i="1"/>
  <c r="F9102" i="1"/>
  <c r="H9101" i="1"/>
  <c r="G9101" i="1"/>
  <c r="F9101" i="1"/>
  <c r="H9100" i="1"/>
  <c r="G9100" i="1"/>
  <c r="F9100" i="1"/>
  <c r="H9099" i="1"/>
  <c r="G9099" i="1"/>
  <c r="F9099" i="1"/>
  <c r="H9098" i="1"/>
  <c r="G9098" i="1"/>
  <c r="F9098" i="1"/>
  <c r="H9097" i="1"/>
  <c r="G9097" i="1"/>
  <c r="F9097" i="1"/>
  <c r="H9096" i="1"/>
  <c r="G9096" i="1"/>
  <c r="F9096" i="1"/>
  <c r="H9095" i="1"/>
  <c r="G9095" i="1"/>
  <c r="F9095" i="1"/>
  <c r="H9094" i="1"/>
  <c r="G9094" i="1"/>
  <c r="F9094" i="1"/>
  <c r="H9093" i="1"/>
  <c r="G9093" i="1"/>
  <c r="F9093" i="1"/>
  <c r="H9092" i="1"/>
  <c r="G9092" i="1"/>
  <c r="F9092" i="1"/>
  <c r="H9091" i="1"/>
  <c r="G9091" i="1"/>
  <c r="F9091" i="1"/>
  <c r="H9090" i="1"/>
  <c r="G9090" i="1"/>
  <c r="F9090" i="1"/>
  <c r="H9089" i="1"/>
  <c r="G9089" i="1"/>
  <c r="F9089" i="1"/>
  <c r="H9088" i="1"/>
  <c r="G9088" i="1"/>
  <c r="F9088" i="1"/>
  <c r="H9087" i="1"/>
  <c r="G9087" i="1"/>
  <c r="F9087" i="1"/>
  <c r="H9086" i="1"/>
  <c r="G9086" i="1"/>
  <c r="F9086" i="1"/>
  <c r="H9085" i="1"/>
  <c r="G9085" i="1"/>
  <c r="F9085" i="1"/>
  <c r="H9084" i="1"/>
  <c r="G9084" i="1"/>
  <c r="F9084" i="1"/>
  <c r="H9083" i="1"/>
  <c r="G9083" i="1"/>
  <c r="F9083" i="1"/>
  <c r="H9082" i="1"/>
  <c r="G9082" i="1"/>
  <c r="F9082" i="1"/>
  <c r="H9081" i="1"/>
  <c r="G9081" i="1"/>
  <c r="F9081" i="1"/>
  <c r="H9080" i="1"/>
  <c r="G9080" i="1"/>
  <c r="F9080" i="1"/>
  <c r="H9079" i="1"/>
  <c r="G9079" i="1"/>
  <c r="F9079" i="1"/>
  <c r="H9078" i="1"/>
  <c r="G9078" i="1"/>
  <c r="F9078" i="1"/>
  <c r="H9077" i="1"/>
  <c r="G9077" i="1"/>
  <c r="F9077" i="1"/>
  <c r="H9076" i="1"/>
  <c r="G9076" i="1"/>
  <c r="F9076" i="1"/>
  <c r="H9075" i="1"/>
  <c r="G9075" i="1"/>
  <c r="F9075" i="1"/>
  <c r="H9074" i="1"/>
  <c r="G9074" i="1"/>
  <c r="F9074" i="1"/>
  <c r="H9073" i="1"/>
  <c r="G9073" i="1"/>
  <c r="F9073" i="1"/>
  <c r="H9072" i="1"/>
  <c r="G9072" i="1"/>
  <c r="F9072" i="1"/>
  <c r="H9071" i="1"/>
  <c r="G9071" i="1"/>
  <c r="F9071" i="1"/>
  <c r="H9070" i="1"/>
  <c r="G9070" i="1"/>
  <c r="F9070" i="1"/>
  <c r="H9069" i="1"/>
  <c r="G9069" i="1"/>
  <c r="F9069" i="1"/>
  <c r="H9068" i="1"/>
  <c r="G9068" i="1"/>
  <c r="F9068" i="1"/>
  <c r="H9067" i="1"/>
  <c r="G9067" i="1"/>
  <c r="F9067" i="1"/>
  <c r="H9066" i="1"/>
  <c r="G9066" i="1"/>
  <c r="F9066" i="1"/>
  <c r="H9065" i="1"/>
  <c r="G9065" i="1"/>
  <c r="F9065" i="1"/>
  <c r="H9064" i="1"/>
  <c r="G9064" i="1"/>
  <c r="F9064" i="1"/>
  <c r="H9063" i="1"/>
  <c r="G9063" i="1"/>
  <c r="F9063" i="1"/>
  <c r="H9062" i="1"/>
  <c r="G9062" i="1"/>
  <c r="F9062" i="1"/>
  <c r="H9061" i="1"/>
  <c r="G9061" i="1"/>
  <c r="F9061" i="1"/>
  <c r="H9060" i="1"/>
  <c r="G9060" i="1"/>
  <c r="F9060" i="1"/>
  <c r="H9059" i="1"/>
  <c r="G9059" i="1"/>
  <c r="F9059" i="1"/>
  <c r="H9058" i="1"/>
  <c r="G9058" i="1"/>
  <c r="F9058" i="1"/>
  <c r="H9057" i="1"/>
  <c r="G9057" i="1"/>
  <c r="F9057" i="1"/>
  <c r="H9056" i="1"/>
  <c r="G9056" i="1"/>
  <c r="F9056" i="1"/>
  <c r="H9055" i="1"/>
  <c r="G9055" i="1"/>
  <c r="F9055" i="1"/>
  <c r="H9054" i="1"/>
  <c r="G9054" i="1"/>
  <c r="F9054" i="1"/>
  <c r="H9053" i="1"/>
  <c r="G9053" i="1"/>
  <c r="F9053" i="1"/>
  <c r="H9052" i="1"/>
  <c r="G9052" i="1"/>
  <c r="F9052" i="1"/>
  <c r="H9051" i="1"/>
  <c r="G9051" i="1"/>
  <c r="F9051" i="1"/>
  <c r="H9050" i="1"/>
  <c r="G9050" i="1"/>
  <c r="F9050" i="1"/>
  <c r="H9049" i="1"/>
  <c r="G9049" i="1"/>
  <c r="F9049" i="1"/>
  <c r="H9048" i="1"/>
  <c r="G9048" i="1"/>
  <c r="F9048" i="1"/>
  <c r="H9047" i="1"/>
  <c r="G9047" i="1"/>
  <c r="F9047" i="1"/>
  <c r="H9046" i="1"/>
  <c r="G9046" i="1"/>
  <c r="F9046" i="1"/>
  <c r="H9045" i="1"/>
  <c r="G9045" i="1"/>
  <c r="F9045" i="1"/>
  <c r="H9044" i="1"/>
  <c r="G9044" i="1"/>
  <c r="F9044" i="1"/>
  <c r="H9043" i="1"/>
  <c r="G9043" i="1"/>
  <c r="F9043" i="1"/>
  <c r="H9042" i="1"/>
  <c r="G9042" i="1"/>
  <c r="F9042" i="1"/>
  <c r="H9041" i="1"/>
  <c r="G9041" i="1"/>
  <c r="F9041" i="1"/>
  <c r="H9040" i="1"/>
  <c r="G9040" i="1"/>
  <c r="F9040" i="1"/>
  <c r="H9039" i="1"/>
  <c r="G9039" i="1"/>
  <c r="F9039" i="1"/>
  <c r="H9038" i="1"/>
  <c r="G9038" i="1"/>
  <c r="F9038" i="1"/>
  <c r="H9037" i="1"/>
  <c r="G9037" i="1"/>
  <c r="F9037" i="1"/>
  <c r="H9036" i="1"/>
  <c r="G9036" i="1"/>
  <c r="F9036" i="1"/>
  <c r="H9035" i="1"/>
  <c r="G9035" i="1"/>
  <c r="F9035" i="1"/>
  <c r="H9034" i="1"/>
  <c r="G9034" i="1"/>
  <c r="F9034" i="1"/>
  <c r="H9033" i="1"/>
  <c r="G9033" i="1"/>
  <c r="F9033" i="1"/>
  <c r="H9032" i="1"/>
  <c r="G9032" i="1"/>
  <c r="F9032" i="1"/>
  <c r="H9031" i="1"/>
  <c r="G9031" i="1"/>
  <c r="F9031" i="1"/>
  <c r="H9030" i="1"/>
  <c r="G9030" i="1"/>
  <c r="F9030" i="1"/>
  <c r="H9029" i="1"/>
  <c r="G9029" i="1"/>
  <c r="F9029" i="1"/>
  <c r="H9028" i="1"/>
  <c r="G9028" i="1"/>
  <c r="F9028" i="1"/>
  <c r="H9027" i="1"/>
  <c r="G9027" i="1"/>
  <c r="F9027" i="1"/>
  <c r="H9026" i="1"/>
  <c r="G9026" i="1"/>
  <c r="F9026" i="1"/>
  <c r="H9025" i="1"/>
  <c r="G9025" i="1"/>
  <c r="F9025" i="1"/>
  <c r="H9024" i="1"/>
  <c r="G9024" i="1"/>
  <c r="F9024" i="1"/>
  <c r="H9023" i="1"/>
  <c r="G9023" i="1"/>
  <c r="F9023" i="1"/>
  <c r="H9022" i="1"/>
  <c r="G9022" i="1"/>
  <c r="F9022" i="1"/>
  <c r="H9021" i="1"/>
  <c r="G9021" i="1"/>
  <c r="F9021" i="1"/>
  <c r="H9020" i="1"/>
  <c r="G9020" i="1"/>
  <c r="F9020" i="1"/>
  <c r="H9019" i="1"/>
  <c r="G9019" i="1"/>
  <c r="F9019" i="1"/>
  <c r="H9018" i="1"/>
  <c r="G9018" i="1"/>
  <c r="F9018" i="1"/>
  <c r="H9017" i="1"/>
  <c r="G9017" i="1"/>
  <c r="F9017" i="1"/>
  <c r="H9016" i="1"/>
  <c r="G9016" i="1"/>
  <c r="F9016" i="1"/>
  <c r="H9015" i="1"/>
  <c r="G9015" i="1"/>
  <c r="F9015" i="1"/>
  <c r="H9014" i="1"/>
  <c r="G9014" i="1"/>
  <c r="F9014" i="1"/>
  <c r="H9013" i="1"/>
  <c r="G9013" i="1"/>
  <c r="F9013" i="1"/>
  <c r="H9012" i="1"/>
  <c r="G9012" i="1"/>
  <c r="F9012" i="1"/>
  <c r="H9011" i="1"/>
  <c r="G9011" i="1"/>
  <c r="F9011" i="1"/>
  <c r="H9010" i="1"/>
  <c r="G9010" i="1"/>
  <c r="F9010" i="1"/>
  <c r="H9009" i="1"/>
  <c r="G9009" i="1"/>
  <c r="F9009" i="1"/>
  <c r="H9008" i="1"/>
  <c r="G9008" i="1"/>
  <c r="F9008" i="1"/>
  <c r="H9007" i="1"/>
  <c r="G9007" i="1"/>
  <c r="F9007" i="1"/>
  <c r="H9006" i="1"/>
  <c r="G9006" i="1"/>
  <c r="F9006" i="1"/>
  <c r="H9005" i="1"/>
  <c r="G9005" i="1"/>
  <c r="F9005" i="1"/>
  <c r="H9004" i="1"/>
  <c r="G9004" i="1"/>
  <c r="F9004" i="1"/>
  <c r="H9003" i="1"/>
  <c r="G9003" i="1"/>
  <c r="F9003" i="1"/>
  <c r="H9002" i="1"/>
  <c r="G9002" i="1"/>
  <c r="F9002" i="1"/>
  <c r="H9001" i="1"/>
  <c r="G9001" i="1"/>
  <c r="F9001" i="1"/>
  <c r="H9000" i="1"/>
  <c r="G9000" i="1"/>
  <c r="F9000" i="1"/>
  <c r="H8999" i="1"/>
  <c r="G8999" i="1"/>
  <c r="F8999" i="1"/>
  <c r="H8998" i="1"/>
  <c r="G8998" i="1"/>
  <c r="F8998" i="1"/>
  <c r="H8997" i="1"/>
  <c r="G8997" i="1"/>
  <c r="F8997" i="1"/>
  <c r="H8996" i="1"/>
  <c r="G8996" i="1"/>
  <c r="F8996" i="1"/>
  <c r="H8995" i="1"/>
  <c r="G8995" i="1"/>
  <c r="F8995" i="1"/>
  <c r="H8994" i="1"/>
  <c r="G8994" i="1"/>
  <c r="F8994" i="1"/>
  <c r="H8993" i="1"/>
  <c r="G8993" i="1"/>
  <c r="F8993" i="1"/>
  <c r="H8992" i="1"/>
  <c r="G8992" i="1"/>
  <c r="F8992" i="1"/>
  <c r="H8991" i="1"/>
  <c r="G8991" i="1"/>
  <c r="F8991" i="1"/>
  <c r="H8990" i="1"/>
  <c r="G8990" i="1"/>
  <c r="F8990" i="1"/>
  <c r="H8989" i="1"/>
  <c r="G8989" i="1"/>
  <c r="F8989" i="1"/>
  <c r="H8988" i="1"/>
  <c r="G8988" i="1"/>
  <c r="F8988" i="1"/>
  <c r="H8987" i="1"/>
  <c r="G8987" i="1"/>
  <c r="F8987" i="1"/>
  <c r="H8986" i="1"/>
  <c r="G8986" i="1"/>
  <c r="F8986" i="1"/>
  <c r="H8985" i="1"/>
  <c r="G8985" i="1"/>
  <c r="F8985" i="1"/>
  <c r="H8984" i="1"/>
  <c r="G8984" i="1"/>
  <c r="F8984" i="1"/>
  <c r="H8983" i="1"/>
  <c r="G8983" i="1"/>
  <c r="F8983" i="1"/>
  <c r="H8982" i="1"/>
  <c r="G8982" i="1"/>
  <c r="F8982" i="1"/>
  <c r="H8981" i="1"/>
  <c r="G8981" i="1"/>
  <c r="F8981" i="1"/>
  <c r="H8980" i="1"/>
  <c r="G8980" i="1"/>
  <c r="F8980" i="1"/>
  <c r="H8979" i="1"/>
  <c r="G8979" i="1"/>
  <c r="F8979" i="1"/>
  <c r="H8978" i="1"/>
  <c r="G8978" i="1"/>
  <c r="F8978" i="1"/>
  <c r="H8977" i="1"/>
  <c r="G8977" i="1"/>
  <c r="F8977" i="1"/>
  <c r="H8976" i="1"/>
  <c r="G8976" i="1"/>
  <c r="F8976" i="1"/>
  <c r="H8975" i="1"/>
  <c r="G8975" i="1"/>
  <c r="F8975" i="1"/>
  <c r="H8974" i="1"/>
  <c r="G8974" i="1"/>
  <c r="F8974" i="1"/>
  <c r="H8973" i="1"/>
  <c r="G8973" i="1"/>
  <c r="F8973" i="1"/>
  <c r="H8972" i="1"/>
  <c r="G8972" i="1"/>
  <c r="F8972" i="1"/>
  <c r="H8971" i="1"/>
  <c r="G8971" i="1"/>
  <c r="F8971" i="1"/>
  <c r="H8970" i="1"/>
  <c r="G8970" i="1"/>
  <c r="F8970" i="1"/>
  <c r="H8969" i="1"/>
  <c r="G8969" i="1"/>
  <c r="F8969" i="1"/>
  <c r="H8968" i="1"/>
  <c r="G8968" i="1"/>
  <c r="F8968" i="1"/>
  <c r="H8967" i="1"/>
  <c r="G8967" i="1"/>
  <c r="F8967" i="1"/>
  <c r="H8966" i="1"/>
  <c r="G8966" i="1"/>
  <c r="F8966" i="1"/>
  <c r="H8965" i="1"/>
  <c r="G8965" i="1"/>
  <c r="F8965" i="1"/>
  <c r="H8964" i="1"/>
  <c r="G8964" i="1"/>
  <c r="F8964" i="1"/>
  <c r="H8963" i="1"/>
  <c r="G8963" i="1"/>
  <c r="F8963" i="1"/>
  <c r="H8962" i="1"/>
  <c r="G8962" i="1"/>
  <c r="F8962" i="1"/>
  <c r="H8961" i="1"/>
  <c r="G8961" i="1"/>
  <c r="F8961" i="1"/>
  <c r="H8960" i="1"/>
  <c r="G8960" i="1"/>
  <c r="F8960" i="1"/>
  <c r="H8959" i="1"/>
  <c r="G8959" i="1"/>
  <c r="F8959" i="1"/>
  <c r="H8958" i="1"/>
  <c r="G8958" i="1"/>
  <c r="F8958" i="1"/>
  <c r="H8957" i="1"/>
  <c r="G8957" i="1"/>
  <c r="F8957" i="1"/>
  <c r="H8956" i="1"/>
  <c r="G8956" i="1"/>
  <c r="F8956" i="1"/>
  <c r="H8955" i="1"/>
  <c r="G8955" i="1"/>
  <c r="F8955" i="1"/>
  <c r="H8954" i="1"/>
  <c r="G8954" i="1"/>
  <c r="F8954" i="1"/>
  <c r="H8953" i="1"/>
  <c r="G8953" i="1"/>
  <c r="F8953" i="1"/>
  <c r="H8952" i="1"/>
  <c r="G8952" i="1"/>
  <c r="F8952" i="1"/>
  <c r="H8951" i="1"/>
  <c r="G8951" i="1"/>
  <c r="F8951" i="1"/>
  <c r="H8950" i="1"/>
  <c r="G8950" i="1"/>
  <c r="F8950" i="1"/>
  <c r="H8949" i="1"/>
  <c r="G8949" i="1"/>
  <c r="F8949" i="1"/>
  <c r="H8948" i="1"/>
  <c r="G8948" i="1"/>
  <c r="F8948" i="1"/>
  <c r="H8947" i="1"/>
  <c r="G8947" i="1"/>
  <c r="F8947" i="1"/>
  <c r="H8946" i="1"/>
  <c r="G8946" i="1"/>
  <c r="F8946" i="1"/>
  <c r="H8945" i="1"/>
  <c r="G8945" i="1"/>
  <c r="F8945" i="1"/>
  <c r="H8944" i="1"/>
  <c r="G8944" i="1"/>
  <c r="F8944" i="1"/>
  <c r="H8943" i="1"/>
  <c r="G8943" i="1"/>
  <c r="F8943" i="1"/>
  <c r="H8942" i="1"/>
  <c r="G8942" i="1"/>
  <c r="F8942" i="1"/>
  <c r="H8941" i="1"/>
  <c r="G8941" i="1"/>
  <c r="F8941" i="1"/>
  <c r="H8940" i="1"/>
  <c r="G8940" i="1"/>
  <c r="F8940" i="1"/>
  <c r="H8939" i="1"/>
  <c r="G8939" i="1"/>
  <c r="F8939" i="1"/>
  <c r="H8938" i="1"/>
  <c r="G8938" i="1"/>
  <c r="F8938" i="1"/>
  <c r="H8937" i="1"/>
  <c r="G8937" i="1"/>
  <c r="F8937" i="1"/>
  <c r="H8936" i="1"/>
  <c r="G8936" i="1"/>
  <c r="F8936" i="1"/>
  <c r="H8935" i="1"/>
  <c r="G8935" i="1"/>
  <c r="F8935" i="1"/>
  <c r="H8934" i="1"/>
  <c r="G8934" i="1"/>
  <c r="F8934" i="1"/>
  <c r="H8933" i="1"/>
  <c r="G8933" i="1"/>
  <c r="F8933" i="1"/>
  <c r="H8932" i="1"/>
  <c r="G8932" i="1"/>
  <c r="F8932" i="1"/>
  <c r="H8931" i="1"/>
  <c r="G8931" i="1"/>
  <c r="F8931" i="1"/>
  <c r="H8930" i="1"/>
  <c r="G8930" i="1"/>
  <c r="F8930" i="1"/>
  <c r="H8929" i="1"/>
  <c r="G8929" i="1"/>
  <c r="F8929" i="1"/>
  <c r="H8928" i="1"/>
  <c r="G8928" i="1"/>
  <c r="F8928" i="1"/>
  <c r="H8927" i="1"/>
  <c r="G8927" i="1"/>
  <c r="F8927" i="1"/>
  <c r="H8926" i="1"/>
  <c r="G8926" i="1"/>
  <c r="F8926" i="1"/>
  <c r="H8925" i="1"/>
  <c r="G8925" i="1"/>
  <c r="F8925" i="1"/>
  <c r="H8924" i="1"/>
  <c r="G8924" i="1"/>
  <c r="F8924" i="1"/>
  <c r="H8923" i="1"/>
  <c r="G8923" i="1"/>
  <c r="F8923" i="1"/>
  <c r="H8922" i="1"/>
  <c r="G8922" i="1"/>
  <c r="F8922" i="1"/>
  <c r="H8921" i="1"/>
  <c r="G8921" i="1"/>
  <c r="F8921" i="1"/>
  <c r="H8920" i="1"/>
  <c r="G8920" i="1"/>
  <c r="F8920" i="1"/>
  <c r="H8919" i="1"/>
  <c r="G8919" i="1"/>
  <c r="F8919" i="1"/>
  <c r="H8918" i="1"/>
  <c r="G8918" i="1"/>
  <c r="F8918" i="1"/>
  <c r="H8917" i="1"/>
  <c r="G8917" i="1"/>
  <c r="F8917" i="1"/>
  <c r="H8916" i="1"/>
  <c r="G8916" i="1"/>
  <c r="F8916" i="1"/>
  <c r="H8915" i="1"/>
  <c r="G8915" i="1"/>
  <c r="F8915" i="1"/>
  <c r="H8914" i="1"/>
  <c r="G8914" i="1"/>
  <c r="F8914" i="1"/>
  <c r="H8913" i="1"/>
  <c r="G8913" i="1"/>
  <c r="F8913" i="1"/>
  <c r="H8912" i="1"/>
  <c r="G8912" i="1"/>
  <c r="F8912" i="1"/>
  <c r="H8911" i="1"/>
  <c r="G8911" i="1"/>
  <c r="F8911" i="1"/>
  <c r="H8910" i="1"/>
  <c r="G8910" i="1"/>
  <c r="F8910" i="1"/>
  <c r="H8909" i="1"/>
  <c r="G8909" i="1"/>
  <c r="F8909" i="1"/>
  <c r="H8908" i="1"/>
  <c r="G8908" i="1"/>
  <c r="F8908" i="1"/>
  <c r="H8907" i="1"/>
  <c r="G8907" i="1"/>
  <c r="F8907" i="1"/>
  <c r="H8906" i="1"/>
  <c r="G8906" i="1"/>
  <c r="F8906" i="1"/>
  <c r="H8905" i="1"/>
  <c r="G8905" i="1"/>
  <c r="F8905" i="1"/>
  <c r="H8904" i="1"/>
  <c r="G8904" i="1"/>
  <c r="F8904" i="1"/>
  <c r="H8903" i="1"/>
  <c r="G8903" i="1"/>
  <c r="F8903" i="1"/>
  <c r="H8902" i="1"/>
  <c r="G8902" i="1"/>
  <c r="F8902" i="1"/>
  <c r="H8901" i="1"/>
  <c r="G8901" i="1"/>
  <c r="F8901" i="1"/>
  <c r="H8900" i="1"/>
  <c r="G8900" i="1"/>
  <c r="F8900" i="1"/>
  <c r="H8899" i="1"/>
  <c r="G8899" i="1"/>
  <c r="F8899" i="1"/>
  <c r="H8898" i="1"/>
  <c r="G8898" i="1"/>
  <c r="F8898" i="1"/>
  <c r="H8897" i="1"/>
  <c r="G8897" i="1"/>
  <c r="F8897" i="1"/>
  <c r="H8896" i="1"/>
  <c r="G8896" i="1"/>
  <c r="F8896" i="1"/>
  <c r="H8895" i="1"/>
  <c r="G8895" i="1"/>
  <c r="F8895" i="1"/>
  <c r="H8894" i="1"/>
  <c r="G8894" i="1"/>
  <c r="F8894" i="1"/>
  <c r="H8893" i="1"/>
  <c r="G8893" i="1"/>
  <c r="F8893" i="1"/>
  <c r="H8892" i="1"/>
  <c r="G8892" i="1"/>
  <c r="F8892" i="1"/>
  <c r="H8891" i="1"/>
  <c r="G8891" i="1"/>
  <c r="F8891" i="1"/>
  <c r="H8890" i="1"/>
  <c r="G8890" i="1"/>
  <c r="F8890" i="1"/>
  <c r="H8889" i="1"/>
  <c r="G8889" i="1"/>
  <c r="F8889" i="1"/>
  <c r="H8888" i="1"/>
  <c r="G8888" i="1"/>
  <c r="F8888" i="1"/>
  <c r="H8887" i="1"/>
  <c r="G8887" i="1"/>
  <c r="F8887" i="1"/>
  <c r="H8886" i="1"/>
  <c r="G8886" i="1"/>
  <c r="F8886" i="1"/>
  <c r="H8885" i="1"/>
  <c r="G8885" i="1"/>
  <c r="F8885" i="1"/>
  <c r="H8884" i="1"/>
  <c r="G8884" i="1"/>
  <c r="F8884" i="1"/>
  <c r="H8883" i="1"/>
  <c r="G8883" i="1"/>
  <c r="F8883" i="1"/>
  <c r="H8882" i="1"/>
  <c r="G8882" i="1"/>
  <c r="F8882" i="1"/>
  <c r="H8881" i="1"/>
  <c r="G8881" i="1"/>
  <c r="F8881" i="1"/>
  <c r="H8880" i="1"/>
  <c r="G8880" i="1"/>
  <c r="F8880" i="1"/>
  <c r="H8879" i="1"/>
  <c r="G8879" i="1"/>
  <c r="F8879" i="1"/>
  <c r="H8878" i="1"/>
  <c r="G8878" i="1"/>
  <c r="F8878" i="1"/>
  <c r="H8877" i="1"/>
  <c r="G8877" i="1"/>
  <c r="F8877" i="1"/>
  <c r="H8876" i="1"/>
  <c r="G8876" i="1"/>
  <c r="F8876" i="1"/>
  <c r="H8875" i="1"/>
  <c r="G8875" i="1"/>
  <c r="F8875" i="1"/>
  <c r="H8874" i="1"/>
  <c r="G8874" i="1"/>
  <c r="F8874" i="1"/>
  <c r="H8873" i="1"/>
  <c r="G8873" i="1"/>
  <c r="F8873" i="1"/>
  <c r="H8872" i="1"/>
  <c r="G8872" i="1"/>
  <c r="F8872" i="1"/>
  <c r="H8871" i="1"/>
  <c r="G8871" i="1"/>
  <c r="F8871" i="1"/>
  <c r="H8870" i="1"/>
  <c r="G8870" i="1"/>
  <c r="F8870" i="1"/>
  <c r="H8869" i="1"/>
  <c r="G8869" i="1"/>
  <c r="F8869" i="1"/>
  <c r="H8868" i="1"/>
  <c r="G8868" i="1"/>
  <c r="F8868" i="1"/>
  <c r="H8867" i="1"/>
  <c r="G8867" i="1"/>
  <c r="F8867" i="1"/>
  <c r="H8866" i="1"/>
  <c r="G8866" i="1"/>
  <c r="F8866" i="1"/>
  <c r="H8865" i="1"/>
  <c r="G8865" i="1"/>
  <c r="F8865" i="1"/>
  <c r="H8864" i="1"/>
  <c r="G8864" i="1"/>
  <c r="F8864" i="1"/>
  <c r="H8863" i="1"/>
  <c r="G8863" i="1"/>
  <c r="F8863" i="1"/>
  <c r="H8862" i="1"/>
  <c r="G8862" i="1"/>
  <c r="F8862" i="1"/>
  <c r="H8861" i="1"/>
  <c r="G8861" i="1"/>
  <c r="F8861" i="1"/>
  <c r="H8860" i="1"/>
  <c r="G8860" i="1"/>
  <c r="F8860" i="1"/>
  <c r="H8859" i="1"/>
  <c r="G8859" i="1"/>
  <c r="F8859" i="1"/>
  <c r="H8858" i="1"/>
  <c r="G8858" i="1"/>
  <c r="F8858" i="1"/>
  <c r="H8857" i="1"/>
  <c r="G8857" i="1"/>
  <c r="F8857" i="1"/>
  <c r="H8856" i="1"/>
  <c r="G8856" i="1"/>
  <c r="F8856" i="1"/>
  <c r="H8855" i="1"/>
  <c r="G8855" i="1"/>
  <c r="F8855" i="1"/>
  <c r="H8854" i="1"/>
  <c r="G8854" i="1"/>
  <c r="F8854" i="1"/>
  <c r="H8853" i="1"/>
  <c r="G8853" i="1"/>
  <c r="F8853" i="1"/>
  <c r="H8852" i="1"/>
  <c r="G8852" i="1"/>
  <c r="F8852" i="1"/>
  <c r="H8851" i="1"/>
  <c r="G8851" i="1"/>
  <c r="F8851" i="1"/>
  <c r="H8850" i="1"/>
  <c r="G8850" i="1"/>
  <c r="F8850" i="1"/>
  <c r="H8849" i="1"/>
  <c r="G8849" i="1"/>
  <c r="F8849" i="1"/>
  <c r="H8848" i="1"/>
  <c r="G8848" i="1"/>
  <c r="F8848" i="1"/>
  <c r="H8847" i="1"/>
  <c r="G8847" i="1"/>
  <c r="F8847" i="1"/>
  <c r="H8846" i="1"/>
  <c r="G8846" i="1"/>
  <c r="F8846" i="1"/>
  <c r="H8845" i="1"/>
  <c r="G8845" i="1"/>
  <c r="F8845" i="1"/>
  <c r="H8844" i="1"/>
  <c r="G8844" i="1"/>
  <c r="F8844" i="1"/>
  <c r="H8843" i="1"/>
  <c r="G8843" i="1"/>
  <c r="F8843" i="1"/>
  <c r="H8842" i="1"/>
  <c r="G8842" i="1"/>
  <c r="F8842" i="1"/>
  <c r="H8841" i="1"/>
  <c r="G8841" i="1"/>
  <c r="F8841" i="1"/>
  <c r="H8840" i="1"/>
  <c r="G8840" i="1"/>
  <c r="F8840" i="1"/>
  <c r="H8839" i="1"/>
  <c r="G8839" i="1"/>
  <c r="F8839" i="1"/>
  <c r="H8838" i="1"/>
  <c r="G8838" i="1"/>
  <c r="F8838" i="1"/>
  <c r="H8837" i="1"/>
  <c r="G8837" i="1"/>
  <c r="F8837" i="1"/>
  <c r="H8836" i="1"/>
  <c r="G8836" i="1"/>
  <c r="F8836" i="1"/>
  <c r="H8835" i="1"/>
  <c r="G8835" i="1"/>
  <c r="F8835" i="1"/>
  <c r="H8834" i="1"/>
  <c r="G8834" i="1"/>
  <c r="F8834" i="1"/>
  <c r="H8833" i="1"/>
  <c r="G8833" i="1"/>
  <c r="F8833" i="1"/>
  <c r="H8832" i="1"/>
  <c r="G8832" i="1"/>
  <c r="F8832" i="1"/>
  <c r="H8831" i="1"/>
  <c r="G8831" i="1"/>
  <c r="F8831" i="1"/>
  <c r="H8830" i="1"/>
  <c r="G8830" i="1"/>
  <c r="F8830" i="1"/>
  <c r="H8829" i="1"/>
  <c r="G8829" i="1"/>
  <c r="F8829" i="1"/>
  <c r="H8828" i="1"/>
  <c r="G8828" i="1"/>
  <c r="F8828" i="1"/>
  <c r="H8827" i="1"/>
  <c r="G8827" i="1"/>
  <c r="F8827" i="1"/>
  <c r="H8826" i="1"/>
  <c r="G8826" i="1"/>
  <c r="F8826" i="1"/>
  <c r="H8825" i="1"/>
  <c r="G8825" i="1"/>
  <c r="F8825" i="1"/>
  <c r="H8824" i="1"/>
  <c r="G8824" i="1"/>
  <c r="F8824" i="1"/>
  <c r="H8823" i="1"/>
  <c r="G8823" i="1"/>
  <c r="F8823" i="1"/>
  <c r="H8822" i="1"/>
  <c r="G8822" i="1"/>
  <c r="F8822" i="1"/>
  <c r="H8821" i="1"/>
  <c r="G8821" i="1"/>
  <c r="F8821" i="1"/>
  <c r="H8820" i="1"/>
  <c r="G8820" i="1"/>
  <c r="F8820" i="1"/>
  <c r="H8819" i="1"/>
  <c r="G8819" i="1"/>
  <c r="F8819" i="1"/>
  <c r="H8818" i="1"/>
  <c r="G8818" i="1"/>
  <c r="F8818" i="1"/>
  <c r="H8817" i="1"/>
  <c r="G8817" i="1"/>
  <c r="F8817" i="1"/>
  <c r="H8816" i="1"/>
  <c r="G8816" i="1"/>
  <c r="F8816" i="1"/>
  <c r="H8815" i="1"/>
  <c r="G8815" i="1"/>
  <c r="F8815" i="1"/>
  <c r="H8814" i="1"/>
  <c r="G8814" i="1"/>
  <c r="F8814" i="1"/>
  <c r="H8813" i="1"/>
  <c r="G8813" i="1"/>
  <c r="F8813" i="1"/>
  <c r="H8812" i="1"/>
  <c r="G8812" i="1"/>
  <c r="F8812" i="1"/>
  <c r="H8811" i="1"/>
  <c r="G8811" i="1"/>
  <c r="F8811" i="1"/>
  <c r="H8810" i="1"/>
  <c r="G8810" i="1"/>
  <c r="F8810" i="1"/>
  <c r="H8809" i="1"/>
  <c r="G8809" i="1"/>
  <c r="F8809" i="1"/>
  <c r="H8808" i="1"/>
  <c r="G8808" i="1"/>
  <c r="F8808" i="1"/>
  <c r="H8807" i="1"/>
  <c r="G8807" i="1"/>
  <c r="F8807" i="1"/>
  <c r="H8806" i="1"/>
  <c r="G8806" i="1"/>
  <c r="F8806" i="1"/>
  <c r="H8805" i="1"/>
  <c r="G8805" i="1"/>
  <c r="F8805" i="1"/>
  <c r="H8804" i="1"/>
  <c r="G8804" i="1"/>
  <c r="F8804" i="1"/>
  <c r="H8803" i="1"/>
  <c r="G8803" i="1"/>
  <c r="F8803" i="1"/>
  <c r="H8802" i="1"/>
  <c r="G8802" i="1"/>
  <c r="F8802" i="1"/>
  <c r="H8801" i="1"/>
  <c r="G8801" i="1"/>
  <c r="F8801" i="1"/>
  <c r="H8800" i="1"/>
  <c r="G8800" i="1"/>
  <c r="F8800" i="1"/>
  <c r="H8799" i="1"/>
  <c r="G8799" i="1"/>
  <c r="F8799" i="1"/>
  <c r="H8798" i="1"/>
  <c r="G8798" i="1"/>
  <c r="F8798" i="1"/>
  <c r="H8797" i="1"/>
  <c r="G8797" i="1"/>
  <c r="F8797" i="1"/>
  <c r="H8796" i="1"/>
  <c r="G8796" i="1"/>
  <c r="F8796" i="1"/>
  <c r="H8795" i="1"/>
  <c r="G8795" i="1"/>
  <c r="F8795" i="1"/>
  <c r="H8794" i="1"/>
  <c r="G8794" i="1"/>
  <c r="F8794" i="1"/>
  <c r="H8793" i="1"/>
  <c r="G8793" i="1"/>
  <c r="F8793" i="1"/>
  <c r="H8792" i="1"/>
  <c r="G8792" i="1"/>
  <c r="F8792" i="1"/>
  <c r="H8791" i="1"/>
  <c r="G8791" i="1"/>
  <c r="F8791" i="1"/>
  <c r="H8790" i="1"/>
  <c r="G8790" i="1"/>
  <c r="F8790" i="1"/>
  <c r="H8789" i="1"/>
  <c r="G8789" i="1"/>
  <c r="F8789" i="1"/>
  <c r="H8788" i="1"/>
  <c r="G8788" i="1"/>
  <c r="F8788" i="1"/>
  <c r="H8787" i="1"/>
  <c r="G8787" i="1"/>
  <c r="F8787" i="1"/>
  <c r="H8786" i="1"/>
  <c r="G8786" i="1"/>
  <c r="F8786" i="1"/>
  <c r="H8785" i="1"/>
  <c r="G8785" i="1"/>
  <c r="F8785" i="1"/>
  <c r="H8784" i="1"/>
  <c r="G8784" i="1"/>
  <c r="F8784" i="1"/>
  <c r="H8783" i="1"/>
  <c r="G8783" i="1"/>
  <c r="F8783" i="1"/>
  <c r="H8782" i="1"/>
  <c r="G8782" i="1"/>
  <c r="F8782" i="1"/>
  <c r="H8781" i="1"/>
  <c r="G8781" i="1"/>
  <c r="F8781" i="1"/>
  <c r="H8780" i="1"/>
  <c r="G8780" i="1"/>
  <c r="F8780" i="1"/>
  <c r="H8779" i="1"/>
  <c r="G8779" i="1"/>
  <c r="F8779" i="1"/>
  <c r="H8778" i="1"/>
  <c r="G8778" i="1"/>
  <c r="F8778" i="1"/>
  <c r="H8777" i="1"/>
  <c r="G8777" i="1"/>
  <c r="F8777" i="1"/>
  <c r="H8776" i="1"/>
  <c r="G8776" i="1"/>
  <c r="F8776" i="1"/>
  <c r="H8775" i="1"/>
  <c r="G8775" i="1"/>
  <c r="F8775" i="1"/>
  <c r="H8774" i="1"/>
  <c r="G8774" i="1"/>
  <c r="F8774" i="1"/>
  <c r="H8773" i="1"/>
  <c r="G8773" i="1"/>
  <c r="F8773" i="1"/>
  <c r="H8772" i="1"/>
  <c r="G8772" i="1"/>
  <c r="F8772" i="1"/>
  <c r="H8771" i="1"/>
  <c r="G8771" i="1"/>
  <c r="F8771" i="1"/>
  <c r="H8770" i="1"/>
  <c r="G8770" i="1"/>
  <c r="F8770" i="1"/>
  <c r="H8769" i="1"/>
  <c r="G8769" i="1"/>
  <c r="F8769" i="1"/>
  <c r="H8768" i="1"/>
  <c r="G8768" i="1"/>
  <c r="F8768" i="1"/>
  <c r="H8767" i="1"/>
  <c r="G8767" i="1"/>
  <c r="F8767" i="1"/>
  <c r="H8766" i="1"/>
  <c r="G8766" i="1"/>
  <c r="F8766" i="1"/>
  <c r="H8765" i="1"/>
  <c r="G8765" i="1"/>
  <c r="F8765" i="1"/>
  <c r="H8764" i="1"/>
  <c r="G8764" i="1"/>
  <c r="F8764" i="1"/>
  <c r="H8763" i="1"/>
  <c r="G8763" i="1"/>
  <c r="F8763" i="1"/>
  <c r="H8762" i="1"/>
  <c r="G8762" i="1"/>
  <c r="F8762" i="1"/>
  <c r="H8761" i="1"/>
  <c r="G8761" i="1"/>
  <c r="F8761" i="1"/>
  <c r="H8760" i="1"/>
  <c r="G8760" i="1"/>
  <c r="F8760" i="1"/>
  <c r="H8759" i="1"/>
  <c r="G8759" i="1"/>
  <c r="F8759" i="1"/>
  <c r="H8758" i="1"/>
  <c r="G8758" i="1"/>
  <c r="F8758" i="1"/>
  <c r="H8757" i="1"/>
  <c r="G8757" i="1"/>
  <c r="F8757" i="1"/>
  <c r="H8756" i="1"/>
  <c r="G8756" i="1"/>
  <c r="F8756" i="1"/>
  <c r="H8755" i="1"/>
  <c r="G8755" i="1"/>
  <c r="F8755" i="1"/>
  <c r="H8754" i="1"/>
  <c r="G8754" i="1"/>
  <c r="F8754" i="1"/>
  <c r="H8753" i="1"/>
  <c r="G8753" i="1"/>
  <c r="F8753" i="1"/>
  <c r="H8752" i="1"/>
  <c r="G8752" i="1"/>
  <c r="F8752" i="1"/>
  <c r="H8751" i="1"/>
  <c r="G8751" i="1"/>
  <c r="F8751" i="1"/>
  <c r="H8750" i="1"/>
  <c r="G8750" i="1"/>
  <c r="F8750" i="1"/>
  <c r="H8749" i="1"/>
  <c r="G8749" i="1"/>
  <c r="F8749" i="1"/>
  <c r="H8748" i="1"/>
  <c r="G8748" i="1"/>
  <c r="F8748" i="1"/>
  <c r="H8747" i="1"/>
  <c r="G8747" i="1"/>
  <c r="F8747" i="1"/>
  <c r="H8746" i="1"/>
  <c r="G8746" i="1"/>
  <c r="F8746" i="1"/>
  <c r="H8745" i="1"/>
  <c r="G8745" i="1"/>
  <c r="F8745" i="1"/>
  <c r="H8744" i="1"/>
  <c r="G8744" i="1"/>
  <c r="F8744" i="1"/>
  <c r="H8743" i="1"/>
  <c r="G8743" i="1"/>
  <c r="F8743" i="1"/>
  <c r="H8742" i="1"/>
  <c r="G8742" i="1"/>
  <c r="F8742" i="1"/>
  <c r="H8741" i="1"/>
  <c r="G8741" i="1"/>
  <c r="F8741" i="1"/>
  <c r="H8740" i="1"/>
  <c r="G8740" i="1"/>
  <c r="F8740" i="1"/>
  <c r="H8739" i="1"/>
  <c r="G8739" i="1"/>
  <c r="F8739" i="1"/>
  <c r="H8738" i="1"/>
  <c r="G8738" i="1"/>
  <c r="F8738" i="1"/>
  <c r="H8737" i="1"/>
  <c r="G8737" i="1"/>
  <c r="F8737" i="1"/>
  <c r="H8736" i="1"/>
  <c r="G8736" i="1"/>
  <c r="F8736" i="1"/>
  <c r="H8735" i="1"/>
  <c r="G8735" i="1"/>
  <c r="F8735" i="1"/>
  <c r="H8734" i="1"/>
  <c r="G8734" i="1"/>
  <c r="F8734" i="1"/>
  <c r="H8733" i="1"/>
  <c r="G8733" i="1"/>
  <c r="F8733" i="1"/>
  <c r="H8732" i="1"/>
  <c r="G8732" i="1"/>
  <c r="F8732" i="1"/>
  <c r="H8731" i="1"/>
  <c r="G8731" i="1"/>
  <c r="F8731" i="1"/>
  <c r="H8730" i="1"/>
  <c r="G8730" i="1"/>
  <c r="F8730" i="1"/>
  <c r="H8729" i="1"/>
  <c r="G8729" i="1"/>
  <c r="F8729" i="1"/>
  <c r="H8728" i="1"/>
  <c r="G8728" i="1"/>
  <c r="F8728" i="1"/>
  <c r="H8727" i="1"/>
  <c r="G8727" i="1"/>
  <c r="F8727" i="1"/>
  <c r="H8726" i="1"/>
  <c r="G8726" i="1"/>
  <c r="F8726" i="1"/>
  <c r="H8725" i="1"/>
  <c r="G8725" i="1"/>
  <c r="F8725" i="1"/>
  <c r="H8724" i="1"/>
  <c r="G8724" i="1"/>
  <c r="F8724" i="1"/>
  <c r="H8723" i="1"/>
  <c r="G8723" i="1"/>
  <c r="F8723" i="1"/>
  <c r="H8722" i="1"/>
  <c r="G8722" i="1"/>
  <c r="F8722" i="1"/>
  <c r="H8721" i="1"/>
  <c r="G8721" i="1"/>
  <c r="F8721" i="1"/>
  <c r="H8720" i="1"/>
  <c r="G8720" i="1"/>
  <c r="F8720" i="1"/>
  <c r="H8719" i="1"/>
  <c r="G8719" i="1"/>
  <c r="F8719" i="1"/>
  <c r="H8718" i="1"/>
  <c r="G8718" i="1"/>
  <c r="F8718" i="1"/>
  <c r="H8717" i="1"/>
  <c r="G8717" i="1"/>
  <c r="F8717" i="1"/>
  <c r="H8716" i="1"/>
  <c r="G8716" i="1"/>
  <c r="F8716" i="1"/>
  <c r="H8715" i="1"/>
  <c r="G8715" i="1"/>
  <c r="F8715" i="1"/>
  <c r="H8714" i="1"/>
  <c r="G8714" i="1"/>
  <c r="F8714" i="1"/>
  <c r="H8713" i="1"/>
  <c r="G8713" i="1"/>
  <c r="F8713" i="1"/>
  <c r="H8712" i="1"/>
  <c r="G8712" i="1"/>
  <c r="F8712" i="1"/>
  <c r="H8711" i="1"/>
  <c r="G8711" i="1"/>
  <c r="F8711" i="1"/>
  <c r="H8710" i="1"/>
  <c r="G8710" i="1"/>
  <c r="F8710" i="1"/>
  <c r="H8709" i="1"/>
  <c r="G8709" i="1"/>
  <c r="F8709" i="1"/>
  <c r="H8708" i="1"/>
  <c r="G8708" i="1"/>
  <c r="F8708" i="1"/>
  <c r="H8707" i="1"/>
  <c r="G8707" i="1"/>
  <c r="F8707" i="1"/>
  <c r="H8706" i="1"/>
  <c r="G8706" i="1"/>
  <c r="F8706" i="1"/>
  <c r="H8705" i="1"/>
  <c r="G8705" i="1"/>
  <c r="F8705" i="1"/>
  <c r="H8704" i="1"/>
  <c r="G8704" i="1"/>
  <c r="F8704" i="1"/>
  <c r="H8703" i="1"/>
  <c r="G8703" i="1"/>
  <c r="F8703" i="1"/>
  <c r="H8702" i="1"/>
  <c r="G8702" i="1"/>
  <c r="F8702" i="1"/>
  <c r="H8701" i="1"/>
  <c r="G8701" i="1"/>
  <c r="F8701" i="1"/>
  <c r="H8700" i="1"/>
  <c r="G8700" i="1"/>
  <c r="F8700" i="1"/>
  <c r="H8699" i="1"/>
  <c r="G8699" i="1"/>
  <c r="F8699" i="1"/>
  <c r="H8698" i="1"/>
  <c r="G8698" i="1"/>
  <c r="F8698" i="1"/>
  <c r="H8697" i="1"/>
  <c r="G8697" i="1"/>
  <c r="F8697" i="1"/>
  <c r="H8696" i="1"/>
  <c r="G8696" i="1"/>
  <c r="F8696" i="1"/>
  <c r="H8695" i="1"/>
  <c r="G8695" i="1"/>
  <c r="F8695" i="1"/>
  <c r="H8694" i="1"/>
  <c r="G8694" i="1"/>
  <c r="F8694" i="1"/>
  <c r="H8693" i="1"/>
  <c r="G8693" i="1"/>
  <c r="F8693" i="1"/>
  <c r="H8692" i="1"/>
  <c r="G8692" i="1"/>
  <c r="F8692" i="1"/>
  <c r="H8691" i="1"/>
  <c r="G8691" i="1"/>
  <c r="F8691" i="1"/>
  <c r="H8690" i="1"/>
  <c r="G8690" i="1"/>
  <c r="F8690" i="1"/>
  <c r="H8689" i="1"/>
  <c r="G8689" i="1"/>
  <c r="F8689" i="1"/>
  <c r="H8688" i="1"/>
  <c r="G8688" i="1"/>
  <c r="F8688" i="1"/>
  <c r="H8687" i="1"/>
  <c r="G8687" i="1"/>
  <c r="F8687" i="1"/>
  <c r="H8686" i="1"/>
  <c r="G8686" i="1"/>
  <c r="F8686" i="1"/>
  <c r="H8685" i="1"/>
  <c r="G8685" i="1"/>
  <c r="F8685" i="1"/>
  <c r="H8684" i="1"/>
  <c r="G8684" i="1"/>
  <c r="F8684" i="1"/>
  <c r="H8683" i="1"/>
  <c r="G8683" i="1"/>
  <c r="F8683" i="1"/>
  <c r="H8682" i="1"/>
  <c r="G8682" i="1"/>
  <c r="F8682" i="1"/>
  <c r="H8681" i="1"/>
  <c r="G8681" i="1"/>
  <c r="F8681" i="1"/>
  <c r="H8680" i="1"/>
  <c r="G8680" i="1"/>
  <c r="F8680" i="1"/>
  <c r="H8679" i="1"/>
  <c r="G8679" i="1"/>
  <c r="F8679" i="1"/>
  <c r="H8678" i="1"/>
  <c r="G8678" i="1"/>
  <c r="F8678" i="1"/>
  <c r="H8677" i="1"/>
  <c r="G8677" i="1"/>
  <c r="F8677" i="1"/>
  <c r="H8676" i="1"/>
  <c r="G8676" i="1"/>
  <c r="F8676" i="1"/>
  <c r="H8675" i="1"/>
  <c r="G8675" i="1"/>
  <c r="F8675" i="1"/>
  <c r="H8674" i="1"/>
  <c r="G8674" i="1"/>
  <c r="F8674" i="1"/>
  <c r="H8673" i="1"/>
  <c r="G8673" i="1"/>
  <c r="F8673" i="1"/>
  <c r="H8672" i="1"/>
  <c r="G8672" i="1"/>
  <c r="F8672" i="1"/>
  <c r="H8671" i="1"/>
  <c r="G8671" i="1"/>
  <c r="F8671" i="1"/>
  <c r="H8670" i="1"/>
  <c r="G8670" i="1"/>
  <c r="F8670" i="1"/>
  <c r="H8669" i="1"/>
  <c r="G8669" i="1"/>
  <c r="F8669" i="1"/>
  <c r="H8668" i="1"/>
  <c r="G8668" i="1"/>
  <c r="F8668" i="1"/>
  <c r="H8667" i="1"/>
  <c r="G8667" i="1"/>
  <c r="F8667" i="1"/>
  <c r="H8666" i="1"/>
  <c r="G8666" i="1"/>
  <c r="F8666" i="1"/>
  <c r="H8665" i="1"/>
  <c r="G8665" i="1"/>
  <c r="F8665" i="1"/>
  <c r="H8664" i="1"/>
  <c r="G8664" i="1"/>
  <c r="F8664" i="1"/>
  <c r="H8663" i="1"/>
  <c r="G8663" i="1"/>
  <c r="F8663" i="1"/>
  <c r="H8662" i="1"/>
  <c r="G8662" i="1"/>
  <c r="F8662" i="1"/>
  <c r="H8661" i="1"/>
  <c r="G8661" i="1"/>
  <c r="F8661" i="1"/>
  <c r="H8660" i="1"/>
  <c r="G8660" i="1"/>
  <c r="F8660" i="1"/>
  <c r="H8659" i="1"/>
  <c r="G8659" i="1"/>
  <c r="F8659" i="1"/>
  <c r="H8658" i="1"/>
  <c r="G8658" i="1"/>
  <c r="F8658" i="1"/>
  <c r="H8657" i="1"/>
  <c r="G8657" i="1"/>
  <c r="F8657" i="1"/>
  <c r="H8656" i="1"/>
  <c r="G8656" i="1"/>
  <c r="F8656" i="1"/>
  <c r="H8655" i="1"/>
  <c r="G8655" i="1"/>
  <c r="F8655" i="1"/>
  <c r="H8654" i="1"/>
  <c r="G8654" i="1"/>
  <c r="F8654" i="1"/>
  <c r="H8653" i="1"/>
  <c r="G8653" i="1"/>
  <c r="F8653" i="1"/>
  <c r="H8652" i="1"/>
  <c r="G8652" i="1"/>
  <c r="F8652" i="1"/>
  <c r="H8651" i="1"/>
  <c r="G8651" i="1"/>
  <c r="F8651" i="1"/>
  <c r="H8650" i="1"/>
  <c r="G8650" i="1"/>
  <c r="F8650" i="1"/>
  <c r="H8649" i="1"/>
  <c r="G8649" i="1"/>
  <c r="F8649" i="1"/>
  <c r="H8648" i="1"/>
  <c r="G8648" i="1"/>
  <c r="F8648" i="1"/>
  <c r="H8647" i="1"/>
  <c r="G8647" i="1"/>
  <c r="F8647" i="1"/>
  <c r="H8646" i="1"/>
  <c r="G8646" i="1"/>
  <c r="F8646" i="1"/>
  <c r="H8645" i="1"/>
  <c r="G8645" i="1"/>
  <c r="F8645" i="1"/>
  <c r="H8644" i="1"/>
  <c r="G8644" i="1"/>
  <c r="F8644" i="1"/>
  <c r="H8643" i="1"/>
  <c r="G8643" i="1"/>
  <c r="F8643" i="1"/>
  <c r="H8642" i="1"/>
  <c r="G8642" i="1"/>
  <c r="F8642" i="1"/>
  <c r="H8641" i="1"/>
  <c r="G8641" i="1"/>
  <c r="F8641" i="1"/>
  <c r="H8640" i="1"/>
  <c r="G8640" i="1"/>
  <c r="F8640" i="1"/>
  <c r="H8639" i="1"/>
  <c r="G8639" i="1"/>
  <c r="F8639" i="1"/>
  <c r="H8638" i="1"/>
  <c r="G8638" i="1"/>
  <c r="F8638" i="1"/>
  <c r="H8637" i="1"/>
  <c r="G8637" i="1"/>
  <c r="F8637" i="1"/>
  <c r="H8636" i="1"/>
  <c r="G8636" i="1"/>
  <c r="F8636" i="1"/>
  <c r="H8635" i="1"/>
  <c r="G8635" i="1"/>
  <c r="F8635" i="1"/>
  <c r="H8634" i="1"/>
  <c r="G8634" i="1"/>
  <c r="F8634" i="1"/>
  <c r="H8633" i="1"/>
  <c r="G8633" i="1"/>
  <c r="F8633" i="1"/>
  <c r="H8632" i="1"/>
  <c r="G8632" i="1"/>
  <c r="F8632" i="1"/>
  <c r="H8631" i="1"/>
  <c r="G8631" i="1"/>
  <c r="F8631" i="1"/>
  <c r="H8630" i="1"/>
  <c r="G8630" i="1"/>
  <c r="F8630" i="1"/>
  <c r="H8629" i="1"/>
  <c r="G8629" i="1"/>
  <c r="F8629" i="1"/>
  <c r="H8628" i="1"/>
  <c r="G8628" i="1"/>
  <c r="F8628" i="1"/>
  <c r="H8627" i="1"/>
  <c r="G8627" i="1"/>
  <c r="F8627" i="1"/>
  <c r="H8626" i="1"/>
  <c r="G8626" i="1"/>
  <c r="F8626" i="1"/>
  <c r="H8625" i="1"/>
  <c r="G8625" i="1"/>
  <c r="F8625" i="1"/>
  <c r="H8624" i="1"/>
  <c r="G8624" i="1"/>
  <c r="F8624" i="1"/>
  <c r="H8623" i="1"/>
  <c r="G8623" i="1"/>
  <c r="F8623" i="1"/>
  <c r="H8622" i="1"/>
  <c r="G8622" i="1"/>
  <c r="F8622" i="1"/>
  <c r="H8621" i="1"/>
  <c r="G8621" i="1"/>
  <c r="F8621" i="1"/>
  <c r="H8620" i="1"/>
  <c r="G8620" i="1"/>
  <c r="F8620" i="1"/>
  <c r="H8619" i="1"/>
  <c r="G8619" i="1"/>
  <c r="F8619" i="1"/>
  <c r="H8618" i="1"/>
  <c r="G8618" i="1"/>
  <c r="F8618" i="1"/>
  <c r="H8617" i="1"/>
  <c r="G8617" i="1"/>
  <c r="F8617" i="1"/>
  <c r="H8616" i="1"/>
  <c r="G8616" i="1"/>
  <c r="F8616" i="1"/>
  <c r="H8615" i="1"/>
  <c r="G8615" i="1"/>
  <c r="F8615" i="1"/>
  <c r="H8614" i="1"/>
  <c r="G8614" i="1"/>
  <c r="F8614" i="1"/>
  <c r="H8613" i="1"/>
  <c r="G8613" i="1"/>
  <c r="F8613" i="1"/>
  <c r="H8612" i="1"/>
  <c r="G8612" i="1"/>
  <c r="F8612" i="1"/>
  <c r="H8611" i="1"/>
  <c r="G8611" i="1"/>
  <c r="F8611" i="1"/>
  <c r="H8610" i="1"/>
  <c r="G8610" i="1"/>
  <c r="F8610" i="1"/>
  <c r="H8609" i="1"/>
  <c r="G8609" i="1"/>
  <c r="F8609" i="1"/>
  <c r="H8608" i="1"/>
  <c r="G8608" i="1"/>
  <c r="F8608" i="1"/>
  <c r="H8607" i="1"/>
  <c r="G8607" i="1"/>
  <c r="F8607" i="1"/>
  <c r="H8606" i="1"/>
  <c r="G8606" i="1"/>
  <c r="F8606" i="1"/>
  <c r="H8605" i="1"/>
  <c r="G8605" i="1"/>
  <c r="F8605" i="1"/>
  <c r="H8604" i="1"/>
  <c r="G8604" i="1"/>
  <c r="F8604" i="1"/>
  <c r="H8603" i="1"/>
  <c r="G8603" i="1"/>
  <c r="F8603" i="1"/>
  <c r="H8602" i="1"/>
  <c r="G8602" i="1"/>
  <c r="F8602" i="1"/>
  <c r="H8601" i="1"/>
  <c r="G8601" i="1"/>
  <c r="F8601" i="1"/>
  <c r="H8600" i="1"/>
  <c r="G8600" i="1"/>
  <c r="F8600" i="1"/>
  <c r="H8599" i="1"/>
  <c r="G8599" i="1"/>
  <c r="F8599" i="1"/>
  <c r="H8598" i="1"/>
  <c r="G8598" i="1"/>
  <c r="F8598" i="1"/>
  <c r="H8597" i="1"/>
  <c r="G8597" i="1"/>
  <c r="F8597" i="1"/>
  <c r="H8596" i="1"/>
  <c r="G8596" i="1"/>
  <c r="F8596" i="1"/>
  <c r="H8595" i="1"/>
  <c r="G8595" i="1"/>
  <c r="F8595" i="1"/>
  <c r="H8594" i="1"/>
  <c r="G8594" i="1"/>
  <c r="F8594" i="1"/>
  <c r="H8593" i="1"/>
  <c r="G8593" i="1"/>
  <c r="F8593" i="1"/>
  <c r="H8592" i="1"/>
  <c r="G8592" i="1"/>
  <c r="F8592" i="1"/>
  <c r="H8591" i="1"/>
  <c r="G8591" i="1"/>
  <c r="F8591" i="1"/>
  <c r="H8590" i="1"/>
  <c r="G8590" i="1"/>
  <c r="F8590" i="1"/>
  <c r="H8589" i="1"/>
  <c r="G8589" i="1"/>
  <c r="F8589" i="1"/>
  <c r="H8588" i="1"/>
  <c r="G8588" i="1"/>
  <c r="F8588" i="1"/>
  <c r="H8587" i="1"/>
  <c r="G8587" i="1"/>
  <c r="F8587" i="1"/>
  <c r="H8586" i="1"/>
  <c r="G8586" i="1"/>
  <c r="F8586" i="1"/>
  <c r="H8585" i="1"/>
  <c r="G8585" i="1"/>
  <c r="F8585" i="1"/>
  <c r="H8584" i="1"/>
  <c r="G8584" i="1"/>
  <c r="F8584" i="1"/>
  <c r="H8583" i="1"/>
  <c r="G8583" i="1"/>
  <c r="F8583" i="1"/>
  <c r="H8582" i="1"/>
  <c r="G8582" i="1"/>
  <c r="F8582" i="1"/>
  <c r="H8581" i="1"/>
  <c r="G8581" i="1"/>
  <c r="F8581" i="1"/>
  <c r="H8580" i="1"/>
  <c r="G8580" i="1"/>
  <c r="F8580" i="1"/>
  <c r="H8579" i="1"/>
  <c r="G8579" i="1"/>
  <c r="F8579" i="1"/>
  <c r="H8578" i="1"/>
  <c r="G8578" i="1"/>
  <c r="F8578" i="1"/>
  <c r="H8577" i="1"/>
  <c r="G8577" i="1"/>
  <c r="F8577" i="1"/>
  <c r="H8576" i="1"/>
  <c r="G8576" i="1"/>
  <c r="F8576" i="1"/>
  <c r="H8575" i="1"/>
  <c r="G8575" i="1"/>
  <c r="F8575" i="1"/>
  <c r="H8574" i="1"/>
  <c r="G8574" i="1"/>
  <c r="F8574" i="1"/>
  <c r="H8573" i="1"/>
  <c r="G8573" i="1"/>
  <c r="F8573" i="1"/>
  <c r="H8572" i="1"/>
  <c r="G8572" i="1"/>
  <c r="F8572" i="1"/>
  <c r="H8571" i="1"/>
  <c r="G8571" i="1"/>
  <c r="F8571" i="1"/>
  <c r="H8570" i="1"/>
  <c r="G8570" i="1"/>
  <c r="F8570" i="1"/>
  <c r="H8569" i="1"/>
  <c r="G8569" i="1"/>
  <c r="F8569" i="1"/>
  <c r="H8568" i="1"/>
  <c r="G8568" i="1"/>
  <c r="F8568" i="1"/>
  <c r="H8567" i="1"/>
  <c r="G8567" i="1"/>
  <c r="F8567" i="1"/>
  <c r="H8566" i="1"/>
  <c r="G8566" i="1"/>
  <c r="F8566" i="1"/>
  <c r="H8565" i="1"/>
  <c r="G8565" i="1"/>
  <c r="F8565" i="1"/>
  <c r="H8564" i="1"/>
  <c r="G8564" i="1"/>
  <c r="F8564" i="1"/>
  <c r="H8563" i="1"/>
  <c r="G8563" i="1"/>
  <c r="F8563" i="1"/>
  <c r="H8562" i="1"/>
  <c r="G8562" i="1"/>
  <c r="F8562" i="1"/>
  <c r="H8561" i="1"/>
  <c r="G8561" i="1"/>
  <c r="F8561" i="1"/>
  <c r="H8560" i="1"/>
  <c r="G8560" i="1"/>
  <c r="F8560" i="1"/>
  <c r="H8559" i="1"/>
  <c r="G8559" i="1"/>
  <c r="F8559" i="1"/>
  <c r="H8558" i="1"/>
  <c r="G8558" i="1"/>
  <c r="F8558" i="1"/>
  <c r="H8557" i="1"/>
  <c r="G8557" i="1"/>
  <c r="F8557" i="1"/>
  <c r="H8556" i="1"/>
  <c r="G8556" i="1"/>
  <c r="F8556" i="1"/>
  <c r="H8555" i="1"/>
  <c r="G8555" i="1"/>
  <c r="F8555" i="1"/>
  <c r="H8554" i="1"/>
  <c r="G8554" i="1"/>
  <c r="F8554" i="1"/>
  <c r="H8553" i="1"/>
  <c r="G8553" i="1"/>
  <c r="F8553" i="1"/>
  <c r="H8552" i="1"/>
  <c r="G8552" i="1"/>
  <c r="F8552" i="1"/>
  <c r="H8551" i="1"/>
  <c r="G8551" i="1"/>
  <c r="F8551" i="1"/>
  <c r="H8550" i="1"/>
  <c r="G8550" i="1"/>
  <c r="F8550" i="1"/>
  <c r="H8549" i="1"/>
  <c r="G8549" i="1"/>
  <c r="F8549" i="1"/>
  <c r="H8548" i="1"/>
  <c r="G8548" i="1"/>
  <c r="F8548" i="1"/>
  <c r="H8547" i="1"/>
  <c r="G8547" i="1"/>
  <c r="F8547" i="1"/>
  <c r="H8546" i="1"/>
  <c r="G8546" i="1"/>
  <c r="F8546" i="1"/>
  <c r="H8545" i="1"/>
  <c r="G8545" i="1"/>
  <c r="F8545" i="1"/>
  <c r="H8544" i="1"/>
  <c r="G8544" i="1"/>
  <c r="F8544" i="1"/>
  <c r="H8543" i="1"/>
  <c r="G8543" i="1"/>
  <c r="F8543" i="1"/>
  <c r="H8542" i="1"/>
  <c r="G8542" i="1"/>
  <c r="F8542" i="1"/>
  <c r="H8541" i="1"/>
  <c r="G8541" i="1"/>
  <c r="F8541" i="1"/>
  <c r="H8540" i="1"/>
  <c r="G8540" i="1"/>
  <c r="F8540" i="1"/>
  <c r="H8539" i="1"/>
  <c r="G8539" i="1"/>
  <c r="F8539" i="1"/>
  <c r="H8538" i="1"/>
  <c r="G8538" i="1"/>
  <c r="F8538" i="1"/>
  <c r="H8537" i="1"/>
  <c r="G8537" i="1"/>
  <c r="F8537" i="1"/>
  <c r="H8536" i="1"/>
  <c r="G8536" i="1"/>
  <c r="F8536" i="1"/>
  <c r="H8535" i="1"/>
  <c r="G8535" i="1"/>
  <c r="F8535" i="1"/>
  <c r="H8534" i="1"/>
  <c r="G8534" i="1"/>
  <c r="F8534" i="1"/>
  <c r="H8533" i="1"/>
  <c r="G8533" i="1"/>
  <c r="F8533" i="1"/>
  <c r="H8532" i="1"/>
  <c r="G8532" i="1"/>
  <c r="F8532" i="1"/>
  <c r="H8531" i="1"/>
  <c r="G8531" i="1"/>
  <c r="F8531" i="1"/>
  <c r="H8530" i="1"/>
  <c r="G8530" i="1"/>
  <c r="F8530" i="1"/>
  <c r="H8529" i="1"/>
  <c r="G8529" i="1"/>
  <c r="F8529" i="1"/>
  <c r="H8528" i="1"/>
  <c r="G8528" i="1"/>
  <c r="F8528" i="1"/>
  <c r="H8527" i="1"/>
  <c r="G8527" i="1"/>
  <c r="F8527" i="1"/>
  <c r="H8526" i="1"/>
  <c r="G8526" i="1"/>
  <c r="F8526" i="1"/>
  <c r="H8525" i="1"/>
  <c r="G8525" i="1"/>
  <c r="F8525" i="1"/>
  <c r="H8524" i="1"/>
  <c r="G8524" i="1"/>
  <c r="F8524" i="1"/>
  <c r="H8523" i="1"/>
  <c r="G8523" i="1"/>
  <c r="F8523" i="1"/>
  <c r="H8522" i="1"/>
  <c r="G8522" i="1"/>
  <c r="F8522" i="1"/>
  <c r="H8521" i="1"/>
  <c r="G8521" i="1"/>
  <c r="F8521" i="1"/>
  <c r="H8520" i="1"/>
  <c r="G8520" i="1"/>
  <c r="F8520" i="1"/>
  <c r="H8519" i="1"/>
  <c r="G8519" i="1"/>
  <c r="F8519" i="1"/>
  <c r="H8518" i="1"/>
  <c r="G8518" i="1"/>
  <c r="F8518" i="1"/>
  <c r="H8517" i="1"/>
  <c r="G8517" i="1"/>
  <c r="F8517" i="1"/>
  <c r="H8516" i="1"/>
  <c r="G8516" i="1"/>
  <c r="F8516" i="1"/>
  <c r="H8515" i="1"/>
  <c r="G8515" i="1"/>
  <c r="F8515" i="1"/>
  <c r="H8514" i="1"/>
  <c r="G8514" i="1"/>
  <c r="F8514" i="1"/>
  <c r="H8513" i="1"/>
  <c r="G8513" i="1"/>
  <c r="F8513" i="1"/>
  <c r="H8512" i="1"/>
  <c r="G8512" i="1"/>
  <c r="F8512" i="1"/>
  <c r="H8511" i="1"/>
  <c r="G8511" i="1"/>
  <c r="F8511" i="1"/>
  <c r="H8510" i="1"/>
  <c r="G8510" i="1"/>
  <c r="F8510" i="1"/>
  <c r="H8509" i="1"/>
  <c r="G8509" i="1"/>
  <c r="F8509" i="1"/>
  <c r="H8508" i="1"/>
  <c r="G8508" i="1"/>
  <c r="F8508" i="1"/>
  <c r="H8507" i="1"/>
  <c r="G8507" i="1"/>
  <c r="F8507" i="1"/>
  <c r="H8506" i="1"/>
  <c r="G8506" i="1"/>
  <c r="F8506" i="1"/>
  <c r="H8505" i="1"/>
  <c r="G8505" i="1"/>
  <c r="F8505" i="1"/>
  <c r="H8504" i="1"/>
  <c r="G8504" i="1"/>
  <c r="F8504" i="1"/>
  <c r="H8503" i="1"/>
  <c r="G8503" i="1"/>
  <c r="F8503" i="1"/>
  <c r="H8502" i="1"/>
  <c r="G8502" i="1"/>
  <c r="F8502" i="1"/>
  <c r="H8501" i="1"/>
  <c r="G8501" i="1"/>
  <c r="F8501" i="1"/>
  <c r="H8500" i="1"/>
  <c r="G8500" i="1"/>
  <c r="F8500" i="1"/>
  <c r="H8499" i="1"/>
  <c r="G8499" i="1"/>
  <c r="F8499" i="1"/>
  <c r="H8498" i="1"/>
  <c r="G8498" i="1"/>
  <c r="F8498" i="1"/>
  <c r="H8497" i="1"/>
  <c r="G8497" i="1"/>
  <c r="F8497" i="1"/>
  <c r="H8496" i="1"/>
  <c r="G8496" i="1"/>
  <c r="F8496" i="1"/>
  <c r="H8495" i="1"/>
  <c r="G8495" i="1"/>
  <c r="F8495" i="1"/>
  <c r="H8494" i="1"/>
  <c r="G8494" i="1"/>
  <c r="F8494" i="1"/>
  <c r="H8493" i="1"/>
  <c r="G8493" i="1"/>
  <c r="F8493" i="1"/>
  <c r="H8492" i="1"/>
  <c r="G8492" i="1"/>
  <c r="F8492" i="1"/>
  <c r="H8491" i="1"/>
  <c r="G8491" i="1"/>
  <c r="F8491" i="1"/>
  <c r="H8490" i="1"/>
  <c r="G8490" i="1"/>
  <c r="F8490" i="1"/>
  <c r="H8489" i="1"/>
  <c r="G8489" i="1"/>
  <c r="F8489" i="1"/>
  <c r="H8488" i="1"/>
  <c r="G8488" i="1"/>
  <c r="F8488" i="1"/>
  <c r="H8487" i="1"/>
  <c r="G8487" i="1"/>
  <c r="F8487" i="1"/>
  <c r="H8486" i="1"/>
  <c r="G8486" i="1"/>
  <c r="F8486" i="1"/>
  <c r="H8485" i="1"/>
  <c r="G8485" i="1"/>
  <c r="F8485" i="1"/>
  <c r="H8484" i="1"/>
  <c r="G8484" i="1"/>
  <c r="F8484" i="1"/>
  <c r="H8483" i="1"/>
  <c r="G8483" i="1"/>
  <c r="F8483" i="1"/>
  <c r="H8482" i="1"/>
  <c r="G8482" i="1"/>
  <c r="F8482" i="1"/>
  <c r="H8481" i="1"/>
  <c r="G8481" i="1"/>
  <c r="F8481" i="1"/>
  <c r="H8480" i="1"/>
  <c r="G8480" i="1"/>
  <c r="F8480" i="1"/>
  <c r="H8479" i="1"/>
  <c r="G8479" i="1"/>
  <c r="F8479" i="1"/>
  <c r="H8478" i="1"/>
  <c r="G8478" i="1"/>
  <c r="F8478" i="1"/>
  <c r="H8477" i="1"/>
  <c r="G8477" i="1"/>
  <c r="F8477" i="1"/>
  <c r="H8476" i="1"/>
  <c r="G8476" i="1"/>
  <c r="F8476" i="1"/>
  <c r="H8475" i="1"/>
  <c r="G8475" i="1"/>
  <c r="F8475" i="1"/>
  <c r="H8474" i="1"/>
  <c r="G8474" i="1"/>
  <c r="F8474" i="1"/>
  <c r="H8473" i="1"/>
  <c r="G8473" i="1"/>
  <c r="F8473" i="1"/>
  <c r="H8472" i="1"/>
  <c r="G8472" i="1"/>
  <c r="F8472" i="1"/>
  <c r="H8471" i="1"/>
  <c r="G8471" i="1"/>
  <c r="F8471" i="1"/>
  <c r="H8470" i="1"/>
  <c r="G8470" i="1"/>
  <c r="F8470" i="1"/>
  <c r="H8469" i="1"/>
  <c r="G8469" i="1"/>
  <c r="F8469" i="1"/>
  <c r="H8468" i="1"/>
  <c r="G8468" i="1"/>
  <c r="F8468" i="1"/>
  <c r="H8467" i="1"/>
  <c r="G8467" i="1"/>
  <c r="F8467" i="1"/>
  <c r="H8466" i="1"/>
  <c r="G8466" i="1"/>
  <c r="F8466" i="1"/>
  <c r="H8465" i="1"/>
  <c r="G8465" i="1"/>
  <c r="F8465" i="1"/>
  <c r="H8464" i="1"/>
  <c r="G8464" i="1"/>
  <c r="F8464" i="1"/>
  <c r="H8463" i="1"/>
  <c r="G8463" i="1"/>
  <c r="F8463" i="1"/>
  <c r="H8462" i="1"/>
  <c r="G8462" i="1"/>
  <c r="F8462" i="1"/>
  <c r="H8461" i="1"/>
  <c r="G8461" i="1"/>
  <c r="F8461" i="1"/>
  <c r="H8460" i="1"/>
  <c r="G8460" i="1"/>
  <c r="F8460" i="1"/>
  <c r="H8459" i="1"/>
  <c r="G8459" i="1"/>
  <c r="F8459" i="1"/>
  <c r="H8458" i="1"/>
  <c r="G8458" i="1"/>
  <c r="F8458" i="1"/>
  <c r="H8457" i="1"/>
  <c r="G8457" i="1"/>
  <c r="F8457" i="1"/>
  <c r="H8456" i="1"/>
  <c r="G8456" i="1"/>
  <c r="F8456" i="1"/>
  <c r="H8455" i="1"/>
  <c r="G8455" i="1"/>
  <c r="F8455" i="1"/>
  <c r="H8454" i="1"/>
  <c r="G8454" i="1"/>
  <c r="F8454" i="1"/>
  <c r="H8453" i="1"/>
  <c r="G8453" i="1"/>
  <c r="F8453" i="1"/>
  <c r="H8452" i="1"/>
  <c r="G8452" i="1"/>
  <c r="F8452" i="1"/>
  <c r="H8451" i="1"/>
  <c r="G8451" i="1"/>
  <c r="F8451" i="1"/>
  <c r="H8450" i="1"/>
  <c r="G8450" i="1"/>
  <c r="F8450" i="1"/>
  <c r="H8449" i="1"/>
  <c r="G8449" i="1"/>
  <c r="F8449" i="1"/>
  <c r="H8448" i="1"/>
  <c r="G8448" i="1"/>
  <c r="F8448" i="1"/>
  <c r="H8447" i="1"/>
  <c r="G8447" i="1"/>
  <c r="F8447" i="1"/>
  <c r="H8446" i="1"/>
  <c r="G8446" i="1"/>
  <c r="F8446" i="1"/>
  <c r="H8445" i="1"/>
  <c r="G8445" i="1"/>
  <c r="F8445" i="1"/>
  <c r="H8444" i="1"/>
  <c r="G8444" i="1"/>
  <c r="F8444" i="1"/>
  <c r="H8443" i="1"/>
  <c r="G8443" i="1"/>
  <c r="F8443" i="1"/>
  <c r="H8442" i="1"/>
  <c r="G8442" i="1"/>
  <c r="F8442" i="1"/>
  <c r="H8441" i="1"/>
  <c r="G8441" i="1"/>
  <c r="F8441" i="1"/>
  <c r="H8440" i="1"/>
  <c r="G8440" i="1"/>
  <c r="F8440" i="1"/>
  <c r="H8439" i="1"/>
  <c r="G8439" i="1"/>
  <c r="F8439" i="1"/>
  <c r="H8438" i="1"/>
  <c r="G8438" i="1"/>
  <c r="F8438" i="1"/>
  <c r="H8437" i="1"/>
  <c r="G8437" i="1"/>
  <c r="F8437" i="1"/>
  <c r="H8436" i="1"/>
  <c r="G8436" i="1"/>
  <c r="F8436" i="1"/>
  <c r="H8435" i="1"/>
  <c r="G8435" i="1"/>
  <c r="F8435" i="1"/>
  <c r="H8434" i="1"/>
  <c r="G8434" i="1"/>
  <c r="F8434" i="1"/>
  <c r="H8433" i="1"/>
  <c r="G8433" i="1"/>
  <c r="F8433" i="1"/>
  <c r="H8432" i="1"/>
  <c r="G8432" i="1"/>
  <c r="F8432" i="1"/>
  <c r="H8431" i="1"/>
  <c r="G8431" i="1"/>
  <c r="F8431" i="1"/>
  <c r="H8430" i="1"/>
  <c r="G8430" i="1"/>
  <c r="F8430" i="1"/>
  <c r="H8429" i="1"/>
  <c r="G8429" i="1"/>
  <c r="F8429" i="1"/>
  <c r="H8428" i="1"/>
  <c r="G8428" i="1"/>
  <c r="F8428" i="1"/>
  <c r="H8427" i="1"/>
  <c r="G8427" i="1"/>
  <c r="F8427" i="1"/>
  <c r="H8426" i="1"/>
  <c r="G8426" i="1"/>
  <c r="F8426" i="1"/>
  <c r="H8425" i="1"/>
  <c r="G8425" i="1"/>
  <c r="F8425" i="1"/>
  <c r="H8424" i="1"/>
  <c r="G8424" i="1"/>
  <c r="F8424" i="1"/>
  <c r="H8423" i="1"/>
  <c r="G8423" i="1"/>
  <c r="F8423" i="1"/>
  <c r="H8422" i="1"/>
  <c r="G8422" i="1"/>
  <c r="F8422" i="1"/>
  <c r="H8421" i="1"/>
  <c r="G8421" i="1"/>
  <c r="F8421" i="1"/>
  <c r="H8420" i="1"/>
  <c r="G8420" i="1"/>
  <c r="F8420" i="1"/>
  <c r="H8419" i="1"/>
  <c r="G8419" i="1"/>
  <c r="F8419" i="1"/>
  <c r="H8418" i="1"/>
  <c r="G8418" i="1"/>
  <c r="F8418" i="1"/>
  <c r="H8417" i="1"/>
  <c r="G8417" i="1"/>
  <c r="F8417" i="1"/>
  <c r="H8416" i="1"/>
  <c r="G8416" i="1"/>
  <c r="F8416" i="1"/>
  <c r="H8415" i="1"/>
  <c r="G8415" i="1"/>
  <c r="F8415" i="1"/>
  <c r="H8414" i="1"/>
  <c r="G8414" i="1"/>
  <c r="F8414" i="1"/>
  <c r="H8413" i="1"/>
  <c r="G8413" i="1"/>
  <c r="F8413" i="1"/>
  <c r="H8412" i="1"/>
  <c r="G8412" i="1"/>
  <c r="F8412" i="1"/>
  <c r="H8411" i="1"/>
  <c r="G8411" i="1"/>
  <c r="F8411" i="1"/>
  <c r="H8410" i="1"/>
  <c r="G8410" i="1"/>
  <c r="F8410" i="1"/>
  <c r="H8409" i="1"/>
  <c r="G8409" i="1"/>
  <c r="F8409" i="1"/>
  <c r="H8408" i="1"/>
  <c r="G8408" i="1"/>
  <c r="F8408" i="1"/>
  <c r="H8407" i="1"/>
  <c r="G8407" i="1"/>
  <c r="F8407" i="1"/>
  <c r="H8406" i="1"/>
  <c r="G8406" i="1"/>
  <c r="F8406" i="1"/>
  <c r="H8405" i="1"/>
  <c r="G8405" i="1"/>
  <c r="F8405" i="1"/>
  <c r="H8404" i="1"/>
  <c r="G8404" i="1"/>
  <c r="F8404" i="1"/>
  <c r="H8403" i="1"/>
  <c r="G8403" i="1"/>
  <c r="F8403" i="1"/>
  <c r="H8402" i="1"/>
  <c r="G8402" i="1"/>
  <c r="F8402" i="1"/>
  <c r="H8401" i="1"/>
  <c r="G8401" i="1"/>
  <c r="F8401" i="1"/>
  <c r="H8400" i="1"/>
  <c r="G8400" i="1"/>
  <c r="F8400" i="1"/>
  <c r="H8399" i="1"/>
  <c r="G8399" i="1"/>
  <c r="F8399" i="1"/>
  <c r="H8398" i="1"/>
  <c r="G8398" i="1"/>
  <c r="F8398" i="1"/>
  <c r="H8397" i="1"/>
  <c r="G8397" i="1"/>
  <c r="F8397" i="1"/>
  <c r="H8396" i="1"/>
  <c r="G8396" i="1"/>
  <c r="F8396" i="1"/>
  <c r="H8395" i="1"/>
  <c r="G8395" i="1"/>
  <c r="F8395" i="1"/>
  <c r="H8394" i="1"/>
  <c r="G8394" i="1"/>
  <c r="F8394" i="1"/>
  <c r="H8393" i="1"/>
  <c r="G8393" i="1"/>
  <c r="F8393" i="1"/>
  <c r="H8392" i="1"/>
  <c r="G8392" i="1"/>
  <c r="F8392" i="1"/>
  <c r="H8391" i="1"/>
  <c r="G8391" i="1"/>
  <c r="F8391" i="1"/>
  <c r="H8390" i="1"/>
  <c r="G8390" i="1"/>
  <c r="F8390" i="1"/>
  <c r="H8389" i="1"/>
  <c r="G8389" i="1"/>
  <c r="F8389" i="1"/>
  <c r="H8388" i="1"/>
  <c r="G8388" i="1"/>
  <c r="F8388" i="1"/>
  <c r="H8387" i="1"/>
  <c r="G8387" i="1"/>
  <c r="F8387" i="1"/>
  <c r="H8386" i="1"/>
  <c r="G8386" i="1"/>
  <c r="F8386" i="1"/>
  <c r="H8385" i="1"/>
  <c r="G8385" i="1"/>
  <c r="F8385" i="1"/>
  <c r="H8384" i="1"/>
  <c r="G8384" i="1"/>
  <c r="F8384" i="1"/>
  <c r="H8383" i="1"/>
  <c r="G8383" i="1"/>
  <c r="F8383" i="1"/>
  <c r="H8382" i="1"/>
  <c r="G8382" i="1"/>
  <c r="F8382" i="1"/>
  <c r="H8381" i="1"/>
  <c r="G8381" i="1"/>
  <c r="F8381" i="1"/>
  <c r="H8380" i="1"/>
  <c r="G8380" i="1"/>
  <c r="F8380" i="1"/>
  <c r="H8379" i="1"/>
  <c r="G8379" i="1"/>
  <c r="F8379" i="1"/>
  <c r="H8378" i="1"/>
  <c r="G8378" i="1"/>
  <c r="F8378" i="1"/>
  <c r="H8377" i="1"/>
  <c r="G8377" i="1"/>
  <c r="F8377" i="1"/>
  <c r="H8376" i="1"/>
  <c r="G8376" i="1"/>
  <c r="F8376" i="1"/>
  <c r="H8375" i="1"/>
  <c r="G8375" i="1"/>
  <c r="F8375" i="1"/>
  <c r="H8374" i="1"/>
  <c r="G8374" i="1"/>
  <c r="F8374" i="1"/>
  <c r="H8373" i="1"/>
  <c r="G8373" i="1"/>
  <c r="F8373" i="1"/>
  <c r="H8372" i="1"/>
  <c r="G8372" i="1"/>
  <c r="F8372" i="1"/>
  <c r="H8371" i="1"/>
  <c r="G8371" i="1"/>
  <c r="F8371" i="1"/>
  <c r="H8370" i="1"/>
  <c r="G8370" i="1"/>
  <c r="F8370" i="1"/>
  <c r="H8369" i="1"/>
  <c r="G8369" i="1"/>
  <c r="F8369" i="1"/>
  <c r="H8368" i="1"/>
  <c r="G8368" i="1"/>
  <c r="F8368" i="1"/>
  <c r="H8367" i="1"/>
  <c r="G8367" i="1"/>
  <c r="F8367" i="1"/>
  <c r="H8366" i="1"/>
  <c r="G8366" i="1"/>
  <c r="F8366" i="1"/>
  <c r="H8365" i="1"/>
  <c r="G8365" i="1"/>
  <c r="F8365" i="1"/>
  <c r="H8364" i="1"/>
  <c r="G8364" i="1"/>
  <c r="F8364" i="1"/>
  <c r="H8363" i="1"/>
  <c r="G8363" i="1"/>
  <c r="F8363" i="1"/>
  <c r="H8362" i="1"/>
  <c r="G8362" i="1"/>
  <c r="F8362" i="1"/>
  <c r="H8361" i="1"/>
  <c r="G8361" i="1"/>
  <c r="F8361" i="1"/>
  <c r="H8360" i="1"/>
  <c r="G8360" i="1"/>
  <c r="F8360" i="1"/>
  <c r="H8359" i="1"/>
  <c r="G8359" i="1"/>
  <c r="F8359" i="1"/>
  <c r="H8358" i="1"/>
  <c r="G8358" i="1"/>
  <c r="F8358" i="1"/>
  <c r="H8357" i="1"/>
  <c r="G8357" i="1"/>
  <c r="F8357" i="1"/>
  <c r="H8356" i="1"/>
  <c r="G8356" i="1"/>
  <c r="F8356" i="1"/>
  <c r="H8355" i="1"/>
  <c r="G8355" i="1"/>
  <c r="F8355" i="1"/>
  <c r="H8354" i="1"/>
  <c r="G8354" i="1"/>
  <c r="F8354" i="1"/>
  <c r="H8353" i="1"/>
  <c r="G8353" i="1"/>
  <c r="F8353" i="1"/>
  <c r="H8352" i="1"/>
  <c r="G8352" i="1"/>
  <c r="F8352" i="1"/>
  <c r="H8351" i="1"/>
  <c r="G8351" i="1"/>
  <c r="F8351" i="1"/>
  <c r="H8350" i="1"/>
  <c r="G8350" i="1"/>
  <c r="F8350" i="1"/>
  <c r="H8349" i="1"/>
  <c r="G8349" i="1"/>
  <c r="F8349" i="1"/>
  <c r="H8348" i="1"/>
  <c r="G8348" i="1"/>
  <c r="F8348" i="1"/>
  <c r="H8347" i="1"/>
  <c r="G8347" i="1"/>
  <c r="F8347" i="1"/>
  <c r="H8346" i="1"/>
  <c r="G8346" i="1"/>
  <c r="F8346" i="1"/>
  <c r="H8345" i="1"/>
  <c r="G8345" i="1"/>
  <c r="F8345" i="1"/>
  <c r="H8344" i="1"/>
  <c r="G8344" i="1"/>
  <c r="F8344" i="1"/>
  <c r="H8343" i="1"/>
  <c r="G8343" i="1"/>
  <c r="F8343" i="1"/>
  <c r="H8342" i="1"/>
  <c r="G8342" i="1"/>
  <c r="F8342" i="1"/>
  <c r="H8341" i="1"/>
  <c r="G8341" i="1"/>
  <c r="F8341" i="1"/>
  <c r="H8340" i="1"/>
  <c r="G8340" i="1"/>
  <c r="F8340" i="1"/>
  <c r="H8339" i="1"/>
  <c r="G8339" i="1"/>
  <c r="F8339" i="1"/>
  <c r="H8338" i="1"/>
  <c r="G8338" i="1"/>
  <c r="F8338" i="1"/>
  <c r="H8337" i="1"/>
  <c r="G8337" i="1"/>
  <c r="F8337" i="1"/>
  <c r="H8336" i="1"/>
  <c r="G8336" i="1"/>
  <c r="F8336" i="1"/>
  <c r="H8335" i="1"/>
  <c r="G8335" i="1"/>
  <c r="F8335" i="1"/>
  <c r="H8334" i="1"/>
  <c r="G8334" i="1"/>
  <c r="F8334" i="1"/>
  <c r="H8333" i="1"/>
  <c r="G8333" i="1"/>
  <c r="F8333" i="1"/>
  <c r="H8332" i="1"/>
  <c r="G8332" i="1"/>
  <c r="F8332" i="1"/>
  <c r="H8331" i="1"/>
  <c r="G8331" i="1"/>
  <c r="F8331" i="1"/>
  <c r="H8330" i="1"/>
  <c r="G8330" i="1"/>
  <c r="F8330" i="1"/>
  <c r="H8329" i="1"/>
  <c r="G8329" i="1"/>
  <c r="F8329" i="1"/>
  <c r="H8328" i="1"/>
  <c r="G8328" i="1"/>
  <c r="F8328" i="1"/>
  <c r="H8327" i="1"/>
  <c r="G8327" i="1"/>
  <c r="F8327" i="1"/>
  <c r="H8326" i="1"/>
  <c r="G8326" i="1"/>
  <c r="F8326" i="1"/>
  <c r="H8325" i="1"/>
  <c r="G8325" i="1"/>
  <c r="F8325" i="1"/>
  <c r="H8324" i="1"/>
  <c r="G8324" i="1"/>
  <c r="F8324" i="1"/>
  <c r="H8323" i="1"/>
  <c r="G8323" i="1"/>
  <c r="F8323" i="1"/>
  <c r="H8322" i="1"/>
  <c r="G8322" i="1"/>
  <c r="F8322" i="1"/>
  <c r="H8321" i="1"/>
  <c r="G8321" i="1"/>
  <c r="F8321" i="1"/>
  <c r="H8320" i="1"/>
  <c r="G8320" i="1"/>
  <c r="F8320" i="1"/>
  <c r="H8319" i="1"/>
  <c r="G8319" i="1"/>
  <c r="F8319" i="1"/>
  <c r="H8318" i="1"/>
  <c r="G8318" i="1"/>
  <c r="F8318" i="1"/>
  <c r="H8317" i="1"/>
  <c r="G8317" i="1"/>
  <c r="F8317" i="1"/>
  <c r="H8316" i="1"/>
  <c r="G8316" i="1"/>
  <c r="F8316" i="1"/>
  <c r="H8315" i="1"/>
  <c r="G8315" i="1"/>
  <c r="F8315" i="1"/>
  <c r="H8314" i="1"/>
  <c r="G8314" i="1"/>
  <c r="F8314" i="1"/>
  <c r="H8313" i="1"/>
  <c r="G8313" i="1"/>
  <c r="F8313" i="1"/>
  <c r="H8312" i="1"/>
  <c r="G8312" i="1"/>
  <c r="F8312" i="1"/>
  <c r="H8311" i="1"/>
  <c r="G8311" i="1"/>
  <c r="F8311" i="1"/>
  <c r="H8310" i="1"/>
  <c r="G8310" i="1"/>
  <c r="F8310" i="1"/>
  <c r="H8309" i="1"/>
  <c r="G8309" i="1"/>
  <c r="F8309" i="1"/>
  <c r="H8308" i="1"/>
  <c r="G8308" i="1"/>
  <c r="F8308" i="1"/>
  <c r="H8307" i="1"/>
  <c r="G8307" i="1"/>
  <c r="F8307" i="1"/>
  <c r="H8306" i="1"/>
  <c r="G8306" i="1"/>
  <c r="F8306" i="1"/>
  <c r="H8305" i="1"/>
  <c r="G8305" i="1"/>
  <c r="F8305" i="1"/>
  <c r="H8304" i="1"/>
  <c r="G8304" i="1"/>
  <c r="F8304" i="1"/>
  <c r="H8303" i="1"/>
  <c r="G8303" i="1"/>
  <c r="F8303" i="1"/>
  <c r="H8302" i="1"/>
  <c r="G8302" i="1"/>
  <c r="F8302" i="1"/>
  <c r="H8301" i="1"/>
  <c r="G8301" i="1"/>
  <c r="F8301" i="1"/>
  <c r="H8300" i="1"/>
  <c r="G8300" i="1"/>
  <c r="F8300" i="1"/>
  <c r="H8299" i="1"/>
  <c r="G8299" i="1"/>
  <c r="F8299" i="1"/>
  <c r="H8298" i="1"/>
  <c r="G8298" i="1"/>
  <c r="F8298" i="1"/>
  <c r="H8297" i="1"/>
  <c r="G8297" i="1"/>
  <c r="F8297" i="1"/>
  <c r="H8296" i="1"/>
  <c r="G8296" i="1"/>
  <c r="F8296" i="1"/>
  <c r="H8295" i="1"/>
  <c r="G8295" i="1"/>
  <c r="F8295" i="1"/>
  <c r="H8294" i="1"/>
  <c r="G8294" i="1"/>
  <c r="F8294" i="1"/>
  <c r="H8293" i="1"/>
  <c r="G8293" i="1"/>
  <c r="F8293" i="1"/>
  <c r="H8292" i="1"/>
  <c r="G8292" i="1"/>
  <c r="F8292" i="1"/>
  <c r="H8291" i="1"/>
  <c r="G8291" i="1"/>
  <c r="F8291" i="1"/>
  <c r="H8290" i="1"/>
  <c r="G8290" i="1"/>
  <c r="F8290" i="1"/>
  <c r="H8289" i="1"/>
  <c r="G8289" i="1"/>
  <c r="F8289" i="1"/>
  <c r="H8288" i="1"/>
  <c r="G8288" i="1"/>
  <c r="F8288" i="1"/>
  <c r="H8287" i="1"/>
  <c r="G8287" i="1"/>
  <c r="F8287" i="1"/>
  <c r="H8286" i="1"/>
  <c r="G8286" i="1"/>
  <c r="F8286" i="1"/>
  <c r="H8285" i="1"/>
  <c r="G8285" i="1"/>
  <c r="F8285" i="1"/>
  <c r="H8284" i="1"/>
  <c r="G8284" i="1"/>
  <c r="F8284" i="1"/>
  <c r="H8283" i="1"/>
  <c r="G8283" i="1"/>
  <c r="F8283" i="1"/>
  <c r="H8282" i="1"/>
  <c r="G8282" i="1"/>
  <c r="F8282" i="1"/>
  <c r="H8281" i="1"/>
  <c r="G8281" i="1"/>
  <c r="F8281" i="1"/>
  <c r="H8280" i="1"/>
  <c r="G8280" i="1"/>
  <c r="F8280" i="1"/>
  <c r="H8279" i="1"/>
  <c r="G8279" i="1"/>
  <c r="F8279" i="1"/>
  <c r="H8278" i="1"/>
  <c r="G8278" i="1"/>
  <c r="F8278" i="1"/>
  <c r="H8277" i="1"/>
  <c r="G8277" i="1"/>
  <c r="F8277" i="1"/>
  <c r="H8276" i="1"/>
  <c r="G8276" i="1"/>
  <c r="F8276" i="1"/>
  <c r="H8275" i="1"/>
  <c r="G8275" i="1"/>
  <c r="F8275" i="1"/>
  <c r="H8274" i="1"/>
  <c r="G8274" i="1"/>
  <c r="F8274" i="1"/>
  <c r="H8273" i="1"/>
  <c r="G8273" i="1"/>
  <c r="F8273" i="1"/>
  <c r="H8272" i="1"/>
  <c r="G8272" i="1"/>
  <c r="F8272" i="1"/>
  <c r="H8271" i="1"/>
  <c r="G8271" i="1"/>
  <c r="F8271" i="1"/>
  <c r="H8270" i="1"/>
  <c r="G8270" i="1"/>
  <c r="F8270" i="1"/>
  <c r="H8269" i="1"/>
  <c r="G8269" i="1"/>
  <c r="F8269" i="1"/>
  <c r="H8268" i="1"/>
  <c r="G8268" i="1"/>
  <c r="F8268" i="1"/>
  <c r="H8267" i="1"/>
  <c r="G8267" i="1"/>
  <c r="F8267" i="1"/>
  <c r="H8266" i="1"/>
  <c r="G8266" i="1"/>
  <c r="F8266" i="1"/>
  <c r="H8265" i="1"/>
  <c r="G8265" i="1"/>
  <c r="F8265" i="1"/>
  <c r="H8264" i="1"/>
  <c r="G8264" i="1"/>
  <c r="F8264" i="1"/>
  <c r="H8263" i="1"/>
  <c r="G8263" i="1"/>
  <c r="F8263" i="1"/>
  <c r="H8262" i="1"/>
  <c r="G8262" i="1"/>
  <c r="F8262" i="1"/>
  <c r="H8261" i="1"/>
  <c r="G8261" i="1"/>
  <c r="F8261" i="1"/>
  <c r="H8260" i="1"/>
  <c r="G8260" i="1"/>
  <c r="F8260" i="1"/>
  <c r="H8259" i="1"/>
  <c r="G8259" i="1"/>
  <c r="F8259" i="1"/>
  <c r="H8258" i="1"/>
  <c r="G8258" i="1"/>
  <c r="F8258" i="1"/>
  <c r="H8257" i="1"/>
  <c r="G8257" i="1"/>
  <c r="F8257" i="1"/>
  <c r="H8256" i="1"/>
  <c r="G8256" i="1"/>
  <c r="F8256" i="1"/>
  <c r="H8255" i="1"/>
  <c r="G8255" i="1"/>
  <c r="F8255" i="1"/>
  <c r="H8254" i="1"/>
  <c r="G8254" i="1"/>
  <c r="F8254" i="1"/>
  <c r="H8253" i="1"/>
  <c r="G8253" i="1"/>
  <c r="F8253" i="1"/>
  <c r="H8252" i="1"/>
  <c r="G8252" i="1"/>
  <c r="F8252" i="1"/>
  <c r="H8251" i="1"/>
  <c r="G8251" i="1"/>
  <c r="F8251" i="1"/>
  <c r="H8250" i="1"/>
  <c r="G8250" i="1"/>
  <c r="F8250" i="1"/>
  <c r="H8249" i="1"/>
  <c r="G8249" i="1"/>
  <c r="F8249" i="1"/>
  <c r="H8248" i="1"/>
  <c r="G8248" i="1"/>
  <c r="F8248" i="1"/>
  <c r="H8247" i="1"/>
  <c r="G8247" i="1"/>
  <c r="F8247" i="1"/>
  <c r="H8246" i="1"/>
  <c r="G8246" i="1"/>
  <c r="F8246" i="1"/>
  <c r="H8245" i="1"/>
  <c r="G8245" i="1"/>
  <c r="F8245" i="1"/>
  <c r="H8244" i="1"/>
  <c r="G8244" i="1"/>
  <c r="F8244" i="1"/>
  <c r="H8243" i="1"/>
  <c r="G8243" i="1"/>
  <c r="F8243" i="1"/>
  <c r="H8242" i="1"/>
  <c r="G8242" i="1"/>
  <c r="F8242" i="1"/>
  <c r="H8241" i="1"/>
  <c r="G8241" i="1"/>
  <c r="F8241" i="1"/>
  <c r="H8240" i="1"/>
  <c r="G8240" i="1"/>
  <c r="F8240" i="1"/>
  <c r="H8239" i="1"/>
  <c r="G8239" i="1"/>
  <c r="F8239" i="1"/>
  <c r="H8238" i="1"/>
  <c r="G8238" i="1"/>
  <c r="F8238" i="1"/>
  <c r="H8237" i="1"/>
  <c r="G8237" i="1"/>
  <c r="F8237" i="1"/>
  <c r="H8236" i="1"/>
  <c r="G8236" i="1"/>
  <c r="F8236" i="1"/>
  <c r="H8235" i="1"/>
  <c r="G8235" i="1"/>
  <c r="F8235" i="1"/>
  <c r="H8234" i="1"/>
  <c r="G8234" i="1"/>
  <c r="F8234" i="1"/>
  <c r="H8233" i="1"/>
  <c r="G8233" i="1"/>
  <c r="F8233" i="1"/>
  <c r="H8232" i="1"/>
  <c r="G8232" i="1"/>
  <c r="F8232" i="1"/>
  <c r="H8231" i="1"/>
  <c r="G8231" i="1"/>
  <c r="F8231" i="1"/>
  <c r="H8230" i="1"/>
  <c r="G8230" i="1"/>
  <c r="F8230" i="1"/>
  <c r="H8229" i="1"/>
  <c r="G8229" i="1"/>
  <c r="F8229" i="1"/>
  <c r="H8228" i="1"/>
  <c r="G8228" i="1"/>
  <c r="F8228" i="1"/>
  <c r="H8227" i="1"/>
  <c r="G8227" i="1"/>
  <c r="F8227" i="1"/>
  <c r="H8226" i="1"/>
  <c r="G8226" i="1"/>
  <c r="F8226" i="1"/>
  <c r="H8225" i="1"/>
  <c r="G8225" i="1"/>
  <c r="F8225" i="1"/>
  <c r="H8224" i="1"/>
  <c r="G8224" i="1"/>
  <c r="F8224" i="1"/>
  <c r="H8223" i="1"/>
  <c r="G8223" i="1"/>
  <c r="F8223" i="1"/>
  <c r="H8222" i="1"/>
  <c r="G8222" i="1"/>
  <c r="F8222" i="1"/>
  <c r="H8221" i="1"/>
  <c r="G8221" i="1"/>
  <c r="F8221" i="1"/>
  <c r="H8220" i="1"/>
  <c r="G8220" i="1"/>
  <c r="F8220" i="1"/>
  <c r="H8219" i="1"/>
  <c r="G8219" i="1"/>
  <c r="F8219" i="1"/>
  <c r="H8218" i="1"/>
  <c r="G8218" i="1"/>
  <c r="F8218" i="1"/>
  <c r="H8217" i="1"/>
  <c r="G8217" i="1"/>
  <c r="F8217" i="1"/>
  <c r="H8216" i="1"/>
  <c r="G8216" i="1"/>
  <c r="F8216" i="1"/>
  <c r="H8215" i="1"/>
  <c r="G8215" i="1"/>
  <c r="F8215" i="1"/>
  <c r="H8214" i="1"/>
  <c r="G8214" i="1"/>
  <c r="F8214" i="1"/>
  <c r="H8213" i="1"/>
  <c r="G8213" i="1"/>
  <c r="F8213" i="1"/>
  <c r="H8212" i="1"/>
  <c r="G8212" i="1"/>
  <c r="F8212" i="1"/>
  <c r="H8211" i="1"/>
  <c r="G8211" i="1"/>
  <c r="F8211" i="1"/>
  <c r="H8210" i="1"/>
  <c r="G8210" i="1"/>
  <c r="F8210" i="1"/>
  <c r="H8209" i="1"/>
  <c r="G8209" i="1"/>
  <c r="F8209" i="1"/>
  <c r="H8208" i="1"/>
  <c r="G8208" i="1"/>
  <c r="F8208" i="1"/>
  <c r="H8207" i="1"/>
  <c r="G8207" i="1"/>
  <c r="F8207" i="1"/>
  <c r="H8206" i="1"/>
  <c r="G8206" i="1"/>
  <c r="F8206" i="1"/>
  <c r="H8205" i="1"/>
  <c r="G8205" i="1"/>
  <c r="F8205" i="1"/>
  <c r="H8204" i="1"/>
  <c r="G8204" i="1"/>
  <c r="F8204" i="1"/>
  <c r="H8203" i="1"/>
  <c r="G8203" i="1"/>
  <c r="F8203" i="1"/>
  <c r="H8202" i="1"/>
  <c r="G8202" i="1"/>
  <c r="F8202" i="1"/>
  <c r="H8201" i="1"/>
  <c r="G8201" i="1"/>
  <c r="F8201" i="1"/>
  <c r="H8200" i="1"/>
  <c r="G8200" i="1"/>
  <c r="F8200" i="1"/>
  <c r="H8199" i="1"/>
  <c r="G8199" i="1"/>
  <c r="F8199" i="1"/>
  <c r="H8198" i="1"/>
  <c r="G8198" i="1"/>
  <c r="F8198" i="1"/>
  <c r="H8197" i="1"/>
  <c r="G8197" i="1"/>
  <c r="F8197" i="1"/>
  <c r="H8196" i="1"/>
  <c r="G8196" i="1"/>
  <c r="F8196" i="1"/>
  <c r="H8195" i="1"/>
  <c r="G8195" i="1"/>
  <c r="F8195" i="1"/>
  <c r="H8194" i="1"/>
  <c r="G8194" i="1"/>
  <c r="F8194" i="1"/>
  <c r="H8193" i="1"/>
  <c r="G8193" i="1"/>
  <c r="F8193" i="1"/>
  <c r="H8192" i="1"/>
  <c r="G8192" i="1"/>
  <c r="F8192" i="1"/>
  <c r="H8191" i="1"/>
  <c r="G8191" i="1"/>
  <c r="F8191" i="1"/>
  <c r="H8190" i="1"/>
  <c r="G8190" i="1"/>
  <c r="F8190" i="1"/>
  <c r="H8189" i="1"/>
  <c r="G8189" i="1"/>
  <c r="F8189" i="1"/>
  <c r="H8188" i="1"/>
  <c r="G8188" i="1"/>
  <c r="F8188" i="1"/>
  <c r="H8187" i="1"/>
  <c r="G8187" i="1"/>
  <c r="F8187" i="1"/>
  <c r="H8186" i="1"/>
  <c r="G8186" i="1"/>
  <c r="F8186" i="1"/>
  <c r="H8185" i="1"/>
  <c r="G8185" i="1"/>
  <c r="F8185" i="1"/>
  <c r="H8184" i="1"/>
  <c r="G8184" i="1"/>
  <c r="F8184" i="1"/>
  <c r="H8183" i="1"/>
  <c r="G8183" i="1"/>
  <c r="F8183" i="1"/>
  <c r="H8182" i="1"/>
  <c r="G8182" i="1"/>
  <c r="F8182" i="1"/>
  <c r="H8181" i="1"/>
  <c r="G8181" i="1"/>
  <c r="F8181" i="1"/>
  <c r="H8180" i="1"/>
  <c r="G8180" i="1"/>
  <c r="F8180" i="1"/>
  <c r="H8179" i="1"/>
  <c r="G8179" i="1"/>
  <c r="F8179" i="1"/>
  <c r="H8178" i="1"/>
  <c r="G8178" i="1"/>
  <c r="F8178" i="1"/>
  <c r="H8177" i="1"/>
  <c r="G8177" i="1"/>
  <c r="F8177" i="1"/>
  <c r="H8176" i="1"/>
  <c r="G8176" i="1"/>
  <c r="F8176" i="1"/>
  <c r="H8175" i="1"/>
  <c r="G8175" i="1"/>
  <c r="F8175" i="1"/>
  <c r="H8174" i="1"/>
  <c r="G8174" i="1"/>
  <c r="F8174" i="1"/>
  <c r="H8173" i="1"/>
  <c r="G8173" i="1"/>
  <c r="F8173" i="1"/>
  <c r="H8172" i="1"/>
  <c r="G8172" i="1"/>
  <c r="F8172" i="1"/>
  <c r="H8171" i="1"/>
  <c r="G8171" i="1"/>
  <c r="F8171" i="1"/>
  <c r="H8170" i="1"/>
  <c r="G8170" i="1"/>
  <c r="F8170" i="1"/>
  <c r="H8169" i="1"/>
  <c r="G8169" i="1"/>
  <c r="F8169" i="1"/>
  <c r="H8168" i="1"/>
  <c r="G8168" i="1"/>
  <c r="F8168" i="1"/>
  <c r="H8167" i="1"/>
  <c r="G8167" i="1"/>
  <c r="F8167" i="1"/>
  <c r="H8166" i="1"/>
  <c r="G8166" i="1"/>
  <c r="F8166" i="1"/>
  <c r="H8165" i="1"/>
  <c r="G8165" i="1"/>
  <c r="F8165" i="1"/>
  <c r="H8164" i="1"/>
  <c r="G8164" i="1"/>
  <c r="F8164" i="1"/>
  <c r="H8163" i="1"/>
  <c r="G8163" i="1"/>
  <c r="F8163" i="1"/>
  <c r="H8162" i="1"/>
  <c r="G8162" i="1"/>
  <c r="F8162" i="1"/>
  <c r="H8161" i="1"/>
  <c r="G8161" i="1"/>
  <c r="F8161" i="1"/>
  <c r="H8160" i="1"/>
  <c r="G8160" i="1"/>
  <c r="F8160" i="1"/>
  <c r="H8159" i="1"/>
  <c r="G8159" i="1"/>
  <c r="F8159" i="1"/>
  <c r="H8158" i="1"/>
  <c r="G8158" i="1"/>
  <c r="F8158" i="1"/>
  <c r="H8157" i="1"/>
  <c r="G8157" i="1"/>
  <c r="F8157" i="1"/>
  <c r="H8156" i="1"/>
  <c r="G8156" i="1"/>
  <c r="F8156" i="1"/>
  <c r="H8155" i="1"/>
  <c r="G8155" i="1"/>
  <c r="F8155" i="1"/>
  <c r="H8154" i="1"/>
  <c r="G8154" i="1"/>
  <c r="F8154" i="1"/>
  <c r="H8153" i="1"/>
  <c r="G8153" i="1"/>
  <c r="F8153" i="1"/>
  <c r="H8152" i="1"/>
  <c r="G8152" i="1"/>
  <c r="F8152" i="1"/>
  <c r="H8151" i="1"/>
  <c r="G8151" i="1"/>
  <c r="F8151" i="1"/>
  <c r="H8150" i="1"/>
  <c r="G8150" i="1"/>
  <c r="F8150" i="1"/>
  <c r="H8149" i="1"/>
  <c r="G8149" i="1"/>
  <c r="F8149" i="1"/>
  <c r="H8148" i="1"/>
  <c r="G8148" i="1"/>
  <c r="F8148" i="1"/>
  <c r="H8147" i="1"/>
  <c r="G8147" i="1"/>
  <c r="F8147" i="1"/>
  <c r="H8146" i="1"/>
  <c r="G8146" i="1"/>
  <c r="F8146" i="1"/>
  <c r="H8145" i="1"/>
  <c r="G8145" i="1"/>
  <c r="F8145" i="1"/>
  <c r="H8144" i="1"/>
  <c r="G8144" i="1"/>
  <c r="F8144" i="1"/>
  <c r="H8143" i="1"/>
  <c r="G8143" i="1"/>
  <c r="F8143" i="1"/>
  <c r="H8142" i="1"/>
  <c r="G8142" i="1"/>
  <c r="F8142" i="1"/>
  <c r="H8141" i="1"/>
  <c r="G8141" i="1"/>
  <c r="F8141" i="1"/>
  <c r="H8140" i="1"/>
  <c r="G8140" i="1"/>
  <c r="F8140" i="1"/>
  <c r="H8139" i="1"/>
  <c r="G8139" i="1"/>
  <c r="F8139" i="1"/>
  <c r="H8138" i="1"/>
  <c r="G8138" i="1"/>
  <c r="F8138" i="1"/>
  <c r="H8137" i="1"/>
  <c r="G8137" i="1"/>
  <c r="F8137" i="1"/>
  <c r="H8136" i="1"/>
  <c r="G8136" i="1"/>
  <c r="F8136" i="1"/>
  <c r="H8135" i="1"/>
  <c r="G8135" i="1"/>
  <c r="F8135" i="1"/>
  <c r="H8134" i="1"/>
  <c r="G8134" i="1"/>
  <c r="F8134" i="1"/>
  <c r="H8133" i="1"/>
  <c r="G8133" i="1"/>
  <c r="F8133" i="1"/>
  <c r="H8132" i="1"/>
  <c r="G8132" i="1"/>
  <c r="F8132" i="1"/>
  <c r="H8131" i="1"/>
  <c r="G8131" i="1"/>
  <c r="F8131" i="1"/>
  <c r="H8130" i="1"/>
  <c r="G8130" i="1"/>
  <c r="F8130" i="1"/>
  <c r="H8129" i="1"/>
  <c r="G8129" i="1"/>
  <c r="F8129" i="1"/>
  <c r="H8128" i="1"/>
  <c r="G8128" i="1"/>
  <c r="F8128" i="1"/>
  <c r="H8127" i="1"/>
  <c r="G8127" i="1"/>
  <c r="F8127" i="1"/>
  <c r="H8126" i="1"/>
  <c r="G8126" i="1"/>
  <c r="F8126" i="1"/>
  <c r="H8125" i="1"/>
  <c r="G8125" i="1"/>
  <c r="F8125" i="1"/>
  <c r="H8124" i="1"/>
  <c r="G8124" i="1"/>
  <c r="F8124" i="1"/>
  <c r="H8123" i="1"/>
  <c r="G8123" i="1"/>
  <c r="F8123" i="1"/>
  <c r="H8122" i="1"/>
  <c r="G8122" i="1"/>
  <c r="F8122" i="1"/>
  <c r="H8121" i="1"/>
  <c r="G8121" i="1"/>
  <c r="F8121" i="1"/>
  <c r="H8120" i="1"/>
  <c r="G8120" i="1"/>
  <c r="F8120" i="1"/>
  <c r="H8119" i="1"/>
  <c r="G8119" i="1"/>
  <c r="F8119" i="1"/>
  <c r="H8118" i="1"/>
  <c r="G8118" i="1"/>
  <c r="F8118" i="1"/>
  <c r="H8117" i="1"/>
  <c r="G8117" i="1"/>
  <c r="F8117" i="1"/>
  <c r="H8116" i="1"/>
  <c r="G8116" i="1"/>
  <c r="F8116" i="1"/>
  <c r="H8115" i="1"/>
  <c r="G8115" i="1"/>
  <c r="F8115" i="1"/>
  <c r="H8114" i="1"/>
  <c r="G8114" i="1"/>
  <c r="F8114" i="1"/>
  <c r="H8113" i="1"/>
  <c r="G8113" i="1"/>
  <c r="F8113" i="1"/>
  <c r="H8112" i="1"/>
  <c r="G8112" i="1"/>
  <c r="F8112" i="1"/>
  <c r="H8111" i="1"/>
  <c r="G8111" i="1"/>
  <c r="F8111" i="1"/>
  <c r="H8110" i="1"/>
  <c r="G8110" i="1"/>
  <c r="F8110" i="1"/>
  <c r="H8109" i="1"/>
  <c r="G8109" i="1"/>
  <c r="F8109" i="1"/>
  <c r="H8108" i="1"/>
  <c r="G8108" i="1"/>
  <c r="F8108" i="1"/>
  <c r="H8107" i="1"/>
  <c r="G8107" i="1"/>
  <c r="F8107" i="1"/>
  <c r="H8106" i="1"/>
  <c r="G8106" i="1"/>
  <c r="F8106" i="1"/>
  <c r="H8105" i="1"/>
  <c r="G8105" i="1"/>
  <c r="F8105" i="1"/>
  <c r="H8104" i="1"/>
  <c r="G8104" i="1"/>
  <c r="F8104" i="1"/>
  <c r="H8103" i="1"/>
  <c r="G8103" i="1"/>
  <c r="F8103" i="1"/>
  <c r="H8102" i="1"/>
  <c r="G8102" i="1"/>
  <c r="F8102" i="1"/>
  <c r="H8101" i="1"/>
  <c r="G8101" i="1"/>
  <c r="F8101" i="1"/>
  <c r="H8100" i="1"/>
  <c r="G8100" i="1"/>
  <c r="F8100" i="1"/>
  <c r="H8099" i="1"/>
  <c r="G8099" i="1"/>
  <c r="F8099" i="1"/>
  <c r="H8098" i="1"/>
  <c r="G8098" i="1"/>
  <c r="F8098" i="1"/>
  <c r="H8097" i="1"/>
  <c r="G8097" i="1"/>
  <c r="F8097" i="1"/>
  <c r="H8096" i="1"/>
  <c r="G8096" i="1"/>
  <c r="F8096" i="1"/>
  <c r="H8095" i="1"/>
  <c r="G8095" i="1"/>
  <c r="F8095" i="1"/>
  <c r="H8094" i="1"/>
  <c r="G8094" i="1"/>
  <c r="F8094" i="1"/>
  <c r="H8093" i="1"/>
  <c r="G8093" i="1"/>
  <c r="F8093" i="1"/>
  <c r="H8092" i="1"/>
  <c r="G8092" i="1"/>
  <c r="F8092" i="1"/>
  <c r="H8091" i="1"/>
  <c r="G8091" i="1"/>
  <c r="F8091" i="1"/>
  <c r="H8090" i="1"/>
  <c r="G8090" i="1"/>
  <c r="F8090" i="1"/>
  <c r="H8089" i="1"/>
  <c r="G8089" i="1"/>
  <c r="F8089" i="1"/>
  <c r="H8088" i="1"/>
  <c r="G8088" i="1"/>
  <c r="F8088" i="1"/>
  <c r="H8087" i="1"/>
  <c r="G8087" i="1"/>
  <c r="F8087" i="1"/>
  <c r="H8086" i="1"/>
  <c r="G8086" i="1"/>
  <c r="F8086" i="1"/>
  <c r="H8085" i="1"/>
  <c r="G8085" i="1"/>
  <c r="F8085" i="1"/>
  <c r="H8084" i="1"/>
  <c r="G8084" i="1"/>
  <c r="F8084" i="1"/>
  <c r="H8083" i="1"/>
  <c r="G8083" i="1"/>
  <c r="F8083" i="1"/>
  <c r="H8082" i="1"/>
  <c r="G8082" i="1"/>
  <c r="F8082" i="1"/>
  <c r="H8081" i="1"/>
  <c r="G8081" i="1"/>
  <c r="F8081" i="1"/>
  <c r="H8080" i="1"/>
  <c r="G8080" i="1"/>
  <c r="F8080" i="1"/>
  <c r="H8079" i="1"/>
  <c r="G8079" i="1"/>
  <c r="F8079" i="1"/>
  <c r="H8078" i="1"/>
  <c r="G8078" i="1"/>
  <c r="F8078" i="1"/>
  <c r="H8077" i="1"/>
  <c r="G8077" i="1"/>
  <c r="F8077" i="1"/>
  <c r="H8076" i="1"/>
  <c r="G8076" i="1"/>
  <c r="F8076" i="1"/>
  <c r="H8075" i="1"/>
  <c r="G8075" i="1"/>
  <c r="F8075" i="1"/>
  <c r="H8074" i="1"/>
  <c r="G8074" i="1"/>
  <c r="F8074" i="1"/>
  <c r="H8073" i="1"/>
  <c r="G8073" i="1"/>
  <c r="F8073" i="1"/>
  <c r="H8072" i="1"/>
  <c r="G8072" i="1"/>
  <c r="F8072" i="1"/>
  <c r="H8071" i="1"/>
  <c r="G8071" i="1"/>
  <c r="F8071" i="1"/>
  <c r="H8070" i="1"/>
  <c r="G8070" i="1"/>
  <c r="F8070" i="1"/>
  <c r="H8069" i="1"/>
  <c r="G8069" i="1"/>
  <c r="F8069" i="1"/>
  <c r="H8068" i="1"/>
  <c r="G8068" i="1"/>
  <c r="F8068" i="1"/>
  <c r="H8067" i="1"/>
  <c r="G8067" i="1"/>
  <c r="F8067" i="1"/>
  <c r="H8066" i="1"/>
  <c r="G8066" i="1"/>
  <c r="F8066" i="1"/>
  <c r="H8065" i="1"/>
  <c r="G8065" i="1"/>
  <c r="F8065" i="1"/>
  <c r="H8064" i="1"/>
  <c r="G8064" i="1"/>
  <c r="F8064" i="1"/>
  <c r="H8063" i="1"/>
  <c r="G8063" i="1"/>
  <c r="F8063" i="1"/>
  <c r="H8062" i="1"/>
  <c r="G8062" i="1"/>
  <c r="F8062" i="1"/>
  <c r="H8061" i="1"/>
  <c r="G8061" i="1"/>
  <c r="F8061" i="1"/>
  <c r="H8060" i="1"/>
  <c r="G8060" i="1"/>
  <c r="F8060" i="1"/>
  <c r="H8059" i="1"/>
  <c r="G8059" i="1"/>
  <c r="F8059" i="1"/>
  <c r="H8058" i="1"/>
  <c r="G8058" i="1"/>
  <c r="F8058" i="1"/>
  <c r="H8057" i="1"/>
  <c r="G8057" i="1"/>
  <c r="F8057" i="1"/>
  <c r="H8056" i="1"/>
  <c r="G8056" i="1"/>
  <c r="F8056" i="1"/>
  <c r="H8055" i="1"/>
  <c r="G8055" i="1"/>
  <c r="F8055" i="1"/>
  <c r="H8054" i="1"/>
  <c r="G8054" i="1"/>
  <c r="F8054" i="1"/>
  <c r="H8053" i="1"/>
  <c r="G8053" i="1"/>
  <c r="F8053" i="1"/>
  <c r="H8052" i="1"/>
  <c r="G8052" i="1"/>
  <c r="F8052" i="1"/>
  <c r="H8051" i="1"/>
  <c r="G8051" i="1"/>
  <c r="F8051" i="1"/>
  <c r="H8050" i="1"/>
  <c r="G8050" i="1"/>
  <c r="F8050" i="1"/>
  <c r="H8049" i="1"/>
  <c r="G8049" i="1"/>
  <c r="F8049" i="1"/>
  <c r="H8048" i="1"/>
  <c r="G8048" i="1"/>
  <c r="F8048" i="1"/>
  <c r="H8047" i="1"/>
  <c r="G8047" i="1"/>
  <c r="F8047" i="1"/>
  <c r="H8046" i="1"/>
  <c r="G8046" i="1"/>
  <c r="F8046" i="1"/>
  <c r="H8045" i="1"/>
  <c r="G8045" i="1"/>
  <c r="F8045" i="1"/>
  <c r="H8044" i="1"/>
  <c r="G8044" i="1"/>
  <c r="F8044" i="1"/>
  <c r="H8043" i="1"/>
  <c r="G8043" i="1"/>
  <c r="F8043" i="1"/>
  <c r="H8042" i="1"/>
  <c r="G8042" i="1"/>
  <c r="F8042" i="1"/>
  <c r="H8041" i="1"/>
  <c r="G8041" i="1"/>
  <c r="F8041" i="1"/>
  <c r="H8040" i="1"/>
  <c r="G8040" i="1"/>
  <c r="F8040" i="1"/>
  <c r="H8039" i="1"/>
  <c r="G8039" i="1"/>
  <c r="F8039" i="1"/>
  <c r="H8038" i="1"/>
  <c r="G8038" i="1"/>
  <c r="F8038" i="1"/>
  <c r="H8037" i="1"/>
  <c r="G8037" i="1"/>
  <c r="F8037" i="1"/>
  <c r="H8036" i="1"/>
  <c r="G8036" i="1"/>
  <c r="F8036" i="1"/>
  <c r="H8035" i="1"/>
  <c r="G8035" i="1"/>
  <c r="F8035" i="1"/>
  <c r="H8034" i="1"/>
  <c r="G8034" i="1"/>
  <c r="F8034" i="1"/>
  <c r="H8033" i="1"/>
  <c r="G8033" i="1"/>
  <c r="F8033" i="1"/>
  <c r="H8032" i="1"/>
  <c r="G8032" i="1"/>
  <c r="F8032" i="1"/>
  <c r="H8031" i="1"/>
  <c r="G8031" i="1"/>
  <c r="F8031" i="1"/>
  <c r="H8030" i="1"/>
  <c r="G8030" i="1"/>
  <c r="F8030" i="1"/>
  <c r="H8029" i="1"/>
  <c r="G8029" i="1"/>
  <c r="F8029" i="1"/>
  <c r="H8028" i="1"/>
  <c r="G8028" i="1"/>
  <c r="F8028" i="1"/>
  <c r="H8027" i="1"/>
  <c r="G8027" i="1"/>
  <c r="F8027" i="1"/>
  <c r="H8026" i="1"/>
  <c r="G8026" i="1"/>
  <c r="F8026" i="1"/>
  <c r="H8025" i="1"/>
  <c r="G8025" i="1"/>
  <c r="F8025" i="1"/>
  <c r="H8024" i="1"/>
  <c r="G8024" i="1"/>
  <c r="F8024" i="1"/>
  <c r="H8023" i="1"/>
  <c r="G8023" i="1"/>
  <c r="F8023" i="1"/>
  <c r="H8022" i="1"/>
  <c r="G8022" i="1"/>
  <c r="F8022" i="1"/>
  <c r="H8021" i="1"/>
  <c r="G8021" i="1"/>
  <c r="F8021" i="1"/>
  <c r="H8020" i="1"/>
  <c r="G8020" i="1"/>
  <c r="F8020" i="1"/>
  <c r="H8019" i="1"/>
  <c r="G8019" i="1"/>
  <c r="F8019" i="1"/>
  <c r="H8018" i="1"/>
  <c r="G8018" i="1"/>
  <c r="F8018" i="1"/>
  <c r="H8017" i="1"/>
  <c r="G8017" i="1"/>
  <c r="F8017" i="1"/>
  <c r="H8016" i="1"/>
  <c r="G8016" i="1"/>
  <c r="F8016" i="1"/>
  <c r="H8015" i="1"/>
  <c r="G8015" i="1"/>
  <c r="F8015" i="1"/>
  <c r="H8014" i="1"/>
  <c r="G8014" i="1"/>
  <c r="F8014" i="1"/>
  <c r="H8013" i="1"/>
  <c r="G8013" i="1"/>
  <c r="F8013" i="1"/>
  <c r="H8012" i="1"/>
  <c r="G8012" i="1"/>
  <c r="F8012" i="1"/>
  <c r="H8011" i="1"/>
  <c r="G8011" i="1"/>
  <c r="F8011" i="1"/>
  <c r="H8010" i="1"/>
  <c r="G8010" i="1"/>
  <c r="F8010" i="1"/>
  <c r="H8009" i="1"/>
  <c r="G8009" i="1"/>
  <c r="F8009" i="1"/>
  <c r="H8008" i="1"/>
  <c r="G8008" i="1"/>
  <c r="F8008" i="1"/>
  <c r="H8007" i="1"/>
  <c r="G8007" i="1"/>
  <c r="F8007" i="1"/>
  <c r="H8006" i="1"/>
  <c r="G8006" i="1"/>
  <c r="F8006" i="1"/>
  <c r="H8005" i="1"/>
  <c r="G8005" i="1"/>
  <c r="F8005" i="1"/>
  <c r="H8004" i="1"/>
  <c r="G8004" i="1"/>
  <c r="F8004" i="1"/>
  <c r="H8003" i="1"/>
  <c r="G8003" i="1"/>
  <c r="F8003" i="1"/>
  <c r="H8002" i="1"/>
  <c r="G8002" i="1"/>
  <c r="F8002" i="1"/>
  <c r="H8001" i="1"/>
  <c r="G8001" i="1"/>
  <c r="F8001" i="1"/>
  <c r="H8000" i="1"/>
  <c r="G8000" i="1"/>
  <c r="F8000" i="1"/>
  <c r="H7999" i="1"/>
  <c r="G7999" i="1"/>
  <c r="F7999" i="1"/>
  <c r="H7998" i="1"/>
  <c r="G7998" i="1"/>
  <c r="F7998" i="1"/>
  <c r="H7997" i="1"/>
  <c r="G7997" i="1"/>
  <c r="F7997" i="1"/>
  <c r="H7996" i="1"/>
  <c r="G7996" i="1"/>
  <c r="F7996" i="1"/>
  <c r="H7995" i="1"/>
  <c r="G7995" i="1"/>
  <c r="F7995" i="1"/>
  <c r="H7994" i="1"/>
  <c r="G7994" i="1"/>
  <c r="F7994" i="1"/>
  <c r="H7993" i="1"/>
  <c r="G7993" i="1"/>
  <c r="F7993" i="1"/>
  <c r="H7992" i="1"/>
  <c r="G7992" i="1"/>
  <c r="F7992" i="1"/>
  <c r="H7991" i="1"/>
  <c r="G7991" i="1"/>
  <c r="F7991" i="1"/>
  <c r="H7990" i="1"/>
  <c r="G7990" i="1"/>
  <c r="F7990" i="1"/>
  <c r="H7989" i="1"/>
  <c r="G7989" i="1"/>
  <c r="F7989" i="1"/>
  <c r="H7988" i="1"/>
  <c r="G7988" i="1"/>
  <c r="F7988" i="1"/>
  <c r="H7987" i="1"/>
  <c r="G7987" i="1"/>
  <c r="F7987" i="1"/>
  <c r="H7986" i="1"/>
  <c r="G7986" i="1"/>
  <c r="F7986" i="1"/>
  <c r="H7985" i="1"/>
  <c r="G7985" i="1"/>
  <c r="F7985" i="1"/>
  <c r="H7984" i="1"/>
  <c r="G7984" i="1"/>
  <c r="F7984" i="1"/>
  <c r="H7983" i="1"/>
  <c r="G7983" i="1"/>
  <c r="F7983" i="1"/>
  <c r="H7982" i="1"/>
  <c r="G7982" i="1"/>
  <c r="F7982" i="1"/>
  <c r="H7981" i="1"/>
  <c r="G7981" i="1"/>
  <c r="F7981" i="1"/>
  <c r="H7980" i="1"/>
  <c r="G7980" i="1"/>
  <c r="F7980" i="1"/>
  <c r="H7979" i="1"/>
  <c r="G7979" i="1"/>
  <c r="F7979" i="1"/>
  <c r="H7978" i="1"/>
  <c r="G7978" i="1"/>
  <c r="F7978" i="1"/>
  <c r="H7977" i="1"/>
  <c r="G7977" i="1"/>
  <c r="F7977" i="1"/>
  <c r="H7976" i="1"/>
  <c r="G7976" i="1"/>
  <c r="F7976" i="1"/>
  <c r="H7975" i="1"/>
  <c r="G7975" i="1"/>
  <c r="F7975" i="1"/>
  <c r="H7974" i="1"/>
  <c r="G7974" i="1"/>
  <c r="F7974" i="1"/>
  <c r="H7973" i="1"/>
  <c r="G7973" i="1"/>
  <c r="F7973" i="1"/>
  <c r="H7972" i="1"/>
  <c r="G7972" i="1"/>
  <c r="F7972" i="1"/>
  <c r="H7971" i="1"/>
  <c r="G7971" i="1"/>
  <c r="F7971" i="1"/>
  <c r="H7970" i="1"/>
  <c r="G7970" i="1"/>
  <c r="F7970" i="1"/>
  <c r="H7969" i="1"/>
  <c r="G7969" i="1"/>
  <c r="F7969" i="1"/>
  <c r="H7968" i="1"/>
  <c r="G7968" i="1"/>
  <c r="F7968" i="1"/>
  <c r="H7967" i="1"/>
  <c r="G7967" i="1"/>
  <c r="F7967" i="1"/>
  <c r="H7966" i="1"/>
  <c r="G7966" i="1"/>
  <c r="F7966" i="1"/>
  <c r="H7965" i="1"/>
  <c r="G7965" i="1"/>
  <c r="F7965" i="1"/>
  <c r="H7964" i="1"/>
  <c r="G7964" i="1"/>
  <c r="F7964" i="1"/>
  <c r="H7963" i="1"/>
  <c r="G7963" i="1"/>
  <c r="F7963" i="1"/>
  <c r="H7962" i="1"/>
  <c r="G7962" i="1"/>
  <c r="F7962" i="1"/>
  <c r="H7961" i="1"/>
  <c r="G7961" i="1"/>
  <c r="F7961" i="1"/>
  <c r="H7960" i="1"/>
  <c r="G7960" i="1"/>
  <c r="F7960" i="1"/>
  <c r="H7959" i="1"/>
  <c r="G7959" i="1"/>
  <c r="F7959" i="1"/>
  <c r="H7958" i="1"/>
  <c r="G7958" i="1"/>
  <c r="F7958" i="1"/>
  <c r="H7957" i="1"/>
  <c r="G7957" i="1"/>
  <c r="F7957" i="1"/>
  <c r="H7956" i="1"/>
  <c r="G7956" i="1"/>
  <c r="F7956" i="1"/>
  <c r="H7955" i="1"/>
  <c r="G7955" i="1"/>
  <c r="F7955" i="1"/>
  <c r="H7954" i="1"/>
  <c r="G7954" i="1"/>
  <c r="F7954" i="1"/>
  <c r="H7953" i="1"/>
  <c r="G7953" i="1"/>
  <c r="F7953" i="1"/>
  <c r="H7952" i="1"/>
  <c r="G7952" i="1"/>
  <c r="F7952" i="1"/>
  <c r="H7951" i="1"/>
  <c r="G7951" i="1"/>
  <c r="F7951" i="1"/>
  <c r="H7950" i="1"/>
  <c r="G7950" i="1"/>
  <c r="F7950" i="1"/>
  <c r="H7949" i="1"/>
  <c r="G7949" i="1"/>
  <c r="F7949" i="1"/>
  <c r="H7948" i="1"/>
  <c r="G7948" i="1"/>
  <c r="F7948" i="1"/>
  <c r="H7947" i="1"/>
  <c r="G7947" i="1"/>
  <c r="F7947" i="1"/>
  <c r="H7946" i="1"/>
  <c r="G7946" i="1"/>
  <c r="F7946" i="1"/>
  <c r="H7945" i="1"/>
  <c r="G7945" i="1"/>
  <c r="F7945" i="1"/>
  <c r="H7944" i="1"/>
  <c r="G7944" i="1"/>
  <c r="F7944" i="1"/>
  <c r="H7943" i="1"/>
  <c r="G7943" i="1"/>
  <c r="F7943" i="1"/>
  <c r="H7942" i="1"/>
  <c r="G7942" i="1"/>
  <c r="F7942" i="1"/>
  <c r="H7941" i="1"/>
  <c r="G7941" i="1"/>
  <c r="F7941" i="1"/>
  <c r="H7940" i="1"/>
  <c r="G7940" i="1"/>
  <c r="F7940" i="1"/>
  <c r="H7939" i="1"/>
  <c r="G7939" i="1"/>
  <c r="F7939" i="1"/>
  <c r="H7938" i="1"/>
  <c r="G7938" i="1"/>
  <c r="F7938" i="1"/>
  <c r="H7937" i="1"/>
  <c r="G7937" i="1"/>
  <c r="F7937" i="1"/>
  <c r="H7936" i="1"/>
  <c r="G7936" i="1"/>
  <c r="F7936" i="1"/>
  <c r="H7935" i="1"/>
  <c r="G7935" i="1"/>
  <c r="F7935" i="1"/>
  <c r="H7934" i="1"/>
  <c r="G7934" i="1"/>
  <c r="F7934" i="1"/>
  <c r="H7933" i="1"/>
  <c r="G7933" i="1"/>
  <c r="F7933" i="1"/>
  <c r="H7932" i="1"/>
  <c r="G7932" i="1"/>
  <c r="F7932" i="1"/>
  <c r="H7931" i="1"/>
  <c r="G7931" i="1"/>
  <c r="F7931" i="1"/>
  <c r="H7930" i="1"/>
  <c r="G7930" i="1"/>
  <c r="F7930" i="1"/>
  <c r="H7929" i="1"/>
  <c r="G7929" i="1"/>
  <c r="F7929" i="1"/>
  <c r="H7928" i="1"/>
  <c r="G7928" i="1"/>
  <c r="F7928" i="1"/>
  <c r="H7927" i="1"/>
  <c r="G7927" i="1"/>
  <c r="F7927" i="1"/>
  <c r="H7926" i="1"/>
  <c r="G7926" i="1"/>
  <c r="F7926" i="1"/>
  <c r="H7925" i="1"/>
  <c r="G7925" i="1"/>
  <c r="F7925" i="1"/>
  <c r="H7924" i="1"/>
  <c r="G7924" i="1"/>
  <c r="F7924" i="1"/>
  <c r="H7923" i="1"/>
  <c r="G7923" i="1"/>
  <c r="F7923" i="1"/>
  <c r="H7922" i="1"/>
  <c r="G7922" i="1"/>
  <c r="F7922" i="1"/>
  <c r="H7921" i="1"/>
  <c r="G7921" i="1"/>
  <c r="F7921" i="1"/>
  <c r="H7920" i="1"/>
  <c r="G7920" i="1"/>
  <c r="F7920" i="1"/>
  <c r="H7919" i="1"/>
  <c r="G7919" i="1"/>
  <c r="F7919" i="1"/>
  <c r="H7918" i="1"/>
  <c r="G7918" i="1"/>
  <c r="F7918" i="1"/>
  <c r="H7917" i="1"/>
  <c r="G7917" i="1"/>
  <c r="F7917" i="1"/>
  <c r="H7916" i="1"/>
  <c r="G7916" i="1"/>
  <c r="F7916" i="1"/>
  <c r="H7915" i="1"/>
  <c r="G7915" i="1"/>
  <c r="F7915" i="1"/>
  <c r="H7914" i="1"/>
  <c r="G7914" i="1"/>
  <c r="F7914" i="1"/>
  <c r="H7913" i="1"/>
  <c r="G7913" i="1"/>
  <c r="F7913" i="1"/>
  <c r="H7912" i="1"/>
  <c r="G7912" i="1"/>
  <c r="F7912" i="1"/>
  <c r="H7911" i="1"/>
  <c r="G7911" i="1"/>
  <c r="F7911" i="1"/>
  <c r="H7910" i="1"/>
  <c r="G7910" i="1"/>
  <c r="F7910" i="1"/>
  <c r="H7909" i="1"/>
  <c r="G7909" i="1"/>
  <c r="F7909" i="1"/>
  <c r="H7908" i="1"/>
  <c r="G7908" i="1"/>
  <c r="F7908" i="1"/>
  <c r="H7907" i="1"/>
  <c r="G7907" i="1"/>
  <c r="F7907" i="1"/>
  <c r="H7906" i="1"/>
  <c r="G7906" i="1"/>
  <c r="F7906" i="1"/>
  <c r="H7905" i="1"/>
  <c r="G7905" i="1"/>
  <c r="F7905" i="1"/>
  <c r="H7904" i="1"/>
  <c r="G7904" i="1"/>
  <c r="F7904" i="1"/>
  <c r="H7903" i="1"/>
  <c r="G7903" i="1"/>
  <c r="F7903" i="1"/>
  <c r="H7902" i="1"/>
  <c r="G7902" i="1"/>
  <c r="F7902" i="1"/>
  <c r="H7901" i="1"/>
  <c r="G7901" i="1"/>
  <c r="F7901" i="1"/>
  <c r="H7900" i="1"/>
  <c r="G7900" i="1"/>
  <c r="F7900" i="1"/>
  <c r="H7899" i="1"/>
  <c r="G7899" i="1"/>
  <c r="F7899" i="1"/>
  <c r="H7898" i="1"/>
  <c r="G7898" i="1"/>
  <c r="F7898" i="1"/>
  <c r="H7897" i="1"/>
  <c r="G7897" i="1"/>
  <c r="F7897" i="1"/>
  <c r="H7896" i="1"/>
  <c r="G7896" i="1"/>
  <c r="F7896" i="1"/>
  <c r="H7895" i="1"/>
  <c r="G7895" i="1"/>
  <c r="F7895" i="1"/>
  <c r="H7894" i="1"/>
  <c r="G7894" i="1"/>
  <c r="F7894" i="1"/>
  <c r="H7893" i="1"/>
  <c r="G7893" i="1"/>
  <c r="F7893" i="1"/>
  <c r="H7892" i="1"/>
  <c r="G7892" i="1"/>
  <c r="F7892" i="1"/>
  <c r="H7891" i="1"/>
  <c r="G7891" i="1"/>
  <c r="F7891" i="1"/>
  <c r="H7890" i="1"/>
  <c r="G7890" i="1"/>
  <c r="F7890" i="1"/>
  <c r="H7889" i="1"/>
  <c r="G7889" i="1"/>
  <c r="F7889" i="1"/>
  <c r="H7888" i="1"/>
  <c r="G7888" i="1"/>
  <c r="F7888" i="1"/>
  <c r="H7887" i="1"/>
  <c r="G7887" i="1"/>
  <c r="F7887" i="1"/>
  <c r="H7886" i="1"/>
  <c r="G7886" i="1"/>
  <c r="F7886" i="1"/>
  <c r="H7885" i="1"/>
  <c r="G7885" i="1"/>
  <c r="F7885" i="1"/>
  <c r="H7884" i="1"/>
  <c r="G7884" i="1"/>
  <c r="F7884" i="1"/>
  <c r="H7883" i="1"/>
  <c r="G7883" i="1"/>
  <c r="F7883" i="1"/>
  <c r="H7882" i="1"/>
  <c r="G7882" i="1"/>
  <c r="F7882" i="1"/>
  <c r="H7881" i="1"/>
  <c r="G7881" i="1"/>
  <c r="F7881" i="1"/>
  <c r="H7880" i="1"/>
  <c r="G7880" i="1"/>
  <c r="F7880" i="1"/>
  <c r="H7879" i="1"/>
  <c r="G7879" i="1"/>
  <c r="F7879" i="1"/>
  <c r="H7878" i="1"/>
  <c r="G7878" i="1"/>
  <c r="F7878" i="1"/>
  <c r="H7877" i="1"/>
  <c r="G7877" i="1"/>
  <c r="F7877" i="1"/>
  <c r="H7876" i="1"/>
  <c r="G7876" i="1"/>
  <c r="F7876" i="1"/>
  <c r="H7875" i="1"/>
  <c r="G7875" i="1"/>
  <c r="F7875" i="1"/>
  <c r="H7874" i="1"/>
  <c r="G7874" i="1"/>
  <c r="F7874" i="1"/>
  <c r="H7873" i="1"/>
  <c r="G7873" i="1"/>
  <c r="F7873" i="1"/>
  <c r="H7872" i="1"/>
  <c r="G7872" i="1"/>
  <c r="F7872" i="1"/>
  <c r="H7871" i="1"/>
  <c r="G7871" i="1"/>
  <c r="F7871" i="1"/>
  <c r="H7870" i="1"/>
  <c r="G7870" i="1"/>
  <c r="F7870" i="1"/>
  <c r="H7869" i="1"/>
  <c r="G7869" i="1"/>
  <c r="F7869" i="1"/>
  <c r="H7868" i="1"/>
  <c r="G7868" i="1"/>
  <c r="F7868" i="1"/>
  <c r="H7867" i="1"/>
  <c r="G7867" i="1"/>
  <c r="F7867" i="1"/>
  <c r="H7866" i="1"/>
  <c r="G7866" i="1"/>
  <c r="F7866" i="1"/>
  <c r="H7865" i="1"/>
  <c r="G7865" i="1"/>
  <c r="F7865" i="1"/>
  <c r="H7864" i="1"/>
  <c r="G7864" i="1"/>
  <c r="F7864" i="1"/>
  <c r="H7863" i="1"/>
  <c r="G7863" i="1"/>
  <c r="F7863" i="1"/>
  <c r="H7862" i="1"/>
  <c r="G7862" i="1"/>
  <c r="F7862" i="1"/>
  <c r="H7861" i="1"/>
  <c r="G7861" i="1"/>
  <c r="F7861" i="1"/>
  <c r="H7860" i="1"/>
  <c r="G7860" i="1"/>
  <c r="F7860" i="1"/>
  <c r="H7859" i="1"/>
  <c r="G7859" i="1"/>
  <c r="F7859" i="1"/>
  <c r="H7858" i="1"/>
  <c r="G7858" i="1"/>
  <c r="F7858" i="1"/>
  <c r="H7857" i="1"/>
  <c r="G7857" i="1"/>
  <c r="F7857" i="1"/>
  <c r="H7856" i="1"/>
  <c r="G7856" i="1"/>
  <c r="F7856" i="1"/>
  <c r="H7855" i="1"/>
  <c r="G7855" i="1"/>
  <c r="F7855" i="1"/>
  <c r="H7854" i="1"/>
  <c r="G7854" i="1"/>
  <c r="F7854" i="1"/>
  <c r="H7853" i="1"/>
  <c r="G7853" i="1"/>
  <c r="F7853" i="1"/>
  <c r="H7852" i="1"/>
  <c r="G7852" i="1"/>
  <c r="F7852" i="1"/>
  <c r="H7851" i="1"/>
  <c r="G7851" i="1"/>
  <c r="F7851" i="1"/>
  <c r="H7850" i="1"/>
  <c r="G7850" i="1"/>
  <c r="F7850" i="1"/>
  <c r="H7849" i="1"/>
  <c r="G7849" i="1"/>
  <c r="F7849" i="1"/>
  <c r="H7848" i="1"/>
  <c r="G7848" i="1"/>
  <c r="F7848" i="1"/>
  <c r="H7847" i="1"/>
  <c r="G7847" i="1"/>
  <c r="F7847" i="1"/>
  <c r="H7846" i="1"/>
  <c r="G7846" i="1"/>
  <c r="F7846" i="1"/>
  <c r="H7845" i="1"/>
  <c r="G7845" i="1"/>
  <c r="F7845" i="1"/>
  <c r="H7844" i="1"/>
  <c r="G7844" i="1"/>
  <c r="F7844" i="1"/>
  <c r="H7843" i="1"/>
  <c r="G7843" i="1"/>
  <c r="F7843" i="1"/>
  <c r="H7842" i="1"/>
  <c r="G7842" i="1"/>
  <c r="F7842" i="1"/>
  <c r="H7841" i="1"/>
  <c r="G7841" i="1"/>
  <c r="F7841" i="1"/>
  <c r="H7840" i="1"/>
  <c r="G7840" i="1"/>
  <c r="F7840" i="1"/>
  <c r="H7839" i="1"/>
  <c r="G7839" i="1"/>
  <c r="F7839" i="1"/>
  <c r="H7838" i="1"/>
  <c r="G7838" i="1"/>
  <c r="F7838" i="1"/>
  <c r="H7837" i="1"/>
  <c r="G7837" i="1"/>
  <c r="F7837" i="1"/>
  <c r="H7836" i="1"/>
  <c r="G7836" i="1"/>
  <c r="F7836" i="1"/>
  <c r="H7835" i="1"/>
  <c r="G7835" i="1"/>
  <c r="F7835" i="1"/>
  <c r="H7834" i="1"/>
  <c r="G7834" i="1"/>
  <c r="F7834" i="1"/>
  <c r="H7833" i="1"/>
  <c r="G7833" i="1"/>
  <c r="F7833" i="1"/>
  <c r="H7832" i="1"/>
  <c r="G7832" i="1"/>
  <c r="F7832" i="1"/>
  <c r="H7831" i="1"/>
  <c r="G7831" i="1"/>
  <c r="F7831" i="1"/>
  <c r="H7830" i="1"/>
  <c r="G7830" i="1"/>
  <c r="F7830" i="1"/>
  <c r="H7829" i="1"/>
  <c r="G7829" i="1"/>
  <c r="F7829" i="1"/>
  <c r="H7828" i="1"/>
  <c r="G7828" i="1"/>
  <c r="F7828" i="1"/>
  <c r="H7827" i="1"/>
  <c r="G7827" i="1"/>
  <c r="F7827" i="1"/>
  <c r="H7826" i="1"/>
  <c r="G7826" i="1"/>
  <c r="F7826" i="1"/>
  <c r="H7825" i="1"/>
  <c r="G7825" i="1"/>
  <c r="F7825" i="1"/>
  <c r="H7824" i="1"/>
  <c r="G7824" i="1"/>
  <c r="F7824" i="1"/>
  <c r="H7823" i="1"/>
  <c r="G7823" i="1"/>
  <c r="F7823" i="1"/>
  <c r="H7822" i="1"/>
  <c r="G7822" i="1"/>
  <c r="F7822" i="1"/>
  <c r="H7821" i="1"/>
  <c r="G7821" i="1"/>
  <c r="F7821" i="1"/>
  <c r="H7820" i="1"/>
  <c r="G7820" i="1"/>
  <c r="F7820" i="1"/>
  <c r="H7819" i="1"/>
  <c r="G7819" i="1"/>
  <c r="F7819" i="1"/>
  <c r="H7818" i="1"/>
  <c r="G7818" i="1"/>
  <c r="F7818" i="1"/>
  <c r="H7817" i="1"/>
  <c r="G7817" i="1"/>
  <c r="F7817" i="1"/>
  <c r="H7816" i="1"/>
  <c r="G7816" i="1"/>
  <c r="F7816" i="1"/>
  <c r="H7815" i="1"/>
  <c r="G7815" i="1"/>
  <c r="F7815" i="1"/>
  <c r="H7814" i="1"/>
  <c r="G7814" i="1"/>
  <c r="F7814" i="1"/>
  <c r="H7813" i="1"/>
  <c r="G7813" i="1"/>
  <c r="F7813" i="1"/>
  <c r="H7812" i="1"/>
  <c r="G7812" i="1"/>
  <c r="F7812" i="1"/>
  <c r="H7811" i="1"/>
  <c r="G7811" i="1"/>
  <c r="F7811" i="1"/>
  <c r="H7810" i="1"/>
  <c r="G7810" i="1"/>
  <c r="F7810" i="1"/>
  <c r="H7809" i="1"/>
  <c r="G7809" i="1"/>
  <c r="F7809" i="1"/>
  <c r="H7808" i="1"/>
  <c r="G7808" i="1"/>
  <c r="F7808" i="1"/>
  <c r="H7807" i="1"/>
  <c r="G7807" i="1"/>
  <c r="F7807" i="1"/>
  <c r="H7806" i="1"/>
  <c r="G7806" i="1"/>
  <c r="F7806" i="1"/>
  <c r="H7805" i="1"/>
  <c r="G7805" i="1"/>
  <c r="F7805" i="1"/>
  <c r="H7804" i="1"/>
  <c r="G7804" i="1"/>
  <c r="F7804" i="1"/>
  <c r="H7803" i="1"/>
  <c r="G7803" i="1"/>
  <c r="F7803" i="1"/>
  <c r="H7802" i="1"/>
  <c r="G7802" i="1"/>
  <c r="F7802" i="1"/>
  <c r="H7801" i="1"/>
  <c r="G7801" i="1"/>
  <c r="F7801" i="1"/>
  <c r="H7800" i="1"/>
  <c r="G7800" i="1"/>
  <c r="F7800" i="1"/>
  <c r="H7799" i="1"/>
  <c r="G7799" i="1"/>
  <c r="F7799" i="1"/>
  <c r="H7798" i="1"/>
  <c r="G7798" i="1"/>
  <c r="F7798" i="1"/>
  <c r="H7797" i="1"/>
  <c r="G7797" i="1"/>
  <c r="F7797" i="1"/>
  <c r="H7796" i="1"/>
  <c r="G7796" i="1"/>
  <c r="F7796" i="1"/>
  <c r="H7795" i="1"/>
  <c r="G7795" i="1"/>
  <c r="F7795" i="1"/>
  <c r="H7794" i="1"/>
  <c r="G7794" i="1"/>
  <c r="F7794" i="1"/>
  <c r="H7793" i="1"/>
  <c r="G7793" i="1"/>
  <c r="F7793" i="1"/>
  <c r="H7792" i="1"/>
  <c r="G7792" i="1"/>
  <c r="F7792" i="1"/>
  <c r="H7791" i="1"/>
  <c r="G7791" i="1"/>
  <c r="F7791" i="1"/>
  <c r="H7790" i="1"/>
  <c r="G7790" i="1"/>
  <c r="F7790" i="1"/>
  <c r="H7789" i="1"/>
  <c r="G7789" i="1"/>
  <c r="F7789" i="1"/>
  <c r="H7788" i="1"/>
  <c r="G7788" i="1"/>
  <c r="F7788" i="1"/>
  <c r="H7787" i="1"/>
  <c r="G7787" i="1"/>
  <c r="F7787" i="1"/>
  <c r="H7786" i="1"/>
  <c r="G7786" i="1"/>
  <c r="F7786" i="1"/>
  <c r="H7785" i="1"/>
  <c r="G7785" i="1"/>
  <c r="F7785" i="1"/>
  <c r="H7784" i="1"/>
  <c r="G7784" i="1"/>
  <c r="F7784" i="1"/>
  <c r="H7783" i="1"/>
  <c r="G7783" i="1"/>
  <c r="F7783" i="1"/>
  <c r="H7782" i="1"/>
  <c r="G7782" i="1"/>
  <c r="F7782" i="1"/>
  <c r="H7781" i="1"/>
  <c r="G7781" i="1"/>
  <c r="F7781" i="1"/>
  <c r="H7780" i="1"/>
  <c r="G7780" i="1"/>
  <c r="F7780" i="1"/>
  <c r="H7779" i="1"/>
  <c r="G7779" i="1"/>
  <c r="F7779" i="1"/>
  <c r="H7778" i="1"/>
  <c r="G7778" i="1"/>
  <c r="F7778" i="1"/>
  <c r="H7777" i="1"/>
  <c r="G7777" i="1"/>
  <c r="F7777" i="1"/>
  <c r="H7776" i="1"/>
  <c r="G7776" i="1"/>
  <c r="F7776" i="1"/>
  <c r="H7775" i="1"/>
  <c r="G7775" i="1"/>
  <c r="F7775" i="1"/>
  <c r="H7774" i="1"/>
  <c r="G7774" i="1"/>
  <c r="F7774" i="1"/>
  <c r="H7773" i="1"/>
  <c r="G7773" i="1"/>
  <c r="F7773" i="1"/>
  <c r="H7772" i="1"/>
  <c r="G7772" i="1"/>
  <c r="F7772" i="1"/>
  <c r="H7771" i="1"/>
  <c r="G7771" i="1"/>
  <c r="F7771" i="1"/>
  <c r="H7770" i="1"/>
  <c r="G7770" i="1"/>
  <c r="F7770" i="1"/>
  <c r="H7769" i="1"/>
  <c r="G7769" i="1"/>
  <c r="F7769" i="1"/>
  <c r="H7768" i="1"/>
  <c r="G7768" i="1"/>
  <c r="F7768" i="1"/>
  <c r="H7767" i="1"/>
  <c r="G7767" i="1"/>
  <c r="F7767" i="1"/>
  <c r="H7766" i="1"/>
  <c r="G7766" i="1"/>
  <c r="F7766" i="1"/>
  <c r="H7765" i="1"/>
  <c r="G7765" i="1"/>
  <c r="F7765" i="1"/>
  <c r="H7764" i="1"/>
  <c r="G7764" i="1"/>
  <c r="F7764" i="1"/>
  <c r="H7763" i="1"/>
  <c r="G7763" i="1"/>
  <c r="F7763" i="1"/>
  <c r="H7762" i="1"/>
  <c r="G7762" i="1"/>
  <c r="F7762" i="1"/>
  <c r="H7761" i="1"/>
  <c r="G7761" i="1"/>
  <c r="F7761" i="1"/>
  <c r="H7760" i="1"/>
  <c r="G7760" i="1"/>
  <c r="F7760" i="1"/>
  <c r="H7759" i="1"/>
  <c r="G7759" i="1"/>
  <c r="F7759" i="1"/>
  <c r="H7758" i="1"/>
  <c r="G7758" i="1"/>
  <c r="F7758" i="1"/>
  <c r="H7757" i="1"/>
  <c r="G7757" i="1"/>
  <c r="F7757" i="1"/>
  <c r="H7756" i="1"/>
  <c r="G7756" i="1"/>
  <c r="F7756" i="1"/>
  <c r="H7755" i="1"/>
  <c r="G7755" i="1"/>
  <c r="F7755" i="1"/>
  <c r="H7754" i="1"/>
  <c r="G7754" i="1"/>
  <c r="F7754" i="1"/>
  <c r="H7753" i="1"/>
  <c r="G7753" i="1"/>
  <c r="F7753" i="1"/>
  <c r="H7752" i="1"/>
  <c r="G7752" i="1"/>
  <c r="F7752" i="1"/>
  <c r="H7751" i="1"/>
  <c r="G7751" i="1"/>
  <c r="F7751" i="1"/>
  <c r="H7750" i="1"/>
  <c r="G7750" i="1"/>
  <c r="F7750" i="1"/>
  <c r="H7749" i="1"/>
  <c r="G7749" i="1"/>
  <c r="F7749" i="1"/>
  <c r="H7748" i="1"/>
  <c r="G7748" i="1"/>
  <c r="F7748" i="1"/>
  <c r="H7747" i="1"/>
  <c r="G7747" i="1"/>
  <c r="F7747" i="1"/>
  <c r="H7746" i="1"/>
  <c r="G7746" i="1"/>
  <c r="F7746" i="1"/>
  <c r="H7745" i="1"/>
  <c r="G7745" i="1"/>
  <c r="F7745" i="1"/>
  <c r="H7744" i="1"/>
  <c r="G7744" i="1"/>
  <c r="F7744" i="1"/>
  <c r="H7743" i="1"/>
  <c r="G7743" i="1"/>
  <c r="F7743" i="1"/>
  <c r="H7742" i="1"/>
  <c r="G7742" i="1"/>
  <c r="F7742" i="1"/>
  <c r="H7741" i="1"/>
  <c r="G7741" i="1"/>
  <c r="F7741" i="1"/>
  <c r="H7740" i="1"/>
  <c r="G7740" i="1"/>
  <c r="F7740" i="1"/>
  <c r="H7739" i="1"/>
  <c r="G7739" i="1"/>
  <c r="F7739" i="1"/>
  <c r="H7738" i="1"/>
  <c r="G7738" i="1"/>
  <c r="F7738" i="1"/>
  <c r="H7737" i="1"/>
  <c r="G7737" i="1"/>
  <c r="F7737" i="1"/>
  <c r="H7736" i="1"/>
  <c r="G7736" i="1"/>
  <c r="F7736" i="1"/>
  <c r="H7735" i="1"/>
  <c r="G7735" i="1"/>
  <c r="F7735" i="1"/>
  <c r="H7734" i="1"/>
  <c r="G7734" i="1"/>
  <c r="F7734" i="1"/>
  <c r="H7733" i="1"/>
  <c r="G7733" i="1"/>
  <c r="F7733" i="1"/>
  <c r="H7732" i="1"/>
  <c r="G7732" i="1"/>
  <c r="F7732" i="1"/>
  <c r="H7731" i="1"/>
  <c r="G7731" i="1"/>
  <c r="F7731" i="1"/>
  <c r="H7730" i="1"/>
  <c r="G7730" i="1"/>
  <c r="F7730" i="1"/>
  <c r="H7729" i="1"/>
  <c r="G7729" i="1"/>
  <c r="F7729" i="1"/>
  <c r="H7728" i="1"/>
  <c r="G7728" i="1"/>
  <c r="F7728" i="1"/>
  <c r="H7727" i="1"/>
  <c r="G7727" i="1"/>
  <c r="F7727" i="1"/>
  <c r="H7726" i="1"/>
  <c r="G7726" i="1"/>
  <c r="F7726" i="1"/>
  <c r="H7725" i="1"/>
  <c r="G7725" i="1"/>
  <c r="F7725" i="1"/>
  <c r="H7724" i="1"/>
  <c r="G7724" i="1"/>
  <c r="F7724" i="1"/>
  <c r="H7723" i="1"/>
  <c r="G7723" i="1"/>
  <c r="F7723" i="1"/>
  <c r="H7722" i="1"/>
  <c r="G7722" i="1"/>
  <c r="F7722" i="1"/>
  <c r="H7721" i="1"/>
  <c r="G7721" i="1"/>
  <c r="F7721" i="1"/>
  <c r="H7720" i="1"/>
  <c r="G7720" i="1"/>
  <c r="F7720" i="1"/>
  <c r="H7719" i="1"/>
  <c r="G7719" i="1"/>
  <c r="F7719" i="1"/>
  <c r="H7718" i="1"/>
  <c r="G7718" i="1"/>
  <c r="F7718" i="1"/>
  <c r="H7717" i="1"/>
  <c r="G7717" i="1"/>
  <c r="F7717" i="1"/>
  <c r="H7716" i="1"/>
  <c r="G7716" i="1"/>
  <c r="F7716" i="1"/>
  <c r="H7715" i="1"/>
  <c r="G7715" i="1"/>
  <c r="F7715" i="1"/>
  <c r="H7714" i="1"/>
  <c r="G7714" i="1"/>
  <c r="F7714" i="1"/>
  <c r="H7713" i="1"/>
  <c r="G7713" i="1"/>
  <c r="F7713" i="1"/>
  <c r="H7712" i="1"/>
  <c r="G7712" i="1"/>
  <c r="F7712" i="1"/>
  <c r="H7711" i="1"/>
  <c r="G7711" i="1"/>
  <c r="F7711" i="1"/>
  <c r="H7710" i="1"/>
  <c r="G7710" i="1"/>
  <c r="F7710" i="1"/>
  <c r="H7709" i="1"/>
  <c r="G7709" i="1"/>
  <c r="F7709" i="1"/>
  <c r="H7708" i="1"/>
  <c r="G7708" i="1"/>
  <c r="F7708" i="1"/>
  <c r="H7707" i="1"/>
  <c r="G7707" i="1"/>
  <c r="F7707" i="1"/>
  <c r="H7706" i="1"/>
  <c r="G7706" i="1"/>
  <c r="F7706" i="1"/>
  <c r="H7705" i="1"/>
  <c r="G7705" i="1"/>
  <c r="F7705" i="1"/>
  <c r="H7704" i="1"/>
  <c r="G7704" i="1"/>
  <c r="F7704" i="1"/>
  <c r="H7703" i="1"/>
  <c r="G7703" i="1"/>
  <c r="F7703" i="1"/>
  <c r="H7702" i="1"/>
  <c r="G7702" i="1"/>
  <c r="F7702" i="1"/>
  <c r="H7701" i="1"/>
  <c r="G7701" i="1"/>
  <c r="F7701" i="1"/>
  <c r="H7700" i="1"/>
  <c r="G7700" i="1"/>
  <c r="F7700" i="1"/>
  <c r="H7699" i="1"/>
  <c r="G7699" i="1"/>
  <c r="F7699" i="1"/>
  <c r="H7698" i="1"/>
  <c r="G7698" i="1"/>
  <c r="F7698" i="1"/>
  <c r="H7697" i="1"/>
  <c r="G7697" i="1"/>
  <c r="F7697" i="1"/>
  <c r="H7696" i="1"/>
  <c r="G7696" i="1"/>
  <c r="F7696" i="1"/>
  <c r="H7695" i="1"/>
  <c r="G7695" i="1"/>
  <c r="F7695" i="1"/>
  <c r="H7694" i="1"/>
  <c r="G7694" i="1"/>
  <c r="F7694" i="1"/>
  <c r="H7693" i="1"/>
  <c r="G7693" i="1"/>
  <c r="F7693" i="1"/>
  <c r="H7692" i="1"/>
  <c r="G7692" i="1"/>
  <c r="F7692" i="1"/>
  <c r="H7691" i="1"/>
  <c r="G7691" i="1"/>
  <c r="F7691" i="1"/>
  <c r="H7690" i="1"/>
  <c r="G7690" i="1"/>
  <c r="F7690" i="1"/>
  <c r="H7689" i="1"/>
  <c r="G7689" i="1"/>
  <c r="F7689" i="1"/>
  <c r="H7688" i="1"/>
  <c r="G7688" i="1"/>
  <c r="F7688" i="1"/>
  <c r="H7687" i="1"/>
  <c r="G7687" i="1"/>
  <c r="F7687" i="1"/>
  <c r="H7686" i="1"/>
  <c r="G7686" i="1"/>
  <c r="F7686" i="1"/>
  <c r="H7685" i="1"/>
  <c r="G7685" i="1"/>
  <c r="F7685" i="1"/>
  <c r="H7684" i="1"/>
  <c r="G7684" i="1"/>
  <c r="F7684" i="1"/>
  <c r="H7683" i="1"/>
  <c r="G7683" i="1"/>
  <c r="F7683" i="1"/>
  <c r="H7682" i="1"/>
  <c r="G7682" i="1"/>
  <c r="F7682" i="1"/>
  <c r="H7681" i="1"/>
  <c r="G7681" i="1"/>
  <c r="F7681" i="1"/>
  <c r="H7680" i="1"/>
  <c r="G7680" i="1"/>
  <c r="F7680" i="1"/>
  <c r="H7679" i="1"/>
  <c r="G7679" i="1"/>
  <c r="F7679" i="1"/>
  <c r="H7678" i="1"/>
  <c r="G7678" i="1"/>
  <c r="F7678" i="1"/>
  <c r="H7677" i="1"/>
  <c r="G7677" i="1"/>
  <c r="F7677" i="1"/>
  <c r="H7676" i="1"/>
  <c r="G7676" i="1"/>
  <c r="F7676" i="1"/>
  <c r="H7675" i="1"/>
  <c r="G7675" i="1"/>
  <c r="F7675" i="1"/>
  <c r="H7674" i="1"/>
  <c r="G7674" i="1"/>
  <c r="F7674" i="1"/>
  <c r="H7673" i="1"/>
  <c r="G7673" i="1"/>
  <c r="F7673" i="1"/>
  <c r="H7672" i="1"/>
  <c r="G7672" i="1"/>
  <c r="F7672" i="1"/>
  <c r="H7671" i="1"/>
  <c r="G7671" i="1"/>
  <c r="F7671" i="1"/>
  <c r="H7670" i="1"/>
  <c r="G7670" i="1"/>
  <c r="F7670" i="1"/>
  <c r="H7669" i="1"/>
  <c r="G7669" i="1"/>
  <c r="F7669" i="1"/>
  <c r="H7668" i="1"/>
  <c r="G7668" i="1"/>
  <c r="F7668" i="1"/>
  <c r="H7667" i="1"/>
  <c r="G7667" i="1"/>
  <c r="F7667" i="1"/>
  <c r="H7666" i="1"/>
  <c r="G7666" i="1"/>
  <c r="F7666" i="1"/>
  <c r="H7665" i="1"/>
  <c r="G7665" i="1"/>
  <c r="F7665" i="1"/>
  <c r="H7664" i="1"/>
  <c r="G7664" i="1"/>
  <c r="F7664" i="1"/>
  <c r="H7663" i="1"/>
  <c r="G7663" i="1"/>
  <c r="F7663" i="1"/>
  <c r="H7662" i="1"/>
  <c r="G7662" i="1"/>
  <c r="F7662" i="1"/>
  <c r="H7661" i="1"/>
  <c r="G7661" i="1"/>
  <c r="F7661" i="1"/>
  <c r="H7660" i="1"/>
  <c r="G7660" i="1"/>
  <c r="F7660" i="1"/>
  <c r="H7659" i="1"/>
  <c r="G7659" i="1"/>
  <c r="F7659" i="1"/>
  <c r="H7658" i="1"/>
  <c r="G7658" i="1"/>
  <c r="F7658" i="1"/>
  <c r="H7657" i="1"/>
  <c r="G7657" i="1"/>
  <c r="F7657" i="1"/>
  <c r="H7656" i="1"/>
  <c r="G7656" i="1"/>
  <c r="F7656" i="1"/>
  <c r="H7655" i="1"/>
  <c r="G7655" i="1"/>
  <c r="F7655" i="1"/>
  <c r="H7654" i="1"/>
  <c r="G7654" i="1"/>
  <c r="F7654" i="1"/>
  <c r="H7653" i="1"/>
  <c r="G7653" i="1"/>
  <c r="F7653" i="1"/>
  <c r="H7652" i="1"/>
  <c r="G7652" i="1"/>
  <c r="F7652" i="1"/>
  <c r="H7651" i="1"/>
  <c r="G7651" i="1"/>
  <c r="F7651" i="1"/>
  <c r="H7650" i="1"/>
  <c r="G7650" i="1"/>
  <c r="F7650" i="1"/>
  <c r="H7649" i="1"/>
  <c r="G7649" i="1"/>
  <c r="F7649" i="1"/>
  <c r="H7648" i="1"/>
  <c r="G7648" i="1"/>
  <c r="F7648" i="1"/>
  <c r="H7647" i="1"/>
  <c r="G7647" i="1"/>
  <c r="F7647" i="1"/>
  <c r="H7646" i="1"/>
  <c r="G7646" i="1"/>
  <c r="F7646" i="1"/>
  <c r="H7645" i="1"/>
  <c r="G7645" i="1"/>
  <c r="F7645" i="1"/>
  <c r="H7644" i="1"/>
  <c r="G7644" i="1"/>
  <c r="F7644" i="1"/>
  <c r="H7643" i="1"/>
  <c r="G7643" i="1"/>
  <c r="F7643" i="1"/>
  <c r="H7642" i="1"/>
  <c r="G7642" i="1"/>
  <c r="F7642" i="1"/>
  <c r="H7641" i="1"/>
  <c r="G7641" i="1"/>
  <c r="F7641" i="1"/>
  <c r="H7640" i="1"/>
  <c r="G7640" i="1"/>
  <c r="F7640" i="1"/>
  <c r="H7639" i="1"/>
  <c r="G7639" i="1"/>
  <c r="F7639" i="1"/>
  <c r="H7638" i="1"/>
  <c r="G7638" i="1"/>
  <c r="F7638" i="1"/>
  <c r="H7637" i="1"/>
  <c r="G7637" i="1"/>
  <c r="F7637" i="1"/>
  <c r="H7636" i="1"/>
  <c r="G7636" i="1"/>
  <c r="F7636" i="1"/>
  <c r="H7635" i="1"/>
  <c r="G7635" i="1"/>
  <c r="F7635" i="1"/>
  <c r="H7634" i="1"/>
  <c r="G7634" i="1"/>
  <c r="F7634" i="1"/>
  <c r="H7633" i="1"/>
  <c r="G7633" i="1"/>
  <c r="F7633" i="1"/>
  <c r="H7632" i="1"/>
  <c r="G7632" i="1"/>
  <c r="F7632" i="1"/>
  <c r="H7631" i="1"/>
  <c r="G7631" i="1"/>
  <c r="F7631" i="1"/>
  <c r="H7630" i="1"/>
  <c r="G7630" i="1"/>
  <c r="F7630" i="1"/>
  <c r="H7629" i="1"/>
  <c r="G7629" i="1"/>
  <c r="F7629" i="1"/>
  <c r="H7628" i="1"/>
  <c r="G7628" i="1"/>
  <c r="F7628" i="1"/>
  <c r="H7627" i="1"/>
  <c r="G7627" i="1"/>
  <c r="F7627" i="1"/>
  <c r="H7626" i="1"/>
  <c r="G7626" i="1"/>
  <c r="F7626" i="1"/>
  <c r="H7625" i="1"/>
  <c r="G7625" i="1"/>
  <c r="F7625" i="1"/>
  <c r="H7624" i="1"/>
  <c r="G7624" i="1"/>
  <c r="F7624" i="1"/>
  <c r="H7623" i="1"/>
  <c r="G7623" i="1"/>
  <c r="F7623" i="1"/>
  <c r="H7622" i="1"/>
  <c r="G7622" i="1"/>
  <c r="F7622" i="1"/>
  <c r="H7621" i="1"/>
  <c r="G7621" i="1"/>
  <c r="F7621" i="1"/>
  <c r="H7620" i="1"/>
  <c r="G7620" i="1"/>
  <c r="F7620" i="1"/>
  <c r="H7619" i="1"/>
  <c r="G7619" i="1"/>
  <c r="F7619" i="1"/>
  <c r="H7618" i="1"/>
  <c r="G7618" i="1"/>
  <c r="F7618" i="1"/>
  <c r="H7617" i="1"/>
  <c r="G7617" i="1"/>
  <c r="F7617" i="1"/>
  <c r="H7616" i="1"/>
  <c r="G7616" i="1"/>
  <c r="F7616" i="1"/>
  <c r="H7615" i="1"/>
  <c r="G7615" i="1"/>
  <c r="F7615" i="1"/>
  <c r="H7614" i="1"/>
  <c r="G7614" i="1"/>
  <c r="F7614" i="1"/>
  <c r="H7613" i="1"/>
  <c r="G7613" i="1"/>
  <c r="F7613" i="1"/>
  <c r="H7612" i="1"/>
  <c r="G7612" i="1"/>
  <c r="F7612" i="1"/>
  <c r="H7611" i="1"/>
  <c r="G7611" i="1"/>
  <c r="F7611" i="1"/>
  <c r="H7610" i="1"/>
  <c r="G7610" i="1"/>
  <c r="F7610" i="1"/>
  <c r="H7609" i="1"/>
  <c r="G7609" i="1"/>
  <c r="F7609" i="1"/>
  <c r="H7608" i="1"/>
  <c r="G7608" i="1"/>
  <c r="F7608" i="1"/>
  <c r="H7607" i="1"/>
  <c r="G7607" i="1"/>
  <c r="F7607" i="1"/>
  <c r="H7606" i="1"/>
  <c r="G7606" i="1"/>
  <c r="F7606" i="1"/>
  <c r="H7605" i="1"/>
  <c r="G7605" i="1"/>
  <c r="F7605" i="1"/>
  <c r="H7604" i="1"/>
  <c r="G7604" i="1"/>
  <c r="F7604" i="1"/>
  <c r="H7603" i="1"/>
  <c r="G7603" i="1"/>
  <c r="F7603" i="1"/>
  <c r="H7602" i="1"/>
  <c r="G7602" i="1"/>
  <c r="F7602" i="1"/>
  <c r="H7601" i="1"/>
  <c r="G7601" i="1"/>
  <c r="F7601" i="1"/>
  <c r="H7600" i="1"/>
  <c r="G7600" i="1"/>
  <c r="F7600" i="1"/>
  <c r="H7599" i="1"/>
  <c r="G7599" i="1"/>
  <c r="F7599" i="1"/>
  <c r="H7598" i="1"/>
  <c r="G7598" i="1"/>
  <c r="F7598" i="1"/>
  <c r="H7597" i="1"/>
  <c r="G7597" i="1"/>
  <c r="F7597" i="1"/>
  <c r="H7596" i="1"/>
  <c r="G7596" i="1"/>
  <c r="F7596" i="1"/>
  <c r="H7595" i="1"/>
  <c r="G7595" i="1"/>
  <c r="F7595" i="1"/>
  <c r="H7594" i="1"/>
  <c r="G7594" i="1"/>
  <c r="F7594" i="1"/>
  <c r="H7593" i="1"/>
  <c r="G7593" i="1"/>
  <c r="F7593" i="1"/>
  <c r="H7592" i="1"/>
  <c r="G7592" i="1"/>
  <c r="F7592" i="1"/>
  <c r="H7591" i="1"/>
  <c r="G7591" i="1"/>
  <c r="F7591" i="1"/>
  <c r="H7590" i="1"/>
  <c r="G7590" i="1"/>
  <c r="F7590" i="1"/>
  <c r="H7589" i="1"/>
  <c r="G7589" i="1"/>
  <c r="F7589" i="1"/>
  <c r="H7588" i="1"/>
  <c r="G7588" i="1"/>
  <c r="F7588" i="1"/>
  <c r="H7587" i="1"/>
  <c r="G7587" i="1"/>
  <c r="F7587" i="1"/>
  <c r="H7586" i="1"/>
  <c r="G7586" i="1"/>
  <c r="F7586" i="1"/>
  <c r="H7585" i="1"/>
  <c r="G7585" i="1"/>
  <c r="F7585" i="1"/>
  <c r="H7584" i="1"/>
  <c r="G7584" i="1"/>
  <c r="F7584" i="1"/>
  <c r="H7583" i="1"/>
  <c r="G7583" i="1"/>
  <c r="F7583" i="1"/>
  <c r="H7582" i="1"/>
  <c r="G7582" i="1"/>
  <c r="F7582" i="1"/>
  <c r="H7581" i="1"/>
  <c r="G7581" i="1"/>
  <c r="F7581" i="1"/>
  <c r="H7580" i="1"/>
  <c r="G7580" i="1"/>
  <c r="F7580" i="1"/>
  <c r="H7579" i="1"/>
  <c r="G7579" i="1"/>
  <c r="F7579" i="1"/>
  <c r="H7578" i="1"/>
  <c r="G7578" i="1"/>
  <c r="F7578" i="1"/>
  <c r="H7577" i="1"/>
  <c r="G7577" i="1"/>
  <c r="F7577" i="1"/>
  <c r="H7576" i="1"/>
  <c r="G7576" i="1"/>
  <c r="F7576" i="1"/>
  <c r="H7575" i="1"/>
  <c r="G7575" i="1"/>
  <c r="F7575" i="1"/>
  <c r="H7574" i="1"/>
  <c r="G7574" i="1"/>
  <c r="F7574" i="1"/>
  <c r="H7573" i="1"/>
  <c r="G7573" i="1"/>
  <c r="F7573" i="1"/>
  <c r="H7572" i="1"/>
  <c r="G7572" i="1"/>
  <c r="F7572" i="1"/>
  <c r="H7571" i="1"/>
  <c r="G7571" i="1"/>
  <c r="F7571" i="1"/>
  <c r="H7570" i="1"/>
  <c r="G7570" i="1"/>
  <c r="F7570" i="1"/>
  <c r="H7569" i="1"/>
  <c r="G7569" i="1"/>
  <c r="F7569" i="1"/>
  <c r="H7568" i="1"/>
  <c r="G7568" i="1"/>
  <c r="F7568" i="1"/>
  <c r="H7567" i="1"/>
  <c r="G7567" i="1"/>
  <c r="F7567" i="1"/>
  <c r="H7566" i="1"/>
  <c r="G7566" i="1"/>
  <c r="F7566" i="1"/>
  <c r="H7565" i="1"/>
  <c r="G7565" i="1"/>
  <c r="F7565" i="1"/>
  <c r="H7564" i="1"/>
  <c r="G7564" i="1"/>
  <c r="F7564" i="1"/>
  <c r="H7563" i="1"/>
  <c r="G7563" i="1"/>
  <c r="F7563" i="1"/>
  <c r="H7562" i="1"/>
  <c r="G7562" i="1"/>
  <c r="F7562" i="1"/>
  <c r="H7561" i="1"/>
  <c r="G7561" i="1"/>
  <c r="F7561" i="1"/>
  <c r="H7560" i="1"/>
  <c r="G7560" i="1"/>
  <c r="F7560" i="1"/>
  <c r="H7559" i="1"/>
  <c r="G7559" i="1"/>
  <c r="F7559" i="1"/>
  <c r="H7558" i="1"/>
  <c r="G7558" i="1"/>
  <c r="F7558" i="1"/>
  <c r="H7557" i="1"/>
  <c r="G7557" i="1"/>
  <c r="F7557" i="1"/>
  <c r="H7556" i="1"/>
  <c r="G7556" i="1"/>
  <c r="F7556" i="1"/>
  <c r="H7555" i="1"/>
  <c r="G7555" i="1"/>
  <c r="F7555" i="1"/>
  <c r="H7554" i="1"/>
  <c r="G7554" i="1"/>
  <c r="F7554" i="1"/>
  <c r="H7553" i="1"/>
  <c r="G7553" i="1"/>
  <c r="F7553" i="1"/>
  <c r="H7552" i="1"/>
  <c r="G7552" i="1"/>
  <c r="F7552" i="1"/>
  <c r="H7551" i="1"/>
  <c r="G7551" i="1"/>
  <c r="F7551" i="1"/>
  <c r="H7550" i="1"/>
  <c r="G7550" i="1"/>
  <c r="F7550" i="1"/>
  <c r="H7549" i="1"/>
  <c r="G7549" i="1"/>
  <c r="F7549" i="1"/>
  <c r="H7548" i="1"/>
  <c r="G7548" i="1"/>
  <c r="F7548" i="1"/>
  <c r="H7547" i="1"/>
  <c r="G7547" i="1"/>
  <c r="F7547" i="1"/>
  <c r="H7546" i="1"/>
  <c r="G7546" i="1"/>
  <c r="F7546" i="1"/>
  <c r="H7545" i="1"/>
  <c r="G7545" i="1"/>
  <c r="F7545" i="1"/>
  <c r="H7544" i="1"/>
  <c r="G7544" i="1"/>
  <c r="F7544" i="1"/>
  <c r="H7543" i="1"/>
  <c r="G7543" i="1"/>
  <c r="F7543" i="1"/>
  <c r="H7542" i="1"/>
  <c r="G7542" i="1"/>
  <c r="F7542" i="1"/>
  <c r="H7541" i="1"/>
  <c r="G7541" i="1"/>
  <c r="F7541" i="1"/>
  <c r="H7540" i="1"/>
  <c r="G7540" i="1"/>
  <c r="F7540" i="1"/>
  <c r="H7539" i="1"/>
  <c r="G7539" i="1"/>
  <c r="F7539" i="1"/>
  <c r="H7538" i="1"/>
  <c r="G7538" i="1"/>
  <c r="F7538" i="1"/>
  <c r="H7537" i="1"/>
  <c r="G7537" i="1"/>
  <c r="F7537" i="1"/>
  <c r="H7536" i="1"/>
  <c r="G7536" i="1"/>
  <c r="F7536" i="1"/>
  <c r="H7535" i="1"/>
  <c r="G7535" i="1"/>
  <c r="F7535" i="1"/>
  <c r="H7534" i="1"/>
  <c r="G7534" i="1"/>
  <c r="F7534" i="1"/>
  <c r="H7533" i="1"/>
  <c r="G7533" i="1"/>
  <c r="F7533" i="1"/>
  <c r="H7532" i="1"/>
  <c r="G7532" i="1"/>
  <c r="F7532" i="1"/>
  <c r="H7531" i="1"/>
  <c r="G7531" i="1"/>
  <c r="F7531" i="1"/>
  <c r="H7530" i="1"/>
  <c r="G7530" i="1"/>
  <c r="F7530" i="1"/>
  <c r="H7529" i="1"/>
  <c r="G7529" i="1"/>
  <c r="F7529" i="1"/>
  <c r="H7528" i="1"/>
  <c r="G7528" i="1"/>
  <c r="F7528" i="1"/>
  <c r="H7527" i="1"/>
  <c r="G7527" i="1"/>
  <c r="F7527" i="1"/>
  <c r="H7526" i="1"/>
  <c r="G7526" i="1"/>
  <c r="F7526" i="1"/>
  <c r="H7525" i="1"/>
  <c r="G7525" i="1"/>
  <c r="F7525" i="1"/>
  <c r="H7524" i="1"/>
  <c r="G7524" i="1"/>
  <c r="F7524" i="1"/>
  <c r="H7523" i="1"/>
  <c r="G7523" i="1"/>
  <c r="F7523" i="1"/>
  <c r="H7522" i="1"/>
  <c r="G7522" i="1"/>
  <c r="F7522" i="1"/>
  <c r="H7521" i="1"/>
  <c r="G7521" i="1"/>
  <c r="F7521" i="1"/>
  <c r="H7520" i="1"/>
  <c r="G7520" i="1"/>
  <c r="F7520" i="1"/>
  <c r="H7519" i="1"/>
  <c r="G7519" i="1"/>
  <c r="F7519" i="1"/>
  <c r="H7518" i="1"/>
  <c r="G7518" i="1"/>
  <c r="F7518" i="1"/>
  <c r="H7517" i="1"/>
  <c r="G7517" i="1"/>
  <c r="F7517" i="1"/>
  <c r="H7516" i="1"/>
  <c r="G7516" i="1"/>
  <c r="F7516" i="1"/>
  <c r="H7515" i="1"/>
  <c r="G7515" i="1"/>
  <c r="F7515" i="1"/>
  <c r="H7514" i="1"/>
  <c r="G7514" i="1"/>
  <c r="F7514" i="1"/>
  <c r="H7513" i="1"/>
  <c r="G7513" i="1"/>
  <c r="F7513" i="1"/>
  <c r="H7512" i="1"/>
  <c r="G7512" i="1"/>
  <c r="F7512" i="1"/>
  <c r="H7511" i="1"/>
  <c r="G7511" i="1"/>
  <c r="F7511" i="1"/>
  <c r="H7510" i="1"/>
  <c r="G7510" i="1"/>
  <c r="F7510" i="1"/>
  <c r="H7509" i="1"/>
  <c r="G7509" i="1"/>
  <c r="F7509" i="1"/>
  <c r="H7508" i="1"/>
  <c r="G7508" i="1"/>
  <c r="F7508" i="1"/>
  <c r="H7507" i="1"/>
  <c r="G7507" i="1"/>
  <c r="F7507" i="1"/>
  <c r="H7506" i="1"/>
  <c r="G7506" i="1"/>
  <c r="F7506" i="1"/>
  <c r="H7505" i="1"/>
  <c r="G7505" i="1"/>
  <c r="F7505" i="1"/>
  <c r="H7504" i="1"/>
  <c r="G7504" i="1"/>
  <c r="F7504" i="1"/>
  <c r="H7503" i="1"/>
  <c r="G7503" i="1"/>
  <c r="F7503" i="1"/>
  <c r="H7502" i="1"/>
  <c r="G7502" i="1"/>
  <c r="F7502" i="1"/>
  <c r="H7501" i="1"/>
  <c r="G7501" i="1"/>
  <c r="F7501" i="1"/>
  <c r="H7500" i="1"/>
  <c r="G7500" i="1"/>
  <c r="F7500" i="1"/>
  <c r="H7499" i="1"/>
  <c r="G7499" i="1"/>
  <c r="F7499" i="1"/>
  <c r="H7498" i="1"/>
  <c r="G7498" i="1"/>
  <c r="F7498" i="1"/>
  <c r="H7497" i="1"/>
  <c r="G7497" i="1"/>
  <c r="F7497" i="1"/>
  <c r="H7496" i="1"/>
  <c r="G7496" i="1"/>
  <c r="F7496" i="1"/>
  <c r="H7495" i="1"/>
  <c r="G7495" i="1"/>
  <c r="F7495" i="1"/>
  <c r="H7494" i="1"/>
  <c r="G7494" i="1"/>
  <c r="F7494" i="1"/>
  <c r="H7493" i="1"/>
  <c r="G7493" i="1"/>
  <c r="F7493" i="1"/>
  <c r="H7492" i="1"/>
  <c r="G7492" i="1"/>
  <c r="F7492" i="1"/>
  <c r="H7491" i="1"/>
  <c r="G7491" i="1"/>
  <c r="F7491" i="1"/>
  <c r="H7490" i="1"/>
  <c r="G7490" i="1"/>
  <c r="F7490" i="1"/>
  <c r="H7489" i="1"/>
  <c r="G7489" i="1"/>
  <c r="F7489" i="1"/>
  <c r="H7488" i="1"/>
  <c r="G7488" i="1"/>
  <c r="F7488" i="1"/>
  <c r="H7487" i="1"/>
  <c r="G7487" i="1"/>
  <c r="F7487" i="1"/>
  <c r="H7486" i="1"/>
  <c r="G7486" i="1"/>
  <c r="F7486" i="1"/>
  <c r="H7485" i="1"/>
  <c r="G7485" i="1"/>
  <c r="F7485" i="1"/>
  <c r="H7484" i="1"/>
  <c r="G7484" i="1"/>
  <c r="F7484" i="1"/>
  <c r="H7483" i="1"/>
  <c r="G7483" i="1"/>
  <c r="F7483" i="1"/>
  <c r="H7482" i="1"/>
  <c r="G7482" i="1"/>
  <c r="F7482" i="1"/>
  <c r="H7481" i="1"/>
  <c r="G7481" i="1"/>
  <c r="F7481" i="1"/>
  <c r="H7480" i="1"/>
  <c r="G7480" i="1"/>
  <c r="F7480" i="1"/>
  <c r="H7479" i="1"/>
  <c r="G7479" i="1"/>
  <c r="F7479" i="1"/>
  <c r="H7478" i="1"/>
  <c r="G7478" i="1"/>
  <c r="F7478" i="1"/>
  <c r="H7477" i="1"/>
  <c r="G7477" i="1"/>
  <c r="F7477" i="1"/>
  <c r="H7476" i="1"/>
  <c r="G7476" i="1"/>
  <c r="F7476" i="1"/>
  <c r="H7475" i="1"/>
  <c r="G7475" i="1"/>
  <c r="F7475" i="1"/>
  <c r="H7474" i="1"/>
  <c r="G7474" i="1"/>
  <c r="F7474" i="1"/>
  <c r="H7473" i="1"/>
  <c r="G7473" i="1"/>
  <c r="F7473" i="1"/>
  <c r="H7472" i="1"/>
  <c r="G7472" i="1"/>
  <c r="F7472" i="1"/>
  <c r="H7471" i="1"/>
  <c r="G7471" i="1"/>
  <c r="F7471" i="1"/>
  <c r="H7470" i="1"/>
  <c r="G7470" i="1"/>
  <c r="F7470" i="1"/>
  <c r="H7469" i="1"/>
  <c r="G7469" i="1"/>
  <c r="F7469" i="1"/>
  <c r="H7468" i="1"/>
  <c r="G7468" i="1"/>
  <c r="F7468" i="1"/>
  <c r="H7467" i="1"/>
  <c r="G7467" i="1"/>
  <c r="F7467" i="1"/>
  <c r="H7466" i="1"/>
  <c r="G7466" i="1"/>
  <c r="F7466" i="1"/>
  <c r="H7465" i="1"/>
  <c r="G7465" i="1"/>
  <c r="F7465" i="1"/>
  <c r="H7464" i="1"/>
  <c r="G7464" i="1"/>
  <c r="F7464" i="1"/>
  <c r="H7463" i="1"/>
  <c r="G7463" i="1"/>
  <c r="F7463" i="1"/>
  <c r="H7462" i="1"/>
  <c r="G7462" i="1"/>
  <c r="F7462" i="1"/>
  <c r="H7461" i="1"/>
  <c r="G7461" i="1"/>
  <c r="F7461" i="1"/>
  <c r="H7460" i="1"/>
  <c r="G7460" i="1"/>
  <c r="F7460" i="1"/>
  <c r="H7459" i="1"/>
  <c r="G7459" i="1"/>
  <c r="F7459" i="1"/>
  <c r="H7458" i="1"/>
  <c r="G7458" i="1"/>
  <c r="F7458" i="1"/>
  <c r="H7457" i="1"/>
  <c r="G7457" i="1"/>
  <c r="F7457" i="1"/>
  <c r="H7456" i="1"/>
  <c r="G7456" i="1"/>
  <c r="F7456" i="1"/>
  <c r="H7455" i="1"/>
  <c r="G7455" i="1"/>
  <c r="F7455" i="1"/>
  <c r="H7454" i="1"/>
  <c r="G7454" i="1"/>
  <c r="F7454" i="1"/>
  <c r="H7453" i="1"/>
  <c r="G7453" i="1"/>
  <c r="F7453" i="1"/>
  <c r="H7452" i="1"/>
  <c r="G7452" i="1"/>
  <c r="F7452" i="1"/>
  <c r="H7451" i="1"/>
  <c r="G7451" i="1"/>
  <c r="F7451" i="1"/>
  <c r="H7450" i="1"/>
  <c r="G7450" i="1"/>
  <c r="F7450" i="1"/>
  <c r="H7449" i="1"/>
  <c r="G7449" i="1"/>
  <c r="F7449" i="1"/>
  <c r="H7448" i="1"/>
  <c r="G7448" i="1"/>
  <c r="F7448" i="1"/>
  <c r="H7447" i="1"/>
  <c r="G7447" i="1"/>
  <c r="F7447" i="1"/>
  <c r="H7446" i="1"/>
  <c r="G7446" i="1"/>
  <c r="F7446" i="1"/>
  <c r="H7445" i="1"/>
  <c r="G7445" i="1"/>
  <c r="F7445" i="1"/>
  <c r="H7444" i="1"/>
  <c r="G7444" i="1"/>
  <c r="F7444" i="1"/>
  <c r="H7443" i="1"/>
  <c r="G7443" i="1"/>
  <c r="F7443" i="1"/>
  <c r="H7442" i="1"/>
  <c r="G7442" i="1"/>
  <c r="F7442" i="1"/>
  <c r="H7441" i="1"/>
  <c r="G7441" i="1"/>
  <c r="F7441" i="1"/>
  <c r="H7440" i="1"/>
  <c r="G7440" i="1"/>
  <c r="F7440" i="1"/>
  <c r="H7439" i="1"/>
  <c r="G7439" i="1"/>
  <c r="F7439" i="1"/>
  <c r="H7438" i="1"/>
  <c r="G7438" i="1"/>
  <c r="F7438" i="1"/>
  <c r="H7437" i="1"/>
  <c r="G7437" i="1"/>
  <c r="F7437" i="1"/>
  <c r="H7436" i="1"/>
  <c r="G7436" i="1"/>
  <c r="F7436" i="1"/>
  <c r="H7435" i="1"/>
  <c r="G7435" i="1"/>
  <c r="F7435" i="1"/>
  <c r="H7434" i="1"/>
  <c r="G7434" i="1"/>
  <c r="F7434" i="1"/>
  <c r="H7433" i="1"/>
  <c r="G7433" i="1"/>
  <c r="F7433" i="1"/>
  <c r="H7432" i="1"/>
  <c r="G7432" i="1"/>
  <c r="F7432" i="1"/>
  <c r="H7431" i="1"/>
  <c r="G7431" i="1"/>
  <c r="F7431" i="1"/>
  <c r="H7430" i="1"/>
  <c r="G7430" i="1"/>
  <c r="F7430" i="1"/>
  <c r="H7429" i="1"/>
  <c r="G7429" i="1"/>
  <c r="F7429" i="1"/>
  <c r="H7428" i="1"/>
  <c r="G7428" i="1"/>
  <c r="F7428" i="1"/>
  <c r="H7427" i="1"/>
  <c r="G7427" i="1"/>
  <c r="F7427" i="1"/>
  <c r="H7426" i="1"/>
  <c r="G7426" i="1"/>
  <c r="F7426" i="1"/>
  <c r="H7425" i="1"/>
  <c r="G7425" i="1"/>
  <c r="F7425" i="1"/>
  <c r="H7424" i="1"/>
  <c r="G7424" i="1"/>
  <c r="F7424" i="1"/>
  <c r="H7423" i="1"/>
  <c r="G7423" i="1"/>
  <c r="F7423" i="1"/>
  <c r="H7422" i="1"/>
  <c r="G7422" i="1"/>
  <c r="F7422" i="1"/>
  <c r="H7421" i="1"/>
  <c r="G7421" i="1"/>
  <c r="F7421" i="1"/>
  <c r="H7420" i="1"/>
  <c r="G7420" i="1"/>
  <c r="F7420" i="1"/>
  <c r="H7419" i="1"/>
  <c r="G7419" i="1"/>
  <c r="F7419" i="1"/>
  <c r="H7418" i="1"/>
  <c r="G7418" i="1"/>
  <c r="F7418" i="1"/>
  <c r="H7417" i="1"/>
  <c r="G7417" i="1"/>
  <c r="F7417" i="1"/>
  <c r="H7416" i="1"/>
  <c r="G7416" i="1"/>
  <c r="F7416" i="1"/>
  <c r="H7415" i="1"/>
  <c r="G7415" i="1"/>
  <c r="F7415" i="1"/>
  <c r="H7414" i="1"/>
  <c r="G7414" i="1"/>
  <c r="F7414" i="1"/>
  <c r="H7413" i="1"/>
  <c r="G7413" i="1"/>
  <c r="F7413" i="1"/>
  <c r="H7412" i="1"/>
  <c r="G7412" i="1"/>
  <c r="F7412" i="1"/>
  <c r="H7411" i="1"/>
  <c r="G7411" i="1"/>
  <c r="F7411" i="1"/>
  <c r="H7410" i="1"/>
  <c r="G7410" i="1"/>
  <c r="F7410" i="1"/>
  <c r="H7409" i="1"/>
  <c r="G7409" i="1"/>
  <c r="F7409" i="1"/>
  <c r="H7408" i="1"/>
  <c r="G7408" i="1"/>
  <c r="F7408" i="1"/>
  <c r="H7407" i="1"/>
  <c r="G7407" i="1"/>
  <c r="F7407" i="1"/>
  <c r="H7406" i="1"/>
  <c r="G7406" i="1"/>
  <c r="F7406" i="1"/>
  <c r="H7405" i="1"/>
  <c r="G7405" i="1"/>
  <c r="F7405" i="1"/>
  <c r="H7404" i="1"/>
  <c r="G7404" i="1"/>
  <c r="F7404" i="1"/>
  <c r="H7403" i="1"/>
  <c r="G7403" i="1"/>
  <c r="F7403" i="1"/>
  <c r="H7402" i="1"/>
  <c r="G7402" i="1"/>
  <c r="F7402" i="1"/>
  <c r="H7401" i="1"/>
  <c r="G7401" i="1"/>
  <c r="F7401" i="1"/>
  <c r="H7400" i="1"/>
  <c r="G7400" i="1"/>
  <c r="F7400" i="1"/>
  <c r="H7399" i="1"/>
  <c r="G7399" i="1"/>
  <c r="F7399" i="1"/>
  <c r="H7398" i="1"/>
  <c r="G7398" i="1"/>
  <c r="F7398" i="1"/>
  <c r="H7397" i="1"/>
  <c r="G7397" i="1"/>
  <c r="F7397" i="1"/>
  <c r="H7396" i="1"/>
  <c r="G7396" i="1"/>
  <c r="F7396" i="1"/>
  <c r="H7395" i="1"/>
  <c r="G7395" i="1"/>
  <c r="F7395" i="1"/>
  <c r="H7394" i="1"/>
  <c r="G7394" i="1"/>
  <c r="F7394" i="1"/>
  <c r="H7393" i="1"/>
  <c r="G7393" i="1"/>
  <c r="F7393" i="1"/>
  <c r="H7392" i="1"/>
  <c r="G7392" i="1"/>
  <c r="F7392" i="1"/>
  <c r="H7391" i="1"/>
  <c r="G7391" i="1"/>
  <c r="F7391" i="1"/>
  <c r="H7390" i="1"/>
  <c r="G7390" i="1"/>
  <c r="F7390" i="1"/>
  <c r="H7389" i="1"/>
  <c r="G7389" i="1"/>
  <c r="F7389" i="1"/>
  <c r="H7388" i="1"/>
  <c r="G7388" i="1"/>
  <c r="F7388" i="1"/>
  <c r="H7387" i="1"/>
  <c r="G7387" i="1"/>
  <c r="F7387" i="1"/>
  <c r="H7386" i="1"/>
  <c r="G7386" i="1"/>
  <c r="F7386" i="1"/>
  <c r="H7385" i="1"/>
  <c r="G7385" i="1"/>
  <c r="F7385" i="1"/>
  <c r="H7384" i="1"/>
  <c r="G7384" i="1"/>
  <c r="F7384" i="1"/>
  <c r="H7383" i="1"/>
  <c r="G7383" i="1"/>
  <c r="F7383" i="1"/>
  <c r="H7382" i="1"/>
  <c r="G7382" i="1"/>
  <c r="F7382" i="1"/>
  <c r="H7381" i="1"/>
  <c r="G7381" i="1"/>
  <c r="F7381" i="1"/>
  <c r="H7380" i="1"/>
  <c r="G7380" i="1"/>
  <c r="F7380" i="1"/>
  <c r="H7379" i="1"/>
  <c r="G7379" i="1"/>
  <c r="F7379" i="1"/>
  <c r="H7378" i="1"/>
  <c r="G7378" i="1"/>
  <c r="F7378" i="1"/>
  <c r="H7377" i="1"/>
  <c r="G7377" i="1"/>
  <c r="F7377" i="1"/>
  <c r="H7376" i="1"/>
  <c r="G7376" i="1"/>
  <c r="F7376" i="1"/>
  <c r="H7375" i="1"/>
  <c r="G7375" i="1"/>
  <c r="F7375" i="1"/>
  <c r="H7374" i="1"/>
  <c r="G7374" i="1"/>
  <c r="F7374" i="1"/>
  <c r="H7373" i="1"/>
  <c r="G7373" i="1"/>
  <c r="F7373" i="1"/>
  <c r="H7372" i="1"/>
  <c r="G7372" i="1"/>
  <c r="F7372" i="1"/>
  <c r="H7371" i="1"/>
  <c r="G7371" i="1"/>
  <c r="F7371" i="1"/>
  <c r="H7370" i="1"/>
  <c r="G7370" i="1"/>
  <c r="F7370" i="1"/>
  <c r="H7369" i="1"/>
  <c r="G7369" i="1"/>
  <c r="F7369" i="1"/>
  <c r="H7368" i="1"/>
  <c r="G7368" i="1"/>
  <c r="F7368" i="1"/>
  <c r="H7367" i="1"/>
  <c r="G7367" i="1"/>
  <c r="F7367" i="1"/>
  <c r="H7366" i="1"/>
  <c r="G7366" i="1"/>
  <c r="F7366" i="1"/>
  <c r="H7365" i="1"/>
  <c r="G7365" i="1"/>
  <c r="F7365" i="1"/>
  <c r="H7364" i="1"/>
  <c r="G7364" i="1"/>
  <c r="F7364" i="1"/>
  <c r="H7363" i="1"/>
  <c r="G7363" i="1"/>
  <c r="F7363" i="1"/>
  <c r="H7362" i="1"/>
  <c r="G7362" i="1"/>
  <c r="F7362" i="1"/>
  <c r="H7361" i="1"/>
  <c r="G7361" i="1"/>
  <c r="F7361" i="1"/>
  <c r="H7360" i="1"/>
  <c r="G7360" i="1"/>
  <c r="F7360" i="1"/>
  <c r="H7359" i="1"/>
  <c r="G7359" i="1"/>
  <c r="F7359" i="1"/>
  <c r="H7358" i="1"/>
  <c r="G7358" i="1"/>
  <c r="F7358" i="1"/>
  <c r="H7357" i="1"/>
  <c r="G7357" i="1"/>
  <c r="F7357" i="1"/>
  <c r="H7356" i="1"/>
  <c r="G7356" i="1"/>
  <c r="F7356" i="1"/>
  <c r="H7355" i="1"/>
  <c r="G7355" i="1"/>
  <c r="F7355" i="1"/>
  <c r="H7354" i="1"/>
  <c r="G7354" i="1"/>
  <c r="F7354" i="1"/>
  <c r="H7353" i="1"/>
  <c r="G7353" i="1"/>
  <c r="F7353" i="1"/>
  <c r="H7352" i="1"/>
  <c r="G7352" i="1"/>
  <c r="F7352" i="1"/>
  <c r="H7351" i="1"/>
  <c r="G7351" i="1"/>
  <c r="F7351" i="1"/>
  <c r="H7350" i="1"/>
  <c r="G7350" i="1"/>
  <c r="F7350" i="1"/>
  <c r="H7349" i="1"/>
  <c r="G7349" i="1"/>
  <c r="F7349" i="1"/>
  <c r="H7348" i="1"/>
  <c r="G7348" i="1"/>
  <c r="F7348" i="1"/>
  <c r="H7347" i="1"/>
  <c r="G7347" i="1"/>
  <c r="F7347" i="1"/>
  <c r="H7346" i="1"/>
  <c r="G7346" i="1"/>
  <c r="F7346" i="1"/>
  <c r="H7345" i="1"/>
  <c r="G7345" i="1"/>
  <c r="F7345" i="1"/>
  <c r="H7344" i="1"/>
  <c r="G7344" i="1"/>
  <c r="F7344" i="1"/>
  <c r="H7343" i="1"/>
  <c r="G7343" i="1"/>
  <c r="F7343" i="1"/>
  <c r="H7342" i="1"/>
  <c r="G7342" i="1"/>
  <c r="F7342" i="1"/>
  <c r="H7341" i="1"/>
  <c r="G7341" i="1"/>
  <c r="F7341" i="1"/>
  <c r="H7340" i="1"/>
  <c r="G7340" i="1"/>
  <c r="F7340" i="1"/>
  <c r="H7339" i="1"/>
  <c r="G7339" i="1"/>
  <c r="F7339" i="1"/>
  <c r="H7338" i="1"/>
  <c r="G7338" i="1"/>
  <c r="F7338" i="1"/>
  <c r="H7337" i="1"/>
  <c r="G7337" i="1"/>
  <c r="F7337" i="1"/>
  <c r="H7336" i="1"/>
  <c r="G7336" i="1"/>
  <c r="F7336" i="1"/>
  <c r="H7335" i="1"/>
  <c r="G7335" i="1"/>
  <c r="F7335" i="1"/>
  <c r="H7334" i="1"/>
  <c r="G7334" i="1"/>
  <c r="F7334" i="1"/>
  <c r="H7333" i="1"/>
  <c r="G7333" i="1"/>
  <c r="F7333" i="1"/>
  <c r="H7332" i="1"/>
  <c r="G7332" i="1"/>
  <c r="F7332" i="1"/>
  <c r="H7331" i="1"/>
  <c r="G7331" i="1"/>
  <c r="F7331" i="1"/>
  <c r="H7330" i="1"/>
  <c r="G7330" i="1"/>
  <c r="F7330" i="1"/>
  <c r="H7329" i="1"/>
  <c r="G7329" i="1"/>
  <c r="F7329" i="1"/>
  <c r="H7328" i="1"/>
  <c r="G7328" i="1"/>
  <c r="F7328" i="1"/>
  <c r="H7327" i="1"/>
  <c r="G7327" i="1"/>
  <c r="F7327" i="1"/>
  <c r="H7326" i="1"/>
  <c r="G7326" i="1"/>
  <c r="F7326" i="1"/>
  <c r="H7325" i="1"/>
  <c r="G7325" i="1"/>
  <c r="F7325" i="1"/>
  <c r="H7324" i="1"/>
  <c r="G7324" i="1"/>
  <c r="F7324" i="1"/>
  <c r="H7323" i="1"/>
  <c r="G7323" i="1"/>
  <c r="F7323" i="1"/>
  <c r="H7322" i="1"/>
  <c r="G7322" i="1"/>
  <c r="F7322" i="1"/>
  <c r="H7321" i="1"/>
  <c r="G7321" i="1"/>
  <c r="F7321" i="1"/>
  <c r="H7320" i="1"/>
  <c r="G7320" i="1"/>
  <c r="F7320" i="1"/>
  <c r="H7319" i="1"/>
  <c r="G7319" i="1"/>
  <c r="F7319" i="1"/>
  <c r="H7318" i="1"/>
  <c r="G7318" i="1"/>
  <c r="F7318" i="1"/>
  <c r="H7317" i="1"/>
  <c r="G7317" i="1"/>
  <c r="F7317" i="1"/>
  <c r="H7316" i="1"/>
  <c r="G7316" i="1"/>
  <c r="F7316" i="1"/>
  <c r="H7315" i="1"/>
  <c r="G7315" i="1"/>
  <c r="F7315" i="1"/>
  <c r="H7314" i="1"/>
  <c r="G7314" i="1"/>
  <c r="F7314" i="1"/>
  <c r="H7313" i="1"/>
  <c r="G7313" i="1"/>
  <c r="F7313" i="1"/>
  <c r="H7312" i="1"/>
  <c r="G7312" i="1"/>
  <c r="F7312" i="1"/>
  <c r="H7311" i="1"/>
  <c r="G7311" i="1"/>
  <c r="F7311" i="1"/>
  <c r="H7310" i="1"/>
  <c r="G7310" i="1"/>
  <c r="F7310" i="1"/>
  <c r="H7309" i="1"/>
  <c r="G7309" i="1"/>
  <c r="F7309" i="1"/>
  <c r="H7308" i="1"/>
  <c r="G7308" i="1"/>
  <c r="F7308" i="1"/>
  <c r="H7307" i="1"/>
  <c r="G7307" i="1"/>
  <c r="F7307" i="1"/>
  <c r="H7306" i="1"/>
  <c r="G7306" i="1"/>
  <c r="F7306" i="1"/>
  <c r="H7305" i="1"/>
  <c r="G7305" i="1"/>
  <c r="F7305" i="1"/>
  <c r="H7304" i="1"/>
  <c r="G7304" i="1"/>
  <c r="F7304" i="1"/>
  <c r="H7303" i="1"/>
  <c r="G7303" i="1"/>
  <c r="F7303" i="1"/>
  <c r="H7302" i="1"/>
  <c r="G7302" i="1"/>
  <c r="F7302" i="1"/>
  <c r="H7301" i="1"/>
  <c r="G7301" i="1"/>
  <c r="F7301" i="1"/>
  <c r="H7300" i="1"/>
  <c r="G7300" i="1"/>
  <c r="F7300" i="1"/>
  <c r="H7299" i="1"/>
  <c r="G7299" i="1"/>
  <c r="F7299" i="1"/>
  <c r="H7298" i="1"/>
  <c r="G7298" i="1"/>
  <c r="F7298" i="1"/>
  <c r="H7297" i="1"/>
  <c r="G7297" i="1"/>
  <c r="F7297" i="1"/>
  <c r="H7296" i="1"/>
  <c r="G7296" i="1"/>
  <c r="F7296" i="1"/>
  <c r="H7295" i="1"/>
  <c r="G7295" i="1"/>
  <c r="F7295" i="1"/>
  <c r="H7294" i="1"/>
  <c r="G7294" i="1"/>
  <c r="F7294" i="1"/>
  <c r="H7293" i="1"/>
  <c r="G7293" i="1"/>
  <c r="F7293" i="1"/>
  <c r="H7292" i="1"/>
  <c r="G7292" i="1"/>
  <c r="F7292" i="1"/>
  <c r="H7291" i="1"/>
  <c r="G7291" i="1"/>
  <c r="F7291" i="1"/>
  <c r="H7290" i="1"/>
  <c r="G7290" i="1"/>
  <c r="F7290" i="1"/>
  <c r="H7289" i="1"/>
  <c r="G7289" i="1"/>
  <c r="F7289" i="1"/>
  <c r="H7288" i="1"/>
  <c r="G7288" i="1"/>
  <c r="F7288" i="1"/>
  <c r="H7287" i="1"/>
  <c r="G7287" i="1"/>
  <c r="F7287" i="1"/>
  <c r="H7286" i="1"/>
  <c r="G7286" i="1"/>
  <c r="F7286" i="1"/>
  <c r="H7285" i="1"/>
  <c r="G7285" i="1"/>
  <c r="F7285" i="1"/>
  <c r="H7284" i="1"/>
  <c r="G7284" i="1"/>
  <c r="F7284" i="1"/>
  <c r="H7283" i="1"/>
  <c r="G7283" i="1"/>
  <c r="F7283" i="1"/>
  <c r="H7282" i="1"/>
  <c r="G7282" i="1"/>
  <c r="F7282" i="1"/>
  <c r="H7281" i="1"/>
  <c r="G7281" i="1"/>
  <c r="F7281" i="1"/>
  <c r="H7280" i="1"/>
  <c r="G7280" i="1"/>
  <c r="F7280" i="1"/>
  <c r="H7279" i="1"/>
  <c r="G7279" i="1"/>
  <c r="F7279" i="1"/>
  <c r="H7278" i="1"/>
  <c r="G7278" i="1"/>
  <c r="F7278" i="1"/>
  <c r="H7277" i="1"/>
  <c r="G7277" i="1"/>
  <c r="F7277" i="1"/>
  <c r="H7276" i="1"/>
  <c r="G7276" i="1"/>
  <c r="F7276" i="1"/>
  <c r="H7275" i="1"/>
  <c r="G7275" i="1"/>
  <c r="F7275" i="1"/>
  <c r="H7274" i="1"/>
  <c r="G7274" i="1"/>
  <c r="F7274" i="1"/>
  <c r="H7273" i="1"/>
  <c r="G7273" i="1"/>
  <c r="F7273" i="1"/>
  <c r="H7272" i="1"/>
  <c r="G7272" i="1"/>
  <c r="F7272" i="1"/>
  <c r="H7271" i="1"/>
  <c r="G7271" i="1"/>
  <c r="F7271" i="1"/>
  <c r="H7270" i="1"/>
  <c r="G7270" i="1"/>
  <c r="F7270" i="1"/>
  <c r="H7269" i="1"/>
  <c r="G7269" i="1"/>
  <c r="F7269" i="1"/>
  <c r="H7268" i="1"/>
  <c r="G7268" i="1"/>
  <c r="F7268" i="1"/>
  <c r="H7267" i="1"/>
  <c r="G7267" i="1"/>
  <c r="F7267" i="1"/>
  <c r="H7266" i="1"/>
  <c r="G7266" i="1"/>
  <c r="F7266" i="1"/>
  <c r="H7265" i="1"/>
  <c r="G7265" i="1"/>
  <c r="F7265" i="1"/>
  <c r="H7264" i="1"/>
  <c r="G7264" i="1"/>
  <c r="F7264" i="1"/>
  <c r="H7263" i="1"/>
  <c r="G7263" i="1"/>
  <c r="F7263" i="1"/>
  <c r="H7262" i="1"/>
  <c r="G7262" i="1"/>
  <c r="F7262" i="1"/>
  <c r="H7261" i="1"/>
  <c r="G7261" i="1"/>
  <c r="F7261" i="1"/>
  <c r="H7260" i="1"/>
  <c r="G7260" i="1"/>
  <c r="F7260" i="1"/>
  <c r="H7259" i="1"/>
  <c r="G7259" i="1"/>
  <c r="F7259" i="1"/>
  <c r="H7258" i="1"/>
  <c r="G7258" i="1"/>
  <c r="F7258" i="1"/>
  <c r="H7257" i="1"/>
  <c r="G7257" i="1"/>
  <c r="F7257" i="1"/>
  <c r="H7256" i="1"/>
  <c r="G7256" i="1"/>
  <c r="F7256" i="1"/>
  <c r="H7255" i="1"/>
  <c r="G7255" i="1"/>
  <c r="F7255" i="1"/>
  <c r="H7254" i="1"/>
  <c r="G7254" i="1"/>
  <c r="F7254" i="1"/>
  <c r="H7253" i="1"/>
  <c r="G7253" i="1"/>
  <c r="F7253" i="1"/>
  <c r="H7252" i="1"/>
  <c r="G7252" i="1"/>
  <c r="F7252" i="1"/>
  <c r="H7251" i="1"/>
  <c r="G7251" i="1"/>
  <c r="F7251" i="1"/>
  <c r="H7250" i="1"/>
  <c r="G7250" i="1"/>
  <c r="F7250" i="1"/>
  <c r="H7249" i="1"/>
  <c r="G7249" i="1"/>
  <c r="F7249" i="1"/>
  <c r="H7248" i="1"/>
  <c r="G7248" i="1"/>
  <c r="F7248" i="1"/>
  <c r="H7247" i="1"/>
  <c r="G7247" i="1"/>
  <c r="F7247" i="1"/>
  <c r="H7246" i="1"/>
  <c r="G7246" i="1"/>
  <c r="F7246" i="1"/>
  <c r="H7245" i="1"/>
  <c r="G7245" i="1"/>
  <c r="F7245" i="1"/>
  <c r="H7244" i="1"/>
  <c r="G7244" i="1"/>
  <c r="F7244" i="1"/>
  <c r="H7243" i="1"/>
  <c r="G7243" i="1"/>
  <c r="F7243" i="1"/>
  <c r="H7242" i="1"/>
  <c r="G7242" i="1"/>
  <c r="F7242" i="1"/>
  <c r="H7241" i="1"/>
  <c r="G7241" i="1"/>
  <c r="F7241" i="1"/>
  <c r="H7240" i="1"/>
  <c r="G7240" i="1"/>
  <c r="F7240" i="1"/>
  <c r="H7239" i="1"/>
  <c r="G7239" i="1"/>
  <c r="F7239" i="1"/>
  <c r="H7238" i="1"/>
  <c r="G7238" i="1"/>
  <c r="F7238" i="1"/>
  <c r="H7237" i="1"/>
  <c r="G7237" i="1"/>
  <c r="F7237" i="1"/>
  <c r="H7236" i="1"/>
  <c r="G7236" i="1"/>
  <c r="F7236" i="1"/>
  <c r="H7235" i="1"/>
  <c r="G7235" i="1"/>
  <c r="F7235" i="1"/>
  <c r="H7234" i="1"/>
  <c r="G7234" i="1"/>
  <c r="F7234" i="1"/>
  <c r="H7233" i="1"/>
  <c r="G7233" i="1"/>
  <c r="F7233" i="1"/>
  <c r="H7232" i="1"/>
  <c r="G7232" i="1"/>
  <c r="F7232" i="1"/>
  <c r="H7231" i="1"/>
  <c r="G7231" i="1"/>
  <c r="F7231" i="1"/>
  <c r="H7230" i="1"/>
  <c r="G7230" i="1"/>
  <c r="F7230" i="1"/>
  <c r="H7229" i="1"/>
  <c r="G7229" i="1"/>
  <c r="F7229" i="1"/>
  <c r="H7228" i="1"/>
  <c r="G7228" i="1"/>
  <c r="F7228" i="1"/>
  <c r="H7227" i="1"/>
  <c r="G7227" i="1"/>
  <c r="F7227" i="1"/>
  <c r="H7226" i="1"/>
  <c r="G7226" i="1"/>
  <c r="F7226" i="1"/>
  <c r="H7225" i="1"/>
  <c r="G7225" i="1"/>
  <c r="F7225" i="1"/>
  <c r="H7224" i="1"/>
  <c r="G7224" i="1"/>
  <c r="F7224" i="1"/>
  <c r="H7223" i="1"/>
  <c r="G7223" i="1"/>
  <c r="F7223" i="1"/>
  <c r="H7222" i="1"/>
  <c r="G7222" i="1"/>
  <c r="F7222" i="1"/>
  <c r="H7221" i="1"/>
  <c r="G7221" i="1"/>
  <c r="F7221" i="1"/>
  <c r="H7220" i="1"/>
  <c r="G7220" i="1"/>
  <c r="F7220" i="1"/>
  <c r="H7219" i="1"/>
  <c r="G7219" i="1"/>
  <c r="F7219" i="1"/>
  <c r="H7218" i="1"/>
  <c r="G7218" i="1"/>
  <c r="F7218" i="1"/>
  <c r="H7217" i="1"/>
  <c r="G7217" i="1"/>
  <c r="F7217" i="1"/>
  <c r="H7216" i="1"/>
  <c r="G7216" i="1"/>
  <c r="F7216" i="1"/>
  <c r="H7215" i="1"/>
  <c r="G7215" i="1"/>
  <c r="F7215" i="1"/>
  <c r="H7214" i="1"/>
  <c r="G7214" i="1"/>
  <c r="F7214" i="1"/>
  <c r="H7213" i="1"/>
  <c r="G7213" i="1"/>
  <c r="F7213" i="1"/>
  <c r="H7212" i="1"/>
  <c r="G7212" i="1"/>
  <c r="F7212" i="1"/>
  <c r="H7211" i="1"/>
  <c r="G7211" i="1"/>
  <c r="F7211" i="1"/>
  <c r="H7210" i="1"/>
  <c r="G7210" i="1"/>
  <c r="F7210" i="1"/>
  <c r="H7209" i="1"/>
  <c r="G7209" i="1"/>
  <c r="F7209" i="1"/>
  <c r="H7208" i="1"/>
  <c r="G7208" i="1"/>
  <c r="F7208" i="1"/>
  <c r="H7207" i="1"/>
  <c r="G7207" i="1"/>
  <c r="F7207" i="1"/>
  <c r="H7206" i="1"/>
  <c r="G7206" i="1"/>
  <c r="F7206" i="1"/>
  <c r="H7205" i="1"/>
  <c r="G7205" i="1"/>
  <c r="F7205" i="1"/>
  <c r="H7204" i="1"/>
  <c r="G7204" i="1"/>
  <c r="F7204" i="1"/>
  <c r="H7203" i="1"/>
  <c r="G7203" i="1"/>
  <c r="F7203" i="1"/>
  <c r="H7202" i="1"/>
  <c r="G7202" i="1"/>
  <c r="F7202" i="1"/>
  <c r="H7201" i="1"/>
  <c r="G7201" i="1"/>
  <c r="F7201" i="1"/>
  <c r="H7200" i="1"/>
  <c r="G7200" i="1"/>
  <c r="F7200" i="1"/>
  <c r="H7199" i="1"/>
  <c r="G7199" i="1"/>
  <c r="F7199" i="1"/>
  <c r="H7198" i="1"/>
  <c r="G7198" i="1"/>
  <c r="F7198" i="1"/>
  <c r="H7197" i="1"/>
  <c r="G7197" i="1"/>
  <c r="F7197" i="1"/>
  <c r="H7196" i="1"/>
  <c r="G7196" i="1"/>
  <c r="F7196" i="1"/>
  <c r="H7195" i="1"/>
  <c r="G7195" i="1"/>
  <c r="F7195" i="1"/>
  <c r="H7194" i="1"/>
  <c r="G7194" i="1"/>
  <c r="F7194" i="1"/>
  <c r="H7193" i="1"/>
  <c r="G7193" i="1"/>
  <c r="F7193" i="1"/>
  <c r="H7192" i="1"/>
  <c r="G7192" i="1"/>
  <c r="F7192" i="1"/>
  <c r="H7191" i="1"/>
  <c r="G7191" i="1"/>
  <c r="F7191" i="1"/>
  <c r="H7190" i="1"/>
  <c r="G7190" i="1"/>
  <c r="F7190" i="1"/>
  <c r="H7189" i="1"/>
  <c r="G7189" i="1"/>
  <c r="F7189" i="1"/>
  <c r="H7188" i="1"/>
  <c r="G7188" i="1"/>
  <c r="F7188" i="1"/>
  <c r="H7187" i="1"/>
  <c r="G7187" i="1"/>
  <c r="F7187" i="1"/>
  <c r="H7186" i="1"/>
  <c r="G7186" i="1"/>
  <c r="F7186" i="1"/>
  <c r="H7185" i="1"/>
  <c r="G7185" i="1"/>
  <c r="F7185" i="1"/>
  <c r="H7184" i="1"/>
  <c r="G7184" i="1"/>
  <c r="F7184" i="1"/>
  <c r="H7183" i="1"/>
  <c r="G7183" i="1"/>
  <c r="F7183" i="1"/>
  <c r="H7182" i="1"/>
  <c r="G7182" i="1"/>
  <c r="F7182" i="1"/>
  <c r="H7181" i="1"/>
  <c r="G7181" i="1"/>
  <c r="F7181" i="1"/>
  <c r="H7180" i="1"/>
  <c r="G7180" i="1"/>
  <c r="F7180" i="1"/>
  <c r="H7179" i="1"/>
  <c r="G7179" i="1"/>
  <c r="F7179" i="1"/>
  <c r="H7178" i="1"/>
  <c r="G7178" i="1"/>
  <c r="F7178" i="1"/>
  <c r="H7177" i="1"/>
  <c r="G7177" i="1"/>
  <c r="F7177" i="1"/>
  <c r="H7176" i="1"/>
  <c r="G7176" i="1"/>
  <c r="F7176" i="1"/>
  <c r="H7175" i="1"/>
  <c r="G7175" i="1"/>
  <c r="F7175" i="1"/>
  <c r="H7174" i="1"/>
  <c r="G7174" i="1"/>
  <c r="F7174" i="1"/>
  <c r="H7173" i="1"/>
  <c r="G7173" i="1"/>
  <c r="F7173" i="1"/>
  <c r="H7172" i="1"/>
  <c r="G7172" i="1"/>
  <c r="F7172" i="1"/>
  <c r="H7171" i="1"/>
  <c r="G7171" i="1"/>
  <c r="F7171" i="1"/>
  <c r="H7170" i="1"/>
  <c r="G7170" i="1"/>
  <c r="F7170" i="1"/>
  <c r="H7169" i="1"/>
  <c r="G7169" i="1"/>
  <c r="F7169" i="1"/>
  <c r="H7168" i="1"/>
  <c r="G7168" i="1"/>
  <c r="F7168" i="1"/>
  <c r="H7167" i="1"/>
  <c r="G7167" i="1"/>
  <c r="F7167" i="1"/>
  <c r="H7166" i="1"/>
  <c r="G7166" i="1"/>
  <c r="F7166" i="1"/>
  <c r="H7165" i="1"/>
  <c r="G7165" i="1"/>
  <c r="F7165" i="1"/>
  <c r="H7164" i="1"/>
  <c r="G7164" i="1"/>
  <c r="F7164" i="1"/>
  <c r="H7163" i="1"/>
  <c r="G7163" i="1"/>
  <c r="F7163" i="1"/>
  <c r="H7162" i="1"/>
  <c r="G7162" i="1"/>
  <c r="F7162" i="1"/>
  <c r="H7161" i="1"/>
  <c r="G7161" i="1"/>
  <c r="F7161" i="1"/>
  <c r="H7160" i="1"/>
  <c r="G7160" i="1"/>
  <c r="F7160" i="1"/>
  <c r="H7159" i="1"/>
  <c r="G7159" i="1"/>
  <c r="F7159" i="1"/>
  <c r="H7158" i="1"/>
  <c r="G7158" i="1"/>
  <c r="F7158" i="1"/>
  <c r="H7157" i="1"/>
  <c r="G7157" i="1"/>
  <c r="F7157" i="1"/>
  <c r="H7156" i="1"/>
  <c r="G7156" i="1"/>
  <c r="F7156" i="1"/>
  <c r="H7155" i="1"/>
  <c r="G7155" i="1"/>
  <c r="F7155" i="1"/>
  <c r="H7154" i="1"/>
  <c r="G7154" i="1"/>
  <c r="F7154" i="1"/>
  <c r="H7153" i="1"/>
  <c r="G7153" i="1"/>
  <c r="F7153" i="1"/>
  <c r="H7152" i="1"/>
  <c r="G7152" i="1"/>
  <c r="F7152" i="1"/>
  <c r="H7151" i="1"/>
  <c r="G7151" i="1"/>
  <c r="F7151" i="1"/>
  <c r="H7150" i="1"/>
  <c r="G7150" i="1"/>
  <c r="F7150" i="1"/>
  <c r="H7149" i="1"/>
  <c r="G7149" i="1"/>
  <c r="F7149" i="1"/>
  <c r="H7148" i="1"/>
  <c r="G7148" i="1"/>
  <c r="F7148" i="1"/>
  <c r="H7147" i="1"/>
  <c r="G7147" i="1"/>
  <c r="F7147" i="1"/>
  <c r="H7146" i="1"/>
  <c r="G7146" i="1"/>
  <c r="F7146" i="1"/>
  <c r="H7145" i="1"/>
  <c r="G7145" i="1"/>
  <c r="F7145" i="1"/>
  <c r="H7144" i="1"/>
  <c r="G7144" i="1"/>
  <c r="F7144" i="1"/>
  <c r="H7143" i="1"/>
  <c r="G7143" i="1"/>
  <c r="F7143" i="1"/>
  <c r="H7142" i="1"/>
  <c r="G7142" i="1"/>
  <c r="F7142" i="1"/>
  <c r="H7141" i="1"/>
  <c r="G7141" i="1"/>
  <c r="F7141" i="1"/>
  <c r="H7140" i="1"/>
  <c r="G7140" i="1"/>
  <c r="F7140" i="1"/>
  <c r="H7139" i="1"/>
  <c r="G7139" i="1"/>
  <c r="F7139" i="1"/>
  <c r="H7138" i="1"/>
  <c r="G7138" i="1"/>
  <c r="F7138" i="1"/>
  <c r="H7137" i="1"/>
  <c r="G7137" i="1"/>
  <c r="F7137" i="1"/>
  <c r="H7136" i="1"/>
  <c r="G7136" i="1"/>
  <c r="F7136" i="1"/>
  <c r="H7135" i="1"/>
  <c r="G7135" i="1"/>
  <c r="F7135" i="1"/>
  <c r="H7134" i="1"/>
  <c r="G7134" i="1"/>
  <c r="F7134" i="1"/>
  <c r="H7133" i="1"/>
  <c r="G7133" i="1"/>
  <c r="F7133" i="1"/>
  <c r="H7132" i="1"/>
  <c r="G7132" i="1"/>
  <c r="F7132" i="1"/>
  <c r="H7131" i="1"/>
  <c r="G7131" i="1"/>
  <c r="F7131" i="1"/>
  <c r="H7130" i="1"/>
  <c r="G7130" i="1"/>
  <c r="F7130" i="1"/>
  <c r="H7129" i="1"/>
  <c r="G7129" i="1"/>
  <c r="F7129" i="1"/>
  <c r="H7128" i="1"/>
  <c r="G7128" i="1"/>
  <c r="F7128" i="1"/>
  <c r="H7127" i="1"/>
  <c r="G7127" i="1"/>
  <c r="F7127" i="1"/>
  <c r="H7126" i="1"/>
  <c r="G7126" i="1"/>
  <c r="F7126" i="1"/>
  <c r="H7125" i="1"/>
  <c r="G7125" i="1"/>
  <c r="F7125" i="1"/>
  <c r="H7124" i="1"/>
  <c r="G7124" i="1"/>
  <c r="F7124" i="1"/>
  <c r="H7123" i="1"/>
  <c r="G7123" i="1"/>
  <c r="F7123" i="1"/>
  <c r="H7122" i="1"/>
  <c r="G7122" i="1"/>
  <c r="F7122" i="1"/>
  <c r="H7121" i="1"/>
  <c r="G7121" i="1"/>
  <c r="F7121" i="1"/>
  <c r="H7120" i="1"/>
  <c r="G7120" i="1"/>
  <c r="F7120" i="1"/>
  <c r="H7119" i="1"/>
  <c r="G7119" i="1"/>
  <c r="F7119" i="1"/>
  <c r="H7118" i="1"/>
  <c r="G7118" i="1"/>
  <c r="F7118" i="1"/>
  <c r="H7117" i="1"/>
  <c r="G7117" i="1"/>
  <c r="F7117" i="1"/>
  <c r="H7116" i="1"/>
  <c r="G7116" i="1"/>
  <c r="F7116" i="1"/>
  <c r="H7115" i="1"/>
  <c r="G7115" i="1"/>
  <c r="F7115" i="1"/>
  <c r="H7114" i="1"/>
  <c r="G7114" i="1"/>
  <c r="F7114" i="1"/>
  <c r="H7113" i="1"/>
  <c r="G7113" i="1"/>
  <c r="F7113" i="1"/>
  <c r="H7112" i="1"/>
  <c r="G7112" i="1"/>
  <c r="F7112" i="1"/>
  <c r="H7111" i="1"/>
  <c r="G7111" i="1"/>
  <c r="F7111" i="1"/>
  <c r="H7110" i="1"/>
  <c r="G7110" i="1"/>
  <c r="F7110" i="1"/>
  <c r="H7109" i="1"/>
  <c r="G7109" i="1"/>
  <c r="F7109" i="1"/>
  <c r="H7108" i="1"/>
  <c r="G7108" i="1"/>
  <c r="F7108" i="1"/>
  <c r="H7107" i="1"/>
  <c r="G7107" i="1"/>
  <c r="F7107" i="1"/>
  <c r="H7106" i="1"/>
  <c r="G7106" i="1"/>
  <c r="F7106" i="1"/>
  <c r="H7105" i="1"/>
  <c r="G7105" i="1"/>
  <c r="F7105" i="1"/>
  <c r="H7104" i="1"/>
  <c r="G7104" i="1"/>
  <c r="F7104" i="1"/>
  <c r="H7103" i="1"/>
  <c r="G7103" i="1"/>
  <c r="F7103" i="1"/>
  <c r="H7102" i="1"/>
  <c r="G7102" i="1"/>
  <c r="F7102" i="1"/>
  <c r="H7101" i="1"/>
  <c r="G7101" i="1"/>
  <c r="F7101" i="1"/>
  <c r="H7100" i="1"/>
  <c r="G7100" i="1"/>
  <c r="F7100" i="1"/>
  <c r="H7099" i="1"/>
  <c r="G7099" i="1"/>
  <c r="F7099" i="1"/>
  <c r="H7098" i="1"/>
  <c r="G7098" i="1"/>
  <c r="F7098" i="1"/>
  <c r="H7097" i="1"/>
  <c r="G7097" i="1"/>
  <c r="F7097" i="1"/>
  <c r="H7096" i="1"/>
  <c r="G7096" i="1"/>
  <c r="F7096" i="1"/>
  <c r="H7095" i="1"/>
  <c r="G7095" i="1"/>
  <c r="F7095" i="1"/>
  <c r="H7094" i="1"/>
  <c r="G7094" i="1"/>
  <c r="F7094" i="1"/>
  <c r="H7093" i="1"/>
  <c r="G7093" i="1"/>
  <c r="F7093" i="1"/>
  <c r="H7092" i="1"/>
  <c r="G7092" i="1"/>
  <c r="F7092" i="1"/>
  <c r="H7091" i="1"/>
  <c r="G7091" i="1"/>
  <c r="F7091" i="1"/>
  <c r="H7090" i="1"/>
  <c r="G7090" i="1"/>
  <c r="F7090" i="1"/>
  <c r="H7089" i="1"/>
  <c r="G7089" i="1"/>
  <c r="F7089" i="1"/>
  <c r="H7088" i="1"/>
  <c r="G7088" i="1"/>
  <c r="F7088" i="1"/>
  <c r="H7087" i="1"/>
  <c r="G7087" i="1"/>
  <c r="F7087" i="1"/>
  <c r="H7086" i="1"/>
  <c r="G7086" i="1"/>
  <c r="F7086" i="1"/>
  <c r="H7085" i="1"/>
  <c r="G7085" i="1"/>
  <c r="F7085" i="1"/>
  <c r="H7084" i="1"/>
  <c r="G7084" i="1"/>
  <c r="F7084" i="1"/>
  <c r="H7083" i="1"/>
  <c r="G7083" i="1"/>
  <c r="F7083" i="1"/>
  <c r="H7082" i="1"/>
  <c r="G7082" i="1"/>
  <c r="F7082" i="1"/>
  <c r="H7081" i="1"/>
  <c r="G7081" i="1"/>
  <c r="F7081" i="1"/>
  <c r="H7080" i="1"/>
  <c r="G7080" i="1"/>
  <c r="F7080" i="1"/>
  <c r="H7079" i="1"/>
  <c r="G7079" i="1"/>
  <c r="F7079" i="1"/>
  <c r="H7078" i="1"/>
  <c r="G7078" i="1"/>
  <c r="F7078" i="1"/>
  <c r="H7077" i="1"/>
  <c r="G7077" i="1"/>
  <c r="F7077" i="1"/>
  <c r="H7076" i="1"/>
  <c r="G7076" i="1"/>
  <c r="F7076" i="1"/>
  <c r="H7075" i="1"/>
  <c r="G7075" i="1"/>
  <c r="F7075" i="1"/>
  <c r="H7074" i="1"/>
  <c r="G7074" i="1"/>
  <c r="F7074" i="1"/>
  <c r="H7073" i="1"/>
  <c r="G7073" i="1"/>
  <c r="F7073" i="1"/>
  <c r="H7072" i="1"/>
  <c r="G7072" i="1"/>
  <c r="F7072" i="1"/>
  <c r="H7071" i="1"/>
  <c r="G7071" i="1"/>
  <c r="F7071" i="1"/>
  <c r="H7070" i="1"/>
  <c r="G7070" i="1"/>
  <c r="F7070" i="1"/>
  <c r="H7069" i="1"/>
  <c r="G7069" i="1"/>
  <c r="F7069" i="1"/>
  <c r="H7068" i="1"/>
  <c r="G7068" i="1"/>
  <c r="F7068" i="1"/>
  <c r="H7067" i="1"/>
  <c r="G7067" i="1"/>
  <c r="F7067" i="1"/>
  <c r="H7066" i="1"/>
  <c r="G7066" i="1"/>
  <c r="F7066" i="1"/>
  <c r="H7065" i="1"/>
  <c r="G7065" i="1"/>
  <c r="F7065" i="1"/>
  <c r="H7064" i="1"/>
  <c r="G7064" i="1"/>
  <c r="F7064" i="1"/>
  <c r="H7063" i="1"/>
  <c r="G7063" i="1"/>
  <c r="F7063" i="1"/>
  <c r="H7062" i="1"/>
  <c r="G7062" i="1"/>
  <c r="F7062" i="1"/>
  <c r="H7061" i="1"/>
  <c r="G7061" i="1"/>
  <c r="F7061" i="1"/>
  <c r="H7060" i="1"/>
  <c r="G7060" i="1"/>
  <c r="F7060" i="1"/>
  <c r="H7059" i="1"/>
  <c r="G7059" i="1"/>
  <c r="F7059" i="1"/>
  <c r="H7058" i="1"/>
  <c r="G7058" i="1"/>
  <c r="F7058" i="1"/>
  <c r="H7057" i="1"/>
  <c r="G7057" i="1"/>
  <c r="F7057" i="1"/>
  <c r="H7056" i="1"/>
  <c r="G7056" i="1"/>
  <c r="F7056" i="1"/>
  <c r="H7055" i="1"/>
  <c r="G7055" i="1"/>
  <c r="F7055" i="1"/>
  <c r="H7054" i="1"/>
  <c r="G7054" i="1"/>
  <c r="F7054" i="1"/>
  <c r="H7053" i="1"/>
  <c r="G7053" i="1"/>
  <c r="F7053" i="1"/>
  <c r="H7052" i="1"/>
  <c r="G7052" i="1"/>
  <c r="F7052" i="1"/>
  <c r="H7051" i="1"/>
  <c r="G7051" i="1"/>
  <c r="F7051" i="1"/>
  <c r="H7050" i="1"/>
  <c r="G7050" i="1"/>
  <c r="F7050" i="1"/>
  <c r="H7049" i="1"/>
  <c r="G7049" i="1"/>
  <c r="F7049" i="1"/>
  <c r="H7048" i="1"/>
  <c r="G7048" i="1"/>
  <c r="F7048" i="1"/>
  <c r="H7047" i="1"/>
  <c r="G7047" i="1"/>
  <c r="F7047" i="1"/>
  <c r="H7046" i="1"/>
  <c r="G7046" i="1"/>
  <c r="F7046" i="1"/>
  <c r="H7045" i="1"/>
  <c r="G7045" i="1"/>
  <c r="F7045" i="1"/>
  <c r="H7044" i="1"/>
  <c r="G7044" i="1"/>
  <c r="F7044" i="1"/>
  <c r="H7043" i="1"/>
  <c r="G7043" i="1"/>
  <c r="F7043" i="1"/>
  <c r="H7042" i="1"/>
  <c r="G7042" i="1"/>
  <c r="F7042" i="1"/>
  <c r="H7041" i="1"/>
  <c r="G7041" i="1"/>
  <c r="F7041" i="1"/>
  <c r="H7040" i="1"/>
  <c r="G7040" i="1"/>
  <c r="F7040" i="1"/>
  <c r="H7039" i="1"/>
  <c r="G7039" i="1"/>
  <c r="F7039" i="1"/>
  <c r="H7038" i="1"/>
  <c r="G7038" i="1"/>
  <c r="F7038" i="1"/>
  <c r="H7037" i="1"/>
  <c r="G7037" i="1"/>
  <c r="F7037" i="1"/>
  <c r="H7036" i="1"/>
  <c r="G7036" i="1"/>
  <c r="F7036" i="1"/>
  <c r="H7035" i="1"/>
  <c r="G7035" i="1"/>
  <c r="F7035" i="1"/>
  <c r="H7034" i="1"/>
  <c r="G7034" i="1"/>
  <c r="F7034" i="1"/>
  <c r="H7033" i="1"/>
  <c r="G7033" i="1"/>
  <c r="F7033" i="1"/>
  <c r="H7032" i="1"/>
  <c r="G7032" i="1"/>
  <c r="F7032" i="1"/>
  <c r="H7031" i="1"/>
  <c r="G7031" i="1"/>
  <c r="F7031" i="1"/>
  <c r="H7030" i="1"/>
  <c r="G7030" i="1"/>
  <c r="F7030" i="1"/>
  <c r="H7029" i="1"/>
  <c r="G7029" i="1"/>
  <c r="F7029" i="1"/>
  <c r="H7028" i="1"/>
  <c r="G7028" i="1"/>
  <c r="F7028" i="1"/>
  <c r="H7027" i="1"/>
  <c r="G7027" i="1"/>
  <c r="F7027" i="1"/>
  <c r="H7026" i="1"/>
  <c r="G7026" i="1"/>
  <c r="F7026" i="1"/>
  <c r="H7025" i="1"/>
  <c r="G7025" i="1"/>
  <c r="F7025" i="1"/>
  <c r="H7024" i="1"/>
  <c r="G7024" i="1"/>
  <c r="F7024" i="1"/>
  <c r="H7023" i="1"/>
  <c r="G7023" i="1"/>
  <c r="F7023" i="1"/>
  <c r="H7022" i="1"/>
  <c r="G7022" i="1"/>
  <c r="F7022" i="1"/>
  <c r="H7021" i="1"/>
  <c r="G7021" i="1"/>
  <c r="F7021" i="1"/>
  <c r="H7020" i="1"/>
  <c r="G7020" i="1"/>
  <c r="F7020" i="1"/>
  <c r="H7019" i="1"/>
  <c r="G7019" i="1"/>
  <c r="F7019" i="1"/>
  <c r="H7018" i="1"/>
  <c r="G7018" i="1"/>
  <c r="F7018" i="1"/>
  <c r="H7017" i="1"/>
  <c r="G7017" i="1"/>
  <c r="F7017" i="1"/>
  <c r="H7016" i="1"/>
  <c r="G7016" i="1"/>
  <c r="F7016" i="1"/>
  <c r="H7015" i="1"/>
  <c r="G7015" i="1"/>
  <c r="F7015" i="1"/>
  <c r="H7014" i="1"/>
  <c r="G7014" i="1"/>
  <c r="F7014" i="1"/>
  <c r="H7013" i="1"/>
  <c r="G7013" i="1"/>
  <c r="F7013" i="1"/>
  <c r="H7012" i="1"/>
  <c r="G7012" i="1"/>
  <c r="F7012" i="1"/>
  <c r="H7011" i="1"/>
  <c r="G7011" i="1"/>
  <c r="F7011" i="1"/>
  <c r="H7010" i="1"/>
  <c r="G7010" i="1"/>
  <c r="F7010" i="1"/>
  <c r="H7009" i="1"/>
  <c r="G7009" i="1"/>
  <c r="F7009" i="1"/>
  <c r="H7008" i="1"/>
  <c r="G7008" i="1"/>
  <c r="F7008" i="1"/>
  <c r="H7007" i="1"/>
  <c r="G7007" i="1"/>
  <c r="F7007" i="1"/>
  <c r="H7006" i="1"/>
  <c r="G7006" i="1"/>
  <c r="F7006" i="1"/>
  <c r="H7005" i="1"/>
  <c r="G7005" i="1"/>
  <c r="F7005" i="1"/>
  <c r="H7004" i="1"/>
  <c r="G7004" i="1"/>
  <c r="F7004" i="1"/>
  <c r="H7003" i="1"/>
  <c r="G7003" i="1"/>
  <c r="F7003" i="1"/>
  <c r="H7002" i="1"/>
  <c r="G7002" i="1"/>
  <c r="F7002" i="1"/>
  <c r="H7001" i="1"/>
  <c r="G7001" i="1"/>
  <c r="F7001" i="1"/>
  <c r="H7000" i="1"/>
  <c r="G7000" i="1"/>
  <c r="F7000" i="1"/>
  <c r="H6999" i="1"/>
  <c r="G6999" i="1"/>
  <c r="F6999" i="1"/>
  <c r="H6998" i="1"/>
  <c r="G6998" i="1"/>
  <c r="F6998" i="1"/>
  <c r="H6997" i="1"/>
  <c r="G6997" i="1"/>
  <c r="F6997" i="1"/>
  <c r="H6996" i="1"/>
  <c r="G6996" i="1"/>
  <c r="F6996" i="1"/>
  <c r="H6995" i="1"/>
  <c r="G6995" i="1"/>
  <c r="F6995" i="1"/>
  <c r="H6994" i="1"/>
  <c r="G6994" i="1"/>
  <c r="F6994" i="1"/>
  <c r="H6993" i="1"/>
  <c r="G6993" i="1"/>
  <c r="F6993" i="1"/>
  <c r="H6992" i="1"/>
  <c r="G6992" i="1"/>
  <c r="F6992" i="1"/>
  <c r="H6991" i="1"/>
  <c r="G6991" i="1"/>
  <c r="F6991" i="1"/>
  <c r="H6990" i="1"/>
  <c r="G6990" i="1"/>
  <c r="F6990" i="1"/>
  <c r="H6989" i="1"/>
  <c r="G6989" i="1"/>
  <c r="F6989" i="1"/>
  <c r="H6988" i="1"/>
  <c r="G6988" i="1"/>
  <c r="F6988" i="1"/>
  <c r="H6987" i="1"/>
  <c r="G6987" i="1"/>
  <c r="F6987" i="1"/>
  <c r="H6986" i="1"/>
  <c r="G6986" i="1"/>
  <c r="F6986" i="1"/>
  <c r="H6985" i="1"/>
  <c r="G6985" i="1"/>
  <c r="F6985" i="1"/>
  <c r="H6984" i="1"/>
  <c r="G6984" i="1"/>
  <c r="F6984" i="1"/>
  <c r="H6983" i="1"/>
  <c r="G6983" i="1"/>
  <c r="F6983" i="1"/>
  <c r="H6982" i="1"/>
  <c r="G6982" i="1"/>
  <c r="F6982" i="1"/>
  <c r="H6981" i="1"/>
  <c r="G6981" i="1"/>
  <c r="F6981" i="1"/>
  <c r="H6980" i="1"/>
  <c r="G6980" i="1"/>
  <c r="F6980" i="1"/>
  <c r="H6979" i="1"/>
  <c r="G6979" i="1"/>
  <c r="F6979" i="1"/>
  <c r="H6978" i="1"/>
  <c r="G6978" i="1"/>
  <c r="F6978" i="1"/>
  <c r="H6977" i="1"/>
  <c r="G6977" i="1"/>
  <c r="F6977" i="1"/>
  <c r="H6976" i="1"/>
  <c r="G6976" i="1"/>
  <c r="F6976" i="1"/>
  <c r="H6975" i="1"/>
  <c r="G6975" i="1"/>
  <c r="F6975" i="1"/>
  <c r="H6974" i="1"/>
  <c r="G6974" i="1"/>
  <c r="F6974" i="1"/>
  <c r="H6973" i="1"/>
  <c r="G6973" i="1"/>
  <c r="F6973" i="1"/>
  <c r="H6972" i="1"/>
  <c r="G6972" i="1"/>
  <c r="F6972" i="1"/>
  <c r="H6971" i="1"/>
  <c r="G6971" i="1"/>
  <c r="F6971" i="1"/>
  <c r="H6970" i="1"/>
  <c r="G6970" i="1"/>
  <c r="F6970" i="1"/>
  <c r="H6969" i="1"/>
  <c r="G6969" i="1"/>
  <c r="F6969" i="1"/>
  <c r="H6968" i="1"/>
  <c r="G6968" i="1"/>
  <c r="F6968" i="1"/>
  <c r="H6967" i="1"/>
  <c r="G6967" i="1"/>
  <c r="F6967" i="1"/>
  <c r="H6966" i="1"/>
  <c r="G6966" i="1"/>
  <c r="F6966" i="1"/>
  <c r="H6965" i="1"/>
  <c r="G6965" i="1"/>
  <c r="F6965" i="1"/>
  <c r="H6964" i="1"/>
  <c r="G6964" i="1"/>
  <c r="F6964" i="1"/>
  <c r="H6963" i="1"/>
  <c r="G6963" i="1"/>
  <c r="F6963" i="1"/>
  <c r="H6962" i="1"/>
  <c r="G6962" i="1"/>
  <c r="F6962" i="1"/>
  <c r="H6961" i="1"/>
  <c r="G6961" i="1"/>
  <c r="F6961" i="1"/>
  <c r="H6960" i="1"/>
  <c r="G6960" i="1"/>
  <c r="F6960" i="1"/>
  <c r="H6959" i="1"/>
  <c r="G6959" i="1"/>
  <c r="F6959" i="1"/>
  <c r="H6958" i="1"/>
  <c r="G6958" i="1"/>
  <c r="F6958" i="1"/>
  <c r="H6957" i="1"/>
  <c r="G6957" i="1"/>
  <c r="F6957" i="1"/>
  <c r="H6956" i="1"/>
  <c r="G6956" i="1"/>
  <c r="F6956" i="1"/>
  <c r="H6955" i="1"/>
  <c r="G6955" i="1"/>
  <c r="F6955" i="1"/>
  <c r="H6954" i="1"/>
  <c r="G6954" i="1"/>
  <c r="F6954" i="1"/>
  <c r="H6953" i="1"/>
  <c r="G6953" i="1"/>
  <c r="F6953" i="1"/>
  <c r="H6952" i="1"/>
  <c r="G6952" i="1"/>
  <c r="F6952" i="1"/>
  <c r="H6951" i="1"/>
  <c r="G6951" i="1"/>
  <c r="F6951" i="1"/>
  <c r="H6950" i="1"/>
  <c r="G6950" i="1"/>
  <c r="F6950" i="1"/>
  <c r="H6949" i="1"/>
  <c r="G6949" i="1"/>
  <c r="F6949" i="1"/>
  <c r="H6948" i="1"/>
  <c r="G6948" i="1"/>
  <c r="F6948" i="1"/>
  <c r="H6947" i="1"/>
  <c r="G6947" i="1"/>
  <c r="F6947" i="1"/>
  <c r="H6946" i="1"/>
  <c r="G6946" i="1"/>
  <c r="F6946" i="1"/>
  <c r="H6945" i="1"/>
  <c r="G6945" i="1"/>
  <c r="F6945" i="1"/>
  <c r="H6944" i="1"/>
  <c r="G6944" i="1"/>
  <c r="F6944" i="1"/>
  <c r="H6943" i="1"/>
  <c r="G6943" i="1"/>
  <c r="F6943" i="1"/>
  <c r="H6942" i="1"/>
  <c r="G6942" i="1"/>
  <c r="F6942" i="1"/>
  <c r="H6941" i="1"/>
  <c r="G6941" i="1"/>
  <c r="F6941" i="1"/>
  <c r="H6940" i="1"/>
  <c r="G6940" i="1"/>
  <c r="F6940" i="1"/>
  <c r="H6939" i="1"/>
  <c r="G6939" i="1"/>
  <c r="F6939" i="1"/>
  <c r="H6938" i="1"/>
  <c r="G6938" i="1"/>
  <c r="F6938" i="1"/>
  <c r="H6937" i="1"/>
  <c r="G6937" i="1"/>
  <c r="F6937" i="1"/>
  <c r="H6936" i="1"/>
  <c r="G6936" i="1"/>
  <c r="F6936" i="1"/>
  <c r="H6935" i="1"/>
  <c r="G6935" i="1"/>
  <c r="F6935" i="1"/>
  <c r="H6934" i="1"/>
  <c r="G6934" i="1"/>
  <c r="F6934" i="1"/>
  <c r="H6933" i="1"/>
  <c r="G6933" i="1"/>
  <c r="F6933" i="1"/>
  <c r="H6932" i="1"/>
  <c r="G6932" i="1"/>
  <c r="F6932" i="1"/>
  <c r="H6931" i="1"/>
  <c r="G6931" i="1"/>
  <c r="F6931" i="1"/>
  <c r="H6930" i="1"/>
  <c r="G6930" i="1"/>
  <c r="F6930" i="1"/>
  <c r="H6929" i="1"/>
  <c r="G6929" i="1"/>
  <c r="F6929" i="1"/>
  <c r="H6928" i="1"/>
  <c r="G6928" i="1"/>
  <c r="F6928" i="1"/>
  <c r="H6927" i="1"/>
  <c r="G6927" i="1"/>
  <c r="F6927" i="1"/>
  <c r="H6926" i="1"/>
  <c r="G6926" i="1"/>
  <c r="F6926" i="1"/>
  <c r="H6925" i="1"/>
  <c r="G6925" i="1"/>
  <c r="F6925" i="1"/>
  <c r="H6924" i="1"/>
  <c r="G6924" i="1"/>
  <c r="F6924" i="1"/>
  <c r="H6923" i="1"/>
  <c r="G6923" i="1"/>
  <c r="F6923" i="1"/>
  <c r="H6922" i="1"/>
  <c r="G6922" i="1"/>
  <c r="F6922" i="1"/>
  <c r="H6921" i="1"/>
  <c r="G6921" i="1"/>
  <c r="F6921" i="1"/>
  <c r="H6920" i="1"/>
  <c r="G6920" i="1"/>
  <c r="F6920" i="1"/>
  <c r="H6919" i="1"/>
  <c r="G6919" i="1"/>
  <c r="F6919" i="1"/>
  <c r="H6918" i="1"/>
  <c r="G6918" i="1"/>
  <c r="F6918" i="1"/>
  <c r="H6917" i="1"/>
  <c r="G6917" i="1"/>
  <c r="F6917" i="1"/>
  <c r="H6916" i="1"/>
  <c r="G6916" i="1"/>
  <c r="F6916" i="1"/>
  <c r="H6915" i="1"/>
  <c r="G6915" i="1"/>
  <c r="F6915" i="1"/>
  <c r="H6914" i="1"/>
  <c r="G6914" i="1"/>
  <c r="F6914" i="1"/>
  <c r="H6913" i="1"/>
  <c r="G6913" i="1"/>
  <c r="F6913" i="1"/>
  <c r="H6912" i="1"/>
  <c r="G6912" i="1"/>
  <c r="F6912" i="1"/>
  <c r="H6911" i="1"/>
  <c r="G6911" i="1"/>
  <c r="F6911" i="1"/>
  <c r="H6910" i="1"/>
  <c r="G6910" i="1"/>
  <c r="F6910" i="1"/>
  <c r="H6909" i="1"/>
  <c r="G6909" i="1"/>
  <c r="F6909" i="1"/>
  <c r="H6908" i="1"/>
  <c r="G6908" i="1"/>
  <c r="F6908" i="1"/>
  <c r="H6907" i="1"/>
  <c r="G6907" i="1"/>
  <c r="F6907" i="1"/>
  <c r="H6906" i="1"/>
  <c r="G6906" i="1"/>
  <c r="F6906" i="1"/>
  <c r="H6905" i="1"/>
  <c r="G6905" i="1"/>
  <c r="F6905" i="1"/>
  <c r="H6904" i="1"/>
  <c r="G6904" i="1"/>
  <c r="F6904" i="1"/>
  <c r="H6903" i="1"/>
  <c r="G6903" i="1"/>
  <c r="F6903" i="1"/>
  <c r="H6902" i="1"/>
  <c r="G6902" i="1"/>
  <c r="F6902" i="1"/>
  <c r="H6901" i="1"/>
  <c r="G6901" i="1"/>
  <c r="F6901" i="1"/>
  <c r="H6900" i="1"/>
  <c r="G6900" i="1"/>
  <c r="F6900" i="1"/>
  <c r="H6899" i="1"/>
  <c r="G6899" i="1"/>
  <c r="F6899" i="1"/>
  <c r="H6898" i="1"/>
  <c r="G6898" i="1"/>
  <c r="F6898" i="1"/>
  <c r="H6897" i="1"/>
  <c r="G6897" i="1"/>
  <c r="F6897" i="1"/>
  <c r="H6896" i="1"/>
  <c r="G6896" i="1"/>
  <c r="F6896" i="1"/>
  <c r="H6895" i="1"/>
  <c r="G6895" i="1"/>
  <c r="F6895" i="1"/>
  <c r="H6894" i="1"/>
  <c r="G6894" i="1"/>
  <c r="F6894" i="1"/>
  <c r="H6893" i="1"/>
  <c r="G6893" i="1"/>
  <c r="F6893" i="1"/>
  <c r="H6892" i="1"/>
  <c r="G6892" i="1"/>
  <c r="F6892" i="1"/>
  <c r="H6891" i="1"/>
  <c r="G6891" i="1"/>
  <c r="F6891" i="1"/>
  <c r="H6890" i="1"/>
  <c r="G6890" i="1"/>
  <c r="F6890" i="1"/>
  <c r="H6889" i="1"/>
  <c r="G6889" i="1"/>
  <c r="F6889" i="1"/>
  <c r="H6888" i="1"/>
  <c r="G6888" i="1"/>
  <c r="F6888" i="1"/>
  <c r="H6887" i="1"/>
  <c r="G6887" i="1"/>
  <c r="F6887" i="1"/>
  <c r="H6886" i="1"/>
  <c r="G6886" i="1"/>
  <c r="F6886" i="1"/>
  <c r="H6885" i="1"/>
  <c r="G6885" i="1"/>
  <c r="F6885" i="1"/>
  <c r="H6884" i="1"/>
  <c r="G6884" i="1"/>
  <c r="F6884" i="1"/>
  <c r="H6883" i="1"/>
  <c r="G6883" i="1"/>
  <c r="F6883" i="1"/>
  <c r="H6882" i="1"/>
  <c r="G6882" i="1"/>
  <c r="F6882" i="1"/>
  <c r="H6881" i="1"/>
  <c r="G6881" i="1"/>
  <c r="F6881" i="1"/>
  <c r="H6880" i="1"/>
  <c r="G6880" i="1"/>
  <c r="F6880" i="1"/>
  <c r="H6879" i="1"/>
  <c r="G6879" i="1"/>
  <c r="F6879" i="1"/>
  <c r="H6878" i="1"/>
  <c r="G6878" i="1"/>
  <c r="F6878" i="1"/>
  <c r="H6877" i="1"/>
  <c r="G6877" i="1"/>
  <c r="F6877" i="1"/>
  <c r="H6876" i="1"/>
  <c r="G6876" i="1"/>
  <c r="F6876" i="1"/>
  <c r="H6875" i="1"/>
  <c r="G6875" i="1"/>
  <c r="F6875" i="1"/>
  <c r="H6874" i="1"/>
  <c r="G6874" i="1"/>
  <c r="F6874" i="1"/>
  <c r="H6873" i="1"/>
  <c r="G6873" i="1"/>
  <c r="F6873" i="1"/>
  <c r="H6872" i="1"/>
  <c r="G6872" i="1"/>
  <c r="F6872" i="1"/>
  <c r="H6871" i="1"/>
  <c r="G6871" i="1"/>
  <c r="F6871" i="1"/>
  <c r="H6870" i="1"/>
  <c r="G6870" i="1"/>
  <c r="F6870" i="1"/>
  <c r="H6869" i="1"/>
  <c r="G6869" i="1"/>
  <c r="F6869" i="1"/>
  <c r="H6868" i="1"/>
  <c r="G6868" i="1"/>
  <c r="F6868" i="1"/>
  <c r="H6867" i="1"/>
  <c r="G6867" i="1"/>
  <c r="F6867" i="1"/>
  <c r="H6866" i="1"/>
  <c r="G6866" i="1"/>
  <c r="F6866" i="1"/>
  <c r="H6865" i="1"/>
  <c r="G6865" i="1"/>
  <c r="F6865" i="1"/>
  <c r="H6864" i="1"/>
  <c r="G6864" i="1"/>
  <c r="F6864" i="1"/>
  <c r="H6863" i="1"/>
  <c r="G6863" i="1"/>
  <c r="F6863" i="1"/>
  <c r="H6862" i="1"/>
  <c r="G6862" i="1"/>
  <c r="F6862" i="1"/>
  <c r="H6861" i="1"/>
  <c r="G6861" i="1"/>
  <c r="F6861" i="1"/>
  <c r="H6860" i="1"/>
  <c r="G6860" i="1"/>
  <c r="F6860" i="1"/>
  <c r="H6859" i="1"/>
  <c r="G6859" i="1"/>
  <c r="F6859" i="1"/>
  <c r="H6858" i="1"/>
  <c r="G6858" i="1"/>
  <c r="F6858" i="1"/>
  <c r="H6857" i="1"/>
  <c r="G6857" i="1"/>
  <c r="F6857" i="1"/>
  <c r="H6856" i="1"/>
  <c r="G6856" i="1"/>
  <c r="F6856" i="1"/>
  <c r="H6855" i="1"/>
  <c r="G6855" i="1"/>
  <c r="F6855" i="1"/>
  <c r="H6854" i="1"/>
  <c r="G6854" i="1"/>
  <c r="F6854" i="1"/>
  <c r="H6853" i="1"/>
  <c r="G6853" i="1"/>
  <c r="F6853" i="1"/>
  <c r="H6852" i="1"/>
  <c r="G6852" i="1"/>
  <c r="F6852" i="1"/>
  <c r="H6851" i="1"/>
  <c r="G6851" i="1"/>
  <c r="F6851" i="1"/>
  <c r="H6850" i="1"/>
  <c r="G6850" i="1"/>
  <c r="F6850" i="1"/>
  <c r="H6849" i="1"/>
  <c r="G6849" i="1"/>
  <c r="F6849" i="1"/>
  <c r="H6848" i="1"/>
  <c r="G6848" i="1"/>
  <c r="F6848" i="1"/>
  <c r="H6847" i="1"/>
  <c r="G6847" i="1"/>
  <c r="F6847" i="1"/>
  <c r="H6846" i="1"/>
  <c r="G6846" i="1"/>
  <c r="F6846" i="1"/>
  <c r="H6845" i="1"/>
  <c r="G6845" i="1"/>
  <c r="F6845" i="1"/>
  <c r="H6844" i="1"/>
  <c r="G6844" i="1"/>
  <c r="F6844" i="1"/>
  <c r="H6843" i="1"/>
  <c r="G6843" i="1"/>
  <c r="F6843" i="1"/>
  <c r="H6842" i="1"/>
  <c r="G6842" i="1"/>
  <c r="F6842" i="1"/>
  <c r="H6841" i="1"/>
  <c r="G6841" i="1"/>
  <c r="F6841" i="1"/>
  <c r="H6840" i="1"/>
  <c r="G6840" i="1"/>
  <c r="F6840" i="1"/>
  <c r="H6839" i="1"/>
  <c r="G6839" i="1"/>
  <c r="F6839" i="1"/>
  <c r="H6838" i="1"/>
  <c r="G6838" i="1"/>
  <c r="F6838" i="1"/>
  <c r="H6837" i="1"/>
  <c r="G6837" i="1"/>
  <c r="F6837" i="1"/>
  <c r="H6836" i="1"/>
  <c r="G6836" i="1"/>
  <c r="F6836" i="1"/>
  <c r="H6835" i="1"/>
  <c r="G6835" i="1"/>
  <c r="F6835" i="1"/>
  <c r="H6834" i="1"/>
  <c r="G6834" i="1"/>
  <c r="F6834" i="1"/>
  <c r="H6833" i="1"/>
  <c r="G6833" i="1"/>
  <c r="F6833" i="1"/>
  <c r="H6832" i="1"/>
  <c r="G6832" i="1"/>
  <c r="F6832" i="1"/>
  <c r="H6831" i="1"/>
  <c r="G6831" i="1"/>
  <c r="F6831" i="1"/>
  <c r="H6830" i="1"/>
  <c r="G6830" i="1"/>
  <c r="F6830" i="1"/>
  <c r="H6829" i="1"/>
  <c r="G6829" i="1"/>
  <c r="F6829" i="1"/>
  <c r="H6828" i="1"/>
  <c r="G6828" i="1"/>
  <c r="F6828" i="1"/>
  <c r="H6827" i="1"/>
  <c r="G6827" i="1"/>
  <c r="F6827" i="1"/>
  <c r="H6826" i="1"/>
  <c r="G6826" i="1"/>
  <c r="F6826" i="1"/>
  <c r="H6825" i="1"/>
  <c r="G6825" i="1"/>
  <c r="F6825" i="1"/>
  <c r="H6824" i="1"/>
  <c r="G6824" i="1"/>
  <c r="F6824" i="1"/>
  <c r="H6823" i="1"/>
  <c r="G6823" i="1"/>
  <c r="F6823" i="1"/>
  <c r="H6822" i="1"/>
  <c r="G6822" i="1"/>
  <c r="F6822" i="1"/>
  <c r="H6821" i="1"/>
  <c r="G6821" i="1"/>
  <c r="F6821" i="1"/>
  <c r="H6820" i="1"/>
  <c r="G6820" i="1"/>
  <c r="F6820" i="1"/>
  <c r="H6819" i="1"/>
  <c r="G6819" i="1"/>
  <c r="F6819" i="1"/>
  <c r="H6818" i="1"/>
  <c r="G6818" i="1"/>
  <c r="F6818" i="1"/>
  <c r="H6817" i="1"/>
  <c r="G6817" i="1"/>
  <c r="F6817" i="1"/>
  <c r="H6816" i="1"/>
  <c r="G6816" i="1"/>
  <c r="F6816" i="1"/>
  <c r="H6815" i="1"/>
  <c r="G6815" i="1"/>
  <c r="F6815" i="1"/>
  <c r="H6814" i="1"/>
  <c r="G6814" i="1"/>
  <c r="F6814" i="1"/>
  <c r="H6813" i="1"/>
  <c r="G6813" i="1"/>
  <c r="F6813" i="1"/>
  <c r="H6812" i="1"/>
  <c r="G6812" i="1"/>
  <c r="F6812" i="1"/>
  <c r="H6811" i="1"/>
  <c r="G6811" i="1"/>
  <c r="F6811" i="1"/>
  <c r="H6810" i="1"/>
  <c r="G6810" i="1"/>
  <c r="F6810" i="1"/>
  <c r="H6809" i="1"/>
  <c r="G6809" i="1"/>
  <c r="F6809" i="1"/>
  <c r="H6808" i="1"/>
  <c r="G6808" i="1"/>
  <c r="F6808" i="1"/>
  <c r="H6807" i="1"/>
  <c r="G6807" i="1"/>
  <c r="F6807" i="1"/>
  <c r="H6806" i="1"/>
  <c r="G6806" i="1"/>
  <c r="F6806" i="1"/>
  <c r="H6805" i="1"/>
  <c r="G6805" i="1"/>
  <c r="F6805" i="1"/>
  <c r="H6804" i="1"/>
  <c r="G6804" i="1"/>
  <c r="F6804" i="1"/>
  <c r="H6803" i="1"/>
  <c r="G6803" i="1"/>
  <c r="F6803" i="1"/>
  <c r="H6802" i="1"/>
  <c r="G6802" i="1"/>
  <c r="F6802" i="1"/>
  <c r="H6801" i="1"/>
  <c r="G6801" i="1"/>
  <c r="F6801" i="1"/>
  <c r="H6800" i="1"/>
  <c r="G6800" i="1"/>
  <c r="F6800" i="1"/>
  <c r="H6799" i="1"/>
  <c r="G6799" i="1"/>
  <c r="F6799" i="1"/>
  <c r="H6798" i="1"/>
  <c r="G6798" i="1"/>
  <c r="F6798" i="1"/>
  <c r="H6797" i="1"/>
  <c r="G6797" i="1"/>
  <c r="F6797" i="1"/>
  <c r="H6796" i="1"/>
  <c r="G6796" i="1"/>
  <c r="F6796" i="1"/>
  <c r="H6795" i="1"/>
  <c r="G6795" i="1"/>
  <c r="F6795" i="1"/>
  <c r="H6794" i="1"/>
  <c r="G6794" i="1"/>
  <c r="F6794" i="1"/>
  <c r="H6793" i="1"/>
  <c r="G6793" i="1"/>
  <c r="F6793" i="1"/>
  <c r="H6792" i="1"/>
  <c r="G6792" i="1"/>
  <c r="F6792" i="1"/>
  <c r="H6791" i="1"/>
  <c r="G6791" i="1"/>
  <c r="F6791" i="1"/>
  <c r="H6790" i="1"/>
  <c r="G6790" i="1"/>
  <c r="F6790" i="1"/>
  <c r="H6789" i="1"/>
  <c r="G6789" i="1"/>
  <c r="F6789" i="1"/>
  <c r="H6788" i="1"/>
  <c r="G6788" i="1"/>
  <c r="F6788" i="1"/>
  <c r="H6787" i="1"/>
  <c r="G6787" i="1"/>
  <c r="F6787" i="1"/>
  <c r="H6786" i="1"/>
  <c r="G6786" i="1"/>
  <c r="F6786" i="1"/>
  <c r="H6785" i="1"/>
  <c r="G6785" i="1"/>
  <c r="F6785" i="1"/>
  <c r="H6784" i="1"/>
  <c r="G6784" i="1"/>
  <c r="F6784" i="1"/>
  <c r="H6783" i="1"/>
  <c r="G6783" i="1"/>
  <c r="F6783" i="1"/>
  <c r="H6782" i="1"/>
  <c r="G6782" i="1"/>
  <c r="F6782" i="1"/>
  <c r="H6781" i="1"/>
  <c r="G6781" i="1"/>
  <c r="F6781" i="1"/>
  <c r="H6780" i="1"/>
  <c r="G6780" i="1"/>
  <c r="F6780" i="1"/>
  <c r="H6779" i="1"/>
  <c r="G6779" i="1"/>
  <c r="F6779" i="1"/>
  <c r="H6778" i="1"/>
  <c r="G6778" i="1"/>
  <c r="F6778" i="1"/>
  <c r="H6777" i="1"/>
  <c r="G6777" i="1"/>
  <c r="F6777" i="1"/>
  <c r="H6776" i="1"/>
  <c r="G6776" i="1"/>
  <c r="F6776" i="1"/>
  <c r="H6775" i="1"/>
  <c r="G6775" i="1"/>
  <c r="F6775" i="1"/>
  <c r="H6774" i="1"/>
  <c r="G6774" i="1"/>
  <c r="F6774" i="1"/>
  <c r="H6773" i="1"/>
  <c r="G6773" i="1"/>
  <c r="F6773" i="1"/>
  <c r="H6772" i="1"/>
  <c r="G6772" i="1"/>
  <c r="F6772" i="1"/>
  <c r="H6771" i="1"/>
  <c r="G6771" i="1"/>
  <c r="F6771" i="1"/>
  <c r="H6770" i="1"/>
  <c r="G6770" i="1"/>
  <c r="F6770" i="1"/>
  <c r="H6769" i="1"/>
  <c r="G6769" i="1"/>
  <c r="F6769" i="1"/>
  <c r="H6768" i="1"/>
  <c r="G6768" i="1"/>
  <c r="F6768" i="1"/>
  <c r="H6767" i="1"/>
  <c r="G6767" i="1"/>
  <c r="F6767" i="1"/>
  <c r="H6766" i="1"/>
  <c r="G6766" i="1"/>
  <c r="F6766" i="1"/>
  <c r="H6765" i="1"/>
  <c r="G6765" i="1"/>
  <c r="F6765" i="1"/>
  <c r="H6764" i="1"/>
  <c r="G6764" i="1"/>
  <c r="F6764" i="1"/>
  <c r="H6763" i="1"/>
  <c r="G6763" i="1"/>
  <c r="F6763" i="1"/>
  <c r="H6762" i="1"/>
  <c r="G6762" i="1"/>
  <c r="F6762" i="1"/>
  <c r="H6761" i="1"/>
  <c r="G6761" i="1"/>
  <c r="F6761" i="1"/>
  <c r="H6760" i="1"/>
  <c r="G6760" i="1"/>
  <c r="F6760" i="1"/>
  <c r="H6759" i="1"/>
  <c r="G6759" i="1"/>
  <c r="F6759" i="1"/>
  <c r="H6758" i="1"/>
  <c r="G6758" i="1"/>
  <c r="F6758" i="1"/>
  <c r="H6757" i="1"/>
  <c r="G6757" i="1"/>
  <c r="F6757" i="1"/>
  <c r="H6756" i="1"/>
  <c r="G6756" i="1"/>
  <c r="F6756" i="1"/>
  <c r="H6755" i="1"/>
  <c r="G6755" i="1"/>
  <c r="F6755" i="1"/>
  <c r="H6754" i="1"/>
  <c r="G6754" i="1"/>
  <c r="F6754" i="1"/>
  <c r="H6753" i="1"/>
  <c r="G6753" i="1"/>
  <c r="F6753" i="1"/>
  <c r="H6752" i="1"/>
  <c r="G6752" i="1"/>
  <c r="F6752" i="1"/>
  <c r="H6751" i="1"/>
  <c r="G6751" i="1"/>
  <c r="F6751" i="1"/>
  <c r="H6750" i="1"/>
  <c r="G6750" i="1"/>
  <c r="F6750" i="1"/>
  <c r="H6749" i="1"/>
  <c r="G6749" i="1"/>
  <c r="F6749" i="1"/>
  <c r="H6748" i="1"/>
  <c r="G6748" i="1"/>
  <c r="F6748" i="1"/>
  <c r="H6747" i="1"/>
  <c r="G6747" i="1"/>
  <c r="F6747" i="1"/>
  <c r="H6746" i="1"/>
  <c r="G6746" i="1"/>
  <c r="F6746" i="1"/>
  <c r="H6745" i="1"/>
  <c r="G6745" i="1"/>
  <c r="F6745" i="1"/>
  <c r="H6744" i="1"/>
  <c r="G6744" i="1"/>
  <c r="F6744" i="1"/>
  <c r="H6743" i="1"/>
  <c r="G6743" i="1"/>
  <c r="F6743" i="1"/>
  <c r="H6742" i="1"/>
  <c r="G6742" i="1"/>
  <c r="F6742" i="1"/>
  <c r="H6741" i="1"/>
  <c r="G6741" i="1"/>
  <c r="F6741" i="1"/>
  <c r="H6740" i="1"/>
  <c r="G6740" i="1"/>
  <c r="F6740" i="1"/>
  <c r="H6739" i="1"/>
  <c r="G6739" i="1"/>
  <c r="F6739" i="1"/>
  <c r="H6738" i="1"/>
  <c r="G6738" i="1"/>
  <c r="F6738" i="1"/>
  <c r="H6737" i="1"/>
  <c r="G6737" i="1"/>
  <c r="F6737" i="1"/>
  <c r="H6736" i="1"/>
  <c r="G6736" i="1"/>
  <c r="F6736" i="1"/>
  <c r="H6735" i="1"/>
  <c r="G6735" i="1"/>
  <c r="F6735" i="1"/>
  <c r="H6734" i="1"/>
  <c r="G6734" i="1"/>
  <c r="F6734" i="1"/>
  <c r="H6733" i="1"/>
  <c r="G6733" i="1"/>
  <c r="F6733" i="1"/>
  <c r="H6732" i="1"/>
  <c r="G6732" i="1"/>
  <c r="F6732" i="1"/>
  <c r="H6731" i="1"/>
  <c r="G6731" i="1"/>
  <c r="F6731" i="1"/>
  <c r="H6730" i="1"/>
  <c r="G6730" i="1"/>
  <c r="F6730" i="1"/>
  <c r="H6729" i="1"/>
  <c r="G6729" i="1"/>
  <c r="F6729" i="1"/>
  <c r="H6728" i="1"/>
  <c r="G6728" i="1"/>
  <c r="F6728" i="1"/>
  <c r="H6727" i="1"/>
  <c r="G6727" i="1"/>
  <c r="F6727" i="1"/>
  <c r="H6726" i="1"/>
  <c r="G6726" i="1"/>
  <c r="F6726" i="1"/>
  <c r="H6725" i="1"/>
  <c r="G6725" i="1"/>
  <c r="F6725" i="1"/>
  <c r="H6724" i="1"/>
  <c r="G6724" i="1"/>
  <c r="F6724" i="1"/>
  <c r="H6723" i="1"/>
  <c r="G6723" i="1"/>
  <c r="F6723" i="1"/>
  <c r="H6722" i="1"/>
  <c r="G6722" i="1"/>
  <c r="F6722" i="1"/>
  <c r="H6721" i="1"/>
  <c r="G6721" i="1"/>
  <c r="F6721" i="1"/>
  <c r="H6720" i="1"/>
  <c r="G6720" i="1"/>
  <c r="F6720" i="1"/>
  <c r="H6719" i="1"/>
  <c r="G6719" i="1"/>
  <c r="F6719" i="1"/>
  <c r="H6718" i="1"/>
  <c r="G6718" i="1"/>
  <c r="F6718" i="1"/>
  <c r="H6717" i="1"/>
  <c r="G6717" i="1"/>
  <c r="F6717" i="1"/>
  <c r="H6716" i="1"/>
  <c r="G6716" i="1"/>
  <c r="F6716" i="1"/>
  <c r="H6715" i="1"/>
  <c r="G6715" i="1"/>
  <c r="F6715" i="1"/>
  <c r="H6714" i="1"/>
  <c r="G6714" i="1"/>
  <c r="F6714" i="1"/>
  <c r="H6713" i="1"/>
  <c r="G6713" i="1"/>
  <c r="F6713" i="1"/>
  <c r="H6712" i="1"/>
  <c r="G6712" i="1"/>
  <c r="F6712" i="1"/>
  <c r="H6711" i="1"/>
  <c r="G6711" i="1"/>
  <c r="F6711" i="1"/>
  <c r="H6710" i="1"/>
  <c r="G6710" i="1"/>
  <c r="F6710" i="1"/>
  <c r="H6709" i="1"/>
  <c r="G6709" i="1"/>
  <c r="F6709" i="1"/>
  <c r="H6708" i="1"/>
  <c r="G6708" i="1"/>
  <c r="F6708" i="1"/>
  <c r="H6707" i="1"/>
  <c r="G6707" i="1"/>
  <c r="F6707" i="1"/>
  <c r="H6706" i="1"/>
  <c r="G6706" i="1"/>
  <c r="F6706" i="1"/>
  <c r="H6705" i="1"/>
  <c r="G6705" i="1"/>
  <c r="F6705" i="1"/>
  <c r="H6704" i="1"/>
  <c r="G6704" i="1"/>
  <c r="F6704" i="1"/>
  <c r="H6703" i="1"/>
  <c r="G6703" i="1"/>
  <c r="F6703" i="1"/>
  <c r="H6702" i="1"/>
  <c r="G6702" i="1"/>
  <c r="F6702" i="1"/>
  <c r="H6701" i="1"/>
  <c r="G6701" i="1"/>
  <c r="F6701" i="1"/>
  <c r="H6700" i="1"/>
  <c r="G6700" i="1"/>
  <c r="F6700" i="1"/>
  <c r="H6699" i="1"/>
  <c r="G6699" i="1"/>
  <c r="F6699" i="1"/>
  <c r="H6698" i="1"/>
  <c r="G6698" i="1"/>
  <c r="F6698" i="1"/>
  <c r="H6697" i="1"/>
  <c r="G6697" i="1"/>
  <c r="F6697" i="1"/>
  <c r="H6696" i="1"/>
  <c r="G6696" i="1"/>
  <c r="F6696" i="1"/>
  <c r="H6695" i="1"/>
  <c r="G6695" i="1"/>
  <c r="F6695" i="1"/>
  <c r="H6694" i="1"/>
  <c r="G6694" i="1"/>
  <c r="F6694" i="1"/>
  <c r="H6693" i="1"/>
  <c r="G6693" i="1"/>
  <c r="F6693" i="1"/>
  <c r="H6692" i="1"/>
  <c r="G6692" i="1"/>
  <c r="F6692" i="1"/>
  <c r="H6691" i="1"/>
  <c r="G6691" i="1"/>
  <c r="F6691" i="1"/>
  <c r="H6690" i="1"/>
  <c r="G6690" i="1"/>
  <c r="F6690" i="1"/>
  <c r="H6689" i="1"/>
  <c r="G6689" i="1"/>
  <c r="F6689" i="1"/>
  <c r="H6688" i="1"/>
  <c r="G6688" i="1"/>
  <c r="F6688" i="1"/>
  <c r="H6687" i="1"/>
  <c r="G6687" i="1"/>
  <c r="F6687" i="1"/>
  <c r="H6686" i="1"/>
  <c r="G6686" i="1"/>
  <c r="F6686" i="1"/>
  <c r="H6685" i="1"/>
  <c r="G6685" i="1"/>
  <c r="F6685" i="1"/>
  <c r="H6684" i="1"/>
  <c r="G6684" i="1"/>
  <c r="F6684" i="1"/>
  <c r="H6683" i="1"/>
  <c r="G6683" i="1"/>
  <c r="F6683" i="1"/>
  <c r="H6682" i="1"/>
  <c r="G6682" i="1"/>
  <c r="F6682" i="1"/>
  <c r="H6681" i="1"/>
  <c r="G6681" i="1"/>
  <c r="F6681" i="1"/>
  <c r="H6680" i="1"/>
  <c r="G6680" i="1"/>
  <c r="F6680" i="1"/>
  <c r="H6679" i="1"/>
  <c r="G6679" i="1"/>
  <c r="F6679" i="1"/>
  <c r="H6678" i="1"/>
  <c r="G6678" i="1"/>
  <c r="F6678" i="1"/>
  <c r="H6677" i="1"/>
  <c r="G6677" i="1"/>
  <c r="F6677" i="1"/>
  <c r="H6676" i="1"/>
  <c r="G6676" i="1"/>
  <c r="F6676" i="1"/>
  <c r="H6675" i="1"/>
  <c r="G6675" i="1"/>
  <c r="F6675" i="1"/>
  <c r="H6674" i="1"/>
  <c r="G6674" i="1"/>
  <c r="F6674" i="1"/>
  <c r="H6673" i="1"/>
  <c r="G6673" i="1"/>
  <c r="F6673" i="1"/>
  <c r="H6672" i="1"/>
  <c r="G6672" i="1"/>
  <c r="F6672" i="1"/>
  <c r="H6671" i="1"/>
  <c r="G6671" i="1"/>
  <c r="F6671" i="1"/>
  <c r="H6670" i="1"/>
  <c r="G6670" i="1"/>
  <c r="F6670" i="1"/>
  <c r="H6669" i="1"/>
  <c r="G6669" i="1"/>
  <c r="F6669" i="1"/>
  <c r="H6668" i="1"/>
  <c r="G6668" i="1"/>
  <c r="F6668" i="1"/>
  <c r="H6667" i="1"/>
  <c r="G6667" i="1"/>
  <c r="F6667" i="1"/>
  <c r="H6666" i="1"/>
  <c r="G6666" i="1"/>
  <c r="F6666" i="1"/>
  <c r="H6665" i="1"/>
  <c r="G6665" i="1"/>
  <c r="F6665" i="1"/>
  <c r="H6664" i="1"/>
  <c r="G6664" i="1"/>
  <c r="F6664" i="1"/>
  <c r="H6663" i="1"/>
  <c r="G6663" i="1"/>
  <c r="F6663" i="1"/>
  <c r="H6662" i="1"/>
  <c r="G6662" i="1"/>
  <c r="F6662" i="1"/>
  <c r="H6661" i="1"/>
  <c r="G6661" i="1"/>
  <c r="F6661" i="1"/>
  <c r="H6660" i="1"/>
  <c r="G6660" i="1"/>
  <c r="F6660" i="1"/>
  <c r="H6659" i="1"/>
  <c r="G6659" i="1"/>
  <c r="F6659" i="1"/>
  <c r="H6658" i="1"/>
  <c r="G6658" i="1"/>
  <c r="F6658" i="1"/>
  <c r="H6657" i="1"/>
  <c r="G6657" i="1"/>
  <c r="F6657" i="1"/>
  <c r="H6656" i="1"/>
  <c r="G6656" i="1"/>
  <c r="F6656" i="1"/>
  <c r="H6655" i="1"/>
  <c r="G6655" i="1"/>
  <c r="F6655" i="1"/>
  <c r="H6654" i="1"/>
  <c r="G6654" i="1"/>
  <c r="F6654" i="1"/>
  <c r="H6653" i="1"/>
  <c r="G6653" i="1"/>
  <c r="F6653" i="1"/>
  <c r="H6652" i="1"/>
  <c r="G6652" i="1"/>
  <c r="F6652" i="1"/>
  <c r="H6651" i="1"/>
  <c r="G6651" i="1"/>
  <c r="F6651" i="1"/>
  <c r="H6650" i="1"/>
  <c r="G6650" i="1"/>
  <c r="F6650" i="1"/>
  <c r="H6649" i="1"/>
  <c r="G6649" i="1"/>
  <c r="F6649" i="1"/>
  <c r="H6648" i="1"/>
  <c r="G6648" i="1"/>
  <c r="F6648" i="1"/>
  <c r="H6647" i="1"/>
  <c r="G6647" i="1"/>
  <c r="F6647" i="1"/>
  <c r="H6646" i="1"/>
  <c r="G6646" i="1"/>
  <c r="F6646" i="1"/>
  <c r="H6645" i="1"/>
  <c r="G6645" i="1"/>
  <c r="F6645" i="1"/>
  <c r="H6644" i="1"/>
  <c r="G6644" i="1"/>
  <c r="F6644" i="1"/>
  <c r="H6643" i="1"/>
  <c r="G6643" i="1"/>
  <c r="F6643" i="1"/>
  <c r="H6642" i="1"/>
  <c r="G6642" i="1"/>
  <c r="F6642" i="1"/>
  <c r="H6641" i="1"/>
  <c r="G6641" i="1"/>
  <c r="F6641" i="1"/>
  <c r="H6640" i="1"/>
  <c r="G6640" i="1"/>
  <c r="F6640" i="1"/>
  <c r="H6639" i="1"/>
  <c r="G6639" i="1"/>
  <c r="F6639" i="1"/>
  <c r="H6638" i="1"/>
  <c r="G6638" i="1"/>
  <c r="F6638" i="1"/>
  <c r="H6637" i="1"/>
  <c r="G6637" i="1"/>
  <c r="F6637" i="1"/>
  <c r="H6636" i="1"/>
  <c r="G6636" i="1"/>
  <c r="F6636" i="1"/>
  <c r="H6635" i="1"/>
  <c r="G6635" i="1"/>
  <c r="F6635" i="1"/>
  <c r="H6634" i="1"/>
  <c r="G6634" i="1"/>
  <c r="F6634" i="1"/>
  <c r="H6633" i="1"/>
  <c r="G6633" i="1"/>
  <c r="F6633" i="1"/>
  <c r="H6632" i="1"/>
  <c r="G6632" i="1"/>
  <c r="F6632" i="1"/>
  <c r="H6631" i="1"/>
  <c r="G6631" i="1"/>
  <c r="F6631" i="1"/>
  <c r="H6630" i="1"/>
  <c r="G6630" i="1"/>
  <c r="F6630" i="1"/>
  <c r="H6629" i="1"/>
  <c r="G6629" i="1"/>
  <c r="F6629" i="1"/>
  <c r="H6628" i="1"/>
  <c r="G6628" i="1"/>
  <c r="F6628" i="1"/>
  <c r="H6627" i="1"/>
  <c r="G6627" i="1"/>
  <c r="F6627" i="1"/>
  <c r="H6626" i="1"/>
  <c r="G6626" i="1"/>
  <c r="F6626" i="1"/>
  <c r="H6625" i="1"/>
  <c r="G6625" i="1"/>
  <c r="F6625" i="1"/>
  <c r="H6624" i="1"/>
  <c r="G6624" i="1"/>
  <c r="F6624" i="1"/>
  <c r="H6623" i="1"/>
  <c r="G6623" i="1"/>
  <c r="F6623" i="1"/>
  <c r="H6622" i="1"/>
  <c r="G6622" i="1"/>
  <c r="F6622" i="1"/>
  <c r="H6621" i="1"/>
  <c r="G6621" i="1"/>
  <c r="F6621" i="1"/>
  <c r="H6620" i="1"/>
  <c r="G6620" i="1"/>
  <c r="F6620" i="1"/>
  <c r="H6619" i="1"/>
  <c r="G6619" i="1"/>
  <c r="F6619" i="1"/>
  <c r="H6618" i="1"/>
  <c r="G6618" i="1"/>
  <c r="F6618" i="1"/>
  <c r="H6617" i="1"/>
  <c r="G6617" i="1"/>
  <c r="F6617" i="1"/>
  <c r="H6616" i="1"/>
  <c r="G6616" i="1"/>
  <c r="F6616" i="1"/>
  <c r="H6615" i="1"/>
  <c r="G6615" i="1"/>
  <c r="F6615" i="1"/>
  <c r="H6614" i="1"/>
  <c r="G6614" i="1"/>
  <c r="F6614" i="1"/>
  <c r="H6613" i="1"/>
  <c r="G6613" i="1"/>
  <c r="F6613" i="1"/>
  <c r="H6612" i="1"/>
  <c r="G6612" i="1"/>
  <c r="F6612" i="1"/>
  <c r="H6611" i="1"/>
  <c r="G6611" i="1"/>
  <c r="F6611" i="1"/>
  <c r="H6610" i="1"/>
  <c r="G6610" i="1"/>
  <c r="F6610" i="1"/>
  <c r="H6609" i="1"/>
  <c r="G6609" i="1"/>
  <c r="F6609" i="1"/>
  <c r="H6608" i="1"/>
  <c r="G6608" i="1"/>
  <c r="F6608" i="1"/>
  <c r="H6607" i="1"/>
  <c r="G6607" i="1"/>
  <c r="F6607" i="1"/>
  <c r="H6606" i="1"/>
  <c r="G6606" i="1"/>
  <c r="F6606" i="1"/>
  <c r="H6605" i="1"/>
  <c r="G6605" i="1"/>
  <c r="F6605" i="1"/>
  <c r="H6604" i="1"/>
  <c r="G6604" i="1"/>
  <c r="F6604" i="1"/>
  <c r="H6603" i="1"/>
  <c r="G6603" i="1"/>
  <c r="F6603" i="1"/>
  <c r="H6602" i="1"/>
  <c r="G6602" i="1"/>
  <c r="F6602" i="1"/>
  <c r="H6601" i="1"/>
  <c r="G6601" i="1"/>
  <c r="F6601" i="1"/>
  <c r="H6600" i="1"/>
  <c r="G6600" i="1"/>
  <c r="F6600" i="1"/>
  <c r="H6599" i="1"/>
  <c r="G6599" i="1"/>
  <c r="F6599" i="1"/>
  <c r="H6598" i="1"/>
  <c r="G6598" i="1"/>
  <c r="F6598" i="1"/>
  <c r="H6597" i="1"/>
  <c r="G6597" i="1"/>
  <c r="F6597" i="1"/>
  <c r="H6596" i="1"/>
  <c r="G6596" i="1"/>
  <c r="F6596" i="1"/>
  <c r="H6595" i="1"/>
  <c r="G6595" i="1"/>
  <c r="F6595" i="1"/>
  <c r="H6594" i="1"/>
  <c r="G6594" i="1"/>
  <c r="F6594" i="1"/>
  <c r="H6593" i="1"/>
  <c r="G6593" i="1"/>
  <c r="F6593" i="1"/>
  <c r="H6592" i="1"/>
  <c r="G6592" i="1"/>
  <c r="F6592" i="1"/>
  <c r="H6591" i="1"/>
  <c r="G6591" i="1"/>
  <c r="F6591" i="1"/>
  <c r="H6590" i="1"/>
  <c r="G6590" i="1"/>
  <c r="F6590" i="1"/>
  <c r="H6589" i="1"/>
  <c r="G6589" i="1"/>
  <c r="F6589" i="1"/>
  <c r="H6588" i="1"/>
  <c r="G6588" i="1"/>
  <c r="F6588" i="1"/>
  <c r="H6587" i="1"/>
  <c r="G6587" i="1"/>
  <c r="F6587" i="1"/>
  <c r="H6586" i="1"/>
  <c r="G6586" i="1"/>
  <c r="F6586" i="1"/>
  <c r="H6585" i="1"/>
  <c r="G6585" i="1"/>
  <c r="F6585" i="1"/>
  <c r="H6584" i="1"/>
  <c r="G6584" i="1"/>
  <c r="F6584" i="1"/>
  <c r="H6583" i="1"/>
  <c r="G6583" i="1"/>
  <c r="F6583" i="1"/>
  <c r="H6582" i="1"/>
  <c r="G6582" i="1"/>
  <c r="F6582" i="1"/>
  <c r="H6581" i="1"/>
  <c r="G6581" i="1"/>
  <c r="F6581" i="1"/>
  <c r="H6580" i="1"/>
  <c r="G6580" i="1"/>
  <c r="F6580" i="1"/>
  <c r="H6579" i="1"/>
  <c r="G6579" i="1"/>
  <c r="F6579" i="1"/>
  <c r="H6578" i="1"/>
  <c r="G6578" i="1"/>
  <c r="F6578" i="1"/>
  <c r="H6577" i="1"/>
  <c r="G6577" i="1"/>
  <c r="F6577" i="1"/>
  <c r="H6576" i="1"/>
  <c r="G6576" i="1"/>
  <c r="F6576" i="1"/>
  <c r="H6575" i="1"/>
  <c r="G6575" i="1"/>
  <c r="F6575" i="1"/>
  <c r="H6574" i="1"/>
  <c r="G6574" i="1"/>
  <c r="F6574" i="1"/>
  <c r="H6573" i="1"/>
  <c r="G6573" i="1"/>
  <c r="F6573" i="1"/>
  <c r="H6572" i="1"/>
  <c r="G6572" i="1"/>
  <c r="F6572" i="1"/>
  <c r="H6571" i="1"/>
  <c r="G6571" i="1"/>
  <c r="F6571" i="1"/>
  <c r="H6570" i="1"/>
  <c r="G6570" i="1"/>
  <c r="F6570" i="1"/>
  <c r="H6569" i="1"/>
  <c r="G6569" i="1"/>
  <c r="F6569" i="1"/>
  <c r="H6568" i="1"/>
  <c r="G6568" i="1"/>
  <c r="F6568" i="1"/>
  <c r="H6567" i="1"/>
  <c r="G6567" i="1"/>
  <c r="F6567" i="1"/>
  <c r="H6566" i="1"/>
  <c r="G6566" i="1"/>
  <c r="F6566" i="1"/>
  <c r="H6565" i="1"/>
  <c r="G6565" i="1"/>
  <c r="F6565" i="1"/>
  <c r="H6564" i="1"/>
  <c r="G6564" i="1"/>
  <c r="F6564" i="1"/>
  <c r="H6563" i="1"/>
  <c r="G6563" i="1"/>
  <c r="F6563" i="1"/>
  <c r="H6562" i="1"/>
  <c r="G6562" i="1"/>
  <c r="F6562" i="1"/>
  <c r="H6561" i="1"/>
  <c r="G6561" i="1"/>
  <c r="F6561" i="1"/>
  <c r="H6560" i="1"/>
  <c r="G6560" i="1"/>
  <c r="F6560" i="1"/>
  <c r="H6559" i="1"/>
  <c r="G6559" i="1"/>
  <c r="F6559" i="1"/>
  <c r="H6558" i="1"/>
  <c r="G6558" i="1"/>
  <c r="F6558" i="1"/>
  <c r="H6557" i="1"/>
  <c r="G6557" i="1"/>
  <c r="F6557" i="1"/>
  <c r="H6556" i="1"/>
  <c r="G6556" i="1"/>
  <c r="F6556" i="1"/>
  <c r="H6555" i="1"/>
  <c r="G6555" i="1"/>
  <c r="F6555" i="1"/>
  <c r="H6554" i="1"/>
  <c r="G6554" i="1"/>
  <c r="F6554" i="1"/>
  <c r="H6553" i="1"/>
  <c r="G6553" i="1"/>
  <c r="F6553" i="1"/>
  <c r="H6552" i="1"/>
  <c r="G6552" i="1"/>
  <c r="F6552" i="1"/>
  <c r="H6551" i="1"/>
  <c r="G6551" i="1"/>
  <c r="F6551" i="1"/>
  <c r="H6550" i="1"/>
  <c r="G6550" i="1"/>
  <c r="F6550" i="1"/>
  <c r="H6549" i="1"/>
  <c r="G6549" i="1"/>
  <c r="F6549" i="1"/>
  <c r="H6548" i="1"/>
  <c r="G6548" i="1"/>
  <c r="F6548" i="1"/>
  <c r="H6547" i="1"/>
  <c r="G6547" i="1"/>
  <c r="F6547" i="1"/>
  <c r="H6546" i="1"/>
  <c r="G6546" i="1"/>
  <c r="F6546" i="1"/>
  <c r="H6545" i="1"/>
  <c r="G6545" i="1"/>
  <c r="F6545" i="1"/>
  <c r="H6544" i="1"/>
  <c r="G6544" i="1"/>
  <c r="F6544" i="1"/>
  <c r="H6543" i="1"/>
  <c r="G6543" i="1"/>
  <c r="F6543" i="1"/>
  <c r="H6542" i="1"/>
  <c r="G6542" i="1"/>
  <c r="F6542" i="1"/>
  <c r="H6541" i="1"/>
  <c r="G6541" i="1"/>
  <c r="F6541" i="1"/>
  <c r="H6540" i="1"/>
  <c r="G6540" i="1"/>
  <c r="F6540" i="1"/>
  <c r="H6539" i="1"/>
  <c r="G6539" i="1"/>
  <c r="F6539" i="1"/>
  <c r="H6538" i="1"/>
  <c r="G6538" i="1"/>
  <c r="F6538" i="1"/>
  <c r="H6537" i="1"/>
  <c r="G6537" i="1"/>
  <c r="F6537" i="1"/>
  <c r="H6536" i="1"/>
  <c r="G6536" i="1"/>
  <c r="F6536" i="1"/>
  <c r="H6535" i="1"/>
  <c r="G6535" i="1"/>
  <c r="F6535" i="1"/>
  <c r="H6534" i="1"/>
  <c r="G6534" i="1"/>
  <c r="F6534" i="1"/>
  <c r="H6533" i="1"/>
  <c r="G6533" i="1"/>
  <c r="F6533" i="1"/>
  <c r="H6532" i="1"/>
  <c r="G6532" i="1"/>
  <c r="F6532" i="1"/>
  <c r="H6531" i="1"/>
  <c r="G6531" i="1"/>
  <c r="F6531" i="1"/>
  <c r="H6530" i="1"/>
  <c r="G6530" i="1"/>
  <c r="F6530" i="1"/>
  <c r="H6529" i="1"/>
  <c r="G6529" i="1"/>
  <c r="F6529" i="1"/>
  <c r="H6528" i="1"/>
  <c r="G6528" i="1"/>
  <c r="F6528" i="1"/>
  <c r="H6527" i="1"/>
  <c r="G6527" i="1"/>
  <c r="F6527" i="1"/>
  <c r="H6526" i="1"/>
  <c r="G6526" i="1"/>
  <c r="F6526" i="1"/>
  <c r="H6525" i="1"/>
  <c r="G6525" i="1"/>
  <c r="F6525" i="1"/>
  <c r="H6524" i="1"/>
  <c r="G6524" i="1"/>
  <c r="F6524" i="1"/>
  <c r="H6523" i="1"/>
  <c r="G6523" i="1"/>
  <c r="F6523" i="1"/>
  <c r="H6522" i="1"/>
  <c r="G6522" i="1"/>
  <c r="F6522" i="1"/>
  <c r="H6521" i="1"/>
  <c r="G6521" i="1"/>
  <c r="F6521" i="1"/>
  <c r="H6520" i="1"/>
  <c r="G6520" i="1"/>
  <c r="F6520" i="1"/>
  <c r="H6519" i="1"/>
  <c r="G6519" i="1"/>
  <c r="F6519" i="1"/>
  <c r="H6518" i="1"/>
  <c r="G6518" i="1"/>
  <c r="F6518" i="1"/>
  <c r="H6517" i="1"/>
  <c r="G6517" i="1"/>
  <c r="F6517" i="1"/>
  <c r="H6516" i="1"/>
  <c r="G6516" i="1"/>
  <c r="F6516" i="1"/>
  <c r="H6515" i="1"/>
  <c r="G6515" i="1"/>
  <c r="F6515" i="1"/>
  <c r="H6514" i="1"/>
  <c r="G6514" i="1"/>
  <c r="F6514" i="1"/>
  <c r="H6513" i="1"/>
  <c r="G6513" i="1"/>
  <c r="F6513" i="1"/>
  <c r="H6512" i="1"/>
  <c r="G6512" i="1"/>
  <c r="F6512" i="1"/>
  <c r="H6511" i="1"/>
  <c r="G6511" i="1"/>
  <c r="F6511" i="1"/>
  <c r="H6510" i="1"/>
  <c r="G6510" i="1"/>
  <c r="F6510" i="1"/>
  <c r="H6509" i="1"/>
  <c r="G6509" i="1"/>
  <c r="F6509" i="1"/>
  <c r="H6508" i="1"/>
  <c r="G6508" i="1"/>
  <c r="F6508" i="1"/>
  <c r="H6507" i="1"/>
  <c r="G6507" i="1"/>
  <c r="F6507" i="1"/>
  <c r="H6506" i="1"/>
  <c r="G6506" i="1"/>
  <c r="F6506" i="1"/>
  <c r="H6505" i="1"/>
  <c r="G6505" i="1"/>
  <c r="F6505" i="1"/>
  <c r="H6504" i="1"/>
  <c r="G6504" i="1"/>
  <c r="F6504" i="1"/>
  <c r="H6503" i="1"/>
  <c r="G6503" i="1"/>
  <c r="F6503" i="1"/>
  <c r="H6502" i="1"/>
  <c r="G6502" i="1"/>
  <c r="F6502" i="1"/>
  <c r="H6501" i="1"/>
  <c r="G6501" i="1"/>
  <c r="F6501" i="1"/>
  <c r="H6500" i="1"/>
  <c r="G6500" i="1"/>
  <c r="F6500" i="1"/>
  <c r="H6499" i="1"/>
  <c r="G6499" i="1"/>
  <c r="F6499" i="1"/>
  <c r="H6498" i="1"/>
  <c r="G6498" i="1"/>
  <c r="F6498" i="1"/>
  <c r="H6497" i="1"/>
  <c r="G6497" i="1"/>
  <c r="F6497" i="1"/>
  <c r="H6496" i="1"/>
  <c r="G6496" i="1"/>
  <c r="F6496" i="1"/>
  <c r="H6495" i="1"/>
  <c r="G6495" i="1"/>
  <c r="F6495" i="1"/>
  <c r="H6494" i="1"/>
  <c r="G6494" i="1"/>
  <c r="F6494" i="1"/>
  <c r="H6493" i="1"/>
  <c r="G6493" i="1"/>
  <c r="F6493" i="1"/>
  <c r="H6492" i="1"/>
  <c r="G6492" i="1"/>
  <c r="F6492" i="1"/>
  <c r="H6491" i="1"/>
  <c r="G6491" i="1"/>
  <c r="F6491" i="1"/>
  <c r="H6490" i="1"/>
  <c r="G6490" i="1"/>
  <c r="F6490" i="1"/>
  <c r="H6489" i="1"/>
  <c r="G6489" i="1"/>
  <c r="F6489" i="1"/>
  <c r="H6488" i="1"/>
  <c r="G6488" i="1"/>
  <c r="F6488" i="1"/>
  <c r="H6487" i="1"/>
  <c r="G6487" i="1"/>
  <c r="F6487" i="1"/>
  <c r="H6486" i="1"/>
  <c r="G6486" i="1"/>
  <c r="F6486" i="1"/>
  <c r="H6485" i="1"/>
  <c r="G6485" i="1"/>
  <c r="F6485" i="1"/>
  <c r="H6484" i="1"/>
  <c r="G6484" i="1"/>
  <c r="F6484" i="1"/>
  <c r="H6483" i="1"/>
  <c r="G6483" i="1"/>
  <c r="F6483" i="1"/>
  <c r="H6482" i="1"/>
  <c r="G6482" i="1"/>
  <c r="F6482" i="1"/>
  <c r="H6481" i="1"/>
  <c r="G6481" i="1"/>
  <c r="F6481" i="1"/>
  <c r="H6480" i="1"/>
  <c r="G6480" i="1"/>
  <c r="F6480" i="1"/>
  <c r="H6479" i="1"/>
  <c r="G6479" i="1"/>
  <c r="F6479" i="1"/>
  <c r="H6478" i="1"/>
  <c r="G6478" i="1"/>
  <c r="F6478" i="1"/>
  <c r="H6477" i="1"/>
  <c r="G6477" i="1"/>
  <c r="F6477" i="1"/>
  <c r="H6476" i="1"/>
  <c r="G6476" i="1"/>
  <c r="F6476" i="1"/>
  <c r="H6475" i="1"/>
  <c r="G6475" i="1"/>
  <c r="F6475" i="1"/>
  <c r="H6474" i="1"/>
  <c r="G6474" i="1"/>
  <c r="F6474" i="1"/>
  <c r="H6473" i="1"/>
  <c r="G6473" i="1"/>
  <c r="F6473" i="1"/>
  <c r="H6472" i="1"/>
  <c r="G6472" i="1"/>
  <c r="F6472" i="1"/>
  <c r="H6471" i="1"/>
  <c r="G6471" i="1"/>
  <c r="F6471" i="1"/>
  <c r="H6470" i="1"/>
  <c r="G6470" i="1"/>
  <c r="F6470" i="1"/>
  <c r="H6469" i="1"/>
  <c r="G6469" i="1"/>
  <c r="F6469" i="1"/>
  <c r="H6468" i="1"/>
  <c r="G6468" i="1"/>
  <c r="F6468" i="1"/>
  <c r="H6467" i="1"/>
  <c r="G6467" i="1"/>
  <c r="F6467" i="1"/>
  <c r="H6466" i="1"/>
  <c r="G6466" i="1"/>
  <c r="F6466" i="1"/>
  <c r="H6465" i="1"/>
  <c r="G6465" i="1"/>
  <c r="F6465" i="1"/>
  <c r="H6464" i="1"/>
  <c r="G6464" i="1"/>
  <c r="F6464" i="1"/>
  <c r="H6463" i="1"/>
  <c r="G6463" i="1"/>
  <c r="F6463" i="1"/>
  <c r="H6462" i="1"/>
  <c r="G6462" i="1"/>
  <c r="F6462" i="1"/>
  <c r="H6461" i="1"/>
  <c r="G6461" i="1"/>
  <c r="F6461" i="1"/>
  <c r="H6460" i="1"/>
  <c r="G6460" i="1"/>
  <c r="F6460" i="1"/>
  <c r="H6459" i="1"/>
  <c r="G6459" i="1"/>
  <c r="F6459" i="1"/>
  <c r="H6458" i="1"/>
  <c r="G6458" i="1"/>
  <c r="F6458" i="1"/>
  <c r="H6457" i="1"/>
  <c r="G6457" i="1"/>
  <c r="F6457" i="1"/>
  <c r="H6456" i="1"/>
  <c r="G6456" i="1"/>
  <c r="F6456" i="1"/>
  <c r="H6455" i="1"/>
  <c r="G6455" i="1"/>
  <c r="F6455" i="1"/>
  <c r="H6454" i="1"/>
  <c r="G6454" i="1"/>
  <c r="F6454" i="1"/>
  <c r="H6453" i="1"/>
  <c r="G6453" i="1"/>
  <c r="F6453" i="1"/>
  <c r="H6452" i="1"/>
  <c r="G6452" i="1"/>
  <c r="F6452" i="1"/>
  <c r="H6451" i="1"/>
  <c r="G6451" i="1"/>
  <c r="F6451" i="1"/>
  <c r="H6450" i="1"/>
  <c r="G6450" i="1"/>
  <c r="F6450" i="1"/>
  <c r="H6449" i="1"/>
  <c r="G6449" i="1"/>
  <c r="F6449" i="1"/>
  <c r="H6448" i="1"/>
  <c r="G6448" i="1"/>
  <c r="F6448" i="1"/>
  <c r="H6447" i="1"/>
  <c r="G6447" i="1"/>
  <c r="F6447" i="1"/>
  <c r="H6446" i="1"/>
  <c r="G6446" i="1"/>
  <c r="F6446" i="1"/>
  <c r="H6445" i="1"/>
  <c r="G6445" i="1"/>
  <c r="F6445" i="1"/>
  <c r="H6444" i="1"/>
  <c r="G6444" i="1"/>
  <c r="F6444" i="1"/>
  <c r="H6443" i="1"/>
  <c r="G6443" i="1"/>
  <c r="F6443" i="1"/>
  <c r="H6442" i="1"/>
  <c r="G6442" i="1"/>
  <c r="F6442" i="1"/>
  <c r="H6441" i="1"/>
  <c r="G6441" i="1"/>
  <c r="F6441" i="1"/>
  <c r="H6440" i="1"/>
  <c r="G6440" i="1"/>
  <c r="F6440" i="1"/>
  <c r="H6439" i="1"/>
  <c r="G6439" i="1"/>
  <c r="F6439" i="1"/>
  <c r="H6438" i="1"/>
  <c r="G6438" i="1"/>
  <c r="F6438" i="1"/>
  <c r="H6437" i="1"/>
  <c r="G6437" i="1"/>
  <c r="F6437" i="1"/>
  <c r="H6436" i="1"/>
  <c r="G6436" i="1"/>
  <c r="F6436" i="1"/>
  <c r="H6435" i="1"/>
  <c r="G6435" i="1"/>
  <c r="F6435" i="1"/>
  <c r="H6434" i="1"/>
  <c r="G6434" i="1"/>
  <c r="F6434" i="1"/>
  <c r="H6433" i="1"/>
  <c r="G6433" i="1"/>
  <c r="F6433" i="1"/>
  <c r="H6432" i="1"/>
  <c r="G6432" i="1"/>
  <c r="F6432" i="1"/>
  <c r="H6431" i="1"/>
  <c r="G6431" i="1"/>
  <c r="F6431" i="1"/>
  <c r="H6430" i="1"/>
  <c r="G6430" i="1"/>
  <c r="F6430" i="1"/>
  <c r="H6429" i="1"/>
  <c r="G6429" i="1"/>
  <c r="F6429" i="1"/>
  <c r="H6428" i="1"/>
  <c r="G6428" i="1"/>
  <c r="F6428" i="1"/>
  <c r="H6427" i="1"/>
  <c r="G6427" i="1"/>
  <c r="F6427" i="1"/>
  <c r="H6426" i="1"/>
  <c r="G6426" i="1"/>
  <c r="F6426" i="1"/>
  <c r="H6425" i="1"/>
  <c r="G6425" i="1"/>
  <c r="F6425" i="1"/>
  <c r="H6424" i="1"/>
  <c r="G6424" i="1"/>
  <c r="F6424" i="1"/>
  <c r="H6423" i="1"/>
  <c r="G6423" i="1"/>
  <c r="F6423" i="1"/>
  <c r="H6422" i="1"/>
  <c r="G6422" i="1"/>
  <c r="F6422" i="1"/>
  <c r="H6421" i="1"/>
  <c r="G6421" i="1"/>
  <c r="F6421" i="1"/>
  <c r="H6420" i="1"/>
  <c r="G6420" i="1"/>
  <c r="F6420" i="1"/>
  <c r="H6419" i="1"/>
  <c r="G6419" i="1"/>
  <c r="F6419" i="1"/>
  <c r="H6418" i="1"/>
  <c r="G6418" i="1"/>
  <c r="F6418" i="1"/>
  <c r="H6417" i="1"/>
  <c r="G6417" i="1"/>
  <c r="F6417" i="1"/>
  <c r="H6416" i="1"/>
  <c r="G6416" i="1"/>
  <c r="F6416" i="1"/>
  <c r="H6415" i="1"/>
  <c r="G6415" i="1"/>
  <c r="F6415" i="1"/>
  <c r="H6414" i="1"/>
  <c r="G6414" i="1"/>
  <c r="F6414" i="1"/>
  <c r="H6413" i="1"/>
  <c r="G6413" i="1"/>
  <c r="F6413" i="1"/>
  <c r="H6412" i="1"/>
  <c r="G6412" i="1"/>
  <c r="F6412" i="1"/>
  <c r="H6411" i="1"/>
  <c r="G6411" i="1"/>
  <c r="F6411" i="1"/>
  <c r="H6410" i="1"/>
  <c r="G6410" i="1"/>
  <c r="F6410" i="1"/>
  <c r="H6409" i="1"/>
  <c r="G6409" i="1"/>
  <c r="F6409" i="1"/>
  <c r="H6408" i="1"/>
  <c r="G6408" i="1"/>
  <c r="F6408" i="1"/>
  <c r="H6407" i="1"/>
  <c r="G6407" i="1"/>
  <c r="F6407" i="1"/>
  <c r="H6406" i="1"/>
  <c r="G6406" i="1"/>
  <c r="F6406" i="1"/>
  <c r="H6405" i="1"/>
  <c r="G6405" i="1"/>
  <c r="F6405" i="1"/>
  <c r="H6404" i="1"/>
  <c r="G6404" i="1"/>
  <c r="F6404" i="1"/>
  <c r="H6403" i="1"/>
  <c r="G6403" i="1"/>
  <c r="F6403" i="1"/>
  <c r="H6402" i="1"/>
  <c r="G6402" i="1"/>
  <c r="F6402" i="1"/>
  <c r="H6401" i="1"/>
  <c r="G6401" i="1"/>
  <c r="F6401" i="1"/>
  <c r="H6400" i="1"/>
  <c r="G6400" i="1"/>
  <c r="F6400" i="1"/>
  <c r="H6399" i="1"/>
  <c r="G6399" i="1"/>
  <c r="F6399" i="1"/>
  <c r="H6398" i="1"/>
  <c r="G6398" i="1"/>
  <c r="F6398" i="1"/>
  <c r="H6397" i="1"/>
  <c r="G6397" i="1"/>
  <c r="F6397" i="1"/>
  <c r="H6396" i="1"/>
  <c r="G6396" i="1"/>
  <c r="F6396" i="1"/>
  <c r="H6395" i="1"/>
  <c r="G6395" i="1"/>
  <c r="F6395" i="1"/>
  <c r="H6394" i="1"/>
  <c r="G6394" i="1"/>
  <c r="F6394" i="1"/>
  <c r="H6393" i="1"/>
  <c r="G6393" i="1"/>
  <c r="F6393" i="1"/>
  <c r="H6392" i="1"/>
  <c r="G6392" i="1"/>
  <c r="F6392" i="1"/>
  <c r="H6391" i="1"/>
  <c r="G6391" i="1"/>
  <c r="F6391" i="1"/>
  <c r="H6390" i="1"/>
  <c r="G6390" i="1"/>
  <c r="F6390" i="1"/>
  <c r="H6389" i="1"/>
  <c r="G6389" i="1"/>
  <c r="F6389" i="1"/>
  <c r="H6388" i="1"/>
  <c r="G6388" i="1"/>
  <c r="F6388" i="1"/>
  <c r="H6387" i="1"/>
  <c r="G6387" i="1"/>
  <c r="F6387" i="1"/>
  <c r="H6386" i="1"/>
  <c r="G6386" i="1"/>
  <c r="F6386" i="1"/>
  <c r="H6385" i="1"/>
  <c r="G6385" i="1"/>
  <c r="F6385" i="1"/>
  <c r="H6384" i="1"/>
  <c r="G6384" i="1"/>
  <c r="F6384" i="1"/>
  <c r="H6383" i="1"/>
  <c r="G6383" i="1"/>
  <c r="F6383" i="1"/>
  <c r="H6382" i="1"/>
  <c r="G6382" i="1"/>
  <c r="F6382" i="1"/>
  <c r="H6381" i="1"/>
  <c r="G6381" i="1"/>
  <c r="F6381" i="1"/>
  <c r="H6380" i="1"/>
  <c r="G6380" i="1"/>
  <c r="F6380" i="1"/>
  <c r="H6379" i="1"/>
  <c r="G6379" i="1"/>
  <c r="F6379" i="1"/>
  <c r="H6378" i="1"/>
  <c r="G6378" i="1"/>
  <c r="F6378" i="1"/>
  <c r="H6377" i="1"/>
  <c r="G6377" i="1"/>
  <c r="F6377" i="1"/>
  <c r="H6376" i="1"/>
  <c r="G6376" i="1"/>
  <c r="F6376" i="1"/>
  <c r="H6375" i="1"/>
  <c r="G6375" i="1"/>
  <c r="F6375" i="1"/>
  <c r="H6374" i="1"/>
  <c r="G6374" i="1"/>
  <c r="F6374" i="1"/>
  <c r="H6373" i="1"/>
  <c r="G6373" i="1"/>
  <c r="F6373" i="1"/>
  <c r="H6372" i="1"/>
  <c r="G6372" i="1"/>
  <c r="F6372" i="1"/>
  <c r="H6371" i="1"/>
  <c r="G6371" i="1"/>
  <c r="F6371" i="1"/>
  <c r="H6370" i="1"/>
  <c r="G6370" i="1"/>
  <c r="F6370" i="1"/>
  <c r="H6369" i="1"/>
  <c r="G6369" i="1"/>
  <c r="F6369" i="1"/>
  <c r="H6368" i="1"/>
  <c r="G6368" i="1"/>
  <c r="F6368" i="1"/>
  <c r="H6367" i="1"/>
  <c r="G6367" i="1"/>
  <c r="F6367" i="1"/>
  <c r="H6366" i="1"/>
  <c r="G6366" i="1"/>
  <c r="F6366" i="1"/>
  <c r="H6365" i="1"/>
  <c r="G6365" i="1"/>
  <c r="F6365" i="1"/>
  <c r="H6364" i="1"/>
  <c r="G6364" i="1"/>
  <c r="F6364" i="1"/>
  <c r="H6363" i="1"/>
  <c r="G6363" i="1"/>
  <c r="F6363" i="1"/>
  <c r="H6362" i="1"/>
  <c r="G6362" i="1"/>
  <c r="F6362" i="1"/>
  <c r="H6361" i="1"/>
  <c r="G6361" i="1"/>
  <c r="F6361" i="1"/>
  <c r="H6360" i="1"/>
  <c r="G6360" i="1"/>
  <c r="F6360" i="1"/>
  <c r="H6359" i="1"/>
  <c r="G6359" i="1"/>
  <c r="F6359" i="1"/>
  <c r="H6358" i="1"/>
  <c r="G6358" i="1"/>
  <c r="F6358" i="1"/>
  <c r="H6357" i="1"/>
  <c r="G6357" i="1"/>
  <c r="F6357" i="1"/>
  <c r="H6356" i="1"/>
  <c r="G6356" i="1"/>
  <c r="F6356" i="1"/>
  <c r="H6355" i="1"/>
  <c r="G6355" i="1"/>
  <c r="F6355" i="1"/>
  <c r="H6354" i="1"/>
  <c r="G6354" i="1"/>
  <c r="F6354" i="1"/>
  <c r="H6353" i="1"/>
  <c r="G6353" i="1"/>
  <c r="F6353" i="1"/>
  <c r="H6352" i="1"/>
  <c r="G6352" i="1"/>
  <c r="F6352" i="1"/>
  <c r="H6351" i="1"/>
  <c r="G6351" i="1"/>
  <c r="F6351" i="1"/>
  <c r="H6350" i="1"/>
  <c r="G6350" i="1"/>
  <c r="F6350" i="1"/>
  <c r="H6349" i="1"/>
  <c r="G6349" i="1"/>
  <c r="F6349" i="1"/>
  <c r="H6348" i="1"/>
  <c r="G6348" i="1"/>
  <c r="F6348" i="1"/>
  <c r="H6347" i="1"/>
  <c r="G6347" i="1"/>
  <c r="F6347" i="1"/>
  <c r="H6346" i="1"/>
  <c r="G6346" i="1"/>
  <c r="F6346" i="1"/>
  <c r="H6345" i="1"/>
  <c r="G6345" i="1"/>
  <c r="F6345" i="1"/>
  <c r="H6344" i="1"/>
  <c r="G6344" i="1"/>
  <c r="F6344" i="1"/>
  <c r="H6343" i="1"/>
  <c r="G6343" i="1"/>
  <c r="F6343" i="1"/>
  <c r="H6342" i="1"/>
  <c r="G6342" i="1"/>
  <c r="F6342" i="1"/>
  <c r="H6341" i="1"/>
  <c r="G6341" i="1"/>
  <c r="F6341" i="1"/>
  <c r="H6340" i="1"/>
  <c r="G6340" i="1"/>
  <c r="F6340" i="1"/>
  <c r="H6339" i="1"/>
  <c r="G6339" i="1"/>
  <c r="F6339" i="1"/>
  <c r="H6338" i="1"/>
  <c r="G6338" i="1"/>
  <c r="F6338" i="1"/>
  <c r="H6337" i="1"/>
  <c r="G6337" i="1"/>
  <c r="F6337" i="1"/>
  <c r="H6336" i="1"/>
  <c r="G6336" i="1"/>
  <c r="F6336" i="1"/>
  <c r="H6335" i="1"/>
  <c r="G6335" i="1"/>
  <c r="F6335" i="1"/>
  <c r="H6334" i="1"/>
  <c r="G6334" i="1"/>
  <c r="F6334" i="1"/>
  <c r="H6333" i="1"/>
  <c r="G6333" i="1"/>
  <c r="F6333" i="1"/>
  <c r="H6332" i="1"/>
  <c r="G6332" i="1"/>
  <c r="F6332" i="1"/>
  <c r="H6331" i="1"/>
  <c r="G6331" i="1"/>
  <c r="F6331" i="1"/>
  <c r="H6330" i="1"/>
  <c r="G6330" i="1"/>
  <c r="F6330" i="1"/>
  <c r="H6329" i="1"/>
  <c r="G6329" i="1"/>
  <c r="F6329" i="1"/>
  <c r="H6328" i="1"/>
  <c r="G6328" i="1"/>
  <c r="F6328" i="1"/>
  <c r="H6327" i="1"/>
  <c r="G6327" i="1"/>
  <c r="F6327" i="1"/>
  <c r="H6326" i="1"/>
  <c r="G6326" i="1"/>
  <c r="F6326" i="1"/>
  <c r="H6325" i="1"/>
  <c r="G6325" i="1"/>
  <c r="F6325" i="1"/>
  <c r="H6324" i="1"/>
  <c r="G6324" i="1"/>
  <c r="F6324" i="1"/>
  <c r="H6323" i="1"/>
  <c r="G6323" i="1"/>
  <c r="F6323" i="1"/>
  <c r="H6322" i="1"/>
  <c r="G6322" i="1"/>
  <c r="F6322" i="1"/>
  <c r="H6321" i="1"/>
  <c r="G6321" i="1"/>
  <c r="F6321" i="1"/>
  <c r="H6320" i="1"/>
  <c r="G6320" i="1"/>
  <c r="F6320" i="1"/>
  <c r="H6319" i="1"/>
  <c r="G6319" i="1"/>
  <c r="F6319" i="1"/>
  <c r="H6318" i="1"/>
  <c r="G6318" i="1"/>
  <c r="F6318" i="1"/>
  <c r="H6317" i="1"/>
  <c r="G6317" i="1"/>
  <c r="F6317" i="1"/>
  <c r="H6316" i="1"/>
  <c r="G6316" i="1"/>
  <c r="F6316" i="1"/>
  <c r="H6315" i="1"/>
  <c r="G6315" i="1"/>
  <c r="F6315" i="1"/>
  <c r="H6314" i="1"/>
  <c r="G6314" i="1"/>
  <c r="F6314" i="1"/>
  <c r="H6313" i="1"/>
  <c r="G6313" i="1"/>
  <c r="F6313" i="1"/>
  <c r="H6312" i="1"/>
  <c r="G6312" i="1"/>
  <c r="F6312" i="1"/>
  <c r="H6311" i="1"/>
  <c r="G6311" i="1"/>
  <c r="F6311" i="1"/>
  <c r="H6310" i="1"/>
  <c r="G6310" i="1"/>
  <c r="F6310" i="1"/>
  <c r="H6309" i="1"/>
  <c r="G6309" i="1"/>
  <c r="F6309" i="1"/>
  <c r="H6308" i="1"/>
  <c r="G6308" i="1"/>
  <c r="F6308" i="1"/>
  <c r="H6307" i="1"/>
  <c r="G6307" i="1"/>
  <c r="F6307" i="1"/>
  <c r="H6306" i="1"/>
  <c r="G6306" i="1"/>
  <c r="F6306" i="1"/>
  <c r="H6305" i="1"/>
  <c r="G6305" i="1"/>
  <c r="F6305" i="1"/>
  <c r="H6304" i="1"/>
  <c r="G6304" i="1"/>
  <c r="F6304" i="1"/>
  <c r="H6303" i="1"/>
  <c r="G6303" i="1"/>
  <c r="F6303" i="1"/>
  <c r="H6302" i="1"/>
  <c r="G6302" i="1"/>
  <c r="F6302" i="1"/>
  <c r="H6301" i="1"/>
  <c r="G6301" i="1"/>
  <c r="F6301" i="1"/>
  <c r="H6300" i="1"/>
  <c r="G6300" i="1"/>
  <c r="F6300" i="1"/>
  <c r="H6299" i="1"/>
  <c r="G6299" i="1"/>
  <c r="F6299" i="1"/>
  <c r="H6298" i="1"/>
  <c r="G6298" i="1"/>
  <c r="F6298" i="1"/>
  <c r="H6297" i="1"/>
  <c r="G6297" i="1"/>
  <c r="F6297" i="1"/>
  <c r="H6296" i="1"/>
  <c r="G6296" i="1"/>
  <c r="F6296" i="1"/>
  <c r="H6295" i="1"/>
  <c r="G6295" i="1"/>
  <c r="F6295" i="1"/>
  <c r="H6294" i="1"/>
  <c r="G6294" i="1"/>
  <c r="F6294" i="1"/>
  <c r="H6293" i="1"/>
  <c r="G6293" i="1"/>
  <c r="F6293" i="1"/>
  <c r="H6292" i="1"/>
  <c r="G6292" i="1"/>
  <c r="F6292" i="1"/>
  <c r="H6291" i="1"/>
  <c r="G6291" i="1"/>
  <c r="F6291" i="1"/>
  <c r="H6290" i="1"/>
  <c r="G6290" i="1"/>
  <c r="F6290" i="1"/>
  <c r="H6289" i="1"/>
  <c r="G6289" i="1"/>
  <c r="F6289" i="1"/>
  <c r="H6288" i="1"/>
  <c r="G6288" i="1"/>
  <c r="F6288" i="1"/>
  <c r="H6287" i="1"/>
  <c r="G6287" i="1"/>
  <c r="F6287" i="1"/>
  <c r="H6286" i="1"/>
  <c r="G6286" i="1"/>
  <c r="F6286" i="1"/>
  <c r="H6285" i="1"/>
  <c r="G6285" i="1"/>
  <c r="F6285" i="1"/>
  <c r="H6284" i="1"/>
  <c r="G6284" i="1"/>
  <c r="F6284" i="1"/>
  <c r="H6283" i="1"/>
  <c r="G6283" i="1"/>
  <c r="F6283" i="1"/>
  <c r="H6282" i="1"/>
  <c r="G6282" i="1"/>
  <c r="F6282" i="1"/>
  <c r="H6281" i="1"/>
  <c r="G6281" i="1"/>
  <c r="F6281" i="1"/>
  <c r="H6280" i="1"/>
  <c r="G6280" i="1"/>
  <c r="F6280" i="1"/>
  <c r="H6279" i="1"/>
  <c r="G6279" i="1"/>
  <c r="F6279" i="1"/>
  <c r="H6278" i="1"/>
  <c r="G6278" i="1"/>
  <c r="F6278" i="1"/>
  <c r="H6277" i="1"/>
  <c r="G6277" i="1"/>
  <c r="F6277" i="1"/>
  <c r="H6276" i="1"/>
  <c r="G6276" i="1"/>
  <c r="F6276" i="1"/>
  <c r="H6275" i="1"/>
  <c r="G6275" i="1"/>
  <c r="F6275" i="1"/>
  <c r="H6274" i="1"/>
  <c r="G6274" i="1"/>
  <c r="F6274" i="1"/>
  <c r="H6273" i="1"/>
  <c r="G6273" i="1"/>
  <c r="F6273" i="1"/>
  <c r="H6272" i="1"/>
  <c r="G6272" i="1"/>
  <c r="F6272" i="1"/>
  <c r="H6271" i="1"/>
  <c r="G6271" i="1"/>
  <c r="F6271" i="1"/>
  <c r="H6270" i="1"/>
  <c r="G6270" i="1"/>
  <c r="F6270" i="1"/>
  <c r="H6269" i="1"/>
  <c r="G6269" i="1"/>
  <c r="F6269" i="1"/>
  <c r="H6268" i="1"/>
  <c r="G6268" i="1"/>
  <c r="F6268" i="1"/>
  <c r="H6267" i="1"/>
  <c r="G6267" i="1"/>
  <c r="F6267" i="1"/>
  <c r="H6266" i="1"/>
  <c r="G6266" i="1"/>
  <c r="F6266" i="1"/>
  <c r="H6265" i="1"/>
  <c r="G6265" i="1"/>
  <c r="F6265" i="1"/>
  <c r="H6264" i="1"/>
  <c r="G6264" i="1"/>
  <c r="F6264" i="1"/>
  <c r="H6263" i="1"/>
  <c r="G6263" i="1"/>
  <c r="F6263" i="1"/>
  <c r="H6262" i="1"/>
  <c r="G6262" i="1"/>
  <c r="F6262" i="1"/>
  <c r="H6261" i="1"/>
  <c r="G6261" i="1"/>
  <c r="F6261" i="1"/>
  <c r="H6260" i="1"/>
  <c r="G6260" i="1"/>
  <c r="F6260" i="1"/>
  <c r="H6259" i="1"/>
  <c r="G6259" i="1"/>
  <c r="F6259" i="1"/>
  <c r="H6258" i="1"/>
  <c r="G6258" i="1"/>
  <c r="F6258" i="1"/>
  <c r="H6257" i="1"/>
  <c r="G6257" i="1"/>
  <c r="F6257" i="1"/>
  <c r="H6256" i="1"/>
  <c r="G6256" i="1"/>
  <c r="F6256" i="1"/>
  <c r="H6255" i="1"/>
  <c r="G6255" i="1"/>
  <c r="F6255" i="1"/>
  <c r="H6254" i="1"/>
  <c r="G6254" i="1"/>
  <c r="F6254" i="1"/>
  <c r="H6253" i="1"/>
  <c r="G6253" i="1"/>
  <c r="F6253" i="1"/>
  <c r="H6252" i="1"/>
  <c r="G6252" i="1"/>
  <c r="F6252" i="1"/>
  <c r="H6251" i="1"/>
  <c r="G6251" i="1"/>
  <c r="F6251" i="1"/>
  <c r="H6250" i="1"/>
  <c r="G6250" i="1"/>
  <c r="F6250" i="1"/>
  <c r="H6249" i="1"/>
  <c r="G6249" i="1"/>
  <c r="F6249" i="1"/>
  <c r="H6248" i="1"/>
  <c r="G6248" i="1"/>
  <c r="F6248" i="1"/>
  <c r="H6247" i="1"/>
  <c r="G6247" i="1"/>
  <c r="F6247" i="1"/>
  <c r="H6246" i="1"/>
  <c r="G6246" i="1"/>
  <c r="F6246" i="1"/>
  <c r="H6245" i="1"/>
  <c r="G6245" i="1"/>
  <c r="F6245" i="1"/>
  <c r="H6244" i="1"/>
  <c r="G6244" i="1"/>
  <c r="F6244" i="1"/>
  <c r="H6243" i="1"/>
  <c r="G6243" i="1"/>
  <c r="F6243" i="1"/>
  <c r="H6242" i="1"/>
  <c r="G6242" i="1"/>
  <c r="F6242" i="1"/>
  <c r="H6241" i="1"/>
  <c r="G6241" i="1"/>
  <c r="F6241" i="1"/>
  <c r="H6240" i="1"/>
  <c r="G6240" i="1"/>
  <c r="F6240" i="1"/>
  <c r="H6239" i="1"/>
  <c r="G6239" i="1"/>
  <c r="F6239" i="1"/>
  <c r="H6238" i="1"/>
  <c r="G6238" i="1"/>
  <c r="F6238" i="1"/>
  <c r="H6237" i="1"/>
  <c r="G6237" i="1"/>
  <c r="F6237" i="1"/>
  <c r="H6236" i="1"/>
  <c r="G6236" i="1"/>
  <c r="F6236" i="1"/>
  <c r="H6235" i="1"/>
  <c r="G6235" i="1"/>
  <c r="F6235" i="1"/>
  <c r="H6234" i="1"/>
  <c r="G6234" i="1"/>
  <c r="F6234" i="1"/>
  <c r="H6233" i="1"/>
  <c r="G6233" i="1"/>
  <c r="F6233" i="1"/>
  <c r="H6232" i="1"/>
  <c r="G6232" i="1"/>
  <c r="F6232" i="1"/>
  <c r="H6231" i="1"/>
  <c r="G6231" i="1"/>
  <c r="F6231" i="1"/>
  <c r="H6230" i="1"/>
  <c r="G6230" i="1"/>
  <c r="F6230" i="1"/>
  <c r="H6229" i="1"/>
  <c r="G6229" i="1"/>
  <c r="F6229" i="1"/>
  <c r="H6228" i="1"/>
  <c r="G6228" i="1"/>
  <c r="F6228" i="1"/>
  <c r="H6227" i="1"/>
  <c r="G6227" i="1"/>
  <c r="F6227" i="1"/>
  <c r="H6226" i="1"/>
  <c r="G6226" i="1"/>
  <c r="F6226" i="1"/>
  <c r="H6225" i="1"/>
  <c r="G6225" i="1"/>
  <c r="F6225" i="1"/>
  <c r="H6224" i="1"/>
  <c r="G6224" i="1"/>
  <c r="F6224" i="1"/>
  <c r="H6223" i="1"/>
  <c r="G6223" i="1"/>
  <c r="F6223" i="1"/>
  <c r="H6222" i="1"/>
  <c r="G6222" i="1"/>
  <c r="F6222" i="1"/>
  <c r="H6221" i="1"/>
  <c r="G6221" i="1"/>
  <c r="F6221" i="1"/>
  <c r="H6220" i="1"/>
  <c r="G6220" i="1"/>
  <c r="F6220" i="1"/>
  <c r="H6219" i="1"/>
  <c r="G6219" i="1"/>
  <c r="F6219" i="1"/>
  <c r="H6218" i="1"/>
  <c r="G6218" i="1"/>
  <c r="F6218" i="1"/>
  <c r="H6217" i="1"/>
  <c r="G6217" i="1"/>
  <c r="F6217" i="1"/>
  <c r="H6216" i="1"/>
  <c r="G6216" i="1"/>
  <c r="F6216" i="1"/>
  <c r="H6215" i="1"/>
  <c r="G6215" i="1"/>
  <c r="F6215" i="1"/>
  <c r="H6214" i="1"/>
  <c r="G6214" i="1"/>
  <c r="F6214" i="1"/>
  <c r="H6213" i="1"/>
  <c r="G6213" i="1"/>
  <c r="F6213" i="1"/>
  <c r="H6212" i="1"/>
  <c r="G6212" i="1"/>
  <c r="F6212" i="1"/>
  <c r="H6211" i="1"/>
  <c r="G6211" i="1"/>
  <c r="F6211" i="1"/>
  <c r="H6210" i="1"/>
  <c r="G6210" i="1"/>
  <c r="F6210" i="1"/>
  <c r="H6209" i="1"/>
  <c r="G6209" i="1"/>
  <c r="F6209" i="1"/>
  <c r="H6208" i="1"/>
  <c r="G6208" i="1"/>
  <c r="F6208" i="1"/>
  <c r="H6207" i="1"/>
  <c r="G6207" i="1"/>
  <c r="F6207" i="1"/>
  <c r="H6206" i="1"/>
  <c r="G6206" i="1"/>
  <c r="F6206" i="1"/>
  <c r="H6205" i="1"/>
  <c r="G6205" i="1"/>
  <c r="F6205" i="1"/>
  <c r="H6204" i="1"/>
  <c r="G6204" i="1"/>
  <c r="F6204" i="1"/>
  <c r="H6203" i="1"/>
  <c r="G6203" i="1"/>
  <c r="F6203" i="1"/>
  <c r="H6202" i="1"/>
  <c r="G6202" i="1"/>
  <c r="F6202" i="1"/>
  <c r="H6201" i="1"/>
  <c r="G6201" i="1"/>
  <c r="F6201" i="1"/>
  <c r="H6200" i="1"/>
  <c r="G6200" i="1"/>
  <c r="F6200" i="1"/>
  <c r="H6199" i="1"/>
  <c r="G6199" i="1"/>
  <c r="F6199" i="1"/>
  <c r="H6198" i="1"/>
  <c r="G6198" i="1"/>
  <c r="F6198" i="1"/>
  <c r="H6197" i="1"/>
  <c r="G6197" i="1"/>
  <c r="F6197" i="1"/>
  <c r="H6196" i="1"/>
  <c r="G6196" i="1"/>
  <c r="F6196" i="1"/>
  <c r="H6195" i="1"/>
  <c r="G6195" i="1"/>
  <c r="F6195" i="1"/>
  <c r="H6194" i="1"/>
  <c r="G6194" i="1"/>
  <c r="F6194" i="1"/>
  <c r="H6193" i="1"/>
  <c r="G6193" i="1"/>
  <c r="F6193" i="1"/>
  <c r="H6192" i="1"/>
  <c r="G6192" i="1"/>
  <c r="F6192" i="1"/>
  <c r="H6191" i="1"/>
  <c r="G6191" i="1"/>
  <c r="F6191" i="1"/>
  <c r="H6190" i="1"/>
  <c r="G6190" i="1"/>
  <c r="F6190" i="1"/>
  <c r="H6189" i="1"/>
  <c r="G6189" i="1"/>
  <c r="F6189" i="1"/>
  <c r="H6188" i="1"/>
  <c r="G6188" i="1"/>
  <c r="F6188" i="1"/>
  <c r="H6187" i="1"/>
  <c r="G6187" i="1"/>
  <c r="F6187" i="1"/>
  <c r="H6186" i="1"/>
  <c r="G6186" i="1"/>
  <c r="F6186" i="1"/>
  <c r="H6185" i="1"/>
  <c r="G6185" i="1"/>
  <c r="F6185" i="1"/>
  <c r="H6184" i="1"/>
  <c r="G6184" i="1"/>
  <c r="F6184" i="1"/>
  <c r="H6183" i="1"/>
  <c r="G6183" i="1"/>
  <c r="F6183" i="1"/>
  <c r="H6182" i="1"/>
  <c r="G6182" i="1"/>
  <c r="F6182" i="1"/>
  <c r="H6181" i="1"/>
  <c r="G6181" i="1"/>
  <c r="F6181" i="1"/>
  <c r="H6180" i="1"/>
  <c r="G6180" i="1"/>
  <c r="F6180" i="1"/>
  <c r="H6179" i="1"/>
  <c r="G6179" i="1"/>
  <c r="F6179" i="1"/>
  <c r="H6178" i="1"/>
  <c r="G6178" i="1"/>
  <c r="F6178" i="1"/>
  <c r="H6177" i="1"/>
  <c r="G6177" i="1"/>
  <c r="F6177" i="1"/>
  <c r="H6176" i="1"/>
  <c r="G6176" i="1"/>
  <c r="F6176" i="1"/>
  <c r="H6175" i="1"/>
  <c r="G6175" i="1"/>
  <c r="F6175" i="1"/>
  <c r="H6174" i="1"/>
  <c r="G6174" i="1"/>
  <c r="F6174" i="1"/>
  <c r="H6173" i="1"/>
  <c r="G6173" i="1"/>
  <c r="F6173" i="1"/>
  <c r="H6172" i="1"/>
  <c r="G6172" i="1"/>
  <c r="F6172" i="1"/>
  <c r="H6171" i="1"/>
  <c r="G6171" i="1"/>
  <c r="F6171" i="1"/>
  <c r="H6170" i="1"/>
  <c r="G6170" i="1"/>
  <c r="F6170" i="1"/>
  <c r="H6169" i="1"/>
  <c r="G6169" i="1"/>
  <c r="F6169" i="1"/>
  <c r="H6168" i="1"/>
  <c r="G6168" i="1"/>
  <c r="F6168" i="1"/>
  <c r="H6167" i="1"/>
  <c r="G6167" i="1"/>
  <c r="F6167" i="1"/>
  <c r="H6166" i="1"/>
  <c r="G6166" i="1"/>
  <c r="F6166" i="1"/>
  <c r="H6165" i="1"/>
  <c r="G6165" i="1"/>
  <c r="F6165" i="1"/>
  <c r="H6164" i="1"/>
  <c r="G6164" i="1"/>
  <c r="F6164" i="1"/>
  <c r="H6163" i="1"/>
  <c r="G6163" i="1"/>
  <c r="F6163" i="1"/>
  <c r="H6162" i="1"/>
  <c r="G6162" i="1"/>
  <c r="F6162" i="1"/>
  <c r="H6161" i="1"/>
  <c r="G6161" i="1"/>
  <c r="F6161" i="1"/>
  <c r="H6160" i="1"/>
  <c r="G6160" i="1"/>
  <c r="F6160" i="1"/>
  <c r="H6159" i="1"/>
  <c r="G6159" i="1"/>
  <c r="F6159" i="1"/>
  <c r="H6158" i="1"/>
  <c r="G6158" i="1"/>
  <c r="F6158" i="1"/>
  <c r="H6157" i="1"/>
  <c r="G6157" i="1"/>
  <c r="F6157" i="1"/>
  <c r="H6156" i="1"/>
  <c r="G6156" i="1"/>
  <c r="F6156" i="1"/>
  <c r="H6155" i="1"/>
  <c r="G6155" i="1"/>
  <c r="F6155" i="1"/>
  <c r="H6154" i="1"/>
  <c r="G6154" i="1"/>
  <c r="F6154" i="1"/>
  <c r="H6153" i="1"/>
  <c r="G6153" i="1"/>
  <c r="F6153" i="1"/>
  <c r="H6152" i="1"/>
  <c r="G6152" i="1"/>
  <c r="F6152" i="1"/>
  <c r="H6151" i="1"/>
  <c r="G6151" i="1"/>
  <c r="F6151" i="1"/>
  <c r="H6150" i="1"/>
  <c r="G6150" i="1"/>
  <c r="F6150" i="1"/>
  <c r="H6149" i="1"/>
  <c r="G6149" i="1"/>
  <c r="F6149" i="1"/>
  <c r="H6148" i="1"/>
  <c r="G6148" i="1"/>
  <c r="F6148" i="1"/>
  <c r="H6147" i="1"/>
  <c r="G6147" i="1"/>
  <c r="F6147" i="1"/>
  <c r="H6146" i="1"/>
  <c r="G6146" i="1"/>
  <c r="F6146" i="1"/>
  <c r="H6145" i="1"/>
  <c r="G6145" i="1"/>
  <c r="F6145" i="1"/>
  <c r="H6144" i="1"/>
  <c r="G6144" i="1"/>
  <c r="F6144" i="1"/>
  <c r="H6143" i="1"/>
  <c r="G6143" i="1"/>
  <c r="F6143" i="1"/>
  <c r="H6142" i="1"/>
  <c r="G6142" i="1"/>
  <c r="F6142" i="1"/>
  <c r="H6141" i="1"/>
  <c r="G6141" i="1"/>
  <c r="F6141" i="1"/>
  <c r="H6140" i="1"/>
  <c r="G6140" i="1"/>
  <c r="F6140" i="1"/>
  <c r="H6139" i="1"/>
  <c r="G6139" i="1"/>
  <c r="F6139" i="1"/>
  <c r="H6138" i="1"/>
  <c r="G6138" i="1"/>
  <c r="F6138" i="1"/>
  <c r="H6137" i="1"/>
  <c r="G6137" i="1"/>
  <c r="F6137" i="1"/>
  <c r="H6136" i="1"/>
  <c r="G6136" i="1"/>
  <c r="F6136" i="1"/>
  <c r="H6135" i="1"/>
  <c r="G6135" i="1"/>
  <c r="F6135" i="1"/>
  <c r="H6134" i="1"/>
  <c r="G6134" i="1"/>
  <c r="F6134" i="1"/>
  <c r="H6133" i="1"/>
  <c r="G6133" i="1"/>
  <c r="F6133" i="1"/>
  <c r="H6132" i="1"/>
  <c r="G6132" i="1"/>
  <c r="F6132" i="1"/>
  <c r="H6131" i="1"/>
  <c r="G6131" i="1"/>
  <c r="F6131" i="1"/>
  <c r="H6130" i="1"/>
  <c r="G6130" i="1"/>
  <c r="F6130" i="1"/>
  <c r="H6129" i="1"/>
  <c r="G6129" i="1"/>
  <c r="F6129" i="1"/>
  <c r="H6128" i="1"/>
  <c r="G6128" i="1"/>
  <c r="F6128" i="1"/>
  <c r="H6127" i="1"/>
  <c r="G6127" i="1"/>
  <c r="F6127" i="1"/>
  <c r="H6126" i="1"/>
  <c r="G6126" i="1"/>
  <c r="F6126" i="1"/>
  <c r="H6125" i="1"/>
  <c r="G6125" i="1"/>
  <c r="F6125" i="1"/>
  <c r="H6124" i="1"/>
  <c r="G6124" i="1"/>
  <c r="F6124" i="1"/>
  <c r="H6123" i="1"/>
  <c r="G6123" i="1"/>
  <c r="F6123" i="1"/>
  <c r="H6122" i="1"/>
  <c r="G6122" i="1"/>
  <c r="F6122" i="1"/>
  <c r="H6121" i="1"/>
  <c r="G6121" i="1"/>
  <c r="F6121" i="1"/>
  <c r="H6120" i="1"/>
  <c r="G6120" i="1"/>
  <c r="F6120" i="1"/>
  <c r="H6119" i="1"/>
  <c r="G6119" i="1"/>
  <c r="F6119" i="1"/>
  <c r="H6118" i="1"/>
  <c r="G6118" i="1"/>
  <c r="F6118" i="1"/>
  <c r="H6117" i="1"/>
  <c r="G6117" i="1"/>
  <c r="F6117" i="1"/>
  <c r="H6116" i="1"/>
  <c r="G6116" i="1"/>
  <c r="F6116" i="1"/>
  <c r="H6115" i="1"/>
  <c r="G6115" i="1"/>
  <c r="F6115" i="1"/>
  <c r="H6114" i="1"/>
  <c r="G6114" i="1"/>
  <c r="F6114" i="1"/>
  <c r="H6113" i="1"/>
  <c r="G6113" i="1"/>
  <c r="F6113" i="1"/>
  <c r="H6112" i="1"/>
  <c r="G6112" i="1"/>
  <c r="F6112" i="1"/>
  <c r="H6111" i="1"/>
  <c r="G6111" i="1"/>
  <c r="F6111" i="1"/>
  <c r="H6110" i="1"/>
  <c r="G6110" i="1"/>
  <c r="F6110" i="1"/>
  <c r="H6109" i="1"/>
  <c r="G6109" i="1"/>
  <c r="F6109" i="1"/>
  <c r="H6108" i="1"/>
  <c r="G6108" i="1"/>
  <c r="F6108" i="1"/>
  <c r="H6107" i="1"/>
  <c r="G6107" i="1"/>
  <c r="F6107" i="1"/>
  <c r="H6106" i="1"/>
  <c r="G6106" i="1"/>
  <c r="F6106" i="1"/>
  <c r="H6105" i="1"/>
  <c r="G6105" i="1"/>
  <c r="F6105" i="1"/>
  <c r="H6104" i="1"/>
  <c r="G6104" i="1"/>
  <c r="F6104" i="1"/>
  <c r="H6103" i="1"/>
  <c r="G6103" i="1"/>
  <c r="F6103" i="1"/>
  <c r="H6102" i="1"/>
  <c r="G6102" i="1"/>
  <c r="F6102" i="1"/>
  <c r="H6101" i="1"/>
  <c r="G6101" i="1"/>
  <c r="F6101" i="1"/>
  <c r="H6100" i="1"/>
  <c r="G6100" i="1"/>
  <c r="F6100" i="1"/>
  <c r="H6099" i="1"/>
  <c r="G6099" i="1"/>
  <c r="F6099" i="1"/>
  <c r="H6098" i="1"/>
  <c r="G6098" i="1"/>
  <c r="F6098" i="1"/>
  <c r="H6097" i="1"/>
  <c r="G6097" i="1"/>
  <c r="F6097" i="1"/>
  <c r="H6096" i="1"/>
  <c r="G6096" i="1"/>
  <c r="F6096" i="1"/>
  <c r="H6095" i="1"/>
  <c r="G6095" i="1"/>
  <c r="F6095" i="1"/>
  <c r="H6094" i="1"/>
  <c r="G6094" i="1"/>
  <c r="F6094" i="1"/>
  <c r="H6093" i="1"/>
  <c r="G6093" i="1"/>
  <c r="F6093" i="1"/>
  <c r="H6092" i="1"/>
  <c r="G6092" i="1"/>
  <c r="F6092" i="1"/>
  <c r="H6091" i="1"/>
  <c r="G6091" i="1"/>
  <c r="F6091" i="1"/>
  <c r="H6090" i="1"/>
  <c r="G6090" i="1"/>
  <c r="F6090" i="1"/>
  <c r="H6089" i="1"/>
  <c r="G6089" i="1"/>
  <c r="F6089" i="1"/>
  <c r="H6088" i="1"/>
  <c r="G6088" i="1"/>
  <c r="F6088" i="1"/>
  <c r="H6087" i="1"/>
  <c r="G6087" i="1"/>
  <c r="F6087" i="1"/>
  <c r="H6086" i="1"/>
  <c r="G6086" i="1"/>
  <c r="F6086" i="1"/>
  <c r="H6085" i="1"/>
  <c r="G6085" i="1"/>
  <c r="F6085" i="1"/>
  <c r="H6084" i="1"/>
  <c r="G6084" i="1"/>
  <c r="F6084" i="1"/>
  <c r="H6083" i="1"/>
  <c r="G6083" i="1"/>
  <c r="F6083" i="1"/>
  <c r="H6082" i="1"/>
  <c r="G6082" i="1"/>
  <c r="F6082" i="1"/>
  <c r="H6081" i="1"/>
  <c r="G6081" i="1"/>
  <c r="F6081" i="1"/>
  <c r="H6080" i="1"/>
  <c r="G6080" i="1"/>
  <c r="F6080" i="1"/>
  <c r="H6079" i="1"/>
  <c r="G6079" i="1"/>
  <c r="F6079" i="1"/>
  <c r="H6078" i="1"/>
  <c r="G6078" i="1"/>
  <c r="F6078" i="1"/>
  <c r="H6077" i="1"/>
  <c r="G6077" i="1"/>
  <c r="F6077" i="1"/>
  <c r="H6076" i="1"/>
  <c r="G6076" i="1"/>
  <c r="F6076" i="1"/>
  <c r="H6075" i="1"/>
  <c r="G6075" i="1"/>
  <c r="F6075" i="1"/>
  <c r="H6074" i="1"/>
  <c r="G6074" i="1"/>
  <c r="F6074" i="1"/>
  <c r="H6073" i="1"/>
  <c r="G6073" i="1"/>
  <c r="F6073" i="1"/>
  <c r="H6072" i="1"/>
  <c r="G6072" i="1"/>
  <c r="F6072" i="1"/>
  <c r="H6071" i="1"/>
  <c r="G6071" i="1"/>
  <c r="F6071" i="1"/>
  <c r="H6070" i="1"/>
  <c r="G6070" i="1"/>
  <c r="F6070" i="1"/>
  <c r="H6069" i="1"/>
  <c r="G6069" i="1"/>
  <c r="F6069" i="1"/>
  <c r="H6068" i="1"/>
  <c r="G6068" i="1"/>
  <c r="F6068" i="1"/>
  <c r="H6067" i="1"/>
  <c r="G6067" i="1"/>
  <c r="F6067" i="1"/>
  <c r="H6066" i="1"/>
  <c r="G6066" i="1"/>
  <c r="F6066" i="1"/>
  <c r="H6065" i="1"/>
  <c r="G6065" i="1"/>
  <c r="F6065" i="1"/>
  <c r="H6064" i="1"/>
  <c r="G6064" i="1"/>
  <c r="F6064" i="1"/>
  <c r="H6063" i="1"/>
  <c r="G6063" i="1"/>
  <c r="F6063" i="1"/>
  <c r="H6062" i="1"/>
  <c r="G6062" i="1"/>
  <c r="F6062" i="1"/>
  <c r="H6061" i="1"/>
  <c r="G6061" i="1"/>
  <c r="F6061" i="1"/>
  <c r="H6060" i="1"/>
  <c r="G6060" i="1"/>
  <c r="F6060" i="1"/>
  <c r="H6059" i="1"/>
  <c r="G6059" i="1"/>
  <c r="F6059" i="1"/>
  <c r="H6058" i="1"/>
  <c r="G6058" i="1"/>
  <c r="F6058" i="1"/>
  <c r="H6057" i="1"/>
  <c r="G6057" i="1"/>
  <c r="F6057" i="1"/>
  <c r="H6056" i="1"/>
  <c r="G6056" i="1"/>
  <c r="F6056" i="1"/>
  <c r="H6055" i="1"/>
  <c r="G6055" i="1"/>
  <c r="F6055" i="1"/>
  <c r="H6054" i="1"/>
  <c r="G6054" i="1"/>
  <c r="F6054" i="1"/>
  <c r="H6053" i="1"/>
  <c r="G6053" i="1"/>
  <c r="F6053" i="1"/>
  <c r="H6052" i="1"/>
  <c r="G6052" i="1"/>
  <c r="F6052" i="1"/>
  <c r="H6051" i="1"/>
  <c r="G6051" i="1"/>
  <c r="F6051" i="1"/>
  <c r="H6050" i="1"/>
  <c r="G6050" i="1"/>
  <c r="F6050" i="1"/>
  <c r="H6049" i="1"/>
  <c r="G6049" i="1"/>
  <c r="F6049" i="1"/>
  <c r="H6048" i="1"/>
  <c r="G6048" i="1"/>
  <c r="F6048" i="1"/>
  <c r="H6047" i="1"/>
  <c r="G6047" i="1"/>
  <c r="F6047" i="1"/>
  <c r="H6046" i="1"/>
  <c r="G6046" i="1"/>
  <c r="F6046" i="1"/>
  <c r="H6045" i="1"/>
  <c r="G6045" i="1"/>
  <c r="F6045" i="1"/>
  <c r="H6044" i="1"/>
  <c r="G6044" i="1"/>
  <c r="F6044" i="1"/>
  <c r="H6043" i="1"/>
  <c r="G6043" i="1"/>
  <c r="F6043" i="1"/>
  <c r="H6042" i="1"/>
  <c r="G6042" i="1"/>
  <c r="F6042" i="1"/>
  <c r="H6041" i="1"/>
  <c r="G6041" i="1"/>
  <c r="F6041" i="1"/>
  <c r="H6040" i="1"/>
  <c r="G6040" i="1"/>
  <c r="F6040" i="1"/>
  <c r="H6039" i="1"/>
  <c r="G6039" i="1"/>
  <c r="F6039" i="1"/>
  <c r="H6038" i="1"/>
  <c r="G6038" i="1"/>
  <c r="F6038" i="1"/>
  <c r="H6037" i="1"/>
  <c r="G6037" i="1"/>
  <c r="F6037" i="1"/>
  <c r="H6036" i="1"/>
  <c r="G6036" i="1"/>
  <c r="F6036" i="1"/>
  <c r="H6035" i="1"/>
  <c r="G6035" i="1"/>
  <c r="F6035" i="1"/>
  <c r="H6034" i="1"/>
  <c r="G6034" i="1"/>
  <c r="F6034" i="1"/>
  <c r="H6033" i="1"/>
  <c r="G6033" i="1"/>
  <c r="F6033" i="1"/>
  <c r="H6032" i="1"/>
  <c r="G6032" i="1"/>
  <c r="F6032" i="1"/>
  <c r="H6031" i="1"/>
  <c r="G6031" i="1"/>
  <c r="F6031" i="1"/>
  <c r="H6030" i="1"/>
  <c r="G6030" i="1"/>
  <c r="F6030" i="1"/>
  <c r="H6029" i="1"/>
  <c r="G6029" i="1"/>
  <c r="F6029" i="1"/>
  <c r="H6028" i="1"/>
  <c r="G6028" i="1"/>
  <c r="F6028" i="1"/>
  <c r="H6027" i="1"/>
  <c r="G6027" i="1"/>
  <c r="F6027" i="1"/>
  <c r="H6026" i="1"/>
  <c r="G6026" i="1"/>
  <c r="F6026" i="1"/>
  <c r="H6025" i="1"/>
  <c r="G6025" i="1"/>
  <c r="F6025" i="1"/>
  <c r="H6024" i="1"/>
  <c r="G6024" i="1"/>
  <c r="F6024" i="1"/>
  <c r="H6023" i="1"/>
  <c r="G6023" i="1"/>
  <c r="F6023" i="1"/>
  <c r="H6022" i="1"/>
  <c r="G6022" i="1"/>
  <c r="F6022" i="1"/>
  <c r="H6021" i="1"/>
  <c r="G6021" i="1"/>
  <c r="F6021" i="1"/>
  <c r="H6020" i="1"/>
  <c r="G6020" i="1"/>
  <c r="F6020" i="1"/>
  <c r="H6019" i="1"/>
  <c r="G6019" i="1"/>
  <c r="F6019" i="1"/>
  <c r="H6018" i="1"/>
  <c r="G6018" i="1"/>
  <c r="F6018" i="1"/>
  <c r="H6017" i="1"/>
  <c r="G6017" i="1"/>
  <c r="F6017" i="1"/>
  <c r="H6016" i="1"/>
  <c r="G6016" i="1"/>
  <c r="F6016" i="1"/>
  <c r="H6015" i="1"/>
  <c r="G6015" i="1"/>
  <c r="F6015" i="1"/>
  <c r="H6014" i="1"/>
  <c r="G6014" i="1"/>
  <c r="F6014" i="1"/>
  <c r="H6013" i="1"/>
  <c r="G6013" i="1"/>
  <c r="F6013" i="1"/>
  <c r="H6012" i="1"/>
  <c r="G6012" i="1"/>
  <c r="F6012" i="1"/>
  <c r="H6011" i="1"/>
  <c r="G6011" i="1"/>
  <c r="F6011" i="1"/>
  <c r="H6010" i="1"/>
  <c r="G6010" i="1"/>
  <c r="F6010" i="1"/>
  <c r="H6009" i="1"/>
  <c r="G6009" i="1"/>
  <c r="F6009" i="1"/>
  <c r="H6008" i="1"/>
  <c r="G6008" i="1"/>
  <c r="F6008" i="1"/>
  <c r="H6007" i="1"/>
  <c r="G6007" i="1"/>
  <c r="F6007" i="1"/>
  <c r="H6006" i="1"/>
  <c r="G6006" i="1"/>
  <c r="F6006" i="1"/>
  <c r="H6005" i="1"/>
  <c r="G6005" i="1"/>
  <c r="F6005" i="1"/>
  <c r="H6004" i="1"/>
  <c r="G6004" i="1"/>
  <c r="F6004" i="1"/>
  <c r="H6003" i="1"/>
  <c r="G6003" i="1"/>
  <c r="F6003" i="1"/>
  <c r="H6002" i="1"/>
  <c r="G6002" i="1"/>
  <c r="F6002" i="1"/>
  <c r="H6001" i="1"/>
  <c r="G6001" i="1"/>
  <c r="F6001" i="1"/>
  <c r="H6000" i="1"/>
  <c r="G6000" i="1"/>
  <c r="F6000" i="1"/>
  <c r="H5999" i="1"/>
  <c r="G5999" i="1"/>
  <c r="F5999" i="1"/>
  <c r="H5998" i="1"/>
  <c r="G5998" i="1"/>
  <c r="F5998" i="1"/>
  <c r="H5997" i="1"/>
  <c r="G5997" i="1"/>
  <c r="F5997" i="1"/>
  <c r="H5996" i="1"/>
  <c r="G5996" i="1"/>
  <c r="F5996" i="1"/>
  <c r="H5995" i="1"/>
  <c r="G5995" i="1"/>
  <c r="F5995" i="1"/>
  <c r="H5994" i="1"/>
  <c r="G5994" i="1"/>
  <c r="F5994" i="1"/>
  <c r="H5993" i="1"/>
  <c r="G5993" i="1"/>
  <c r="F5993" i="1"/>
  <c r="H5992" i="1"/>
  <c r="G5992" i="1"/>
  <c r="F5992" i="1"/>
  <c r="H5991" i="1"/>
  <c r="G5991" i="1"/>
  <c r="F5991" i="1"/>
  <c r="H5990" i="1"/>
  <c r="G5990" i="1"/>
  <c r="F5990" i="1"/>
  <c r="H5989" i="1"/>
  <c r="G5989" i="1"/>
  <c r="F5989" i="1"/>
  <c r="H5988" i="1"/>
  <c r="G5988" i="1"/>
  <c r="F5988" i="1"/>
  <c r="H5987" i="1"/>
  <c r="G5987" i="1"/>
  <c r="F5987" i="1"/>
  <c r="H5986" i="1"/>
  <c r="G5986" i="1"/>
  <c r="F5986" i="1"/>
  <c r="H5985" i="1"/>
  <c r="G5985" i="1"/>
  <c r="F5985" i="1"/>
  <c r="H5984" i="1"/>
  <c r="G5984" i="1"/>
  <c r="F5984" i="1"/>
  <c r="H5983" i="1"/>
  <c r="G5983" i="1"/>
  <c r="F5983" i="1"/>
  <c r="H5982" i="1"/>
  <c r="G5982" i="1"/>
  <c r="F5982" i="1"/>
  <c r="H5981" i="1"/>
  <c r="G5981" i="1"/>
  <c r="F5981" i="1"/>
  <c r="H5980" i="1"/>
  <c r="G5980" i="1"/>
  <c r="F5980" i="1"/>
  <c r="H5979" i="1"/>
  <c r="G5979" i="1"/>
  <c r="F5979" i="1"/>
  <c r="H5978" i="1"/>
  <c r="G5978" i="1"/>
  <c r="F5978" i="1"/>
  <c r="H5977" i="1"/>
  <c r="G5977" i="1"/>
  <c r="F5977" i="1"/>
  <c r="H5976" i="1"/>
  <c r="G5976" i="1"/>
  <c r="F5976" i="1"/>
  <c r="H5975" i="1"/>
  <c r="G5975" i="1"/>
  <c r="F5975" i="1"/>
  <c r="H5974" i="1"/>
  <c r="G5974" i="1"/>
  <c r="F5974" i="1"/>
  <c r="H5973" i="1"/>
  <c r="G5973" i="1"/>
  <c r="F5973" i="1"/>
  <c r="H5972" i="1"/>
  <c r="G5972" i="1"/>
  <c r="F5972" i="1"/>
  <c r="H5971" i="1"/>
  <c r="G5971" i="1"/>
  <c r="F5971" i="1"/>
  <c r="H5970" i="1"/>
  <c r="G5970" i="1"/>
  <c r="F5970" i="1"/>
  <c r="H5969" i="1"/>
  <c r="G5969" i="1"/>
  <c r="F5969" i="1"/>
  <c r="H5968" i="1"/>
  <c r="G5968" i="1"/>
  <c r="F5968" i="1"/>
  <c r="H5967" i="1"/>
  <c r="G5967" i="1"/>
  <c r="F5967" i="1"/>
  <c r="H5966" i="1"/>
  <c r="G5966" i="1"/>
  <c r="F5966" i="1"/>
  <c r="H5965" i="1"/>
  <c r="G5965" i="1"/>
  <c r="F5965" i="1"/>
  <c r="H5964" i="1"/>
  <c r="G5964" i="1"/>
  <c r="F5964" i="1"/>
  <c r="H5963" i="1"/>
  <c r="G5963" i="1"/>
  <c r="F5963" i="1"/>
  <c r="H5962" i="1"/>
  <c r="G5962" i="1"/>
  <c r="F5962" i="1"/>
  <c r="H5961" i="1"/>
  <c r="G5961" i="1"/>
  <c r="F5961" i="1"/>
  <c r="H5960" i="1"/>
  <c r="G5960" i="1"/>
  <c r="F5960" i="1"/>
  <c r="H5959" i="1"/>
  <c r="G5959" i="1"/>
  <c r="F5959" i="1"/>
  <c r="H5958" i="1"/>
  <c r="G5958" i="1"/>
  <c r="F5958" i="1"/>
  <c r="H5957" i="1"/>
  <c r="G5957" i="1"/>
  <c r="F5957" i="1"/>
  <c r="H5956" i="1"/>
  <c r="G5956" i="1"/>
  <c r="F5956" i="1"/>
  <c r="H5955" i="1"/>
  <c r="G5955" i="1"/>
  <c r="F5955" i="1"/>
  <c r="H5954" i="1"/>
  <c r="G5954" i="1"/>
  <c r="F5954" i="1"/>
  <c r="H5953" i="1"/>
  <c r="G5953" i="1"/>
  <c r="F5953" i="1"/>
  <c r="H5952" i="1"/>
  <c r="G5952" i="1"/>
  <c r="F5952" i="1"/>
  <c r="H5951" i="1"/>
  <c r="G5951" i="1"/>
  <c r="F5951" i="1"/>
  <c r="H5950" i="1"/>
  <c r="G5950" i="1"/>
  <c r="F5950" i="1"/>
  <c r="H5949" i="1"/>
  <c r="G5949" i="1"/>
  <c r="F5949" i="1"/>
  <c r="H5948" i="1"/>
  <c r="G5948" i="1"/>
  <c r="F5948" i="1"/>
  <c r="H5947" i="1"/>
  <c r="G5947" i="1"/>
  <c r="F5947" i="1"/>
  <c r="H5946" i="1"/>
  <c r="G5946" i="1"/>
  <c r="F5946" i="1"/>
  <c r="H5945" i="1"/>
  <c r="G5945" i="1"/>
  <c r="F5945" i="1"/>
  <c r="H5944" i="1"/>
  <c r="G5944" i="1"/>
  <c r="F5944" i="1"/>
  <c r="H5943" i="1"/>
  <c r="G5943" i="1"/>
  <c r="F5943" i="1"/>
  <c r="H5942" i="1"/>
  <c r="G5942" i="1"/>
  <c r="F5942" i="1"/>
  <c r="H5941" i="1"/>
  <c r="G5941" i="1"/>
  <c r="F5941" i="1"/>
  <c r="H5940" i="1"/>
  <c r="G5940" i="1"/>
  <c r="F5940" i="1"/>
  <c r="H5939" i="1"/>
  <c r="G5939" i="1"/>
  <c r="F5939" i="1"/>
  <c r="H5938" i="1"/>
  <c r="G5938" i="1"/>
  <c r="F5938" i="1"/>
  <c r="H5937" i="1"/>
  <c r="G5937" i="1"/>
  <c r="F5937" i="1"/>
  <c r="H5936" i="1"/>
  <c r="G5936" i="1"/>
  <c r="F5936" i="1"/>
  <c r="H5935" i="1"/>
  <c r="G5935" i="1"/>
  <c r="F5935" i="1"/>
  <c r="H5934" i="1"/>
  <c r="G5934" i="1"/>
  <c r="F5934" i="1"/>
  <c r="H5933" i="1"/>
  <c r="G5933" i="1"/>
  <c r="F5933" i="1"/>
  <c r="H5932" i="1"/>
  <c r="G5932" i="1"/>
  <c r="F5932" i="1"/>
  <c r="H5931" i="1"/>
  <c r="G5931" i="1"/>
  <c r="F5931" i="1"/>
  <c r="H5930" i="1"/>
  <c r="G5930" i="1"/>
  <c r="F5930" i="1"/>
  <c r="H5929" i="1"/>
  <c r="G5929" i="1"/>
  <c r="F5929" i="1"/>
  <c r="H5928" i="1"/>
  <c r="G5928" i="1"/>
  <c r="F5928" i="1"/>
  <c r="H5927" i="1"/>
  <c r="G5927" i="1"/>
  <c r="F5927" i="1"/>
  <c r="H5926" i="1"/>
  <c r="G5926" i="1"/>
  <c r="F5926" i="1"/>
  <c r="H5925" i="1"/>
  <c r="G5925" i="1"/>
  <c r="F5925" i="1"/>
  <c r="H5924" i="1"/>
  <c r="G5924" i="1"/>
  <c r="F5924" i="1"/>
  <c r="H5923" i="1"/>
  <c r="G5923" i="1"/>
  <c r="F5923" i="1"/>
  <c r="H5922" i="1"/>
  <c r="G5922" i="1"/>
  <c r="F5922" i="1"/>
  <c r="H5921" i="1"/>
  <c r="G5921" i="1"/>
  <c r="F5921" i="1"/>
  <c r="H5920" i="1"/>
  <c r="G5920" i="1"/>
  <c r="F5920" i="1"/>
  <c r="H5919" i="1"/>
  <c r="G5919" i="1"/>
  <c r="F5919" i="1"/>
  <c r="H5918" i="1"/>
  <c r="G5918" i="1"/>
  <c r="F5918" i="1"/>
  <c r="H5917" i="1"/>
  <c r="G5917" i="1"/>
  <c r="F5917" i="1"/>
  <c r="H5916" i="1"/>
  <c r="G5916" i="1"/>
  <c r="F5916" i="1"/>
  <c r="H5915" i="1"/>
  <c r="G5915" i="1"/>
  <c r="F5915" i="1"/>
  <c r="H5914" i="1"/>
  <c r="G5914" i="1"/>
  <c r="F5914" i="1"/>
  <c r="H5913" i="1"/>
  <c r="G5913" i="1"/>
  <c r="F5913" i="1"/>
  <c r="H5912" i="1"/>
  <c r="G5912" i="1"/>
  <c r="F5912" i="1"/>
  <c r="H5911" i="1"/>
  <c r="G5911" i="1"/>
  <c r="F5911" i="1"/>
  <c r="H5910" i="1"/>
  <c r="G5910" i="1"/>
  <c r="F5910" i="1"/>
  <c r="H5909" i="1"/>
  <c r="G5909" i="1"/>
  <c r="F5909" i="1"/>
  <c r="H5908" i="1"/>
  <c r="G5908" i="1"/>
  <c r="F5908" i="1"/>
  <c r="H5907" i="1"/>
  <c r="G5907" i="1"/>
  <c r="F5907" i="1"/>
  <c r="H5906" i="1"/>
  <c r="G5906" i="1"/>
  <c r="F5906" i="1"/>
  <c r="H5905" i="1"/>
  <c r="G5905" i="1"/>
  <c r="F5905" i="1"/>
  <c r="H5904" i="1"/>
  <c r="G5904" i="1"/>
  <c r="F5904" i="1"/>
  <c r="H5903" i="1"/>
  <c r="G5903" i="1"/>
  <c r="F5903" i="1"/>
  <c r="H5902" i="1"/>
  <c r="G5902" i="1"/>
  <c r="F5902" i="1"/>
  <c r="H5901" i="1"/>
  <c r="G5901" i="1"/>
  <c r="F5901" i="1"/>
  <c r="H5900" i="1"/>
  <c r="G5900" i="1"/>
  <c r="F5900" i="1"/>
  <c r="H5899" i="1"/>
  <c r="G5899" i="1"/>
  <c r="F5899" i="1"/>
  <c r="H5898" i="1"/>
  <c r="G5898" i="1"/>
  <c r="F5898" i="1"/>
  <c r="H5897" i="1"/>
  <c r="G5897" i="1"/>
  <c r="F5897" i="1"/>
  <c r="H5896" i="1"/>
  <c r="G5896" i="1"/>
  <c r="F5896" i="1"/>
  <c r="H5895" i="1"/>
  <c r="G5895" i="1"/>
  <c r="F5895" i="1"/>
  <c r="H5894" i="1"/>
  <c r="G5894" i="1"/>
  <c r="F5894" i="1"/>
  <c r="H5893" i="1"/>
  <c r="G5893" i="1"/>
  <c r="F5893" i="1"/>
  <c r="H5892" i="1"/>
  <c r="G5892" i="1"/>
  <c r="F5892" i="1"/>
  <c r="H5891" i="1"/>
  <c r="G5891" i="1"/>
  <c r="F5891" i="1"/>
  <c r="H5890" i="1"/>
  <c r="G5890" i="1"/>
  <c r="F5890" i="1"/>
  <c r="H5889" i="1"/>
  <c r="G5889" i="1"/>
  <c r="F5889" i="1"/>
  <c r="H5888" i="1"/>
  <c r="G5888" i="1"/>
  <c r="F5888" i="1"/>
  <c r="H5887" i="1"/>
  <c r="G5887" i="1"/>
  <c r="F5887" i="1"/>
  <c r="H5886" i="1"/>
  <c r="G5886" i="1"/>
  <c r="F5886" i="1"/>
  <c r="H5885" i="1"/>
  <c r="G5885" i="1"/>
  <c r="F5885" i="1"/>
  <c r="H5884" i="1"/>
  <c r="G5884" i="1"/>
  <c r="F5884" i="1"/>
  <c r="H5883" i="1"/>
  <c r="G5883" i="1"/>
  <c r="F5883" i="1"/>
  <c r="H5882" i="1"/>
  <c r="G5882" i="1"/>
  <c r="F5882" i="1"/>
  <c r="H5881" i="1"/>
  <c r="G5881" i="1"/>
  <c r="F5881" i="1"/>
  <c r="H5880" i="1"/>
  <c r="G5880" i="1"/>
  <c r="F5880" i="1"/>
  <c r="H5879" i="1"/>
  <c r="G5879" i="1"/>
  <c r="F5879" i="1"/>
  <c r="H5878" i="1"/>
  <c r="G5878" i="1"/>
  <c r="F5878" i="1"/>
  <c r="H5877" i="1"/>
  <c r="G5877" i="1"/>
  <c r="F5877" i="1"/>
  <c r="H5876" i="1"/>
  <c r="G5876" i="1"/>
  <c r="F5876" i="1"/>
  <c r="H5875" i="1"/>
  <c r="G5875" i="1"/>
  <c r="F5875" i="1"/>
  <c r="H5874" i="1"/>
  <c r="G5874" i="1"/>
  <c r="F5874" i="1"/>
  <c r="H5873" i="1"/>
  <c r="G5873" i="1"/>
  <c r="F5873" i="1"/>
  <c r="H5872" i="1"/>
  <c r="G5872" i="1"/>
  <c r="F5872" i="1"/>
  <c r="H5871" i="1"/>
  <c r="G5871" i="1"/>
  <c r="F5871" i="1"/>
  <c r="H5870" i="1"/>
  <c r="G5870" i="1"/>
  <c r="F5870" i="1"/>
  <c r="H5869" i="1"/>
  <c r="G5869" i="1"/>
  <c r="F5869" i="1"/>
  <c r="H5868" i="1"/>
  <c r="G5868" i="1"/>
  <c r="F5868" i="1"/>
  <c r="H5867" i="1"/>
  <c r="G5867" i="1"/>
  <c r="F5867" i="1"/>
  <c r="H5866" i="1"/>
  <c r="G5866" i="1"/>
  <c r="F5866" i="1"/>
  <c r="H5865" i="1"/>
  <c r="G5865" i="1"/>
  <c r="F5865" i="1"/>
  <c r="H5864" i="1"/>
  <c r="G5864" i="1"/>
  <c r="F5864" i="1"/>
  <c r="H5863" i="1"/>
  <c r="G5863" i="1"/>
  <c r="F5863" i="1"/>
  <c r="H5862" i="1"/>
  <c r="G5862" i="1"/>
  <c r="F5862" i="1"/>
  <c r="H5861" i="1"/>
  <c r="G5861" i="1"/>
  <c r="F5861" i="1"/>
  <c r="H5860" i="1"/>
  <c r="G5860" i="1"/>
  <c r="F5860" i="1"/>
  <c r="H5859" i="1"/>
  <c r="G5859" i="1"/>
  <c r="F5859" i="1"/>
  <c r="H5858" i="1"/>
  <c r="G5858" i="1"/>
  <c r="F5858" i="1"/>
  <c r="H5857" i="1"/>
  <c r="G5857" i="1"/>
  <c r="F5857" i="1"/>
  <c r="H5856" i="1"/>
  <c r="G5856" i="1"/>
  <c r="F5856" i="1"/>
  <c r="H5855" i="1"/>
  <c r="G5855" i="1"/>
  <c r="F5855" i="1"/>
  <c r="H5854" i="1"/>
  <c r="G5854" i="1"/>
  <c r="F5854" i="1"/>
  <c r="H5853" i="1"/>
  <c r="G5853" i="1"/>
  <c r="F5853" i="1"/>
  <c r="H5852" i="1"/>
  <c r="G5852" i="1"/>
  <c r="F5852" i="1"/>
  <c r="H5851" i="1"/>
  <c r="G5851" i="1"/>
  <c r="F5851" i="1"/>
  <c r="H5850" i="1"/>
  <c r="G5850" i="1"/>
  <c r="F5850" i="1"/>
  <c r="H5849" i="1"/>
  <c r="G5849" i="1"/>
  <c r="F5849" i="1"/>
  <c r="H5848" i="1"/>
  <c r="G5848" i="1"/>
  <c r="F5848" i="1"/>
  <c r="H5847" i="1"/>
  <c r="G5847" i="1"/>
  <c r="F5847" i="1"/>
  <c r="H5846" i="1"/>
  <c r="G5846" i="1"/>
  <c r="F5846" i="1"/>
  <c r="H5845" i="1"/>
  <c r="G5845" i="1"/>
  <c r="F5845" i="1"/>
  <c r="H5844" i="1"/>
  <c r="G5844" i="1"/>
  <c r="F5844" i="1"/>
  <c r="H5843" i="1"/>
  <c r="G5843" i="1"/>
  <c r="F5843" i="1"/>
  <c r="H5842" i="1"/>
  <c r="G5842" i="1"/>
  <c r="F5842" i="1"/>
  <c r="H5841" i="1"/>
  <c r="G5841" i="1"/>
  <c r="F5841" i="1"/>
  <c r="H5840" i="1"/>
  <c r="G5840" i="1"/>
  <c r="F5840" i="1"/>
  <c r="H5839" i="1"/>
  <c r="G5839" i="1"/>
  <c r="F5839" i="1"/>
  <c r="H5838" i="1"/>
  <c r="G5838" i="1"/>
  <c r="F5838" i="1"/>
  <c r="H5837" i="1"/>
  <c r="G5837" i="1"/>
  <c r="F5837" i="1"/>
  <c r="H5836" i="1"/>
  <c r="G5836" i="1"/>
  <c r="F5836" i="1"/>
  <c r="H5835" i="1"/>
  <c r="G5835" i="1"/>
  <c r="F5835" i="1"/>
  <c r="H5834" i="1"/>
  <c r="G5834" i="1"/>
  <c r="F5834" i="1"/>
  <c r="H5833" i="1"/>
  <c r="G5833" i="1"/>
  <c r="F5833" i="1"/>
  <c r="H5832" i="1"/>
  <c r="G5832" i="1"/>
  <c r="F5832" i="1"/>
  <c r="H5831" i="1"/>
  <c r="G5831" i="1"/>
  <c r="F5831" i="1"/>
  <c r="H5830" i="1"/>
  <c r="G5830" i="1"/>
  <c r="F5830" i="1"/>
  <c r="H5829" i="1"/>
  <c r="G5829" i="1"/>
  <c r="F5829" i="1"/>
  <c r="H5828" i="1"/>
  <c r="G5828" i="1"/>
  <c r="F5828" i="1"/>
  <c r="H5827" i="1"/>
  <c r="G5827" i="1"/>
  <c r="F5827" i="1"/>
  <c r="H5826" i="1"/>
  <c r="G5826" i="1"/>
  <c r="F5826" i="1"/>
  <c r="H5825" i="1"/>
  <c r="G5825" i="1"/>
  <c r="F5825" i="1"/>
  <c r="H5824" i="1"/>
  <c r="G5824" i="1"/>
  <c r="F5824" i="1"/>
  <c r="H5823" i="1"/>
  <c r="G5823" i="1"/>
  <c r="F5823" i="1"/>
  <c r="H5822" i="1"/>
  <c r="G5822" i="1"/>
  <c r="F5822" i="1"/>
  <c r="H5821" i="1"/>
  <c r="G5821" i="1"/>
  <c r="F5821" i="1"/>
  <c r="H5820" i="1"/>
  <c r="G5820" i="1"/>
  <c r="F5820" i="1"/>
  <c r="H5819" i="1"/>
  <c r="G5819" i="1"/>
  <c r="F5819" i="1"/>
  <c r="H5818" i="1"/>
  <c r="G5818" i="1"/>
  <c r="F5818" i="1"/>
  <c r="H5817" i="1"/>
  <c r="G5817" i="1"/>
  <c r="F5817" i="1"/>
  <c r="H5816" i="1"/>
  <c r="G5816" i="1"/>
  <c r="F5816" i="1"/>
  <c r="H5815" i="1"/>
  <c r="G5815" i="1"/>
  <c r="F5815" i="1"/>
  <c r="H5814" i="1"/>
  <c r="G5814" i="1"/>
  <c r="F5814" i="1"/>
  <c r="H5813" i="1"/>
  <c r="G5813" i="1"/>
  <c r="F5813" i="1"/>
  <c r="H5812" i="1"/>
  <c r="G5812" i="1"/>
  <c r="F5812" i="1"/>
  <c r="H5811" i="1"/>
  <c r="G5811" i="1"/>
  <c r="F5811" i="1"/>
  <c r="H5810" i="1"/>
  <c r="G5810" i="1"/>
  <c r="F5810" i="1"/>
  <c r="H5809" i="1"/>
  <c r="G5809" i="1"/>
  <c r="F5809" i="1"/>
  <c r="H5808" i="1"/>
  <c r="G5808" i="1"/>
  <c r="F5808" i="1"/>
  <c r="H5807" i="1"/>
  <c r="G5807" i="1"/>
  <c r="F5807" i="1"/>
  <c r="H5806" i="1"/>
  <c r="G5806" i="1"/>
  <c r="F5806" i="1"/>
  <c r="H5805" i="1"/>
  <c r="G5805" i="1"/>
  <c r="F5805" i="1"/>
  <c r="H5804" i="1"/>
  <c r="G5804" i="1"/>
  <c r="F5804" i="1"/>
  <c r="H5803" i="1"/>
  <c r="G5803" i="1"/>
  <c r="F5803" i="1"/>
  <c r="H5802" i="1"/>
  <c r="G5802" i="1"/>
  <c r="F5802" i="1"/>
  <c r="H5801" i="1"/>
  <c r="G5801" i="1"/>
  <c r="F5801" i="1"/>
  <c r="H5800" i="1"/>
  <c r="G5800" i="1"/>
  <c r="F5800" i="1"/>
  <c r="H5799" i="1"/>
  <c r="G5799" i="1"/>
  <c r="F5799" i="1"/>
  <c r="H5798" i="1"/>
  <c r="G5798" i="1"/>
  <c r="F5798" i="1"/>
  <c r="H5797" i="1"/>
  <c r="G5797" i="1"/>
  <c r="F5797" i="1"/>
  <c r="H5796" i="1"/>
  <c r="G5796" i="1"/>
  <c r="F5796" i="1"/>
  <c r="H5795" i="1"/>
  <c r="G5795" i="1"/>
  <c r="F5795" i="1"/>
  <c r="H5794" i="1"/>
  <c r="G5794" i="1"/>
  <c r="F5794" i="1"/>
  <c r="H5793" i="1"/>
  <c r="G5793" i="1"/>
  <c r="F5793" i="1"/>
  <c r="H5792" i="1"/>
  <c r="G5792" i="1"/>
  <c r="F5792" i="1"/>
  <c r="H5791" i="1"/>
  <c r="G5791" i="1"/>
  <c r="F5791" i="1"/>
  <c r="H5790" i="1"/>
  <c r="G5790" i="1"/>
  <c r="F5790" i="1"/>
  <c r="H5789" i="1"/>
  <c r="G5789" i="1"/>
  <c r="F5789" i="1"/>
  <c r="H5788" i="1"/>
  <c r="G5788" i="1"/>
  <c r="F5788" i="1"/>
  <c r="H5787" i="1"/>
  <c r="G5787" i="1"/>
  <c r="F5787" i="1"/>
  <c r="H5786" i="1"/>
  <c r="G5786" i="1"/>
  <c r="F5786" i="1"/>
  <c r="H5785" i="1"/>
  <c r="G5785" i="1"/>
  <c r="F5785" i="1"/>
  <c r="H5784" i="1"/>
  <c r="G5784" i="1"/>
  <c r="F5784" i="1"/>
  <c r="H5783" i="1"/>
  <c r="G5783" i="1"/>
  <c r="F5783" i="1"/>
  <c r="H5782" i="1"/>
  <c r="G5782" i="1"/>
  <c r="F5782" i="1"/>
  <c r="H5781" i="1"/>
  <c r="G5781" i="1"/>
  <c r="F5781" i="1"/>
  <c r="H5780" i="1"/>
  <c r="G5780" i="1"/>
  <c r="F5780" i="1"/>
  <c r="H5779" i="1"/>
  <c r="G5779" i="1"/>
  <c r="F5779" i="1"/>
  <c r="H5778" i="1"/>
  <c r="G5778" i="1"/>
  <c r="F5778" i="1"/>
  <c r="H5777" i="1"/>
  <c r="G5777" i="1"/>
  <c r="F5777" i="1"/>
  <c r="H5776" i="1"/>
  <c r="G5776" i="1"/>
  <c r="F5776" i="1"/>
  <c r="H5775" i="1"/>
  <c r="G5775" i="1"/>
  <c r="F5775" i="1"/>
  <c r="H5774" i="1"/>
  <c r="G5774" i="1"/>
  <c r="F5774" i="1"/>
  <c r="H5773" i="1"/>
  <c r="G5773" i="1"/>
  <c r="F5773" i="1"/>
  <c r="H5772" i="1"/>
  <c r="G5772" i="1"/>
  <c r="F5772" i="1"/>
  <c r="H5771" i="1"/>
  <c r="G5771" i="1"/>
  <c r="F5771" i="1"/>
  <c r="H5770" i="1"/>
  <c r="G5770" i="1"/>
  <c r="F5770" i="1"/>
  <c r="H5769" i="1"/>
  <c r="G5769" i="1"/>
  <c r="F5769" i="1"/>
  <c r="H5768" i="1"/>
  <c r="G5768" i="1"/>
  <c r="F5768" i="1"/>
  <c r="H5767" i="1"/>
  <c r="G5767" i="1"/>
  <c r="F5767" i="1"/>
  <c r="H5766" i="1"/>
  <c r="G5766" i="1"/>
  <c r="F5766" i="1"/>
  <c r="H5765" i="1"/>
  <c r="G5765" i="1"/>
  <c r="F5765" i="1"/>
  <c r="H5764" i="1"/>
  <c r="G5764" i="1"/>
  <c r="F5764" i="1"/>
  <c r="H5763" i="1"/>
  <c r="G5763" i="1"/>
  <c r="F5763" i="1"/>
  <c r="H5762" i="1"/>
  <c r="G5762" i="1"/>
  <c r="F5762" i="1"/>
  <c r="H5761" i="1"/>
  <c r="G5761" i="1"/>
  <c r="F5761" i="1"/>
  <c r="H5760" i="1"/>
  <c r="G5760" i="1"/>
  <c r="F5760" i="1"/>
  <c r="H5759" i="1"/>
  <c r="G5759" i="1"/>
  <c r="F5759" i="1"/>
  <c r="H5758" i="1"/>
  <c r="G5758" i="1"/>
  <c r="F5758" i="1"/>
  <c r="H5757" i="1"/>
  <c r="G5757" i="1"/>
  <c r="F5757" i="1"/>
  <c r="H5756" i="1"/>
  <c r="G5756" i="1"/>
  <c r="F5756" i="1"/>
  <c r="H5755" i="1"/>
  <c r="G5755" i="1"/>
  <c r="F5755" i="1"/>
  <c r="H5754" i="1"/>
  <c r="G5754" i="1"/>
  <c r="F5754" i="1"/>
  <c r="H5753" i="1"/>
  <c r="G5753" i="1"/>
  <c r="F5753" i="1"/>
  <c r="H5752" i="1"/>
  <c r="G5752" i="1"/>
  <c r="F5752" i="1"/>
  <c r="H5751" i="1"/>
  <c r="G5751" i="1"/>
  <c r="F5751" i="1"/>
  <c r="H5750" i="1"/>
  <c r="G5750" i="1"/>
  <c r="F5750" i="1"/>
  <c r="H5749" i="1"/>
  <c r="G5749" i="1"/>
  <c r="F5749" i="1"/>
  <c r="H5748" i="1"/>
  <c r="G5748" i="1"/>
  <c r="F5748" i="1"/>
  <c r="H5747" i="1"/>
  <c r="G5747" i="1"/>
  <c r="F5747" i="1"/>
  <c r="H5746" i="1"/>
  <c r="G5746" i="1"/>
  <c r="F5746" i="1"/>
  <c r="H5745" i="1"/>
  <c r="G5745" i="1"/>
  <c r="F5745" i="1"/>
  <c r="H5744" i="1"/>
  <c r="G5744" i="1"/>
  <c r="F5744" i="1"/>
  <c r="H5743" i="1"/>
  <c r="G5743" i="1"/>
  <c r="F5743" i="1"/>
  <c r="H5742" i="1"/>
  <c r="G5742" i="1"/>
  <c r="F5742" i="1"/>
  <c r="H5741" i="1"/>
  <c r="G5741" i="1"/>
  <c r="F5741" i="1"/>
  <c r="H5740" i="1"/>
  <c r="G5740" i="1"/>
  <c r="F5740" i="1"/>
  <c r="H5739" i="1"/>
  <c r="G5739" i="1"/>
  <c r="F5739" i="1"/>
  <c r="H5738" i="1"/>
  <c r="G5738" i="1"/>
  <c r="F5738" i="1"/>
  <c r="H5737" i="1"/>
  <c r="G5737" i="1"/>
  <c r="F5737" i="1"/>
  <c r="H5736" i="1"/>
  <c r="G5736" i="1"/>
  <c r="F5736" i="1"/>
  <c r="H5735" i="1"/>
  <c r="G5735" i="1"/>
  <c r="F5735" i="1"/>
  <c r="H5734" i="1"/>
  <c r="G5734" i="1"/>
  <c r="F5734" i="1"/>
  <c r="H5733" i="1"/>
  <c r="G5733" i="1"/>
  <c r="F5733" i="1"/>
  <c r="H5732" i="1"/>
  <c r="G5732" i="1"/>
  <c r="F5732" i="1"/>
  <c r="H5731" i="1"/>
  <c r="G5731" i="1"/>
  <c r="F5731" i="1"/>
  <c r="H5730" i="1"/>
  <c r="G5730" i="1"/>
  <c r="F5730" i="1"/>
  <c r="H5729" i="1"/>
  <c r="G5729" i="1"/>
  <c r="F5729" i="1"/>
  <c r="H5728" i="1"/>
  <c r="G5728" i="1"/>
  <c r="F5728" i="1"/>
  <c r="H5727" i="1"/>
  <c r="G5727" i="1"/>
  <c r="F5727" i="1"/>
  <c r="H5726" i="1"/>
  <c r="G5726" i="1"/>
  <c r="F5726" i="1"/>
  <c r="H5725" i="1"/>
  <c r="G5725" i="1"/>
  <c r="F5725" i="1"/>
  <c r="H5724" i="1"/>
  <c r="G5724" i="1"/>
  <c r="F5724" i="1"/>
  <c r="H5723" i="1"/>
  <c r="G5723" i="1"/>
  <c r="F5723" i="1"/>
  <c r="H5722" i="1"/>
  <c r="G5722" i="1"/>
  <c r="F5722" i="1"/>
  <c r="H5721" i="1"/>
  <c r="G5721" i="1"/>
  <c r="F5721" i="1"/>
  <c r="H5720" i="1"/>
  <c r="G5720" i="1"/>
  <c r="F5720" i="1"/>
  <c r="H5719" i="1"/>
  <c r="G5719" i="1"/>
  <c r="F5719" i="1"/>
  <c r="H5718" i="1"/>
  <c r="G5718" i="1"/>
  <c r="F5718" i="1"/>
  <c r="H5717" i="1"/>
  <c r="G5717" i="1"/>
  <c r="F5717" i="1"/>
  <c r="H5716" i="1"/>
  <c r="G5716" i="1"/>
  <c r="F5716" i="1"/>
  <c r="H5715" i="1"/>
  <c r="G5715" i="1"/>
  <c r="F5715" i="1"/>
  <c r="H5714" i="1"/>
  <c r="G5714" i="1"/>
  <c r="F5714" i="1"/>
  <c r="H5713" i="1"/>
  <c r="G5713" i="1"/>
  <c r="F5713" i="1"/>
  <c r="H5712" i="1"/>
  <c r="G5712" i="1"/>
  <c r="F5712" i="1"/>
  <c r="H5711" i="1"/>
  <c r="G5711" i="1"/>
  <c r="F5711" i="1"/>
  <c r="H5710" i="1"/>
  <c r="G5710" i="1"/>
  <c r="F5710" i="1"/>
  <c r="H5709" i="1"/>
  <c r="G5709" i="1"/>
  <c r="F5709" i="1"/>
  <c r="H5708" i="1"/>
  <c r="G5708" i="1"/>
  <c r="F5708" i="1"/>
  <c r="H5707" i="1"/>
  <c r="G5707" i="1"/>
  <c r="F5707" i="1"/>
  <c r="H5706" i="1"/>
  <c r="G5706" i="1"/>
  <c r="F5706" i="1"/>
  <c r="H5705" i="1"/>
  <c r="G5705" i="1"/>
  <c r="F5705" i="1"/>
  <c r="H5704" i="1"/>
  <c r="G5704" i="1"/>
  <c r="F5704" i="1"/>
  <c r="H5703" i="1"/>
  <c r="G5703" i="1"/>
  <c r="F5703" i="1"/>
  <c r="H5702" i="1"/>
  <c r="G5702" i="1"/>
  <c r="F5702" i="1"/>
  <c r="H5701" i="1"/>
  <c r="G5701" i="1"/>
  <c r="F5701" i="1"/>
  <c r="H5700" i="1"/>
  <c r="G5700" i="1"/>
  <c r="F5700" i="1"/>
  <c r="H5699" i="1"/>
  <c r="G5699" i="1"/>
  <c r="F5699" i="1"/>
  <c r="H5698" i="1"/>
  <c r="G5698" i="1"/>
  <c r="F5698" i="1"/>
  <c r="H5697" i="1"/>
  <c r="G5697" i="1"/>
  <c r="F5697" i="1"/>
  <c r="H5696" i="1"/>
  <c r="G5696" i="1"/>
  <c r="F5696" i="1"/>
  <c r="H5695" i="1"/>
  <c r="G5695" i="1"/>
  <c r="F5695" i="1"/>
  <c r="H5694" i="1"/>
  <c r="G5694" i="1"/>
  <c r="F5694" i="1"/>
  <c r="H5693" i="1"/>
  <c r="G5693" i="1"/>
  <c r="F5693" i="1"/>
  <c r="H5692" i="1"/>
  <c r="G5692" i="1"/>
  <c r="F5692" i="1"/>
  <c r="H5691" i="1"/>
  <c r="G5691" i="1"/>
  <c r="F5691" i="1"/>
  <c r="H5690" i="1"/>
  <c r="G5690" i="1"/>
  <c r="F5690" i="1"/>
  <c r="H5689" i="1"/>
  <c r="G5689" i="1"/>
  <c r="F5689" i="1"/>
  <c r="H5688" i="1"/>
  <c r="G5688" i="1"/>
  <c r="F5688" i="1"/>
  <c r="H5687" i="1"/>
  <c r="G5687" i="1"/>
  <c r="F5687" i="1"/>
  <c r="H5686" i="1"/>
  <c r="G5686" i="1"/>
  <c r="F5686" i="1"/>
  <c r="H5685" i="1"/>
  <c r="G5685" i="1"/>
  <c r="F5685" i="1"/>
  <c r="H5684" i="1"/>
  <c r="G5684" i="1"/>
  <c r="F5684" i="1"/>
  <c r="H5683" i="1"/>
  <c r="G5683" i="1"/>
  <c r="F5683" i="1"/>
  <c r="H5682" i="1"/>
  <c r="G5682" i="1"/>
  <c r="F5682" i="1"/>
  <c r="H5681" i="1"/>
  <c r="G5681" i="1"/>
  <c r="F5681" i="1"/>
  <c r="H5680" i="1"/>
  <c r="G5680" i="1"/>
  <c r="F5680" i="1"/>
  <c r="H5679" i="1"/>
  <c r="G5679" i="1"/>
  <c r="F5679" i="1"/>
  <c r="H5678" i="1"/>
  <c r="G5678" i="1"/>
  <c r="F5678" i="1"/>
  <c r="H5677" i="1"/>
  <c r="G5677" i="1"/>
  <c r="F5677" i="1"/>
  <c r="H5676" i="1"/>
  <c r="G5676" i="1"/>
  <c r="F5676" i="1"/>
  <c r="H5675" i="1"/>
  <c r="G5675" i="1"/>
  <c r="F5675" i="1"/>
  <c r="H5674" i="1"/>
  <c r="G5674" i="1"/>
  <c r="F5674" i="1"/>
  <c r="H5673" i="1"/>
  <c r="G5673" i="1"/>
  <c r="F5673" i="1"/>
  <c r="H5672" i="1"/>
  <c r="G5672" i="1"/>
  <c r="F5672" i="1"/>
  <c r="H5671" i="1"/>
  <c r="G5671" i="1"/>
  <c r="F5671" i="1"/>
  <c r="H5670" i="1"/>
  <c r="G5670" i="1"/>
  <c r="F5670" i="1"/>
  <c r="H5669" i="1"/>
  <c r="G5669" i="1"/>
  <c r="F5669" i="1"/>
  <c r="H5668" i="1"/>
  <c r="G5668" i="1"/>
  <c r="F5668" i="1"/>
  <c r="H5667" i="1"/>
  <c r="G5667" i="1"/>
  <c r="F5667" i="1"/>
  <c r="H5666" i="1"/>
  <c r="G5666" i="1"/>
  <c r="F5666" i="1"/>
  <c r="H5665" i="1"/>
  <c r="G5665" i="1"/>
  <c r="F5665" i="1"/>
  <c r="H5664" i="1"/>
  <c r="G5664" i="1"/>
  <c r="F5664" i="1"/>
  <c r="H5663" i="1"/>
  <c r="G5663" i="1"/>
  <c r="F5663" i="1"/>
  <c r="H5662" i="1"/>
  <c r="G5662" i="1"/>
  <c r="F5662" i="1"/>
  <c r="H5661" i="1"/>
  <c r="G5661" i="1"/>
  <c r="F5661" i="1"/>
  <c r="H5660" i="1"/>
  <c r="G5660" i="1"/>
  <c r="F5660" i="1"/>
  <c r="H5659" i="1"/>
  <c r="G5659" i="1"/>
  <c r="F5659" i="1"/>
  <c r="H5658" i="1"/>
  <c r="G5658" i="1"/>
  <c r="F5658" i="1"/>
  <c r="H5657" i="1"/>
  <c r="G5657" i="1"/>
  <c r="F5657" i="1"/>
  <c r="H5656" i="1"/>
  <c r="G5656" i="1"/>
  <c r="F5656" i="1"/>
  <c r="H5655" i="1"/>
  <c r="G5655" i="1"/>
  <c r="F5655" i="1"/>
  <c r="H5654" i="1"/>
  <c r="G5654" i="1"/>
  <c r="F5654" i="1"/>
  <c r="H5653" i="1"/>
  <c r="G5653" i="1"/>
  <c r="F5653" i="1"/>
  <c r="H5652" i="1"/>
  <c r="G5652" i="1"/>
  <c r="F5652" i="1"/>
  <c r="H5651" i="1"/>
  <c r="G5651" i="1"/>
  <c r="F5651" i="1"/>
  <c r="H5650" i="1"/>
  <c r="G5650" i="1"/>
  <c r="F5650" i="1"/>
  <c r="H5649" i="1"/>
  <c r="G5649" i="1"/>
  <c r="F5649" i="1"/>
  <c r="H5648" i="1"/>
  <c r="G5648" i="1"/>
  <c r="F5648" i="1"/>
  <c r="H5647" i="1"/>
  <c r="G5647" i="1"/>
  <c r="F5647" i="1"/>
  <c r="H5646" i="1"/>
  <c r="G5646" i="1"/>
  <c r="F5646" i="1"/>
  <c r="H5645" i="1"/>
  <c r="G5645" i="1"/>
  <c r="F5645" i="1"/>
  <c r="H5644" i="1"/>
  <c r="G5644" i="1"/>
  <c r="F5644" i="1"/>
  <c r="H5643" i="1"/>
  <c r="G5643" i="1"/>
  <c r="F5643" i="1"/>
  <c r="H5642" i="1"/>
  <c r="G5642" i="1"/>
  <c r="F5642" i="1"/>
  <c r="H5641" i="1"/>
  <c r="G5641" i="1"/>
  <c r="F5641" i="1"/>
  <c r="H5640" i="1"/>
  <c r="G5640" i="1"/>
  <c r="F5640" i="1"/>
  <c r="H5639" i="1"/>
  <c r="G5639" i="1"/>
  <c r="F5639" i="1"/>
  <c r="H5638" i="1"/>
  <c r="G5638" i="1"/>
  <c r="F5638" i="1"/>
  <c r="H5637" i="1"/>
  <c r="G5637" i="1"/>
  <c r="F5637" i="1"/>
  <c r="H5636" i="1"/>
  <c r="G5636" i="1"/>
  <c r="F5636" i="1"/>
  <c r="H5635" i="1"/>
  <c r="G5635" i="1"/>
  <c r="F5635" i="1"/>
  <c r="H5634" i="1"/>
  <c r="G5634" i="1"/>
  <c r="F5634" i="1"/>
  <c r="H5633" i="1"/>
  <c r="G5633" i="1"/>
  <c r="F5633" i="1"/>
  <c r="H5632" i="1"/>
  <c r="G5632" i="1"/>
  <c r="F5632" i="1"/>
  <c r="H5631" i="1"/>
  <c r="G5631" i="1"/>
  <c r="F5631" i="1"/>
  <c r="H5630" i="1"/>
  <c r="G5630" i="1"/>
  <c r="F5630" i="1"/>
  <c r="H5629" i="1"/>
  <c r="G5629" i="1"/>
  <c r="F5629" i="1"/>
  <c r="H5628" i="1"/>
  <c r="G5628" i="1"/>
  <c r="F5628" i="1"/>
  <c r="H5627" i="1"/>
  <c r="G5627" i="1"/>
  <c r="F5627" i="1"/>
  <c r="H5626" i="1"/>
  <c r="G5626" i="1"/>
  <c r="F5626" i="1"/>
  <c r="H5625" i="1"/>
  <c r="G5625" i="1"/>
  <c r="F5625" i="1"/>
  <c r="H5624" i="1"/>
  <c r="G5624" i="1"/>
  <c r="F5624" i="1"/>
  <c r="H5623" i="1"/>
  <c r="G5623" i="1"/>
  <c r="F5623" i="1"/>
  <c r="H5622" i="1"/>
  <c r="G5622" i="1"/>
  <c r="F5622" i="1"/>
  <c r="H5621" i="1"/>
  <c r="G5621" i="1"/>
  <c r="F5621" i="1"/>
  <c r="H5620" i="1"/>
  <c r="G5620" i="1"/>
  <c r="F5620" i="1"/>
  <c r="H5619" i="1"/>
  <c r="G5619" i="1"/>
  <c r="F5619" i="1"/>
  <c r="H5618" i="1"/>
  <c r="G5618" i="1"/>
  <c r="F5618" i="1"/>
  <c r="H5617" i="1"/>
  <c r="G5617" i="1"/>
  <c r="F5617" i="1"/>
  <c r="H5616" i="1"/>
  <c r="G5616" i="1"/>
  <c r="F5616" i="1"/>
  <c r="H5615" i="1"/>
  <c r="G5615" i="1"/>
  <c r="F5615" i="1"/>
  <c r="H5614" i="1"/>
  <c r="G5614" i="1"/>
  <c r="F5614" i="1"/>
  <c r="H5613" i="1"/>
  <c r="G5613" i="1"/>
  <c r="F5613" i="1"/>
  <c r="H5612" i="1"/>
  <c r="G5612" i="1"/>
  <c r="F5612" i="1"/>
  <c r="H5611" i="1"/>
  <c r="G5611" i="1"/>
  <c r="F5611" i="1"/>
  <c r="H5610" i="1"/>
  <c r="G5610" i="1"/>
  <c r="F5610" i="1"/>
  <c r="H5609" i="1"/>
  <c r="G5609" i="1"/>
  <c r="F5609" i="1"/>
  <c r="H5608" i="1"/>
  <c r="G5608" i="1"/>
  <c r="F5608" i="1"/>
  <c r="H5607" i="1"/>
  <c r="G5607" i="1"/>
  <c r="F5607" i="1"/>
  <c r="H5606" i="1"/>
  <c r="G5606" i="1"/>
  <c r="F5606" i="1"/>
  <c r="H5605" i="1"/>
  <c r="G5605" i="1"/>
  <c r="F5605" i="1"/>
  <c r="H5604" i="1"/>
  <c r="G5604" i="1"/>
  <c r="F5604" i="1"/>
  <c r="H5603" i="1"/>
  <c r="G5603" i="1"/>
  <c r="F5603" i="1"/>
  <c r="H5602" i="1"/>
  <c r="G5602" i="1"/>
  <c r="F5602" i="1"/>
  <c r="H5601" i="1"/>
  <c r="G5601" i="1"/>
  <c r="F5601" i="1"/>
  <c r="H5600" i="1"/>
  <c r="G5600" i="1"/>
  <c r="F5600" i="1"/>
  <c r="H5599" i="1"/>
  <c r="G5599" i="1"/>
  <c r="F5599" i="1"/>
  <c r="H5598" i="1"/>
  <c r="G5598" i="1"/>
  <c r="F5598" i="1"/>
  <c r="H5597" i="1"/>
  <c r="G5597" i="1"/>
  <c r="F5597" i="1"/>
  <c r="H5596" i="1"/>
  <c r="G5596" i="1"/>
  <c r="F5596" i="1"/>
  <c r="H5595" i="1"/>
  <c r="G5595" i="1"/>
  <c r="F5595" i="1"/>
  <c r="H5594" i="1"/>
  <c r="G5594" i="1"/>
  <c r="F5594" i="1"/>
  <c r="H5593" i="1"/>
  <c r="G5593" i="1"/>
  <c r="F5593" i="1"/>
  <c r="H5592" i="1"/>
  <c r="G5592" i="1"/>
  <c r="F5592" i="1"/>
  <c r="H5591" i="1"/>
  <c r="G5591" i="1"/>
  <c r="F5591" i="1"/>
  <c r="H5590" i="1"/>
  <c r="G5590" i="1"/>
  <c r="F5590" i="1"/>
  <c r="H5589" i="1"/>
  <c r="G5589" i="1"/>
  <c r="F5589" i="1"/>
  <c r="H5588" i="1"/>
  <c r="G5588" i="1"/>
  <c r="F5588" i="1"/>
  <c r="H5587" i="1"/>
  <c r="G5587" i="1"/>
  <c r="F5587" i="1"/>
  <c r="H5586" i="1"/>
  <c r="G5586" i="1"/>
  <c r="F5586" i="1"/>
  <c r="H5585" i="1"/>
  <c r="G5585" i="1"/>
  <c r="F5585" i="1"/>
  <c r="H5584" i="1"/>
  <c r="G5584" i="1"/>
  <c r="F5584" i="1"/>
  <c r="H5583" i="1"/>
  <c r="G5583" i="1"/>
  <c r="F5583" i="1"/>
  <c r="H5582" i="1"/>
  <c r="G5582" i="1"/>
  <c r="F5582" i="1"/>
  <c r="H5581" i="1"/>
  <c r="G5581" i="1"/>
  <c r="F5581" i="1"/>
  <c r="H5580" i="1"/>
  <c r="G5580" i="1"/>
  <c r="F5580" i="1"/>
  <c r="H5579" i="1"/>
  <c r="G5579" i="1"/>
  <c r="F5579" i="1"/>
  <c r="H5578" i="1"/>
  <c r="G5578" i="1"/>
  <c r="F5578" i="1"/>
  <c r="H5577" i="1"/>
  <c r="G5577" i="1"/>
  <c r="F5577" i="1"/>
  <c r="H5576" i="1"/>
  <c r="G5576" i="1"/>
  <c r="F5576" i="1"/>
  <c r="H5575" i="1"/>
  <c r="G5575" i="1"/>
  <c r="F5575" i="1"/>
  <c r="H5574" i="1"/>
  <c r="G5574" i="1"/>
  <c r="F5574" i="1"/>
  <c r="H5573" i="1"/>
  <c r="G5573" i="1"/>
  <c r="F5573" i="1"/>
  <c r="H5572" i="1"/>
  <c r="G5572" i="1"/>
  <c r="F5572" i="1"/>
  <c r="H5571" i="1"/>
  <c r="G5571" i="1"/>
  <c r="F5571" i="1"/>
  <c r="H5570" i="1"/>
  <c r="G5570" i="1"/>
  <c r="F5570" i="1"/>
  <c r="H5569" i="1"/>
  <c r="G5569" i="1"/>
  <c r="F5569" i="1"/>
  <c r="H5568" i="1"/>
  <c r="G5568" i="1"/>
  <c r="F5568" i="1"/>
  <c r="H5567" i="1"/>
  <c r="G5567" i="1"/>
  <c r="F5567" i="1"/>
  <c r="H5566" i="1"/>
  <c r="G5566" i="1"/>
  <c r="F5566" i="1"/>
  <c r="H5565" i="1"/>
  <c r="G5565" i="1"/>
  <c r="F5565" i="1"/>
  <c r="H5564" i="1"/>
  <c r="G5564" i="1"/>
  <c r="F5564" i="1"/>
  <c r="H5563" i="1"/>
  <c r="G5563" i="1"/>
  <c r="F5563" i="1"/>
  <c r="H5562" i="1"/>
  <c r="G5562" i="1"/>
  <c r="F5562" i="1"/>
  <c r="H5561" i="1"/>
  <c r="G5561" i="1"/>
  <c r="F5561" i="1"/>
  <c r="H5560" i="1"/>
  <c r="G5560" i="1"/>
  <c r="F5560" i="1"/>
  <c r="H5559" i="1"/>
  <c r="G5559" i="1"/>
  <c r="F5559" i="1"/>
  <c r="H5558" i="1"/>
  <c r="G5558" i="1"/>
  <c r="F5558" i="1"/>
  <c r="H5557" i="1"/>
  <c r="G5557" i="1"/>
  <c r="F5557" i="1"/>
  <c r="H5556" i="1"/>
  <c r="G5556" i="1"/>
  <c r="F5556" i="1"/>
  <c r="H5555" i="1"/>
  <c r="G5555" i="1"/>
  <c r="F5555" i="1"/>
  <c r="H5554" i="1"/>
  <c r="G5554" i="1"/>
  <c r="F5554" i="1"/>
  <c r="H5553" i="1"/>
  <c r="G5553" i="1"/>
  <c r="F5553" i="1"/>
  <c r="H5552" i="1"/>
  <c r="G5552" i="1"/>
  <c r="F5552" i="1"/>
  <c r="H5551" i="1"/>
  <c r="G5551" i="1"/>
  <c r="F5551" i="1"/>
  <c r="H5550" i="1"/>
  <c r="G5550" i="1"/>
  <c r="F5550" i="1"/>
  <c r="H5549" i="1"/>
  <c r="G5549" i="1"/>
  <c r="F5549" i="1"/>
  <c r="H5548" i="1"/>
  <c r="G5548" i="1"/>
  <c r="F5548" i="1"/>
  <c r="H5547" i="1"/>
  <c r="G5547" i="1"/>
  <c r="F5547" i="1"/>
  <c r="H5546" i="1"/>
  <c r="G5546" i="1"/>
  <c r="F5546" i="1"/>
  <c r="H5545" i="1"/>
  <c r="G5545" i="1"/>
  <c r="F5545" i="1"/>
  <c r="H5544" i="1"/>
  <c r="G5544" i="1"/>
  <c r="F5544" i="1"/>
  <c r="H5543" i="1"/>
  <c r="G5543" i="1"/>
  <c r="F5543" i="1"/>
  <c r="H5542" i="1"/>
  <c r="G5542" i="1"/>
  <c r="F5542" i="1"/>
  <c r="H5541" i="1"/>
  <c r="G5541" i="1"/>
  <c r="F5541" i="1"/>
  <c r="H5540" i="1"/>
  <c r="G5540" i="1"/>
  <c r="F5540" i="1"/>
  <c r="H5539" i="1"/>
  <c r="G5539" i="1"/>
  <c r="F5539" i="1"/>
  <c r="H5538" i="1"/>
  <c r="G5538" i="1"/>
  <c r="F5538" i="1"/>
  <c r="H5537" i="1"/>
  <c r="G5537" i="1"/>
  <c r="F5537" i="1"/>
  <c r="H5536" i="1"/>
  <c r="G5536" i="1"/>
  <c r="F5536" i="1"/>
  <c r="H5535" i="1"/>
  <c r="G5535" i="1"/>
  <c r="F5535" i="1"/>
  <c r="H5534" i="1"/>
  <c r="G5534" i="1"/>
  <c r="F5534" i="1"/>
  <c r="H5533" i="1"/>
  <c r="G5533" i="1"/>
  <c r="F5533" i="1"/>
  <c r="H5532" i="1"/>
  <c r="G5532" i="1"/>
  <c r="F5532" i="1"/>
  <c r="H5531" i="1"/>
  <c r="G5531" i="1"/>
  <c r="F5531" i="1"/>
  <c r="H5530" i="1"/>
  <c r="G5530" i="1"/>
  <c r="F5530" i="1"/>
  <c r="H5529" i="1"/>
  <c r="G5529" i="1"/>
  <c r="F5529" i="1"/>
  <c r="H5528" i="1"/>
  <c r="G5528" i="1"/>
  <c r="F5528" i="1"/>
  <c r="H5527" i="1"/>
  <c r="G5527" i="1"/>
  <c r="F5527" i="1"/>
  <c r="H5526" i="1"/>
  <c r="G5526" i="1"/>
  <c r="F5526" i="1"/>
  <c r="H5525" i="1"/>
  <c r="G5525" i="1"/>
  <c r="F5525" i="1"/>
  <c r="H5524" i="1"/>
  <c r="G5524" i="1"/>
  <c r="F5524" i="1"/>
  <c r="H5523" i="1"/>
  <c r="G5523" i="1"/>
  <c r="F5523" i="1"/>
  <c r="H5522" i="1"/>
  <c r="G5522" i="1"/>
  <c r="F5522" i="1"/>
  <c r="H5521" i="1"/>
  <c r="G5521" i="1"/>
  <c r="F5521" i="1"/>
  <c r="H5520" i="1"/>
  <c r="G5520" i="1"/>
  <c r="F5520" i="1"/>
  <c r="H5519" i="1"/>
  <c r="G5519" i="1"/>
  <c r="F5519" i="1"/>
  <c r="H5518" i="1"/>
  <c r="G5518" i="1"/>
  <c r="F5518" i="1"/>
  <c r="H5517" i="1"/>
  <c r="G5517" i="1"/>
  <c r="F5517" i="1"/>
  <c r="H5516" i="1"/>
  <c r="G5516" i="1"/>
  <c r="F5516" i="1"/>
  <c r="H5515" i="1"/>
  <c r="G5515" i="1"/>
  <c r="F5515" i="1"/>
  <c r="H5514" i="1"/>
  <c r="G5514" i="1"/>
  <c r="F5514" i="1"/>
  <c r="H5513" i="1"/>
  <c r="G5513" i="1"/>
  <c r="F5513" i="1"/>
  <c r="H5512" i="1"/>
  <c r="G5512" i="1"/>
  <c r="F5512" i="1"/>
  <c r="H5511" i="1"/>
  <c r="G5511" i="1"/>
  <c r="F5511" i="1"/>
  <c r="H5510" i="1"/>
  <c r="G5510" i="1"/>
  <c r="F5510" i="1"/>
  <c r="H5509" i="1"/>
  <c r="G5509" i="1"/>
  <c r="F5509" i="1"/>
  <c r="H5508" i="1"/>
  <c r="G5508" i="1"/>
  <c r="F5508" i="1"/>
  <c r="H5507" i="1"/>
  <c r="G5507" i="1"/>
  <c r="F5507" i="1"/>
  <c r="H5506" i="1"/>
  <c r="G5506" i="1"/>
  <c r="F5506" i="1"/>
  <c r="H5505" i="1"/>
  <c r="G5505" i="1"/>
  <c r="F5505" i="1"/>
  <c r="H5504" i="1"/>
  <c r="G5504" i="1"/>
  <c r="F5504" i="1"/>
  <c r="H5503" i="1"/>
  <c r="G5503" i="1"/>
  <c r="F5503" i="1"/>
  <c r="H5502" i="1"/>
  <c r="G5502" i="1"/>
  <c r="F5502" i="1"/>
  <c r="H5501" i="1"/>
  <c r="G5501" i="1"/>
  <c r="F5501" i="1"/>
  <c r="H5500" i="1"/>
  <c r="G5500" i="1"/>
  <c r="F5500" i="1"/>
  <c r="H5499" i="1"/>
  <c r="G5499" i="1"/>
  <c r="F5499" i="1"/>
  <c r="H5498" i="1"/>
  <c r="G5498" i="1"/>
  <c r="F5498" i="1"/>
  <c r="H5497" i="1"/>
  <c r="G5497" i="1"/>
  <c r="F5497" i="1"/>
  <c r="H5496" i="1"/>
  <c r="G5496" i="1"/>
  <c r="F5496" i="1"/>
  <c r="H5495" i="1"/>
  <c r="G5495" i="1"/>
  <c r="F5495" i="1"/>
  <c r="H5494" i="1"/>
  <c r="G5494" i="1"/>
  <c r="F5494" i="1"/>
  <c r="H5493" i="1"/>
  <c r="G5493" i="1"/>
  <c r="F5493" i="1"/>
  <c r="H5492" i="1"/>
  <c r="G5492" i="1"/>
  <c r="F5492" i="1"/>
  <c r="H5491" i="1"/>
  <c r="G5491" i="1"/>
  <c r="F5491" i="1"/>
  <c r="H5490" i="1"/>
  <c r="G5490" i="1"/>
  <c r="F5490" i="1"/>
  <c r="H5489" i="1"/>
  <c r="G5489" i="1"/>
  <c r="F5489" i="1"/>
  <c r="H5488" i="1"/>
  <c r="G5488" i="1"/>
  <c r="F5488" i="1"/>
  <c r="H5487" i="1"/>
  <c r="G5487" i="1"/>
  <c r="F5487" i="1"/>
  <c r="H5486" i="1"/>
  <c r="G5486" i="1"/>
  <c r="F5486" i="1"/>
  <c r="H5485" i="1"/>
  <c r="G5485" i="1"/>
  <c r="F5485" i="1"/>
  <c r="H5484" i="1"/>
  <c r="G5484" i="1"/>
  <c r="F5484" i="1"/>
  <c r="H5483" i="1"/>
  <c r="G5483" i="1"/>
  <c r="F5483" i="1"/>
  <c r="H5482" i="1"/>
  <c r="G5482" i="1"/>
  <c r="F5482" i="1"/>
  <c r="H5481" i="1"/>
  <c r="G5481" i="1"/>
  <c r="F5481" i="1"/>
  <c r="H5480" i="1"/>
  <c r="G5480" i="1"/>
  <c r="F5480" i="1"/>
  <c r="H5479" i="1"/>
  <c r="G5479" i="1"/>
  <c r="F5479" i="1"/>
  <c r="H5478" i="1"/>
  <c r="G5478" i="1"/>
  <c r="F5478" i="1"/>
  <c r="H5477" i="1"/>
  <c r="G5477" i="1"/>
  <c r="F5477" i="1"/>
  <c r="H5476" i="1"/>
  <c r="G5476" i="1"/>
  <c r="F5476" i="1"/>
  <c r="H5475" i="1"/>
  <c r="G5475" i="1"/>
  <c r="F5475" i="1"/>
  <c r="H5474" i="1"/>
  <c r="G5474" i="1"/>
  <c r="F5474" i="1"/>
  <c r="H5473" i="1"/>
  <c r="G5473" i="1"/>
  <c r="F5473" i="1"/>
  <c r="H5472" i="1"/>
  <c r="G5472" i="1"/>
  <c r="F5472" i="1"/>
  <c r="H5471" i="1"/>
  <c r="G5471" i="1"/>
  <c r="F5471" i="1"/>
  <c r="H5470" i="1"/>
  <c r="G5470" i="1"/>
  <c r="F5470" i="1"/>
  <c r="H5469" i="1"/>
  <c r="G5469" i="1"/>
  <c r="F5469" i="1"/>
  <c r="H5468" i="1"/>
  <c r="G5468" i="1"/>
  <c r="F5468" i="1"/>
  <c r="H5467" i="1"/>
  <c r="G5467" i="1"/>
  <c r="F5467" i="1"/>
  <c r="H5466" i="1"/>
  <c r="G5466" i="1"/>
  <c r="F5466" i="1"/>
  <c r="H5465" i="1"/>
  <c r="G5465" i="1"/>
  <c r="F5465" i="1"/>
  <c r="H5464" i="1"/>
  <c r="G5464" i="1"/>
  <c r="F5464" i="1"/>
  <c r="H5463" i="1"/>
  <c r="G5463" i="1"/>
  <c r="F5463" i="1"/>
  <c r="H5462" i="1"/>
  <c r="G5462" i="1"/>
  <c r="F5462" i="1"/>
  <c r="H5461" i="1"/>
  <c r="G5461" i="1"/>
  <c r="F5461" i="1"/>
  <c r="H5460" i="1"/>
  <c r="G5460" i="1"/>
  <c r="F5460" i="1"/>
  <c r="H5459" i="1"/>
  <c r="G5459" i="1"/>
  <c r="F5459" i="1"/>
  <c r="H5458" i="1"/>
  <c r="G5458" i="1"/>
  <c r="F5458" i="1"/>
  <c r="H5457" i="1"/>
  <c r="G5457" i="1"/>
  <c r="F5457" i="1"/>
  <c r="H5456" i="1"/>
  <c r="G5456" i="1"/>
  <c r="F5456" i="1"/>
  <c r="H5455" i="1"/>
  <c r="G5455" i="1"/>
  <c r="F5455" i="1"/>
  <c r="H5454" i="1"/>
  <c r="G5454" i="1"/>
  <c r="F5454" i="1"/>
  <c r="H5453" i="1"/>
  <c r="G5453" i="1"/>
  <c r="F5453" i="1"/>
  <c r="H5452" i="1"/>
  <c r="G5452" i="1"/>
  <c r="F5452" i="1"/>
  <c r="H5451" i="1"/>
  <c r="G5451" i="1"/>
  <c r="F5451" i="1"/>
  <c r="H5450" i="1"/>
  <c r="G5450" i="1"/>
  <c r="F5450" i="1"/>
  <c r="H5449" i="1"/>
  <c r="G5449" i="1"/>
  <c r="F5449" i="1"/>
  <c r="H5448" i="1"/>
  <c r="G5448" i="1"/>
  <c r="F5448" i="1"/>
  <c r="H5447" i="1"/>
  <c r="G5447" i="1"/>
  <c r="F5447" i="1"/>
  <c r="H5446" i="1"/>
  <c r="G5446" i="1"/>
  <c r="F5446" i="1"/>
  <c r="H5445" i="1"/>
  <c r="G5445" i="1"/>
  <c r="F5445" i="1"/>
  <c r="H5444" i="1"/>
  <c r="G5444" i="1"/>
  <c r="F5444" i="1"/>
  <c r="H5443" i="1"/>
  <c r="G5443" i="1"/>
  <c r="F5443" i="1"/>
  <c r="H5442" i="1"/>
  <c r="G5442" i="1"/>
  <c r="F5442" i="1"/>
  <c r="H5441" i="1"/>
  <c r="G5441" i="1"/>
  <c r="F5441" i="1"/>
  <c r="H5440" i="1"/>
  <c r="G5440" i="1"/>
  <c r="F5440" i="1"/>
  <c r="H5439" i="1"/>
  <c r="G5439" i="1"/>
  <c r="F5439" i="1"/>
  <c r="H5438" i="1"/>
  <c r="G5438" i="1"/>
  <c r="F5438" i="1"/>
  <c r="H5437" i="1"/>
  <c r="G5437" i="1"/>
  <c r="F5437" i="1"/>
  <c r="H5436" i="1"/>
  <c r="G5436" i="1"/>
  <c r="F5436" i="1"/>
  <c r="H5435" i="1"/>
  <c r="G5435" i="1"/>
  <c r="F5435" i="1"/>
  <c r="H5434" i="1"/>
  <c r="G5434" i="1"/>
  <c r="F5434" i="1"/>
  <c r="H5433" i="1"/>
  <c r="G5433" i="1"/>
  <c r="F5433" i="1"/>
  <c r="H5432" i="1"/>
  <c r="G5432" i="1"/>
  <c r="F5432" i="1"/>
  <c r="H5431" i="1"/>
  <c r="G5431" i="1"/>
  <c r="F5431" i="1"/>
  <c r="H5430" i="1"/>
  <c r="G5430" i="1"/>
  <c r="F5430" i="1"/>
  <c r="H5429" i="1"/>
  <c r="G5429" i="1"/>
  <c r="F5429" i="1"/>
  <c r="H5428" i="1"/>
  <c r="G5428" i="1"/>
  <c r="F5428" i="1"/>
  <c r="H5427" i="1"/>
  <c r="G5427" i="1"/>
  <c r="F5427" i="1"/>
  <c r="H5426" i="1"/>
  <c r="G5426" i="1"/>
  <c r="F5426" i="1"/>
  <c r="H5425" i="1"/>
  <c r="G5425" i="1"/>
  <c r="F5425" i="1"/>
  <c r="H5424" i="1"/>
  <c r="G5424" i="1"/>
  <c r="F5424" i="1"/>
  <c r="H5423" i="1"/>
  <c r="G5423" i="1"/>
  <c r="F5423" i="1"/>
  <c r="H5422" i="1"/>
  <c r="G5422" i="1"/>
  <c r="F5422" i="1"/>
  <c r="H5421" i="1"/>
  <c r="G5421" i="1"/>
  <c r="F5421" i="1"/>
  <c r="H5420" i="1"/>
  <c r="G5420" i="1"/>
  <c r="F5420" i="1"/>
  <c r="H5419" i="1"/>
  <c r="G5419" i="1"/>
  <c r="F5419" i="1"/>
  <c r="H5418" i="1"/>
  <c r="G5418" i="1"/>
  <c r="F5418" i="1"/>
  <c r="H5417" i="1"/>
  <c r="G5417" i="1"/>
  <c r="F5417" i="1"/>
  <c r="H5416" i="1"/>
  <c r="G5416" i="1"/>
  <c r="F5416" i="1"/>
  <c r="H5415" i="1"/>
  <c r="G5415" i="1"/>
  <c r="F5415" i="1"/>
  <c r="H5414" i="1"/>
  <c r="G5414" i="1"/>
  <c r="F5414" i="1"/>
  <c r="H5413" i="1"/>
  <c r="G5413" i="1"/>
  <c r="F5413" i="1"/>
  <c r="H5412" i="1"/>
  <c r="G5412" i="1"/>
  <c r="F5412" i="1"/>
  <c r="H5411" i="1"/>
  <c r="G5411" i="1"/>
  <c r="F5411" i="1"/>
  <c r="H5410" i="1"/>
  <c r="G5410" i="1"/>
  <c r="F5410" i="1"/>
  <c r="H5409" i="1"/>
  <c r="G5409" i="1"/>
  <c r="F5409" i="1"/>
  <c r="H5408" i="1"/>
  <c r="G5408" i="1"/>
  <c r="F5408" i="1"/>
  <c r="H5407" i="1"/>
  <c r="G5407" i="1"/>
  <c r="F5407" i="1"/>
  <c r="H5406" i="1"/>
  <c r="G5406" i="1"/>
  <c r="F5406" i="1"/>
  <c r="H5405" i="1"/>
  <c r="G5405" i="1"/>
  <c r="F5405" i="1"/>
  <c r="H5404" i="1"/>
  <c r="G5404" i="1"/>
  <c r="F5404" i="1"/>
  <c r="H5403" i="1"/>
  <c r="G5403" i="1"/>
  <c r="F5403" i="1"/>
  <c r="H5402" i="1"/>
  <c r="G5402" i="1"/>
  <c r="F5402" i="1"/>
  <c r="H5401" i="1"/>
  <c r="G5401" i="1"/>
  <c r="F5401" i="1"/>
  <c r="H5400" i="1"/>
  <c r="G5400" i="1"/>
  <c r="F5400" i="1"/>
  <c r="H5399" i="1"/>
  <c r="G5399" i="1"/>
  <c r="F5399" i="1"/>
  <c r="H5398" i="1"/>
  <c r="G5398" i="1"/>
  <c r="F5398" i="1"/>
  <c r="H5397" i="1"/>
  <c r="G5397" i="1"/>
  <c r="F5397" i="1"/>
  <c r="H5396" i="1"/>
  <c r="G5396" i="1"/>
  <c r="F5396" i="1"/>
  <c r="H5395" i="1"/>
  <c r="G5395" i="1"/>
  <c r="F5395" i="1"/>
  <c r="H5394" i="1"/>
  <c r="G5394" i="1"/>
  <c r="F5394" i="1"/>
  <c r="H5393" i="1"/>
  <c r="G5393" i="1"/>
  <c r="F5393" i="1"/>
  <c r="H5392" i="1"/>
  <c r="G5392" i="1"/>
  <c r="F5392" i="1"/>
  <c r="H5391" i="1"/>
  <c r="G5391" i="1"/>
  <c r="F5391" i="1"/>
  <c r="H5390" i="1"/>
  <c r="G5390" i="1"/>
  <c r="F5390" i="1"/>
  <c r="H5389" i="1"/>
  <c r="G5389" i="1"/>
  <c r="F5389" i="1"/>
  <c r="H5388" i="1"/>
  <c r="G5388" i="1"/>
  <c r="F5388" i="1"/>
  <c r="H5387" i="1"/>
  <c r="G5387" i="1"/>
  <c r="F5387" i="1"/>
  <c r="H5386" i="1"/>
  <c r="G5386" i="1"/>
  <c r="F5386" i="1"/>
  <c r="H5385" i="1"/>
  <c r="G5385" i="1"/>
  <c r="F5385" i="1"/>
  <c r="H5384" i="1"/>
  <c r="G5384" i="1"/>
  <c r="F5384" i="1"/>
  <c r="H5383" i="1"/>
  <c r="G5383" i="1"/>
  <c r="F5383" i="1"/>
  <c r="H5382" i="1"/>
  <c r="G5382" i="1"/>
  <c r="F5382" i="1"/>
  <c r="H5381" i="1"/>
  <c r="G5381" i="1"/>
  <c r="F5381" i="1"/>
  <c r="H5380" i="1"/>
  <c r="G5380" i="1"/>
  <c r="F5380" i="1"/>
  <c r="H5379" i="1"/>
  <c r="G5379" i="1"/>
  <c r="F5379" i="1"/>
  <c r="H5378" i="1"/>
  <c r="G5378" i="1"/>
  <c r="F5378" i="1"/>
  <c r="H5377" i="1"/>
  <c r="G5377" i="1"/>
  <c r="F5377" i="1"/>
  <c r="H5376" i="1"/>
  <c r="G5376" i="1"/>
  <c r="F5376" i="1"/>
  <c r="H5375" i="1"/>
  <c r="G5375" i="1"/>
  <c r="F5375" i="1"/>
  <c r="H5374" i="1"/>
  <c r="G5374" i="1"/>
  <c r="F5374" i="1"/>
  <c r="H5373" i="1"/>
  <c r="G5373" i="1"/>
  <c r="F5373" i="1"/>
  <c r="H5372" i="1"/>
  <c r="G5372" i="1"/>
  <c r="F5372" i="1"/>
  <c r="H5371" i="1"/>
  <c r="G5371" i="1"/>
  <c r="F5371" i="1"/>
  <c r="H5370" i="1"/>
  <c r="G5370" i="1"/>
  <c r="F5370" i="1"/>
  <c r="H5369" i="1"/>
  <c r="G5369" i="1"/>
  <c r="F5369" i="1"/>
  <c r="H5368" i="1"/>
  <c r="G5368" i="1"/>
  <c r="F5368" i="1"/>
  <c r="H5367" i="1"/>
  <c r="G5367" i="1"/>
  <c r="F5367" i="1"/>
  <c r="H5366" i="1"/>
  <c r="G5366" i="1"/>
  <c r="F5366" i="1"/>
  <c r="H5365" i="1"/>
  <c r="G5365" i="1"/>
  <c r="F5365" i="1"/>
  <c r="H5364" i="1"/>
  <c r="G5364" i="1"/>
  <c r="F5364" i="1"/>
  <c r="H5363" i="1"/>
  <c r="G5363" i="1"/>
  <c r="F5363" i="1"/>
  <c r="H5362" i="1"/>
  <c r="G5362" i="1"/>
  <c r="F5362" i="1"/>
  <c r="H5361" i="1"/>
  <c r="G5361" i="1"/>
  <c r="F5361" i="1"/>
  <c r="H5360" i="1"/>
  <c r="G5360" i="1"/>
  <c r="F5360" i="1"/>
  <c r="H5359" i="1"/>
  <c r="G5359" i="1"/>
  <c r="F5359" i="1"/>
  <c r="H5358" i="1"/>
  <c r="G5358" i="1"/>
  <c r="F5358" i="1"/>
  <c r="H5357" i="1"/>
  <c r="G5357" i="1"/>
  <c r="F5357" i="1"/>
  <c r="H5356" i="1"/>
  <c r="G5356" i="1"/>
  <c r="F5356" i="1"/>
  <c r="H5355" i="1"/>
  <c r="G5355" i="1"/>
  <c r="F5355" i="1"/>
  <c r="H5354" i="1"/>
  <c r="G5354" i="1"/>
  <c r="F5354" i="1"/>
  <c r="H5353" i="1"/>
  <c r="G5353" i="1"/>
  <c r="F5353" i="1"/>
  <c r="H5352" i="1"/>
  <c r="G5352" i="1"/>
  <c r="F5352" i="1"/>
  <c r="H5351" i="1"/>
  <c r="G5351" i="1"/>
  <c r="F5351" i="1"/>
  <c r="H5350" i="1"/>
  <c r="G5350" i="1"/>
  <c r="F5350" i="1"/>
  <c r="H5349" i="1"/>
  <c r="G5349" i="1"/>
  <c r="F5349" i="1"/>
  <c r="H5348" i="1"/>
  <c r="G5348" i="1"/>
  <c r="F5348" i="1"/>
  <c r="H5347" i="1"/>
  <c r="G5347" i="1"/>
  <c r="F5347" i="1"/>
  <c r="H5346" i="1"/>
  <c r="G5346" i="1"/>
  <c r="F5346" i="1"/>
  <c r="H5345" i="1"/>
  <c r="G5345" i="1"/>
  <c r="F5345" i="1"/>
  <c r="H5344" i="1"/>
  <c r="G5344" i="1"/>
  <c r="F5344" i="1"/>
  <c r="H5343" i="1"/>
  <c r="G5343" i="1"/>
  <c r="F5343" i="1"/>
  <c r="H5342" i="1"/>
  <c r="G5342" i="1"/>
  <c r="F5342" i="1"/>
  <c r="H5341" i="1"/>
  <c r="G5341" i="1"/>
  <c r="F5341" i="1"/>
  <c r="H5340" i="1"/>
  <c r="G5340" i="1"/>
  <c r="F5340" i="1"/>
  <c r="H5339" i="1"/>
  <c r="G5339" i="1"/>
  <c r="F5339" i="1"/>
  <c r="H5338" i="1"/>
  <c r="G5338" i="1"/>
  <c r="F5338" i="1"/>
  <c r="H5337" i="1"/>
  <c r="G5337" i="1"/>
  <c r="F5337" i="1"/>
  <c r="H5336" i="1"/>
  <c r="G5336" i="1"/>
  <c r="F5336" i="1"/>
  <c r="H5335" i="1"/>
  <c r="G5335" i="1"/>
  <c r="F5335" i="1"/>
  <c r="H5334" i="1"/>
  <c r="G5334" i="1"/>
  <c r="F5334" i="1"/>
  <c r="H5333" i="1"/>
  <c r="G5333" i="1"/>
  <c r="F5333" i="1"/>
  <c r="H5332" i="1"/>
  <c r="G5332" i="1"/>
  <c r="F5332" i="1"/>
  <c r="H5331" i="1"/>
  <c r="G5331" i="1"/>
  <c r="F5331" i="1"/>
  <c r="H5330" i="1"/>
  <c r="G5330" i="1"/>
  <c r="F5330" i="1"/>
  <c r="H5329" i="1"/>
  <c r="G5329" i="1"/>
  <c r="F5329" i="1"/>
  <c r="H5328" i="1"/>
  <c r="G5328" i="1"/>
  <c r="F5328" i="1"/>
  <c r="H5327" i="1"/>
  <c r="G5327" i="1"/>
  <c r="F5327" i="1"/>
  <c r="H5326" i="1"/>
  <c r="G5326" i="1"/>
  <c r="F5326" i="1"/>
  <c r="H5325" i="1"/>
  <c r="G5325" i="1"/>
  <c r="F5325" i="1"/>
  <c r="H5324" i="1"/>
  <c r="G5324" i="1"/>
  <c r="F5324" i="1"/>
  <c r="H5323" i="1"/>
  <c r="G5323" i="1"/>
  <c r="F5323" i="1"/>
  <c r="H5322" i="1"/>
  <c r="G5322" i="1"/>
  <c r="F5322" i="1"/>
  <c r="H5321" i="1"/>
  <c r="G5321" i="1"/>
  <c r="F5321" i="1"/>
  <c r="H5320" i="1"/>
  <c r="G5320" i="1"/>
  <c r="F5320" i="1"/>
  <c r="H5319" i="1"/>
  <c r="G5319" i="1"/>
  <c r="F5319" i="1"/>
  <c r="H5318" i="1"/>
  <c r="G5318" i="1"/>
  <c r="F5318" i="1"/>
  <c r="H5317" i="1"/>
  <c r="G5317" i="1"/>
  <c r="F5317" i="1"/>
  <c r="H5316" i="1"/>
  <c r="G5316" i="1"/>
  <c r="F5316" i="1"/>
  <c r="H5315" i="1"/>
  <c r="G5315" i="1"/>
  <c r="F5315" i="1"/>
  <c r="H5314" i="1"/>
  <c r="G5314" i="1"/>
  <c r="F5314" i="1"/>
  <c r="H5313" i="1"/>
  <c r="G5313" i="1"/>
  <c r="F5313" i="1"/>
  <c r="H5312" i="1"/>
  <c r="G5312" i="1"/>
  <c r="F5312" i="1"/>
  <c r="H5311" i="1"/>
  <c r="G5311" i="1"/>
  <c r="F5311" i="1"/>
  <c r="H5310" i="1"/>
  <c r="G5310" i="1"/>
  <c r="F5310" i="1"/>
  <c r="H5309" i="1"/>
  <c r="G5309" i="1"/>
  <c r="F5309" i="1"/>
  <c r="H5308" i="1"/>
  <c r="G5308" i="1"/>
  <c r="F5308" i="1"/>
  <c r="H5307" i="1"/>
  <c r="G5307" i="1"/>
  <c r="F5307" i="1"/>
  <c r="H5306" i="1"/>
  <c r="G5306" i="1"/>
  <c r="F5306" i="1"/>
  <c r="H5305" i="1"/>
  <c r="G5305" i="1"/>
  <c r="F5305" i="1"/>
  <c r="H5304" i="1"/>
  <c r="G5304" i="1"/>
  <c r="F5304" i="1"/>
  <c r="H5303" i="1"/>
  <c r="G5303" i="1"/>
  <c r="F5303" i="1"/>
  <c r="H5302" i="1"/>
  <c r="G5302" i="1"/>
  <c r="F5302" i="1"/>
  <c r="H5301" i="1"/>
  <c r="G5301" i="1"/>
  <c r="F5301" i="1"/>
  <c r="H5300" i="1"/>
  <c r="G5300" i="1"/>
  <c r="F5300" i="1"/>
  <c r="H5299" i="1"/>
  <c r="G5299" i="1"/>
  <c r="F5299" i="1"/>
  <c r="H5298" i="1"/>
  <c r="G5298" i="1"/>
  <c r="F5298" i="1"/>
  <c r="H5297" i="1"/>
  <c r="G5297" i="1"/>
  <c r="F5297" i="1"/>
  <c r="H5296" i="1"/>
  <c r="G5296" i="1"/>
  <c r="F5296" i="1"/>
  <c r="H5295" i="1"/>
  <c r="G5295" i="1"/>
  <c r="F5295" i="1"/>
  <c r="H5294" i="1"/>
  <c r="G5294" i="1"/>
  <c r="F5294" i="1"/>
  <c r="H5293" i="1"/>
  <c r="G5293" i="1"/>
  <c r="F5293" i="1"/>
  <c r="H5292" i="1"/>
  <c r="G5292" i="1"/>
  <c r="F5292" i="1"/>
  <c r="H5291" i="1"/>
  <c r="G5291" i="1"/>
  <c r="F5291" i="1"/>
  <c r="H5290" i="1"/>
  <c r="G5290" i="1"/>
  <c r="F5290" i="1"/>
  <c r="H5289" i="1"/>
  <c r="G5289" i="1"/>
  <c r="F5289" i="1"/>
  <c r="H5288" i="1"/>
  <c r="G5288" i="1"/>
  <c r="F5288" i="1"/>
  <c r="H5287" i="1"/>
  <c r="G5287" i="1"/>
  <c r="F5287" i="1"/>
  <c r="H5286" i="1"/>
  <c r="G5286" i="1"/>
  <c r="F5286" i="1"/>
  <c r="H5285" i="1"/>
  <c r="G5285" i="1"/>
  <c r="F5285" i="1"/>
  <c r="H5284" i="1"/>
  <c r="G5284" i="1"/>
  <c r="F5284" i="1"/>
  <c r="H5283" i="1"/>
  <c r="G5283" i="1"/>
  <c r="F5283" i="1"/>
  <c r="H5282" i="1"/>
  <c r="G5282" i="1"/>
  <c r="F5282" i="1"/>
  <c r="H5281" i="1"/>
  <c r="G5281" i="1"/>
  <c r="F5281" i="1"/>
  <c r="H5280" i="1"/>
  <c r="G5280" i="1"/>
  <c r="F5280" i="1"/>
  <c r="H5279" i="1"/>
  <c r="G5279" i="1"/>
  <c r="F5279" i="1"/>
  <c r="H5278" i="1"/>
  <c r="G5278" i="1"/>
  <c r="F5278" i="1"/>
  <c r="H5277" i="1"/>
  <c r="G5277" i="1"/>
  <c r="F5277" i="1"/>
  <c r="H5276" i="1"/>
  <c r="G5276" i="1"/>
  <c r="F5276" i="1"/>
  <c r="H5275" i="1"/>
  <c r="G5275" i="1"/>
  <c r="F5275" i="1"/>
  <c r="H5274" i="1"/>
  <c r="G5274" i="1"/>
  <c r="F5274" i="1"/>
  <c r="H5273" i="1"/>
  <c r="G5273" i="1"/>
  <c r="F5273" i="1"/>
  <c r="H5272" i="1"/>
  <c r="G5272" i="1"/>
  <c r="F5272" i="1"/>
  <c r="H5271" i="1"/>
  <c r="G5271" i="1"/>
  <c r="F5271" i="1"/>
  <c r="H5270" i="1"/>
  <c r="G5270" i="1"/>
  <c r="F5270" i="1"/>
  <c r="H5269" i="1"/>
  <c r="G5269" i="1"/>
  <c r="F5269" i="1"/>
  <c r="H5268" i="1"/>
  <c r="G5268" i="1"/>
  <c r="F5268" i="1"/>
  <c r="H5267" i="1"/>
  <c r="G5267" i="1"/>
  <c r="F5267" i="1"/>
  <c r="H5266" i="1"/>
  <c r="G5266" i="1"/>
  <c r="F5266" i="1"/>
  <c r="H5265" i="1"/>
  <c r="G5265" i="1"/>
  <c r="F5265" i="1"/>
  <c r="H5264" i="1"/>
  <c r="G5264" i="1"/>
  <c r="F5264" i="1"/>
  <c r="H5263" i="1"/>
  <c r="G5263" i="1"/>
  <c r="F5263" i="1"/>
  <c r="H5262" i="1"/>
  <c r="G5262" i="1"/>
  <c r="F5262" i="1"/>
  <c r="H5261" i="1"/>
  <c r="G5261" i="1"/>
  <c r="F5261" i="1"/>
  <c r="H5260" i="1"/>
  <c r="G5260" i="1"/>
  <c r="F5260" i="1"/>
  <c r="H5259" i="1"/>
  <c r="G5259" i="1"/>
  <c r="F5259" i="1"/>
  <c r="H5258" i="1"/>
  <c r="G5258" i="1"/>
  <c r="F5258" i="1"/>
  <c r="H5257" i="1"/>
  <c r="G5257" i="1"/>
  <c r="F5257" i="1"/>
  <c r="H5256" i="1"/>
  <c r="G5256" i="1"/>
  <c r="F5256" i="1"/>
  <c r="H5255" i="1"/>
  <c r="G5255" i="1"/>
  <c r="F5255" i="1"/>
  <c r="H5254" i="1"/>
  <c r="G5254" i="1"/>
  <c r="F5254" i="1"/>
  <c r="H5253" i="1"/>
  <c r="G5253" i="1"/>
  <c r="F5253" i="1"/>
  <c r="H5252" i="1"/>
  <c r="G5252" i="1"/>
  <c r="F5252" i="1"/>
  <c r="H5251" i="1"/>
  <c r="G5251" i="1"/>
  <c r="F5251" i="1"/>
  <c r="H5250" i="1"/>
  <c r="G5250" i="1"/>
  <c r="F5250" i="1"/>
  <c r="H5249" i="1"/>
  <c r="G5249" i="1"/>
  <c r="F5249" i="1"/>
  <c r="H5248" i="1"/>
  <c r="G5248" i="1"/>
  <c r="F5248" i="1"/>
  <c r="H5247" i="1"/>
  <c r="G5247" i="1"/>
  <c r="F5247" i="1"/>
  <c r="H5246" i="1"/>
  <c r="G5246" i="1"/>
  <c r="F5246" i="1"/>
  <c r="H5245" i="1"/>
  <c r="G5245" i="1"/>
  <c r="F5245" i="1"/>
  <c r="H5244" i="1"/>
  <c r="G5244" i="1"/>
  <c r="F5244" i="1"/>
  <c r="H5243" i="1"/>
  <c r="G5243" i="1"/>
  <c r="F5243" i="1"/>
  <c r="H5242" i="1"/>
  <c r="G5242" i="1"/>
  <c r="F5242" i="1"/>
  <c r="H5241" i="1"/>
  <c r="G5241" i="1"/>
  <c r="F5241" i="1"/>
  <c r="H5240" i="1"/>
  <c r="G5240" i="1"/>
  <c r="F5240" i="1"/>
  <c r="H5239" i="1"/>
  <c r="G5239" i="1"/>
  <c r="F5239" i="1"/>
  <c r="H5238" i="1"/>
  <c r="G5238" i="1"/>
  <c r="F5238" i="1"/>
  <c r="H5237" i="1"/>
  <c r="G5237" i="1"/>
  <c r="F5237" i="1"/>
  <c r="H5236" i="1"/>
  <c r="G5236" i="1"/>
  <c r="F5236" i="1"/>
  <c r="H5235" i="1"/>
  <c r="G5235" i="1"/>
  <c r="F5235" i="1"/>
  <c r="H5234" i="1"/>
  <c r="G5234" i="1"/>
  <c r="F5234" i="1"/>
  <c r="H5233" i="1"/>
  <c r="G5233" i="1"/>
  <c r="F5233" i="1"/>
  <c r="H5232" i="1"/>
  <c r="G5232" i="1"/>
  <c r="F5232" i="1"/>
  <c r="H5231" i="1"/>
  <c r="G5231" i="1"/>
  <c r="F5231" i="1"/>
  <c r="H5230" i="1"/>
  <c r="G5230" i="1"/>
  <c r="F5230" i="1"/>
  <c r="H5229" i="1"/>
  <c r="G5229" i="1"/>
  <c r="F5229" i="1"/>
  <c r="H5228" i="1"/>
  <c r="G5228" i="1"/>
  <c r="F5228" i="1"/>
  <c r="H5227" i="1"/>
  <c r="G5227" i="1"/>
  <c r="F5227" i="1"/>
  <c r="H5226" i="1"/>
  <c r="G5226" i="1"/>
  <c r="F5226" i="1"/>
  <c r="H5225" i="1"/>
  <c r="G5225" i="1"/>
  <c r="F5225" i="1"/>
  <c r="H5224" i="1"/>
  <c r="G5224" i="1"/>
  <c r="F5224" i="1"/>
  <c r="H5223" i="1"/>
  <c r="G5223" i="1"/>
  <c r="F5223" i="1"/>
  <c r="H5222" i="1"/>
  <c r="G5222" i="1"/>
  <c r="F5222" i="1"/>
  <c r="H5221" i="1"/>
  <c r="G5221" i="1"/>
  <c r="F5221" i="1"/>
  <c r="H5220" i="1"/>
  <c r="G5220" i="1"/>
  <c r="F5220" i="1"/>
  <c r="H5219" i="1"/>
  <c r="G5219" i="1"/>
  <c r="F5219" i="1"/>
  <c r="H5218" i="1"/>
  <c r="G5218" i="1"/>
  <c r="F5218" i="1"/>
  <c r="H5217" i="1"/>
  <c r="G5217" i="1"/>
  <c r="F5217" i="1"/>
  <c r="H5216" i="1"/>
  <c r="G5216" i="1"/>
  <c r="F5216" i="1"/>
  <c r="H5215" i="1"/>
  <c r="G5215" i="1"/>
  <c r="F5215" i="1"/>
  <c r="H5214" i="1"/>
  <c r="G5214" i="1"/>
  <c r="F5214" i="1"/>
  <c r="H5213" i="1"/>
  <c r="G5213" i="1"/>
  <c r="F5213" i="1"/>
  <c r="H5212" i="1"/>
  <c r="G5212" i="1"/>
  <c r="F5212" i="1"/>
  <c r="H5211" i="1"/>
  <c r="G5211" i="1"/>
  <c r="F5211" i="1"/>
  <c r="H5210" i="1"/>
  <c r="G5210" i="1"/>
  <c r="F5210" i="1"/>
  <c r="H5209" i="1"/>
  <c r="G5209" i="1"/>
  <c r="F5209" i="1"/>
  <c r="H5208" i="1"/>
  <c r="G5208" i="1"/>
  <c r="F5208" i="1"/>
  <c r="H5207" i="1"/>
  <c r="G5207" i="1"/>
  <c r="F5207" i="1"/>
  <c r="H5206" i="1"/>
  <c r="G5206" i="1"/>
  <c r="F5206" i="1"/>
  <c r="H5205" i="1"/>
  <c r="G5205" i="1"/>
  <c r="F5205" i="1"/>
  <c r="H5204" i="1"/>
  <c r="G5204" i="1"/>
  <c r="F5204" i="1"/>
  <c r="H5203" i="1"/>
  <c r="G5203" i="1"/>
  <c r="F5203" i="1"/>
  <c r="H5202" i="1"/>
  <c r="G5202" i="1"/>
  <c r="F5202" i="1"/>
  <c r="H5201" i="1"/>
  <c r="G5201" i="1"/>
  <c r="F5201" i="1"/>
  <c r="H5200" i="1"/>
  <c r="G5200" i="1"/>
  <c r="F5200" i="1"/>
  <c r="H5199" i="1"/>
  <c r="G5199" i="1"/>
  <c r="F5199" i="1"/>
  <c r="H5198" i="1"/>
  <c r="G5198" i="1"/>
  <c r="F5198" i="1"/>
  <c r="H5197" i="1"/>
  <c r="G5197" i="1"/>
  <c r="F5197" i="1"/>
  <c r="H5196" i="1"/>
  <c r="G5196" i="1"/>
  <c r="F5196" i="1"/>
  <c r="H5195" i="1"/>
  <c r="G5195" i="1"/>
  <c r="F5195" i="1"/>
  <c r="H5194" i="1"/>
  <c r="G5194" i="1"/>
  <c r="F5194" i="1"/>
  <c r="H5193" i="1"/>
  <c r="G5193" i="1"/>
  <c r="F5193" i="1"/>
  <c r="H5192" i="1"/>
  <c r="G5192" i="1"/>
  <c r="F5192" i="1"/>
  <c r="H5191" i="1"/>
  <c r="G5191" i="1"/>
  <c r="F5191" i="1"/>
  <c r="H5190" i="1"/>
  <c r="G5190" i="1"/>
  <c r="F5190" i="1"/>
  <c r="H5189" i="1"/>
  <c r="G5189" i="1"/>
  <c r="F5189" i="1"/>
  <c r="H5188" i="1"/>
  <c r="G5188" i="1"/>
  <c r="F5188" i="1"/>
  <c r="H5187" i="1"/>
  <c r="G5187" i="1"/>
  <c r="F5187" i="1"/>
  <c r="H5186" i="1"/>
  <c r="G5186" i="1"/>
  <c r="F5186" i="1"/>
  <c r="H5185" i="1"/>
  <c r="G5185" i="1"/>
  <c r="F5185" i="1"/>
  <c r="H5184" i="1"/>
  <c r="G5184" i="1"/>
  <c r="F5184" i="1"/>
  <c r="H5183" i="1"/>
  <c r="G5183" i="1"/>
  <c r="F5183" i="1"/>
  <c r="H5182" i="1"/>
  <c r="G5182" i="1"/>
  <c r="F5182" i="1"/>
  <c r="H5181" i="1"/>
  <c r="G5181" i="1"/>
  <c r="F5181" i="1"/>
  <c r="H5180" i="1"/>
  <c r="G5180" i="1"/>
  <c r="F5180" i="1"/>
  <c r="H5179" i="1"/>
  <c r="G5179" i="1"/>
  <c r="F5179" i="1"/>
  <c r="H5178" i="1"/>
  <c r="G5178" i="1"/>
  <c r="F5178" i="1"/>
  <c r="H5177" i="1"/>
  <c r="G5177" i="1"/>
  <c r="F5177" i="1"/>
  <c r="H5176" i="1"/>
  <c r="G5176" i="1"/>
  <c r="F5176" i="1"/>
  <c r="H5175" i="1"/>
  <c r="G5175" i="1"/>
  <c r="F5175" i="1"/>
  <c r="H5174" i="1"/>
  <c r="G5174" i="1"/>
  <c r="F5174" i="1"/>
  <c r="H5173" i="1"/>
  <c r="G5173" i="1"/>
  <c r="F5173" i="1"/>
  <c r="H5172" i="1"/>
  <c r="G5172" i="1"/>
  <c r="F5172" i="1"/>
  <c r="H5171" i="1"/>
  <c r="G5171" i="1"/>
  <c r="F5171" i="1"/>
  <c r="H5170" i="1"/>
  <c r="G5170" i="1"/>
  <c r="F5170" i="1"/>
  <c r="H5169" i="1"/>
  <c r="G5169" i="1"/>
  <c r="F5169" i="1"/>
  <c r="H5168" i="1"/>
  <c r="G5168" i="1"/>
  <c r="F5168" i="1"/>
  <c r="H5167" i="1"/>
  <c r="G5167" i="1"/>
  <c r="F5167" i="1"/>
  <c r="H5166" i="1"/>
  <c r="G5166" i="1"/>
  <c r="F5166" i="1"/>
  <c r="H5165" i="1"/>
  <c r="G5165" i="1"/>
  <c r="F5165" i="1"/>
  <c r="H5164" i="1"/>
  <c r="G5164" i="1"/>
  <c r="F5164" i="1"/>
  <c r="H5163" i="1"/>
  <c r="G5163" i="1"/>
  <c r="F5163" i="1"/>
  <c r="H5162" i="1"/>
  <c r="G5162" i="1"/>
  <c r="F5162" i="1"/>
  <c r="H5161" i="1"/>
  <c r="G5161" i="1"/>
  <c r="F5161" i="1"/>
  <c r="H5160" i="1"/>
  <c r="G5160" i="1"/>
  <c r="F5160" i="1"/>
  <c r="H5159" i="1"/>
  <c r="G5159" i="1"/>
  <c r="F5159" i="1"/>
  <c r="H5158" i="1"/>
  <c r="G5158" i="1"/>
  <c r="F5158" i="1"/>
  <c r="H5157" i="1"/>
  <c r="G5157" i="1"/>
  <c r="F5157" i="1"/>
  <c r="H5156" i="1"/>
  <c r="G5156" i="1"/>
  <c r="F5156" i="1"/>
  <c r="H5155" i="1"/>
  <c r="G5155" i="1"/>
  <c r="F5155" i="1"/>
  <c r="H5154" i="1"/>
  <c r="G5154" i="1"/>
  <c r="F5154" i="1"/>
  <c r="H5153" i="1"/>
  <c r="G5153" i="1"/>
  <c r="F5153" i="1"/>
  <c r="H5152" i="1"/>
  <c r="G5152" i="1"/>
  <c r="F5152" i="1"/>
  <c r="H5151" i="1"/>
  <c r="G5151" i="1"/>
  <c r="F5151" i="1"/>
  <c r="H5150" i="1"/>
  <c r="G5150" i="1"/>
  <c r="F5150" i="1"/>
  <c r="H5149" i="1"/>
  <c r="G5149" i="1"/>
  <c r="F5149" i="1"/>
  <c r="H5148" i="1"/>
  <c r="G5148" i="1"/>
  <c r="F5148" i="1"/>
  <c r="H5147" i="1"/>
  <c r="G5147" i="1"/>
  <c r="F5147" i="1"/>
  <c r="H5146" i="1"/>
  <c r="G5146" i="1"/>
  <c r="F5146" i="1"/>
  <c r="H5145" i="1"/>
  <c r="G5145" i="1"/>
  <c r="F5145" i="1"/>
  <c r="H5144" i="1"/>
  <c r="G5144" i="1"/>
  <c r="F5144" i="1"/>
  <c r="H5143" i="1"/>
  <c r="G5143" i="1"/>
  <c r="F5143" i="1"/>
  <c r="H5142" i="1"/>
  <c r="G5142" i="1"/>
  <c r="F5142" i="1"/>
  <c r="H5141" i="1"/>
  <c r="G5141" i="1"/>
  <c r="F5141" i="1"/>
  <c r="H5140" i="1"/>
  <c r="G5140" i="1"/>
  <c r="F5140" i="1"/>
  <c r="H5139" i="1"/>
  <c r="G5139" i="1"/>
  <c r="F5139" i="1"/>
  <c r="H5138" i="1"/>
  <c r="G5138" i="1"/>
  <c r="F5138" i="1"/>
  <c r="H5137" i="1"/>
  <c r="G5137" i="1"/>
  <c r="F5137" i="1"/>
  <c r="H5136" i="1"/>
  <c r="G5136" i="1"/>
  <c r="F5136" i="1"/>
  <c r="H5135" i="1"/>
  <c r="G5135" i="1"/>
  <c r="F5135" i="1"/>
  <c r="H5134" i="1"/>
  <c r="G5134" i="1"/>
  <c r="F5134" i="1"/>
  <c r="H5133" i="1"/>
  <c r="G5133" i="1"/>
  <c r="F5133" i="1"/>
  <c r="H5132" i="1"/>
  <c r="G5132" i="1"/>
  <c r="F5132" i="1"/>
  <c r="H5131" i="1"/>
  <c r="G5131" i="1"/>
  <c r="F5131" i="1"/>
  <c r="H5130" i="1"/>
  <c r="G5130" i="1"/>
  <c r="F5130" i="1"/>
  <c r="H5129" i="1"/>
  <c r="G5129" i="1"/>
  <c r="F5129" i="1"/>
  <c r="H5128" i="1"/>
  <c r="G5128" i="1"/>
  <c r="F5128" i="1"/>
  <c r="H5127" i="1"/>
  <c r="G5127" i="1"/>
  <c r="F5127" i="1"/>
  <c r="H5126" i="1"/>
  <c r="G5126" i="1"/>
  <c r="F5126" i="1"/>
  <c r="H5125" i="1"/>
  <c r="G5125" i="1"/>
  <c r="F5125" i="1"/>
  <c r="H5124" i="1"/>
  <c r="G5124" i="1"/>
  <c r="F5124" i="1"/>
  <c r="H5123" i="1"/>
  <c r="G5123" i="1"/>
  <c r="F5123" i="1"/>
  <c r="H5122" i="1"/>
  <c r="G5122" i="1"/>
  <c r="F5122" i="1"/>
  <c r="H5121" i="1"/>
  <c r="G5121" i="1"/>
  <c r="F5121" i="1"/>
  <c r="H5120" i="1"/>
  <c r="G5120" i="1"/>
  <c r="F5120" i="1"/>
  <c r="H5119" i="1"/>
  <c r="G5119" i="1"/>
  <c r="F5119" i="1"/>
  <c r="H5118" i="1"/>
  <c r="G5118" i="1"/>
  <c r="F5118" i="1"/>
  <c r="H5117" i="1"/>
  <c r="G5117" i="1"/>
  <c r="F5117" i="1"/>
  <c r="H5116" i="1"/>
  <c r="G5116" i="1"/>
  <c r="F5116" i="1"/>
  <c r="H5115" i="1"/>
  <c r="G5115" i="1"/>
  <c r="F5115" i="1"/>
  <c r="H5114" i="1"/>
  <c r="G5114" i="1"/>
  <c r="F5114" i="1"/>
  <c r="H5113" i="1"/>
  <c r="G5113" i="1"/>
  <c r="F5113" i="1"/>
  <c r="H5112" i="1"/>
  <c r="G5112" i="1"/>
  <c r="F5112" i="1"/>
  <c r="H5111" i="1"/>
  <c r="G5111" i="1"/>
  <c r="F5111" i="1"/>
  <c r="H5110" i="1"/>
  <c r="G5110" i="1"/>
  <c r="F5110" i="1"/>
  <c r="H5109" i="1"/>
  <c r="G5109" i="1"/>
  <c r="F5109" i="1"/>
  <c r="H5108" i="1"/>
  <c r="G5108" i="1"/>
  <c r="F5108" i="1"/>
  <c r="H5107" i="1"/>
  <c r="G5107" i="1"/>
  <c r="F5107" i="1"/>
  <c r="H5106" i="1"/>
  <c r="G5106" i="1"/>
  <c r="F5106" i="1"/>
  <c r="H5105" i="1"/>
  <c r="G5105" i="1"/>
  <c r="F5105" i="1"/>
  <c r="H5104" i="1"/>
  <c r="G5104" i="1"/>
  <c r="F5104" i="1"/>
  <c r="H5103" i="1"/>
  <c r="G5103" i="1"/>
  <c r="F5103" i="1"/>
  <c r="H5102" i="1"/>
  <c r="G5102" i="1"/>
  <c r="F5102" i="1"/>
  <c r="H5101" i="1"/>
  <c r="G5101" i="1"/>
  <c r="F5101" i="1"/>
  <c r="H5100" i="1"/>
  <c r="G5100" i="1"/>
  <c r="F5100" i="1"/>
  <c r="H5099" i="1"/>
  <c r="G5099" i="1"/>
  <c r="F5099" i="1"/>
  <c r="H5098" i="1"/>
  <c r="G5098" i="1"/>
  <c r="F5098" i="1"/>
  <c r="H5097" i="1"/>
  <c r="G5097" i="1"/>
  <c r="F5097" i="1"/>
  <c r="H5096" i="1"/>
  <c r="G5096" i="1"/>
  <c r="F5096" i="1"/>
  <c r="H5095" i="1"/>
  <c r="G5095" i="1"/>
  <c r="F5095" i="1"/>
  <c r="H5094" i="1"/>
  <c r="G5094" i="1"/>
  <c r="F5094" i="1"/>
  <c r="H5093" i="1"/>
  <c r="G5093" i="1"/>
  <c r="F5093" i="1"/>
  <c r="H5092" i="1"/>
  <c r="G5092" i="1"/>
  <c r="F5092" i="1"/>
  <c r="H5091" i="1"/>
  <c r="G5091" i="1"/>
  <c r="F5091" i="1"/>
  <c r="H5090" i="1"/>
  <c r="G5090" i="1"/>
  <c r="F5090" i="1"/>
  <c r="H5089" i="1"/>
  <c r="G5089" i="1"/>
  <c r="F5089" i="1"/>
  <c r="H5088" i="1"/>
  <c r="G5088" i="1"/>
  <c r="F5088" i="1"/>
  <c r="H5087" i="1"/>
  <c r="G5087" i="1"/>
  <c r="F5087" i="1"/>
  <c r="H5086" i="1"/>
  <c r="G5086" i="1"/>
  <c r="F5086" i="1"/>
  <c r="H5085" i="1"/>
  <c r="G5085" i="1"/>
  <c r="F5085" i="1"/>
  <c r="H5084" i="1"/>
  <c r="G5084" i="1"/>
  <c r="F5084" i="1"/>
  <c r="H5083" i="1"/>
  <c r="G5083" i="1"/>
  <c r="F5083" i="1"/>
  <c r="H5082" i="1"/>
  <c r="G5082" i="1"/>
  <c r="F5082" i="1"/>
  <c r="H5081" i="1"/>
  <c r="G5081" i="1"/>
  <c r="F5081" i="1"/>
  <c r="H5080" i="1"/>
  <c r="G5080" i="1"/>
  <c r="F5080" i="1"/>
  <c r="H5079" i="1"/>
  <c r="G5079" i="1"/>
  <c r="F5079" i="1"/>
  <c r="H5078" i="1"/>
  <c r="G5078" i="1"/>
  <c r="F5078" i="1"/>
  <c r="H5077" i="1"/>
  <c r="G5077" i="1"/>
  <c r="F5077" i="1"/>
  <c r="H5076" i="1"/>
  <c r="G5076" i="1"/>
  <c r="F5076" i="1"/>
  <c r="H5075" i="1"/>
  <c r="G5075" i="1"/>
  <c r="F5075" i="1"/>
  <c r="H5074" i="1"/>
  <c r="G5074" i="1"/>
  <c r="F5074" i="1"/>
  <c r="H5073" i="1"/>
  <c r="G5073" i="1"/>
  <c r="F5073" i="1"/>
  <c r="H5072" i="1"/>
  <c r="G5072" i="1"/>
  <c r="F5072" i="1"/>
  <c r="H5071" i="1"/>
  <c r="G5071" i="1"/>
  <c r="F5071" i="1"/>
  <c r="H5070" i="1"/>
  <c r="G5070" i="1"/>
  <c r="F5070" i="1"/>
  <c r="H5069" i="1"/>
  <c r="G5069" i="1"/>
  <c r="F5069" i="1"/>
  <c r="H5068" i="1"/>
  <c r="G5068" i="1"/>
  <c r="F5068" i="1"/>
  <c r="H5067" i="1"/>
  <c r="G5067" i="1"/>
  <c r="F5067" i="1"/>
  <c r="H5066" i="1"/>
  <c r="G5066" i="1"/>
  <c r="F5066" i="1"/>
  <c r="H5065" i="1"/>
  <c r="G5065" i="1"/>
  <c r="F5065" i="1"/>
  <c r="H5064" i="1"/>
  <c r="G5064" i="1"/>
  <c r="F5064" i="1"/>
  <c r="H5063" i="1"/>
  <c r="G5063" i="1"/>
  <c r="F5063" i="1"/>
  <c r="H5062" i="1"/>
  <c r="G5062" i="1"/>
  <c r="F5062" i="1"/>
  <c r="H5061" i="1"/>
  <c r="G5061" i="1"/>
  <c r="F5061" i="1"/>
  <c r="H5060" i="1"/>
  <c r="G5060" i="1"/>
  <c r="F5060" i="1"/>
  <c r="H5059" i="1"/>
  <c r="G5059" i="1"/>
  <c r="F5059" i="1"/>
  <c r="H5058" i="1"/>
  <c r="G5058" i="1"/>
  <c r="F5058" i="1"/>
  <c r="H5057" i="1"/>
  <c r="G5057" i="1"/>
  <c r="F5057" i="1"/>
  <c r="H5056" i="1"/>
  <c r="G5056" i="1"/>
  <c r="F5056" i="1"/>
  <c r="H5055" i="1"/>
  <c r="G5055" i="1"/>
  <c r="F5055" i="1"/>
  <c r="H5054" i="1"/>
  <c r="G5054" i="1"/>
  <c r="F5054" i="1"/>
  <c r="H5053" i="1"/>
  <c r="G5053" i="1"/>
  <c r="F5053" i="1"/>
  <c r="H5052" i="1"/>
  <c r="G5052" i="1"/>
  <c r="F5052" i="1"/>
  <c r="H5051" i="1"/>
  <c r="G5051" i="1"/>
  <c r="F5051" i="1"/>
  <c r="H5050" i="1"/>
  <c r="G5050" i="1"/>
  <c r="F5050" i="1"/>
  <c r="H5049" i="1"/>
  <c r="G5049" i="1"/>
  <c r="F5049" i="1"/>
  <c r="H5048" i="1"/>
  <c r="G5048" i="1"/>
  <c r="F5048" i="1"/>
  <c r="H5047" i="1"/>
  <c r="G5047" i="1"/>
  <c r="F5047" i="1"/>
  <c r="H5046" i="1"/>
  <c r="G5046" i="1"/>
  <c r="F5046" i="1"/>
  <c r="H5045" i="1"/>
  <c r="G5045" i="1"/>
  <c r="F5045" i="1"/>
  <c r="H5044" i="1"/>
  <c r="G5044" i="1"/>
  <c r="F5044" i="1"/>
  <c r="H5043" i="1"/>
  <c r="G5043" i="1"/>
  <c r="F5043" i="1"/>
  <c r="H5042" i="1"/>
  <c r="G5042" i="1"/>
  <c r="F5042" i="1"/>
  <c r="H5041" i="1"/>
  <c r="G5041" i="1"/>
  <c r="F5041" i="1"/>
  <c r="H5040" i="1"/>
  <c r="G5040" i="1"/>
  <c r="F5040" i="1"/>
  <c r="H5039" i="1"/>
  <c r="G5039" i="1"/>
  <c r="F5039" i="1"/>
  <c r="H5038" i="1"/>
  <c r="G5038" i="1"/>
  <c r="F5038" i="1"/>
  <c r="H5037" i="1"/>
  <c r="G5037" i="1"/>
  <c r="F5037" i="1"/>
  <c r="H5036" i="1"/>
  <c r="G5036" i="1"/>
  <c r="F5036" i="1"/>
  <c r="H5035" i="1"/>
  <c r="G5035" i="1"/>
  <c r="F5035" i="1"/>
  <c r="H5034" i="1"/>
  <c r="G5034" i="1"/>
  <c r="F5034" i="1"/>
  <c r="H5033" i="1"/>
  <c r="G5033" i="1"/>
  <c r="F5033" i="1"/>
  <c r="H5032" i="1"/>
  <c r="G5032" i="1"/>
  <c r="F5032" i="1"/>
  <c r="H5031" i="1"/>
  <c r="G5031" i="1"/>
  <c r="F5031" i="1"/>
  <c r="H5030" i="1"/>
  <c r="G5030" i="1"/>
  <c r="F5030" i="1"/>
  <c r="H5029" i="1"/>
  <c r="G5029" i="1"/>
  <c r="F5029" i="1"/>
  <c r="H5028" i="1"/>
  <c r="G5028" i="1"/>
  <c r="F5028" i="1"/>
  <c r="H5027" i="1"/>
  <c r="G5027" i="1"/>
  <c r="F5027" i="1"/>
  <c r="H5026" i="1"/>
  <c r="G5026" i="1"/>
  <c r="F5026" i="1"/>
  <c r="H5025" i="1"/>
  <c r="G5025" i="1"/>
  <c r="F5025" i="1"/>
  <c r="H5024" i="1"/>
  <c r="G5024" i="1"/>
  <c r="F5024" i="1"/>
  <c r="H5023" i="1"/>
  <c r="G5023" i="1"/>
  <c r="F5023" i="1"/>
  <c r="H5022" i="1"/>
  <c r="G5022" i="1"/>
  <c r="F5022" i="1"/>
  <c r="H5021" i="1"/>
  <c r="G5021" i="1"/>
  <c r="F5021" i="1"/>
  <c r="H5020" i="1"/>
  <c r="G5020" i="1"/>
  <c r="F5020" i="1"/>
  <c r="H5019" i="1"/>
  <c r="G5019" i="1"/>
  <c r="F5019" i="1"/>
  <c r="H5018" i="1"/>
  <c r="G5018" i="1"/>
  <c r="F5018" i="1"/>
  <c r="H5017" i="1"/>
  <c r="G5017" i="1"/>
  <c r="F5017" i="1"/>
  <c r="H5016" i="1"/>
  <c r="G5016" i="1"/>
  <c r="F5016" i="1"/>
  <c r="H5015" i="1"/>
  <c r="G5015" i="1"/>
  <c r="F5015" i="1"/>
  <c r="H5014" i="1"/>
  <c r="G5014" i="1"/>
  <c r="F5014" i="1"/>
  <c r="H5013" i="1"/>
  <c r="G5013" i="1"/>
  <c r="F5013" i="1"/>
  <c r="H5012" i="1"/>
  <c r="G5012" i="1"/>
  <c r="F5012" i="1"/>
  <c r="H5011" i="1"/>
  <c r="G5011" i="1"/>
  <c r="F5011" i="1"/>
  <c r="H5010" i="1"/>
  <c r="G5010" i="1"/>
  <c r="F5010" i="1"/>
  <c r="H5009" i="1"/>
  <c r="G5009" i="1"/>
  <c r="F5009" i="1"/>
  <c r="H5008" i="1"/>
  <c r="G5008" i="1"/>
  <c r="F5008" i="1"/>
  <c r="H5007" i="1"/>
  <c r="G5007" i="1"/>
  <c r="F5007" i="1"/>
  <c r="H5006" i="1"/>
  <c r="G5006" i="1"/>
  <c r="F5006" i="1"/>
  <c r="H5005" i="1"/>
  <c r="G5005" i="1"/>
  <c r="F5005" i="1"/>
  <c r="H5004" i="1"/>
  <c r="G5004" i="1"/>
  <c r="F5004" i="1"/>
  <c r="H5003" i="1"/>
  <c r="G5003" i="1"/>
  <c r="F5003" i="1"/>
  <c r="H5002" i="1"/>
  <c r="G5002" i="1"/>
  <c r="F5002" i="1"/>
  <c r="H5001" i="1"/>
  <c r="G5001" i="1"/>
  <c r="F5001" i="1"/>
  <c r="H5000" i="1"/>
  <c r="G5000" i="1"/>
  <c r="F5000" i="1"/>
  <c r="H4999" i="1"/>
  <c r="G4999" i="1"/>
  <c r="F4999" i="1"/>
  <c r="H4998" i="1"/>
  <c r="G4998" i="1"/>
  <c r="F4998" i="1"/>
  <c r="H4997" i="1"/>
  <c r="G4997" i="1"/>
  <c r="F4997" i="1"/>
  <c r="H4996" i="1"/>
  <c r="G4996" i="1"/>
  <c r="F4996" i="1"/>
  <c r="H4995" i="1"/>
  <c r="G4995" i="1"/>
  <c r="F4995" i="1"/>
  <c r="H4994" i="1"/>
  <c r="G4994" i="1"/>
  <c r="F4994" i="1"/>
  <c r="H4993" i="1"/>
  <c r="G4993" i="1"/>
  <c r="F4993" i="1"/>
  <c r="H4992" i="1"/>
  <c r="G4992" i="1"/>
  <c r="F4992" i="1"/>
  <c r="H4991" i="1"/>
  <c r="G4991" i="1"/>
  <c r="F4991" i="1"/>
  <c r="H4990" i="1"/>
  <c r="G4990" i="1"/>
  <c r="F4990" i="1"/>
  <c r="H4989" i="1"/>
  <c r="G4989" i="1"/>
  <c r="F4989" i="1"/>
  <c r="H4988" i="1"/>
  <c r="G4988" i="1"/>
  <c r="F4988" i="1"/>
  <c r="H4987" i="1"/>
  <c r="G4987" i="1"/>
  <c r="F4987" i="1"/>
  <c r="H4986" i="1"/>
  <c r="G4986" i="1"/>
  <c r="F4986" i="1"/>
  <c r="H4985" i="1"/>
  <c r="G4985" i="1"/>
  <c r="F4985" i="1"/>
  <c r="H4984" i="1"/>
  <c r="G4984" i="1"/>
  <c r="F4984" i="1"/>
  <c r="H4983" i="1"/>
  <c r="G4983" i="1"/>
  <c r="F4983" i="1"/>
  <c r="H4982" i="1"/>
  <c r="G4982" i="1"/>
  <c r="F4982" i="1"/>
  <c r="H4981" i="1"/>
  <c r="G4981" i="1"/>
  <c r="F4981" i="1"/>
  <c r="H4980" i="1"/>
  <c r="G4980" i="1"/>
  <c r="F4980" i="1"/>
  <c r="H4979" i="1"/>
  <c r="G4979" i="1"/>
  <c r="F4979" i="1"/>
  <c r="H4978" i="1"/>
  <c r="G4978" i="1"/>
  <c r="F4978" i="1"/>
  <c r="H4977" i="1"/>
  <c r="G4977" i="1"/>
  <c r="F4977" i="1"/>
  <c r="H4976" i="1"/>
  <c r="G4976" i="1"/>
  <c r="F4976" i="1"/>
  <c r="H4975" i="1"/>
  <c r="G4975" i="1"/>
  <c r="F4975" i="1"/>
  <c r="H4974" i="1"/>
  <c r="G4974" i="1"/>
  <c r="F4974" i="1"/>
  <c r="H4973" i="1"/>
  <c r="G4973" i="1"/>
  <c r="F4973" i="1"/>
  <c r="H4972" i="1"/>
  <c r="G4972" i="1"/>
  <c r="F4972" i="1"/>
  <c r="H4971" i="1"/>
  <c r="G4971" i="1"/>
  <c r="F4971" i="1"/>
  <c r="H4970" i="1"/>
  <c r="G4970" i="1"/>
  <c r="F4970" i="1"/>
  <c r="H4969" i="1"/>
  <c r="G4969" i="1"/>
  <c r="F4969" i="1"/>
  <c r="H4968" i="1"/>
  <c r="G4968" i="1"/>
  <c r="F4968" i="1"/>
  <c r="H4967" i="1"/>
  <c r="G4967" i="1"/>
  <c r="F4967" i="1"/>
  <c r="H4966" i="1"/>
  <c r="G4966" i="1"/>
  <c r="F4966" i="1"/>
  <c r="H4965" i="1"/>
  <c r="G4965" i="1"/>
  <c r="F4965" i="1"/>
  <c r="H4964" i="1"/>
  <c r="G4964" i="1"/>
  <c r="F4964" i="1"/>
  <c r="H4963" i="1"/>
  <c r="G4963" i="1"/>
  <c r="F4963" i="1"/>
  <c r="H4962" i="1"/>
  <c r="G4962" i="1"/>
  <c r="F4962" i="1"/>
  <c r="H4961" i="1"/>
  <c r="G4961" i="1"/>
  <c r="F4961" i="1"/>
  <c r="H4960" i="1"/>
  <c r="G4960" i="1"/>
  <c r="F4960" i="1"/>
  <c r="H4959" i="1"/>
  <c r="G4959" i="1"/>
  <c r="F4959" i="1"/>
  <c r="H4958" i="1"/>
  <c r="G4958" i="1"/>
  <c r="F4958" i="1"/>
  <c r="H4957" i="1"/>
  <c r="G4957" i="1"/>
  <c r="F4957" i="1"/>
  <c r="H4956" i="1"/>
  <c r="G4956" i="1"/>
  <c r="F4956" i="1"/>
  <c r="H4955" i="1"/>
  <c r="G4955" i="1"/>
  <c r="F4955" i="1"/>
  <c r="H4954" i="1"/>
  <c r="G4954" i="1"/>
  <c r="F4954" i="1"/>
  <c r="H4953" i="1"/>
  <c r="G4953" i="1"/>
  <c r="F4953" i="1"/>
  <c r="H4952" i="1"/>
  <c r="G4952" i="1"/>
  <c r="F4952" i="1"/>
  <c r="H4951" i="1"/>
  <c r="G4951" i="1"/>
  <c r="F4951" i="1"/>
  <c r="H4950" i="1"/>
  <c r="G4950" i="1"/>
  <c r="F4950" i="1"/>
  <c r="H4949" i="1"/>
  <c r="G4949" i="1"/>
  <c r="F4949" i="1"/>
  <c r="H4948" i="1"/>
  <c r="G4948" i="1"/>
  <c r="F4948" i="1"/>
  <c r="H4947" i="1"/>
  <c r="G4947" i="1"/>
  <c r="F4947" i="1"/>
  <c r="H4946" i="1"/>
  <c r="G4946" i="1"/>
  <c r="F4946" i="1"/>
  <c r="H4945" i="1"/>
  <c r="G4945" i="1"/>
  <c r="F4945" i="1"/>
  <c r="H4944" i="1"/>
  <c r="G4944" i="1"/>
  <c r="F4944" i="1"/>
  <c r="H4943" i="1"/>
  <c r="G4943" i="1"/>
  <c r="F4943" i="1"/>
  <c r="H4942" i="1"/>
  <c r="G4942" i="1"/>
  <c r="F4942" i="1"/>
  <c r="H4941" i="1"/>
  <c r="G4941" i="1"/>
  <c r="F4941" i="1"/>
  <c r="H4940" i="1"/>
  <c r="G4940" i="1"/>
  <c r="F4940" i="1"/>
  <c r="H4939" i="1"/>
  <c r="G4939" i="1"/>
  <c r="F4939" i="1"/>
  <c r="H4938" i="1"/>
  <c r="G4938" i="1"/>
  <c r="F4938" i="1"/>
  <c r="H4937" i="1"/>
  <c r="G4937" i="1"/>
  <c r="F4937" i="1"/>
  <c r="H4936" i="1"/>
  <c r="G4936" i="1"/>
  <c r="F4936" i="1"/>
  <c r="H4935" i="1"/>
  <c r="G4935" i="1"/>
  <c r="F4935" i="1"/>
  <c r="H4934" i="1"/>
  <c r="G4934" i="1"/>
  <c r="F4934" i="1"/>
  <c r="H4933" i="1"/>
  <c r="G4933" i="1"/>
  <c r="F4933" i="1"/>
  <c r="H4932" i="1"/>
  <c r="G4932" i="1"/>
  <c r="F4932" i="1"/>
  <c r="H4931" i="1"/>
  <c r="G4931" i="1"/>
  <c r="F4931" i="1"/>
  <c r="H4930" i="1"/>
  <c r="G4930" i="1"/>
  <c r="F4930" i="1"/>
  <c r="H4929" i="1"/>
  <c r="G4929" i="1"/>
  <c r="F4929" i="1"/>
  <c r="H4928" i="1"/>
  <c r="G4928" i="1"/>
  <c r="F4928" i="1"/>
  <c r="H4927" i="1"/>
  <c r="G4927" i="1"/>
  <c r="F4927" i="1"/>
  <c r="H4926" i="1"/>
  <c r="G4926" i="1"/>
  <c r="F4926" i="1"/>
  <c r="H4925" i="1"/>
  <c r="G4925" i="1"/>
  <c r="F4925" i="1"/>
  <c r="H4924" i="1"/>
  <c r="G4924" i="1"/>
  <c r="F4924" i="1"/>
  <c r="H4923" i="1"/>
  <c r="G4923" i="1"/>
  <c r="F4923" i="1"/>
  <c r="H4922" i="1"/>
  <c r="G4922" i="1"/>
  <c r="F4922" i="1"/>
  <c r="H4921" i="1"/>
  <c r="G4921" i="1"/>
  <c r="F4921" i="1"/>
  <c r="H4920" i="1"/>
  <c r="G4920" i="1"/>
  <c r="F4920" i="1"/>
  <c r="H4919" i="1"/>
  <c r="G4919" i="1"/>
  <c r="F4919" i="1"/>
  <c r="H4918" i="1"/>
  <c r="G4918" i="1"/>
  <c r="F4918" i="1"/>
  <c r="H4917" i="1"/>
  <c r="G4917" i="1"/>
  <c r="F4917" i="1"/>
  <c r="H4916" i="1"/>
  <c r="G4916" i="1"/>
  <c r="F4916" i="1"/>
  <c r="H4915" i="1"/>
  <c r="G4915" i="1"/>
  <c r="F4915" i="1"/>
  <c r="H4914" i="1"/>
  <c r="G4914" i="1"/>
  <c r="F4914" i="1"/>
  <c r="H4913" i="1"/>
  <c r="G4913" i="1"/>
  <c r="F4913" i="1"/>
  <c r="H4912" i="1"/>
  <c r="G4912" i="1"/>
  <c r="F4912" i="1"/>
  <c r="H4911" i="1"/>
  <c r="G4911" i="1"/>
  <c r="F4911" i="1"/>
  <c r="H4910" i="1"/>
  <c r="G4910" i="1"/>
  <c r="F4910" i="1"/>
  <c r="H4909" i="1"/>
  <c r="G4909" i="1"/>
  <c r="F4909" i="1"/>
  <c r="H4908" i="1"/>
  <c r="G4908" i="1"/>
  <c r="F4908" i="1"/>
  <c r="H4907" i="1"/>
  <c r="G4907" i="1"/>
  <c r="F4907" i="1"/>
  <c r="H4906" i="1"/>
  <c r="G4906" i="1"/>
  <c r="F4906" i="1"/>
  <c r="H4905" i="1"/>
  <c r="G4905" i="1"/>
  <c r="F4905" i="1"/>
  <c r="H4904" i="1"/>
  <c r="G4904" i="1"/>
  <c r="F4904" i="1"/>
  <c r="H4903" i="1"/>
  <c r="G4903" i="1"/>
  <c r="F4903" i="1"/>
  <c r="H4902" i="1"/>
  <c r="G4902" i="1"/>
  <c r="F4902" i="1"/>
  <c r="H4901" i="1"/>
  <c r="G4901" i="1"/>
  <c r="F4901" i="1"/>
  <c r="H4900" i="1"/>
  <c r="G4900" i="1"/>
  <c r="F4900" i="1"/>
  <c r="H4899" i="1"/>
  <c r="G4899" i="1"/>
  <c r="F4899" i="1"/>
  <c r="H4898" i="1"/>
  <c r="G4898" i="1"/>
  <c r="F4898" i="1"/>
  <c r="H4897" i="1"/>
  <c r="G4897" i="1"/>
  <c r="F4897" i="1"/>
  <c r="H4896" i="1"/>
  <c r="G4896" i="1"/>
  <c r="F4896" i="1"/>
  <c r="H4895" i="1"/>
  <c r="G4895" i="1"/>
  <c r="F4895" i="1"/>
  <c r="H4894" i="1"/>
  <c r="G4894" i="1"/>
  <c r="F4894" i="1"/>
  <c r="H4893" i="1"/>
  <c r="G4893" i="1"/>
  <c r="F4893" i="1"/>
  <c r="H4892" i="1"/>
  <c r="G4892" i="1"/>
  <c r="F4892" i="1"/>
  <c r="H4891" i="1"/>
  <c r="G4891" i="1"/>
  <c r="F4891" i="1"/>
  <c r="H4890" i="1"/>
  <c r="G4890" i="1"/>
  <c r="F4890" i="1"/>
  <c r="H4889" i="1"/>
  <c r="G4889" i="1"/>
  <c r="F4889" i="1"/>
  <c r="H4888" i="1"/>
  <c r="G4888" i="1"/>
  <c r="F4888" i="1"/>
  <c r="H4887" i="1"/>
  <c r="G4887" i="1"/>
  <c r="F4887" i="1"/>
  <c r="H4886" i="1"/>
  <c r="G4886" i="1"/>
  <c r="F4886" i="1"/>
  <c r="H4885" i="1"/>
  <c r="G4885" i="1"/>
  <c r="F4885" i="1"/>
  <c r="H4884" i="1"/>
  <c r="G4884" i="1"/>
  <c r="F4884" i="1"/>
  <c r="H4883" i="1"/>
  <c r="G4883" i="1"/>
  <c r="F4883" i="1"/>
  <c r="H4882" i="1"/>
  <c r="G4882" i="1"/>
  <c r="F4882" i="1"/>
  <c r="H4881" i="1"/>
  <c r="G4881" i="1"/>
  <c r="F4881" i="1"/>
  <c r="H4880" i="1"/>
  <c r="G4880" i="1"/>
  <c r="F4880" i="1"/>
  <c r="H4879" i="1"/>
  <c r="G4879" i="1"/>
  <c r="F4879" i="1"/>
  <c r="H4878" i="1"/>
  <c r="G4878" i="1"/>
  <c r="F4878" i="1"/>
  <c r="H4877" i="1"/>
  <c r="G4877" i="1"/>
  <c r="F4877" i="1"/>
  <c r="H4876" i="1"/>
  <c r="G4876" i="1"/>
  <c r="F4876" i="1"/>
  <c r="H4875" i="1"/>
  <c r="G4875" i="1"/>
  <c r="F4875" i="1"/>
  <c r="H4874" i="1"/>
  <c r="G4874" i="1"/>
  <c r="F4874" i="1"/>
  <c r="H4873" i="1"/>
  <c r="G4873" i="1"/>
  <c r="F4873" i="1"/>
  <c r="H4872" i="1"/>
  <c r="G4872" i="1"/>
  <c r="F4872" i="1"/>
  <c r="H4871" i="1"/>
  <c r="G4871" i="1"/>
  <c r="F4871" i="1"/>
  <c r="H4870" i="1"/>
  <c r="G4870" i="1"/>
  <c r="F4870" i="1"/>
  <c r="H4869" i="1"/>
  <c r="G4869" i="1"/>
  <c r="F4869" i="1"/>
  <c r="H4868" i="1"/>
  <c r="G4868" i="1"/>
  <c r="F4868" i="1"/>
  <c r="H4867" i="1"/>
  <c r="G4867" i="1"/>
  <c r="F4867" i="1"/>
  <c r="H4866" i="1"/>
  <c r="G4866" i="1"/>
  <c r="F4866" i="1"/>
  <c r="H4865" i="1"/>
  <c r="G4865" i="1"/>
  <c r="F4865" i="1"/>
  <c r="H4864" i="1"/>
  <c r="G4864" i="1"/>
  <c r="F4864" i="1"/>
  <c r="H4863" i="1"/>
  <c r="G4863" i="1"/>
  <c r="F4863" i="1"/>
  <c r="H4862" i="1"/>
  <c r="G4862" i="1"/>
  <c r="F4862" i="1"/>
  <c r="H4861" i="1"/>
  <c r="G4861" i="1"/>
  <c r="F4861" i="1"/>
  <c r="H4860" i="1"/>
  <c r="G4860" i="1"/>
  <c r="F4860" i="1"/>
  <c r="H4859" i="1"/>
  <c r="G4859" i="1"/>
  <c r="F4859" i="1"/>
  <c r="H4858" i="1"/>
  <c r="G4858" i="1"/>
  <c r="F4858" i="1"/>
  <c r="H4857" i="1"/>
  <c r="G4857" i="1"/>
  <c r="F4857" i="1"/>
  <c r="H4856" i="1"/>
  <c r="G4856" i="1"/>
  <c r="F4856" i="1"/>
  <c r="H4855" i="1"/>
  <c r="G4855" i="1"/>
  <c r="F4855" i="1"/>
  <c r="H4854" i="1"/>
  <c r="G4854" i="1"/>
  <c r="F4854" i="1"/>
  <c r="H4853" i="1"/>
  <c r="G4853" i="1"/>
  <c r="F4853" i="1"/>
  <c r="H4852" i="1"/>
  <c r="G4852" i="1"/>
  <c r="F4852" i="1"/>
  <c r="H4851" i="1"/>
  <c r="G4851" i="1"/>
  <c r="F4851" i="1"/>
  <c r="H4850" i="1"/>
  <c r="G4850" i="1"/>
  <c r="F4850" i="1"/>
  <c r="H4849" i="1"/>
  <c r="G4849" i="1"/>
  <c r="F4849" i="1"/>
  <c r="H4848" i="1"/>
  <c r="G4848" i="1"/>
  <c r="F4848" i="1"/>
  <c r="H4847" i="1"/>
  <c r="G4847" i="1"/>
  <c r="F4847" i="1"/>
  <c r="H4846" i="1"/>
  <c r="G4846" i="1"/>
  <c r="F4846" i="1"/>
  <c r="H4845" i="1"/>
  <c r="G4845" i="1"/>
  <c r="F4845" i="1"/>
  <c r="H4844" i="1"/>
  <c r="G4844" i="1"/>
  <c r="F4844" i="1"/>
  <c r="H4843" i="1"/>
  <c r="G4843" i="1"/>
  <c r="F4843" i="1"/>
  <c r="H4842" i="1"/>
  <c r="G4842" i="1"/>
  <c r="F4842" i="1"/>
  <c r="H4841" i="1"/>
  <c r="G4841" i="1"/>
  <c r="F4841" i="1"/>
  <c r="H4840" i="1"/>
  <c r="G4840" i="1"/>
  <c r="F4840" i="1"/>
  <c r="H4839" i="1"/>
  <c r="G4839" i="1"/>
  <c r="F4839" i="1"/>
  <c r="H4838" i="1"/>
  <c r="G4838" i="1"/>
  <c r="F4838" i="1"/>
  <c r="H4837" i="1"/>
  <c r="G4837" i="1"/>
  <c r="F4837" i="1"/>
  <c r="H4836" i="1"/>
  <c r="G4836" i="1"/>
  <c r="F4836" i="1"/>
  <c r="H4835" i="1"/>
  <c r="G4835" i="1"/>
  <c r="F4835" i="1"/>
  <c r="H4834" i="1"/>
  <c r="G4834" i="1"/>
  <c r="F4834" i="1"/>
  <c r="H4833" i="1"/>
  <c r="G4833" i="1"/>
  <c r="F4833" i="1"/>
  <c r="H4832" i="1"/>
  <c r="G4832" i="1"/>
  <c r="F4832" i="1"/>
  <c r="H4831" i="1"/>
  <c r="G4831" i="1"/>
  <c r="F4831" i="1"/>
  <c r="H4830" i="1"/>
  <c r="G4830" i="1"/>
  <c r="F4830" i="1"/>
  <c r="H4829" i="1"/>
  <c r="G4829" i="1"/>
  <c r="F4829" i="1"/>
  <c r="H4828" i="1"/>
  <c r="G4828" i="1"/>
  <c r="F4828" i="1"/>
  <c r="H4827" i="1"/>
  <c r="G4827" i="1"/>
  <c r="F4827" i="1"/>
  <c r="H4826" i="1"/>
  <c r="G4826" i="1"/>
  <c r="F4826" i="1"/>
  <c r="H4825" i="1"/>
  <c r="G4825" i="1"/>
  <c r="F4825" i="1"/>
  <c r="H4824" i="1"/>
  <c r="G4824" i="1"/>
  <c r="F4824" i="1"/>
  <c r="H4823" i="1"/>
  <c r="G4823" i="1"/>
  <c r="F4823" i="1"/>
  <c r="H4822" i="1"/>
  <c r="G4822" i="1"/>
  <c r="F4822" i="1"/>
  <c r="H4821" i="1"/>
  <c r="G4821" i="1"/>
  <c r="F4821" i="1"/>
  <c r="H4820" i="1"/>
  <c r="G4820" i="1"/>
  <c r="F4820" i="1"/>
  <c r="H4819" i="1"/>
  <c r="G4819" i="1"/>
  <c r="F4819" i="1"/>
  <c r="H4818" i="1"/>
  <c r="G4818" i="1"/>
  <c r="F4818" i="1"/>
  <c r="H4817" i="1"/>
  <c r="G4817" i="1"/>
  <c r="F4817" i="1"/>
  <c r="H4816" i="1"/>
  <c r="G4816" i="1"/>
  <c r="F4816" i="1"/>
  <c r="H4815" i="1"/>
  <c r="G4815" i="1"/>
  <c r="F4815" i="1"/>
  <c r="H4814" i="1"/>
  <c r="G4814" i="1"/>
  <c r="F4814" i="1"/>
  <c r="H4813" i="1"/>
  <c r="G4813" i="1"/>
  <c r="F4813" i="1"/>
  <c r="H4812" i="1"/>
  <c r="G4812" i="1"/>
  <c r="F4812" i="1"/>
  <c r="H4811" i="1"/>
  <c r="G4811" i="1"/>
  <c r="F4811" i="1"/>
  <c r="H4810" i="1"/>
  <c r="G4810" i="1"/>
  <c r="F4810" i="1"/>
  <c r="H4809" i="1"/>
  <c r="G4809" i="1"/>
  <c r="F4809" i="1"/>
  <c r="H4808" i="1"/>
  <c r="G4808" i="1"/>
  <c r="F4808" i="1"/>
  <c r="H4807" i="1"/>
  <c r="G4807" i="1"/>
  <c r="F4807" i="1"/>
  <c r="H4806" i="1"/>
  <c r="G4806" i="1"/>
  <c r="F4806" i="1"/>
  <c r="H4805" i="1"/>
  <c r="G4805" i="1"/>
  <c r="F4805" i="1"/>
  <c r="H4804" i="1"/>
  <c r="G4804" i="1"/>
  <c r="F4804" i="1"/>
  <c r="H4803" i="1"/>
  <c r="G4803" i="1"/>
  <c r="F4803" i="1"/>
  <c r="H4802" i="1"/>
  <c r="G4802" i="1"/>
  <c r="F4802" i="1"/>
  <c r="H4801" i="1"/>
  <c r="G4801" i="1"/>
  <c r="F4801" i="1"/>
  <c r="H4800" i="1"/>
  <c r="G4800" i="1"/>
  <c r="F4800" i="1"/>
  <c r="H4799" i="1"/>
  <c r="G4799" i="1"/>
  <c r="F4799" i="1"/>
  <c r="H4798" i="1"/>
  <c r="G4798" i="1"/>
  <c r="F4798" i="1"/>
  <c r="H4797" i="1"/>
  <c r="G4797" i="1"/>
  <c r="F4797" i="1"/>
  <c r="H4796" i="1"/>
  <c r="G4796" i="1"/>
  <c r="F4796" i="1"/>
  <c r="H4795" i="1"/>
  <c r="G4795" i="1"/>
  <c r="F4795" i="1"/>
  <c r="H4794" i="1"/>
  <c r="G4794" i="1"/>
  <c r="F4794" i="1"/>
  <c r="H4793" i="1"/>
  <c r="G4793" i="1"/>
  <c r="F4793" i="1"/>
  <c r="H4792" i="1"/>
  <c r="G4792" i="1"/>
  <c r="F4792" i="1"/>
  <c r="H4791" i="1"/>
  <c r="G4791" i="1"/>
  <c r="F4791" i="1"/>
  <c r="H4790" i="1"/>
  <c r="G4790" i="1"/>
  <c r="F4790" i="1"/>
  <c r="H4789" i="1"/>
  <c r="G4789" i="1"/>
  <c r="F4789" i="1"/>
  <c r="H4788" i="1"/>
  <c r="G4788" i="1"/>
  <c r="F4788" i="1"/>
  <c r="H4787" i="1"/>
  <c r="G4787" i="1"/>
  <c r="F4787" i="1"/>
  <c r="H4786" i="1"/>
  <c r="G4786" i="1"/>
  <c r="F4786" i="1"/>
  <c r="H4785" i="1"/>
  <c r="G4785" i="1"/>
  <c r="F4785" i="1"/>
  <c r="H4784" i="1"/>
  <c r="G4784" i="1"/>
  <c r="F4784" i="1"/>
  <c r="H4783" i="1"/>
  <c r="G4783" i="1"/>
  <c r="F4783" i="1"/>
  <c r="H4782" i="1"/>
  <c r="G4782" i="1"/>
  <c r="F4782" i="1"/>
  <c r="H4781" i="1"/>
  <c r="G4781" i="1"/>
  <c r="F4781" i="1"/>
  <c r="H4780" i="1"/>
  <c r="G4780" i="1"/>
  <c r="F4780" i="1"/>
  <c r="H4779" i="1"/>
  <c r="G4779" i="1"/>
  <c r="F4779" i="1"/>
  <c r="H4778" i="1"/>
  <c r="G4778" i="1"/>
  <c r="F4778" i="1"/>
  <c r="H4777" i="1"/>
  <c r="G4777" i="1"/>
  <c r="F4777" i="1"/>
  <c r="H4776" i="1"/>
  <c r="G4776" i="1"/>
  <c r="F4776" i="1"/>
  <c r="H4775" i="1"/>
  <c r="G4775" i="1"/>
  <c r="F4775" i="1"/>
  <c r="H4774" i="1"/>
  <c r="G4774" i="1"/>
  <c r="F4774" i="1"/>
  <c r="H4773" i="1"/>
  <c r="G4773" i="1"/>
  <c r="F4773" i="1"/>
  <c r="H4772" i="1"/>
  <c r="G4772" i="1"/>
  <c r="F4772" i="1"/>
  <c r="H4771" i="1"/>
  <c r="G4771" i="1"/>
  <c r="F4771" i="1"/>
  <c r="H4770" i="1"/>
  <c r="G4770" i="1"/>
  <c r="F4770" i="1"/>
  <c r="H4769" i="1"/>
  <c r="G4769" i="1"/>
  <c r="F4769" i="1"/>
  <c r="H4768" i="1"/>
  <c r="G4768" i="1"/>
  <c r="F4768" i="1"/>
  <c r="H4767" i="1"/>
  <c r="G4767" i="1"/>
  <c r="F4767" i="1"/>
  <c r="H4766" i="1"/>
  <c r="G4766" i="1"/>
  <c r="F4766" i="1"/>
  <c r="H4765" i="1"/>
  <c r="G4765" i="1"/>
  <c r="F4765" i="1"/>
  <c r="H4764" i="1"/>
  <c r="G4764" i="1"/>
  <c r="F4764" i="1"/>
  <c r="H4763" i="1"/>
  <c r="G4763" i="1"/>
  <c r="F4763" i="1"/>
  <c r="H4762" i="1"/>
  <c r="G4762" i="1"/>
  <c r="F4762" i="1"/>
  <c r="H4761" i="1"/>
  <c r="G4761" i="1"/>
  <c r="F4761" i="1"/>
  <c r="H4760" i="1"/>
  <c r="G4760" i="1"/>
  <c r="F4760" i="1"/>
  <c r="H4759" i="1"/>
  <c r="G4759" i="1"/>
  <c r="F4759" i="1"/>
  <c r="H4758" i="1"/>
  <c r="G4758" i="1"/>
  <c r="F4758" i="1"/>
  <c r="H4757" i="1"/>
  <c r="G4757" i="1"/>
  <c r="F4757" i="1"/>
  <c r="H4756" i="1"/>
  <c r="G4756" i="1"/>
  <c r="F4756" i="1"/>
  <c r="H4755" i="1"/>
  <c r="G4755" i="1"/>
  <c r="F4755" i="1"/>
  <c r="H4754" i="1"/>
  <c r="G4754" i="1"/>
  <c r="F4754" i="1"/>
  <c r="H4753" i="1"/>
  <c r="G4753" i="1"/>
  <c r="F4753" i="1"/>
  <c r="H4752" i="1"/>
  <c r="G4752" i="1"/>
  <c r="F4752" i="1"/>
  <c r="H4751" i="1"/>
  <c r="G4751" i="1"/>
  <c r="F4751" i="1"/>
  <c r="H4750" i="1"/>
  <c r="G4750" i="1"/>
  <c r="F4750" i="1"/>
  <c r="H4749" i="1"/>
  <c r="G4749" i="1"/>
  <c r="F4749" i="1"/>
  <c r="H4748" i="1"/>
  <c r="G4748" i="1"/>
  <c r="F4748" i="1"/>
  <c r="H4747" i="1"/>
  <c r="G4747" i="1"/>
  <c r="F4747" i="1"/>
  <c r="H4746" i="1"/>
  <c r="G4746" i="1"/>
  <c r="F4746" i="1"/>
  <c r="H4745" i="1"/>
  <c r="G4745" i="1"/>
  <c r="F4745" i="1"/>
  <c r="H4744" i="1"/>
  <c r="G4744" i="1"/>
  <c r="F4744" i="1"/>
  <c r="H4743" i="1"/>
  <c r="G4743" i="1"/>
  <c r="F4743" i="1"/>
  <c r="H4742" i="1"/>
  <c r="G4742" i="1"/>
  <c r="F4742" i="1"/>
  <c r="H4741" i="1"/>
  <c r="G4741" i="1"/>
  <c r="F4741" i="1"/>
  <c r="H4740" i="1"/>
  <c r="G4740" i="1"/>
  <c r="F4740" i="1"/>
  <c r="H4739" i="1"/>
  <c r="G4739" i="1"/>
  <c r="F4739" i="1"/>
  <c r="H4738" i="1"/>
  <c r="G4738" i="1"/>
  <c r="F4738" i="1"/>
  <c r="H4737" i="1"/>
  <c r="G4737" i="1"/>
  <c r="F4737" i="1"/>
  <c r="H4736" i="1"/>
  <c r="G4736" i="1"/>
  <c r="F4736" i="1"/>
  <c r="H4735" i="1"/>
  <c r="G4735" i="1"/>
  <c r="F4735" i="1"/>
  <c r="H4734" i="1"/>
  <c r="G4734" i="1"/>
  <c r="F4734" i="1"/>
  <c r="H4733" i="1"/>
  <c r="G4733" i="1"/>
  <c r="F4733" i="1"/>
  <c r="H4732" i="1"/>
  <c r="G4732" i="1"/>
  <c r="F4732" i="1"/>
  <c r="H4731" i="1"/>
  <c r="G4731" i="1"/>
  <c r="F4731" i="1"/>
  <c r="H4730" i="1"/>
  <c r="G4730" i="1"/>
  <c r="F4730" i="1"/>
  <c r="H4729" i="1"/>
  <c r="G4729" i="1"/>
  <c r="F4729" i="1"/>
  <c r="H4728" i="1"/>
  <c r="G4728" i="1"/>
  <c r="F4728" i="1"/>
  <c r="H4727" i="1"/>
  <c r="G4727" i="1"/>
  <c r="F4727" i="1"/>
  <c r="H4726" i="1"/>
  <c r="G4726" i="1"/>
  <c r="F4726" i="1"/>
  <c r="H4725" i="1"/>
  <c r="G4725" i="1"/>
  <c r="F4725" i="1"/>
  <c r="H4724" i="1"/>
  <c r="G4724" i="1"/>
  <c r="F4724" i="1"/>
  <c r="H4723" i="1"/>
  <c r="G4723" i="1"/>
  <c r="F4723" i="1"/>
  <c r="H4722" i="1"/>
  <c r="G4722" i="1"/>
  <c r="F4722" i="1"/>
  <c r="H4721" i="1"/>
  <c r="G4721" i="1"/>
  <c r="F4721" i="1"/>
  <c r="H4720" i="1"/>
  <c r="G4720" i="1"/>
  <c r="F4720" i="1"/>
  <c r="H4719" i="1"/>
  <c r="G4719" i="1"/>
  <c r="F4719" i="1"/>
  <c r="H4718" i="1"/>
  <c r="G4718" i="1"/>
  <c r="F4718" i="1"/>
  <c r="H4717" i="1"/>
  <c r="G4717" i="1"/>
  <c r="F4717" i="1"/>
  <c r="H4716" i="1"/>
  <c r="G4716" i="1"/>
  <c r="F4716" i="1"/>
  <c r="H4715" i="1"/>
  <c r="G4715" i="1"/>
  <c r="F4715" i="1"/>
  <c r="H4714" i="1"/>
  <c r="G4714" i="1"/>
  <c r="F4714" i="1"/>
  <c r="H4713" i="1"/>
  <c r="G4713" i="1"/>
  <c r="F4713" i="1"/>
  <c r="H4712" i="1"/>
  <c r="G4712" i="1"/>
  <c r="F4712" i="1"/>
  <c r="H4711" i="1"/>
  <c r="G4711" i="1"/>
  <c r="F4711" i="1"/>
  <c r="H4710" i="1"/>
  <c r="G4710" i="1"/>
  <c r="F4710" i="1"/>
  <c r="H4709" i="1"/>
  <c r="G4709" i="1"/>
  <c r="F4709" i="1"/>
  <c r="H4708" i="1"/>
  <c r="G4708" i="1"/>
  <c r="F4708" i="1"/>
  <c r="H4707" i="1"/>
  <c r="G4707" i="1"/>
  <c r="F4707" i="1"/>
  <c r="H4706" i="1"/>
  <c r="G4706" i="1"/>
  <c r="F4706" i="1"/>
  <c r="H4705" i="1"/>
  <c r="G4705" i="1"/>
  <c r="F4705" i="1"/>
  <c r="H4704" i="1"/>
  <c r="G4704" i="1"/>
  <c r="F4704" i="1"/>
  <c r="H4703" i="1"/>
  <c r="G4703" i="1"/>
  <c r="F4703" i="1"/>
  <c r="H4702" i="1"/>
  <c r="G4702" i="1"/>
  <c r="F4702" i="1"/>
  <c r="H4701" i="1"/>
  <c r="G4701" i="1"/>
  <c r="F4701" i="1"/>
  <c r="H4700" i="1"/>
  <c r="G4700" i="1"/>
  <c r="F4700" i="1"/>
  <c r="H4699" i="1"/>
  <c r="G4699" i="1"/>
  <c r="F4699" i="1"/>
  <c r="H4698" i="1"/>
  <c r="G4698" i="1"/>
  <c r="F4698" i="1"/>
  <c r="H4697" i="1"/>
  <c r="G4697" i="1"/>
  <c r="F4697" i="1"/>
  <c r="H4696" i="1"/>
  <c r="G4696" i="1"/>
  <c r="F4696" i="1"/>
  <c r="H4695" i="1"/>
  <c r="G4695" i="1"/>
  <c r="F4695" i="1"/>
  <c r="H4694" i="1"/>
  <c r="G4694" i="1"/>
  <c r="F4694" i="1"/>
  <c r="H4693" i="1"/>
  <c r="G4693" i="1"/>
  <c r="F4693" i="1"/>
  <c r="H4692" i="1"/>
  <c r="G4692" i="1"/>
  <c r="F4692" i="1"/>
  <c r="H4691" i="1"/>
  <c r="G4691" i="1"/>
  <c r="F4691" i="1"/>
  <c r="H4690" i="1"/>
  <c r="G4690" i="1"/>
  <c r="F4690" i="1"/>
  <c r="H4689" i="1"/>
  <c r="G4689" i="1"/>
  <c r="F4689" i="1"/>
  <c r="H4688" i="1"/>
  <c r="G4688" i="1"/>
  <c r="F4688" i="1"/>
  <c r="H4687" i="1"/>
  <c r="G4687" i="1"/>
  <c r="F4687" i="1"/>
  <c r="H4686" i="1"/>
  <c r="G4686" i="1"/>
  <c r="F4686" i="1"/>
  <c r="H4685" i="1"/>
  <c r="G4685" i="1"/>
  <c r="F4685" i="1"/>
  <c r="H4684" i="1"/>
  <c r="G4684" i="1"/>
  <c r="F4684" i="1"/>
  <c r="H4683" i="1"/>
  <c r="G4683" i="1"/>
  <c r="F4683" i="1"/>
  <c r="H4682" i="1"/>
  <c r="G4682" i="1"/>
  <c r="F4682" i="1"/>
  <c r="H4681" i="1"/>
  <c r="G4681" i="1"/>
  <c r="F4681" i="1"/>
  <c r="H4680" i="1"/>
  <c r="G4680" i="1"/>
  <c r="F4680" i="1"/>
  <c r="H4679" i="1"/>
  <c r="G4679" i="1"/>
  <c r="F4679" i="1"/>
  <c r="H4678" i="1"/>
  <c r="G4678" i="1"/>
  <c r="F4678" i="1"/>
  <c r="H4677" i="1"/>
  <c r="G4677" i="1"/>
  <c r="F4677" i="1"/>
  <c r="H4676" i="1"/>
  <c r="G4676" i="1"/>
  <c r="F4676" i="1"/>
  <c r="H4675" i="1"/>
  <c r="G4675" i="1"/>
  <c r="F4675" i="1"/>
  <c r="H4674" i="1"/>
  <c r="G4674" i="1"/>
  <c r="F4674" i="1"/>
  <c r="H4673" i="1"/>
  <c r="G4673" i="1"/>
  <c r="F4673" i="1"/>
  <c r="H4672" i="1"/>
  <c r="G4672" i="1"/>
  <c r="F4672" i="1"/>
  <c r="H4671" i="1"/>
  <c r="G4671" i="1"/>
  <c r="F4671" i="1"/>
  <c r="H4670" i="1"/>
  <c r="G4670" i="1"/>
  <c r="F4670" i="1"/>
  <c r="H4669" i="1"/>
  <c r="G4669" i="1"/>
  <c r="F4669" i="1"/>
  <c r="H4668" i="1"/>
  <c r="G4668" i="1"/>
  <c r="F4668" i="1"/>
  <c r="H4667" i="1"/>
  <c r="G4667" i="1"/>
  <c r="F4667" i="1"/>
  <c r="H4666" i="1"/>
  <c r="G4666" i="1"/>
  <c r="F4666" i="1"/>
  <c r="H4665" i="1"/>
  <c r="G4665" i="1"/>
  <c r="F4665" i="1"/>
  <c r="H4664" i="1"/>
  <c r="G4664" i="1"/>
  <c r="F4664" i="1"/>
  <c r="H4663" i="1"/>
  <c r="G4663" i="1"/>
  <c r="F4663" i="1"/>
  <c r="H4662" i="1"/>
  <c r="G4662" i="1"/>
  <c r="F4662" i="1"/>
  <c r="H4661" i="1"/>
  <c r="G4661" i="1"/>
  <c r="F4661" i="1"/>
  <c r="H4660" i="1"/>
  <c r="G4660" i="1"/>
  <c r="F4660" i="1"/>
  <c r="H4659" i="1"/>
  <c r="G4659" i="1"/>
  <c r="F4659" i="1"/>
  <c r="H4658" i="1"/>
  <c r="G4658" i="1"/>
  <c r="F4658" i="1"/>
  <c r="H4657" i="1"/>
  <c r="G4657" i="1"/>
  <c r="F4657" i="1"/>
  <c r="H4656" i="1"/>
  <c r="G4656" i="1"/>
  <c r="F4656" i="1"/>
  <c r="H4655" i="1"/>
  <c r="G4655" i="1"/>
  <c r="F4655" i="1"/>
  <c r="H4654" i="1"/>
  <c r="G4654" i="1"/>
  <c r="F4654" i="1"/>
  <c r="H4653" i="1"/>
  <c r="G4653" i="1"/>
  <c r="F4653" i="1"/>
  <c r="H4652" i="1"/>
  <c r="G4652" i="1"/>
  <c r="F4652" i="1"/>
  <c r="H4651" i="1"/>
  <c r="G4651" i="1"/>
  <c r="F4651" i="1"/>
  <c r="H4650" i="1"/>
  <c r="G4650" i="1"/>
  <c r="F4650" i="1"/>
  <c r="H4649" i="1"/>
  <c r="G4649" i="1"/>
  <c r="F4649" i="1"/>
  <c r="H4648" i="1"/>
  <c r="G4648" i="1"/>
  <c r="F4648" i="1"/>
  <c r="H4647" i="1"/>
  <c r="G4647" i="1"/>
  <c r="F4647" i="1"/>
  <c r="H4646" i="1"/>
  <c r="G4646" i="1"/>
  <c r="F4646" i="1"/>
  <c r="H4645" i="1"/>
  <c r="G4645" i="1"/>
  <c r="F4645" i="1"/>
  <c r="H4644" i="1"/>
  <c r="G4644" i="1"/>
  <c r="F4644" i="1"/>
  <c r="H4643" i="1"/>
  <c r="G4643" i="1"/>
  <c r="F4643" i="1"/>
  <c r="H4642" i="1"/>
  <c r="G4642" i="1"/>
  <c r="F4642" i="1"/>
  <c r="H4641" i="1"/>
  <c r="G4641" i="1"/>
  <c r="F4641" i="1"/>
  <c r="H4640" i="1"/>
  <c r="G4640" i="1"/>
  <c r="F4640" i="1"/>
  <c r="H4639" i="1"/>
  <c r="G4639" i="1"/>
  <c r="F4639" i="1"/>
  <c r="H4638" i="1"/>
  <c r="G4638" i="1"/>
  <c r="F4638" i="1"/>
  <c r="H4637" i="1"/>
  <c r="G4637" i="1"/>
  <c r="F4637" i="1"/>
  <c r="H4636" i="1"/>
  <c r="G4636" i="1"/>
  <c r="F4636" i="1"/>
  <c r="H4635" i="1"/>
  <c r="G4635" i="1"/>
  <c r="F4635" i="1"/>
  <c r="H4634" i="1"/>
  <c r="G4634" i="1"/>
  <c r="F4634" i="1"/>
  <c r="H4633" i="1"/>
  <c r="G4633" i="1"/>
  <c r="F4633" i="1"/>
  <c r="H4632" i="1"/>
  <c r="G4632" i="1"/>
  <c r="F4632" i="1"/>
  <c r="H4631" i="1"/>
  <c r="G4631" i="1"/>
  <c r="F4631" i="1"/>
  <c r="H4630" i="1"/>
  <c r="G4630" i="1"/>
  <c r="F4630" i="1"/>
  <c r="H4629" i="1"/>
  <c r="G4629" i="1"/>
  <c r="F4629" i="1"/>
  <c r="H4628" i="1"/>
  <c r="G4628" i="1"/>
  <c r="F4628" i="1"/>
  <c r="H4627" i="1"/>
  <c r="G4627" i="1"/>
  <c r="F4627" i="1"/>
  <c r="H4626" i="1"/>
  <c r="G4626" i="1"/>
  <c r="F4626" i="1"/>
  <c r="H4625" i="1"/>
  <c r="G4625" i="1"/>
  <c r="F4625" i="1"/>
  <c r="H4624" i="1"/>
  <c r="G4624" i="1"/>
  <c r="F4624" i="1"/>
  <c r="H4623" i="1"/>
  <c r="G4623" i="1"/>
  <c r="F4623" i="1"/>
  <c r="H4622" i="1"/>
  <c r="G4622" i="1"/>
  <c r="F4622" i="1"/>
  <c r="H4621" i="1"/>
  <c r="G4621" i="1"/>
  <c r="F4621" i="1"/>
  <c r="H4620" i="1"/>
  <c r="G4620" i="1"/>
  <c r="F4620" i="1"/>
  <c r="H4619" i="1"/>
  <c r="G4619" i="1"/>
  <c r="F4619" i="1"/>
  <c r="H4618" i="1"/>
  <c r="G4618" i="1"/>
  <c r="F4618" i="1"/>
  <c r="H4617" i="1"/>
  <c r="G4617" i="1"/>
  <c r="F4617" i="1"/>
  <c r="H4616" i="1"/>
  <c r="G4616" i="1"/>
  <c r="F4616" i="1"/>
  <c r="H4615" i="1"/>
  <c r="G4615" i="1"/>
  <c r="F4615" i="1"/>
  <c r="H4614" i="1"/>
  <c r="G4614" i="1"/>
  <c r="F4614" i="1"/>
  <c r="H4613" i="1"/>
  <c r="G4613" i="1"/>
  <c r="F4613" i="1"/>
  <c r="H4612" i="1"/>
  <c r="G4612" i="1"/>
  <c r="F4612" i="1"/>
  <c r="H4611" i="1"/>
  <c r="G4611" i="1"/>
  <c r="F4611" i="1"/>
  <c r="H4610" i="1"/>
  <c r="G4610" i="1"/>
  <c r="F4610" i="1"/>
  <c r="H4609" i="1"/>
  <c r="G4609" i="1"/>
  <c r="F4609" i="1"/>
  <c r="H4608" i="1"/>
  <c r="G4608" i="1"/>
  <c r="F4608" i="1"/>
  <c r="H4607" i="1"/>
  <c r="G4607" i="1"/>
  <c r="F4607" i="1"/>
  <c r="H4606" i="1"/>
  <c r="G4606" i="1"/>
  <c r="F4606" i="1"/>
  <c r="H4605" i="1"/>
  <c r="G4605" i="1"/>
  <c r="F4605" i="1"/>
  <c r="H4604" i="1"/>
  <c r="G4604" i="1"/>
  <c r="F4604" i="1"/>
  <c r="H4603" i="1"/>
  <c r="G4603" i="1"/>
  <c r="F4603" i="1"/>
  <c r="H4602" i="1"/>
  <c r="G4602" i="1"/>
  <c r="F4602" i="1"/>
  <c r="H4601" i="1"/>
  <c r="G4601" i="1"/>
  <c r="F4601" i="1"/>
  <c r="H4600" i="1"/>
  <c r="G4600" i="1"/>
  <c r="F4600" i="1"/>
  <c r="H4599" i="1"/>
  <c r="G4599" i="1"/>
  <c r="F4599" i="1"/>
  <c r="H4598" i="1"/>
  <c r="G4598" i="1"/>
  <c r="F4598" i="1"/>
  <c r="H4597" i="1"/>
  <c r="G4597" i="1"/>
  <c r="F4597" i="1"/>
  <c r="H4596" i="1"/>
  <c r="G4596" i="1"/>
  <c r="F4596" i="1"/>
  <c r="H4595" i="1"/>
  <c r="G4595" i="1"/>
  <c r="F4595" i="1"/>
  <c r="H4594" i="1"/>
  <c r="G4594" i="1"/>
  <c r="F4594" i="1"/>
  <c r="H4593" i="1"/>
  <c r="G4593" i="1"/>
  <c r="F4593" i="1"/>
  <c r="H4592" i="1"/>
  <c r="G4592" i="1"/>
  <c r="F4592" i="1"/>
  <c r="H4591" i="1"/>
  <c r="G4591" i="1"/>
  <c r="F4591" i="1"/>
  <c r="H4590" i="1"/>
  <c r="G4590" i="1"/>
  <c r="F4590" i="1"/>
  <c r="H4589" i="1"/>
  <c r="G4589" i="1"/>
  <c r="F4589" i="1"/>
  <c r="H4588" i="1"/>
  <c r="G4588" i="1"/>
  <c r="F4588" i="1"/>
  <c r="H4587" i="1"/>
  <c r="G4587" i="1"/>
  <c r="F4587" i="1"/>
  <c r="H4586" i="1"/>
  <c r="G4586" i="1"/>
  <c r="F4586" i="1"/>
  <c r="H4585" i="1"/>
  <c r="G4585" i="1"/>
  <c r="F4585" i="1"/>
  <c r="H4584" i="1"/>
  <c r="G4584" i="1"/>
  <c r="F4584" i="1"/>
  <c r="H4583" i="1"/>
  <c r="G4583" i="1"/>
  <c r="F4583" i="1"/>
  <c r="H4582" i="1"/>
  <c r="G4582" i="1"/>
  <c r="F4582" i="1"/>
  <c r="H4581" i="1"/>
  <c r="G4581" i="1"/>
  <c r="F4581" i="1"/>
  <c r="H4580" i="1"/>
  <c r="G4580" i="1"/>
  <c r="F4580" i="1"/>
  <c r="H4579" i="1"/>
  <c r="G4579" i="1"/>
  <c r="F4579" i="1"/>
  <c r="H4578" i="1"/>
  <c r="G4578" i="1"/>
  <c r="F4578" i="1"/>
  <c r="H4577" i="1"/>
  <c r="G4577" i="1"/>
  <c r="F4577" i="1"/>
  <c r="H4576" i="1"/>
  <c r="G4576" i="1"/>
  <c r="F4576" i="1"/>
  <c r="H4575" i="1"/>
  <c r="G4575" i="1"/>
  <c r="F4575" i="1"/>
  <c r="H4574" i="1"/>
  <c r="G4574" i="1"/>
  <c r="F4574" i="1"/>
  <c r="H4573" i="1"/>
  <c r="G4573" i="1"/>
  <c r="F4573" i="1"/>
  <c r="H4572" i="1"/>
  <c r="G4572" i="1"/>
  <c r="F4572" i="1"/>
  <c r="H4571" i="1"/>
  <c r="G4571" i="1"/>
  <c r="F4571" i="1"/>
  <c r="H4570" i="1"/>
  <c r="G4570" i="1"/>
  <c r="F4570" i="1"/>
  <c r="H4569" i="1"/>
  <c r="G4569" i="1"/>
  <c r="F4569" i="1"/>
  <c r="H4568" i="1"/>
  <c r="G4568" i="1"/>
  <c r="F4568" i="1"/>
  <c r="H4567" i="1"/>
  <c r="G4567" i="1"/>
  <c r="F4567" i="1"/>
  <c r="H4566" i="1"/>
  <c r="G4566" i="1"/>
  <c r="F4566" i="1"/>
  <c r="H4565" i="1"/>
  <c r="G4565" i="1"/>
  <c r="F4565" i="1"/>
  <c r="H4564" i="1"/>
  <c r="G4564" i="1"/>
  <c r="F4564" i="1"/>
  <c r="H4563" i="1"/>
  <c r="G4563" i="1"/>
  <c r="F4563" i="1"/>
  <c r="H4562" i="1"/>
  <c r="G4562" i="1"/>
  <c r="F4562" i="1"/>
  <c r="H4561" i="1"/>
  <c r="G4561" i="1"/>
  <c r="F4561" i="1"/>
  <c r="H4560" i="1"/>
  <c r="G4560" i="1"/>
  <c r="F4560" i="1"/>
  <c r="H4559" i="1"/>
  <c r="G4559" i="1"/>
  <c r="F4559" i="1"/>
  <c r="H4558" i="1"/>
  <c r="G4558" i="1"/>
  <c r="F4558" i="1"/>
  <c r="H4557" i="1"/>
  <c r="G4557" i="1"/>
  <c r="F4557" i="1"/>
  <c r="H4556" i="1"/>
  <c r="G4556" i="1"/>
  <c r="F4556" i="1"/>
  <c r="H4555" i="1"/>
  <c r="G4555" i="1"/>
  <c r="F4555" i="1"/>
  <c r="H4554" i="1"/>
  <c r="G4554" i="1"/>
  <c r="F4554" i="1"/>
  <c r="H4553" i="1"/>
  <c r="G4553" i="1"/>
  <c r="F4553" i="1"/>
  <c r="H4552" i="1"/>
  <c r="G4552" i="1"/>
  <c r="F4552" i="1"/>
  <c r="H4551" i="1"/>
  <c r="G4551" i="1"/>
  <c r="F4551" i="1"/>
  <c r="H4550" i="1"/>
  <c r="G4550" i="1"/>
  <c r="F4550" i="1"/>
  <c r="H4549" i="1"/>
  <c r="G4549" i="1"/>
  <c r="F4549" i="1"/>
  <c r="H4548" i="1"/>
  <c r="G4548" i="1"/>
  <c r="F4548" i="1"/>
  <c r="H4547" i="1"/>
  <c r="G4547" i="1"/>
  <c r="F4547" i="1"/>
  <c r="H4546" i="1"/>
  <c r="G4546" i="1"/>
  <c r="F4546" i="1"/>
  <c r="H4545" i="1"/>
  <c r="G4545" i="1"/>
  <c r="F4545" i="1"/>
  <c r="H4544" i="1"/>
  <c r="G4544" i="1"/>
  <c r="F4544" i="1"/>
  <c r="H4543" i="1"/>
  <c r="G4543" i="1"/>
  <c r="F4543" i="1"/>
  <c r="H4542" i="1"/>
  <c r="G4542" i="1"/>
  <c r="F4542" i="1"/>
  <c r="H4541" i="1"/>
  <c r="G4541" i="1"/>
  <c r="F4541" i="1"/>
  <c r="H4540" i="1"/>
  <c r="G4540" i="1"/>
  <c r="F4540" i="1"/>
  <c r="H4539" i="1"/>
  <c r="G4539" i="1"/>
  <c r="F4539" i="1"/>
  <c r="H4538" i="1"/>
  <c r="G4538" i="1"/>
  <c r="F4538" i="1"/>
  <c r="H4537" i="1"/>
  <c r="G4537" i="1"/>
  <c r="F4537" i="1"/>
  <c r="H4536" i="1"/>
  <c r="G4536" i="1"/>
  <c r="F4536" i="1"/>
  <c r="H4535" i="1"/>
  <c r="G4535" i="1"/>
  <c r="F4535" i="1"/>
  <c r="H4534" i="1"/>
  <c r="G4534" i="1"/>
  <c r="F4534" i="1"/>
  <c r="H4533" i="1"/>
  <c r="G4533" i="1"/>
  <c r="F4533" i="1"/>
  <c r="H4532" i="1"/>
  <c r="G4532" i="1"/>
  <c r="F4532" i="1"/>
  <c r="H4531" i="1"/>
  <c r="G4531" i="1"/>
  <c r="F4531" i="1"/>
  <c r="H4530" i="1"/>
  <c r="G4530" i="1"/>
  <c r="F4530" i="1"/>
  <c r="H4529" i="1"/>
  <c r="G4529" i="1"/>
  <c r="F4529" i="1"/>
  <c r="H4528" i="1"/>
  <c r="G4528" i="1"/>
  <c r="F4528" i="1"/>
  <c r="H4527" i="1"/>
  <c r="G4527" i="1"/>
  <c r="F4527" i="1"/>
  <c r="H4526" i="1"/>
  <c r="G4526" i="1"/>
  <c r="F4526" i="1"/>
  <c r="H4525" i="1"/>
  <c r="G4525" i="1"/>
  <c r="F4525" i="1"/>
  <c r="H4524" i="1"/>
  <c r="G4524" i="1"/>
  <c r="F4524" i="1"/>
  <c r="H4523" i="1"/>
  <c r="G4523" i="1"/>
  <c r="F4523" i="1"/>
  <c r="H4522" i="1"/>
  <c r="G4522" i="1"/>
  <c r="F4522" i="1"/>
  <c r="H4521" i="1"/>
  <c r="G4521" i="1"/>
  <c r="F4521" i="1"/>
  <c r="H4520" i="1"/>
  <c r="G4520" i="1"/>
  <c r="F4520" i="1"/>
  <c r="H4519" i="1"/>
  <c r="G4519" i="1"/>
  <c r="F4519" i="1"/>
  <c r="H4518" i="1"/>
  <c r="G4518" i="1"/>
  <c r="F4518" i="1"/>
  <c r="H4517" i="1"/>
  <c r="G4517" i="1"/>
  <c r="F4517" i="1"/>
  <c r="H4516" i="1"/>
  <c r="G4516" i="1"/>
  <c r="F4516" i="1"/>
  <c r="H4515" i="1"/>
  <c r="G4515" i="1"/>
  <c r="F4515" i="1"/>
  <c r="H4514" i="1"/>
  <c r="G4514" i="1"/>
  <c r="F4514" i="1"/>
  <c r="H4513" i="1"/>
  <c r="G4513" i="1"/>
  <c r="F4513" i="1"/>
  <c r="H4512" i="1"/>
  <c r="G4512" i="1"/>
  <c r="F4512" i="1"/>
  <c r="H4511" i="1"/>
  <c r="G4511" i="1"/>
  <c r="F4511" i="1"/>
  <c r="H4510" i="1"/>
  <c r="G4510" i="1"/>
  <c r="F4510" i="1"/>
  <c r="H4509" i="1"/>
  <c r="G4509" i="1"/>
  <c r="F4509" i="1"/>
  <c r="H4508" i="1"/>
  <c r="G4508" i="1"/>
  <c r="F4508" i="1"/>
  <c r="H4507" i="1"/>
  <c r="G4507" i="1"/>
  <c r="F4507" i="1"/>
  <c r="H4506" i="1"/>
  <c r="G4506" i="1"/>
  <c r="F4506" i="1"/>
  <c r="H4505" i="1"/>
  <c r="G4505" i="1"/>
  <c r="F4505" i="1"/>
  <c r="H4504" i="1"/>
  <c r="G4504" i="1"/>
  <c r="F4504" i="1"/>
  <c r="H4503" i="1"/>
  <c r="G4503" i="1"/>
  <c r="F4503" i="1"/>
  <c r="H4502" i="1"/>
  <c r="G4502" i="1"/>
  <c r="F4502" i="1"/>
  <c r="H4501" i="1"/>
  <c r="G4501" i="1"/>
  <c r="F4501" i="1"/>
  <c r="H4500" i="1"/>
  <c r="G4500" i="1"/>
  <c r="F4500" i="1"/>
  <c r="H4499" i="1"/>
  <c r="G4499" i="1"/>
  <c r="F4499" i="1"/>
  <c r="H4498" i="1"/>
  <c r="G4498" i="1"/>
  <c r="F4498" i="1"/>
  <c r="H4497" i="1"/>
  <c r="G4497" i="1"/>
  <c r="F4497" i="1"/>
  <c r="H4496" i="1"/>
  <c r="G4496" i="1"/>
  <c r="F4496" i="1"/>
  <c r="H4495" i="1"/>
  <c r="G4495" i="1"/>
  <c r="F4495" i="1"/>
  <c r="H4494" i="1"/>
  <c r="G4494" i="1"/>
  <c r="F4494" i="1"/>
  <c r="H4493" i="1"/>
  <c r="G4493" i="1"/>
  <c r="F4493" i="1"/>
  <c r="H4492" i="1"/>
  <c r="G4492" i="1"/>
  <c r="F4492" i="1"/>
  <c r="H4491" i="1"/>
  <c r="G4491" i="1"/>
  <c r="F4491" i="1"/>
  <c r="H4490" i="1"/>
  <c r="G4490" i="1"/>
  <c r="F4490" i="1"/>
  <c r="H4489" i="1"/>
  <c r="G4489" i="1"/>
  <c r="F4489" i="1"/>
  <c r="H4488" i="1"/>
  <c r="G4488" i="1"/>
  <c r="F4488" i="1"/>
  <c r="H4487" i="1"/>
  <c r="G4487" i="1"/>
  <c r="F4487" i="1"/>
  <c r="H4486" i="1"/>
  <c r="G4486" i="1"/>
  <c r="F4486" i="1"/>
  <c r="H4485" i="1"/>
  <c r="G4485" i="1"/>
  <c r="F4485" i="1"/>
  <c r="H4484" i="1"/>
  <c r="G4484" i="1"/>
  <c r="F4484" i="1"/>
  <c r="H4483" i="1"/>
  <c r="G4483" i="1"/>
  <c r="F4483" i="1"/>
  <c r="H4482" i="1"/>
  <c r="G4482" i="1"/>
  <c r="F4482" i="1"/>
  <c r="H4481" i="1"/>
  <c r="G4481" i="1"/>
  <c r="F4481" i="1"/>
  <c r="H4480" i="1"/>
  <c r="G4480" i="1"/>
  <c r="F4480" i="1"/>
  <c r="H4479" i="1"/>
  <c r="G4479" i="1"/>
  <c r="F4479" i="1"/>
  <c r="H4478" i="1"/>
  <c r="G4478" i="1"/>
  <c r="F4478" i="1"/>
  <c r="H4477" i="1"/>
  <c r="G4477" i="1"/>
  <c r="F4477" i="1"/>
  <c r="H4476" i="1"/>
  <c r="G4476" i="1"/>
  <c r="F4476" i="1"/>
  <c r="H4475" i="1"/>
  <c r="G4475" i="1"/>
  <c r="F4475" i="1"/>
  <c r="H4474" i="1"/>
  <c r="G4474" i="1"/>
  <c r="F4474" i="1"/>
  <c r="H4473" i="1"/>
  <c r="G4473" i="1"/>
  <c r="F4473" i="1"/>
  <c r="H4472" i="1"/>
  <c r="G4472" i="1"/>
  <c r="F4472" i="1"/>
  <c r="H4471" i="1"/>
  <c r="G4471" i="1"/>
  <c r="F4471" i="1"/>
  <c r="H4470" i="1"/>
  <c r="G4470" i="1"/>
  <c r="F4470" i="1"/>
  <c r="H4469" i="1"/>
  <c r="G4469" i="1"/>
  <c r="F4469" i="1"/>
  <c r="H4468" i="1"/>
  <c r="G4468" i="1"/>
  <c r="F4468" i="1"/>
  <c r="H4467" i="1"/>
  <c r="G4467" i="1"/>
  <c r="F4467" i="1"/>
  <c r="H4466" i="1"/>
  <c r="G4466" i="1"/>
  <c r="F4466" i="1"/>
  <c r="H4465" i="1"/>
  <c r="G4465" i="1"/>
  <c r="F4465" i="1"/>
  <c r="H4464" i="1"/>
  <c r="G4464" i="1"/>
  <c r="F4464" i="1"/>
  <c r="H4463" i="1"/>
  <c r="G4463" i="1"/>
  <c r="F4463" i="1"/>
  <c r="H4462" i="1"/>
  <c r="G4462" i="1"/>
  <c r="F4462" i="1"/>
  <c r="H4461" i="1"/>
  <c r="G4461" i="1"/>
  <c r="F4461" i="1"/>
  <c r="H4460" i="1"/>
  <c r="G4460" i="1"/>
  <c r="F4460" i="1"/>
  <c r="H4459" i="1"/>
  <c r="G4459" i="1"/>
  <c r="F4459" i="1"/>
  <c r="H4458" i="1"/>
  <c r="G4458" i="1"/>
  <c r="F4458" i="1"/>
  <c r="H4457" i="1"/>
  <c r="G4457" i="1"/>
  <c r="F4457" i="1"/>
  <c r="H4456" i="1"/>
  <c r="G4456" i="1"/>
  <c r="F4456" i="1"/>
  <c r="H4455" i="1"/>
  <c r="G4455" i="1"/>
  <c r="F4455" i="1"/>
  <c r="H4454" i="1"/>
  <c r="G4454" i="1"/>
  <c r="F4454" i="1"/>
  <c r="H4453" i="1"/>
  <c r="G4453" i="1"/>
  <c r="F4453" i="1"/>
  <c r="H4452" i="1"/>
  <c r="G4452" i="1"/>
  <c r="F4452" i="1"/>
  <c r="H4451" i="1"/>
  <c r="G4451" i="1"/>
  <c r="F4451" i="1"/>
  <c r="H4450" i="1"/>
  <c r="G4450" i="1"/>
  <c r="F4450" i="1"/>
  <c r="H4449" i="1"/>
  <c r="G4449" i="1"/>
  <c r="F4449" i="1"/>
  <c r="H4448" i="1"/>
  <c r="G4448" i="1"/>
  <c r="F4448" i="1"/>
  <c r="H4447" i="1"/>
  <c r="G4447" i="1"/>
  <c r="F4447" i="1"/>
  <c r="H4446" i="1"/>
  <c r="G4446" i="1"/>
  <c r="F4446" i="1"/>
  <c r="H4445" i="1"/>
  <c r="G4445" i="1"/>
  <c r="F4445" i="1"/>
  <c r="H4444" i="1"/>
  <c r="G4444" i="1"/>
  <c r="F4444" i="1"/>
  <c r="H4443" i="1"/>
  <c r="G4443" i="1"/>
  <c r="F4443" i="1"/>
  <c r="H4442" i="1"/>
  <c r="G4442" i="1"/>
  <c r="F4442" i="1"/>
  <c r="H4441" i="1"/>
  <c r="G4441" i="1"/>
  <c r="F4441" i="1"/>
  <c r="H4440" i="1"/>
  <c r="G4440" i="1"/>
  <c r="F4440" i="1"/>
  <c r="H4439" i="1"/>
  <c r="G4439" i="1"/>
  <c r="F4439" i="1"/>
  <c r="H4438" i="1"/>
  <c r="G4438" i="1"/>
  <c r="F4438" i="1"/>
  <c r="H4437" i="1"/>
  <c r="G4437" i="1"/>
  <c r="F4437" i="1"/>
  <c r="H4436" i="1"/>
  <c r="G4436" i="1"/>
  <c r="F4436" i="1"/>
  <c r="H4435" i="1"/>
  <c r="G4435" i="1"/>
  <c r="F4435" i="1"/>
  <c r="H4434" i="1"/>
  <c r="G4434" i="1"/>
  <c r="F4434" i="1"/>
  <c r="H4433" i="1"/>
  <c r="G4433" i="1"/>
  <c r="F4433" i="1"/>
  <c r="H4432" i="1"/>
  <c r="G4432" i="1"/>
  <c r="F4432" i="1"/>
  <c r="H4431" i="1"/>
  <c r="G4431" i="1"/>
  <c r="F4431" i="1"/>
  <c r="H4430" i="1"/>
  <c r="G4430" i="1"/>
  <c r="F4430" i="1"/>
  <c r="H4429" i="1"/>
  <c r="G4429" i="1"/>
  <c r="F4429" i="1"/>
  <c r="H4428" i="1"/>
  <c r="G4428" i="1"/>
  <c r="F4428" i="1"/>
  <c r="H4427" i="1"/>
  <c r="G4427" i="1"/>
  <c r="F4427" i="1"/>
  <c r="H4426" i="1"/>
  <c r="G4426" i="1"/>
  <c r="F4426" i="1"/>
  <c r="H4425" i="1"/>
  <c r="G4425" i="1"/>
  <c r="F4425" i="1"/>
  <c r="H4424" i="1"/>
  <c r="G4424" i="1"/>
  <c r="F4424" i="1"/>
  <c r="H4423" i="1"/>
  <c r="G4423" i="1"/>
  <c r="F4423" i="1"/>
  <c r="H4422" i="1"/>
  <c r="G4422" i="1"/>
  <c r="F4422" i="1"/>
  <c r="H4421" i="1"/>
  <c r="G4421" i="1"/>
  <c r="F4421" i="1"/>
  <c r="H4420" i="1"/>
  <c r="G4420" i="1"/>
  <c r="F4420" i="1"/>
  <c r="H4419" i="1"/>
  <c r="G4419" i="1"/>
  <c r="F4419" i="1"/>
  <c r="H4418" i="1"/>
  <c r="G4418" i="1"/>
  <c r="F4418" i="1"/>
  <c r="H4417" i="1"/>
  <c r="G4417" i="1"/>
  <c r="F4417" i="1"/>
  <c r="H4416" i="1"/>
  <c r="G4416" i="1"/>
  <c r="F4416" i="1"/>
  <c r="H4415" i="1"/>
  <c r="G4415" i="1"/>
  <c r="F4415" i="1"/>
  <c r="H4414" i="1"/>
  <c r="G4414" i="1"/>
  <c r="F4414" i="1"/>
  <c r="H4413" i="1"/>
  <c r="G4413" i="1"/>
  <c r="F4413" i="1"/>
  <c r="H4412" i="1"/>
  <c r="G4412" i="1"/>
  <c r="F4412" i="1"/>
  <c r="H4411" i="1"/>
  <c r="G4411" i="1"/>
  <c r="F4411" i="1"/>
  <c r="H4410" i="1"/>
  <c r="G4410" i="1"/>
  <c r="F4410" i="1"/>
  <c r="H4409" i="1"/>
  <c r="G4409" i="1"/>
  <c r="F4409" i="1"/>
  <c r="H4408" i="1"/>
  <c r="G4408" i="1"/>
  <c r="F4408" i="1"/>
  <c r="H4407" i="1"/>
  <c r="G4407" i="1"/>
  <c r="F4407" i="1"/>
  <c r="H4406" i="1"/>
  <c r="G4406" i="1"/>
  <c r="F4406" i="1"/>
  <c r="H4405" i="1"/>
  <c r="G4405" i="1"/>
  <c r="F4405" i="1"/>
  <c r="H4404" i="1"/>
  <c r="G4404" i="1"/>
  <c r="F4404" i="1"/>
  <c r="H4403" i="1"/>
  <c r="G4403" i="1"/>
  <c r="F4403" i="1"/>
  <c r="H4402" i="1"/>
  <c r="G4402" i="1"/>
  <c r="F4402" i="1"/>
  <c r="H4401" i="1"/>
  <c r="G4401" i="1"/>
  <c r="F4401" i="1"/>
  <c r="H4400" i="1"/>
  <c r="G4400" i="1"/>
  <c r="F4400" i="1"/>
  <c r="H4399" i="1"/>
  <c r="G4399" i="1"/>
  <c r="F4399" i="1"/>
  <c r="H4398" i="1"/>
  <c r="G4398" i="1"/>
  <c r="F4398" i="1"/>
  <c r="H4397" i="1"/>
  <c r="G4397" i="1"/>
  <c r="F4397" i="1"/>
  <c r="H4396" i="1"/>
  <c r="G4396" i="1"/>
  <c r="F4396" i="1"/>
  <c r="H4395" i="1"/>
  <c r="G4395" i="1"/>
  <c r="F4395" i="1"/>
  <c r="H4394" i="1"/>
  <c r="G4394" i="1"/>
  <c r="F4394" i="1"/>
  <c r="H4393" i="1"/>
  <c r="G4393" i="1"/>
  <c r="F4393" i="1"/>
  <c r="H4392" i="1"/>
  <c r="G4392" i="1"/>
  <c r="F4392" i="1"/>
  <c r="H4391" i="1"/>
  <c r="G4391" i="1"/>
  <c r="F4391" i="1"/>
  <c r="H4390" i="1"/>
  <c r="G4390" i="1"/>
  <c r="F4390" i="1"/>
  <c r="H4389" i="1"/>
  <c r="G4389" i="1"/>
  <c r="F4389" i="1"/>
  <c r="H4388" i="1"/>
  <c r="G4388" i="1"/>
  <c r="F4388" i="1"/>
  <c r="H4387" i="1"/>
  <c r="G4387" i="1"/>
  <c r="F4387" i="1"/>
  <c r="H4386" i="1"/>
  <c r="G4386" i="1"/>
  <c r="F4386" i="1"/>
  <c r="H4385" i="1"/>
  <c r="G4385" i="1"/>
  <c r="F4385" i="1"/>
  <c r="H4384" i="1"/>
  <c r="G4384" i="1"/>
  <c r="F4384" i="1"/>
  <c r="H4383" i="1"/>
  <c r="G4383" i="1"/>
  <c r="F4383" i="1"/>
  <c r="H4382" i="1"/>
  <c r="G4382" i="1"/>
  <c r="F4382" i="1"/>
  <c r="H4381" i="1"/>
  <c r="G4381" i="1"/>
  <c r="F4381" i="1"/>
  <c r="H4380" i="1"/>
  <c r="G4380" i="1"/>
  <c r="F4380" i="1"/>
  <c r="H4379" i="1"/>
  <c r="G4379" i="1"/>
  <c r="F4379" i="1"/>
  <c r="H4378" i="1"/>
  <c r="G4378" i="1"/>
  <c r="F4378" i="1"/>
  <c r="H4377" i="1"/>
  <c r="G4377" i="1"/>
  <c r="F4377" i="1"/>
  <c r="H4376" i="1"/>
  <c r="G4376" i="1"/>
  <c r="F4376" i="1"/>
  <c r="H4375" i="1"/>
  <c r="G4375" i="1"/>
  <c r="F4375" i="1"/>
  <c r="H4374" i="1"/>
  <c r="G4374" i="1"/>
  <c r="F4374" i="1"/>
  <c r="H4373" i="1"/>
  <c r="G4373" i="1"/>
  <c r="F4373" i="1"/>
  <c r="H4372" i="1"/>
  <c r="G4372" i="1"/>
  <c r="F4372" i="1"/>
  <c r="H4371" i="1"/>
  <c r="G4371" i="1"/>
  <c r="F4371" i="1"/>
  <c r="H4370" i="1"/>
  <c r="G4370" i="1"/>
  <c r="F4370" i="1"/>
  <c r="H4369" i="1"/>
  <c r="G4369" i="1"/>
  <c r="F4369" i="1"/>
  <c r="H4368" i="1"/>
  <c r="G4368" i="1"/>
  <c r="F4368" i="1"/>
  <c r="H4367" i="1"/>
  <c r="G4367" i="1"/>
  <c r="F4367" i="1"/>
  <c r="H4366" i="1"/>
  <c r="G4366" i="1"/>
  <c r="F4366" i="1"/>
  <c r="H4365" i="1"/>
  <c r="G4365" i="1"/>
  <c r="F4365" i="1"/>
  <c r="H4364" i="1"/>
  <c r="G4364" i="1"/>
  <c r="F4364" i="1"/>
  <c r="H4363" i="1"/>
  <c r="G4363" i="1"/>
  <c r="F4363" i="1"/>
  <c r="H4362" i="1"/>
  <c r="G4362" i="1"/>
  <c r="F4362" i="1"/>
  <c r="H4361" i="1"/>
  <c r="G4361" i="1"/>
  <c r="F4361" i="1"/>
  <c r="H4360" i="1"/>
  <c r="G4360" i="1"/>
  <c r="F4360" i="1"/>
  <c r="H4359" i="1"/>
  <c r="G4359" i="1"/>
  <c r="F4359" i="1"/>
  <c r="H4358" i="1"/>
  <c r="G4358" i="1"/>
  <c r="F4358" i="1"/>
  <c r="H4357" i="1"/>
  <c r="G4357" i="1"/>
  <c r="F4357" i="1"/>
  <c r="H4356" i="1"/>
  <c r="G4356" i="1"/>
  <c r="F4356" i="1"/>
  <c r="H4355" i="1"/>
  <c r="G4355" i="1"/>
  <c r="F4355" i="1"/>
  <c r="H4354" i="1"/>
  <c r="G4354" i="1"/>
  <c r="F4354" i="1"/>
  <c r="H4353" i="1"/>
  <c r="G4353" i="1"/>
  <c r="F4353" i="1"/>
  <c r="H4352" i="1"/>
  <c r="G4352" i="1"/>
  <c r="F4352" i="1"/>
  <c r="H4351" i="1"/>
  <c r="G4351" i="1"/>
  <c r="F4351" i="1"/>
  <c r="H4350" i="1"/>
  <c r="G4350" i="1"/>
  <c r="F4350" i="1"/>
  <c r="H4349" i="1"/>
  <c r="G4349" i="1"/>
  <c r="F4349" i="1"/>
  <c r="H4348" i="1"/>
  <c r="G4348" i="1"/>
  <c r="F4348" i="1"/>
  <c r="H4347" i="1"/>
  <c r="G4347" i="1"/>
  <c r="F4347" i="1"/>
  <c r="H4346" i="1"/>
  <c r="G4346" i="1"/>
  <c r="F4346" i="1"/>
  <c r="H4345" i="1"/>
  <c r="G4345" i="1"/>
  <c r="F4345" i="1"/>
  <c r="H4344" i="1"/>
  <c r="G4344" i="1"/>
  <c r="F4344" i="1"/>
  <c r="H4343" i="1"/>
  <c r="G4343" i="1"/>
  <c r="F4343" i="1"/>
  <c r="H4342" i="1"/>
  <c r="G4342" i="1"/>
  <c r="F4342" i="1"/>
  <c r="H4341" i="1"/>
  <c r="G4341" i="1"/>
  <c r="F4341" i="1"/>
  <c r="H4340" i="1"/>
  <c r="G4340" i="1"/>
  <c r="F4340" i="1"/>
  <c r="H4339" i="1"/>
  <c r="G4339" i="1"/>
  <c r="F4339" i="1"/>
  <c r="H4338" i="1"/>
  <c r="G4338" i="1"/>
  <c r="F4338" i="1"/>
  <c r="H4337" i="1"/>
  <c r="G4337" i="1"/>
  <c r="F4337" i="1"/>
  <c r="H4336" i="1"/>
  <c r="G4336" i="1"/>
  <c r="F4336" i="1"/>
  <c r="H4335" i="1"/>
  <c r="G4335" i="1"/>
  <c r="F4335" i="1"/>
  <c r="H4334" i="1"/>
  <c r="G4334" i="1"/>
  <c r="F4334" i="1"/>
  <c r="H4333" i="1"/>
  <c r="G4333" i="1"/>
  <c r="F4333" i="1"/>
  <c r="H4332" i="1"/>
  <c r="G4332" i="1"/>
  <c r="F4332" i="1"/>
  <c r="H4331" i="1"/>
  <c r="G4331" i="1"/>
  <c r="F4331" i="1"/>
  <c r="H4330" i="1"/>
  <c r="G4330" i="1"/>
  <c r="F4330" i="1"/>
  <c r="H4329" i="1"/>
  <c r="G4329" i="1"/>
  <c r="F4329" i="1"/>
  <c r="H4328" i="1"/>
  <c r="G4328" i="1"/>
  <c r="F4328" i="1"/>
  <c r="H4327" i="1"/>
  <c r="G4327" i="1"/>
  <c r="F4327" i="1"/>
  <c r="H4326" i="1"/>
  <c r="G4326" i="1"/>
  <c r="F4326" i="1"/>
  <c r="H4325" i="1"/>
  <c r="G4325" i="1"/>
  <c r="F4325" i="1"/>
  <c r="H4324" i="1"/>
  <c r="G4324" i="1"/>
  <c r="F4324" i="1"/>
  <c r="H4323" i="1"/>
  <c r="G4323" i="1"/>
  <c r="F4323" i="1"/>
  <c r="H4322" i="1"/>
  <c r="G4322" i="1"/>
  <c r="F4322" i="1"/>
  <c r="H4321" i="1"/>
  <c r="G4321" i="1"/>
  <c r="F4321" i="1"/>
  <c r="H4320" i="1"/>
  <c r="G4320" i="1"/>
  <c r="F4320" i="1"/>
  <c r="H4319" i="1"/>
  <c r="G4319" i="1"/>
  <c r="F4319" i="1"/>
  <c r="H4318" i="1"/>
  <c r="G4318" i="1"/>
  <c r="F4318" i="1"/>
  <c r="H4317" i="1"/>
  <c r="G4317" i="1"/>
  <c r="F4317" i="1"/>
  <c r="H4316" i="1"/>
  <c r="G4316" i="1"/>
  <c r="F4316" i="1"/>
  <c r="H4315" i="1"/>
  <c r="G4315" i="1"/>
  <c r="F4315" i="1"/>
  <c r="H4314" i="1"/>
  <c r="G4314" i="1"/>
  <c r="F4314" i="1"/>
  <c r="H4313" i="1"/>
  <c r="G4313" i="1"/>
  <c r="F4313" i="1"/>
  <c r="H4312" i="1"/>
  <c r="G4312" i="1"/>
  <c r="F4312" i="1"/>
  <c r="H4311" i="1"/>
  <c r="G4311" i="1"/>
  <c r="F4311" i="1"/>
  <c r="H4310" i="1"/>
  <c r="G4310" i="1"/>
  <c r="F4310" i="1"/>
  <c r="H4309" i="1"/>
  <c r="G4309" i="1"/>
  <c r="F4309" i="1"/>
  <c r="H4308" i="1"/>
  <c r="G4308" i="1"/>
  <c r="F4308" i="1"/>
  <c r="H4307" i="1"/>
  <c r="G4307" i="1"/>
  <c r="F4307" i="1"/>
  <c r="H4306" i="1"/>
  <c r="G4306" i="1"/>
  <c r="F4306" i="1"/>
  <c r="H4305" i="1"/>
  <c r="G4305" i="1"/>
  <c r="F4305" i="1"/>
  <c r="H4304" i="1"/>
  <c r="G4304" i="1"/>
  <c r="F4304" i="1"/>
  <c r="H4303" i="1"/>
  <c r="G4303" i="1"/>
  <c r="F4303" i="1"/>
  <c r="H4302" i="1"/>
  <c r="G4302" i="1"/>
  <c r="F4302" i="1"/>
  <c r="H4301" i="1"/>
  <c r="G4301" i="1"/>
  <c r="F4301" i="1"/>
  <c r="H4300" i="1"/>
  <c r="G4300" i="1"/>
  <c r="F4300" i="1"/>
  <c r="H4299" i="1"/>
  <c r="G4299" i="1"/>
  <c r="F4299" i="1"/>
  <c r="H4298" i="1"/>
  <c r="G4298" i="1"/>
  <c r="F4298" i="1"/>
  <c r="H4297" i="1"/>
  <c r="G4297" i="1"/>
  <c r="F4297" i="1"/>
  <c r="H4296" i="1"/>
  <c r="G4296" i="1"/>
  <c r="F4296" i="1"/>
  <c r="H4295" i="1"/>
  <c r="G4295" i="1"/>
  <c r="F4295" i="1"/>
  <c r="H4294" i="1"/>
  <c r="G4294" i="1"/>
  <c r="F4294" i="1"/>
  <c r="H4293" i="1"/>
  <c r="G4293" i="1"/>
  <c r="F4293" i="1"/>
  <c r="H4292" i="1"/>
  <c r="G4292" i="1"/>
  <c r="F4292" i="1"/>
  <c r="H4291" i="1"/>
  <c r="G4291" i="1"/>
  <c r="F4291" i="1"/>
  <c r="H4290" i="1"/>
  <c r="G4290" i="1"/>
  <c r="F4290" i="1"/>
  <c r="H4289" i="1"/>
  <c r="G4289" i="1"/>
  <c r="F4289" i="1"/>
  <c r="H4288" i="1"/>
  <c r="G4288" i="1"/>
  <c r="F4288" i="1"/>
  <c r="H4287" i="1"/>
  <c r="G4287" i="1"/>
  <c r="F4287" i="1"/>
  <c r="H4286" i="1"/>
  <c r="G4286" i="1"/>
  <c r="F4286" i="1"/>
  <c r="H4285" i="1"/>
  <c r="G4285" i="1"/>
  <c r="F4285" i="1"/>
  <c r="H4284" i="1"/>
  <c r="G4284" i="1"/>
  <c r="F4284" i="1"/>
  <c r="H4283" i="1"/>
  <c r="G4283" i="1"/>
  <c r="F4283" i="1"/>
  <c r="H4282" i="1"/>
  <c r="G4282" i="1"/>
  <c r="F4282" i="1"/>
  <c r="H4281" i="1"/>
  <c r="G4281" i="1"/>
  <c r="F4281" i="1"/>
  <c r="H4280" i="1"/>
  <c r="G4280" i="1"/>
  <c r="F4280" i="1"/>
  <c r="H4279" i="1"/>
  <c r="G4279" i="1"/>
  <c r="F4279" i="1"/>
  <c r="H4278" i="1"/>
  <c r="G4278" i="1"/>
  <c r="F4278" i="1"/>
  <c r="H4277" i="1"/>
  <c r="G4277" i="1"/>
  <c r="F4277" i="1"/>
  <c r="H4276" i="1"/>
  <c r="G4276" i="1"/>
  <c r="F4276" i="1"/>
  <c r="H4275" i="1"/>
  <c r="G4275" i="1"/>
  <c r="F4275" i="1"/>
  <c r="H4274" i="1"/>
  <c r="G4274" i="1"/>
  <c r="F4274" i="1"/>
  <c r="H4273" i="1"/>
  <c r="G4273" i="1"/>
  <c r="F4273" i="1"/>
  <c r="H4272" i="1"/>
  <c r="G4272" i="1"/>
  <c r="F4272" i="1"/>
  <c r="H4271" i="1"/>
  <c r="G4271" i="1"/>
  <c r="F4271" i="1"/>
  <c r="H4270" i="1"/>
  <c r="G4270" i="1"/>
  <c r="F4270" i="1"/>
  <c r="H4269" i="1"/>
  <c r="G4269" i="1"/>
  <c r="F4269" i="1"/>
  <c r="H4268" i="1"/>
  <c r="G4268" i="1"/>
  <c r="F4268" i="1"/>
  <c r="H4267" i="1"/>
  <c r="G4267" i="1"/>
  <c r="F4267" i="1"/>
  <c r="H4266" i="1"/>
  <c r="G4266" i="1"/>
  <c r="F4266" i="1"/>
  <c r="H4265" i="1"/>
  <c r="G4265" i="1"/>
  <c r="F4265" i="1"/>
  <c r="H4264" i="1"/>
  <c r="G4264" i="1"/>
  <c r="F4264" i="1"/>
  <c r="H4263" i="1"/>
  <c r="G4263" i="1"/>
  <c r="F4263" i="1"/>
  <c r="H4262" i="1"/>
  <c r="G4262" i="1"/>
  <c r="F4262" i="1"/>
  <c r="H4261" i="1"/>
  <c r="G4261" i="1"/>
  <c r="F4261" i="1"/>
  <c r="H4260" i="1"/>
  <c r="G4260" i="1"/>
  <c r="F4260" i="1"/>
  <c r="H4259" i="1"/>
  <c r="G4259" i="1"/>
  <c r="F4259" i="1"/>
  <c r="H4258" i="1"/>
  <c r="G4258" i="1"/>
  <c r="F4258" i="1"/>
  <c r="H4257" i="1"/>
  <c r="G4257" i="1"/>
  <c r="F4257" i="1"/>
  <c r="H4256" i="1"/>
  <c r="G4256" i="1"/>
  <c r="F4256" i="1"/>
  <c r="H4255" i="1"/>
  <c r="G4255" i="1"/>
  <c r="F4255" i="1"/>
  <c r="H4254" i="1"/>
  <c r="G4254" i="1"/>
  <c r="F4254" i="1"/>
  <c r="H4253" i="1"/>
  <c r="G4253" i="1"/>
  <c r="F4253" i="1"/>
  <c r="H4252" i="1"/>
  <c r="G4252" i="1"/>
  <c r="F4252" i="1"/>
  <c r="H4251" i="1"/>
  <c r="G4251" i="1"/>
  <c r="F4251" i="1"/>
  <c r="H4250" i="1"/>
  <c r="G4250" i="1"/>
  <c r="F4250" i="1"/>
  <c r="H4249" i="1"/>
  <c r="G4249" i="1"/>
  <c r="F4249" i="1"/>
  <c r="H4248" i="1"/>
  <c r="G4248" i="1"/>
  <c r="F4248" i="1"/>
  <c r="H4247" i="1"/>
  <c r="G4247" i="1"/>
  <c r="F4247" i="1"/>
  <c r="H4246" i="1"/>
  <c r="G4246" i="1"/>
  <c r="F4246" i="1"/>
  <c r="H4245" i="1"/>
  <c r="G4245" i="1"/>
  <c r="F4245" i="1"/>
  <c r="H4244" i="1"/>
  <c r="G4244" i="1"/>
  <c r="F4244" i="1"/>
  <c r="H4243" i="1"/>
  <c r="G4243" i="1"/>
  <c r="F4243" i="1"/>
  <c r="H4242" i="1"/>
  <c r="G4242" i="1"/>
  <c r="F4242" i="1"/>
  <c r="H4241" i="1"/>
  <c r="G4241" i="1"/>
  <c r="F4241" i="1"/>
  <c r="H4240" i="1"/>
  <c r="G4240" i="1"/>
  <c r="F4240" i="1"/>
  <c r="H4239" i="1"/>
  <c r="G4239" i="1"/>
  <c r="F4239" i="1"/>
  <c r="H4238" i="1"/>
  <c r="G4238" i="1"/>
  <c r="F4238" i="1"/>
  <c r="H4237" i="1"/>
  <c r="G4237" i="1"/>
  <c r="F4237" i="1"/>
  <c r="H4236" i="1"/>
  <c r="G4236" i="1"/>
  <c r="F4236" i="1"/>
  <c r="H4235" i="1"/>
  <c r="G4235" i="1"/>
  <c r="F4235" i="1"/>
  <c r="H4234" i="1"/>
  <c r="G4234" i="1"/>
  <c r="F4234" i="1"/>
  <c r="H4233" i="1"/>
  <c r="G4233" i="1"/>
  <c r="F4233" i="1"/>
  <c r="H4232" i="1"/>
  <c r="G4232" i="1"/>
  <c r="F4232" i="1"/>
  <c r="H4231" i="1"/>
  <c r="G4231" i="1"/>
  <c r="F4231" i="1"/>
  <c r="H4230" i="1"/>
  <c r="G4230" i="1"/>
  <c r="F4230" i="1"/>
  <c r="H4229" i="1"/>
  <c r="G4229" i="1"/>
  <c r="F4229" i="1"/>
  <c r="H4228" i="1"/>
  <c r="G4228" i="1"/>
  <c r="F4228" i="1"/>
  <c r="H4227" i="1"/>
  <c r="G4227" i="1"/>
  <c r="F4227" i="1"/>
  <c r="H4226" i="1"/>
  <c r="G4226" i="1"/>
  <c r="F4226" i="1"/>
  <c r="H4225" i="1"/>
  <c r="G4225" i="1"/>
  <c r="F4225" i="1"/>
  <c r="H4224" i="1"/>
  <c r="G4224" i="1"/>
  <c r="F4224" i="1"/>
  <c r="H4223" i="1"/>
  <c r="G4223" i="1"/>
  <c r="F4223" i="1"/>
  <c r="H4222" i="1"/>
  <c r="G4222" i="1"/>
  <c r="F4222" i="1"/>
  <c r="H4221" i="1"/>
  <c r="G4221" i="1"/>
  <c r="F4221" i="1"/>
  <c r="H4220" i="1"/>
  <c r="G4220" i="1"/>
  <c r="F4220" i="1"/>
  <c r="H4219" i="1"/>
  <c r="G4219" i="1"/>
  <c r="F4219" i="1"/>
  <c r="H4218" i="1"/>
  <c r="G4218" i="1"/>
  <c r="F4218" i="1"/>
  <c r="H4217" i="1"/>
  <c r="G4217" i="1"/>
  <c r="F4217" i="1"/>
  <c r="H4216" i="1"/>
  <c r="G4216" i="1"/>
  <c r="F4216" i="1"/>
  <c r="H4215" i="1"/>
  <c r="G4215" i="1"/>
  <c r="F4215" i="1"/>
  <c r="H4214" i="1"/>
  <c r="G4214" i="1"/>
  <c r="F4214" i="1"/>
  <c r="H4213" i="1"/>
  <c r="G4213" i="1"/>
  <c r="F4213" i="1"/>
  <c r="H4212" i="1"/>
  <c r="G4212" i="1"/>
  <c r="F4212" i="1"/>
  <c r="H4211" i="1"/>
  <c r="G4211" i="1"/>
  <c r="F4211" i="1"/>
  <c r="H4210" i="1"/>
  <c r="G4210" i="1"/>
  <c r="F4210" i="1"/>
  <c r="H4209" i="1"/>
  <c r="G4209" i="1"/>
  <c r="F4209" i="1"/>
  <c r="H4208" i="1"/>
  <c r="G4208" i="1"/>
  <c r="F4208" i="1"/>
  <c r="H4207" i="1"/>
  <c r="G4207" i="1"/>
  <c r="F4207" i="1"/>
  <c r="H4206" i="1"/>
  <c r="G4206" i="1"/>
  <c r="F4206" i="1"/>
  <c r="H4205" i="1"/>
  <c r="G4205" i="1"/>
  <c r="F4205" i="1"/>
  <c r="H4204" i="1"/>
  <c r="G4204" i="1"/>
  <c r="F4204" i="1"/>
  <c r="H4203" i="1"/>
  <c r="G4203" i="1"/>
  <c r="F4203" i="1"/>
  <c r="H4202" i="1"/>
  <c r="G4202" i="1"/>
  <c r="F4202" i="1"/>
  <c r="H4201" i="1"/>
  <c r="G4201" i="1"/>
  <c r="F4201" i="1"/>
  <c r="H4200" i="1"/>
  <c r="G4200" i="1"/>
  <c r="F4200" i="1"/>
  <c r="H4199" i="1"/>
  <c r="G4199" i="1"/>
  <c r="F4199" i="1"/>
  <c r="H4198" i="1"/>
  <c r="G4198" i="1"/>
  <c r="F4198" i="1"/>
  <c r="H4197" i="1"/>
  <c r="G4197" i="1"/>
  <c r="F4197" i="1"/>
  <c r="H4196" i="1"/>
  <c r="G4196" i="1"/>
  <c r="F4196" i="1"/>
  <c r="H4195" i="1"/>
  <c r="G4195" i="1"/>
  <c r="F4195" i="1"/>
  <c r="H4194" i="1"/>
  <c r="G4194" i="1"/>
  <c r="F4194" i="1"/>
  <c r="H4193" i="1"/>
  <c r="G4193" i="1"/>
  <c r="F4193" i="1"/>
  <c r="H4192" i="1"/>
  <c r="G4192" i="1"/>
  <c r="F4192" i="1"/>
  <c r="H4191" i="1"/>
  <c r="G4191" i="1"/>
  <c r="F4191" i="1"/>
  <c r="H4190" i="1"/>
  <c r="G4190" i="1"/>
  <c r="F4190" i="1"/>
  <c r="H4189" i="1"/>
  <c r="G4189" i="1"/>
  <c r="F4189" i="1"/>
  <c r="H4188" i="1"/>
  <c r="G4188" i="1"/>
  <c r="F4188" i="1"/>
  <c r="H4187" i="1"/>
  <c r="G4187" i="1"/>
  <c r="F4187" i="1"/>
  <c r="H4186" i="1"/>
  <c r="G4186" i="1"/>
  <c r="F4186" i="1"/>
  <c r="H4185" i="1"/>
  <c r="G4185" i="1"/>
  <c r="F4185" i="1"/>
  <c r="H4184" i="1"/>
  <c r="G4184" i="1"/>
  <c r="F4184" i="1"/>
  <c r="H4183" i="1"/>
  <c r="G4183" i="1"/>
  <c r="F4183" i="1"/>
  <c r="H4182" i="1"/>
  <c r="G4182" i="1"/>
  <c r="F4182" i="1"/>
  <c r="H4181" i="1"/>
  <c r="G4181" i="1"/>
  <c r="F4181" i="1"/>
  <c r="H4180" i="1"/>
  <c r="G4180" i="1"/>
  <c r="F4180" i="1"/>
  <c r="H4179" i="1"/>
  <c r="G4179" i="1"/>
  <c r="F4179" i="1"/>
  <c r="H4178" i="1"/>
  <c r="G4178" i="1"/>
  <c r="F4178" i="1"/>
  <c r="H4177" i="1"/>
  <c r="G4177" i="1"/>
  <c r="F4177" i="1"/>
  <c r="H4176" i="1"/>
  <c r="G4176" i="1"/>
  <c r="F4176" i="1"/>
  <c r="H4175" i="1"/>
  <c r="G4175" i="1"/>
  <c r="F4175" i="1"/>
  <c r="H4174" i="1"/>
  <c r="G4174" i="1"/>
  <c r="F4174" i="1"/>
  <c r="H4173" i="1"/>
  <c r="G4173" i="1"/>
  <c r="F4173" i="1"/>
  <c r="H4172" i="1"/>
  <c r="G4172" i="1"/>
  <c r="F4172" i="1"/>
  <c r="H4171" i="1"/>
  <c r="G4171" i="1"/>
  <c r="F4171" i="1"/>
  <c r="H4170" i="1"/>
  <c r="G4170" i="1"/>
  <c r="F4170" i="1"/>
  <c r="H4169" i="1"/>
  <c r="G4169" i="1"/>
  <c r="F4169" i="1"/>
  <c r="H4168" i="1"/>
  <c r="G4168" i="1"/>
  <c r="F4168" i="1"/>
  <c r="H4167" i="1"/>
  <c r="G4167" i="1"/>
  <c r="F4167" i="1"/>
  <c r="H4166" i="1"/>
  <c r="G4166" i="1"/>
  <c r="F4166" i="1"/>
  <c r="H4165" i="1"/>
  <c r="G4165" i="1"/>
  <c r="F4165" i="1"/>
  <c r="H4164" i="1"/>
  <c r="G4164" i="1"/>
  <c r="F4164" i="1"/>
  <c r="H4163" i="1"/>
  <c r="G4163" i="1"/>
  <c r="F4163" i="1"/>
  <c r="H4162" i="1"/>
  <c r="G4162" i="1"/>
  <c r="F4162" i="1"/>
  <c r="H4161" i="1"/>
  <c r="G4161" i="1"/>
  <c r="F4161" i="1"/>
  <c r="H4160" i="1"/>
  <c r="G4160" i="1"/>
  <c r="F4160" i="1"/>
  <c r="H4159" i="1"/>
  <c r="G4159" i="1"/>
  <c r="F4159" i="1"/>
  <c r="H4158" i="1"/>
  <c r="G4158" i="1"/>
  <c r="F4158" i="1"/>
  <c r="H4157" i="1"/>
  <c r="G4157" i="1"/>
  <c r="F4157" i="1"/>
  <c r="H4156" i="1"/>
  <c r="G4156" i="1"/>
  <c r="F4156" i="1"/>
  <c r="H4155" i="1"/>
  <c r="G4155" i="1"/>
  <c r="F4155" i="1"/>
  <c r="H4154" i="1"/>
  <c r="G4154" i="1"/>
  <c r="F4154" i="1"/>
  <c r="H4153" i="1"/>
  <c r="G4153" i="1"/>
  <c r="F4153" i="1"/>
  <c r="H4152" i="1"/>
  <c r="G4152" i="1"/>
  <c r="F4152" i="1"/>
  <c r="H4151" i="1"/>
  <c r="G4151" i="1"/>
  <c r="F4151" i="1"/>
  <c r="H4150" i="1"/>
  <c r="G4150" i="1"/>
  <c r="F4150" i="1"/>
  <c r="H4149" i="1"/>
  <c r="G4149" i="1"/>
  <c r="F4149" i="1"/>
  <c r="H4148" i="1"/>
  <c r="G4148" i="1"/>
  <c r="F4148" i="1"/>
  <c r="H4147" i="1"/>
  <c r="G4147" i="1"/>
  <c r="F4147" i="1"/>
  <c r="H4146" i="1"/>
  <c r="G4146" i="1"/>
  <c r="F4146" i="1"/>
  <c r="H4145" i="1"/>
  <c r="G4145" i="1"/>
  <c r="F4145" i="1"/>
  <c r="H4144" i="1"/>
  <c r="G4144" i="1"/>
  <c r="F4144" i="1"/>
  <c r="H4143" i="1"/>
  <c r="G4143" i="1"/>
  <c r="F4143" i="1"/>
  <c r="H4142" i="1"/>
  <c r="G4142" i="1"/>
  <c r="F4142" i="1"/>
  <c r="H4141" i="1"/>
  <c r="G4141" i="1"/>
  <c r="F4141" i="1"/>
  <c r="H4140" i="1"/>
  <c r="G4140" i="1"/>
  <c r="F4140" i="1"/>
  <c r="H4139" i="1"/>
  <c r="G4139" i="1"/>
  <c r="F4139" i="1"/>
  <c r="H4138" i="1"/>
  <c r="G4138" i="1"/>
  <c r="F4138" i="1"/>
  <c r="H4137" i="1"/>
  <c r="G4137" i="1"/>
  <c r="F4137" i="1"/>
  <c r="H4136" i="1"/>
  <c r="G4136" i="1"/>
  <c r="F4136" i="1"/>
  <c r="H4135" i="1"/>
  <c r="G4135" i="1"/>
  <c r="F4135" i="1"/>
  <c r="H4134" i="1"/>
  <c r="G4134" i="1"/>
  <c r="F4134" i="1"/>
  <c r="H4133" i="1"/>
  <c r="G4133" i="1"/>
  <c r="F4133" i="1"/>
  <c r="H4132" i="1"/>
  <c r="G4132" i="1"/>
  <c r="F4132" i="1"/>
  <c r="H4131" i="1"/>
  <c r="G4131" i="1"/>
  <c r="F4131" i="1"/>
  <c r="H4130" i="1"/>
  <c r="G4130" i="1"/>
  <c r="F4130" i="1"/>
  <c r="H4129" i="1"/>
  <c r="G4129" i="1"/>
  <c r="F4129" i="1"/>
  <c r="H4128" i="1"/>
  <c r="G4128" i="1"/>
  <c r="F4128" i="1"/>
  <c r="H4127" i="1"/>
  <c r="G4127" i="1"/>
  <c r="F4127" i="1"/>
  <c r="H4126" i="1"/>
  <c r="G4126" i="1"/>
  <c r="F4126" i="1"/>
  <c r="H4125" i="1"/>
  <c r="G4125" i="1"/>
  <c r="F4125" i="1"/>
  <c r="H4124" i="1"/>
  <c r="G4124" i="1"/>
  <c r="F4124" i="1"/>
  <c r="H4123" i="1"/>
  <c r="G4123" i="1"/>
  <c r="F4123" i="1"/>
  <c r="H4122" i="1"/>
  <c r="G4122" i="1"/>
  <c r="F4122" i="1"/>
  <c r="H4121" i="1"/>
  <c r="G4121" i="1"/>
  <c r="F4121" i="1"/>
  <c r="H4120" i="1"/>
  <c r="G4120" i="1"/>
  <c r="F4120" i="1"/>
  <c r="H4119" i="1"/>
  <c r="G4119" i="1"/>
  <c r="F4119" i="1"/>
  <c r="H4118" i="1"/>
  <c r="G4118" i="1"/>
  <c r="F4118" i="1"/>
  <c r="H4117" i="1"/>
  <c r="G4117" i="1"/>
  <c r="F4117" i="1"/>
  <c r="H4116" i="1"/>
  <c r="G4116" i="1"/>
  <c r="F4116" i="1"/>
  <c r="H4115" i="1"/>
  <c r="G4115" i="1"/>
  <c r="F4115" i="1"/>
  <c r="H4114" i="1"/>
  <c r="G4114" i="1"/>
  <c r="F4114" i="1"/>
  <c r="H4113" i="1"/>
  <c r="G4113" i="1"/>
  <c r="F4113" i="1"/>
  <c r="H4112" i="1"/>
  <c r="G4112" i="1"/>
  <c r="F4112" i="1"/>
  <c r="H4111" i="1"/>
  <c r="G4111" i="1"/>
  <c r="F4111" i="1"/>
  <c r="H4110" i="1"/>
  <c r="G4110" i="1"/>
  <c r="F4110" i="1"/>
  <c r="H4109" i="1"/>
  <c r="G4109" i="1"/>
  <c r="F4109" i="1"/>
  <c r="H4108" i="1"/>
  <c r="G4108" i="1"/>
  <c r="F4108" i="1"/>
  <c r="H4107" i="1"/>
  <c r="G4107" i="1"/>
  <c r="F4107" i="1"/>
  <c r="H4106" i="1"/>
  <c r="G4106" i="1"/>
  <c r="F4106" i="1"/>
  <c r="H4105" i="1"/>
  <c r="G4105" i="1"/>
  <c r="F4105" i="1"/>
  <c r="H4104" i="1"/>
  <c r="G4104" i="1"/>
  <c r="F4104" i="1"/>
  <c r="H4103" i="1"/>
  <c r="G4103" i="1"/>
  <c r="F4103" i="1"/>
  <c r="H4102" i="1"/>
  <c r="G4102" i="1"/>
  <c r="F4102" i="1"/>
  <c r="H4101" i="1"/>
  <c r="G4101" i="1"/>
  <c r="F4101" i="1"/>
  <c r="H4100" i="1"/>
  <c r="G4100" i="1"/>
  <c r="F4100" i="1"/>
  <c r="H4099" i="1"/>
  <c r="G4099" i="1"/>
  <c r="F4099" i="1"/>
  <c r="H4098" i="1"/>
  <c r="G4098" i="1"/>
  <c r="F4098" i="1"/>
  <c r="H4097" i="1"/>
  <c r="G4097" i="1"/>
  <c r="F4097" i="1"/>
  <c r="H4096" i="1"/>
  <c r="G4096" i="1"/>
  <c r="F4096" i="1"/>
  <c r="H4095" i="1"/>
  <c r="G4095" i="1"/>
  <c r="F4095" i="1"/>
  <c r="H4094" i="1"/>
  <c r="G4094" i="1"/>
  <c r="F4094" i="1"/>
  <c r="H4093" i="1"/>
  <c r="G4093" i="1"/>
  <c r="F4093" i="1"/>
  <c r="H4092" i="1"/>
  <c r="G4092" i="1"/>
  <c r="F4092" i="1"/>
  <c r="H4091" i="1"/>
  <c r="G4091" i="1"/>
  <c r="F4091" i="1"/>
  <c r="H4090" i="1"/>
  <c r="G4090" i="1"/>
  <c r="F4090" i="1"/>
  <c r="H4089" i="1"/>
  <c r="G4089" i="1"/>
  <c r="F4089" i="1"/>
  <c r="H4088" i="1"/>
  <c r="G4088" i="1"/>
  <c r="F4088" i="1"/>
  <c r="H4087" i="1"/>
  <c r="G4087" i="1"/>
  <c r="F4087" i="1"/>
  <c r="H4086" i="1"/>
  <c r="G4086" i="1"/>
  <c r="F4086" i="1"/>
  <c r="H4085" i="1"/>
  <c r="G4085" i="1"/>
  <c r="F4085" i="1"/>
  <c r="H4084" i="1"/>
  <c r="G4084" i="1"/>
  <c r="F4084" i="1"/>
  <c r="H4083" i="1"/>
  <c r="G4083" i="1"/>
  <c r="F4083" i="1"/>
  <c r="H4082" i="1"/>
  <c r="G4082" i="1"/>
  <c r="F4082" i="1"/>
  <c r="H4081" i="1"/>
  <c r="G4081" i="1"/>
  <c r="F4081" i="1"/>
  <c r="H4080" i="1"/>
  <c r="G4080" i="1"/>
  <c r="F4080" i="1"/>
  <c r="H4079" i="1"/>
  <c r="G4079" i="1"/>
  <c r="F4079" i="1"/>
  <c r="H4078" i="1"/>
  <c r="G4078" i="1"/>
  <c r="F4078" i="1"/>
  <c r="H4077" i="1"/>
  <c r="G4077" i="1"/>
  <c r="F4077" i="1"/>
  <c r="H4076" i="1"/>
  <c r="G4076" i="1"/>
  <c r="F4076" i="1"/>
  <c r="H4075" i="1"/>
  <c r="G4075" i="1"/>
  <c r="F4075" i="1"/>
  <c r="H4074" i="1"/>
  <c r="G4074" i="1"/>
  <c r="F4074" i="1"/>
  <c r="H4073" i="1"/>
  <c r="G4073" i="1"/>
  <c r="F4073" i="1"/>
  <c r="H4072" i="1"/>
  <c r="G4072" i="1"/>
  <c r="F4072" i="1"/>
  <c r="H4071" i="1"/>
  <c r="G4071" i="1"/>
  <c r="F4071" i="1"/>
  <c r="H4070" i="1"/>
  <c r="G4070" i="1"/>
  <c r="F4070" i="1"/>
  <c r="H4069" i="1"/>
  <c r="G4069" i="1"/>
  <c r="F4069" i="1"/>
  <c r="H4068" i="1"/>
  <c r="G4068" i="1"/>
  <c r="F4068" i="1"/>
  <c r="H4067" i="1"/>
  <c r="G4067" i="1"/>
  <c r="F4067" i="1"/>
  <c r="H4066" i="1"/>
  <c r="G4066" i="1"/>
  <c r="F4066" i="1"/>
  <c r="H4065" i="1"/>
  <c r="G4065" i="1"/>
  <c r="F4065" i="1"/>
  <c r="H4064" i="1"/>
  <c r="G4064" i="1"/>
  <c r="F4064" i="1"/>
  <c r="H4063" i="1"/>
  <c r="G4063" i="1"/>
  <c r="F4063" i="1"/>
  <c r="H4062" i="1"/>
  <c r="G4062" i="1"/>
  <c r="F4062" i="1"/>
  <c r="H4061" i="1"/>
  <c r="G4061" i="1"/>
  <c r="F4061" i="1"/>
  <c r="H4060" i="1"/>
  <c r="G4060" i="1"/>
  <c r="F4060" i="1"/>
  <c r="H4059" i="1"/>
  <c r="G4059" i="1"/>
  <c r="F4059" i="1"/>
  <c r="H4058" i="1"/>
  <c r="G4058" i="1"/>
  <c r="F4058" i="1"/>
  <c r="H4057" i="1"/>
  <c r="G4057" i="1"/>
  <c r="F4057" i="1"/>
  <c r="H4056" i="1"/>
  <c r="G4056" i="1"/>
  <c r="F4056" i="1"/>
  <c r="H4055" i="1"/>
  <c r="G4055" i="1"/>
  <c r="F4055" i="1"/>
  <c r="H4054" i="1"/>
  <c r="G4054" i="1"/>
  <c r="F4054" i="1"/>
  <c r="H4053" i="1"/>
  <c r="G4053" i="1"/>
  <c r="F4053" i="1"/>
  <c r="H4052" i="1"/>
  <c r="G4052" i="1"/>
  <c r="F4052" i="1"/>
  <c r="H4051" i="1"/>
  <c r="G4051" i="1"/>
  <c r="F4051" i="1"/>
  <c r="H4050" i="1"/>
  <c r="G4050" i="1"/>
  <c r="F4050" i="1"/>
  <c r="H4049" i="1"/>
  <c r="G4049" i="1"/>
  <c r="F4049" i="1"/>
  <c r="H4048" i="1"/>
  <c r="G4048" i="1"/>
  <c r="F4048" i="1"/>
  <c r="H4047" i="1"/>
  <c r="G4047" i="1"/>
  <c r="F4047" i="1"/>
  <c r="H4046" i="1"/>
  <c r="G4046" i="1"/>
  <c r="F4046" i="1"/>
  <c r="H4045" i="1"/>
  <c r="G4045" i="1"/>
  <c r="F4045" i="1"/>
  <c r="H4044" i="1"/>
  <c r="G4044" i="1"/>
  <c r="F4044" i="1"/>
  <c r="H4043" i="1"/>
  <c r="G4043" i="1"/>
  <c r="F4043" i="1"/>
  <c r="H4042" i="1"/>
  <c r="G4042" i="1"/>
  <c r="F4042" i="1"/>
  <c r="H4041" i="1"/>
  <c r="G4041" i="1"/>
  <c r="F4041" i="1"/>
  <c r="H4040" i="1"/>
  <c r="G4040" i="1"/>
  <c r="F4040" i="1"/>
  <c r="H4039" i="1"/>
  <c r="G4039" i="1"/>
  <c r="F4039" i="1"/>
  <c r="H4038" i="1"/>
  <c r="G4038" i="1"/>
  <c r="F4038" i="1"/>
  <c r="H4037" i="1"/>
  <c r="G4037" i="1"/>
  <c r="F4037" i="1"/>
  <c r="H4036" i="1"/>
  <c r="G4036" i="1"/>
  <c r="F4036" i="1"/>
  <c r="H4035" i="1"/>
  <c r="G4035" i="1"/>
  <c r="F4035" i="1"/>
  <c r="H4034" i="1"/>
  <c r="G4034" i="1"/>
  <c r="F4034" i="1"/>
  <c r="H4033" i="1"/>
  <c r="G4033" i="1"/>
  <c r="F4033" i="1"/>
  <c r="H4032" i="1"/>
  <c r="G4032" i="1"/>
  <c r="F4032" i="1"/>
  <c r="H4031" i="1"/>
  <c r="G4031" i="1"/>
  <c r="F4031" i="1"/>
  <c r="H4030" i="1"/>
  <c r="G4030" i="1"/>
  <c r="F4030" i="1"/>
  <c r="H4029" i="1"/>
  <c r="G4029" i="1"/>
  <c r="F4029" i="1"/>
  <c r="H4028" i="1"/>
  <c r="G4028" i="1"/>
  <c r="F4028" i="1"/>
  <c r="H4027" i="1"/>
  <c r="G4027" i="1"/>
  <c r="F4027" i="1"/>
  <c r="H4026" i="1"/>
  <c r="G4026" i="1"/>
  <c r="F4026" i="1"/>
  <c r="H4025" i="1"/>
  <c r="G4025" i="1"/>
  <c r="F4025" i="1"/>
  <c r="H4024" i="1"/>
  <c r="G4024" i="1"/>
  <c r="F4024" i="1"/>
  <c r="H4023" i="1"/>
  <c r="G4023" i="1"/>
  <c r="F4023" i="1"/>
  <c r="H4022" i="1"/>
  <c r="G4022" i="1"/>
  <c r="F4022" i="1"/>
  <c r="H4021" i="1"/>
  <c r="G4021" i="1"/>
  <c r="F4021" i="1"/>
  <c r="H4020" i="1"/>
  <c r="G4020" i="1"/>
  <c r="F4020" i="1"/>
  <c r="H4019" i="1"/>
  <c r="G4019" i="1"/>
  <c r="F4019" i="1"/>
  <c r="H4018" i="1"/>
  <c r="G4018" i="1"/>
  <c r="F4018" i="1"/>
  <c r="H4017" i="1"/>
  <c r="G4017" i="1"/>
  <c r="F4017" i="1"/>
  <c r="H4016" i="1"/>
  <c r="G4016" i="1"/>
  <c r="F4016" i="1"/>
  <c r="H4015" i="1"/>
  <c r="G4015" i="1"/>
  <c r="F4015" i="1"/>
  <c r="H4014" i="1"/>
  <c r="G4014" i="1"/>
  <c r="F4014" i="1"/>
  <c r="H4013" i="1"/>
  <c r="G4013" i="1"/>
  <c r="F4013" i="1"/>
  <c r="H4012" i="1"/>
  <c r="G4012" i="1"/>
  <c r="F4012" i="1"/>
  <c r="H4011" i="1"/>
  <c r="G4011" i="1"/>
  <c r="F4011" i="1"/>
  <c r="H4010" i="1"/>
  <c r="G4010" i="1"/>
  <c r="F4010" i="1"/>
  <c r="H4009" i="1"/>
  <c r="G4009" i="1"/>
  <c r="F4009" i="1"/>
  <c r="H4008" i="1"/>
  <c r="G4008" i="1"/>
  <c r="F4008" i="1"/>
  <c r="H4007" i="1"/>
  <c r="G4007" i="1"/>
  <c r="F4007" i="1"/>
  <c r="H4006" i="1"/>
  <c r="G4006" i="1"/>
  <c r="F4006" i="1"/>
  <c r="H4005" i="1"/>
  <c r="G4005" i="1"/>
  <c r="F4005" i="1"/>
  <c r="H4004" i="1"/>
  <c r="G4004" i="1"/>
  <c r="F4004" i="1"/>
  <c r="H4003" i="1"/>
  <c r="G4003" i="1"/>
  <c r="F4003" i="1"/>
  <c r="H4002" i="1"/>
  <c r="G4002" i="1"/>
  <c r="F4002" i="1"/>
  <c r="H4001" i="1"/>
  <c r="G4001" i="1"/>
  <c r="F4001" i="1"/>
  <c r="H4000" i="1"/>
  <c r="G4000" i="1"/>
  <c r="F4000" i="1"/>
  <c r="H3999" i="1"/>
  <c r="G3999" i="1"/>
  <c r="F3999" i="1"/>
  <c r="H3998" i="1"/>
  <c r="G3998" i="1"/>
  <c r="F3998" i="1"/>
  <c r="H3997" i="1"/>
  <c r="G3997" i="1"/>
  <c r="F3997" i="1"/>
  <c r="H3996" i="1"/>
  <c r="G3996" i="1"/>
  <c r="F3996" i="1"/>
  <c r="H3995" i="1"/>
  <c r="G3995" i="1"/>
  <c r="F3995" i="1"/>
  <c r="H3994" i="1"/>
  <c r="G3994" i="1"/>
  <c r="F3994" i="1"/>
  <c r="H3993" i="1"/>
  <c r="G3993" i="1"/>
  <c r="F3993" i="1"/>
  <c r="H3992" i="1"/>
  <c r="G3992" i="1"/>
  <c r="F3992" i="1"/>
  <c r="H3991" i="1"/>
  <c r="G3991" i="1"/>
  <c r="F3991" i="1"/>
  <c r="H3990" i="1"/>
  <c r="G3990" i="1"/>
  <c r="F3990" i="1"/>
  <c r="H3989" i="1"/>
  <c r="G3989" i="1"/>
  <c r="F3989" i="1"/>
  <c r="H3988" i="1"/>
  <c r="G3988" i="1"/>
  <c r="F3988" i="1"/>
  <c r="H3987" i="1"/>
  <c r="G3987" i="1"/>
  <c r="F3987" i="1"/>
  <c r="H3986" i="1"/>
  <c r="G3986" i="1"/>
  <c r="F3986" i="1"/>
  <c r="H3985" i="1"/>
  <c r="G3985" i="1"/>
  <c r="F3985" i="1"/>
  <c r="H3984" i="1"/>
  <c r="G3984" i="1"/>
  <c r="F3984" i="1"/>
  <c r="H3983" i="1"/>
  <c r="G3983" i="1"/>
  <c r="F3983" i="1"/>
  <c r="H3982" i="1"/>
  <c r="G3982" i="1"/>
  <c r="F3982" i="1"/>
  <c r="H3981" i="1"/>
  <c r="G3981" i="1"/>
  <c r="F3981" i="1"/>
  <c r="H3980" i="1"/>
  <c r="G3980" i="1"/>
  <c r="F3980" i="1"/>
  <c r="H3979" i="1"/>
  <c r="G3979" i="1"/>
  <c r="F3979" i="1"/>
  <c r="H3978" i="1"/>
  <c r="G3978" i="1"/>
  <c r="F3978" i="1"/>
  <c r="H3977" i="1"/>
  <c r="G3977" i="1"/>
  <c r="F3977" i="1"/>
  <c r="H3976" i="1"/>
  <c r="G3976" i="1"/>
  <c r="F3976" i="1"/>
  <c r="H3975" i="1"/>
  <c r="G3975" i="1"/>
  <c r="F3975" i="1"/>
  <c r="H3974" i="1"/>
  <c r="G3974" i="1"/>
  <c r="F3974" i="1"/>
  <c r="H3973" i="1"/>
  <c r="G3973" i="1"/>
  <c r="F3973" i="1"/>
  <c r="H3972" i="1"/>
  <c r="G3972" i="1"/>
  <c r="F3972" i="1"/>
  <c r="H3971" i="1"/>
  <c r="G3971" i="1"/>
  <c r="F3971" i="1"/>
  <c r="H3970" i="1"/>
  <c r="G3970" i="1"/>
  <c r="F3970" i="1"/>
  <c r="H3969" i="1"/>
  <c r="G3969" i="1"/>
  <c r="F3969" i="1"/>
  <c r="H3968" i="1"/>
  <c r="G3968" i="1"/>
  <c r="F3968" i="1"/>
  <c r="H3967" i="1"/>
  <c r="G3967" i="1"/>
  <c r="F3967" i="1"/>
  <c r="H3966" i="1"/>
  <c r="G3966" i="1"/>
  <c r="F3966" i="1"/>
  <c r="H3965" i="1"/>
  <c r="G3965" i="1"/>
  <c r="F3965" i="1"/>
  <c r="H3964" i="1"/>
  <c r="G3964" i="1"/>
  <c r="F3964" i="1"/>
  <c r="H3963" i="1"/>
  <c r="G3963" i="1"/>
  <c r="F3963" i="1"/>
  <c r="H3962" i="1"/>
  <c r="G3962" i="1"/>
  <c r="F3962" i="1"/>
  <c r="H3961" i="1"/>
  <c r="G3961" i="1"/>
  <c r="F3961" i="1"/>
  <c r="H3960" i="1"/>
  <c r="G3960" i="1"/>
  <c r="F3960" i="1"/>
  <c r="H3959" i="1"/>
  <c r="G3959" i="1"/>
  <c r="F3959" i="1"/>
  <c r="H3958" i="1"/>
  <c r="G3958" i="1"/>
  <c r="F3958" i="1"/>
  <c r="H3957" i="1"/>
  <c r="G3957" i="1"/>
  <c r="F3957" i="1"/>
  <c r="H3956" i="1"/>
  <c r="G3956" i="1"/>
  <c r="F3956" i="1"/>
  <c r="H3955" i="1"/>
  <c r="G3955" i="1"/>
  <c r="F3955" i="1"/>
  <c r="H3954" i="1"/>
  <c r="G3954" i="1"/>
  <c r="F3954" i="1"/>
  <c r="H3953" i="1"/>
  <c r="G3953" i="1"/>
  <c r="F3953" i="1"/>
  <c r="H3952" i="1"/>
  <c r="G3952" i="1"/>
  <c r="F3952" i="1"/>
  <c r="H3951" i="1"/>
  <c r="G3951" i="1"/>
  <c r="F3951" i="1"/>
  <c r="H3950" i="1"/>
  <c r="G3950" i="1"/>
  <c r="F3950" i="1"/>
  <c r="H3949" i="1"/>
  <c r="G3949" i="1"/>
  <c r="F3949" i="1"/>
  <c r="H3948" i="1"/>
  <c r="G3948" i="1"/>
  <c r="F3948" i="1"/>
  <c r="H3947" i="1"/>
  <c r="G3947" i="1"/>
  <c r="F3947" i="1"/>
  <c r="H3946" i="1"/>
  <c r="G3946" i="1"/>
  <c r="F3946" i="1"/>
  <c r="H3945" i="1"/>
  <c r="G3945" i="1"/>
  <c r="F3945" i="1"/>
  <c r="H3944" i="1"/>
  <c r="G3944" i="1"/>
  <c r="F3944" i="1"/>
  <c r="H3943" i="1"/>
  <c r="G3943" i="1"/>
  <c r="F3943" i="1"/>
  <c r="H3942" i="1"/>
  <c r="G3942" i="1"/>
  <c r="F3942" i="1"/>
  <c r="H3941" i="1"/>
  <c r="G3941" i="1"/>
  <c r="F3941" i="1"/>
  <c r="H3940" i="1"/>
  <c r="G3940" i="1"/>
  <c r="F3940" i="1"/>
  <c r="H3939" i="1"/>
  <c r="G3939" i="1"/>
  <c r="F3939" i="1"/>
  <c r="H3938" i="1"/>
  <c r="G3938" i="1"/>
  <c r="F3938" i="1"/>
  <c r="H3937" i="1"/>
  <c r="G3937" i="1"/>
  <c r="F3937" i="1"/>
  <c r="H3936" i="1"/>
  <c r="G3936" i="1"/>
  <c r="F3936" i="1"/>
  <c r="H3935" i="1"/>
  <c r="G3935" i="1"/>
  <c r="F3935" i="1"/>
  <c r="H3934" i="1"/>
  <c r="G3934" i="1"/>
  <c r="F3934" i="1"/>
  <c r="H3933" i="1"/>
  <c r="G3933" i="1"/>
  <c r="F3933" i="1"/>
  <c r="H3932" i="1"/>
  <c r="G3932" i="1"/>
  <c r="F3932" i="1"/>
  <c r="H3931" i="1"/>
  <c r="G3931" i="1"/>
  <c r="F3931" i="1"/>
  <c r="H3930" i="1"/>
  <c r="G3930" i="1"/>
  <c r="F3930" i="1"/>
  <c r="H3929" i="1"/>
  <c r="G3929" i="1"/>
  <c r="F3929" i="1"/>
  <c r="H3928" i="1"/>
  <c r="G3928" i="1"/>
  <c r="F3928" i="1"/>
  <c r="H3927" i="1"/>
  <c r="G3927" i="1"/>
  <c r="F3927" i="1"/>
  <c r="H3926" i="1"/>
  <c r="G3926" i="1"/>
  <c r="F3926" i="1"/>
  <c r="H3925" i="1"/>
  <c r="G3925" i="1"/>
  <c r="F3925" i="1"/>
  <c r="H3924" i="1"/>
  <c r="G3924" i="1"/>
  <c r="F3924" i="1"/>
  <c r="H3923" i="1"/>
  <c r="G3923" i="1"/>
  <c r="F3923" i="1"/>
  <c r="H3922" i="1"/>
  <c r="G3922" i="1"/>
  <c r="F3922" i="1"/>
  <c r="H3921" i="1"/>
  <c r="G3921" i="1"/>
  <c r="F3921" i="1"/>
  <c r="H3920" i="1"/>
  <c r="G3920" i="1"/>
  <c r="F3920" i="1"/>
  <c r="H3919" i="1"/>
  <c r="G3919" i="1"/>
  <c r="F3919" i="1"/>
  <c r="H3918" i="1"/>
  <c r="G3918" i="1"/>
  <c r="F3918" i="1"/>
  <c r="H3917" i="1"/>
  <c r="G3917" i="1"/>
  <c r="F3917" i="1"/>
  <c r="H3916" i="1"/>
  <c r="G3916" i="1"/>
  <c r="F3916" i="1"/>
  <c r="H3915" i="1"/>
  <c r="G3915" i="1"/>
  <c r="F3915" i="1"/>
  <c r="H3914" i="1"/>
  <c r="G3914" i="1"/>
  <c r="F3914" i="1"/>
  <c r="H3913" i="1"/>
  <c r="G3913" i="1"/>
  <c r="F3913" i="1"/>
  <c r="H3912" i="1"/>
  <c r="G3912" i="1"/>
  <c r="F3912" i="1"/>
  <c r="H3911" i="1"/>
  <c r="G3911" i="1"/>
  <c r="F3911" i="1"/>
  <c r="H3910" i="1"/>
  <c r="G3910" i="1"/>
  <c r="F3910" i="1"/>
  <c r="H3909" i="1"/>
  <c r="G3909" i="1"/>
  <c r="F3909" i="1"/>
  <c r="H3908" i="1"/>
  <c r="G3908" i="1"/>
  <c r="F3908" i="1"/>
  <c r="H3907" i="1"/>
  <c r="G3907" i="1"/>
  <c r="F3907" i="1"/>
  <c r="H3906" i="1"/>
  <c r="G3906" i="1"/>
  <c r="F3906" i="1"/>
  <c r="H3905" i="1"/>
  <c r="G3905" i="1"/>
  <c r="F3905" i="1"/>
  <c r="H3904" i="1"/>
  <c r="G3904" i="1"/>
  <c r="F3904" i="1"/>
  <c r="H3903" i="1"/>
  <c r="G3903" i="1"/>
  <c r="F3903" i="1"/>
  <c r="H3902" i="1"/>
  <c r="G3902" i="1"/>
  <c r="F3902" i="1"/>
  <c r="H3901" i="1"/>
  <c r="G3901" i="1"/>
  <c r="F3901" i="1"/>
  <c r="H3900" i="1"/>
  <c r="G3900" i="1"/>
  <c r="F3900" i="1"/>
  <c r="H3899" i="1"/>
  <c r="G3899" i="1"/>
  <c r="F3899" i="1"/>
  <c r="H3898" i="1"/>
  <c r="G3898" i="1"/>
  <c r="F3898" i="1"/>
  <c r="H3897" i="1"/>
  <c r="G3897" i="1"/>
  <c r="F3897" i="1"/>
  <c r="H3896" i="1"/>
  <c r="G3896" i="1"/>
  <c r="F3896" i="1"/>
  <c r="H3895" i="1"/>
  <c r="G3895" i="1"/>
  <c r="F3895" i="1"/>
  <c r="H3894" i="1"/>
  <c r="G3894" i="1"/>
  <c r="F3894" i="1"/>
  <c r="H3893" i="1"/>
  <c r="G3893" i="1"/>
  <c r="F3893" i="1"/>
  <c r="H3892" i="1"/>
  <c r="G3892" i="1"/>
  <c r="F3892" i="1"/>
  <c r="H3891" i="1"/>
  <c r="G3891" i="1"/>
  <c r="F3891" i="1"/>
  <c r="H3890" i="1"/>
  <c r="G3890" i="1"/>
  <c r="F3890" i="1"/>
  <c r="H3889" i="1"/>
  <c r="G3889" i="1"/>
  <c r="F3889" i="1"/>
  <c r="H3888" i="1"/>
  <c r="G3888" i="1"/>
  <c r="F3888" i="1"/>
  <c r="H3887" i="1"/>
  <c r="G3887" i="1"/>
  <c r="F3887" i="1"/>
  <c r="H3886" i="1"/>
  <c r="G3886" i="1"/>
  <c r="F3886" i="1"/>
  <c r="H3885" i="1"/>
  <c r="G3885" i="1"/>
  <c r="F3885" i="1"/>
  <c r="H3884" i="1"/>
  <c r="G3884" i="1"/>
  <c r="F3884" i="1"/>
  <c r="H3883" i="1"/>
  <c r="G3883" i="1"/>
  <c r="F3883" i="1"/>
  <c r="H3882" i="1"/>
  <c r="G3882" i="1"/>
  <c r="F3882" i="1"/>
  <c r="H3881" i="1"/>
  <c r="G3881" i="1"/>
  <c r="F3881" i="1"/>
  <c r="H3880" i="1"/>
  <c r="G3880" i="1"/>
  <c r="F3880" i="1"/>
  <c r="H3879" i="1"/>
  <c r="G3879" i="1"/>
  <c r="F3879" i="1"/>
  <c r="H3878" i="1"/>
  <c r="G3878" i="1"/>
  <c r="F3878" i="1"/>
  <c r="H3877" i="1"/>
  <c r="G3877" i="1"/>
  <c r="F3877" i="1"/>
  <c r="H3876" i="1"/>
  <c r="G3876" i="1"/>
  <c r="F3876" i="1"/>
  <c r="H3875" i="1"/>
  <c r="G3875" i="1"/>
  <c r="F3875" i="1"/>
  <c r="H3874" i="1"/>
  <c r="G3874" i="1"/>
  <c r="F3874" i="1"/>
  <c r="H3873" i="1"/>
  <c r="G3873" i="1"/>
  <c r="F3873" i="1"/>
  <c r="H3872" i="1"/>
  <c r="G3872" i="1"/>
  <c r="F3872" i="1"/>
  <c r="H3871" i="1"/>
  <c r="G3871" i="1"/>
  <c r="F3871" i="1"/>
  <c r="H3870" i="1"/>
  <c r="G3870" i="1"/>
  <c r="F3870" i="1"/>
  <c r="H3869" i="1"/>
  <c r="G3869" i="1"/>
  <c r="F3869" i="1"/>
  <c r="H3868" i="1"/>
  <c r="G3868" i="1"/>
  <c r="F3868" i="1"/>
  <c r="H3867" i="1"/>
  <c r="G3867" i="1"/>
  <c r="F3867" i="1"/>
  <c r="H3866" i="1"/>
  <c r="G3866" i="1"/>
  <c r="F3866" i="1"/>
  <c r="H3865" i="1"/>
  <c r="G3865" i="1"/>
  <c r="F3865" i="1"/>
  <c r="H3864" i="1"/>
  <c r="G3864" i="1"/>
  <c r="F3864" i="1"/>
  <c r="H3863" i="1"/>
  <c r="G3863" i="1"/>
  <c r="F3863" i="1"/>
  <c r="H3862" i="1"/>
  <c r="G3862" i="1"/>
  <c r="F3862" i="1"/>
  <c r="H3861" i="1"/>
  <c r="G3861" i="1"/>
  <c r="F3861" i="1"/>
  <c r="H3860" i="1"/>
  <c r="G3860" i="1"/>
  <c r="F3860" i="1"/>
  <c r="H3859" i="1"/>
  <c r="G3859" i="1"/>
  <c r="F3859" i="1"/>
  <c r="H3858" i="1"/>
  <c r="G3858" i="1"/>
  <c r="F3858" i="1"/>
  <c r="H3857" i="1"/>
  <c r="G3857" i="1"/>
  <c r="F3857" i="1"/>
  <c r="H3856" i="1"/>
  <c r="G3856" i="1"/>
  <c r="F3856" i="1"/>
  <c r="H3855" i="1"/>
  <c r="G3855" i="1"/>
  <c r="F3855" i="1"/>
  <c r="H3854" i="1"/>
  <c r="G3854" i="1"/>
  <c r="F3854" i="1"/>
  <c r="H3853" i="1"/>
  <c r="G3853" i="1"/>
  <c r="F3853" i="1"/>
  <c r="H3852" i="1"/>
  <c r="G3852" i="1"/>
  <c r="F3852" i="1"/>
  <c r="H3851" i="1"/>
  <c r="G3851" i="1"/>
  <c r="F3851" i="1"/>
  <c r="H3850" i="1"/>
  <c r="G3850" i="1"/>
  <c r="F3850" i="1"/>
  <c r="H3849" i="1"/>
  <c r="G3849" i="1"/>
  <c r="F3849" i="1"/>
  <c r="H3848" i="1"/>
  <c r="G3848" i="1"/>
  <c r="F3848" i="1"/>
  <c r="H3847" i="1"/>
  <c r="G3847" i="1"/>
  <c r="F3847" i="1"/>
  <c r="H3846" i="1"/>
  <c r="G3846" i="1"/>
  <c r="F3846" i="1"/>
  <c r="H3845" i="1"/>
  <c r="G3845" i="1"/>
  <c r="F3845" i="1"/>
  <c r="H3844" i="1"/>
  <c r="G3844" i="1"/>
  <c r="F3844" i="1"/>
  <c r="H3843" i="1"/>
  <c r="G3843" i="1"/>
  <c r="F3843" i="1"/>
  <c r="H3842" i="1"/>
  <c r="G3842" i="1"/>
  <c r="F3842" i="1"/>
  <c r="H3841" i="1"/>
  <c r="G3841" i="1"/>
  <c r="F3841" i="1"/>
  <c r="H3840" i="1"/>
  <c r="G3840" i="1"/>
  <c r="F3840" i="1"/>
  <c r="H3839" i="1"/>
  <c r="G3839" i="1"/>
  <c r="F3839" i="1"/>
  <c r="H3838" i="1"/>
  <c r="G3838" i="1"/>
  <c r="F3838" i="1"/>
  <c r="H3837" i="1"/>
  <c r="G3837" i="1"/>
  <c r="F3837" i="1"/>
  <c r="H3836" i="1"/>
  <c r="G3836" i="1"/>
  <c r="F3836" i="1"/>
  <c r="H3835" i="1"/>
  <c r="G3835" i="1"/>
  <c r="F3835" i="1"/>
  <c r="H3834" i="1"/>
  <c r="G3834" i="1"/>
  <c r="F3834" i="1"/>
  <c r="H3833" i="1"/>
  <c r="G3833" i="1"/>
  <c r="F3833" i="1"/>
  <c r="H3832" i="1"/>
  <c r="G3832" i="1"/>
  <c r="F3832" i="1"/>
  <c r="H3831" i="1"/>
  <c r="G3831" i="1"/>
  <c r="F3831" i="1"/>
  <c r="H3830" i="1"/>
  <c r="G3830" i="1"/>
  <c r="F3830" i="1"/>
  <c r="H3829" i="1"/>
  <c r="G3829" i="1"/>
  <c r="F3829" i="1"/>
  <c r="H3828" i="1"/>
  <c r="G3828" i="1"/>
  <c r="F3828" i="1"/>
  <c r="H3827" i="1"/>
  <c r="G3827" i="1"/>
  <c r="F3827" i="1"/>
  <c r="H3826" i="1"/>
  <c r="G3826" i="1"/>
  <c r="F3826" i="1"/>
  <c r="H3825" i="1"/>
  <c r="G3825" i="1"/>
  <c r="F3825" i="1"/>
  <c r="H3824" i="1"/>
  <c r="G3824" i="1"/>
  <c r="F3824" i="1"/>
  <c r="H3823" i="1"/>
  <c r="G3823" i="1"/>
  <c r="F3823" i="1"/>
  <c r="H3822" i="1"/>
  <c r="G3822" i="1"/>
  <c r="F3822" i="1"/>
  <c r="H3821" i="1"/>
  <c r="G3821" i="1"/>
  <c r="F3821" i="1"/>
  <c r="H3820" i="1"/>
  <c r="G3820" i="1"/>
  <c r="F3820" i="1"/>
  <c r="H3819" i="1"/>
  <c r="G3819" i="1"/>
  <c r="F3819" i="1"/>
  <c r="H3818" i="1"/>
  <c r="G3818" i="1"/>
  <c r="F3818" i="1"/>
  <c r="H3817" i="1"/>
  <c r="G3817" i="1"/>
  <c r="F3817" i="1"/>
  <c r="H3816" i="1"/>
  <c r="G3816" i="1"/>
  <c r="F3816" i="1"/>
  <c r="H3815" i="1"/>
  <c r="G3815" i="1"/>
  <c r="F3815" i="1"/>
  <c r="H3814" i="1"/>
  <c r="G3814" i="1"/>
  <c r="F3814" i="1"/>
  <c r="H3813" i="1"/>
  <c r="G3813" i="1"/>
  <c r="F3813" i="1"/>
  <c r="H3812" i="1"/>
  <c r="G3812" i="1"/>
  <c r="F3812" i="1"/>
  <c r="H3811" i="1"/>
  <c r="G3811" i="1"/>
  <c r="F3811" i="1"/>
  <c r="H3810" i="1"/>
  <c r="G3810" i="1"/>
  <c r="F3810" i="1"/>
  <c r="H3809" i="1"/>
  <c r="G3809" i="1"/>
  <c r="F3809" i="1"/>
  <c r="H3808" i="1"/>
  <c r="G3808" i="1"/>
  <c r="F3808" i="1"/>
  <c r="H3807" i="1"/>
  <c r="G3807" i="1"/>
  <c r="F3807" i="1"/>
  <c r="H3806" i="1"/>
  <c r="G3806" i="1"/>
  <c r="F3806" i="1"/>
  <c r="H3805" i="1"/>
  <c r="G3805" i="1"/>
  <c r="F3805" i="1"/>
  <c r="H3804" i="1"/>
  <c r="G3804" i="1"/>
  <c r="F3804" i="1"/>
  <c r="H3803" i="1"/>
  <c r="G3803" i="1"/>
  <c r="F3803" i="1"/>
  <c r="H3802" i="1"/>
  <c r="G3802" i="1"/>
  <c r="F3802" i="1"/>
  <c r="H3801" i="1"/>
  <c r="G3801" i="1"/>
  <c r="F3801" i="1"/>
  <c r="H3800" i="1"/>
  <c r="G3800" i="1"/>
  <c r="F3800" i="1"/>
  <c r="H3799" i="1"/>
  <c r="G3799" i="1"/>
  <c r="F3799" i="1"/>
  <c r="H3798" i="1"/>
  <c r="G3798" i="1"/>
  <c r="F3798" i="1"/>
  <c r="H3797" i="1"/>
  <c r="G3797" i="1"/>
  <c r="F3797" i="1"/>
  <c r="H3796" i="1"/>
  <c r="G3796" i="1"/>
  <c r="F3796" i="1"/>
  <c r="H3795" i="1"/>
  <c r="G3795" i="1"/>
  <c r="F3795" i="1"/>
  <c r="H3794" i="1"/>
  <c r="G3794" i="1"/>
  <c r="F3794" i="1"/>
  <c r="H3793" i="1"/>
  <c r="G3793" i="1"/>
  <c r="F3793" i="1"/>
  <c r="H3792" i="1"/>
  <c r="G3792" i="1"/>
  <c r="F3792" i="1"/>
  <c r="H3791" i="1"/>
  <c r="G3791" i="1"/>
  <c r="F3791" i="1"/>
  <c r="H3790" i="1"/>
  <c r="G3790" i="1"/>
  <c r="F3790" i="1"/>
  <c r="H3789" i="1"/>
  <c r="G3789" i="1"/>
  <c r="F3789" i="1"/>
  <c r="H3788" i="1"/>
  <c r="G3788" i="1"/>
  <c r="F3788" i="1"/>
  <c r="H3787" i="1"/>
  <c r="G3787" i="1"/>
  <c r="F3787" i="1"/>
  <c r="H3786" i="1"/>
  <c r="G3786" i="1"/>
  <c r="F3786" i="1"/>
  <c r="H3785" i="1"/>
  <c r="G3785" i="1"/>
  <c r="F3785" i="1"/>
  <c r="H3784" i="1"/>
  <c r="G3784" i="1"/>
  <c r="F3784" i="1"/>
  <c r="H3783" i="1"/>
  <c r="G3783" i="1"/>
  <c r="F3783" i="1"/>
  <c r="H3782" i="1"/>
  <c r="G3782" i="1"/>
  <c r="F3782" i="1"/>
  <c r="H3781" i="1"/>
  <c r="G3781" i="1"/>
  <c r="F3781" i="1"/>
  <c r="H3780" i="1"/>
  <c r="G3780" i="1"/>
  <c r="F3780" i="1"/>
  <c r="H3779" i="1"/>
  <c r="G3779" i="1"/>
  <c r="F3779" i="1"/>
  <c r="H3778" i="1"/>
  <c r="G3778" i="1"/>
  <c r="F3778" i="1"/>
  <c r="H3777" i="1"/>
  <c r="G3777" i="1"/>
  <c r="F3777" i="1"/>
  <c r="H3776" i="1"/>
  <c r="G3776" i="1"/>
  <c r="F3776" i="1"/>
  <c r="H3775" i="1"/>
  <c r="G3775" i="1"/>
  <c r="F3775" i="1"/>
  <c r="H3774" i="1"/>
  <c r="G3774" i="1"/>
  <c r="F3774" i="1"/>
  <c r="H3773" i="1"/>
  <c r="G3773" i="1"/>
  <c r="F3773" i="1"/>
  <c r="H3772" i="1"/>
  <c r="G3772" i="1"/>
  <c r="F3772" i="1"/>
  <c r="H3771" i="1"/>
  <c r="G3771" i="1"/>
  <c r="F3771" i="1"/>
  <c r="H3770" i="1"/>
  <c r="G3770" i="1"/>
  <c r="F3770" i="1"/>
  <c r="H3769" i="1"/>
  <c r="G3769" i="1"/>
  <c r="F3769" i="1"/>
  <c r="H3768" i="1"/>
  <c r="G3768" i="1"/>
  <c r="F3768" i="1"/>
  <c r="H3767" i="1"/>
  <c r="G3767" i="1"/>
  <c r="F3767" i="1"/>
  <c r="H3766" i="1"/>
  <c r="G3766" i="1"/>
  <c r="F3766" i="1"/>
  <c r="H3765" i="1"/>
  <c r="G3765" i="1"/>
  <c r="F3765" i="1"/>
  <c r="H3764" i="1"/>
  <c r="G3764" i="1"/>
  <c r="F3764" i="1"/>
  <c r="H3763" i="1"/>
  <c r="G3763" i="1"/>
  <c r="F3763" i="1"/>
  <c r="H3762" i="1"/>
  <c r="G3762" i="1"/>
  <c r="F3762" i="1"/>
  <c r="H3761" i="1"/>
  <c r="G3761" i="1"/>
  <c r="F3761" i="1"/>
  <c r="H3760" i="1"/>
  <c r="G3760" i="1"/>
  <c r="F3760" i="1"/>
  <c r="H3759" i="1"/>
  <c r="G3759" i="1"/>
  <c r="F3759" i="1"/>
  <c r="H3758" i="1"/>
  <c r="G3758" i="1"/>
  <c r="F3758" i="1"/>
  <c r="H3757" i="1"/>
  <c r="G3757" i="1"/>
  <c r="F3757" i="1"/>
  <c r="H3756" i="1"/>
  <c r="G3756" i="1"/>
  <c r="F3756" i="1"/>
  <c r="H3755" i="1"/>
  <c r="G3755" i="1"/>
  <c r="F3755" i="1"/>
  <c r="H3754" i="1"/>
  <c r="G3754" i="1"/>
  <c r="F3754" i="1"/>
  <c r="H3753" i="1"/>
  <c r="G3753" i="1"/>
  <c r="F3753" i="1"/>
  <c r="H3752" i="1"/>
  <c r="G3752" i="1"/>
  <c r="F3752" i="1"/>
  <c r="H3751" i="1"/>
  <c r="G3751" i="1"/>
  <c r="F3751" i="1"/>
  <c r="H3750" i="1"/>
  <c r="G3750" i="1"/>
  <c r="F3750" i="1"/>
  <c r="H3749" i="1"/>
  <c r="G3749" i="1"/>
  <c r="F3749" i="1"/>
  <c r="H3748" i="1"/>
  <c r="G3748" i="1"/>
  <c r="F3748" i="1"/>
  <c r="H3747" i="1"/>
  <c r="G3747" i="1"/>
  <c r="F3747" i="1"/>
  <c r="H3746" i="1"/>
  <c r="G3746" i="1"/>
  <c r="F3746" i="1"/>
  <c r="H3745" i="1"/>
  <c r="G3745" i="1"/>
  <c r="F3745" i="1"/>
  <c r="H3744" i="1"/>
  <c r="G3744" i="1"/>
  <c r="F3744" i="1"/>
  <c r="H3743" i="1"/>
  <c r="G3743" i="1"/>
  <c r="F3743" i="1"/>
  <c r="H3742" i="1"/>
  <c r="G3742" i="1"/>
  <c r="F3742" i="1"/>
  <c r="H3741" i="1"/>
  <c r="G3741" i="1"/>
  <c r="F3741" i="1"/>
  <c r="H3740" i="1"/>
  <c r="G3740" i="1"/>
  <c r="F3740" i="1"/>
  <c r="H3739" i="1"/>
  <c r="G3739" i="1"/>
  <c r="F3739" i="1"/>
  <c r="H3738" i="1"/>
  <c r="G3738" i="1"/>
  <c r="F3738" i="1"/>
  <c r="H3737" i="1"/>
  <c r="G3737" i="1"/>
  <c r="F3737" i="1"/>
  <c r="H3736" i="1"/>
  <c r="G3736" i="1"/>
  <c r="F3736" i="1"/>
  <c r="H3735" i="1"/>
  <c r="G3735" i="1"/>
  <c r="F3735" i="1"/>
  <c r="H3734" i="1"/>
  <c r="G3734" i="1"/>
  <c r="F3734" i="1"/>
  <c r="H3733" i="1"/>
  <c r="G3733" i="1"/>
  <c r="F3733" i="1"/>
  <c r="H3732" i="1"/>
  <c r="G3732" i="1"/>
  <c r="F3732" i="1"/>
  <c r="H3731" i="1"/>
  <c r="G3731" i="1"/>
  <c r="F3731" i="1"/>
  <c r="H3730" i="1"/>
  <c r="G3730" i="1"/>
  <c r="F3730" i="1"/>
  <c r="H3729" i="1"/>
  <c r="G3729" i="1"/>
  <c r="F3729" i="1"/>
  <c r="H3728" i="1"/>
  <c r="G3728" i="1"/>
  <c r="F3728" i="1"/>
  <c r="H3727" i="1"/>
  <c r="G3727" i="1"/>
  <c r="F3727" i="1"/>
  <c r="H3726" i="1"/>
  <c r="G3726" i="1"/>
  <c r="F3726" i="1"/>
  <c r="H3725" i="1"/>
  <c r="G3725" i="1"/>
  <c r="F3725" i="1"/>
  <c r="H3724" i="1"/>
  <c r="G3724" i="1"/>
  <c r="F3724" i="1"/>
  <c r="H3723" i="1"/>
  <c r="G3723" i="1"/>
  <c r="F3723" i="1"/>
  <c r="H3722" i="1"/>
  <c r="G3722" i="1"/>
  <c r="F3722" i="1"/>
  <c r="H3721" i="1"/>
  <c r="G3721" i="1"/>
  <c r="F3721" i="1"/>
  <c r="H3720" i="1"/>
  <c r="G3720" i="1"/>
  <c r="F3720" i="1"/>
  <c r="H3719" i="1"/>
  <c r="G3719" i="1"/>
  <c r="F3719" i="1"/>
  <c r="H3718" i="1"/>
  <c r="G3718" i="1"/>
  <c r="F3718" i="1"/>
  <c r="H3717" i="1"/>
  <c r="G3717" i="1"/>
  <c r="F3717" i="1"/>
  <c r="H3716" i="1"/>
  <c r="G3716" i="1"/>
  <c r="F3716" i="1"/>
  <c r="H3715" i="1"/>
  <c r="G3715" i="1"/>
  <c r="F3715" i="1"/>
  <c r="H3714" i="1"/>
  <c r="G3714" i="1"/>
  <c r="F3714" i="1"/>
  <c r="H3713" i="1"/>
  <c r="G3713" i="1"/>
  <c r="F3713" i="1"/>
  <c r="H3712" i="1"/>
  <c r="G3712" i="1"/>
  <c r="F3712" i="1"/>
  <c r="H3711" i="1"/>
  <c r="G3711" i="1"/>
  <c r="F3711" i="1"/>
  <c r="H3710" i="1"/>
  <c r="G3710" i="1"/>
  <c r="F3710" i="1"/>
  <c r="H3709" i="1"/>
  <c r="G3709" i="1"/>
  <c r="F3709" i="1"/>
  <c r="H3708" i="1"/>
  <c r="G3708" i="1"/>
  <c r="F3708" i="1"/>
  <c r="H3707" i="1"/>
  <c r="G3707" i="1"/>
  <c r="F3707" i="1"/>
  <c r="H3706" i="1"/>
  <c r="G3706" i="1"/>
  <c r="F3706" i="1"/>
  <c r="H3705" i="1"/>
  <c r="G3705" i="1"/>
  <c r="F3705" i="1"/>
  <c r="H3704" i="1"/>
  <c r="G3704" i="1"/>
  <c r="F3704" i="1"/>
  <c r="H3703" i="1"/>
  <c r="G3703" i="1"/>
  <c r="F3703" i="1"/>
  <c r="H3702" i="1"/>
  <c r="G3702" i="1"/>
  <c r="F3702" i="1"/>
  <c r="H3701" i="1"/>
  <c r="G3701" i="1"/>
  <c r="F3701" i="1"/>
  <c r="H3700" i="1"/>
  <c r="G3700" i="1"/>
  <c r="F3700" i="1"/>
  <c r="H3699" i="1"/>
  <c r="G3699" i="1"/>
  <c r="F3699" i="1"/>
  <c r="H3698" i="1"/>
  <c r="G3698" i="1"/>
  <c r="F3698" i="1"/>
  <c r="H3697" i="1"/>
  <c r="G3697" i="1"/>
  <c r="F3697" i="1"/>
  <c r="H3696" i="1"/>
  <c r="G3696" i="1"/>
  <c r="F3696" i="1"/>
  <c r="H3695" i="1"/>
  <c r="G3695" i="1"/>
  <c r="F3695" i="1"/>
  <c r="H3694" i="1"/>
  <c r="G3694" i="1"/>
  <c r="F3694" i="1"/>
  <c r="H3693" i="1"/>
  <c r="G3693" i="1"/>
  <c r="F3693" i="1"/>
  <c r="H3692" i="1"/>
  <c r="G3692" i="1"/>
  <c r="F3692" i="1"/>
  <c r="H3691" i="1"/>
  <c r="G3691" i="1"/>
  <c r="F3691" i="1"/>
  <c r="H3690" i="1"/>
  <c r="G3690" i="1"/>
  <c r="F3690" i="1"/>
  <c r="H3689" i="1"/>
  <c r="G3689" i="1"/>
  <c r="F3689" i="1"/>
  <c r="H3688" i="1"/>
  <c r="G3688" i="1"/>
  <c r="F3688" i="1"/>
  <c r="H3687" i="1"/>
  <c r="G3687" i="1"/>
  <c r="F3687" i="1"/>
  <c r="H3686" i="1"/>
  <c r="G3686" i="1"/>
  <c r="F3686" i="1"/>
  <c r="H3685" i="1"/>
  <c r="G3685" i="1"/>
  <c r="F3685" i="1"/>
  <c r="H3684" i="1"/>
  <c r="G3684" i="1"/>
  <c r="F3684" i="1"/>
  <c r="H3683" i="1"/>
  <c r="G3683" i="1"/>
  <c r="F3683" i="1"/>
  <c r="H3682" i="1"/>
  <c r="G3682" i="1"/>
  <c r="F3682" i="1"/>
  <c r="H3681" i="1"/>
  <c r="G3681" i="1"/>
  <c r="F3681" i="1"/>
  <c r="H3680" i="1"/>
  <c r="G3680" i="1"/>
  <c r="F3680" i="1"/>
  <c r="H3679" i="1"/>
  <c r="G3679" i="1"/>
  <c r="F3679" i="1"/>
  <c r="H3678" i="1"/>
  <c r="G3678" i="1"/>
  <c r="F3678" i="1"/>
  <c r="H3677" i="1"/>
  <c r="G3677" i="1"/>
  <c r="F3677" i="1"/>
  <c r="H3676" i="1"/>
  <c r="G3676" i="1"/>
  <c r="F3676" i="1"/>
  <c r="H3675" i="1"/>
  <c r="G3675" i="1"/>
  <c r="F3675" i="1"/>
  <c r="H3674" i="1"/>
  <c r="G3674" i="1"/>
  <c r="F3674" i="1"/>
  <c r="H3673" i="1"/>
  <c r="G3673" i="1"/>
  <c r="F3673" i="1"/>
  <c r="H3672" i="1"/>
  <c r="G3672" i="1"/>
  <c r="F3672" i="1"/>
  <c r="H3671" i="1"/>
  <c r="G3671" i="1"/>
  <c r="F3671" i="1"/>
  <c r="H3670" i="1"/>
  <c r="G3670" i="1"/>
  <c r="F3670" i="1"/>
  <c r="H3669" i="1"/>
  <c r="G3669" i="1"/>
  <c r="F3669" i="1"/>
  <c r="H3668" i="1"/>
  <c r="G3668" i="1"/>
  <c r="F3668" i="1"/>
  <c r="H3667" i="1"/>
  <c r="G3667" i="1"/>
  <c r="F3667" i="1"/>
  <c r="H3666" i="1"/>
  <c r="G3666" i="1"/>
  <c r="F3666" i="1"/>
  <c r="H3665" i="1"/>
  <c r="G3665" i="1"/>
  <c r="F3665" i="1"/>
  <c r="H3664" i="1"/>
  <c r="G3664" i="1"/>
  <c r="F3664" i="1"/>
  <c r="H3663" i="1"/>
  <c r="G3663" i="1"/>
  <c r="F3663" i="1"/>
  <c r="H3662" i="1"/>
  <c r="G3662" i="1"/>
  <c r="F3662" i="1"/>
  <c r="H3661" i="1"/>
  <c r="G3661" i="1"/>
  <c r="F3661" i="1"/>
  <c r="H3660" i="1"/>
  <c r="G3660" i="1"/>
  <c r="F3660" i="1"/>
  <c r="H3659" i="1"/>
  <c r="G3659" i="1"/>
  <c r="F3659" i="1"/>
  <c r="H3658" i="1"/>
  <c r="G3658" i="1"/>
  <c r="F3658" i="1"/>
  <c r="H3657" i="1"/>
  <c r="G3657" i="1"/>
  <c r="F3657" i="1"/>
  <c r="H3656" i="1"/>
  <c r="G3656" i="1"/>
  <c r="F3656" i="1"/>
  <c r="H3655" i="1"/>
  <c r="G3655" i="1"/>
  <c r="F3655" i="1"/>
  <c r="H3654" i="1"/>
  <c r="G3654" i="1"/>
  <c r="F3654" i="1"/>
  <c r="H3653" i="1"/>
  <c r="G3653" i="1"/>
  <c r="F3653" i="1"/>
  <c r="H3652" i="1"/>
  <c r="G3652" i="1"/>
  <c r="F3652" i="1"/>
  <c r="H3651" i="1"/>
  <c r="G3651" i="1"/>
  <c r="F3651" i="1"/>
  <c r="H3650" i="1"/>
  <c r="G3650" i="1"/>
  <c r="F3650" i="1"/>
  <c r="H3649" i="1"/>
  <c r="G3649" i="1"/>
  <c r="F3649" i="1"/>
  <c r="H3648" i="1"/>
  <c r="G3648" i="1"/>
  <c r="F3648" i="1"/>
  <c r="H3647" i="1"/>
  <c r="G3647" i="1"/>
  <c r="F3647" i="1"/>
  <c r="H3646" i="1"/>
  <c r="G3646" i="1"/>
  <c r="F3646" i="1"/>
  <c r="H3645" i="1"/>
  <c r="G3645" i="1"/>
  <c r="F3645" i="1"/>
  <c r="H3644" i="1"/>
  <c r="G3644" i="1"/>
  <c r="F3644" i="1"/>
  <c r="H3643" i="1"/>
  <c r="G3643" i="1"/>
  <c r="F3643" i="1"/>
  <c r="H3642" i="1"/>
  <c r="G3642" i="1"/>
  <c r="F3642" i="1"/>
  <c r="H3641" i="1"/>
  <c r="G3641" i="1"/>
  <c r="F3641" i="1"/>
  <c r="H3640" i="1"/>
  <c r="G3640" i="1"/>
  <c r="F3640" i="1"/>
  <c r="H3639" i="1"/>
  <c r="G3639" i="1"/>
  <c r="F3639" i="1"/>
  <c r="H3638" i="1"/>
  <c r="G3638" i="1"/>
  <c r="F3638" i="1"/>
  <c r="H3637" i="1"/>
  <c r="G3637" i="1"/>
  <c r="F3637" i="1"/>
  <c r="H3636" i="1"/>
  <c r="G3636" i="1"/>
  <c r="F3636" i="1"/>
  <c r="H3635" i="1"/>
  <c r="G3635" i="1"/>
  <c r="F3635" i="1"/>
  <c r="H3634" i="1"/>
  <c r="G3634" i="1"/>
  <c r="F3634" i="1"/>
  <c r="H3633" i="1"/>
  <c r="G3633" i="1"/>
  <c r="F3633" i="1"/>
  <c r="H3632" i="1"/>
  <c r="G3632" i="1"/>
  <c r="F3632" i="1"/>
  <c r="H3631" i="1"/>
  <c r="G3631" i="1"/>
  <c r="F3631" i="1"/>
  <c r="H3630" i="1"/>
  <c r="G3630" i="1"/>
  <c r="F3630" i="1"/>
  <c r="H3629" i="1"/>
  <c r="G3629" i="1"/>
  <c r="F3629" i="1"/>
  <c r="H3628" i="1"/>
  <c r="G3628" i="1"/>
  <c r="F3628" i="1"/>
  <c r="H3627" i="1"/>
  <c r="G3627" i="1"/>
  <c r="F3627" i="1"/>
  <c r="H3626" i="1"/>
  <c r="G3626" i="1"/>
  <c r="F3626" i="1"/>
  <c r="H3625" i="1"/>
  <c r="G3625" i="1"/>
  <c r="F3625" i="1"/>
  <c r="H3624" i="1"/>
  <c r="G3624" i="1"/>
  <c r="F3624" i="1"/>
  <c r="H3623" i="1"/>
  <c r="G3623" i="1"/>
  <c r="F3623" i="1"/>
  <c r="H3622" i="1"/>
  <c r="G3622" i="1"/>
  <c r="F3622" i="1"/>
  <c r="H3621" i="1"/>
  <c r="G3621" i="1"/>
  <c r="F3621" i="1"/>
  <c r="H3620" i="1"/>
  <c r="G3620" i="1"/>
  <c r="F3620" i="1"/>
  <c r="H3619" i="1"/>
  <c r="G3619" i="1"/>
  <c r="F3619" i="1"/>
  <c r="H3618" i="1"/>
  <c r="G3618" i="1"/>
  <c r="F3618" i="1"/>
  <c r="H3617" i="1"/>
  <c r="G3617" i="1"/>
  <c r="F3617" i="1"/>
  <c r="H3616" i="1"/>
  <c r="G3616" i="1"/>
  <c r="F3616" i="1"/>
  <c r="H3615" i="1"/>
  <c r="G3615" i="1"/>
  <c r="F3615" i="1"/>
  <c r="H3614" i="1"/>
  <c r="G3614" i="1"/>
  <c r="F3614" i="1"/>
  <c r="H3613" i="1"/>
  <c r="G3613" i="1"/>
  <c r="F3613" i="1"/>
  <c r="H3612" i="1"/>
  <c r="G3612" i="1"/>
  <c r="F3612" i="1"/>
  <c r="H3611" i="1"/>
  <c r="G3611" i="1"/>
  <c r="F3611" i="1"/>
  <c r="H3610" i="1"/>
  <c r="G3610" i="1"/>
  <c r="F3610" i="1"/>
  <c r="H3609" i="1"/>
  <c r="G3609" i="1"/>
  <c r="F3609" i="1"/>
  <c r="H3608" i="1"/>
  <c r="G3608" i="1"/>
  <c r="F3608" i="1"/>
  <c r="H3607" i="1"/>
  <c r="G3607" i="1"/>
  <c r="F3607" i="1"/>
  <c r="H3606" i="1"/>
  <c r="G3606" i="1"/>
  <c r="F3606" i="1"/>
  <c r="H3605" i="1"/>
  <c r="G3605" i="1"/>
  <c r="F3605" i="1"/>
  <c r="H3604" i="1"/>
  <c r="G3604" i="1"/>
  <c r="F3604" i="1"/>
  <c r="H3603" i="1"/>
  <c r="G3603" i="1"/>
  <c r="F3603" i="1"/>
  <c r="H3602" i="1"/>
  <c r="G3602" i="1"/>
  <c r="F3602" i="1"/>
  <c r="H3601" i="1"/>
  <c r="G3601" i="1"/>
  <c r="F3601" i="1"/>
  <c r="H3600" i="1"/>
  <c r="G3600" i="1"/>
  <c r="F3600" i="1"/>
  <c r="H3599" i="1"/>
  <c r="G3599" i="1"/>
  <c r="F3599" i="1"/>
  <c r="H3598" i="1"/>
  <c r="G3598" i="1"/>
  <c r="F3598" i="1"/>
  <c r="H3597" i="1"/>
  <c r="G3597" i="1"/>
  <c r="F3597" i="1"/>
  <c r="H3596" i="1"/>
  <c r="G3596" i="1"/>
  <c r="F3596" i="1"/>
  <c r="H3595" i="1"/>
  <c r="G3595" i="1"/>
  <c r="F3595" i="1"/>
  <c r="H3594" i="1"/>
  <c r="G3594" i="1"/>
  <c r="F3594" i="1"/>
  <c r="H3593" i="1"/>
  <c r="G3593" i="1"/>
  <c r="F3593" i="1"/>
  <c r="H3592" i="1"/>
  <c r="G3592" i="1"/>
  <c r="F3592" i="1"/>
  <c r="H3591" i="1"/>
  <c r="G3591" i="1"/>
  <c r="F3591" i="1"/>
  <c r="H3590" i="1"/>
  <c r="G3590" i="1"/>
  <c r="F3590" i="1"/>
  <c r="H3589" i="1"/>
  <c r="G3589" i="1"/>
  <c r="F3589" i="1"/>
  <c r="H3588" i="1"/>
  <c r="G3588" i="1"/>
  <c r="F3588" i="1"/>
  <c r="H3587" i="1"/>
  <c r="G3587" i="1"/>
  <c r="F3587" i="1"/>
  <c r="H3586" i="1"/>
  <c r="G3586" i="1"/>
  <c r="F3586" i="1"/>
  <c r="H3585" i="1"/>
  <c r="G3585" i="1"/>
  <c r="F3585" i="1"/>
  <c r="H3584" i="1"/>
  <c r="G3584" i="1"/>
  <c r="F3584" i="1"/>
  <c r="H3583" i="1"/>
  <c r="G3583" i="1"/>
  <c r="F3583" i="1"/>
  <c r="H3582" i="1"/>
  <c r="G3582" i="1"/>
  <c r="F3582" i="1"/>
  <c r="H3581" i="1"/>
  <c r="G3581" i="1"/>
  <c r="F3581" i="1"/>
  <c r="H3580" i="1"/>
  <c r="G3580" i="1"/>
  <c r="F3580" i="1"/>
  <c r="H3579" i="1"/>
  <c r="G3579" i="1"/>
  <c r="F3579" i="1"/>
  <c r="H3578" i="1"/>
  <c r="G3578" i="1"/>
  <c r="F3578" i="1"/>
  <c r="H3577" i="1"/>
  <c r="G3577" i="1"/>
  <c r="F3577" i="1"/>
  <c r="H3576" i="1"/>
  <c r="G3576" i="1"/>
  <c r="F3576" i="1"/>
  <c r="H3575" i="1"/>
  <c r="G3575" i="1"/>
  <c r="F3575" i="1"/>
  <c r="H3574" i="1"/>
  <c r="G3574" i="1"/>
  <c r="F3574" i="1"/>
  <c r="H3573" i="1"/>
  <c r="G3573" i="1"/>
  <c r="F3573" i="1"/>
  <c r="H3572" i="1"/>
  <c r="G3572" i="1"/>
  <c r="F3572" i="1"/>
  <c r="H3571" i="1"/>
  <c r="G3571" i="1"/>
  <c r="F3571" i="1"/>
  <c r="H3570" i="1"/>
  <c r="G3570" i="1"/>
  <c r="F3570" i="1"/>
  <c r="H3569" i="1"/>
  <c r="G3569" i="1"/>
  <c r="F3569" i="1"/>
  <c r="H3568" i="1"/>
  <c r="G3568" i="1"/>
  <c r="F3568" i="1"/>
  <c r="H3567" i="1"/>
  <c r="G3567" i="1"/>
  <c r="F3567" i="1"/>
  <c r="H3566" i="1"/>
  <c r="G3566" i="1"/>
  <c r="F3566" i="1"/>
  <c r="H3565" i="1"/>
  <c r="G3565" i="1"/>
  <c r="F3565" i="1"/>
  <c r="H3564" i="1"/>
  <c r="G3564" i="1"/>
  <c r="F3564" i="1"/>
  <c r="H3563" i="1"/>
  <c r="G3563" i="1"/>
  <c r="F3563" i="1"/>
  <c r="H3562" i="1"/>
  <c r="G3562" i="1"/>
  <c r="F3562" i="1"/>
  <c r="H3561" i="1"/>
  <c r="G3561" i="1"/>
  <c r="F3561" i="1"/>
  <c r="H3560" i="1"/>
  <c r="G3560" i="1"/>
  <c r="F3560" i="1"/>
  <c r="H3559" i="1"/>
  <c r="G3559" i="1"/>
  <c r="F3559" i="1"/>
  <c r="H3558" i="1"/>
  <c r="G3558" i="1"/>
  <c r="F3558" i="1"/>
  <c r="H3557" i="1"/>
  <c r="G3557" i="1"/>
  <c r="F3557" i="1"/>
  <c r="H3556" i="1"/>
  <c r="G3556" i="1"/>
  <c r="F3556" i="1"/>
  <c r="H3555" i="1"/>
  <c r="G3555" i="1"/>
  <c r="F3555" i="1"/>
  <c r="H3554" i="1"/>
  <c r="G3554" i="1"/>
  <c r="F3554" i="1"/>
  <c r="H3553" i="1"/>
  <c r="G3553" i="1"/>
  <c r="F3553" i="1"/>
  <c r="H3552" i="1"/>
  <c r="G3552" i="1"/>
  <c r="F3552" i="1"/>
  <c r="H3551" i="1"/>
  <c r="G3551" i="1"/>
  <c r="F3551" i="1"/>
  <c r="H3550" i="1"/>
  <c r="G3550" i="1"/>
  <c r="F3550" i="1"/>
  <c r="H3549" i="1"/>
  <c r="G3549" i="1"/>
  <c r="F3549" i="1"/>
  <c r="H3548" i="1"/>
  <c r="G3548" i="1"/>
  <c r="F3548" i="1"/>
  <c r="H3547" i="1"/>
  <c r="G3547" i="1"/>
  <c r="F3547" i="1"/>
  <c r="H3546" i="1"/>
  <c r="G3546" i="1"/>
  <c r="F3546" i="1"/>
  <c r="H3545" i="1"/>
  <c r="G3545" i="1"/>
  <c r="F3545" i="1"/>
  <c r="H3544" i="1"/>
  <c r="G3544" i="1"/>
  <c r="F3544" i="1"/>
  <c r="H3543" i="1"/>
  <c r="G3543" i="1"/>
  <c r="F3543" i="1"/>
  <c r="H3542" i="1"/>
  <c r="G3542" i="1"/>
  <c r="F3542" i="1"/>
  <c r="H3541" i="1"/>
  <c r="G3541" i="1"/>
  <c r="F3541" i="1"/>
  <c r="H3540" i="1"/>
  <c r="G3540" i="1"/>
  <c r="F3540" i="1"/>
  <c r="H3539" i="1"/>
  <c r="G3539" i="1"/>
  <c r="F3539" i="1"/>
  <c r="H3538" i="1"/>
  <c r="G3538" i="1"/>
  <c r="F3538" i="1"/>
  <c r="H3537" i="1"/>
  <c r="G3537" i="1"/>
  <c r="F3537" i="1"/>
  <c r="H3536" i="1"/>
  <c r="G3536" i="1"/>
  <c r="F3536" i="1"/>
  <c r="H3535" i="1"/>
  <c r="G3535" i="1"/>
  <c r="F3535" i="1"/>
  <c r="H3534" i="1"/>
  <c r="G3534" i="1"/>
  <c r="F3534" i="1"/>
  <c r="H3533" i="1"/>
  <c r="G3533" i="1"/>
  <c r="F3533" i="1"/>
  <c r="H3532" i="1"/>
  <c r="G3532" i="1"/>
  <c r="F3532" i="1"/>
  <c r="H3531" i="1"/>
  <c r="G3531" i="1"/>
  <c r="F3531" i="1"/>
  <c r="H3530" i="1"/>
  <c r="G3530" i="1"/>
  <c r="F3530" i="1"/>
  <c r="H3529" i="1"/>
  <c r="G3529" i="1"/>
  <c r="F3529" i="1"/>
  <c r="H3528" i="1"/>
  <c r="G3528" i="1"/>
  <c r="F3528" i="1"/>
  <c r="H3527" i="1"/>
  <c r="G3527" i="1"/>
  <c r="F3527" i="1"/>
  <c r="H3526" i="1"/>
  <c r="G3526" i="1"/>
  <c r="F3526" i="1"/>
  <c r="H3525" i="1"/>
  <c r="G3525" i="1"/>
  <c r="F3525" i="1"/>
  <c r="H3524" i="1"/>
  <c r="G3524" i="1"/>
  <c r="F3524" i="1"/>
  <c r="H3523" i="1"/>
  <c r="G3523" i="1"/>
  <c r="F3523" i="1"/>
  <c r="H3522" i="1"/>
  <c r="G3522" i="1"/>
  <c r="F3522" i="1"/>
  <c r="H3521" i="1"/>
  <c r="G3521" i="1"/>
  <c r="F3521" i="1"/>
  <c r="H3520" i="1"/>
  <c r="G3520" i="1"/>
  <c r="F3520" i="1"/>
  <c r="H3519" i="1"/>
  <c r="G3519" i="1"/>
  <c r="F3519" i="1"/>
  <c r="H3518" i="1"/>
  <c r="G3518" i="1"/>
  <c r="F3518" i="1"/>
  <c r="H3517" i="1"/>
  <c r="G3517" i="1"/>
  <c r="F3517" i="1"/>
  <c r="H3516" i="1"/>
  <c r="G3516" i="1"/>
  <c r="F3516" i="1"/>
  <c r="H3515" i="1"/>
  <c r="G3515" i="1"/>
  <c r="F3515" i="1"/>
  <c r="H3514" i="1"/>
  <c r="G3514" i="1"/>
  <c r="F3514" i="1"/>
  <c r="H3513" i="1"/>
  <c r="G3513" i="1"/>
  <c r="F3513" i="1"/>
  <c r="H3512" i="1"/>
  <c r="G3512" i="1"/>
  <c r="F3512" i="1"/>
  <c r="H3511" i="1"/>
  <c r="G3511" i="1"/>
  <c r="F3511" i="1"/>
  <c r="H3510" i="1"/>
  <c r="G3510" i="1"/>
  <c r="F3510" i="1"/>
  <c r="H3509" i="1"/>
  <c r="G3509" i="1"/>
  <c r="F3509" i="1"/>
  <c r="H3508" i="1"/>
  <c r="G3508" i="1"/>
  <c r="F3508" i="1"/>
  <c r="H3507" i="1"/>
  <c r="G3507" i="1"/>
  <c r="F3507" i="1"/>
  <c r="H3506" i="1"/>
  <c r="G3506" i="1"/>
  <c r="F3506" i="1"/>
  <c r="H3505" i="1"/>
  <c r="G3505" i="1"/>
  <c r="F3505" i="1"/>
  <c r="H3504" i="1"/>
  <c r="G3504" i="1"/>
  <c r="F3504" i="1"/>
  <c r="H3503" i="1"/>
  <c r="G3503" i="1"/>
  <c r="F3503" i="1"/>
  <c r="H3502" i="1"/>
  <c r="G3502" i="1"/>
  <c r="F3502" i="1"/>
  <c r="H3501" i="1"/>
  <c r="G3501" i="1"/>
  <c r="F3501" i="1"/>
  <c r="H3500" i="1"/>
  <c r="G3500" i="1"/>
  <c r="F3500" i="1"/>
  <c r="H3499" i="1"/>
  <c r="G3499" i="1"/>
  <c r="F3499" i="1"/>
  <c r="H3498" i="1"/>
  <c r="G3498" i="1"/>
  <c r="F3498" i="1"/>
  <c r="H3497" i="1"/>
  <c r="G3497" i="1"/>
  <c r="F3497" i="1"/>
  <c r="H3496" i="1"/>
  <c r="G3496" i="1"/>
  <c r="F3496" i="1"/>
  <c r="H3495" i="1"/>
  <c r="G3495" i="1"/>
  <c r="F3495" i="1"/>
  <c r="H3494" i="1"/>
  <c r="G3494" i="1"/>
  <c r="F3494" i="1"/>
  <c r="H3493" i="1"/>
  <c r="G3493" i="1"/>
  <c r="F3493" i="1"/>
  <c r="H3492" i="1"/>
  <c r="G3492" i="1"/>
  <c r="F3492" i="1"/>
  <c r="H3491" i="1"/>
  <c r="G3491" i="1"/>
  <c r="F3491" i="1"/>
  <c r="H3490" i="1"/>
  <c r="G3490" i="1"/>
  <c r="F3490" i="1"/>
  <c r="H3489" i="1"/>
  <c r="G3489" i="1"/>
  <c r="F3489" i="1"/>
  <c r="H3488" i="1"/>
  <c r="G3488" i="1"/>
  <c r="F3488" i="1"/>
  <c r="H3487" i="1"/>
  <c r="G3487" i="1"/>
  <c r="F3487" i="1"/>
  <c r="H3486" i="1"/>
  <c r="G3486" i="1"/>
  <c r="F3486" i="1"/>
  <c r="H3485" i="1"/>
  <c r="G3485" i="1"/>
  <c r="F3485" i="1"/>
  <c r="H3484" i="1"/>
  <c r="G3484" i="1"/>
  <c r="F3484" i="1"/>
  <c r="H3483" i="1"/>
  <c r="G3483" i="1"/>
  <c r="F3483" i="1"/>
  <c r="H3482" i="1"/>
  <c r="G3482" i="1"/>
  <c r="F3482" i="1"/>
  <c r="H3481" i="1"/>
  <c r="G3481" i="1"/>
  <c r="F3481" i="1"/>
  <c r="H3480" i="1"/>
  <c r="G3480" i="1"/>
  <c r="F3480" i="1"/>
  <c r="H3479" i="1"/>
  <c r="G3479" i="1"/>
  <c r="F3479" i="1"/>
  <c r="H3478" i="1"/>
  <c r="G3478" i="1"/>
  <c r="F3478" i="1"/>
  <c r="H3477" i="1"/>
  <c r="G3477" i="1"/>
  <c r="F3477" i="1"/>
  <c r="H3476" i="1"/>
  <c r="G3476" i="1"/>
  <c r="F3476" i="1"/>
  <c r="H3475" i="1"/>
  <c r="G3475" i="1"/>
  <c r="F3475" i="1"/>
  <c r="H3474" i="1"/>
  <c r="G3474" i="1"/>
  <c r="F3474" i="1"/>
  <c r="H3473" i="1"/>
  <c r="G3473" i="1"/>
  <c r="F3473" i="1"/>
  <c r="H3472" i="1"/>
  <c r="G3472" i="1"/>
  <c r="F3472" i="1"/>
  <c r="H3471" i="1"/>
  <c r="G3471" i="1"/>
  <c r="F3471" i="1"/>
  <c r="H3470" i="1"/>
  <c r="G3470" i="1"/>
  <c r="F3470" i="1"/>
  <c r="H3469" i="1"/>
  <c r="G3469" i="1"/>
  <c r="F3469" i="1"/>
  <c r="H3468" i="1"/>
  <c r="G3468" i="1"/>
  <c r="F3468" i="1"/>
  <c r="H3467" i="1"/>
  <c r="G3467" i="1"/>
  <c r="F3467" i="1"/>
  <c r="H3466" i="1"/>
  <c r="G3466" i="1"/>
  <c r="F3466" i="1"/>
  <c r="H3465" i="1"/>
  <c r="G3465" i="1"/>
  <c r="F3465" i="1"/>
  <c r="H3464" i="1"/>
  <c r="G3464" i="1"/>
  <c r="F3464" i="1"/>
  <c r="H3463" i="1"/>
  <c r="G3463" i="1"/>
  <c r="F3463" i="1"/>
  <c r="H3462" i="1"/>
  <c r="G3462" i="1"/>
  <c r="F3462" i="1"/>
  <c r="H3461" i="1"/>
  <c r="G3461" i="1"/>
  <c r="F3461" i="1"/>
  <c r="H3460" i="1"/>
  <c r="G3460" i="1"/>
  <c r="F3460" i="1"/>
  <c r="H3459" i="1"/>
  <c r="G3459" i="1"/>
  <c r="F3459" i="1"/>
  <c r="H3458" i="1"/>
  <c r="G3458" i="1"/>
  <c r="F3458" i="1"/>
  <c r="H3457" i="1"/>
  <c r="G3457" i="1"/>
  <c r="F3457" i="1"/>
  <c r="H3456" i="1"/>
  <c r="G3456" i="1"/>
  <c r="F3456" i="1"/>
  <c r="H3455" i="1"/>
  <c r="G3455" i="1"/>
  <c r="F3455" i="1"/>
  <c r="H3454" i="1"/>
  <c r="G3454" i="1"/>
  <c r="F3454" i="1"/>
  <c r="H3453" i="1"/>
  <c r="G3453" i="1"/>
  <c r="F3453" i="1"/>
  <c r="H3452" i="1"/>
  <c r="G3452" i="1"/>
  <c r="F3452" i="1"/>
  <c r="H3451" i="1"/>
  <c r="G3451" i="1"/>
  <c r="F3451" i="1"/>
  <c r="H3450" i="1"/>
  <c r="G3450" i="1"/>
  <c r="F3450" i="1"/>
  <c r="H3449" i="1"/>
  <c r="G3449" i="1"/>
  <c r="F3449" i="1"/>
  <c r="H3448" i="1"/>
  <c r="G3448" i="1"/>
  <c r="F3448" i="1"/>
  <c r="H3447" i="1"/>
  <c r="G3447" i="1"/>
  <c r="F3447" i="1"/>
  <c r="H3446" i="1"/>
  <c r="G3446" i="1"/>
  <c r="F3446" i="1"/>
  <c r="H3445" i="1"/>
  <c r="G3445" i="1"/>
  <c r="F3445" i="1"/>
  <c r="H3444" i="1"/>
  <c r="G3444" i="1"/>
  <c r="F3444" i="1"/>
  <c r="H3443" i="1"/>
  <c r="G3443" i="1"/>
  <c r="F3443" i="1"/>
  <c r="H3442" i="1"/>
  <c r="G3442" i="1"/>
  <c r="F3442" i="1"/>
  <c r="H3441" i="1"/>
  <c r="G3441" i="1"/>
  <c r="F3441" i="1"/>
  <c r="H3440" i="1"/>
  <c r="G3440" i="1"/>
  <c r="F3440" i="1"/>
  <c r="H3439" i="1"/>
  <c r="G3439" i="1"/>
  <c r="F3439" i="1"/>
  <c r="H3438" i="1"/>
  <c r="G3438" i="1"/>
  <c r="F3438" i="1"/>
  <c r="H3437" i="1"/>
  <c r="G3437" i="1"/>
  <c r="F3437" i="1"/>
  <c r="H3436" i="1"/>
  <c r="G3436" i="1"/>
  <c r="F3436" i="1"/>
  <c r="H3435" i="1"/>
  <c r="G3435" i="1"/>
  <c r="F3435" i="1"/>
  <c r="H3434" i="1"/>
  <c r="G3434" i="1"/>
  <c r="F3434" i="1"/>
  <c r="H3433" i="1"/>
  <c r="G3433" i="1"/>
  <c r="F3433" i="1"/>
  <c r="H3432" i="1"/>
  <c r="G3432" i="1"/>
  <c r="F3432" i="1"/>
  <c r="H3431" i="1"/>
  <c r="G3431" i="1"/>
  <c r="F3431" i="1"/>
  <c r="H3430" i="1"/>
  <c r="G3430" i="1"/>
  <c r="F3430" i="1"/>
  <c r="H3429" i="1"/>
  <c r="G3429" i="1"/>
  <c r="F3429" i="1"/>
  <c r="H3428" i="1"/>
  <c r="G3428" i="1"/>
  <c r="F3428" i="1"/>
  <c r="H3427" i="1"/>
  <c r="G3427" i="1"/>
  <c r="F3427" i="1"/>
  <c r="H3426" i="1"/>
  <c r="G3426" i="1"/>
  <c r="F3426" i="1"/>
  <c r="H3425" i="1"/>
  <c r="G3425" i="1"/>
  <c r="F3425" i="1"/>
  <c r="H3424" i="1"/>
  <c r="G3424" i="1"/>
  <c r="F3424" i="1"/>
  <c r="H3423" i="1"/>
  <c r="G3423" i="1"/>
  <c r="F3423" i="1"/>
  <c r="H3422" i="1"/>
  <c r="G3422" i="1"/>
  <c r="F3422" i="1"/>
  <c r="H3421" i="1"/>
  <c r="G3421" i="1"/>
  <c r="F3421" i="1"/>
  <c r="H3420" i="1"/>
  <c r="G3420" i="1"/>
  <c r="F3420" i="1"/>
  <c r="H3419" i="1"/>
  <c r="G3419" i="1"/>
  <c r="F3419" i="1"/>
  <c r="H3418" i="1"/>
  <c r="G3418" i="1"/>
  <c r="F3418" i="1"/>
  <c r="H3417" i="1"/>
  <c r="G3417" i="1"/>
  <c r="F3417" i="1"/>
  <c r="H3416" i="1"/>
  <c r="G3416" i="1"/>
  <c r="F3416" i="1"/>
  <c r="H3415" i="1"/>
  <c r="G3415" i="1"/>
  <c r="F3415" i="1"/>
  <c r="H3414" i="1"/>
  <c r="G3414" i="1"/>
  <c r="F3414" i="1"/>
  <c r="H3413" i="1"/>
  <c r="G3413" i="1"/>
  <c r="F3413" i="1"/>
  <c r="H3412" i="1"/>
  <c r="G3412" i="1"/>
  <c r="F3412" i="1"/>
  <c r="H3411" i="1"/>
  <c r="G3411" i="1"/>
  <c r="F3411" i="1"/>
  <c r="H3410" i="1"/>
  <c r="G3410" i="1"/>
  <c r="F3410" i="1"/>
  <c r="H3409" i="1"/>
  <c r="G3409" i="1"/>
  <c r="F3409" i="1"/>
  <c r="H3408" i="1"/>
  <c r="G3408" i="1"/>
  <c r="F3408" i="1"/>
  <c r="H3407" i="1"/>
  <c r="G3407" i="1"/>
  <c r="F3407" i="1"/>
  <c r="H3406" i="1"/>
  <c r="G3406" i="1"/>
  <c r="F3406" i="1"/>
  <c r="H3405" i="1"/>
  <c r="G3405" i="1"/>
  <c r="F3405" i="1"/>
  <c r="H3404" i="1"/>
  <c r="G3404" i="1"/>
  <c r="F3404" i="1"/>
  <c r="H3403" i="1"/>
  <c r="G3403" i="1"/>
  <c r="F3403" i="1"/>
  <c r="H3402" i="1"/>
  <c r="G3402" i="1"/>
  <c r="F3402" i="1"/>
  <c r="H3401" i="1"/>
  <c r="G3401" i="1"/>
  <c r="F3401" i="1"/>
  <c r="H3400" i="1"/>
  <c r="G3400" i="1"/>
  <c r="F3400" i="1"/>
  <c r="H3399" i="1"/>
  <c r="G3399" i="1"/>
  <c r="F3399" i="1"/>
  <c r="H3398" i="1"/>
  <c r="G3398" i="1"/>
  <c r="F3398" i="1"/>
  <c r="H3397" i="1"/>
  <c r="G3397" i="1"/>
  <c r="F3397" i="1"/>
  <c r="H3396" i="1"/>
  <c r="G3396" i="1"/>
  <c r="F3396" i="1"/>
  <c r="H3395" i="1"/>
  <c r="G3395" i="1"/>
  <c r="F3395" i="1"/>
  <c r="H3394" i="1"/>
  <c r="G3394" i="1"/>
  <c r="F3394" i="1"/>
  <c r="H3393" i="1"/>
  <c r="G3393" i="1"/>
  <c r="F3393" i="1"/>
  <c r="H3392" i="1"/>
  <c r="G3392" i="1"/>
  <c r="F3392" i="1"/>
  <c r="H3391" i="1"/>
  <c r="G3391" i="1"/>
  <c r="F3391" i="1"/>
  <c r="H3390" i="1"/>
  <c r="G3390" i="1"/>
  <c r="F3390" i="1"/>
  <c r="H3389" i="1"/>
  <c r="G3389" i="1"/>
  <c r="F3389" i="1"/>
  <c r="H3388" i="1"/>
  <c r="G3388" i="1"/>
  <c r="F3388" i="1"/>
  <c r="H3387" i="1"/>
  <c r="G3387" i="1"/>
  <c r="F3387" i="1"/>
  <c r="H3386" i="1"/>
  <c r="G3386" i="1"/>
  <c r="F3386" i="1"/>
  <c r="H3385" i="1"/>
  <c r="G3385" i="1"/>
  <c r="F3385" i="1"/>
  <c r="H3384" i="1"/>
  <c r="G3384" i="1"/>
  <c r="F3384" i="1"/>
  <c r="H3383" i="1"/>
  <c r="G3383" i="1"/>
  <c r="F3383" i="1"/>
  <c r="H3382" i="1"/>
  <c r="G3382" i="1"/>
  <c r="F3382" i="1"/>
  <c r="H3381" i="1"/>
  <c r="G3381" i="1"/>
  <c r="F3381" i="1"/>
  <c r="H3380" i="1"/>
  <c r="G3380" i="1"/>
  <c r="F3380" i="1"/>
  <c r="H3379" i="1"/>
  <c r="G3379" i="1"/>
  <c r="F3379" i="1"/>
  <c r="H3378" i="1"/>
  <c r="G3378" i="1"/>
  <c r="F3378" i="1"/>
  <c r="H3377" i="1"/>
  <c r="G3377" i="1"/>
  <c r="F3377" i="1"/>
  <c r="H3376" i="1"/>
  <c r="G3376" i="1"/>
  <c r="F3376" i="1"/>
  <c r="H3375" i="1"/>
  <c r="G3375" i="1"/>
  <c r="F3375" i="1"/>
  <c r="H3374" i="1"/>
  <c r="G3374" i="1"/>
  <c r="F3374" i="1"/>
  <c r="H3373" i="1"/>
  <c r="G3373" i="1"/>
  <c r="F3373" i="1"/>
  <c r="H3372" i="1"/>
  <c r="G3372" i="1"/>
  <c r="F3372" i="1"/>
  <c r="H3371" i="1"/>
  <c r="G3371" i="1"/>
  <c r="F3371" i="1"/>
  <c r="H3370" i="1"/>
  <c r="G3370" i="1"/>
  <c r="F3370" i="1"/>
  <c r="H3369" i="1"/>
  <c r="G3369" i="1"/>
  <c r="F3369" i="1"/>
  <c r="H3368" i="1"/>
  <c r="G3368" i="1"/>
  <c r="F3368" i="1"/>
  <c r="H3367" i="1"/>
  <c r="G3367" i="1"/>
  <c r="F3367" i="1"/>
  <c r="H3366" i="1"/>
  <c r="G3366" i="1"/>
  <c r="F3366" i="1"/>
  <c r="H3365" i="1"/>
  <c r="G3365" i="1"/>
  <c r="F3365" i="1"/>
  <c r="H3364" i="1"/>
  <c r="G3364" i="1"/>
  <c r="F3364" i="1"/>
  <c r="H3363" i="1"/>
  <c r="G3363" i="1"/>
  <c r="F3363" i="1"/>
  <c r="H3362" i="1"/>
  <c r="G3362" i="1"/>
  <c r="F3362" i="1"/>
  <c r="H3361" i="1"/>
  <c r="G3361" i="1"/>
  <c r="F3361" i="1"/>
  <c r="H3360" i="1"/>
  <c r="G3360" i="1"/>
  <c r="F3360" i="1"/>
  <c r="H3359" i="1"/>
  <c r="G3359" i="1"/>
  <c r="F3359" i="1"/>
  <c r="H3358" i="1"/>
  <c r="G3358" i="1"/>
  <c r="F3358" i="1"/>
  <c r="H3357" i="1"/>
  <c r="G3357" i="1"/>
  <c r="F3357" i="1"/>
  <c r="H3356" i="1"/>
  <c r="G3356" i="1"/>
  <c r="F3356" i="1"/>
  <c r="H3355" i="1"/>
  <c r="G3355" i="1"/>
  <c r="F3355" i="1"/>
  <c r="H3354" i="1"/>
  <c r="G3354" i="1"/>
  <c r="F3354" i="1"/>
  <c r="H3353" i="1"/>
  <c r="G3353" i="1"/>
  <c r="F3353" i="1"/>
  <c r="H3352" i="1"/>
  <c r="G3352" i="1"/>
  <c r="F3352" i="1"/>
  <c r="H3351" i="1"/>
  <c r="G3351" i="1"/>
  <c r="F3351" i="1"/>
  <c r="H3350" i="1"/>
  <c r="G3350" i="1"/>
  <c r="F3350" i="1"/>
  <c r="H3349" i="1"/>
  <c r="G3349" i="1"/>
  <c r="F3349" i="1"/>
  <c r="H3348" i="1"/>
  <c r="G3348" i="1"/>
  <c r="F3348" i="1"/>
  <c r="H3347" i="1"/>
  <c r="G3347" i="1"/>
  <c r="F3347" i="1"/>
  <c r="H3346" i="1"/>
  <c r="G3346" i="1"/>
  <c r="F3346" i="1"/>
  <c r="H3345" i="1"/>
  <c r="G3345" i="1"/>
  <c r="F3345" i="1"/>
  <c r="H3344" i="1"/>
  <c r="G3344" i="1"/>
  <c r="F3344" i="1"/>
  <c r="H3343" i="1"/>
  <c r="G3343" i="1"/>
  <c r="F3343" i="1"/>
  <c r="H3342" i="1"/>
  <c r="G3342" i="1"/>
  <c r="F3342" i="1"/>
  <c r="H3341" i="1"/>
  <c r="G3341" i="1"/>
  <c r="F3341" i="1"/>
  <c r="H3340" i="1"/>
  <c r="G3340" i="1"/>
  <c r="F3340" i="1"/>
  <c r="H3339" i="1"/>
  <c r="G3339" i="1"/>
  <c r="F3339" i="1"/>
  <c r="H3338" i="1"/>
  <c r="G3338" i="1"/>
  <c r="F3338" i="1"/>
  <c r="H3337" i="1"/>
  <c r="G3337" i="1"/>
  <c r="F3337" i="1"/>
  <c r="H3336" i="1"/>
  <c r="G3336" i="1"/>
  <c r="F3336" i="1"/>
  <c r="H3335" i="1"/>
  <c r="G3335" i="1"/>
  <c r="F3335" i="1"/>
  <c r="H3334" i="1"/>
  <c r="G3334" i="1"/>
  <c r="F3334" i="1"/>
  <c r="H3333" i="1"/>
  <c r="G3333" i="1"/>
  <c r="F3333" i="1"/>
  <c r="H3332" i="1"/>
  <c r="G3332" i="1"/>
  <c r="F3332" i="1"/>
  <c r="H3331" i="1"/>
  <c r="G3331" i="1"/>
  <c r="F3331" i="1"/>
  <c r="H3330" i="1"/>
  <c r="G3330" i="1"/>
  <c r="F3330" i="1"/>
  <c r="H3329" i="1"/>
  <c r="G3329" i="1"/>
  <c r="F3329" i="1"/>
  <c r="H3328" i="1"/>
  <c r="G3328" i="1"/>
  <c r="F3328" i="1"/>
  <c r="H3327" i="1"/>
  <c r="G3327" i="1"/>
  <c r="F3327" i="1"/>
  <c r="H3326" i="1"/>
  <c r="G3326" i="1"/>
  <c r="F3326" i="1"/>
  <c r="H3325" i="1"/>
  <c r="G3325" i="1"/>
  <c r="F3325" i="1"/>
  <c r="H3324" i="1"/>
  <c r="G3324" i="1"/>
  <c r="F3324" i="1"/>
  <c r="H3323" i="1"/>
  <c r="G3323" i="1"/>
  <c r="F3323" i="1"/>
  <c r="H3322" i="1"/>
  <c r="G3322" i="1"/>
  <c r="F3322" i="1"/>
  <c r="H3321" i="1"/>
  <c r="G3321" i="1"/>
  <c r="F3321" i="1"/>
  <c r="H3320" i="1"/>
  <c r="G3320" i="1"/>
  <c r="F3320" i="1"/>
  <c r="H3319" i="1"/>
  <c r="G3319" i="1"/>
  <c r="F3319" i="1"/>
  <c r="H3318" i="1"/>
  <c r="G3318" i="1"/>
  <c r="F3318" i="1"/>
  <c r="H3317" i="1"/>
  <c r="G3317" i="1"/>
  <c r="F3317" i="1"/>
  <c r="H3316" i="1"/>
  <c r="G3316" i="1"/>
  <c r="F3316" i="1"/>
  <c r="H3315" i="1"/>
  <c r="G3315" i="1"/>
  <c r="F3315" i="1"/>
  <c r="H3314" i="1"/>
  <c r="G3314" i="1"/>
  <c r="F3314" i="1"/>
  <c r="H3313" i="1"/>
  <c r="G3313" i="1"/>
  <c r="F3313" i="1"/>
  <c r="H3312" i="1"/>
  <c r="G3312" i="1"/>
  <c r="F3312" i="1"/>
  <c r="H3311" i="1"/>
  <c r="G3311" i="1"/>
  <c r="F3311" i="1"/>
  <c r="H3310" i="1"/>
  <c r="G3310" i="1"/>
  <c r="F3310" i="1"/>
  <c r="H3309" i="1"/>
  <c r="G3309" i="1"/>
  <c r="F3309" i="1"/>
  <c r="H3308" i="1"/>
  <c r="G3308" i="1"/>
  <c r="F3308" i="1"/>
  <c r="H3307" i="1"/>
  <c r="G3307" i="1"/>
  <c r="F3307" i="1"/>
  <c r="H3306" i="1"/>
  <c r="G3306" i="1"/>
  <c r="F3306" i="1"/>
  <c r="H3305" i="1"/>
  <c r="G3305" i="1"/>
  <c r="F3305" i="1"/>
  <c r="H3304" i="1"/>
  <c r="G3304" i="1"/>
  <c r="F3304" i="1"/>
  <c r="H3303" i="1"/>
  <c r="G3303" i="1"/>
  <c r="F3303" i="1"/>
  <c r="H3302" i="1"/>
  <c r="G3302" i="1"/>
  <c r="F3302" i="1"/>
  <c r="H3301" i="1"/>
  <c r="G3301" i="1"/>
  <c r="F3301" i="1"/>
  <c r="H3300" i="1"/>
  <c r="G3300" i="1"/>
  <c r="F3300" i="1"/>
  <c r="H3299" i="1"/>
  <c r="G3299" i="1"/>
  <c r="F3299" i="1"/>
  <c r="H3298" i="1"/>
  <c r="G3298" i="1"/>
  <c r="F3298" i="1"/>
  <c r="H3297" i="1"/>
  <c r="G3297" i="1"/>
  <c r="F3297" i="1"/>
  <c r="H3296" i="1"/>
  <c r="G3296" i="1"/>
  <c r="F3296" i="1"/>
  <c r="H3295" i="1"/>
  <c r="G3295" i="1"/>
  <c r="F3295" i="1"/>
  <c r="H3294" i="1"/>
  <c r="G3294" i="1"/>
  <c r="F3294" i="1"/>
  <c r="H3293" i="1"/>
  <c r="G3293" i="1"/>
  <c r="F3293" i="1"/>
  <c r="H3292" i="1"/>
  <c r="G3292" i="1"/>
  <c r="F3292" i="1"/>
  <c r="H3291" i="1"/>
  <c r="G3291" i="1"/>
  <c r="F3291" i="1"/>
  <c r="H3290" i="1"/>
  <c r="G3290" i="1"/>
  <c r="F3290" i="1"/>
  <c r="H3289" i="1"/>
  <c r="G3289" i="1"/>
  <c r="F3289" i="1"/>
  <c r="H3288" i="1"/>
  <c r="G3288" i="1"/>
  <c r="F3288" i="1"/>
  <c r="H3287" i="1"/>
  <c r="G3287" i="1"/>
  <c r="F3287" i="1"/>
  <c r="H3286" i="1"/>
  <c r="G3286" i="1"/>
  <c r="F3286" i="1"/>
  <c r="H3285" i="1"/>
  <c r="G3285" i="1"/>
  <c r="F3285" i="1"/>
  <c r="H3284" i="1"/>
  <c r="G3284" i="1"/>
  <c r="F3284" i="1"/>
  <c r="H3283" i="1"/>
  <c r="G3283" i="1"/>
  <c r="F3283" i="1"/>
  <c r="H3282" i="1"/>
  <c r="G3282" i="1"/>
  <c r="F3282" i="1"/>
  <c r="H3281" i="1"/>
  <c r="G3281" i="1"/>
  <c r="F3281" i="1"/>
  <c r="H3280" i="1"/>
  <c r="G3280" i="1"/>
  <c r="F3280" i="1"/>
  <c r="H3279" i="1"/>
  <c r="G3279" i="1"/>
  <c r="F3279" i="1"/>
  <c r="H3278" i="1"/>
  <c r="G3278" i="1"/>
  <c r="F3278" i="1"/>
  <c r="H3277" i="1"/>
  <c r="G3277" i="1"/>
  <c r="F3277" i="1"/>
  <c r="H3276" i="1"/>
  <c r="G3276" i="1"/>
  <c r="F3276" i="1"/>
  <c r="H3275" i="1"/>
  <c r="G3275" i="1"/>
  <c r="F3275" i="1"/>
  <c r="H3274" i="1"/>
  <c r="G3274" i="1"/>
  <c r="F3274" i="1"/>
  <c r="H3273" i="1"/>
  <c r="G3273" i="1"/>
  <c r="F3273" i="1"/>
  <c r="H3272" i="1"/>
  <c r="G3272" i="1"/>
  <c r="F3272" i="1"/>
  <c r="H3271" i="1"/>
  <c r="G3271" i="1"/>
  <c r="F3271" i="1"/>
  <c r="H3270" i="1"/>
  <c r="G3270" i="1"/>
  <c r="F3270" i="1"/>
  <c r="H3269" i="1"/>
  <c r="G3269" i="1"/>
  <c r="F3269" i="1"/>
  <c r="H3268" i="1"/>
  <c r="G3268" i="1"/>
  <c r="F3268" i="1"/>
  <c r="H3267" i="1"/>
  <c r="G3267" i="1"/>
  <c r="F3267" i="1"/>
  <c r="H3266" i="1"/>
  <c r="G3266" i="1"/>
  <c r="F3266" i="1"/>
  <c r="H3265" i="1"/>
  <c r="G3265" i="1"/>
  <c r="F3265" i="1"/>
  <c r="H3264" i="1"/>
  <c r="G3264" i="1"/>
  <c r="F3264" i="1"/>
  <c r="H3263" i="1"/>
  <c r="G3263" i="1"/>
  <c r="F3263" i="1"/>
  <c r="H3262" i="1"/>
  <c r="G3262" i="1"/>
  <c r="F3262" i="1"/>
  <c r="H3261" i="1"/>
  <c r="G3261" i="1"/>
  <c r="F3261" i="1"/>
  <c r="H3260" i="1"/>
  <c r="G3260" i="1"/>
  <c r="F3260" i="1"/>
  <c r="H3259" i="1"/>
  <c r="G3259" i="1"/>
  <c r="F3259" i="1"/>
  <c r="H3258" i="1"/>
  <c r="G3258" i="1"/>
  <c r="F3258" i="1"/>
  <c r="H3257" i="1"/>
  <c r="G3257" i="1"/>
  <c r="F3257" i="1"/>
  <c r="H3256" i="1"/>
  <c r="G3256" i="1"/>
  <c r="F3256" i="1"/>
  <c r="H3255" i="1"/>
  <c r="G3255" i="1"/>
  <c r="F3255" i="1"/>
  <c r="H3254" i="1"/>
  <c r="G3254" i="1"/>
  <c r="F3254" i="1"/>
  <c r="H3253" i="1"/>
  <c r="G3253" i="1"/>
  <c r="F3253" i="1"/>
  <c r="H3252" i="1"/>
  <c r="G3252" i="1"/>
  <c r="F3252" i="1"/>
  <c r="H3251" i="1"/>
  <c r="G3251" i="1"/>
  <c r="F3251" i="1"/>
  <c r="H3250" i="1"/>
  <c r="G3250" i="1"/>
  <c r="F3250" i="1"/>
  <c r="H3249" i="1"/>
  <c r="G3249" i="1"/>
  <c r="F3249" i="1"/>
  <c r="H3248" i="1"/>
  <c r="G3248" i="1"/>
  <c r="F3248" i="1"/>
  <c r="H3247" i="1"/>
  <c r="G3247" i="1"/>
  <c r="F3247" i="1"/>
  <c r="H3246" i="1"/>
  <c r="G3246" i="1"/>
  <c r="F3246" i="1"/>
  <c r="H3245" i="1"/>
  <c r="G3245" i="1"/>
  <c r="F3245" i="1"/>
  <c r="H3244" i="1"/>
  <c r="G3244" i="1"/>
  <c r="F3244" i="1"/>
  <c r="H3243" i="1"/>
  <c r="G3243" i="1"/>
  <c r="F3243" i="1"/>
  <c r="H3242" i="1"/>
  <c r="G3242" i="1"/>
  <c r="F3242" i="1"/>
  <c r="H3241" i="1"/>
  <c r="G3241" i="1"/>
  <c r="F3241" i="1"/>
  <c r="H3240" i="1"/>
  <c r="G3240" i="1"/>
  <c r="F3240" i="1"/>
  <c r="H3239" i="1"/>
  <c r="G3239" i="1"/>
  <c r="F3239" i="1"/>
  <c r="H3238" i="1"/>
  <c r="G3238" i="1"/>
  <c r="F3238" i="1"/>
  <c r="H3237" i="1"/>
  <c r="G3237" i="1"/>
  <c r="F3237" i="1"/>
  <c r="H3236" i="1"/>
  <c r="G3236" i="1"/>
  <c r="F3236" i="1"/>
  <c r="H3235" i="1"/>
  <c r="G3235" i="1"/>
  <c r="F3235" i="1"/>
  <c r="H3234" i="1"/>
  <c r="G3234" i="1"/>
  <c r="F3234" i="1"/>
  <c r="H3233" i="1"/>
  <c r="G3233" i="1"/>
  <c r="F3233" i="1"/>
  <c r="H3232" i="1"/>
  <c r="G3232" i="1"/>
  <c r="F3232" i="1"/>
  <c r="H3231" i="1"/>
  <c r="G3231" i="1"/>
  <c r="F3231" i="1"/>
  <c r="H3230" i="1"/>
  <c r="G3230" i="1"/>
  <c r="F3230" i="1"/>
  <c r="H3229" i="1"/>
  <c r="G3229" i="1"/>
  <c r="F3229" i="1"/>
  <c r="H3228" i="1"/>
  <c r="G3228" i="1"/>
  <c r="F3228" i="1"/>
  <c r="H3227" i="1"/>
  <c r="G3227" i="1"/>
  <c r="F3227" i="1"/>
  <c r="H3226" i="1"/>
  <c r="G3226" i="1"/>
  <c r="F3226" i="1"/>
  <c r="H3225" i="1"/>
  <c r="G3225" i="1"/>
  <c r="F3225" i="1"/>
  <c r="H3224" i="1"/>
  <c r="G3224" i="1"/>
  <c r="F3224" i="1"/>
  <c r="H3223" i="1"/>
  <c r="G3223" i="1"/>
  <c r="F3223" i="1"/>
  <c r="H3222" i="1"/>
  <c r="G3222" i="1"/>
  <c r="F3222" i="1"/>
  <c r="H3221" i="1"/>
  <c r="G3221" i="1"/>
  <c r="F3221" i="1"/>
  <c r="H3220" i="1"/>
  <c r="G3220" i="1"/>
  <c r="F3220" i="1"/>
  <c r="H3219" i="1"/>
  <c r="G3219" i="1"/>
  <c r="F3219" i="1"/>
  <c r="H3218" i="1"/>
  <c r="G3218" i="1"/>
  <c r="F3218" i="1"/>
  <c r="H3217" i="1"/>
  <c r="G3217" i="1"/>
  <c r="F3217" i="1"/>
  <c r="H3216" i="1"/>
  <c r="G3216" i="1"/>
  <c r="F3216" i="1"/>
  <c r="H3215" i="1"/>
  <c r="G3215" i="1"/>
  <c r="F3215" i="1"/>
  <c r="H3214" i="1"/>
  <c r="G3214" i="1"/>
  <c r="F3214" i="1"/>
  <c r="H3213" i="1"/>
  <c r="G3213" i="1"/>
  <c r="F3213" i="1"/>
  <c r="H3212" i="1"/>
  <c r="G3212" i="1"/>
  <c r="F3212" i="1"/>
  <c r="H3211" i="1"/>
  <c r="G3211" i="1"/>
  <c r="F3211" i="1"/>
  <c r="H3210" i="1"/>
  <c r="G3210" i="1"/>
  <c r="F3210" i="1"/>
  <c r="H3209" i="1"/>
  <c r="G3209" i="1"/>
  <c r="F3209" i="1"/>
  <c r="H3208" i="1"/>
  <c r="G3208" i="1"/>
  <c r="F3208" i="1"/>
  <c r="H3207" i="1"/>
  <c r="G3207" i="1"/>
  <c r="F3207" i="1"/>
  <c r="H3206" i="1"/>
  <c r="G3206" i="1"/>
  <c r="F3206" i="1"/>
  <c r="H3205" i="1"/>
  <c r="G3205" i="1"/>
  <c r="F3205" i="1"/>
  <c r="H3204" i="1"/>
  <c r="G3204" i="1"/>
  <c r="F3204" i="1"/>
  <c r="H3203" i="1"/>
  <c r="G3203" i="1"/>
  <c r="F3203" i="1"/>
  <c r="H3202" i="1"/>
  <c r="G3202" i="1"/>
  <c r="F3202" i="1"/>
  <c r="H3201" i="1"/>
  <c r="G3201" i="1"/>
  <c r="F3201" i="1"/>
  <c r="H3200" i="1"/>
  <c r="G3200" i="1"/>
  <c r="F3200" i="1"/>
  <c r="H3199" i="1"/>
  <c r="G3199" i="1"/>
  <c r="F3199" i="1"/>
  <c r="H3198" i="1"/>
  <c r="G3198" i="1"/>
  <c r="F3198" i="1"/>
  <c r="H3197" i="1"/>
  <c r="G3197" i="1"/>
  <c r="F3197" i="1"/>
  <c r="H3196" i="1"/>
  <c r="G3196" i="1"/>
  <c r="F3196" i="1"/>
  <c r="H3195" i="1"/>
  <c r="G3195" i="1"/>
  <c r="F3195" i="1"/>
  <c r="H3194" i="1"/>
  <c r="G3194" i="1"/>
  <c r="F3194" i="1"/>
  <c r="H3193" i="1"/>
  <c r="G3193" i="1"/>
  <c r="F3193" i="1"/>
  <c r="H3192" i="1"/>
  <c r="G3192" i="1"/>
  <c r="F3192" i="1"/>
  <c r="H3191" i="1"/>
  <c r="G3191" i="1"/>
  <c r="F3191" i="1"/>
  <c r="H3190" i="1"/>
  <c r="G3190" i="1"/>
  <c r="F3190" i="1"/>
  <c r="H3189" i="1"/>
  <c r="G3189" i="1"/>
  <c r="F3189" i="1"/>
  <c r="H3188" i="1"/>
  <c r="G3188" i="1"/>
  <c r="F3188" i="1"/>
  <c r="H3187" i="1"/>
  <c r="G3187" i="1"/>
  <c r="F3187" i="1"/>
  <c r="H3186" i="1"/>
  <c r="G3186" i="1"/>
  <c r="F3186" i="1"/>
  <c r="H3185" i="1"/>
  <c r="G3185" i="1"/>
  <c r="F3185" i="1"/>
  <c r="H3184" i="1"/>
  <c r="G3184" i="1"/>
  <c r="F3184" i="1"/>
  <c r="H3183" i="1"/>
  <c r="G3183" i="1"/>
  <c r="F3183" i="1"/>
  <c r="H3182" i="1"/>
  <c r="G3182" i="1"/>
  <c r="F3182" i="1"/>
  <c r="H3181" i="1"/>
  <c r="G3181" i="1"/>
  <c r="F3181" i="1"/>
  <c r="H3180" i="1"/>
  <c r="G3180" i="1"/>
  <c r="F3180" i="1"/>
  <c r="H3179" i="1"/>
  <c r="G3179" i="1"/>
  <c r="F3179" i="1"/>
  <c r="H3178" i="1"/>
  <c r="G3178" i="1"/>
  <c r="F3178" i="1"/>
  <c r="H3177" i="1"/>
  <c r="G3177" i="1"/>
  <c r="F3177" i="1"/>
  <c r="H3176" i="1"/>
  <c r="G3176" i="1"/>
  <c r="F3176" i="1"/>
  <c r="H3175" i="1"/>
  <c r="G3175" i="1"/>
  <c r="F3175" i="1"/>
  <c r="H3174" i="1"/>
  <c r="G3174" i="1"/>
  <c r="F3174" i="1"/>
  <c r="H3173" i="1"/>
  <c r="G3173" i="1"/>
  <c r="F3173" i="1"/>
  <c r="H3172" i="1"/>
  <c r="G3172" i="1"/>
  <c r="F3172" i="1"/>
  <c r="H3171" i="1"/>
  <c r="G3171" i="1"/>
  <c r="F3171" i="1"/>
  <c r="H3170" i="1"/>
  <c r="G3170" i="1"/>
  <c r="F3170" i="1"/>
  <c r="H3169" i="1"/>
  <c r="G3169" i="1"/>
  <c r="F3169" i="1"/>
  <c r="H3168" i="1"/>
  <c r="G3168" i="1"/>
  <c r="F3168" i="1"/>
  <c r="H3167" i="1"/>
  <c r="G3167" i="1"/>
  <c r="F3167" i="1"/>
  <c r="H3166" i="1"/>
  <c r="G3166" i="1"/>
  <c r="F3166" i="1"/>
  <c r="H3165" i="1"/>
  <c r="G3165" i="1"/>
  <c r="F3165" i="1"/>
  <c r="H3164" i="1"/>
  <c r="G3164" i="1"/>
  <c r="F3164" i="1"/>
  <c r="H3163" i="1"/>
  <c r="G3163" i="1"/>
  <c r="F3163" i="1"/>
  <c r="H3162" i="1"/>
  <c r="G3162" i="1"/>
  <c r="F3162" i="1"/>
  <c r="H3161" i="1"/>
  <c r="G3161" i="1"/>
  <c r="F3161" i="1"/>
  <c r="H3160" i="1"/>
  <c r="G3160" i="1"/>
  <c r="F3160" i="1"/>
  <c r="H3159" i="1"/>
  <c r="G3159" i="1"/>
  <c r="F3159" i="1"/>
  <c r="H3158" i="1"/>
  <c r="G3158" i="1"/>
  <c r="F3158" i="1"/>
  <c r="H3157" i="1"/>
  <c r="G3157" i="1"/>
  <c r="F3157" i="1"/>
  <c r="H3156" i="1"/>
  <c r="G3156" i="1"/>
  <c r="F3156" i="1"/>
  <c r="H3155" i="1"/>
  <c r="G3155" i="1"/>
  <c r="F3155" i="1"/>
  <c r="H3154" i="1"/>
  <c r="G3154" i="1"/>
  <c r="F3154" i="1"/>
  <c r="H3153" i="1"/>
  <c r="G3153" i="1"/>
  <c r="F3153" i="1"/>
  <c r="H3152" i="1"/>
  <c r="G3152" i="1"/>
  <c r="F3152" i="1"/>
  <c r="H3151" i="1"/>
  <c r="G3151" i="1"/>
  <c r="F3151" i="1"/>
  <c r="H3150" i="1"/>
  <c r="G3150" i="1"/>
  <c r="F3150" i="1"/>
  <c r="H3149" i="1"/>
  <c r="G3149" i="1"/>
  <c r="F3149" i="1"/>
  <c r="H3148" i="1"/>
  <c r="G3148" i="1"/>
  <c r="F3148" i="1"/>
  <c r="H3147" i="1"/>
  <c r="G3147" i="1"/>
  <c r="F3147" i="1"/>
  <c r="H3146" i="1"/>
  <c r="G3146" i="1"/>
  <c r="F3146" i="1"/>
  <c r="H3145" i="1"/>
  <c r="G3145" i="1"/>
  <c r="F3145" i="1"/>
  <c r="H3144" i="1"/>
  <c r="G3144" i="1"/>
  <c r="F3144" i="1"/>
  <c r="H3143" i="1"/>
  <c r="G3143" i="1"/>
  <c r="F3143" i="1"/>
  <c r="H3142" i="1"/>
  <c r="G3142" i="1"/>
  <c r="F3142" i="1"/>
  <c r="H3141" i="1"/>
  <c r="G3141" i="1"/>
  <c r="F3141" i="1"/>
  <c r="H3140" i="1"/>
  <c r="G3140" i="1"/>
  <c r="F3140" i="1"/>
  <c r="H3139" i="1"/>
  <c r="G3139" i="1"/>
  <c r="F3139" i="1"/>
  <c r="H3138" i="1"/>
  <c r="G3138" i="1"/>
  <c r="F3138" i="1"/>
  <c r="H3137" i="1"/>
  <c r="G3137" i="1"/>
  <c r="F3137" i="1"/>
  <c r="H3136" i="1"/>
  <c r="G3136" i="1"/>
  <c r="F3136" i="1"/>
  <c r="H3135" i="1"/>
  <c r="G3135" i="1"/>
  <c r="F3135" i="1"/>
  <c r="H3134" i="1"/>
  <c r="G3134" i="1"/>
  <c r="F3134" i="1"/>
  <c r="H3133" i="1"/>
  <c r="G3133" i="1"/>
  <c r="F3133" i="1"/>
  <c r="H3132" i="1"/>
  <c r="G3132" i="1"/>
  <c r="F3132" i="1"/>
  <c r="H3131" i="1"/>
  <c r="G3131" i="1"/>
  <c r="F3131" i="1"/>
  <c r="H3130" i="1"/>
  <c r="G3130" i="1"/>
  <c r="F3130" i="1"/>
  <c r="H3129" i="1"/>
  <c r="G3129" i="1"/>
  <c r="F3129" i="1"/>
  <c r="H3128" i="1"/>
  <c r="G3128" i="1"/>
  <c r="F3128" i="1"/>
  <c r="H3127" i="1"/>
  <c r="G3127" i="1"/>
  <c r="F3127" i="1"/>
  <c r="H3126" i="1"/>
  <c r="G3126" i="1"/>
  <c r="F3126" i="1"/>
  <c r="H3125" i="1"/>
  <c r="G3125" i="1"/>
  <c r="F3125" i="1"/>
  <c r="H3124" i="1"/>
  <c r="G3124" i="1"/>
  <c r="F3124" i="1"/>
  <c r="H3123" i="1"/>
  <c r="G3123" i="1"/>
  <c r="F3123" i="1"/>
  <c r="H3122" i="1"/>
  <c r="G3122" i="1"/>
  <c r="F3122" i="1"/>
  <c r="H3121" i="1"/>
  <c r="G3121" i="1"/>
  <c r="F3121" i="1"/>
  <c r="H3120" i="1"/>
  <c r="G3120" i="1"/>
  <c r="F3120" i="1"/>
  <c r="H3119" i="1"/>
  <c r="G3119" i="1"/>
  <c r="F3119" i="1"/>
  <c r="H3118" i="1"/>
  <c r="G3118" i="1"/>
  <c r="F3118" i="1"/>
  <c r="H3117" i="1"/>
  <c r="G3117" i="1"/>
  <c r="F3117" i="1"/>
  <c r="H3116" i="1"/>
  <c r="G3116" i="1"/>
  <c r="F3116" i="1"/>
  <c r="H3115" i="1"/>
  <c r="G3115" i="1"/>
  <c r="F3115" i="1"/>
  <c r="H3114" i="1"/>
  <c r="G3114" i="1"/>
  <c r="F3114" i="1"/>
  <c r="H3113" i="1"/>
  <c r="G3113" i="1"/>
  <c r="F3113" i="1"/>
  <c r="H3112" i="1"/>
  <c r="G3112" i="1"/>
  <c r="F3112" i="1"/>
  <c r="H3111" i="1"/>
  <c r="G3111" i="1"/>
  <c r="F3111" i="1"/>
  <c r="H3110" i="1"/>
  <c r="G3110" i="1"/>
  <c r="F3110" i="1"/>
  <c r="H3109" i="1"/>
  <c r="G3109" i="1"/>
  <c r="F3109" i="1"/>
  <c r="H3108" i="1"/>
  <c r="G3108" i="1"/>
  <c r="F3108" i="1"/>
  <c r="H3107" i="1"/>
  <c r="G3107" i="1"/>
  <c r="F3107" i="1"/>
  <c r="H3106" i="1"/>
  <c r="G3106" i="1"/>
  <c r="F3106" i="1"/>
  <c r="H3105" i="1"/>
  <c r="G3105" i="1"/>
  <c r="F3105" i="1"/>
  <c r="H3104" i="1"/>
  <c r="G3104" i="1"/>
  <c r="F3104" i="1"/>
  <c r="H3103" i="1"/>
  <c r="G3103" i="1"/>
  <c r="F3103" i="1"/>
  <c r="H3102" i="1"/>
  <c r="G3102" i="1"/>
  <c r="F3102" i="1"/>
  <c r="H3101" i="1"/>
  <c r="G3101" i="1"/>
  <c r="F3101" i="1"/>
  <c r="H3100" i="1"/>
  <c r="G3100" i="1"/>
  <c r="F3100" i="1"/>
  <c r="H3099" i="1"/>
  <c r="G3099" i="1"/>
  <c r="F3099" i="1"/>
  <c r="H3098" i="1"/>
  <c r="G3098" i="1"/>
  <c r="F3098" i="1"/>
  <c r="H3097" i="1"/>
  <c r="G3097" i="1"/>
  <c r="F3097" i="1"/>
  <c r="H3096" i="1"/>
  <c r="G3096" i="1"/>
  <c r="F3096" i="1"/>
  <c r="H3095" i="1"/>
  <c r="G3095" i="1"/>
  <c r="F3095" i="1"/>
  <c r="H3094" i="1"/>
  <c r="G3094" i="1"/>
  <c r="F3094" i="1"/>
  <c r="H3093" i="1"/>
  <c r="G3093" i="1"/>
  <c r="F3093" i="1"/>
  <c r="H3092" i="1"/>
  <c r="G3092" i="1"/>
  <c r="F3092" i="1"/>
  <c r="H3091" i="1"/>
  <c r="G3091" i="1"/>
  <c r="F3091" i="1"/>
  <c r="H3090" i="1"/>
  <c r="G3090" i="1"/>
  <c r="F3090" i="1"/>
  <c r="H3089" i="1"/>
  <c r="G3089" i="1"/>
  <c r="F3089" i="1"/>
  <c r="H3088" i="1"/>
  <c r="G3088" i="1"/>
  <c r="F3088" i="1"/>
  <c r="H3087" i="1"/>
  <c r="G3087" i="1"/>
  <c r="F3087" i="1"/>
  <c r="H3086" i="1"/>
  <c r="G3086" i="1"/>
  <c r="F3086" i="1"/>
  <c r="H3085" i="1"/>
  <c r="G3085" i="1"/>
  <c r="F3085" i="1"/>
  <c r="H3084" i="1"/>
  <c r="G3084" i="1"/>
  <c r="F3084" i="1"/>
  <c r="H3083" i="1"/>
  <c r="G3083" i="1"/>
  <c r="F3083" i="1"/>
  <c r="H3082" i="1"/>
  <c r="G3082" i="1"/>
  <c r="F3082" i="1"/>
  <c r="H3081" i="1"/>
  <c r="G3081" i="1"/>
  <c r="F3081" i="1"/>
  <c r="H3080" i="1"/>
  <c r="G3080" i="1"/>
  <c r="F3080" i="1"/>
  <c r="H3079" i="1"/>
  <c r="G3079" i="1"/>
  <c r="F3079" i="1"/>
  <c r="H3078" i="1"/>
  <c r="G3078" i="1"/>
  <c r="F3078" i="1"/>
  <c r="H3077" i="1"/>
  <c r="G3077" i="1"/>
  <c r="F3077" i="1"/>
  <c r="H3076" i="1"/>
  <c r="G3076" i="1"/>
  <c r="F3076" i="1"/>
  <c r="H3075" i="1"/>
  <c r="G3075" i="1"/>
  <c r="F3075" i="1"/>
  <c r="H3074" i="1"/>
  <c r="G3074" i="1"/>
  <c r="F3074" i="1"/>
  <c r="H3073" i="1"/>
  <c r="G3073" i="1"/>
  <c r="F3073" i="1"/>
  <c r="H3072" i="1"/>
  <c r="G3072" i="1"/>
  <c r="F3072" i="1"/>
  <c r="H3071" i="1"/>
  <c r="G3071" i="1"/>
  <c r="F3071" i="1"/>
  <c r="H3070" i="1"/>
  <c r="G3070" i="1"/>
  <c r="F3070" i="1"/>
  <c r="H3069" i="1"/>
  <c r="G3069" i="1"/>
  <c r="F3069" i="1"/>
  <c r="H3068" i="1"/>
  <c r="G3068" i="1"/>
  <c r="F3068" i="1"/>
  <c r="H3067" i="1"/>
  <c r="G3067" i="1"/>
  <c r="F3067" i="1"/>
  <c r="H3066" i="1"/>
  <c r="G3066" i="1"/>
  <c r="F3066" i="1"/>
  <c r="H3065" i="1"/>
  <c r="G3065" i="1"/>
  <c r="F3065" i="1"/>
  <c r="H3064" i="1"/>
  <c r="G3064" i="1"/>
  <c r="F3064" i="1"/>
  <c r="H3063" i="1"/>
  <c r="G3063" i="1"/>
  <c r="F3063" i="1"/>
  <c r="H3062" i="1"/>
  <c r="G3062" i="1"/>
  <c r="F3062" i="1"/>
  <c r="H3061" i="1"/>
  <c r="G3061" i="1"/>
  <c r="F3061" i="1"/>
  <c r="H3060" i="1"/>
  <c r="G3060" i="1"/>
  <c r="F3060" i="1"/>
  <c r="H3059" i="1"/>
  <c r="G3059" i="1"/>
  <c r="F3059" i="1"/>
  <c r="H3058" i="1"/>
  <c r="G3058" i="1"/>
  <c r="F3058" i="1"/>
  <c r="H3057" i="1"/>
  <c r="G3057" i="1"/>
  <c r="F3057" i="1"/>
  <c r="H3056" i="1"/>
  <c r="G3056" i="1"/>
  <c r="F3056" i="1"/>
  <c r="H3055" i="1"/>
  <c r="G3055" i="1"/>
  <c r="F3055" i="1"/>
  <c r="H3054" i="1"/>
  <c r="G3054" i="1"/>
  <c r="F3054" i="1"/>
  <c r="H3053" i="1"/>
  <c r="G3053" i="1"/>
  <c r="F3053" i="1"/>
  <c r="H3052" i="1"/>
  <c r="G3052" i="1"/>
  <c r="F3052" i="1"/>
  <c r="H3051" i="1"/>
  <c r="G3051" i="1"/>
  <c r="F3051" i="1"/>
  <c r="H3050" i="1"/>
  <c r="G3050" i="1"/>
  <c r="F3050" i="1"/>
  <c r="H3049" i="1"/>
  <c r="G3049" i="1"/>
  <c r="F3049" i="1"/>
  <c r="H3048" i="1"/>
  <c r="G3048" i="1"/>
  <c r="F3048" i="1"/>
  <c r="H3047" i="1"/>
  <c r="G3047" i="1"/>
  <c r="F3047" i="1"/>
  <c r="H3046" i="1"/>
  <c r="G3046" i="1"/>
  <c r="F3046" i="1"/>
  <c r="H3045" i="1"/>
  <c r="G3045" i="1"/>
  <c r="F3045" i="1"/>
  <c r="H3044" i="1"/>
  <c r="G3044" i="1"/>
  <c r="F3044" i="1"/>
  <c r="H3043" i="1"/>
  <c r="G3043" i="1"/>
  <c r="F3043" i="1"/>
  <c r="H3042" i="1"/>
  <c r="G3042" i="1"/>
  <c r="F3042" i="1"/>
  <c r="H3041" i="1"/>
  <c r="G3041" i="1"/>
  <c r="F3041" i="1"/>
  <c r="H3040" i="1"/>
  <c r="G3040" i="1"/>
  <c r="F3040" i="1"/>
  <c r="H3039" i="1"/>
  <c r="G3039" i="1"/>
  <c r="F3039" i="1"/>
  <c r="H3038" i="1"/>
  <c r="G3038" i="1"/>
  <c r="F3038" i="1"/>
  <c r="H3037" i="1"/>
  <c r="G3037" i="1"/>
  <c r="F3037" i="1"/>
  <c r="H3036" i="1"/>
  <c r="G3036" i="1"/>
  <c r="F3036" i="1"/>
  <c r="H3035" i="1"/>
  <c r="G3035" i="1"/>
  <c r="F3035" i="1"/>
  <c r="H3034" i="1"/>
  <c r="G3034" i="1"/>
  <c r="F3034" i="1"/>
  <c r="H3033" i="1"/>
  <c r="G3033" i="1"/>
  <c r="F3033" i="1"/>
  <c r="H3032" i="1"/>
  <c r="G3032" i="1"/>
  <c r="F3032" i="1"/>
  <c r="H3031" i="1"/>
  <c r="G3031" i="1"/>
  <c r="F3031" i="1"/>
  <c r="H3030" i="1"/>
  <c r="G3030" i="1"/>
  <c r="F3030" i="1"/>
  <c r="H3029" i="1"/>
  <c r="G3029" i="1"/>
  <c r="F3029" i="1"/>
  <c r="H3028" i="1"/>
  <c r="G3028" i="1"/>
  <c r="F3028" i="1"/>
  <c r="H3027" i="1"/>
  <c r="G3027" i="1"/>
  <c r="F3027" i="1"/>
  <c r="H3026" i="1"/>
  <c r="G3026" i="1"/>
  <c r="F3026" i="1"/>
  <c r="H3025" i="1"/>
  <c r="G3025" i="1"/>
  <c r="F3025" i="1"/>
  <c r="H3024" i="1"/>
  <c r="G3024" i="1"/>
  <c r="F3024" i="1"/>
  <c r="H3023" i="1"/>
  <c r="G3023" i="1"/>
  <c r="F3023" i="1"/>
  <c r="H3022" i="1"/>
  <c r="G3022" i="1"/>
  <c r="F3022" i="1"/>
  <c r="H3021" i="1"/>
  <c r="G3021" i="1"/>
  <c r="F3021" i="1"/>
  <c r="H3020" i="1"/>
  <c r="G3020" i="1"/>
  <c r="F3020" i="1"/>
  <c r="H3019" i="1"/>
  <c r="G3019" i="1"/>
  <c r="F3019" i="1"/>
  <c r="H3018" i="1"/>
  <c r="G3018" i="1"/>
  <c r="F3018" i="1"/>
  <c r="H3017" i="1"/>
  <c r="G3017" i="1"/>
  <c r="F3017" i="1"/>
  <c r="H3016" i="1"/>
  <c r="G3016" i="1"/>
  <c r="F3016" i="1"/>
  <c r="H3015" i="1"/>
  <c r="G3015" i="1"/>
  <c r="F3015" i="1"/>
  <c r="H3014" i="1"/>
  <c r="G3014" i="1"/>
  <c r="F3014" i="1"/>
  <c r="H3013" i="1"/>
  <c r="G3013" i="1"/>
  <c r="F3013" i="1"/>
  <c r="H3012" i="1"/>
  <c r="G3012" i="1"/>
  <c r="F3012" i="1"/>
  <c r="H3011" i="1"/>
  <c r="G3011" i="1"/>
  <c r="F3011" i="1"/>
  <c r="H3010" i="1"/>
  <c r="G3010" i="1"/>
  <c r="F3010" i="1"/>
  <c r="H3009" i="1"/>
  <c r="G3009" i="1"/>
  <c r="F3009" i="1"/>
  <c r="H3008" i="1"/>
  <c r="G3008" i="1"/>
  <c r="F3008" i="1"/>
  <c r="H3007" i="1"/>
  <c r="G3007" i="1"/>
  <c r="F3007" i="1"/>
  <c r="H3006" i="1"/>
  <c r="G3006" i="1"/>
  <c r="F3006" i="1"/>
  <c r="H3005" i="1"/>
  <c r="G3005" i="1"/>
  <c r="F3005" i="1"/>
  <c r="H3004" i="1"/>
  <c r="G3004" i="1"/>
  <c r="F3004" i="1"/>
  <c r="H3003" i="1"/>
  <c r="G3003" i="1"/>
  <c r="F3003" i="1"/>
  <c r="H3002" i="1"/>
  <c r="G3002" i="1"/>
  <c r="F3002" i="1"/>
  <c r="H3001" i="1"/>
  <c r="G3001" i="1"/>
  <c r="F3001" i="1"/>
  <c r="H3000" i="1"/>
  <c r="G3000" i="1"/>
  <c r="F3000" i="1"/>
  <c r="H2999" i="1"/>
  <c r="G2999" i="1"/>
  <c r="F2999" i="1"/>
  <c r="H2998" i="1"/>
  <c r="G2998" i="1"/>
  <c r="F2998" i="1"/>
  <c r="H2997" i="1"/>
  <c r="G2997" i="1"/>
  <c r="F2997" i="1"/>
  <c r="H2996" i="1"/>
  <c r="G2996" i="1"/>
  <c r="F2996" i="1"/>
  <c r="H2995" i="1"/>
  <c r="G2995" i="1"/>
  <c r="F2995" i="1"/>
  <c r="H2994" i="1"/>
  <c r="G2994" i="1"/>
  <c r="F2994" i="1"/>
  <c r="H2993" i="1"/>
  <c r="G2993" i="1"/>
  <c r="F2993" i="1"/>
  <c r="H2992" i="1"/>
  <c r="G2992" i="1"/>
  <c r="F2992" i="1"/>
  <c r="H2991" i="1"/>
  <c r="G2991" i="1"/>
  <c r="F2991" i="1"/>
  <c r="H2990" i="1"/>
  <c r="G2990" i="1"/>
  <c r="F2990" i="1"/>
  <c r="H2989" i="1"/>
  <c r="G2989" i="1"/>
  <c r="F2989" i="1"/>
  <c r="H2988" i="1"/>
  <c r="G2988" i="1"/>
  <c r="F2988" i="1"/>
  <c r="H2987" i="1"/>
  <c r="G2987" i="1"/>
  <c r="F2987" i="1"/>
  <c r="H2986" i="1"/>
  <c r="G2986" i="1"/>
  <c r="F2986" i="1"/>
  <c r="H2985" i="1"/>
  <c r="G2985" i="1"/>
  <c r="F2985" i="1"/>
  <c r="H2984" i="1"/>
  <c r="G2984" i="1"/>
  <c r="F2984" i="1"/>
  <c r="H2983" i="1"/>
  <c r="G2983" i="1"/>
  <c r="F2983" i="1"/>
  <c r="H2982" i="1"/>
  <c r="G2982" i="1"/>
  <c r="F2982" i="1"/>
  <c r="H2981" i="1"/>
  <c r="G2981" i="1"/>
  <c r="F2981" i="1"/>
  <c r="H2980" i="1"/>
  <c r="G2980" i="1"/>
  <c r="F2980" i="1"/>
  <c r="H2979" i="1"/>
  <c r="G2979" i="1"/>
  <c r="F2979" i="1"/>
  <c r="H2978" i="1"/>
  <c r="G2978" i="1"/>
  <c r="F2978" i="1"/>
  <c r="H2977" i="1"/>
  <c r="G2977" i="1"/>
  <c r="F2977" i="1"/>
  <c r="H2976" i="1"/>
  <c r="G2976" i="1"/>
  <c r="F2976" i="1"/>
  <c r="H2975" i="1"/>
  <c r="G2975" i="1"/>
  <c r="F2975" i="1"/>
  <c r="H2974" i="1"/>
  <c r="G2974" i="1"/>
  <c r="F2974" i="1"/>
  <c r="H2973" i="1"/>
  <c r="G2973" i="1"/>
  <c r="F2973" i="1"/>
  <c r="H2972" i="1"/>
  <c r="G2972" i="1"/>
  <c r="F2972" i="1"/>
  <c r="H2971" i="1"/>
  <c r="G2971" i="1"/>
  <c r="F2971" i="1"/>
  <c r="H2970" i="1"/>
  <c r="G2970" i="1"/>
  <c r="F2970" i="1"/>
  <c r="H2969" i="1"/>
  <c r="G2969" i="1"/>
  <c r="F2969" i="1"/>
  <c r="H2968" i="1"/>
  <c r="G2968" i="1"/>
  <c r="F2968" i="1"/>
  <c r="H2967" i="1"/>
  <c r="G2967" i="1"/>
  <c r="F2967" i="1"/>
  <c r="H2966" i="1"/>
  <c r="G2966" i="1"/>
  <c r="F2966" i="1"/>
  <c r="H2965" i="1"/>
  <c r="G2965" i="1"/>
  <c r="F2965" i="1"/>
  <c r="H2964" i="1"/>
  <c r="G2964" i="1"/>
  <c r="F2964" i="1"/>
  <c r="H2963" i="1"/>
  <c r="G2963" i="1"/>
  <c r="F2963" i="1"/>
  <c r="H2962" i="1"/>
  <c r="G2962" i="1"/>
  <c r="F2962" i="1"/>
  <c r="H2961" i="1"/>
  <c r="G2961" i="1"/>
  <c r="F2961" i="1"/>
  <c r="H2960" i="1"/>
  <c r="G2960" i="1"/>
  <c r="F2960" i="1"/>
  <c r="H2959" i="1"/>
  <c r="G2959" i="1"/>
  <c r="F2959" i="1"/>
  <c r="H2958" i="1"/>
  <c r="G2958" i="1"/>
  <c r="F2958" i="1"/>
  <c r="H2957" i="1"/>
  <c r="G2957" i="1"/>
  <c r="F2957" i="1"/>
  <c r="H2956" i="1"/>
  <c r="G2956" i="1"/>
  <c r="F2956" i="1"/>
  <c r="H2955" i="1"/>
  <c r="G2955" i="1"/>
  <c r="F2955" i="1"/>
  <c r="H2954" i="1"/>
  <c r="G2954" i="1"/>
  <c r="F2954" i="1"/>
  <c r="H2953" i="1"/>
  <c r="G2953" i="1"/>
  <c r="F2953" i="1"/>
  <c r="H2952" i="1"/>
  <c r="G2952" i="1"/>
  <c r="F2952" i="1"/>
  <c r="H2951" i="1"/>
  <c r="G2951" i="1"/>
  <c r="F2951" i="1"/>
  <c r="H2950" i="1"/>
  <c r="G2950" i="1"/>
  <c r="F2950" i="1"/>
  <c r="H2949" i="1"/>
  <c r="G2949" i="1"/>
  <c r="F2949" i="1"/>
  <c r="H2948" i="1"/>
  <c r="G2948" i="1"/>
  <c r="F2948" i="1"/>
  <c r="H2947" i="1"/>
  <c r="G2947" i="1"/>
  <c r="F2947" i="1"/>
  <c r="H2946" i="1"/>
  <c r="G2946" i="1"/>
  <c r="F2946" i="1"/>
  <c r="H2945" i="1"/>
  <c r="G2945" i="1"/>
  <c r="F2945" i="1"/>
  <c r="H2944" i="1"/>
  <c r="G2944" i="1"/>
  <c r="F2944" i="1"/>
  <c r="H2943" i="1"/>
  <c r="G2943" i="1"/>
  <c r="F2943" i="1"/>
  <c r="H2942" i="1"/>
  <c r="G2942" i="1"/>
  <c r="F2942" i="1"/>
  <c r="H2941" i="1"/>
  <c r="G2941" i="1"/>
  <c r="F2941" i="1"/>
  <c r="H2940" i="1"/>
  <c r="G2940" i="1"/>
  <c r="F2940" i="1"/>
  <c r="H2939" i="1"/>
  <c r="G2939" i="1"/>
  <c r="F2939" i="1"/>
  <c r="H2938" i="1"/>
  <c r="G2938" i="1"/>
  <c r="F2938" i="1"/>
  <c r="H2937" i="1"/>
  <c r="G2937" i="1"/>
  <c r="F2937" i="1"/>
  <c r="H2936" i="1"/>
  <c r="G2936" i="1"/>
  <c r="F2936" i="1"/>
  <c r="H2935" i="1"/>
  <c r="G2935" i="1"/>
  <c r="F2935" i="1"/>
  <c r="H2934" i="1"/>
  <c r="G2934" i="1"/>
  <c r="F2934" i="1"/>
  <c r="H2933" i="1"/>
  <c r="G2933" i="1"/>
  <c r="F2933" i="1"/>
  <c r="H2932" i="1"/>
  <c r="G2932" i="1"/>
  <c r="F2932" i="1"/>
  <c r="H2931" i="1"/>
  <c r="G2931" i="1"/>
  <c r="F2931" i="1"/>
  <c r="H2930" i="1"/>
  <c r="G2930" i="1"/>
  <c r="F2930" i="1"/>
  <c r="H2929" i="1"/>
  <c r="G2929" i="1"/>
  <c r="F2929" i="1"/>
  <c r="H2928" i="1"/>
  <c r="G2928" i="1"/>
  <c r="F2928" i="1"/>
  <c r="H2927" i="1"/>
  <c r="G2927" i="1"/>
  <c r="F2927" i="1"/>
  <c r="H2926" i="1"/>
  <c r="G2926" i="1"/>
  <c r="F2926" i="1"/>
  <c r="H2925" i="1"/>
  <c r="G2925" i="1"/>
  <c r="F2925" i="1"/>
  <c r="H2924" i="1"/>
  <c r="G2924" i="1"/>
  <c r="F2924" i="1"/>
  <c r="H2923" i="1"/>
  <c r="G2923" i="1"/>
  <c r="F2923" i="1"/>
  <c r="H2922" i="1"/>
  <c r="G2922" i="1"/>
  <c r="F2922" i="1"/>
  <c r="H2921" i="1"/>
  <c r="G2921" i="1"/>
  <c r="F2921" i="1"/>
  <c r="H2920" i="1"/>
  <c r="G2920" i="1"/>
  <c r="F2920" i="1"/>
  <c r="H2919" i="1"/>
  <c r="G2919" i="1"/>
  <c r="F2919" i="1"/>
  <c r="H2918" i="1"/>
  <c r="G2918" i="1"/>
  <c r="F2918" i="1"/>
  <c r="H2917" i="1"/>
  <c r="G2917" i="1"/>
  <c r="F2917" i="1"/>
  <c r="H2916" i="1"/>
  <c r="G2916" i="1"/>
  <c r="F2916" i="1"/>
  <c r="H2915" i="1"/>
  <c r="G2915" i="1"/>
  <c r="F2915" i="1"/>
  <c r="H2914" i="1"/>
  <c r="G2914" i="1"/>
  <c r="F2914" i="1"/>
  <c r="H2913" i="1"/>
  <c r="G2913" i="1"/>
  <c r="F2913" i="1"/>
  <c r="H2912" i="1"/>
  <c r="G2912" i="1"/>
  <c r="F2912" i="1"/>
  <c r="H2911" i="1"/>
  <c r="G2911" i="1"/>
  <c r="F2911" i="1"/>
  <c r="H2910" i="1"/>
  <c r="G2910" i="1"/>
  <c r="F2910" i="1"/>
  <c r="H2909" i="1"/>
  <c r="G2909" i="1"/>
  <c r="F2909" i="1"/>
  <c r="H2908" i="1"/>
  <c r="G2908" i="1"/>
  <c r="F2908" i="1"/>
  <c r="H2907" i="1"/>
  <c r="G2907" i="1"/>
  <c r="F2907" i="1"/>
  <c r="H2906" i="1"/>
  <c r="G2906" i="1"/>
  <c r="F2906" i="1"/>
  <c r="H2905" i="1"/>
  <c r="G2905" i="1"/>
  <c r="F2905" i="1"/>
  <c r="H2904" i="1"/>
  <c r="G2904" i="1"/>
  <c r="F2904" i="1"/>
  <c r="H2903" i="1"/>
  <c r="G2903" i="1"/>
  <c r="F2903" i="1"/>
  <c r="H2902" i="1"/>
  <c r="G2902" i="1"/>
  <c r="F2902" i="1"/>
  <c r="H2901" i="1"/>
  <c r="G2901" i="1"/>
  <c r="F2901" i="1"/>
  <c r="H2900" i="1"/>
  <c r="G2900" i="1"/>
  <c r="F2900" i="1"/>
  <c r="H2899" i="1"/>
  <c r="G2899" i="1"/>
  <c r="F2899" i="1"/>
  <c r="H2898" i="1"/>
  <c r="G2898" i="1"/>
  <c r="F2898" i="1"/>
  <c r="H2897" i="1"/>
  <c r="G2897" i="1"/>
  <c r="F2897" i="1"/>
  <c r="H2896" i="1"/>
  <c r="G2896" i="1"/>
  <c r="F2896" i="1"/>
  <c r="H2895" i="1"/>
  <c r="G2895" i="1"/>
  <c r="F2895" i="1"/>
  <c r="H2894" i="1"/>
  <c r="G2894" i="1"/>
  <c r="F2894" i="1"/>
  <c r="H2893" i="1"/>
  <c r="G2893" i="1"/>
  <c r="F2893" i="1"/>
  <c r="H2892" i="1"/>
  <c r="G2892" i="1"/>
  <c r="F2892" i="1"/>
  <c r="H2891" i="1"/>
  <c r="G2891" i="1"/>
  <c r="F2891" i="1"/>
  <c r="H2890" i="1"/>
  <c r="G2890" i="1"/>
  <c r="F2890" i="1"/>
  <c r="H2889" i="1"/>
  <c r="G2889" i="1"/>
  <c r="F2889" i="1"/>
  <c r="H2888" i="1"/>
  <c r="G2888" i="1"/>
  <c r="F2888" i="1"/>
  <c r="H2887" i="1"/>
  <c r="G2887" i="1"/>
  <c r="F2887" i="1"/>
  <c r="H2886" i="1"/>
  <c r="G2886" i="1"/>
  <c r="F2886" i="1"/>
  <c r="H2885" i="1"/>
  <c r="G2885" i="1"/>
  <c r="F2885" i="1"/>
  <c r="H2884" i="1"/>
  <c r="G2884" i="1"/>
  <c r="F2884" i="1"/>
  <c r="H2883" i="1"/>
  <c r="G2883" i="1"/>
  <c r="F2883" i="1"/>
  <c r="H2882" i="1"/>
  <c r="G2882" i="1"/>
  <c r="F2882" i="1"/>
  <c r="H2881" i="1"/>
  <c r="G2881" i="1"/>
  <c r="F2881" i="1"/>
  <c r="H2880" i="1"/>
  <c r="G2880" i="1"/>
  <c r="F2880" i="1"/>
  <c r="H2879" i="1"/>
  <c r="G2879" i="1"/>
  <c r="F2879" i="1"/>
  <c r="H2878" i="1"/>
  <c r="G2878" i="1"/>
  <c r="F2878" i="1"/>
  <c r="H2877" i="1"/>
  <c r="G2877" i="1"/>
  <c r="F2877" i="1"/>
  <c r="H2876" i="1"/>
  <c r="G2876" i="1"/>
  <c r="F2876" i="1"/>
  <c r="H2875" i="1"/>
  <c r="G2875" i="1"/>
  <c r="F2875" i="1"/>
  <c r="H2874" i="1"/>
  <c r="G2874" i="1"/>
  <c r="F2874" i="1"/>
  <c r="H2873" i="1"/>
  <c r="G2873" i="1"/>
  <c r="F2873" i="1"/>
  <c r="H2872" i="1"/>
  <c r="G2872" i="1"/>
  <c r="F2872" i="1"/>
  <c r="H2871" i="1"/>
  <c r="G2871" i="1"/>
  <c r="F2871" i="1"/>
  <c r="H2870" i="1"/>
  <c r="G2870" i="1"/>
  <c r="F2870" i="1"/>
  <c r="H2869" i="1"/>
  <c r="G2869" i="1"/>
  <c r="F2869" i="1"/>
  <c r="H2868" i="1"/>
  <c r="G2868" i="1"/>
  <c r="F2868" i="1"/>
  <c r="H2867" i="1"/>
  <c r="G2867" i="1"/>
  <c r="F2867" i="1"/>
  <c r="H2866" i="1"/>
  <c r="G2866" i="1"/>
  <c r="F2866" i="1"/>
  <c r="H2865" i="1"/>
  <c r="G2865" i="1"/>
  <c r="F2865" i="1"/>
  <c r="H2864" i="1"/>
  <c r="G2864" i="1"/>
  <c r="F2864" i="1"/>
  <c r="H2863" i="1"/>
  <c r="G2863" i="1"/>
  <c r="F2863" i="1"/>
  <c r="H2862" i="1"/>
  <c r="G2862" i="1"/>
  <c r="F2862" i="1"/>
  <c r="H2861" i="1"/>
  <c r="G2861" i="1"/>
  <c r="F2861" i="1"/>
  <c r="H2860" i="1"/>
  <c r="G2860" i="1"/>
  <c r="F2860" i="1"/>
  <c r="H2859" i="1"/>
  <c r="G2859" i="1"/>
  <c r="F2859" i="1"/>
  <c r="H2858" i="1"/>
  <c r="G2858" i="1"/>
  <c r="F2858" i="1"/>
  <c r="H2857" i="1"/>
  <c r="G2857" i="1"/>
  <c r="F2857" i="1"/>
  <c r="H2856" i="1"/>
  <c r="G2856" i="1"/>
  <c r="F2856" i="1"/>
  <c r="H2855" i="1"/>
  <c r="G2855" i="1"/>
  <c r="F2855" i="1"/>
  <c r="H2854" i="1"/>
  <c r="G2854" i="1"/>
  <c r="F2854" i="1"/>
  <c r="H2853" i="1"/>
  <c r="G2853" i="1"/>
  <c r="F2853" i="1"/>
  <c r="H2852" i="1"/>
  <c r="G2852" i="1"/>
  <c r="F2852" i="1"/>
  <c r="H2851" i="1"/>
  <c r="G2851" i="1"/>
  <c r="F2851" i="1"/>
  <c r="H2850" i="1"/>
  <c r="G2850" i="1"/>
  <c r="F2850" i="1"/>
  <c r="H2849" i="1"/>
  <c r="G2849" i="1"/>
  <c r="F2849" i="1"/>
  <c r="H2848" i="1"/>
  <c r="G2848" i="1"/>
  <c r="F2848" i="1"/>
  <c r="H2847" i="1"/>
  <c r="G2847" i="1"/>
  <c r="F2847" i="1"/>
  <c r="H2846" i="1"/>
  <c r="G2846" i="1"/>
  <c r="F2846" i="1"/>
  <c r="H2845" i="1"/>
  <c r="G2845" i="1"/>
  <c r="F2845" i="1"/>
  <c r="H2844" i="1"/>
  <c r="G2844" i="1"/>
  <c r="F2844" i="1"/>
  <c r="H2843" i="1"/>
  <c r="G2843" i="1"/>
  <c r="F2843" i="1"/>
  <c r="H2842" i="1"/>
  <c r="G2842" i="1"/>
  <c r="F2842" i="1"/>
  <c r="H2841" i="1"/>
  <c r="G2841" i="1"/>
  <c r="F2841" i="1"/>
  <c r="H2840" i="1"/>
  <c r="G2840" i="1"/>
  <c r="F2840" i="1"/>
  <c r="H2839" i="1"/>
  <c r="G2839" i="1"/>
  <c r="F2839" i="1"/>
  <c r="H2838" i="1"/>
  <c r="G2838" i="1"/>
  <c r="F2838" i="1"/>
  <c r="H2837" i="1"/>
  <c r="G2837" i="1"/>
  <c r="F2837" i="1"/>
  <c r="H2836" i="1"/>
  <c r="G2836" i="1"/>
  <c r="F2836" i="1"/>
  <c r="H2835" i="1"/>
  <c r="G2835" i="1"/>
  <c r="F2835" i="1"/>
  <c r="H2834" i="1"/>
  <c r="G2834" i="1"/>
  <c r="F2834" i="1"/>
  <c r="H2833" i="1"/>
  <c r="G2833" i="1"/>
  <c r="F2833" i="1"/>
  <c r="H2832" i="1"/>
  <c r="G2832" i="1"/>
  <c r="F2832" i="1"/>
  <c r="H2831" i="1"/>
  <c r="G2831" i="1"/>
  <c r="F2831" i="1"/>
  <c r="H2830" i="1"/>
  <c r="G2830" i="1"/>
  <c r="F2830" i="1"/>
  <c r="H2829" i="1"/>
  <c r="G2829" i="1"/>
  <c r="F2829" i="1"/>
  <c r="H2828" i="1"/>
  <c r="G2828" i="1"/>
  <c r="F2828" i="1"/>
  <c r="H2827" i="1"/>
  <c r="G2827" i="1"/>
  <c r="F2827" i="1"/>
  <c r="H2826" i="1"/>
  <c r="G2826" i="1"/>
  <c r="F2826" i="1"/>
  <c r="H2825" i="1"/>
  <c r="G2825" i="1"/>
  <c r="F2825" i="1"/>
  <c r="H2824" i="1"/>
  <c r="G2824" i="1"/>
  <c r="F2824" i="1"/>
  <c r="H2823" i="1"/>
  <c r="G2823" i="1"/>
  <c r="F2823" i="1"/>
  <c r="H2822" i="1"/>
  <c r="G2822" i="1"/>
  <c r="F2822" i="1"/>
  <c r="H2821" i="1"/>
  <c r="G2821" i="1"/>
  <c r="F2821" i="1"/>
  <c r="H2820" i="1"/>
  <c r="G2820" i="1"/>
  <c r="F2820" i="1"/>
  <c r="H2819" i="1"/>
  <c r="G2819" i="1"/>
  <c r="F2819" i="1"/>
  <c r="H2818" i="1"/>
  <c r="G2818" i="1"/>
  <c r="F2818" i="1"/>
  <c r="H2817" i="1"/>
  <c r="G2817" i="1"/>
  <c r="F2817" i="1"/>
  <c r="H2816" i="1"/>
  <c r="G2816" i="1"/>
  <c r="F2816" i="1"/>
  <c r="H2815" i="1"/>
  <c r="G2815" i="1"/>
  <c r="F2815" i="1"/>
  <c r="H2814" i="1"/>
  <c r="G2814" i="1"/>
  <c r="F2814" i="1"/>
  <c r="H2813" i="1"/>
  <c r="G2813" i="1"/>
  <c r="F2813" i="1"/>
  <c r="H2812" i="1"/>
  <c r="G2812" i="1"/>
  <c r="F2812" i="1"/>
  <c r="H2811" i="1"/>
  <c r="G2811" i="1"/>
  <c r="F2811" i="1"/>
  <c r="H2810" i="1"/>
  <c r="G2810" i="1"/>
  <c r="F2810" i="1"/>
  <c r="H2809" i="1"/>
  <c r="G2809" i="1"/>
  <c r="F2809" i="1"/>
  <c r="H2808" i="1"/>
  <c r="G2808" i="1"/>
  <c r="F2808" i="1"/>
  <c r="H2807" i="1"/>
  <c r="G2807" i="1"/>
  <c r="F2807" i="1"/>
  <c r="H2806" i="1"/>
  <c r="G2806" i="1"/>
  <c r="F2806" i="1"/>
  <c r="H2805" i="1"/>
  <c r="G2805" i="1"/>
  <c r="F2805" i="1"/>
  <c r="H2804" i="1"/>
  <c r="G2804" i="1"/>
  <c r="F2804" i="1"/>
  <c r="H2803" i="1"/>
  <c r="G2803" i="1"/>
  <c r="F2803" i="1"/>
  <c r="H2802" i="1"/>
  <c r="G2802" i="1"/>
  <c r="F2802" i="1"/>
  <c r="H2801" i="1"/>
  <c r="G2801" i="1"/>
  <c r="F2801" i="1"/>
  <c r="H2800" i="1"/>
  <c r="G2800" i="1"/>
  <c r="F2800" i="1"/>
  <c r="H2799" i="1"/>
  <c r="G2799" i="1"/>
  <c r="F2799" i="1"/>
  <c r="H2798" i="1"/>
  <c r="G2798" i="1"/>
  <c r="F2798" i="1"/>
  <c r="H2797" i="1"/>
  <c r="G2797" i="1"/>
  <c r="F2797" i="1"/>
  <c r="H2796" i="1"/>
  <c r="G2796" i="1"/>
  <c r="F2796" i="1"/>
  <c r="H2795" i="1"/>
  <c r="G2795" i="1"/>
  <c r="F2795" i="1"/>
  <c r="H2794" i="1"/>
  <c r="G2794" i="1"/>
  <c r="F2794" i="1"/>
  <c r="H2793" i="1"/>
  <c r="G2793" i="1"/>
  <c r="F2793" i="1"/>
  <c r="H2792" i="1"/>
  <c r="G2792" i="1"/>
  <c r="F2792" i="1"/>
  <c r="H2791" i="1"/>
  <c r="G2791" i="1"/>
  <c r="F2791" i="1"/>
  <c r="H2790" i="1"/>
  <c r="G2790" i="1"/>
  <c r="F2790" i="1"/>
  <c r="H2789" i="1"/>
  <c r="G2789" i="1"/>
  <c r="F2789" i="1"/>
  <c r="H2788" i="1"/>
  <c r="G2788" i="1"/>
  <c r="F2788" i="1"/>
  <c r="H2787" i="1"/>
  <c r="G2787" i="1"/>
  <c r="F2787" i="1"/>
  <c r="H2786" i="1"/>
  <c r="G2786" i="1"/>
  <c r="F2786" i="1"/>
  <c r="H2785" i="1"/>
  <c r="G2785" i="1"/>
  <c r="F2785" i="1"/>
  <c r="H2784" i="1"/>
  <c r="G2784" i="1"/>
  <c r="F2784" i="1"/>
  <c r="H2783" i="1"/>
  <c r="G2783" i="1"/>
  <c r="F2783" i="1"/>
  <c r="H2782" i="1"/>
  <c r="G2782" i="1"/>
  <c r="F2782" i="1"/>
  <c r="H2781" i="1"/>
  <c r="G2781" i="1"/>
  <c r="F2781" i="1"/>
  <c r="H2780" i="1"/>
  <c r="G2780" i="1"/>
  <c r="F2780" i="1"/>
  <c r="H2779" i="1"/>
  <c r="G2779" i="1"/>
  <c r="F2779" i="1"/>
  <c r="H2778" i="1"/>
  <c r="G2778" i="1"/>
  <c r="F2778" i="1"/>
  <c r="H2777" i="1"/>
  <c r="G2777" i="1"/>
  <c r="F2777" i="1"/>
  <c r="H2776" i="1"/>
  <c r="G2776" i="1"/>
  <c r="F2776" i="1"/>
  <c r="H2775" i="1"/>
  <c r="G2775" i="1"/>
  <c r="F2775" i="1"/>
  <c r="H2774" i="1"/>
  <c r="G2774" i="1"/>
  <c r="F2774" i="1"/>
  <c r="H2773" i="1"/>
  <c r="G2773" i="1"/>
  <c r="F2773" i="1"/>
  <c r="H2772" i="1"/>
  <c r="G2772" i="1"/>
  <c r="F2772" i="1"/>
  <c r="H2771" i="1"/>
  <c r="G2771" i="1"/>
  <c r="F2771" i="1"/>
  <c r="H2770" i="1"/>
  <c r="G2770" i="1"/>
  <c r="F2770" i="1"/>
  <c r="H2769" i="1"/>
  <c r="G2769" i="1"/>
  <c r="F2769" i="1"/>
  <c r="H2768" i="1"/>
  <c r="G2768" i="1"/>
  <c r="F2768" i="1"/>
  <c r="H2767" i="1"/>
  <c r="G2767" i="1"/>
  <c r="F2767" i="1"/>
  <c r="H2766" i="1"/>
  <c r="G2766" i="1"/>
  <c r="F2766" i="1"/>
  <c r="H2765" i="1"/>
  <c r="G2765" i="1"/>
  <c r="F2765" i="1"/>
  <c r="H2764" i="1"/>
  <c r="G2764" i="1"/>
  <c r="F2764" i="1"/>
  <c r="H2763" i="1"/>
  <c r="G2763" i="1"/>
  <c r="F2763" i="1"/>
  <c r="H2762" i="1"/>
  <c r="G2762" i="1"/>
  <c r="F2762" i="1"/>
  <c r="H2761" i="1"/>
  <c r="G2761" i="1"/>
  <c r="F2761" i="1"/>
  <c r="H2760" i="1"/>
  <c r="G2760" i="1"/>
  <c r="F2760" i="1"/>
  <c r="H2759" i="1"/>
  <c r="G2759" i="1"/>
  <c r="F2759" i="1"/>
  <c r="H2758" i="1"/>
  <c r="G2758" i="1"/>
  <c r="F2758" i="1"/>
  <c r="H2757" i="1"/>
  <c r="G2757" i="1"/>
  <c r="F2757" i="1"/>
  <c r="H2756" i="1"/>
  <c r="G2756" i="1"/>
  <c r="F2756" i="1"/>
  <c r="H2755" i="1"/>
  <c r="G2755" i="1"/>
  <c r="F2755" i="1"/>
  <c r="H2754" i="1"/>
  <c r="G2754" i="1"/>
  <c r="F2754" i="1"/>
  <c r="H2753" i="1"/>
  <c r="G2753" i="1"/>
  <c r="F2753" i="1"/>
  <c r="H2752" i="1"/>
  <c r="G2752" i="1"/>
  <c r="F2752" i="1"/>
  <c r="H2751" i="1"/>
  <c r="G2751" i="1"/>
  <c r="F2751" i="1"/>
  <c r="H2750" i="1"/>
  <c r="G2750" i="1"/>
  <c r="F2750" i="1"/>
  <c r="H2749" i="1"/>
  <c r="G2749" i="1"/>
  <c r="F2749" i="1"/>
  <c r="H2748" i="1"/>
  <c r="G2748" i="1"/>
  <c r="F2748" i="1"/>
  <c r="H2747" i="1"/>
  <c r="G2747" i="1"/>
  <c r="F2747" i="1"/>
  <c r="H2746" i="1"/>
  <c r="G2746" i="1"/>
  <c r="F2746" i="1"/>
  <c r="H2745" i="1"/>
  <c r="G2745" i="1"/>
  <c r="F2745" i="1"/>
  <c r="H2744" i="1"/>
  <c r="G2744" i="1"/>
  <c r="F2744" i="1"/>
  <c r="H2743" i="1"/>
  <c r="G2743" i="1"/>
  <c r="F2743" i="1"/>
  <c r="H2742" i="1"/>
  <c r="G2742" i="1"/>
  <c r="F2742" i="1"/>
  <c r="H2741" i="1"/>
  <c r="G2741" i="1"/>
  <c r="F2741" i="1"/>
  <c r="H2740" i="1"/>
  <c r="G2740" i="1"/>
  <c r="F2740" i="1"/>
  <c r="H2739" i="1"/>
  <c r="G2739" i="1"/>
  <c r="F2739" i="1"/>
  <c r="H2738" i="1"/>
  <c r="G2738" i="1"/>
  <c r="F2738" i="1"/>
  <c r="H2737" i="1"/>
  <c r="G2737" i="1"/>
  <c r="F2737" i="1"/>
  <c r="H2736" i="1"/>
  <c r="G2736" i="1"/>
  <c r="F2736" i="1"/>
  <c r="H2735" i="1"/>
  <c r="G2735" i="1"/>
  <c r="F2735" i="1"/>
  <c r="H2734" i="1"/>
  <c r="G2734" i="1"/>
  <c r="F2734" i="1"/>
  <c r="H2733" i="1"/>
  <c r="G2733" i="1"/>
  <c r="F2733" i="1"/>
  <c r="H2732" i="1"/>
  <c r="G2732" i="1"/>
  <c r="F2732" i="1"/>
  <c r="H2731" i="1"/>
  <c r="G2731" i="1"/>
  <c r="F2731" i="1"/>
  <c r="H2730" i="1"/>
  <c r="G2730" i="1"/>
  <c r="F2730" i="1"/>
  <c r="H2729" i="1"/>
  <c r="G2729" i="1"/>
  <c r="F2729" i="1"/>
  <c r="H2728" i="1"/>
  <c r="G2728" i="1"/>
  <c r="F2728" i="1"/>
  <c r="H2727" i="1"/>
  <c r="G2727" i="1"/>
  <c r="F2727" i="1"/>
  <c r="H2726" i="1"/>
  <c r="G2726" i="1"/>
  <c r="F2726" i="1"/>
  <c r="H2725" i="1"/>
  <c r="G2725" i="1"/>
  <c r="F2725" i="1"/>
  <c r="H2724" i="1"/>
  <c r="G2724" i="1"/>
  <c r="F2724" i="1"/>
  <c r="H2723" i="1"/>
  <c r="G2723" i="1"/>
  <c r="F2723" i="1"/>
  <c r="H2722" i="1"/>
  <c r="G2722" i="1"/>
  <c r="F2722" i="1"/>
  <c r="H2721" i="1"/>
  <c r="G2721" i="1"/>
  <c r="F2721" i="1"/>
  <c r="H2720" i="1"/>
  <c r="G2720" i="1"/>
  <c r="F2720" i="1"/>
  <c r="H2719" i="1"/>
  <c r="G2719" i="1"/>
  <c r="F2719" i="1"/>
  <c r="H2718" i="1"/>
  <c r="G2718" i="1"/>
  <c r="F2718" i="1"/>
  <c r="H2717" i="1"/>
  <c r="G2717" i="1"/>
  <c r="F2717" i="1"/>
  <c r="H2716" i="1"/>
  <c r="G2716" i="1"/>
  <c r="F2716" i="1"/>
  <c r="H2715" i="1"/>
  <c r="G2715" i="1"/>
  <c r="F2715" i="1"/>
  <c r="H2714" i="1"/>
  <c r="G2714" i="1"/>
  <c r="F2714" i="1"/>
  <c r="H2713" i="1"/>
  <c r="G2713" i="1"/>
  <c r="F2713" i="1"/>
  <c r="H2712" i="1"/>
  <c r="G2712" i="1"/>
  <c r="F2712" i="1"/>
  <c r="H2711" i="1"/>
  <c r="G2711" i="1"/>
  <c r="F2711" i="1"/>
  <c r="H2710" i="1"/>
  <c r="G2710" i="1"/>
  <c r="F2710" i="1"/>
  <c r="H2709" i="1"/>
  <c r="G2709" i="1"/>
  <c r="F2709" i="1"/>
  <c r="H2708" i="1"/>
  <c r="G2708" i="1"/>
  <c r="F2708" i="1"/>
  <c r="H2707" i="1"/>
  <c r="G2707" i="1"/>
  <c r="F2707" i="1"/>
  <c r="H2706" i="1"/>
  <c r="G2706" i="1"/>
  <c r="F2706" i="1"/>
  <c r="H2705" i="1"/>
  <c r="G2705" i="1"/>
  <c r="F2705" i="1"/>
  <c r="H2704" i="1"/>
  <c r="G2704" i="1"/>
  <c r="F2704" i="1"/>
  <c r="H2703" i="1"/>
  <c r="G2703" i="1"/>
  <c r="F2703" i="1"/>
  <c r="H2702" i="1"/>
  <c r="G2702" i="1"/>
  <c r="F2702" i="1"/>
  <c r="H2701" i="1"/>
  <c r="G2701" i="1"/>
  <c r="F2701" i="1"/>
  <c r="H2700" i="1"/>
  <c r="G2700" i="1"/>
  <c r="F2700" i="1"/>
  <c r="H2699" i="1"/>
  <c r="G2699" i="1"/>
  <c r="F2699" i="1"/>
  <c r="H2698" i="1"/>
  <c r="G2698" i="1"/>
  <c r="F2698" i="1"/>
  <c r="H2697" i="1"/>
  <c r="G2697" i="1"/>
  <c r="F2697" i="1"/>
  <c r="H2696" i="1"/>
  <c r="G2696" i="1"/>
  <c r="F2696" i="1"/>
  <c r="H2695" i="1"/>
  <c r="G2695" i="1"/>
  <c r="F2695" i="1"/>
  <c r="H2694" i="1"/>
  <c r="G2694" i="1"/>
  <c r="F2694" i="1"/>
  <c r="H2693" i="1"/>
  <c r="G2693" i="1"/>
  <c r="F2693" i="1"/>
  <c r="H2692" i="1"/>
  <c r="G2692" i="1"/>
  <c r="F2692" i="1"/>
  <c r="H2691" i="1"/>
  <c r="G2691" i="1"/>
  <c r="F2691" i="1"/>
  <c r="H2690" i="1"/>
  <c r="G2690" i="1"/>
  <c r="F2690" i="1"/>
  <c r="H2689" i="1"/>
  <c r="G2689" i="1"/>
  <c r="F2689" i="1"/>
  <c r="H2688" i="1"/>
  <c r="G2688" i="1"/>
  <c r="F2688" i="1"/>
  <c r="H2687" i="1"/>
  <c r="G2687" i="1"/>
  <c r="F2687" i="1"/>
  <c r="H2686" i="1"/>
  <c r="G2686" i="1"/>
  <c r="F2686" i="1"/>
  <c r="H2685" i="1"/>
  <c r="G2685" i="1"/>
  <c r="F2685" i="1"/>
  <c r="H2684" i="1"/>
  <c r="G2684" i="1"/>
  <c r="F2684" i="1"/>
  <c r="H2683" i="1"/>
  <c r="G2683" i="1"/>
  <c r="F2683" i="1"/>
  <c r="H2682" i="1"/>
  <c r="G2682" i="1"/>
  <c r="F2682" i="1"/>
  <c r="H2681" i="1"/>
  <c r="G2681" i="1"/>
  <c r="F2681" i="1"/>
  <c r="H2680" i="1"/>
  <c r="G2680" i="1"/>
  <c r="F2680" i="1"/>
  <c r="H2679" i="1"/>
  <c r="G2679" i="1"/>
  <c r="F2679" i="1"/>
  <c r="H2678" i="1"/>
  <c r="G2678" i="1"/>
  <c r="F2678" i="1"/>
  <c r="H2677" i="1"/>
  <c r="G2677" i="1"/>
  <c r="F2677" i="1"/>
  <c r="H2676" i="1"/>
  <c r="G2676" i="1"/>
  <c r="F2676" i="1"/>
  <c r="H2675" i="1"/>
  <c r="G2675" i="1"/>
  <c r="F2675" i="1"/>
  <c r="H2674" i="1"/>
  <c r="G2674" i="1"/>
  <c r="F2674" i="1"/>
  <c r="H2673" i="1"/>
  <c r="G2673" i="1"/>
  <c r="F2673" i="1"/>
  <c r="H2672" i="1"/>
  <c r="G2672" i="1"/>
  <c r="F2672" i="1"/>
  <c r="H2671" i="1"/>
  <c r="G2671" i="1"/>
  <c r="F2671" i="1"/>
  <c r="H2670" i="1"/>
  <c r="G2670" i="1"/>
  <c r="F2670" i="1"/>
  <c r="H2669" i="1"/>
  <c r="G2669" i="1"/>
  <c r="F2669" i="1"/>
  <c r="H2668" i="1"/>
  <c r="G2668" i="1"/>
  <c r="F2668" i="1"/>
  <c r="H2667" i="1"/>
  <c r="G2667" i="1"/>
  <c r="F2667" i="1"/>
  <c r="H2666" i="1"/>
  <c r="G2666" i="1"/>
  <c r="F2666" i="1"/>
  <c r="H2665" i="1"/>
  <c r="G2665" i="1"/>
  <c r="F2665" i="1"/>
  <c r="H2664" i="1"/>
  <c r="G2664" i="1"/>
  <c r="F2664" i="1"/>
  <c r="H2663" i="1"/>
  <c r="G2663" i="1"/>
  <c r="F2663" i="1"/>
  <c r="H2662" i="1"/>
  <c r="G2662" i="1"/>
  <c r="F2662" i="1"/>
  <c r="H2661" i="1"/>
  <c r="G2661" i="1"/>
  <c r="F2661" i="1"/>
  <c r="H2660" i="1"/>
  <c r="G2660" i="1"/>
  <c r="F2660" i="1"/>
  <c r="H2659" i="1"/>
  <c r="G2659" i="1"/>
  <c r="F2659" i="1"/>
  <c r="H2658" i="1"/>
  <c r="G2658" i="1"/>
  <c r="F2658" i="1"/>
  <c r="H2657" i="1"/>
  <c r="G2657" i="1"/>
  <c r="F2657" i="1"/>
  <c r="H2656" i="1"/>
  <c r="G2656" i="1"/>
  <c r="F2656" i="1"/>
  <c r="H2655" i="1"/>
  <c r="G2655" i="1"/>
  <c r="F2655" i="1"/>
  <c r="H2654" i="1"/>
  <c r="G2654" i="1"/>
  <c r="F2654" i="1"/>
  <c r="H2653" i="1"/>
  <c r="G2653" i="1"/>
  <c r="F2653" i="1"/>
  <c r="H2652" i="1"/>
  <c r="G2652" i="1"/>
  <c r="F2652" i="1"/>
  <c r="H2651" i="1"/>
  <c r="G2651" i="1"/>
  <c r="F2651" i="1"/>
  <c r="H2650" i="1"/>
  <c r="G2650" i="1"/>
  <c r="F2650" i="1"/>
  <c r="H2649" i="1"/>
  <c r="G2649" i="1"/>
  <c r="F2649" i="1"/>
  <c r="H2648" i="1"/>
  <c r="G2648" i="1"/>
  <c r="F2648" i="1"/>
  <c r="H2647" i="1"/>
  <c r="G2647" i="1"/>
  <c r="F2647" i="1"/>
  <c r="H2646" i="1"/>
  <c r="G2646" i="1"/>
  <c r="F2646" i="1"/>
  <c r="H2645" i="1"/>
  <c r="G2645" i="1"/>
  <c r="F2645" i="1"/>
  <c r="H2644" i="1"/>
  <c r="G2644" i="1"/>
  <c r="F2644" i="1"/>
  <c r="H2643" i="1"/>
  <c r="G2643" i="1"/>
  <c r="F2643" i="1"/>
  <c r="H2642" i="1"/>
  <c r="G2642" i="1"/>
  <c r="F2642" i="1"/>
  <c r="H2641" i="1"/>
  <c r="G2641" i="1"/>
  <c r="F2641" i="1"/>
  <c r="H2640" i="1"/>
  <c r="G2640" i="1"/>
  <c r="F2640" i="1"/>
  <c r="H2639" i="1"/>
  <c r="G2639" i="1"/>
  <c r="F2639" i="1"/>
  <c r="H2638" i="1"/>
  <c r="G2638" i="1"/>
  <c r="F2638" i="1"/>
  <c r="H2637" i="1"/>
  <c r="G2637" i="1"/>
  <c r="F2637" i="1"/>
  <c r="H2636" i="1"/>
  <c r="G2636" i="1"/>
  <c r="F2636" i="1"/>
  <c r="H2635" i="1"/>
  <c r="G2635" i="1"/>
  <c r="F2635" i="1"/>
  <c r="H2634" i="1"/>
  <c r="G2634" i="1"/>
  <c r="F2634" i="1"/>
  <c r="H2633" i="1"/>
  <c r="G2633" i="1"/>
  <c r="F2633" i="1"/>
  <c r="H2632" i="1"/>
  <c r="G2632" i="1"/>
  <c r="F2632" i="1"/>
  <c r="H2631" i="1"/>
  <c r="G2631" i="1"/>
  <c r="F2631" i="1"/>
  <c r="H2630" i="1"/>
  <c r="G2630" i="1"/>
  <c r="F2630" i="1"/>
  <c r="H2629" i="1"/>
  <c r="G2629" i="1"/>
  <c r="F2629" i="1"/>
  <c r="H2628" i="1"/>
  <c r="G2628" i="1"/>
  <c r="F2628" i="1"/>
  <c r="H2627" i="1"/>
  <c r="G2627" i="1"/>
  <c r="F2627" i="1"/>
  <c r="H2626" i="1"/>
  <c r="G2626" i="1"/>
  <c r="F2626" i="1"/>
  <c r="H2625" i="1"/>
  <c r="G2625" i="1"/>
  <c r="F2625" i="1"/>
  <c r="H2624" i="1"/>
  <c r="G2624" i="1"/>
  <c r="F2624" i="1"/>
  <c r="H2623" i="1"/>
  <c r="G2623" i="1"/>
  <c r="F2623" i="1"/>
  <c r="H2622" i="1"/>
  <c r="G2622" i="1"/>
  <c r="F2622" i="1"/>
  <c r="H2621" i="1"/>
  <c r="G2621" i="1"/>
  <c r="F2621" i="1"/>
  <c r="H2620" i="1"/>
  <c r="G2620" i="1"/>
  <c r="F2620" i="1"/>
  <c r="H2619" i="1"/>
  <c r="G2619" i="1"/>
  <c r="F2619" i="1"/>
  <c r="H2618" i="1"/>
  <c r="G2618" i="1"/>
  <c r="F2618" i="1"/>
  <c r="H2617" i="1"/>
  <c r="G2617" i="1"/>
  <c r="F2617" i="1"/>
  <c r="H2616" i="1"/>
  <c r="G2616" i="1"/>
  <c r="F2616" i="1"/>
  <c r="H2615" i="1"/>
  <c r="G2615" i="1"/>
  <c r="F2615" i="1"/>
  <c r="H2614" i="1"/>
  <c r="G2614" i="1"/>
  <c r="F2614" i="1"/>
  <c r="H2613" i="1"/>
  <c r="G2613" i="1"/>
  <c r="F2613" i="1"/>
  <c r="H2612" i="1"/>
  <c r="G2612" i="1"/>
  <c r="F2612" i="1"/>
  <c r="H2611" i="1"/>
  <c r="G2611" i="1"/>
  <c r="F2611" i="1"/>
  <c r="H2610" i="1"/>
  <c r="G2610" i="1"/>
  <c r="F2610" i="1"/>
  <c r="H2609" i="1"/>
  <c r="G2609" i="1"/>
  <c r="F2609" i="1"/>
  <c r="H2608" i="1"/>
  <c r="G2608" i="1"/>
  <c r="F2608" i="1"/>
  <c r="H2607" i="1"/>
  <c r="G2607" i="1"/>
  <c r="F2607" i="1"/>
  <c r="H2606" i="1"/>
  <c r="G2606" i="1"/>
  <c r="F2606" i="1"/>
  <c r="H2605" i="1"/>
  <c r="G2605" i="1"/>
  <c r="F2605" i="1"/>
  <c r="H2604" i="1"/>
  <c r="G2604" i="1"/>
  <c r="F2604" i="1"/>
  <c r="H2603" i="1"/>
  <c r="G2603" i="1"/>
  <c r="F2603" i="1"/>
  <c r="H2602" i="1"/>
  <c r="G2602" i="1"/>
  <c r="F2602" i="1"/>
  <c r="H2601" i="1"/>
  <c r="G2601" i="1"/>
  <c r="F2601" i="1"/>
  <c r="H2600" i="1"/>
  <c r="G2600" i="1"/>
  <c r="F2600" i="1"/>
  <c r="H2599" i="1"/>
  <c r="G2599" i="1"/>
  <c r="F2599" i="1"/>
  <c r="H2598" i="1"/>
  <c r="G2598" i="1"/>
  <c r="F2598" i="1"/>
  <c r="H2597" i="1"/>
  <c r="G2597" i="1"/>
  <c r="F2597" i="1"/>
  <c r="H2596" i="1"/>
  <c r="G2596" i="1"/>
  <c r="F2596" i="1"/>
  <c r="H2595" i="1"/>
  <c r="G2595" i="1"/>
  <c r="F2595" i="1"/>
  <c r="H2594" i="1"/>
  <c r="G2594" i="1"/>
  <c r="F2594" i="1"/>
  <c r="H2593" i="1"/>
  <c r="G2593" i="1"/>
  <c r="F2593" i="1"/>
  <c r="H2592" i="1"/>
  <c r="G2592" i="1"/>
  <c r="F2592" i="1"/>
  <c r="H2591" i="1"/>
  <c r="G2591" i="1"/>
  <c r="F2591" i="1"/>
  <c r="H2590" i="1"/>
  <c r="G2590" i="1"/>
  <c r="F2590" i="1"/>
  <c r="H2589" i="1"/>
  <c r="G2589" i="1"/>
  <c r="F2589" i="1"/>
  <c r="H2588" i="1"/>
  <c r="G2588" i="1"/>
  <c r="F2588" i="1"/>
  <c r="H2587" i="1"/>
  <c r="G2587" i="1"/>
  <c r="F2587" i="1"/>
  <c r="H2586" i="1"/>
  <c r="G2586" i="1"/>
  <c r="F2586" i="1"/>
  <c r="H2585" i="1"/>
  <c r="G2585" i="1"/>
  <c r="F2585" i="1"/>
  <c r="H2584" i="1"/>
  <c r="G2584" i="1"/>
  <c r="F2584" i="1"/>
  <c r="H2583" i="1"/>
  <c r="G2583" i="1"/>
  <c r="F2583" i="1"/>
  <c r="H2582" i="1"/>
  <c r="G2582" i="1"/>
  <c r="F2582" i="1"/>
  <c r="H2581" i="1"/>
  <c r="G2581" i="1"/>
  <c r="F2581" i="1"/>
  <c r="H2580" i="1"/>
  <c r="G2580" i="1"/>
  <c r="F2580" i="1"/>
  <c r="H2579" i="1"/>
  <c r="G2579" i="1"/>
  <c r="F2579" i="1"/>
  <c r="H2578" i="1"/>
  <c r="G2578" i="1"/>
  <c r="F2578" i="1"/>
  <c r="H2577" i="1"/>
  <c r="G2577" i="1"/>
  <c r="F2577" i="1"/>
  <c r="H2576" i="1"/>
  <c r="G2576" i="1"/>
  <c r="F2576" i="1"/>
  <c r="H2575" i="1"/>
  <c r="G2575" i="1"/>
  <c r="F2575" i="1"/>
  <c r="H2574" i="1"/>
  <c r="G2574" i="1"/>
  <c r="F2574" i="1"/>
  <c r="H2573" i="1"/>
  <c r="G2573" i="1"/>
  <c r="F2573" i="1"/>
  <c r="H2572" i="1"/>
  <c r="G2572" i="1"/>
  <c r="F2572" i="1"/>
  <c r="H2571" i="1"/>
  <c r="G2571" i="1"/>
  <c r="F2571" i="1"/>
  <c r="H2570" i="1"/>
  <c r="G2570" i="1"/>
  <c r="F2570" i="1"/>
  <c r="H2569" i="1"/>
  <c r="G2569" i="1"/>
  <c r="F2569" i="1"/>
  <c r="H2568" i="1"/>
  <c r="G2568" i="1"/>
  <c r="F2568" i="1"/>
  <c r="H2567" i="1"/>
  <c r="G2567" i="1"/>
  <c r="F2567" i="1"/>
  <c r="H2566" i="1"/>
  <c r="G2566" i="1"/>
  <c r="F2566" i="1"/>
  <c r="H2565" i="1"/>
  <c r="G2565" i="1"/>
  <c r="F2565" i="1"/>
  <c r="H2564" i="1"/>
  <c r="G2564" i="1"/>
  <c r="F2564" i="1"/>
  <c r="H2563" i="1"/>
  <c r="G2563" i="1"/>
  <c r="F2563" i="1"/>
  <c r="H2562" i="1"/>
  <c r="G2562" i="1"/>
  <c r="F2562" i="1"/>
  <c r="H2561" i="1"/>
  <c r="G2561" i="1"/>
  <c r="F2561" i="1"/>
  <c r="H2560" i="1"/>
  <c r="G2560" i="1"/>
  <c r="F2560" i="1"/>
  <c r="H2559" i="1"/>
  <c r="G2559" i="1"/>
  <c r="F2559" i="1"/>
  <c r="H2558" i="1"/>
  <c r="G2558" i="1"/>
  <c r="F2558" i="1"/>
  <c r="H2557" i="1"/>
  <c r="G2557" i="1"/>
  <c r="F2557" i="1"/>
  <c r="H2556" i="1"/>
  <c r="G2556" i="1"/>
  <c r="F2556" i="1"/>
  <c r="H2555" i="1"/>
  <c r="G2555" i="1"/>
  <c r="F2555" i="1"/>
  <c r="H2554" i="1"/>
  <c r="G2554" i="1"/>
  <c r="F2554" i="1"/>
  <c r="H2553" i="1"/>
  <c r="G2553" i="1"/>
  <c r="F2553" i="1"/>
  <c r="H2552" i="1"/>
  <c r="G2552" i="1"/>
  <c r="F2552" i="1"/>
  <c r="H2551" i="1"/>
  <c r="G2551" i="1"/>
  <c r="F2551" i="1"/>
  <c r="H2550" i="1"/>
  <c r="G2550" i="1"/>
  <c r="F2550" i="1"/>
  <c r="H2549" i="1"/>
  <c r="G2549" i="1"/>
  <c r="F2549" i="1"/>
  <c r="H2548" i="1"/>
  <c r="G2548" i="1"/>
  <c r="F2548" i="1"/>
  <c r="H2547" i="1"/>
  <c r="G2547" i="1"/>
  <c r="F2547" i="1"/>
  <c r="H2546" i="1"/>
  <c r="G2546" i="1"/>
  <c r="F2546" i="1"/>
  <c r="H2545" i="1"/>
  <c r="G2545" i="1"/>
  <c r="F2545" i="1"/>
  <c r="H2544" i="1"/>
  <c r="G2544" i="1"/>
  <c r="F2544" i="1"/>
  <c r="H2543" i="1"/>
  <c r="G2543" i="1"/>
  <c r="F2543" i="1"/>
  <c r="H2542" i="1"/>
  <c r="G2542" i="1"/>
  <c r="F2542" i="1"/>
  <c r="H2541" i="1"/>
  <c r="G2541" i="1"/>
  <c r="F2541" i="1"/>
  <c r="H2540" i="1"/>
  <c r="G2540" i="1"/>
  <c r="F2540" i="1"/>
  <c r="H2539" i="1"/>
  <c r="G2539" i="1"/>
  <c r="F2539" i="1"/>
  <c r="H2538" i="1"/>
  <c r="G2538" i="1"/>
  <c r="F2538" i="1"/>
  <c r="H2537" i="1"/>
  <c r="G2537" i="1"/>
  <c r="F2537" i="1"/>
  <c r="H2536" i="1"/>
  <c r="G2536" i="1"/>
  <c r="F2536" i="1"/>
  <c r="H2535" i="1"/>
  <c r="G2535" i="1"/>
  <c r="F2535" i="1"/>
  <c r="H2534" i="1"/>
  <c r="G2534" i="1"/>
  <c r="F2534" i="1"/>
  <c r="H2533" i="1"/>
  <c r="G2533" i="1"/>
  <c r="F2533" i="1"/>
  <c r="H2532" i="1"/>
  <c r="G2532" i="1"/>
  <c r="F2532" i="1"/>
  <c r="H2531" i="1"/>
  <c r="G2531" i="1"/>
  <c r="F2531" i="1"/>
  <c r="H2530" i="1"/>
  <c r="G2530" i="1"/>
  <c r="F2530" i="1"/>
  <c r="H2529" i="1"/>
  <c r="G2529" i="1"/>
  <c r="F2529" i="1"/>
  <c r="H2528" i="1"/>
  <c r="G2528" i="1"/>
  <c r="F2528" i="1"/>
  <c r="H2527" i="1"/>
  <c r="G2527" i="1"/>
  <c r="F2527" i="1"/>
  <c r="H2526" i="1"/>
  <c r="G2526" i="1"/>
  <c r="F2526" i="1"/>
  <c r="H2525" i="1"/>
  <c r="G2525" i="1"/>
  <c r="F2525" i="1"/>
  <c r="H2524" i="1"/>
  <c r="G2524" i="1"/>
  <c r="F2524" i="1"/>
  <c r="H2523" i="1"/>
  <c r="G2523" i="1"/>
  <c r="F2523" i="1"/>
  <c r="H2522" i="1"/>
  <c r="G2522" i="1"/>
  <c r="F2522" i="1"/>
  <c r="H2521" i="1"/>
  <c r="G2521" i="1"/>
  <c r="F2521" i="1"/>
  <c r="H2520" i="1"/>
  <c r="G2520" i="1"/>
  <c r="F2520" i="1"/>
  <c r="H2519" i="1"/>
  <c r="G2519" i="1"/>
  <c r="F2519" i="1"/>
  <c r="H2518" i="1"/>
  <c r="G2518" i="1"/>
  <c r="F2518" i="1"/>
  <c r="H2517" i="1"/>
  <c r="G2517" i="1"/>
  <c r="F2517" i="1"/>
  <c r="H2516" i="1"/>
  <c r="G2516" i="1"/>
  <c r="F2516" i="1"/>
  <c r="H2515" i="1"/>
  <c r="G2515" i="1"/>
  <c r="F2515" i="1"/>
  <c r="H2514" i="1"/>
  <c r="G2514" i="1"/>
  <c r="F2514" i="1"/>
  <c r="H2513" i="1"/>
  <c r="G2513" i="1"/>
  <c r="F2513" i="1"/>
  <c r="H2512" i="1"/>
  <c r="G2512" i="1"/>
  <c r="F2512" i="1"/>
  <c r="H2511" i="1"/>
  <c r="G2511" i="1"/>
  <c r="F2511" i="1"/>
  <c r="H2510" i="1"/>
  <c r="G2510" i="1"/>
  <c r="F2510" i="1"/>
  <c r="H2509" i="1"/>
  <c r="G2509" i="1"/>
  <c r="F2509" i="1"/>
  <c r="H2508" i="1"/>
  <c r="G2508" i="1"/>
  <c r="F2508" i="1"/>
  <c r="H2507" i="1"/>
  <c r="G2507" i="1"/>
  <c r="F2507" i="1"/>
  <c r="H2506" i="1"/>
  <c r="G2506" i="1"/>
  <c r="F2506" i="1"/>
  <c r="H2505" i="1"/>
  <c r="G2505" i="1"/>
  <c r="F2505" i="1"/>
  <c r="H2504" i="1"/>
  <c r="G2504" i="1"/>
  <c r="F2504" i="1"/>
  <c r="H2503" i="1"/>
  <c r="G2503" i="1"/>
  <c r="F2503" i="1"/>
  <c r="H2502" i="1"/>
  <c r="G2502" i="1"/>
  <c r="F2502" i="1"/>
  <c r="H2501" i="1"/>
  <c r="G2501" i="1"/>
  <c r="F2501" i="1"/>
  <c r="H2500" i="1"/>
  <c r="G2500" i="1"/>
  <c r="F2500" i="1"/>
  <c r="H2499" i="1"/>
  <c r="G2499" i="1"/>
  <c r="F2499" i="1"/>
  <c r="H2498" i="1"/>
  <c r="G2498" i="1"/>
  <c r="F2498" i="1"/>
  <c r="H2497" i="1"/>
  <c r="G2497" i="1"/>
  <c r="F2497" i="1"/>
  <c r="H2496" i="1"/>
  <c r="G2496" i="1"/>
  <c r="F2496" i="1"/>
  <c r="H2495" i="1"/>
  <c r="G2495" i="1"/>
  <c r="F2495" i="1"/>
  <c r="H2494" i="1"/>
  <c r="G2494" i="1"/>
  <c r="F2494" i="1"/>
  <c r="H2493" i="1"/>
  <c r="G2493" i="1"/>
  <c r="F2493" i="1"/>
  <c r="H2492" i="1"/>
  <c r="G2492" i="1"/>
  <c r="F2492" i="1"/>
  <c r="H2491" i="1"/>
  <c r="G2491" i="1"/>
  <c r="F2491" i="1"/>
  <c r="H2490" i="1"/>
  <c r="G2490" i="1"/>
  <c r="F2490" i="1"/>
  <c r="H2489" i="1"/>
  <c r="G2489" i="1"/>
  <c r="F2489" i="1"/>
  <c r="H2488" i="1"/>
  <c r="G2488" i="1"/>
  <c r="F2488" i="1"/>
  <c r="H2487" i="1"/>
  <c r="G2487" i="1"/>
  <c r="F2487" i="1"/>
  <c r="H2486" i="1"/>
  <c r="G2486" i="1"/>
  <c r="F2486" i="1"/>
  <c r="H2485" i="1"/>
  <c r="G2485" i="1"/>
  <c r="F2485" i="1"/>
  <c r="H2484" i="1"/>
  <c r="G2484" i="1"/>
  <c r="F2484" i="1"/>
  <c r="H2483" i="1"/>
  <c r="G2483" i="1"/>
  <c r="F2483" i="1"/>
  <c r="H2482" i="1"/>
  <c r="G2482" i="1"/>
  <c r="F2482" i="1"/>
  <c r="H2481" i="1"/>
  <c r="G2481" i="1"/>
  <c r="F2481" i="1"/>
  <c r="H2480" i="1"/>
  <c r="G2480" i="1"/>
  <c r="F2480" i="1"/>
  <c r="H2479" i="1"/>
  <c r="G2479" i="1"/>
  <c r="F2479" i="1"/>
  <c r="H2478" i="1"/>
  <c r="G2478" i="1"/>
  <c r="F2478" i="1"/>
  <c r="H2477" i="1"/>
  <c r="G2477" i="1"/>
  <c r="F2477" i="1"/>
  <c r="H2476" i="1"/>
  <c r="G2476" i="1"/>
  <c r="F2476" i="1"/>
  <c r="H2475" i="1"/>
  <c r="G2475" i="1"/>
  <c r="F2475" i="1"/>
  <c r="H2474" i="1"/>
  <c r="G2474" i="1"/>
  <c r="F2474" i="1"/>
  <c r="H2473" i="1"/>
  <c r="G2473" i="1"/>
  <c r="F2473" i="1"/>
  <c r="H2472" i="1"/>
  <c r="G2472" i="1"/>
  <c r="F2472" i="1"/>
  <c r="H2471" i="1"/>
  <c r="G2471" i="1"/>
  <c r="F2471" i="1"/>
  <c r="H2470" i="1"/>
  <c r="G2470" i="1"/>
  <c r="F2470" i="1"/>
  <c r="H2469" i="1"/>
  <c r="G2469" i="1"/>
  <c r="F2469" i="1"/>
  <c r="H2468" i="1"/>
  <c r="G2468" i="1"/>
  <c r="F2468" i="1"/>
  <c r="H2467" i="1"/>
  <c r="G2467" i="1"/>
  <c r="F2467" i="1"/>
  <c r="H2466" i="1"/>
  <c r="G2466" i="1"/>
  <c r="F2466" i="1"/>
  <c r="H2465" i="1"/>
  <c r="G2465" i="1"/>
  <c r="F2465" i="1"/>
  <c r="H2464" i="1"/>
  <c r="G2464" i="1"/>
  <c r="F2464" i="1"/>
  <c r="H2463" i="1"/>
  <c r="G2463" i="1"/>
  <c r="F2463" i="1"/>
  <c r="H2462" i="1"/>
  <c r="G2462" i="1"/>
  <c r="F2462" i="1"/>
  <c r="H2461" i="1"/>
  <c r="G2461" i="1"/>
  <c r="F2461" i="1"/>
  <c r="H2460" i="1"/>
  <c r="G2460" i="1"/>
  <c r="F2460" i="1"/>
  <c r="H2459" i="1"/>
  <c r="G2459" i="1"/>
  <c r="F2459" i="1"/>
  <c r="H2458" i="1"/>
  <c r="G2458" i="1"/>
  <c r="F2458" i="1"/>
  <c r="H2457" i="1"/>
  <c r="G2457" i="1"/>
  <c r="F2457" i="1"/>
  <c r="H2456" i="1"/>
  <c r="G2456" i="1"/>
  <c r="F2456" i="1"/>
  <c r="H2455" i="1"/>
  <c r="G2455" i="1"/>
  <c r="F2455" i="1"/>
  <c r="H2454" i="1"/>
  <c r="G2454" i="1"/>
  <c r="F2454" i="1"/>
  <c r="H2453" i="1"/>
  <c r="G2453" i="1"/>
  <c r="F2453" i="1"/>
  <c r="H2452" i="1"/>
  <c r="G2452" i="1"/>
  <c r="F2452" i="1"/>
  <c r="H2451" i="1"/>
  <c r="G2451" i="1"/>
  <c r="F2451" i="1"/>
  <c r="H2450" i="1"/>
  <c r="G2450" i="1"/>
  <c r="F2450" i="1"/>
  <c r="H2449" i="1"/>
  <c r="G2449" i="1"/>
  <c r="F2449" i="1"/>
  <c r="H2448" i="1"/>
  <c r="G2448" i="1"/>
  <c r="F2448" i="1"/>
  <c r="H2447" i="1"/>
  <c r="G2447" i="1"/>
  <c r="F2447" i="1"/>
  <c r="H2446" i="1"/>
  <c r="G2446" i="1"/>
  <c r="F2446" i="1"/>
  <c r="H2445" i="1"/>
  <c r="G2445" i="1"/>
  <c r="F2445" i="1"/>
  <c r="H2444" i="1"/>
  <c r="G2444" i="1"/>
  <c r="F2444" i="1"/>
  <c r="H2443" i="1"/>
  <c r="G2443" i="1"/>
  <c r="F2443" i="1"/>
  <c r="H2442" i="1"/>
  <c r="G2442" i="1"/>
  <c r="F2442" i="1"/>
  <c r="H2441" i="1"/>
  <c r="G2441" i="1"/>
  <c r="F2441" i="1"/>
  <c r="H2440" i="1"/>
  <c r="G2440" i="1"/>
  <c r="F2440" i="1"/>
  <c r="H2439" i="1"/>
  <c r="G2439" i="1"/>
  <c r="F2439" i="1"/>
  <c r="H2438" i="1"/>
  <c r="G2438" i="1"/>
  <c r="F2438" i="1"/>
  <c r="H2437" i="1"/>
  <c r="G2437" i="1"/>
  <c r="F2437" i="1"/>
  <c r="H2436" i="1"/>
  <c r="G2436" i="1"/>
  <c r="F2436" i="1"/>
  <c r="H2435" i="1"/>
  <c r="G2435" i="1"/>
  <c r="F2435" i="1"/>
  <c r="H2434" i="1"/>
  <c r="G2434" i="1"/>
  <c r="F2434" i="1"/>
  <c r="H2433" i="1"/>
  <c r="G2433" i="1"/>
  <c r="F2433" i="1"/>
  <c r="H2432" i="1"/>
  <c r="G2432" i="1"/>
  <c r="F2432" i="1"/>
  <c r="H2431" i="1"/>
  <c r="G2431" i="1"/>
  <c r="F2431" i="1"/>
  <c r="H2430" i="1"/>
  <c r="G2430" i="1"/>
  <c r="F2430" i="1"/>
  <c r="H2429" i="1"/>
  <c r="G2429" i="1"/>
  <c r="F2429" i="1"/>
  <c r="H2428" i="1"/>
  <c r="G2428" i="1"/>
  <c r="F2428" i="1"/>
  <c r="H2427" i="1"/>
  <c r="G2427" i="1"/>
  <c r="F2427" i="1"/>
  <c r="H2426" i="1"/>
  <c r="G2426" i="1"/>
  <c r="F2426" i="1"/>
  <c r="H2425" i="1"/>
  <c r="G2425" i="1"/>
  <c r="F2425" i="1"/>
  <c r="H2424" i="1"/>
  <c r="G2424" i="1"/>
  <c r="F2424" i="1"/>
  <c r="H2423" i="1"/>
  <c r="G2423" i="1"/>
  <c r="F2423" i="1"/>
  <c r="H2422" i="1"/>
  <c r="G2422" i="1"/>
  <c r="F2422" i="1"/>
  <c r="H2421" i="1"/>
  <c r="G2421" i="1"/>
  <c r="F2421" i="1"/>
  <c r="H2420" i="1"/>
  <c r="G2420" i="1"/>
  <c r="F2420" i="1"/>
  <c r="H2419" i="1"/>
  <c r="G2419" i="1"/>
  <c r="F2419" i="1"/>
  <c r="H2418" i="1"/>
  <c r="G2418" i="1"/>
  <c r="F2418" i="1"/>
  <c r="H2417" i="1"/>
  <c r="G2417" i="1"/>
  <c r="F2417" i="1"/>
  <c r="H2416" i="1"/>
  <c r="G2416" i="1"/>
  <c r="F2416" i="1"/>
  <c r="H2415" i="1"/>
  <c r="G2415" i="1"/>
  <c r="F2415" i="1"/>
  <c r="H2414" i="1"/>
  <c r="G2414" i="1"/>
  <c r="F2414" i="1"/>
  <c r="H2413" i="1"/>
  <c r="G2413" i="1"/>
  <c r="F2413" i="1"/>
  <c r="H2412" i="1"/>
  <c r="G2412" i="1"/>
  <c r="F2412" i="1"/>
  <c r="H2411" i="1"/>
  <c r="G2411" i="1"/>
  <c r="F2411" i="1"/>
  <c r="H2410" i="1"/>
  <c r="G2410" i="1"/>
  <c r="F2410" i="1"/>
  <c r="H2409" i="1"/>
  <c r="G2409" i="1"/>
  <c r="F2409" i="1"/>
  <c r="H2408" i="1"/>
  <c r="G2408" i="1"/>
  <c r="F2408" i="1"/>
  <c r="H2407" i="1"/>
  <c r="G2407" i="1"/>
  <c r="F2407" i="1"/>
  <c r="H2406" i="1"/>
  <c r="G2406" i="1"/>
  <c r="F2406" i="1"/>
  <c r="H2405" i="1"/>
  <c r="G2405" i="1"/>
  <c r="F2405" i="1"/>
  <c r="H2404" i="1"/>
  <c r="G2404" i="1"/>
  <c r="F2404" i="1"/>
  <c r="H2403" i="1"/>
  <c r="G2403" i="1"/>
  <c r="F2403" i="1"/>
  <c r="H2402" i="1"/>
  <c r="G2402" i="1"/>
  <c r="F2402" i="1"/>
  <c r="H2401" i="1"/>
  <c r="G2401" i="1"/>
  <c r="F2401" i="1"/>
  <c r="H2400" i="1"/>
  <c r="G2400" i="1"/>
  <c r="F2400" i="1"/>
  <c r="H2399" i="1"/>
  <c r="G2399" i="1"/>
  <c r="F2399" i="1"/>
  <c r="H2398" i="1"/>
  <c r="G2398" i="1"/>
  <c r="F2398" i="1"/>
  <c r="H2397" i="1"/>
  <c r="G2397" i="1"/>
  <c r="F2397" i="1"/>
  <c r="H2396" i="1"/>
  <c r="G2396" i="1"/>
  <c r="F2396" i="1"/>
  <c r="H2395" i="1"/>
  <c r="G2395" i="1"/>
  <c r="F2395" i="1"/>
  <c r="H2394" i="1"/>
  <c r="G2394" i="1"/>
  <c r="F2394" i="1"/>
  <c r="H2393" i="1"/>
  <c r="G2393" i="1"/>
  <c r="F2393" i="1"/>
  <c r="H2392" i="1"/>
  <c r="G2392" i="1"/>
  <c r="F2392" i="1"/>
  <c r="H2391" i="1"/>
  <c r="G2391" i="1"/>
  <c r="F2391" i="1"/>
  <c r="H2390" i="1"/>
  <c r="G2390" i="1"/>
  <c r="F2390" i="1"/>
  <c r="H2389" i="1"/>
  <c r="G2389" i="1"/>
  <c r="F2389" i="1"/>
  <c r="H2388" i="1"/>
  <c r="G2388" i="1"/>
  <c r="F2388" i="1"/>
  <c r="H2387" i="1"/>
  <c r="G2387" i="1"/>
  <c r="F2387" i="1"/>
  <c r="H2386" i="1"/>
  <c r="G2386" i="1"/>
  <c r="F2386" i="1"/>
  <c r="H2385" i="1"/>
  <c r="G2385" i="1"/>
  <c r="F2385" i="1"/>
  <c r="H2384" i="1"/>
  <c r="G2384" i="1"/>
  <c r="F2384" i="1"/>
  <c r="H2383" i="1"/>
  <c r="G2383" i="1"/>
  <c r="F2383" i="1"/>
  <c r="H2382" i="1"/>
  <c r="G2382" i="1"/>
  <c r="F2382" i="1"/>
  <c r="H2381" i="1"/>
  <c r="G2381" i="1"/>
  <c r="F2381" i="1"/>
  <c r="H2380" i="1"/>
  <c r="G2380" i="1"/>
  <c r="F2380" i="1"/>
  <c r="H2379" i="1"/>
  <c r="G2379" i="1"/>
  <c r="F2379" i="1"/>
  <c r="H2378" i="1"/>
  <c r="G2378" i="1"/>
  <c r="F2378" i="1"/>
  <c r="H2377" i="1"/>
  <c r="G2377" i="1"/>
  <c r="F2377" i="1"/>
  <c r="H2376" i="1"/>
  <c r="G2376" i="1"/>
  <c r="F2376" i="1"/>
  <c r="H2375" i="1"/>
  <c r="G2375" i="1"/>
  <c r="F2375" i="1"/>
  <c r="H2374" i="1"/>
  <c r="G2374" i="1"/>
  <c r="F2374" i="1"/>
  <c r="H2373" i="1"/>
  <c r="G2373" i="1"/>
  <c r="F2373" i="1"/>
  <c r="H2372" i="1"/>
  <c r="G2372" i="1"/>
  <c r="F2372" i="1"/>
  <c r="H2371" i="1"/>
  <c r="G2371" i="1"/>
  <c r="F2371" i="1"/>
  <c r="H2370" i="1"/>
  <c r="G2370" i="1"/>
  <c r="F2370" i="1"/>
  <c r="H2369" i="1"/>
  <c r="G2369" i="1"/>
  <c r="F2369" i="1"/>
  <c r="H2368" i="1"/>
  <c r="G2368" i="1"/>
  <c r="F2368" i="1"/>
  <c r="H2367" i="1"/>
  <c r="G2367" i="1"/>
  <c r="F2367" i="1"/>
  <c r="H2366" i="1"/>
  <c r="G2366" i="1"/>
  <c r="F2366" i="1"/>
  <c r="H2365" i="1"/>
  <c r="G2365" i="1"/>
  <c r="F2365" i="1"/>
  <c r="H2364" i="1"/>
  <c r="G2364" i="1"/>
  <c r="F2364" i="1"/>
  <c r="H2363" i="1"/>
  <c r="G2363" i="1"/>
  <c r="F2363" i="1"/>
  <c r="H2362" i="1"/>
  <c r="G2362" i="1"/>
  <c r="F2362" i="1"/>
  <c r="H2361" i="1"/>
  <c r="G2361" i="1"/>
  <c r="F2361" i="1"/>
  <c r="H2360" i="1"/>
  <c r="G2360" i="1"/>
  <c r="F2360" i="1"/>
  <c r="H2359" i="1"/>
  <c r="G2359" i="1"/>
  <c r="F2359" i="1"/>
  <c r="H2358" i="1"/>
  <c r="G2358" i="1"/>
  <c r="F2358" i="1"/>
  <c r="H2357" i="1"/>
  <c r="G2357" i="1"/>
  <c r="F2357" i="1"/>
  <c r="H2356" i="1"/>
  <c r="G2356" i="1"/>
  <c r="F2356" i="1"/>
  <c r="H2355" i="1"/>
  <c r="G2355" i="1"/>
  <c r="F2355" i="1"/>
  <c r="H2354" i="1"/>
  <c r="G2354" i="1"/>
  <c r="F2354" i="1"/>
  <c r="H2353" i="1"/>
  <c r="G2353" i="1"/>
  <c r="F2353" i="1"/>
  <c r="H2352" i="1"/>
  <c r="G2352" i="1"/>
  <c r="F2352" i="1"/>
  <c r="H2351" i="1"/>
  <c r="G2351" i="1"/>
  <c r="F2351" i="1"/>
  <c r="H2350" i="1"/>
  <c r="G2350" i="1"/>
  <c r="F2350" i="1"/>
  <c r="H2349" i="1"/>
  <c r="G2349" i="1"/>
  <c r="F2349" i="1"/>
  <c r="H2348" i="1"/>
  <c r="G2348" i="1"/>
  <c r="F2348" i="1"/>
  <c r="H2347" i="1"/>
  <c r="G2347" i="1"/>
  <c r="F2347" i="1"/>
  <c r="H2346" i="1"/>
  <c r="G2346" i="1"/>
  <c r="F2346" i="1"/>
  <c r="H2345" i="1"/>
  <c r="G2345" i="1"/>
  <c r="F2345" i="1"/>
  <c r="H2344" i="1"/>
  <c r="G2344" i="1"/>
  <c r="F2344" i="1"/>
  <c r="H2343" i="1"/>
  <c r="G2343" i="1"/>
  <c r="F2343" i="1"/>
  <c r="H2342" i="1"/>
  <c r="G2342" i="1"/>
  <c r="F2342" i="1"/>
  <c r="H2341" i="1"/>
  <c r="G2341" i="1"/>
  <c r="F2341" i="1"/>
  <c r="H2340" i="1"/>
  <c r="G2340" i="1"/>
  <c r="F2340" i="1"/>
  <c r="H2339" i="1"/>
  <c r="G2339" i="1"/>
  <c r="F2339" i="1"/>
  <c r="H2338" i="1"/>
  <c r="G2338" i="1"/>
  <c r="F2338" i="1"/>
  <c r="H2337" i="1"/>
  <c r="G2337" i="1"/>
  <c r="F2337" i="1"/>
  <c r="H2336" i="1"/>
  <c r="G2336" i="1"/>
  <c r="F2336" i="1"/>
  <c r="H2335" i="1"/>
  <c r="G2335" i="1"/>
  <c r="F2335" i="1"/>
  <c r="H2334" i="1"/>
  <c r="G2334" i="1"/>
  <c r="F2334" i="1"/>
  <c r="H2333" i="1"/>
  <c r="G2333" i="1"/>
  <c r="F2333" i="1"/>
  <c r="H2332" i="1"/>
  <c r="G2332" i="1"/>
  <c r="F2332" i="1"/>
  <c r="H2331" i="1"/>
  <c r="G2331" i="1"/>
  <c r="F2331" i="1"/>
  <c r="H2330" i="1"/>
  <c r="G2330" i="1"/>
  <c r="F2330" i="1"/>
  <c r="H2329" i="1"/>
  <c r="G2329" i="1"/>
  <c r="F2329" i="1"/>
  <c r="H2328" i="1"/>
  <c r="G2328" i="1"/>
  <c r="F2328" i="1"/>
  <c r="H2327" i="1"/>
  <c r="G2327" i="1"/>
  <c r="F2327" i="1"/>
  <c r="H2326" i="1"/>
  <c r="G2326" i="1"/>
  <c r="F2326" i="1"/>
  <c r="H2325" i="1"/>
  <c r="G2325" i="1"/>
  <c r="F2325" i="1"/>
  <c r="H2324" i="1"/>
  <c r="G2324" i="1"/>
  <c r="F2324" i="1"/>
  <c r="H2323" i="1"/>
  <c r="G2323" i="1"/>
  <c r="F2323" i="1"/>
  <c r="H2322" i="1"/>
  <c r="G2322" i="1"/>
  <c r="F2322" i="1"/>
  <c r="H2321" i="1"/>
  <c r="G2321" i="1"/>
  <c r="F2321" i="1"/>
  <c r="H2320" i="1"/>
  <c r="G2320" i="1"/>
  <c r="F2320" i="1"/>
  <c r="H2319" i="1"/>
  <c r="G2319" i="1"/>
  <c r="F2319" i="1"/>
  <c r="H2318" i="1"/>
  <c r="G2318" i="1"/>
  <c r="F2318" i="1"/>
  <c r="H2317" i="1"/>
  <c r="G2317" i="1"/>
  <c r="F2317" i="1"/>
  <c r="H2316" i="1"/>
  <c r="G2316" i="1"/>
  <c r="F2316" i="1"/>
  <c r="H2315" i="1"/>
  <c r="G2315" i="1"/>
  <c r="F2315" i="1"/>
  <c r="H2314" i="1"/>
  <c r="G2314" i="1"/>
  <c r="F2314" i="1"/>
  <c r="H2313" i="1"/>
  <c r="G2313" i="1"/>
  <c r="F2313" i="1"/>
  <c r="H2312" i="1"/>
  <c r="G2312" i="1"/>
  <c r="F2312" i="1"/>
  <c r="H2311" i="1"/>
  <c r="G2311" i="1"/>
  <c r="F2311" i="1"/>
  <c r="H2310" i="1"/>
  <c r="G2310" i="1"/>
  <c r="F2310" i="1"/>
  <c r="H2309" i="1"/>
  <c r="G2309" i="1"/>
  <c r="F2309" i="1"/>
  <c r="H2308" i="1"/>
  <c r="G2308" i="1"/>
  <c r="F2308" i="1"/>
  <c r="H2307" i="1"/>
  <c r="G2307" i="1"/>
  <c r="F2307" i="1"/>
  <c r="H2306" i="1"/>
  <c r="G2306" i="1"/>
  <c r="F2306" i="1"/>
  <c r="H2305" i="1"/>
  <c r="G2305" i="1"/>
  <c r="F2305" i="1"/>
  <c r="H2304" i="1"/>
  <c r="G2304" i="1"/>
  <c r="F2304" i="1"/>
  <c r="H2303" i="1"/>
  <c r="G2303" i="1"/>
  <c r="F2303" i="1"/>
  <c r="H2302" i="1"/>
  <c r="G2302" i="1"/>
  <c r="F2302" i="1"/>
  <c r="H2301" i="1"/>
  <c r="G2301" i="1"/>
  <c r="F2301" i="1"/>
  <c r="H2300" i="1"/>
  <c r="G2300" i="1"/>
  <c r="F2300" i="1"/>
  <c r="H2299" i="1"/>
  <c r="G2299" i="1"/>
  <c r="F2299" i="1"/>
  <c r="H2298" i="1"/>
  <c r="G2298" i="1"/>
  <c r="F2298" i="1"/>
  <c r="H2297" i="1"/>
  <c r="G2297" i="1"/>
  <c r="F2297" i="1"/>
  <c r="H2296" i="1"/>
  <c r="G2296" i="1"/>
  <c r="F2296" i="1"/>
  <c r="H2295" i="1"/>
  <c r="G2295" i="1"/>
  <c r="F2295" i="1"/>
  <c r="H2294" i="1"/>
  <c r="G2294" i="1"/>
  <c r="F2294" i="1"/>
  <c r="H2293" i="1"/>
  <c r="G2293" i="1"/>
  <c r="F2293" i="1"/>
  <c r="H2292" i="1"/>
  <c r="G2292" i="1"/>
  <c r="F2292" i="1"/>
  <c r="H2291" i="1"/>
  <c r="G2291" i="1"/>
  <c r="F2291" i="1"/>
  <c r="H2290" i="1"/>
  <c r="G2290" i="1"/>
  <c r="F2290" i="1"/>
  <c r="H2289" i="1"/>
  <c r="G2289" i="1"/>
  <c r="F2289" i="1"/>
  <c r="H2288" i="1"/>
  <c r="G2288" i="1"/>
  <c r="F2288" i="1"/>
  <c r="H2287" i="1"/>
  <c r="G2287" i="1"/>
  <c r="F2287" i="1"/>
  <c r="H2286" i="1"/>
  <c r="G2286" i="1"/>
  <c r="F2286" i="1"/>
  <c r="H2285" i="1"/>
  <c r="G2285" i="1"/>
  <c r="F2285" i="1"/>
  <c r="H2284" i="1"/>
  <c r="G2284" i="1"/>
  <c r="F2284" i="1"/>
  <c r="H2283" i="1"/>
  <c r="G2283" i="1"/>
  <c r="F2283" i="1"/>
  <c r="H2282" i="1"/>
  <c r="G2282" i="1"/>
  <c r="F2282" i="1"/>
  <c r="H2281" i="1"/>
  <c r="G2281" i="1"/>
  <c r="F2281" i="1"/>
  <c r="H2280" i="1"/>
  <c r="G2280" i="1"/>
  <c r="F2280" i="1"/>
  <c r="H2279" i="1"/>
  <c r="G2279" i="1"/>
  <c r="F2279" i="1"/>
  <c r="H2278" i="1"/>
  <c r="G2278" i="1"/>
  <c r="F2278" i="1"/>
  <c r="H2277" i="1"/>
  <c r="G2277" i="1"/>
  <c r="F2277" i="1"/>
  <c r="H2276" i="1"/>
  <c r="G2276" i="1"/>
  <c r="F2276" i="1"/>
  <c r="H2275" i="1"/>
  <c r="G2275" i="1"/>
  <c r="F2275" i="1"/>
  <c r="H2274" i="1"/>
  <c r="G2274" i="1"/>
  <c r="F2274" i="1"/>
  <c r="H2273" i="1"/>
  <c r="G2273" i="1"/>
  <c r="F2273" i="1"/>
  <c r="H2272" i="1"/>
  <c r="G2272" i="1"/>
  <c r="F2272" i="1"/>
  <c r="H2271" i="1"/>
  <c r="G2271" i="1"/>
  <c r="F2271" i="1"/>
  <c r="H2270" i="1"/>
  <c r="G2270" i="1"/>
  <c r="F2270" i="1"/>
  <c r="H2269" i="1"/>
  <c r="G2269" i="1"/>
  <c r="F2269" i="1"/>
  <c r="H2268" i="1"/>
  <c r="G2268" i="1"/>
  <c r="F2268" i="1"/>
  <c r="H2267" i="1"/>
  <c r="G2267" i="1"/>
  <c r="F2267" i="1"/>
  <c r="H2266" i="1"/>
  <c r="G2266" i="1"/>
  <c r="F2266" i="1"/>
  <c r="H2265" i="1"/>
  <c r="G2265" i="1"/>
  <c r="F2265" i="1"/>
  <c r="H2264" i="1"/>
  <c r="G2264" i="1"/>
  <c r="F2264" i="1"/>
  <c r="H2263" i="1"/>
  <c r="G2263" i="1"/>
  <c r="F2263" i="1"/>
  <c r="H2262" i="1"/>
  <c r="G2262" i="1"/>
  <c r="F2262" i="1"/>
  <c r="H2261" i="1"/>
  <c r="G2261" i="1"/>
  <c r="F2261" i="1"/>
  <c r="H2260" i="1"/>
  <c r="G2260" i="1"/>
  <c r="F2260" i="1"/>
  <c r="H2259" i="1"/>
  <c r="G2259" i="1"/>
  <c r="F2259" i="1"/>
  <c r="H2258" i="1"/>
  <c r="G2258" i="1"/>
  <c r="F2258" i="1"/>
  <c r="H2257" i="1"/>
  <c r="G2257" i="1"/>
  <c r="F2257" i="1"/>
  <c r="H2256" i="1"/>
  <c r="G2256" i="1"/>
  <c r="F2256" i="1"/>
  <c r="H2255" i="1"/>
  <c r="G2255" i="1"/>
  <c r="F2255" i="1"/>
  <c r="H2254" i="1"/>
  <c r="G2254" i="1"/>
  <c r="F2254" i="1"/>
  <c r="H2253" i="1"/>
  <c r="G2253" i="1"/>
  <c r="F2253" i="1"/>
  <c r="H2252" i="1"/>
  <c r="G2252" i="1"/>
  <c r="F2252" i="1"/>
  <c r="H2251" i="1"/>
  <c r="G2251" i="1"/>
  <c r="F2251" i="1"/>
  <c r="H2250" i="1"/>
  <c r="G2250" i="1"/>
  <c r="F2250" i="1"/>
  <c r="H2249" i="1"/>
  <c r="G2249" i="1"/>
  <c r="F2249" i="1"/>
  <c r="H2248" i="1"/>
  <c r="G2248" i="1"/>
  <c r="F2248" i="1"/>
  <c r="H2247" i="1"/>
  <c r="G2247" i="1"/>
  <c r="F2247" i="1"/>
  <c r="H2246" i="1"/>
  <c r="G2246" i="1"/>
  <c r="F2246" i="1"/>
  <c r="H2245" i="1"/>
  <c r="G2245" i="1"/>
  <c r="F2245" i="1"/>
  <c r="H2244" i="1"/>
  <c r="G2244" i="1"/>
  <c r="F2244" i="1"/>
  <c r="H2243" i="1"/>
  <c r="G2243" i="1"/>
  <c r="F2243" i="1"/>
  <c r="H2242" i="1"/>
  <c r="G2242" i="1"/>
  <c r="F2242" i="1"/>
  <c r="H2241" i="1"/>
  <c r="G2241" i="1"/>
  <c r="F2241" i="1"/>
  <c r="H2240" i="1"/>
  <c r="G2240" i="1"/>
  <c r="F2240" i="1"/>
  <c r="H2239" i="1"/>
  <c r="G2239" i="1"/>
  <c r="F2239" i="1"/>
  <c r="H2238" i="1"/>
  <c r="G2238" i="1"/>
  <c r="F2238" i="1"/>
  <c r="H2237" i="1"/>
  <c r="G2237" i="1"/>
  <c r="F2237" i="1"/>
  <c r="H2236" i="1"/>
  <c r="G2236" i="1"/>
  <c r="F2236" i="1"/>
  <c r="H2235" i="1"/>
  <c r="G2235" i="1"/>
  <c r="F2235" i="1"/>
  <c r="H2234" i="1"/>
  <c r="G2234" i="1"/>
  <c r="F2234" i="1"/>
  <c r="H2233" i="1"/>
  <c r="G2233" i="1"/>
  <c r="F2233" i="1"/>
  <c r="H2232" i="1"/>
  <c r="G2232" i="1"/>
  <c r="F2232" i="1"/>
  <c r="H2231" i="1"/>
  <c r="G2231" i="1"/>
  <c r="F2231" i="1"/>
  <c r="H2230" i="1"/>
  <c r="G2230" i="1"/>
  <c r="F2230" i="1"/>
  <c r="H2229" i="1"/>
  <c r="G2229" i="1"/>
  <c r="F2229" i="1"/>
  <c r="H2228" i="1"/>
  <c r="G2228" i="1"/>
  <c r="F2228" i="1"/>
  <c r="H2227" i="1"/>
  <c r="G2227" i="1"/>
  <c r="F2227" i="1"/>
  <c r="H2226" i="1"/>
  <c r="G2226" i="1"/>
  <c r="F2226" i="1"/>
  <c r="H2225" i="1"/>
  <c r="G2225" i="1"/>
  <c r="F2225" i="1"/>
  <c r="H2224" i="1"/>
  <c r="G2224" i="1"/>
  <c r="F2224" i="1"/>
  <c r="H2223" i="1"/>
  <c r="G2223" i="1"/>
  <c r="F2223" i="1"/>
  <c r="H2222" i="1"/>
  <c r="G2222" i="1"/>
  <c r="F2222" i="1"/>
  <c r="H2221" i="1"/>
  <c r="G2221" i="1"/>
  <c r="F2221" i="1"/>
  <c r="H2220" i="1"/>
  <c r="G2220" i="1"/>
  <c r="F2220" i="1"/>
  <c r="H2219" i="1"/>
  <c r="G2219" i="1"/>
  <c r="F2219" i="1"/>
  <c r="H2218" i="1"/>
  <c r="G2218" i="1"/>
  <c r="F2218" i="1"/>
  <c r="H2217" i="1"/>
  <c r="G2217" i="1"/>
  <c r="F2217" i="1"/>
  <c r="H2216" i="1"/>
  <c r="G2216" i="1"/>
  <c r="F2216" i="1"/>
  <c r="H2215" i="1"/>
  <c r="G2215" i="1"/>
  <c r="F2215" i="1"/>
  <c r="H2214" i="1"/>
  <c r="G2214" i="1"/>
  <c r="F2214" i="1"/>
  <c r="H2213" i="1"/>
  <c r="G2213" i="1"/>
  <c r="F2213" i="1"/>
  <c r="H2212" i="1"/>
  <c r="G2212" i="1"/>
  <c r="F2212" i="1"/>
  <c r="H2211" i="1"/>
  <c r="G2211" i="1"/>
  <c r="F2211" i="1"/>
  <c r="H2210" i="1"/>
  <c r="G2210" i="1"/>
  <c r="F2210" i="1"/>
  <c r="H2209" i="1"/>
  <c r="G2209" i="1"/>
  <c r="F2209" i="1"/>
  <c r="H2208" i="1"/>
  <c r="G2208" i="1"/>
  <c r="F2208" i="1"/>
  <c r="H2207" i="1"/>
  <c r="G2207" i="1"/>
  <c r="F2207" i="1"/>
  <c r="H2206" i="1"/>
  <c r="G2206" i="1"/>
  <c r="F2206" i="1"/>
  <c r="H2205" i="1"/>
  <c r="G2205" i="1"/>
  <c r="F2205" i="1"/>
  <c r="H2204" i="1"/>
  <c r="G2204" i="1"/>
  <c r="F2204" i="1"/>
  <c r="H2203" i="1"/>
  <c r="G2203" i="1"/>
  <c r="F2203" i="1"/>
  <c r="H2202" i="1"/>
  <c r="G2202" i="1"/>
  <c r="F2202" i="1"/>
  <c r="H2201" i="1"/>
  <c r="G2201" i="1"/>
  <c r="F2201" i="1"/>
  <c r="H2200" i="1"/>
  <c r="G2200" i="1"/>
  <c r="F2200" i="1"/>
  <c r="H2199" i="1"/>
  <c r="G2199" i="1"/>
  <c r="F2199" i="1"/>
  <c r="H2198" i="1"/>
  <c r="G2198" i="1"/>
  <c r="F2198" i="1"/>
  <c r="H2197" i="1"/>
  <c r="G2197" i="1"/>
  <c r="F2197" i="1"/>
  <c r="H2196" i="1"/>
  <c r="G2196" i="1"/>
  <c r="F2196" i="1"/>
  <c r="H2195" i="1"/>
  <c r="G2195" i="1"/>
  <c r="F2195" i="1"/>
  <c r="H2194" i="1"/>
  <c r="G2194" i="1"/>
  <c r="F2194" i="1"/>
  <c r="H2193" i="1"/>
  <c r="G2193" i="1"/>
  <c r="F2193" i="1"/>
  <c r="H2192" i="1"/>
  <c r="G2192" i="1"/>
  <c r="F2192" i="1"/>
  <c r="H2191" i="1"/>
  <c r="G2191" i="1"/>
  <c r="F2191" i="1"/>
  <c r="H2190" i="1"/>
  <c r="G2190" i="1"/>
  <c r="F2190" i="1"/>
  <c r="H2189" i="1"/>
  <c r="G2189" i="1"/>
  <c r="F2189" i="1"/>
  <c r="H2188" i="1"/>
  <c r="G2188" i="1"/>
  <c r="F2188" i="1"/>
  <c r="H2187" i="1"/>
  <c r="G2187" i="1"/>
  <c r="F2187" i="1"/>
  <c r="H2186" i="1"/>
  <c r="G2186" i="1"/>
  <c r="F2186" i="1"/>
  <c r="H2185" i="1"/>
  <c r="G2185" i="1"/>
  <c r="F2185" i="1"/>
  <c r="H2184" i="1"/>
  <c r="G2184" i="1"/>
  <c r="F2184" i="1"/>
  <c r="H2183" i="1"/>
  <c r="G2183" i="1"/>
  <c r="F2183" i="1"/>
  <c r="H2182" i="1"/>
  <c r="G2182" i="1"/>
  <c r="F2182" i="1"/>
  <c r="H2181" i="1"/>
  <c r="G2181" i="1"/>
  <c r="F2181" i="1"/>
  <c r="H2180" i="1"/>
  <c r="G2180" i="1"/>
  <c r="F2180" i="1"/>
  <c r="H2179" i="1"/>
  <c r="G2179" i="1"/>
  <c r="F2179" i="1"/>
  <c r="H2178" i="1"/>
  <c r="G2178" i="1"/>
  <c r="F2178" i="1"/>
  <c r="H2177" i="1"/>
  <c r="G2177" i="1"/>
  <c r="F2177" i="1"/>
  <c r="H2176" i="1"/>
  <c r="G2176" i="1"/>
  <c r="F2176" i="1"/>
  <c r="H2175" i="1"/>
  <c r="G2175" i="1"/>
  <c r="F2175" i="1"/>
  <c r="H2174" i="1"/>
  <c r="G2174" i="1"/>
  <c r="F2174" i="1"/>
  <c r="H2173" i="1"/>
  <c r="G2173" i="1"/>
  <c r="F2173" i="1"/>
  <c r="H2172" i="1"/>
  <c r="G2172" i="1"/>
  <c r="F2172" i="1"/>
  <c r="H2171" i="1"/>
  <c r="G2171" i="1"/>
  <c r="F2171" i="1"/>
  <c r="H2170" i="1"/>
  <c r="G2170" i="1"/>
  <c r="F2170" i="1"/>
  <c r="H2169" i="1"/>
  <c r="G2169" i="1"/>
  <c r="F2169" i="1"/>
  <c r="H2168" i="1"/>
  <c r="G2168" i="1"/>
  <c r="F2168" i="1"/>
  <c r="H2167" i="1"/>
  <c r="G2167" i="1"/>
  <c r="F2167" i="1"/>
  <c r="H2166" i="1"/>
  <c r="G2166" i="1"/>
  <c r="F2166" i="1"/>
  <c r="H2165" i="1"/>
  <c r="G2165" i="1"/>
  <c r="F2165" i="1"/>
  <c r="H2164" i="1"/>
  <c r="G2164" i="1"/>
  <c r="F2164" i="1"/>
  <c r="H2163" i="1"/>
  <c r="G2163" i="1"/>
  <c r="F2163" i="1"/>
  <c r="H2162" i="1"/>
  <c r="G2162" i="1"/>
  <c r="F2162" i="1"/>
  <c r="H2161" i="1"/>
  <c r="G2161" i="1"/>
  <c r="F2161" i="1"/>
  <c r="H2160" i="1"/>
  <c r="G2160" i="1"/>
  <c r="F2160" i="1"/>
  <c r="H2159" i="1"/>
  <c r="G2159" i="1"/>
  <c r="F2159" i="1"/>
  <c r="H2158" i="1"/>
  <c r="G2158" i="1"/>
  <c r="F2158" i="1"/>
  <c r="H2157" i="1"/>
  <c r="G2157" i="1"/>
  <c r="F2157" i="1"/>
  <c r="H2156" i="1"/>
  <c r="G2156" i="1"/>
  <c r="F2156" i="1"/>
  <c r="H2155" i="1"/>
  <c r="G2155" i="1"/>
  <c r="F2155" i="1"/>
  <c r="H2154" i="1"/>
  <c r="G2154" i="1"/>
  <c r="F2154" i="1"/>
  <c r="H2153" i="1"/>
  <c r="G2153" i="1"/>
  <c r="F2153" i="1"/>
  <c r="H2152" i="1"/>
  <c r="G2152" i="1"/>
  <c r="F2152" i="1"/>
  <c r="H2151" i="1"/>
  <c r="G2151" i="1"/>
  <c r="F2151" i="1"/>
  <c r="H2150" i="1"/>
  <c r="G2150" i="1"/>
  <c r="F2150" i="1"/>
  <c r="H2149" i="1"/>
  <c r="G2149" i="1"/>
  <c r="F2149" i="1"/>
  <c r="H2148" i="1"/>
  <c r="G2148" i="1"/>
  <c r="F2148" i="1"/>
  <c r="H2147" i="1"/>
  <c r="G2147" i="1"/>
  <c r="F2147" i="1"/>
  <c r="H2146" i="1"/>
  <c r="G2146" i="1"/>
  <c r="F2146" i="1"/>
  <c r="H2145" i="1"/>
  <c r="G2145" i="1"/>
  <c r="F2145" i="1"/>
  <c r="H2144" i="1"/>
  <c r="G2144" i="1"/>
  <c r="F2144" i="1"/>
  <c r="H2143" i="1"/>
  <c r="G2143" i="1"/>
  <c r="F2143" i="1"/>
  <c r="H2142" i="1"/>
  <c r="G2142" i="1"/>
  <c r="F2142" i="1"/>
  <c r="H2141" i="1"/>
  <c r="G2141" i="1"/>
  <c r="F2141" i="1"/>
  <c r="H2140" i="1"/>
  <c r="G2140" i="1"/>
  <c r="F2140" i="1"/>
  <c r="H2139" i="1"/>
  <c r="G2139" i="1"/>
  <c r="F2139" i="1"/>
  <c r="H2138" i="1"/>
  <c r="G2138" i="1"/>
  <c r="F2138" i="1"/>
  <c r="H2137" i="1"/>
  <c r="G2137" i="1"/>
  <c r="F2137" i="1"/>
  <c r="H2136" i="1"/>
  <c r="G2136" i="1"/>
  <c r="F2136" i="1"/>
  <c r="H2135" i="1"/>
  <c r="G2135" i="1"/>
  <c r="F2135" i="1"/>
  <c r="H2134" i="1"/>
  <c r="G2134" i="1"/>
  <c r="F2134" i="1"/>
  <c r="H2133" i="1"/>
  <c r="G2133" i="1"/>
  <c r="F2133" i="1"/>
  <c r="H2132" i="1"/>
  <c r="G2132" i="1"/>
  <c r="F2132" i="1"/>
  <c r="H2131" i="1"/>
  <c r="G2131" i="1"/>
  <c r="F2131" i="1"/>
  <c r="H2130" i="1"/>
  <c r="G2130" i="1"/>
  <c r="F2130" i="1"/>
  <c r="H2129" i="1"/>
  <c r="G2129" i="1"/>
  <c r="F2129" i="1"/>
  <c r="H2128" i="1"/>
  <c r="G2128" i="1"/>
  <c r="F2128" i="1"/>
  <c r="H2127" i="1"/>
  <c r="G2127" i="1"/>
  <c r="F2127" i="1"/>
  <c r="H2126" i="1"/>
  <c r="G2126" i="1"/>
  <c r="F2126" i="1"/>
  <c r="H2125" i="1"/>
  <c r="G2125" i="1"/>
  <c r="F2125" i="1"/>
  <c r="H2124" i="1"/>
  <c r="G2124" i="1"/>
  <c r="F2124" i="1"/>
  <c r="H2123" i="1"/>
  <c r="G2123" i="1"/>
  <c r="F2123" i="1"/>
  <c r="H2122" i="1"/>
  <c r="G2122" i="1"/>
  <c r="F2122" i="1"/>
  <c r="H2121" i="1"/>
  <c r="G2121" i="1"/>
  <c r="F2121" i="1"/>
  <c r="H2120" i="1"/>
  <c r="G2120" i="1"/>
  <c r="F2120" i="1"/>
  <c r="H2119" i="1"/>
  <c r="G2119" i="1"/>
  <c r="F2119" i="1"/>
  <c r="H2118" i="1"/>
  <c r="G2118" i="1"/>
  <c r="F2118" i="1"/>
  <c r="H2117" i="1"/>
  <c r="G2117" i="1"/>
  <c r="F2117" i="1"/>
  <c r="H2116" i="1"/>
  <c r="G2116" i="1"/>
  <c r="F2116" i="1"/>
  <c r="H2115" i="1"/>
  <c r="G2115" i="1"/>
  <c r="F2115" i="1"/>
  <c r="H2114" i="1"/>
  <c r="G2114" i="1"/>
  <c r="F2114" i="1"/>
  <c r="H2113" i="1"/>
  <c r="G2113" i="1"/>
  <c r="F2113" i="1"/>
  <c r="H2112" i="1"/>
  <c r="G2112" i="1"/>
  <c r="F2112" i="1"/>
  <c r="H2111" i="1"/>
  <c r="G2111" i="1"/>
  <c r="F2111" i="1"/>
  <c r="H2110" i="1"/>
  <c r="G2110" i="1"/>
  <c r="F2110" i="1"/>
  <c r="H2109" i="1"/>
  <c r="G2109" i="1"/>
  <c r="F2109" i="1"/>
  <c r="H2108" i="1"/>
  <c r="G2108" i="1"/>
  <c r="F2108" i="1"/>
  <c r="H2107" i="1"/>
  <c r="G2107" i="1"/>
  <c r="F2107" i="1"/>
  <c r="H2106" i="1"/>
  <c r="G2106" i="1"/>
  <c r="F2106" i="1"/>
  <c r="H2105" i="1"/>
  <c r="G2105" i="1"/>
  <c r="F2105" i="1"/>
  <c r="H2104" i="1"/>
  <c r="G2104" i="1"/>
  <c r="F2104" i="1"/>
  <c r="H2103" i="1"/>
  <c r="G2103" i="1"/>
  <c r="F2103" i="1"/>
  <c r="H2102" i="1"/>
  <c r="G2102" i="1"/>
  <c r="F2102" i="1"/>
  <c r="H2101" i="1"/>
  <c r="G2101" i="1"/>
  <c r="F2101" i="1"/>
  <c r="H2100" i="1"/>
  <c r="G2100" i="1"/>
  <c r="F2100" i="1"/>
  <c r="H2099" i="1"/>
  <c r="G2099" i="1"/>
  <c r="F2099" i="1"/>
  <c r="H2098" i="1"/>
  <c r="G2098" i="1"/>
  <c r="F2098" i="1"/>
  <c r="H2097" i="1"/>
  <c r="G2097" i="1"/>
  <c r="F2097" i="1"/>
  <c r="H2096" i="1"/>
  <c r="G2096" i="1"/>
  <c r="F2096" i="1"/>
  <c r="H2095" i="1"/>
  <c r="G2095" i="1"/>
  <c r="F2095" i="1"/>
  <c r="H2094" i="1"/>
  <c r="G2094" i="1"/>
  <c r="F2094" i="1"/>
  <c r="H2093" i="1"/>
  <c r="G2093" i="1"/>
  <c r="F2093" i="1"/>
  <c r="H2092" i="1"/>
  <c r="G2092" i="1"/>
  <c r="F2092" i="1"/>
  <c r="H2091" i="1"/>
  <c r="G2091" i="1"/>
  <c r="F2091" i="1"/>
  <c r="H2090" i="1"/>
  <c r="G2090" i="1"/>
  <c r="F2090" i="1"/>
  <c r="H2089" i="1"/>
  <c r="G2089" i="1"/>
  <c r="F2089" i="1"/>
  <c r="H2088" i="1"/>
  <c r="G2088" i="1"/>
  <c r="F2088" i="1"/>
  <c r="H2087" i="1"/>
  <c r="G2087" i="1"/>
  <c r="F2087" i="1"/>
  <c r="H2086" i="1"/>
  <c r="G2086" i="1"/>
  <c r="F2086" i="1"/>
  <c r="H2085" i="1"/>
  <c r="G2085" i="1"/>
  <c r="F2085" i="1"/>
  <c r="H2084" i="1"/>
  <c r="G2084" i="1"/>
  <c r="F2084" i="1"/>
  <c r="H2083" i="1"/>
  <c r="G2083" i="1"/>
  <c r="F2083" i="1"/>
  <c r="H2082" i="1"/>
  <c r="G2082" i="1"/>
  <c r="F2082" i="1"/>
  <c r="H2081" i="1"/>
  <c r="G2081" i="1"/>
  <c r="F2081" i="1"/>
  <c r="H2080" i="1"/>
  <c r="G2080" i="1"/>
  <c r="F2080" i="1"/>
  <c r="H2079" i="1"/>
  <c r="G2079" i="1"/>
  <c r="F2079" i="1"/>
  <c r="H2078" i="1"/>
  <c r="G2078" i="1"/>
  <c r="F2078" i="1"/>
  <c r="H2077" i="1"/>
  <c r="G2077" i="1"/>
  <c r="F2077" i="1"/>
  <c r="H2076" i="1"/>
  <c r="G2076" i="1"/>
  <c r="F2076" i="1"/>
  <c r="H2075" i="1"/>
  <c r="G2075" i="1"/>
  <c r="F2075" i="1"/>
  <c r="H2074" i="1"/>
  <c r="G2074" i="1"/>
  <c r="F2074" i="1"/>
  <c r="H2073" i="1"/>
  <c r="G2073" i="1"/>
  <c r="F2073" i="1"/>
  <c r="H2072" i="1"/>
  <c r="G2072" i="1"/>
  <c r="F2072" i="1"/>
  <c r="H2071" i="1"/>
  <c r="G2071" i="1"/>
  <c r="F2071" i="1"/>
  <c r="H2070" i="1"/>
  <c r="G2070" i="1"/>
  <c r="F2070" i="1"/>
  <c r="H2069" i="1"/>
  <c r="G2069" i="1"/>
  <c r="F2069" i="1"/>
  <c r="H2068" i="1"/>
  <c r="G2068" i="1"/>
  <c r="F2068" i="1"/>
  <c r="H2067" i="1"/>
  <c r="G2067" i="1"/>
  <c r="F2067" i="1"/>
  <c r="H2066" i="1"/>
  <c r="G2066" i="1"/>
  <c r="F2066" i="1"/>
  <c r="H2065" i="1"/>
  <c r="G2065" i="1"/>
  <c r="F2065" i="1"/>
  <c r="H2064" i="1"/>
  <c r="G2064" i="1"/>
  <c r="F2064" i="1"/>
  <c r="H2063" i="1"/>
  <c r="G2063" i="1"/>
  <c r="F2063" i="1"/>
  <c r="H2062" i="1"/>
  <c r="G2062" i="1"/>
  <c r="F2062" i="1"/>
  <c r="H2061" i="1"/>
  <c r="G2061" i="1"/>
  <c r="F2061" i="1"/>
  <c r="H2060" i="1"/>
  <c r="G2060" i="1"/>
  <c r="F2060" i="1"/>
  <c r="H2059" i="1"/>
  <c r="G2059" i="1"/>
  <c r="F2059" i="1"/>
  <c r="H2058" i="1"/>
  <c r="G2058" i="1"/>
  <c r="F2058" i="1"/>
  <c r="H2057" i="1"/>
  <c r="G2057" i="1"/>
  <c r="F2057" i="1"/>
  <c r="H2056" i="1"/>
  <c r="G2056" i="1"/>
  <c r="F2056" i="1"/>
  <c r="H2055" i="1"/>
  <c r="G2055" i="1"/>
  <c r="F2055" i="1"/>
  <c r="H2054" i="1"/>
  <c r="G2054" i="1"/>
  <c r="F2054" i="1"/>
  <c r="H2053" i="1"/>
  <c r="G2053" i="1"/>
  <c r="F2053" i="1"/>
  <c r="H2052" i="1"/>
  <c r="G2052" i="1"/>
  <c r="F2052" i="1"/>
  <c r="H2051" i="1"/>
  <c r="G2051" i="1"/>
  <c r="F2051" i="1"/>
  <c r="H2050" i="1"/>
  <c r="G2050" i="1"/>
  <c r="F2050" i="1"/>
  <c r="H2049" i="1"/>
  <c r="G2049" i="1"/>
  <c r="F2049" i="1"/>
  <c r="H2048" i="1"/>
  <c r="G2048" i="1"/>
  <c r="F2048" i="1"/>
  <c r="H2047" i="1"/>
  <c r="G2047" i="1"/>
  <c r="F2047" i="1"/>
  <c r="H2046" i="1"/>
  <c r="G2046" i="1"/>
  <c r="F2046" i="1"/>
  <c r="H2045" i="1"/>
  <c r="G2045" i="1"/>
  <c r="F2045" i="1"/>
  <c r="H2044" i="1"/>
  <c r="G2044" i="1"/>
  <c r="F2044" i="1"/>
  <c r="H2043" i="1"/>
  <c r="G2043" i="1"/>
  <c r="F2043" i="1"/>
  <c r="H2042" i="1"/>
  <c r="G2042" i="1"/>
  <c r="F2042" i="1"/>
  <c r="H2041" i="1"/>
  <c r="G2041" i="1"/>
  <c r="F2041" i="1"/>
  <c r="H2040" i="1"/>
  <c r="G2040" i="1"/>
  <c r="F2040" i="1"/>
  <c r="H2039" i="1"/>
  <c r="G2039" i="1"/>
  <c r="F2039" i="1"/>
  <c r="H2038" i="1"/>
  <c r="G2038" i="1"/>
  <c r="F2038" i="1"/>
  <c r="H2037" i="1"/>
  <c r="G2037" i="1"/>
  <c r="F2037" i="1"/>
  <c r="H2036" i="1"/>
  <c r="G2036" i="1"/>
  <c r="F2036" i="1"/>
  <c r="H2035" i="1"/>
  <c r="G2035" i="1"/>
  <c r="F2035" i="1"/>
  <c r="H2034" i="1"/>
  <c r="G2034" i="1"/>
  <c r="F2034" i="1"/>
  <c r="H2033" i="1"/>
  <c r="G2033" i="1"/>
  <c r="F2033" i="1"/>
  <c r="H2032" i="1"/>
  <c r="G2032" i="1"/>
  <c r="F2032" i="1"/>
  <c r="H2031" i="1"/>
  <c r="G2031" i="1"/>
  <c r="F2031" i="1"/>
  <c r="H2030" i="1"/>
  <c r="G2030" i="1"/>
  <c r="F2030" i="1"/>
  <c r="H2029" i="1"/>
  <c r="G2029" i="1"/>
  <c r="F2029" i="1"/>
  <c r="H2028" i="1"/>
  <c r="G2028" i="1"/>
  <c r="F2028" i="1"/>
  <c r="H2027" i="1"/>
  <c r="G2027" i="1"/>
  <c r="F2027" i="1"/>
  <c r="H2026" i="1"/>
  <c r="G2026" i="1"/>
  <c r="F2026" i="1"/>
  <c r="H2025" i="1"/>
  <c r="G2025" i="1"/>
  <c r="F2025" i="1"/>
  <c r="H2024" i="1"/>
  <c r="G2024" i="1"/>
  <c r="F2024" i="1"/>
  <c r="H2023" i="1"/>
  <c r="G2023" i="1"/>
  <c r="F2023" i="1"/>
  <c r="H2022" i="1"/>
  <c r="G2022" i="1"/>
  <c r="F2022" i="1"/>
  <c r="H2021" i="1"/>
  <c r="G2021" i="1"/>
  <c r="F2021" i="1"/>
  <c r="H2020" i="1"/>
  <c r="G2020" i="1"/>
  <c r="F2020" i="1"/>
  <c r="H2019" i="1"/>
  <c r="G2019" i="1"/>
  <c r="F2019" i="1"/>
  <c r="H2018" i="1"/>
  <c r="G2018" i="1"/>
  <c r="F2018" i="1"/>
  <c r="H2017" i="1"/>
  <c r="G2017" i="1"/>
  <c r="F2017" i="1"/>
  <c r="H2016" i="1"/>
  <c r="G2016" i="1"/>
  <c r="F2016" i="1"/>
  <c r="H2015" i="1"/>
  <c r="G2015" i="1"/>
  <c r="F2015" i="1"/>
  <c r="H2014" i="1"/>
  <c r="G2014" i="1"/>
  <c r="F2014" i="1"/>
  <c r="H2013" i="1"/>
  <c r="G2013" i="1"/>
  <c r="F2013" i="1"/>
  <c r="H2012" i="1"/>
  <c r="G2012" i="1"/>
  <c r="F2012" i="1"/>
  <c r="H2011" i="1"/>
  <c r="G2011" i="1"/>
  <c r="F2011" i="1"/>
  <c r="H2010" i="1"/>
  <c r="G2010" i="1"/>
  <c r="F2010" i="1"/>
  <c r="H2009" i="1"/>
  <c r="G2009" i="1"/>
  <c r="F2009" i="1"/>
  <c r="H2008" i="1"/>
  <c r="G2008" i="1"/>
  <c r="F2008" i="1"/>
  <c r="H2007" i="1"/>
  <c r="G2007" i="1"/>
  <c r="F2007" i="1"/>
  <c r="H2006" i="1"/>
  <c r="G2006" i="1"/>
  <c r="F2006" i="1"/>
  <c r="H2005" i="1"/>
  <c r="G2005" i="1"/>
  <c r="F2005" i="1"/>
  <c r="H2004" i="1"/>
  <c r="G2004" i="1"/>
  <c r="F2004" i="1"/>
  <c r="H2003" i="1"/>
  <c r="G2003" i="1"/>
  <c r="F2003" i="1"/>
  <c r="H2002" i="1"/>
  <c r="G2002" i="1"/>
  <c r="F2002" i="1"/>
  <c r="H2001" i="1"/>
  <c r="G2001" i="1"/>
  <c r="F2001" i="1"/>
  <c r="H2000" i="1"/>
  <c r="G2000" i="1"/>
  <c r="F2000" i="1"/>
  <c r="H1999" i="1"/>
  <c r="G1999" i="1"/>
  <c r="F1999" i="1"/>
  <c r="H1998" i="1"/>
  <c r="G1998" i="1"/>
  <c r="F1998" i="1"/>
  <c r="H1997" i="1"/>
  <c r="G1997" i="1"/>
  <c r="F1997" i="1"/>
  <c r="H1996" i="1"/>
  <c r="G1996" i="1"/>
  <c r="F1996" i="1"/>
  <c r="H1995" i="1"/>
  <c r="G1995" i="1"/>
  <c r="F1995" i="1"/>
  <c r="H1994" i="1"/>
  <c r="G1994" i="1"/>
  <c r="F1994" i="1"/>
  <c r="H1993" i="1"/>
  <c r="G1993" i="1"/>
  <c r="F1993" i="1"/>
  <c r="H1992" i="1"/>
  <c r="G1992" i="1"/>
  <c r="F1992" i="1"/>
  <c r="H1991" i="1"/>
  <c r="G1991" i="1"/>
  <c r="F1991" i="1"/>
  <c r="H1990" i="1"/>
  <c r="G1990" i="1"/>
  <c r="F1990" i="1"/>
  <c r="H1989" i="1"/>
  <c r="G1989" i="1"/>
  <c r="F1989" i="1"/>
  <c r="H1988" i="1"/>
  <c r="G1988" i="1"/>
  <c r="F1988" i="1"/>
  <c r="H1987" i="1"/>
  <c r="G1987" i="1"/>
  <c r="F1987" i="1"/>
  <c r="H1986" i="1"/>
  <c r="G1986" i="1"/>
  <c r="F1986" i="1"/>
  <c r="H1985" i="1"/>
  <c r="G1985" i="1"/>
  <c r="F1985" i="1"/>
  <c r="H1984" i="1"/>
  <c r="G1984" i="1"/>
  <c r="F1984" i="1"/>
  <c r="H1983" i="1"/>
  <c r="G1983" i="1"/>
  <c r="F1983" i="1"/>
  <c r="H1982" i="1"/>
  <c r="G1982" i="1"/>
  <c r="F1982" i="1"/>
  <c r="H1981" i="1"/>
  <c r="G1981" i="1"/>
  <c r="F1981" i="1"/>
  <c r="H1980" i="1"/>
  <c r="G1980" i="1"/>
  <c r="F1980" i="1"/>
  <c r="H1979" i="1"/>
  <c r="G1979" i="1"/>
  <c r="F1979" i="1"/>
  <c r="H1978" i="1"/>
  <c r="G1978" i="1"/>
  <c r="F1978" i="1"/>
  <c r="H1977" i="1"/>
  <c r="G1977" i="1"/>
  <c r="F1977" i="1"/>
  <c r="H1976" i="1"/>
  <c r="G1976" i="1"/>
  <c r="F1976" i="1"/>
  <c r="H1975" i="1"/>
  <c r="G1975" i="1"/>
  <c r="F1975" i="1"/>
  <c r="H1974" i="1"/>
  <c r="G1974" i="1"/>
  <c r="F1974" i="1"/>
  <c r="H1973" i="1"/>
  <c r="G1973" i="1"/>
  <c r="F1973" i="1"/>
  <c r="H1972" i="1"/>
  <c r="G1972" i="1"/>
  <c r="F1972" i="1"/>
  <c r="H1971" i="1"/>
  <c r="G1971" i="1"/>
  <c r="F1971" i="1"/>
  <c r="H1970" i="1"/>
  <c r="G1970" i="1"/>
  <c r="F1970" i="1"/>
  <c r="H1969" i="1"/>
  <c r="G1969" i="1"/>
  <c r="F1969" i="1"/>
  <c r="H1968" i="1"/>
  <c r="G1968" i="1"/>
  <c r="F1968" i="1"/>
  <c r="H1967" i="1"/>
  <c r="G1967" i="1"/>
  <c r="F1967" i="1"/>
  <c r="H1966" i="1"/>
  <c r="G1966" i="1"/>
  <c r="F1966" i="1"/>
  <c r="H1965" i="1"/>
  <c r="G1965" i="1"/>
  <c r="F1965" i="1"/>
  <c r="H1964" i="1"/>
  <c r="G1964" i="1"/>
  <c r="F1964" i="1"/>
  <c r="H1963" i="1"/>
  <c r="G1963" i="1"/>
  <c r="F1963" i="1"/>
  <c r="H1962" i="1"/>
  <c r="G1962" i="1"/>
  <c r="F1962" i="1"/>
  <c r="H1961" i="1"/>
  <c r="G1961" i="1"/>
  <c r="F1961" i="1"/>
  <c r="H1960" i="1"/>
  <c r="G1960" i="1"/>
  <c r="F1960" i="1"/>
  <c r="H1959" i="1"/>
  <c r="G1959" i="1"/>
  <c r="F1959" i="1"/>
  <c r="H1958" i="1"/>
  <c r="G1958" i="1"/>
  <c r="F1958" i="1"/>
  <c r="H1957" i="1"/>
  <c r="G1957" i="1"/>
  <c r="F1957" i="1"/>
  <c r="H1956" i="1"/>
  <c r="G1956" i="1"/>
  <c r="F1956" i="1"/>
  <c r="H1955" i="1"/>
  <c r="G1955" i="1"/>
  <c r="F1955" i="1"/>
  <c r="H1954" i="1"/>
  <c r="G1954" i="1"/>
  <c r="F1954" i="1"/>
  <c r="H1953" i="1"/>
  <c r="G1953" i="1"/>
  <c r="F1953" i="1"/>
  <c r="H1952" i="1"/>
  <c r="G1952" i="1"/>
  <c r="F1952" i="1"/>
  <c r="H1951" i="1"/>
  <c r="G1951" i="1"/>
  <c r="F1951" i="1"/>
  <c r="H1950" i="1"/>
  <c r="G1950" i="1"/>
  <c r="F1950" i="1"/>
  <c r="H1949" i="1"/>
  <c r="G1949" i="1"/>
  <c r="F1949" i="1"/>
  <c r="H1948" i="1"/>
  <c r="G1948" i="1"/>
  <c r="F1948" i="1"/>
  <c r="H1947" i="1"/>
  <c r="G1947" i="1"/>
  <c r="F1947" i="1"/>
  <c r="H1946" i="1"/>
  <c r="G1946" i="1"/>
  <c r="F1946" i="1"/>
  <c r="H1945" i="1"/>
  <c r="G1945" i="1"/>
  <c r="F1945" i="1"/>
  <c r="H1944" i="1"/>
  <c r="G1944" i="1"/>
  <c r="F1944" i="1"/>
  <c r="H1943" i="1"/>
  <c r="G1943" i="1"/>
  <c r="F1943" i="1"/>
  <c r="H1942" i="1"/>
  <c r="G1942" i="1"/>
  <c r="F1942" i="1"/>
  <c r="H1941" i="1"/>
  <c r="G1941" i="1"/>
  <c r="F1941" i="1"/>
  <c r="H1940" i="1"/>
  <c r="G1940" i="1"/>
  <c r="F1940" i="1"/>
  <c r="H1939" i="1"/>
  <c r="G1939" i="1"/>
  <c r="F1939" i="1"/>
  <c r="H1938" i="1"/>
  <c r="G1938" i="1"/>
  <c r="F1938" i="1"/>
  <c r="H1937" i="1"/>
  <c r="G1937" i="1"/>
  <c r="F1937" i="1"/>
  <c r="H1936" i="1"/>
  <c r="G1936" i="1"/>
  <c r="F1936" i="1"/>
  <c r="H1935" i="1"/>
  <c r="G1935" i="1"/>
  <c r="F1935" i="1"/>
  <c r="H1934" i="1"/>
  <c r="G1934" i="1"/>
  <c r="F1934" i="1"/>
  <c r="H1933" i="1"/>
  <c r="G1933" i="1"/>
  <c r="F1933" i="1"/>
  <c r="H1932" i="1"/>
  <c r="G1932" i="1"/>
  <c r="F1932" i="1"/>
  <c r="H1931" i="1"/>
  <c r="G1931" i="1"/>
  <c r="F1931" i="1"/>
  <c r="H1930" i="1"/>
  <c r="G1930" i="1"/>
  <c r="F1930" i="1"/>
  <c r="H1929" i="1"/>
  <c r="G1929" i="1"/>
  <c r="F1929" i="1"/>
  <c r="H1928" i="1"/>
  <c r="G1928" i="1"/>
  <c r="F1928" i="1"/>
  <c r="H1927" i="1"/>
  <c r="G1927" i="1"/>
  <c r="F1927" i="1"/>
  <c r="H1926" i="1"/>
  <c r="G1926" i="1"/>
  <c r="F1926" i="1"/>
  <c r="H1925" i="1"/>
  <c r="G1925" i="1"/>
  <c r="F1925" i="1"/>
  <c r="H1924" i="1"/>
  <c r="G1924" i="1"/>
  <c r="F1924" i="1"/>
  <c r="H1923" i="1"/>
  <c r="G1923" i="1"/>
  <c r="F1923" i="1"/>
  <c r="H1922" i="1"/>
  <c r="G1922" i="1"/>
  <c r="F1922" i="1"/>
  <c r="H1921" i="1"/>
  <c r="G1921" i="1"/>
  <c r="F1921" i="1"/>
  <c r="H1920" i="1"/>
  <c r="G1920" i="1"/>
  <c r="F1920" i="1"/>
  <c r="H1919" i="1"/>
  <c r="G1919" i="1"/>
  <c r="F1919" i="1"/>
  <c r="H1918" i="1"/>
  <c r="G1918" i="1"/>
  <c r="F1918" i="1"/>
  <c r="H1917" i="1"/>
  <c r="G1917" i="1"/>
  <c r="F1917" i="1"/>
  <c r="H1916" i="1"/>
  <c r="G1916" i="1"/>
  <c r="F1916" i="1"/>
  <c r="H1915" i="1"/>
  <c r="G1915" i="1"/>
  <c r="F1915" i="1"/>
  <c r="H1914" i="1"/>
  <c r="G1914" i="1"/>
  <c r="F1914" i="1"/>
  <c r="H1913" i="1"/>
  <c r="G1913" i="1"/>
  <c r="F1913" i="1"/>
  <c r="H1912" i="1"/>
  <c r="G1912" i="1"/>
  <c r="F1912" i="1"/>
  <c r="H1911" i="1"/>
  <c r="G1911" i="1"/>
  <c r="F1911" i="1"/>
  <c r="H1910" i="1"/>
  <c r="G1910" i="1"/>
  <c r="F1910" i="1"/>
  <c r="H1909" i="1"/>
  <c r="G1909" i="1"/>
  <c r="F1909" i="1"/>
  <c r="H1908" i="1"/>
  <c r="G1908" i="1"/>
  <c r="F1908" i="1"/>
  <c r="H1907" i="1"/>
  <c r="G1907" i="1"/>
  <c r="F1907" i="1"/>
  <c r="H1906" i="1"/>
  <c r="G1906" i="1"/>
  <c r="F1906" i="1"/>
  <c r="H1905" i="1"/>
  <c r="G1905" i="1"/>
  <c r="F1905" i="1"/>
  <c r="H1904" i="1"/>
  <c r="G1904" i="1"/>
  <c r="F1904" i="1"/>
  <c r="H1903" i="1"/>
  <c r="G1903" i="1"/>
  <c r="F1903" i="1"/>
  <c r="H1902" i="1"/>
  <c r="G1902" i="1"/>
  <c r="F1902" i="1"/>
  <c r="H1901" i="1"/>
  <c r="G1901" i="1"/>
  <c r="F1901" i="1"/>
  <c r="H1900" i="1"/>
  <c r="G1900" i="1"/>
  <c r="F1900" i="1"/>
  <c r="H1899" i="1"/>
  <c r="G1899" i="1"/>
  <c r="F1899" i="1"/>
  <c r="H1898" i="1"/>
  <c r="G1898" i="1"/>
  <c r="F1898" i="1"/>
  <c r="H1897" i="1"/>
  <c r="G1897" i="1"/>
  <c r="F1897" i="1"/>
  <c r="H1896" i="1"/>
  <c r="G1896" i="1"/>
  <c r="F1896" i="1"/>
  <c r="H1895" i="1"/>
  <c r="G1895" i="1"/>
  <c r="F1895" i="1"/>
  <c r="H1894" i="1"/>
  <c r="G1894" i="1"/>
  <c r="F1894" i="1"/>
  <c r="H1893" i="1"/>
  <c r="G1893" i="1"/>
  <c r="F1893" i="1"/>
  <c r="H1892" i="1"/>
  <c r="G1892" i="1"/>
  <c r="F1892" i="1"/>
  <c r="H1891" i="1"/>
  <c r="G1891" i="1"/>
  <c r="F1891" i="1"/>
  <c r="H1890" i="1"/>
  <c r="G1890" i="1"/>
  <c r="F1890" i="1"/>
  <c r="H1889" i="1"/>
  <c r="G1889" i="1"/>
  <c r="F1889" i="1"/>
  <c r="H1888" i="1"/>
  <c r="G1888" i="1"/>
  <c r="F1888" i="1"/>
  <c r="H1887" i="1"/>
  <c r="G1887" i="1"/>
  <c r="F1887" i="1"/>
  <c r="H1886" i="1"/>
  <c r="G1886" i="1"/>
  <c r="F1886" i="1"/>
  <c r="H1885" i="1"/>
  <c r="G1885" i="1"/>
  <c r="F1885" i="1"/>
  <c r="H1884" i="1"/>
  <c r="G1884" i="1"/>
  <c r="F1884" i="1"/>
  <c r="H1883" i="1"/>
  <c r="G1883" i="1"/>
  <c r="F1883" i="1"/>
  <c r="H1882" i="1"/>
  <c r="G1882" i="1"/>
  <c r="F1882" i="1"/>
  <c r="H1881" i="1"/>
  <c r="G1881" i="1"/>
  <c r="F1881" i="1"/>
  <c r="H1880" i="1"/>
  <c r="G1880" i="1"/>
  <c r="F1880" i="1"/>
  <c r="H1879" i="1"/>
  <c r="G1879" i="1"/>
  <c r="F1879" i="1"/>
  <c r="H1878" i="1"/>
  <c r="G1878" i="1"/>
  <c r="F1878" i="1"/>
  <c r="H1877" i="1"/>
  <c r="G1877" i="1"/>
  <c r="F1877" i="1"/>
  <c r="H1876" i="1"/>
  <c r="G1876" i="1"/>
  <c r="F1876" i="1"/>
  <c r="H1875" i="1"/>
  <c r="G1875" i="1"/>
  <c r="F1875" i="1"/>
  <c r="H1874" i="1"/>
  <c r="G1874" i="1"/>
  <c r="F1874" i="1"/>
  <c r="H1873" i="1"/>
  <c r="G1873" i="1"/>
  <c r="F1873" i="1"/>
  <c r="H1872" i="1"/>
  <c r="G1872" i="1"/>
  <c r="F1872" i="1"/>
  <c r="H1871" i="1"/>
  <c r="G1871" i="1"/>
  <c r="F1871" i="1"/>
  <c r="H1870" i="1"/>
  <c r="G1870" i="1"/>
  <c r="F1870" i="1"/>
  <c r="H1869" i="1"/>
  <c r="G1869" i="1"/>
  <c r="F1869" i="1"/>
  <c r="H1868" i="1"/>
  <c r="G1868" i="1"/>
  <c r="F1868" i="1"/>
  <c r="H1867" i="1"/>
  <c r="G1867" i="1"/>
  <c r="F1867" i="1"/>
  <c r="H1866" i="1"/>
  <c r="G1866" i="1"/>
  <c r="F1866" i="1"/>
  <c r="H1865" i="1"/>
  <c r="G1865" i="1"/>
  <c r="F1865" i="1"/>
  <c r="H1864" i="1"/>
  <c r="G1864" i="1"/>
  <c r="F1864" i="1"/>
  <c r="H1863" i="1"/>
  <c r="G1863" i="1"/>
  <c r="F1863" i="1"/>
  <c r="H1862" i="1"/>
  <c r="G1862" i="1"/>
  <c r="F1862" i="1"/>
  <c r="H1861" i="1"/>
  <c r="G1861" i="1"/>
  <c r="F1861" i="1"/>
  <c r="H1860" i="1"/>
  <c r="G1860" i="1"/>
  <c r="F1860" i="1"/>
  <c r="H1859" i="1"/>
  <c r="G1859" i="1"/>
  <c r="F1859" i="1"/>
  <c r="H1858" i="1"/>
  <c r="G1858" i="1"/>
  <c r="F1858" i="1"/>
  <c r="H1857" i="1"/>
  <c r="G1857" i="1"/>
  <c r="F1857" i="1"/>
  <c r="H1856" i="1"/>
  <c r="G1856" i="1"/>
  <c r="F1856" i="1"/>
  <c r="H1855" i="1"/>
  <c r="G1855" i="1"/>
  <c r="F1855" i="1"/>
  <c r="H1854" i="1"/>
  <c r="G1854" i="1"/>
  <c r="F1854" i="1"/>
  <c r="H1853" i="1"/>
  <c r="G1853" i="1"/>
  <c r="F1853" i="1"/>
  <c r="H1852" i="1"/>
  <c r="G1852" i="1"/>
  <c r="F1852" i="1"/>
  <c r="H1851" i="1"/>
  <c r="G1851" i="1"/>
  <c r="F1851" i="1"/>
  <c r="H1850" i="1"/>
  <c r="G1850" i="1"/>
  <c r="F1850" i="1"/>
  <c r="H1849" i="1"/>
  <c r="G1849" i="1"/>
  <c r="F1849" i="1"/>
  <c r="H1848" i="1"/>
  <c r="G1848" i="1"/>
  <c r="F1848" i="1"/>
  <c r="H1847" i="1"/>
  <c r="G1847" i="1"/>
  <c r="F1847" i="1"/>
  <c r="H1846" i="1"/>
  <c r="G1846" i="1"/>
  <c r="F1846" i="1"/>
  <c r="H1845" i="1"/>
  <c r="G1845" i="1"/>
  <c r="F1845" i="1"/>
  <c r="H1844" i="1"/>
  <c r="G1844" i="1"/>
  <c r="F1844" i="1"/>
  <c r="H1843" i="1"/>
  <c r="G1843" i="1"/>
  <c r="F1843" i="1"/>
  <c r="H1842" i="1"/>
  <c r="G1842" i="1"/>
  <c r="F1842" i="1"/>
  <c r="H1841" i="1"/>
  <c r="G1841" i="1"/>
  <c r="F1841" i="1"/>
  <c r="H1840" i="1"/>
  <c r="G1840" i="1"/>
  <c r="F1840" i="1"/>
  <c r="H1839" i="1"/>
  <c r="G1839" i="1"/>
  <c r="F1839" i="1"/>
  <c r="H1838" i="1"/>
  <c r="G1838" i="1"/>
  <c r="F1838" i="1"/>
  <c r="H1837" i="1"/>
  <c r="G1837" i="1"/>
  <c r="F1837" i="1"/>
  <c r="H1836" i="1"/>
  <c r="G1836" i="1"/>
  <c r="F1836" i="1"/>
  <c r="H1835" i="1"/>
  <c r="G1835" i="1"/>
  <c r="F1835" i="1"/>
  <c r="H1834" i="1"/>
  <c r="G1834" i="1"/>
  <c r="F1834" i="1"/>
  <c r="H1833" i="1"/>
  <c r="G1833" i="1"/>
  <c r="F1833" i="1"/>
  <c r="H1832" i="1"/>
  <c r="G1832" i="1"/>
  <c r="F1832" i="1"/>
  <c r="H1831" i="1"/>
  <c r="G1831" i="1"/>
  <c r="F1831" i="1"/>
  <c r="H1830" i="1"/>
  <c r="G1830" i="1"/>
  <c r="F1830" i="1"/>
  <c r="H1829" i="1"/>
  <c r="G1829" i="1"/>
  <c r="F1829" i="1"/>
  <c r="H1828" i="1"/>
  <c r="G1828" i="1"/>
  <c r="F1828" i="1"/>
  <c r="H1827" i="1"/>
  <c r="G1827" i="1"/>
  <c r="F1827" i="1"/>
  <c r="H1826" i="1"/>
  <c r="G1826" i="1"/>
  <c r="F1826" i="1"/>
  <c r="H1825" i="1"/>
  <c r="G1825" i="1"/>
  <c r="F1825" i="1"/>
  <c r="H1824" i="1"/>
  <c r="G1824" i="1"/>
  <c r="F1824" i="1"/>
  <c r="H1823" i="1"/>
  <c r="G1823" i="1"/>
  <c r="F1823" i="1"/>
  <c r="H1822" i="1"/>
  <c r="G1822" i="1"/>
  <c r="F1822" i="1"/>
  <c r="H1821" i="1"/>
  <c r="G1821" i="1"/>
  <c r="F1821" i="1"/>
  <c r="H1820" i="1"/>
  <c r="G1820" i="1"/>
  <c r="F1820" i="1"/>
  <c r="H1819" i="1"/>
  <c r="G1819" i="1"/>
  <c r="F1819" i="1"/>
  <c r="H1818" i="1"/>
  <c r="G1818" i="1"/>
  <c r="F1818" i="1"/>
  <c r="H1817" i="1"/>
  <c r="G1817" i="1"/>
  <c r="F1817" i="1"/>
  <c r="H1816" i="1"/>
  <c r="G1816" i="1"/>
  <c r="F1816" i="1"/>
  <c r="H1815" i="1"/>
  <c r="G1815" i="1"/>
  <c r="F1815" i="1"/>
  <c r="H1814" i="1"/>
  <c r="G1814" i="1"/>
  <c r="F1814" i="1"/>
  <c r="H1813" i="1"/>
  <c r="G1813" i="1"/>
  <c r="F1813" i="1"/>
  <c r="H1812" i="1"/>
  <c r="G1812" i="1"/>
  <c r="F1812" i="1"/>
  <c r="H1811" i="1"/>
  <c r="G1811" i="1"/>
  <c r="F1811" i="1"/>
  <c r="H1810" i="1"/>
  <c r="G1810" i="1"/>
  <c r="F1810" i="1"/>
  <c r="H1809" i="1"/>
  <c r="G1809" i="1"/>
  <c r="F1809" i="1"/>
  <c r="H1808" i="1"/>
  <c r="G1808" i="1"/>
  <c r="F1808" i="1"/>
  <c r="H1807" i="1"/>
  <c r="G1807" i="1"/>
  <c r="F1807" i="1"/>
  <c r="H1806" i="1"/>
  <c r="G1806" i="1"/>
  <c r="F1806" i="1"/>
  <c r="H1805" i="1"/>
  <c r="G1805" i="1"/>
  <c r="F1805" i="1"/>
  <c r="H1804" i="1"/>
  <c r="G1804" i="1"/>
  <c r="F1804" i="1"/>
  <c r="H1803" i="1"/>
  <c r="G1803" i="1"/>
  <c r="F1803" i="1"/>
  <c r="H1802" i="1"/>
  <c r="G1802" i="1"/>
  <c r="F1802" i="1"/>
  <c r="H1801" i="1"/>
  <c r="G1801" i="1"/>
  <c r="F1801" i="1"/>
  <c r="H1800" i="1"/>
  <c r="G1800" i="1"/>
  <c r="F1800" i="1"/>
  <c r="H1799" i="1"/>
  <c r="G1799" i="1"/>
  <c r="F1799" i="1"/>
  <c r="H1798" i="1"/>
  <c r="G1798" i="1"/>
  <c r="F1798" i="1"/>
  <c r="H1797" i="1"/>
  <c r="G1797" i="1"/>
  <c r="F1797" i="1"/>
  <c r="H1796" i="1"/>
  <c r="G1796" i="1"/>
  <c r="F1796" i="1"/>
  <c r="H1795" i="1"/>
  <c r="G1795" i="1"/>
  <c r="F1795" i="1"/>
  <c r="H1794" i="1"/>
  <c r="G1794" i="1"/>
  <c r="F1794" i="1"/>
  <c r="H1793" i="1"/>
  <c r="G1793" i="1"/>
  <c r="F1793" i="1"/>
  <c r="H1792" i="1"/>
  <c r="G1792" i="1"/>
  <c r="F1792" i="1"/>
  <c r="H1791" i="1"/>
  <c r="G1791" i="1"/>
  <c r="F1791" i="1"/>
  <c r="H1790" i="1"/>
  <c r="G1790" i="1"/>
  <c r="F1790" i="1"/>
  <c r="H1789" i="1"/>
  <c r="G1789" i="1"/>
  <c r="F1789" i="1"/>
  <c r="H1788" i="1"/>
  <c r="G1788" i="1"/>
  <c r="F1788" i="1"/>
  <c r="H1787" i="1"/>
  <c r="G1787" i="1"/>
  <c r="F1787" i="1"/>
  <c r="H1786" i="1"/>
  <c r="G1786" i="1"/>
  <c r="F1786" i="1"/>
  <c r="H1785" i="1"/>
  <c r="G1785" i="1"/>
  <c r="F1785" i="1"/>
  <c r="H1784" i="1"/>
  <c r="G1784" i="1"/>
  <c r="F1784" i="1"/>
  <c r="H1783" i="1"/>
  <c r="G1783" i="1"/>
  <c r="F1783" i="1"/>
  <c r="H1782" i="1"/>
  <c r="G1782" i="1"/>
  <c r="F1782" i="1"/>
  <c r="H1781" i="1"/>
  <c r="G1781" i="1"/>
  <c r="F1781" i="1"/>
  <c r="H1780" i="1"/>
  <c r="G1780" i="1"/>
  <c r="F1780" i="1"/>
  <c r="H1779" i="1"/>
  <c r="G1779" i="1"/>
  <c r="F1779" i="1"/>
  <c r="H1778" i="1"/>
  <c r="G1778" i="1"/>
  <c r="F1778" i="1"/>
  <c r="H1777" i="1"/>
  <c r="G1777" i="1"/>
  <c r="F1777" i="1"/>
  <c r="H1776" i="1"/>
  <c r="G1776" i="1"/>
  <c r="F1776" i="1"/>
  <c r="H1775" i="1"/>
  <c r="G1775" i="1"/>
  <c r="F1775" i="1"/>
  <c r="H1774" i="1"/>
  <c r="G1774" i="1"/>
  <c r="F1774" i="1"/>
  <c r="H1773" i="1"/>
  <c r="G1773" i="1"/>
  <c r="F1773" i="1"/>
  <c r="H1772" i="1"/>
  <c r="G1772" i="1"/>
  <c r="F1772" i="1"/>
  <c r="H1771" i="1"/>
  <c r="G1771" i="1"/>
  <c r="F1771" i="1"/>
  <c r="H1770" i="1"/>
  <c r="G1770" i="1"/>
  <c r="F1770" i="1"/>
  <c r="H1769" i="1"/>
  <c r="G1769" i="1"/>
  <c r="F1769" i="1"/>
  <c r="H1768" i="1"/>
  <c r="G1768" i="1"/>
  <c r="F1768" i="1"/>
  <c r="H1767" i="1"/>
  <c r="G1767" i="1"/>
  <c r="F1767" i="1"/>
  <c r="H1766" i="1"/>
  <c r="G1766" i="1"/>
  <c r="F1766" i="1"/>
  <c r="H1765" i="1"/>
  <c r="G1765" i="1"/>
  <c r="F1765" i="1"/>
  <c r="H1764" i="1"/>
  <c r="G1764" i="1"/>
  <c r="F1764" i="1"/>
  <c r="H1763" i="1"/>
  <c r="G1763" i="1"/>
  <c r="F1763" i="1"/>
  <c r="H1762" i="1"/>
  <c r="G1762" i="1"/>
  <c r="F1762" i="1"/>
  <c r="H1761" i="1"/>
  <c r="G1761" i="1"/>
  <c r="F1761" i="1"/>
  <c r="H1760" i="1"/>
  <c r="G1760" i="1"/>
  <c r="F1760" i="1"/>
  <c r="H1759" i="1"/>
  <c r="G1759" i="1"/>
  <c r="F1759" i="1"/>
  <c r="H1758" i="1"/>
  <c r="G1758" i="1"/>
  <c r="F1758" i="1"/>
  <c r="H1757" i="1"/>
  <c r="G1757" i="1"/>
  <c r="F1757" i="1"/>
  <c r="H1756" i="1"/>
  <c r="G1756" i="1"/>
  <c r="F1756" i="1"/>
  <c r="H1755" i="1"/>
  <c r="G1755" i="1"/>
  <c r="F1755" i="1"/>
  <c r="H1754" i="1"/>
  <c r="G1754" i="1"/>
  <c r="F1754" i="1"/>
  <c r="H1753" i="1"/>
  <c r="G1753" i="1"/>
  <c r="F1753" i="1"/>
  <c r="H1752" i="1"/>
  <c r="G1752" i="1"/>
  <c r="F1752" i="1"/>
  <c r="H1751" i="1"/>
  <c r="G1751" i="1"/>
  <c r="F1751" i="1"/>
  <c r="H1750" i="1"/>
  <c r="G1750" i="1"/>
  <c r="F1750" i="1"/>
  <c r="H1749" i="1"/>
  <c r="G1749" i="1"/>
  <c r="F1749" i="1"/>
  <c r="H1748" i="1"/>
  <c r="G1748" i="1"/>
  <c r="F1748" i="1"/>
  <c r="H1747" i="1"/>
  <c r="G1747" i="1"/>
  <c r="F1747" i="1"/>
  <c r="H1746" i="1"/>
  <c r="G1746" i="1"/>
  <c r="F1746" i="1"/>
  <c r="H1745" i="1"/>
  <c r="G1745" i="1"/>
  <c r="F1745" i="1"/>
  <c r="H1744" i="1"/>
  <c r="G1744" i="1"/>
  <c r="F1744" i="1"/>
  <c r="H1743" i="1"/>
  <c r="G1743" i="1"/>
  <c r="F1743" i="1"/>
  <c r="H1742" i="1"/>
  <c r="G1742" i="1"/>
  <c r="F1742" i="1"/>
  <c r="H1741" i="1"/>
  <c r="G1741" i="1"/>
  <c r="F1741" i="1"/>
  <c r="H1740" i="1"/>
  <c r="G1740" i="1"/>
  <c r="F1740" i="1"/>
  <c r="H1739" i="1"/>
  <c r="G1739" i="1"/>
  <c r="F1739" i="1"/>
  <c r="H1738" i="1"/>
  <c r="G1738" i="1"/>
  <c r="F1738" i="1"/>
  <c r="H1737" i="1"/>
  <c r="G1737" i="1"/>
  <c r="F1737" i="1"/>
  <c r="H1736" i="1"/>
  <c r="G1736" i="1"/>
  <c r="F1736" i="1"/>
  <c r="H1735" i="1"/>
  <c r="G1735" i="1"/>
  <c r="F1735" i="1"/>
  <c r="H1734" i="1"/>
  <c r="G1734" i="1"/>
  <c r="F1734" i="1"/>
  <c r="H1733" i="1"/>
  <c r="G1733" i="1"/>
  <c r="F1733" i="1"/>
  <c r="H1732" i="1"/>
  <c r="G1732" i="1"/>
  <c r="F1732" i="1"/>
  <c r="H1731" i="1"/>
  <c r="G1731" i="1"/>
  <c r="F1731" i="1"/>
  <c r="H1730" i="1"/>
  <c r="G1730" i="1"/>
  <c r="F1730" i="1"/>
  <c r="H1729" i="1"/>
  <c r="G1729" i="1"/>
  <c r="F1729" i="1"/>
  <c r="H1728" i="1"/>
  <c r="G1728" i="1"/>
  <c r="F1728" i="1"/>
  <c r="H1727" i="1"/>
  <c r="G1727" i="1"/>
  <c r="F1727" i="1"/>
  <c r="H1726" i="1"/>
  <c r="G1726" i="1"/>
  <c r="F1726" i="1"/>
  <c r="H1725" i="1"/>
  <c r="G1725" i="1"/>
  <c r="F1725" i="1"/>
  <c r="H1724" i="1"/>
  <c r="G1724" i="1"/>
  <c r="F1724" i="1"/>
  <c r="H1723" i="1"/>
  <c r="G1723" i="1"/>
  <c r="F1723" i="1"/>
  <c r="H1722" i="1"/>
  <c r="G1722" i="1"/>
  <c r="F1722" i="1"/>
  <c r="H1721" i="1"/>
  <c r="G1721" i="1"/>
  <c r="F1721" i="1"/>
  <c r="H1720" i="1"/>
  <c r="G1720" i="1"/>
  <c r="F1720" i="1"/>
  <c r="H1719" i="1"/>
  <c r="G1719" i="1"/>
  <c r="F1719" i="1"/>
  <c r="H1718" i="1"/>
  <c r="G1718" i="1"/>
  <c r="F1718" i="1"/>
  <c r="H1717" i="1"/>
  <c r="G1717" i="1"/>
  <c r="F1717" i="1"/>
  <c r="H1716" i="1"/>
  <c r="G1716" i="1"/>
  <c r="F1716" i="1"/>
  <c r="H1715" i="1"/>
  <c r="G1715" i="1"/>
  <c r="F1715" i="1"/>
  <c r="H1714" i="1"/>
  <c r="G1714" i="1"/>
  <c r="F1714" i="1"/>
  <c r="H1713" i="1"/>
  <c r="G1713" i="1"/>
  <c r="F1713" i="1"/>
  <c r="H1712" i="1"/>
  <c r="G1712" i="1"/>
  <c r="F1712" i="1"/>
  <c r="H1711" i="1"/>
  <c r="G1711" i="1"/>
  <c r="F1711" i="1"/>
  <c r="H1710" i="1"/>
  <c r="G1710" i="1"/>
  <c r="F1710" i="1"/>
  <c r="H1709" i="1"/>
  <c r="G1709" i="1"/>
  <c r="F1709" i="1"/>
  <c r="H1708" i="1"/>
  <c r="G1708" i="1"/>
  <c r="F1708" i="1"/>
  <c r="H1707" i="1"/>
  <c r="G1707" i="1"/>
  <c r="F1707" i="1"/>
  <c r="H1706" i="1"/>
  <c r="G1706" i="1"/>
  <c r="F1706" i="1"/>
  <c r="H1705" i="1"/>
  <c r="G1705" i="1"/>
  <c r="F1705" i="1"/>
  <c r="H1704" i="1"/>
  <c r="G1704" i="1"/>
  <c r="F1704" i="1"/>
  <c r="H1703" i="1"/>
  <c r="G1703" i="1"/>
  <c r="F1703" i="1"/>
  <c r="H1702" i="1"/>
  <c r="G1702" i="1"/>
  <c r="F1702" i="1"/>
  <c r="H1701" i="1"/>
  <c r="G1701" i="1"/>
  <c r="F1701" i="1"/>
  <c r="H1700" i="1"/>
  <c r="G1700" i="1"/>
  <c r="F1700" i="1"/>
  <c r="H1699" i="1"/>
  <c r="G1699" i="1"/>
  <c r="F1699" i="1"/>
  <c r="H1698" i="1"/>
  <c r="G1698" i="1"/>
  <c r="F1698" i="1"/>
  <c r="H1697" i="1"/>
  <c r="G1697" i="1"/>
  <c r="F1697" i="1"/>
  <c r="H1696" i="1"/>
  <c r="G1696" i="1"/>
  <c r="F1696" i="1"/>
  <c r="H1695" i="1"/>
  <c r="G1695" i="1"/>
  <c r="F1695" i="1"/>
  <c r="H1694" i="1"/>
  <c r="G1694" i="1"/>
  <c r="F1694" i="1"/>
  <c r="H1693" i="1"/>
  <c r="G1693" i="1"/>
  <c r="F1693" i="1"/>
  <c r="H1692" i="1"/>
  <c r="G1692" i="1"/>
  <c r="F1692" i="1"/>
  <c r="H1691" i="1"/>
  <c r="G1691" i="1"/>
  <c r="F1691" i="1"/>
  <c r="H1690" i="1"/>
  <c r="G1690" i="1"/>
  <c r="F1690" i="1"/>
  <c r="H1689" i="1"/>
  <c r="G1689" i="1"/>
  <c r="F1689" i="1"/>
  <c r="H1688" i="1"/>
  <c r="G1688" i="1"/>
  <c r="F1688" i="1"/>
  <c r="H1687" i="1"/>
  <c r="G1687" i="1"/>
  <c r="F1687" i="1"/>
  <c r="H1686" i="1"/>
  <c r="G1686" i="1"/>
  <c r="F1686" i="1"/>
  <c r="H1685" i="1"/>
  <c r="G1685" i="1"/>
  <c r="F1685" i="1"/>
  <c r="H1684" i="1"/>
  <c r="G1684" i="1"/>
  <c r="F1684" i="1"/>
  <c r="H1683" i="1"/>
  <c r="G1683" i="1"/>
  <c r="F1683" i="1"/>
  <c r="H1682" i="1"/>
  <c r="G1682" i="1"/>
  <c r="F1682" i="1"/>
  <c r="H1681" i="1"/>
  <c r="G1681" i="1"/>
  <c r="F1681" i="1"/>
  <c r="H1680" i="1"/>
  <c r="G1680" i="1"/>
  <c r="F1680" i="1"/>
  <c r="H1679" i="1"/>
  <c r="G1679" i="1"/>
  <c r="F1679" i="1"/>
  <c r="H1678" i="1"/>
  <c r="G1678" i="1"/>
  <c r="F1678" i="1"/>
  <c r="H1677" i="1"/>
  <c r="G1677" i="1"/>
  <c r="F1677" i="1"/>
  <c r="H1676" i="1"/>
  <c r="G1676" i="1"/>
  <c r="F1676" i="1"/>
  <c r="H1675" i="1"/>
  <c r="G1675" i="1"/>
  <c r="F1675" i="1"/>
  <c r="H1674" i="1"/>
  <c r="G1674" i="1"/>
  <c r="F1674" i="1"/>
  <c r="H1673" i="1"/>
  <c r="G1673" i="1"/>
  <c r="F1673" i="1"/>
  <c r="H1672" i="1"/>
  <c r="G1672" i="1"/>
  <c r="F1672" i="1"/>
  <c r="H1671" i="1"/>
  <c r="G1671" i="1"/>
  <c r="F1671" i="1"/>
  <c r="H1670" i="1"/>
  <c r="G1670" i="1"/>
  <c r="F1670" i="1"/>
  <c r="H1669" i="1"/>
  <c r="G1669" i="1"/>
  <c r="F1669" i="1"/>
  <c r="H1668" i="1"/>
  <c r="G1668" i="1"/>
  <c r="F1668" i="1"/>
  <c r="H1667" i="1"/>
  <c r="G1667" i="1"/>
  <c r="F1667" i="1"/>
  <c r="H1666" i="1"/>
  <c r="G1666" i="1"/>
  <c r="F1666" i="1"/>
  <c r="H1665" i="1"/>
  <c r="G1665" i="1"/>
  <c r="F1665" i="1"/>
  <c r="H1664" i="1"/>
  <c r="G1664" i="1"/>
  <c r="F1664" i="1"/>
  <c r="H1663" i="1"/>
  <c r="G1663" i="1"/>
  <c r="F1663" i="1"/>
  <c r="H1662" i="1"/>
  <c r="G1662" i="1"/>
  <c r="F1662" i="1"/>
  <c r="H1661" i="1"/>
  <c r="G1661" i="1"/>
  <c r="F1661" i="1"/>
  <c r="H1660" i="1"/>
  <c r="G1660" i="1"/>
  <c r="F1660" i="1"/>
  <c r="H1659" i="1"/>
  <c r="G1659" i="1"/>
  <c r="F1659" i="1"/>
  <c r="H1658" i="1"/>
  <c r="G1658" i="1"/>
  <c r="F1658" i="1"/>
  <c r="H1657" i="1"/>
  <c r="G1657" i="1"/>
  <c r="F1657" i="1"/>
  <c r="H1656" i="1"/>
  <c r="G1656" i="1"/>
  <c r="F1656" i="1"/>
  <c r="H1655" i="1"/>
  <c r="G1655" i="1"/>
  <c r="F1655" i="1"/>
  <c r="H1654" i="1"/>
  <c r="G1654" i="1"/>
  <c r="F1654" i="1"/>
  <c r="H1653" i="1"/>
  <c r="G1653" i="1"/>
  <c r="F1653" i="1"/>
  <c r="H1652" i="1"/>
  <c r="G1652" i="1"/>
  <c r="F1652" i="1"/>
  <c r="H1651" i="1"/>
  <c r="G1651" i="1"/>
  <c r="F1651" i="1"/>
  <c r="H1650" i="1"/>
  <c r="G1650" i="1"/>
  <c r="F1650" i="1"/>
  <c r="H1649" i="1"/>
  <c r="G1649" i="1"/>
  <c r="F1649" i="1"/>
  <c r="H1648" i="1"/>
  <c r="G1648" i="1"/>
  <c r="F1648" i="1"/>
  <c r="H1647" i="1"/>
  <c r="G1647" i="1"/>
  <c r="F1647" i="1"/>
  <c r="H1646" i="1"/>
  <c r="G1646" i="1"/>
  <c r="F1646" i="1"/>
  <c r="H1645" i="1"/>
  <c r="G1645" i="1"/>
  <c r="F1645" i="1"/>
  <c r="H1644" i="1"/>
  <c r="G1644" i="1"/>
  <c r="F1644" i="1"/>
  <c r="H1643" i="1"/>
  <c r="G1643" i="1"/>
  <c r="F1643" i="1"/>
  <c r="H1642" i="1"/>
  <c r="G1642" i="1"/>
  <c r="F1642" i="1"/>
  <c r="H1641" i="1"/>
  <c r="G1641" i="1"/>
  <c r="F1641" i="1"/>
  <c r="H1640" i="1"/>
  <c r="G1640" i="1"/>
  <c r="F1640" i="1"/>
  <c r="H1639" i="1"/>
  <c r="G1639" i="1"/>
  <c r="F1639" i="1"/>
  <c r="H1638" i="1"/>
  <c r="G1638" i="1"/>
  <c r="F1638" i="1"/>
  <c r="H1637" i="1"/>
  <c r="G1637" i="1"/>
  <c r="F1637" i="1"/>
  <c r="H1636" i="1"/>
  <c r="G1636" i="1"/>
  <c r="F1636" i="1"/>
  <c r="H1635" i="1"/>
  <c r="G1635" i="1"/>
  <c r="F1635" i="1"/>
  <c r="H1634" i="1"/>
  <c r="G1634" i="1"/>
  <c r="F1634" i="1"/>
  <c r="H1633" i="1"/>
  <c r="G1633" i="1"/>
  <c r="F1633" i="1"/>
  <c r="H1632" i="1"/>
  <c r="G1632" i="1"/>
  <c r="F1632" i="1"/>
  <c r="H1631" i="1"/>
  <c r="G1631" i="1"/>
  <c r="F1631" i="1"/>
  <c r="H1630" i="1"/>
  <c r="G1630" i="1"/>
  <c r="F1630" i="1"/>
  <c r="H1629" i="1"/>
  <c r="G1629" i="1"/>
  <c r="F1629" i="1"/>
  <c r="H1628" i="1"/>
  <c r="G1628" i="1"/>
  <c r="F1628" i="1"/>
  <c r="H1627" i="1"/>
  <c r="G1627" i="1"/>
  <c r="F1627" i="1"/>
  <c r="H1626" i="1"/>
  <c r="G1626" i="1"/>
  <c r="F1626" i="1"/>
  <c r="H1625" i="1"/>
  <c r="G1625" i="1"/>
  <c r="F1625" i="1"/>
  <c r="H1624" i="1"/>
  <c r="G1624" i="1"/>
  <c r="F1624" i="1"/>
  <c r="H1623" i="1"/>
  <c r="G1623" i="1"/>
  <c r="F1623" i="1"/>
  <c r="H1622" i="1"/>
  <c r="G1622" i="1"/>
  <c r="F1622" i="1"/>
  <c r="H1621" i="1"/>
  <c r="G1621" i="1"/>
  <c r="F1621" i="1"/>
  <c r="H1620" i="1"/>
  <c r="G1620" i="1"/>
  <c r="F1620" i="1"/>
  <c r="H1619" i="1"/>
  <c r="G1619" i="1"/>
  <c r="F1619" i="1"/>
  <c r="H1618" i="1"/>
  <c r="G1618" i="1"/>
  <c r="F1618" i="1"/>
  <c r="H1617" i="1"/>
  <c r="G1617" i="1"/>
  <c r="F1617" i="1"/>
  <c r="H1616" i="1"/>
  <c r="G1616" i="1"/>
  <c r="F1616" i="1"/>
  <c r="H1615" i="1"/>
  <c r="G1615" i="1"/>
  <c r="F1615" i="1"/>
  <c r="H1614" i="1"/>
  <c r="G1614" i="1"/>
  <c r="F1614" i="1"/>
  <c r="H1613" i="1"/>
  <c r="G1613" i="1"/>
  <c r="F1613" i="1"/>
  <c r="H1612" i="1"/>
  <c r="G1612" i="1"/>
  <c r="F1612" i="1"/>
  <c r="H1611" i="1"/>
  <c r="G1611" i="1"/>
  <c r="F1611" i="1"/>
  <c r="H1610" i="1"/>
  <c r="G1610" i="1"/>
  <c r="F1610" i="1"/>
  <c r="H1609" i="1"/>
  <c r="G1609" i="1"/>
  <c r="F1609" i="1"/>
  <c r="H1608" i="1"/>
  <c r="G1608" i="1"/>
  <c r="F1608" i="1"/>
  <c r="H1607" i="1"/>
  <c r="G1607" i="1"/>
  <c r="F1607" i="1"/>
  <c r="H1606" i="1"/>
  <c r="G1606" i="1"/>
  <c r="F1606" i="1"/>
  <c r="H1605" i="1"/>
  <c r="G1605" i="1"/>
  <c r="F1605" i="1"/>
  <c r="H1604" i="1"/>
  <c r="G1604" i="1"/>
  <c r="F1604" i="1"/>
  <c r="H1603" i="1"/>
  <c r="G1603" i="1"/>
  <c r="F1603" i="1"/>
  <c r="H1602" i="1"/>
  <c r="G1602" i="1"/>
  <c r="F1602" i="1"/>
  <c r="H1601" i="1"/>
  <c r="G1601" i="1"/>
  <c r="F1601" i="1"/>
  <c r="H1600" i="1"/>
  <c r="G1600" i="1"/>
  <c r="F1600" i="1"/>
  <c r="H1599" i="1"/>
  <c r="G1599" i="1"/>
  <c r="F1599" i="1"/>
  <c r="H1598" i="1"/>
  <c r="G1598" i="1"/>
  <c r="F1598" i="1"/>
  <c r="H1597" i="1"/>
  <c r="G1597" i="1"/>
  <c r="F1597" i="1"/>
  <c r="H1596" i="1"/>
  <c r="G1596" i="1"/>
  <c r="F1596" i="1"/>
  <c r="H1595" i="1"/>
  <c r="G1595" i="1"/>
  <c r="F1595" i="1"/>
  <c r="H1594" i="1"/>
  <c r="G1594" i="1"/>
  <c r="F1594" i="1"/>
  <c r="H1593" i="1"/>
  <c r="G1593" i="1"/>
  <c r="F1593" i="1"/>
  <c r="H1592" i="1"/>
  <c r="G1592" i="1"/>
  <c r="F1592" i="1"/>
  <c r="H1591" i="1"/>
  <c r="G1591" i="1"/>
  <c r="F1591" i="1"/>
  <c r="H1590" i="1"/>
  <c r="G1590" i="1"/>
  <c r="F1590" i="1"/>
  <c r="H1589" i="1"/>
  <c r="G1589" i="1"/>
  <c r="F1589" i="1"/>
  <c r="H1588" i="1"/>
  <c r="G1588" i="1"/>
  <c r="F1588" i="1"/>
  <c r="H1587" i="1"/>
  <c r="G1587" i="1"/>
  <c r="F1587" i="1"/>
  <c r="H1586" i="1"/>
  <c r="G1586" i="1"/>
  <c r="F1586" i="1"/>
  <c r="H1585" i="1"/>
  <c r="G1585" i="1"/>
  <c r="F1585" i="1"/>
  <c r="H1584" i="1"/>
  <c r="G1584" i="1"/>
  <c r="F1584" i="1"/>
  <c r="H1583" i="1"/>
  <c r="G1583" i="1"/>
  <c r="F1583" i="1"/>
  <c r="H1582" i="1"/>
  <c r="G1582" i="1"/>
  <c r="F1582" i="1"/>
  <c r="H1581" i="1"/>
  <c r="G1581" i="1"/>
  <c r="F1581" i="1"/>
  <c r="H1580" i="1"/>
  <c r="G1580" i="1"/>
  <c r="F1580" i="1"/>
  <c r="H1579" i="1"/>
  <c r="G1579" i="1"/>
  <c r="F1579" i="1"/>
  <c r="H1578" i="1"/>
  <c r="G1578" i="1"/>
  <c r="F1578" i="1"/>
  <c r="H1577" i="1"/>
  <c r="G1577" i="1"/>
  <c r="F1577" i="1"/>
  <c r="H1576" i="1"/>
  <c r="G1576" i="1"/>
  <c r="F1576" i="1"/>
  <c r="H1575" i="1"/>
  <c r="G1575" i="1"/>
  <c r="F1575" i="1"/>
  <c r="H1574" i="1"/>
  <c r="G1574" i="1"/>
  <c r="F1574" i="1"/>
  <c r="H1573" i="1"/>
  <c r="G1573" i="1"/>
  <c r="F1573" i="1"/>
  <c r="H1572" i="1"/>
  <c r="G1572" i="1"/>
  <c r="F1572" i="1"/>
  <c r="H1571" i="1"/>
  <c r="G1571" i="1"/>
  <c r="F1571" i="1"/>
  <c r="H1570" i="1"/>
  <c r="G1570" i="1"/>
  <c r="F1570" i="1"/>
  <c r="H1569" i="1"/>
  <c r="G1569" i="1"/>
  <c r="F1569" i="1"/>
  <c r="H1568" i="1"/>
  <c r="G1568" i="1"/>
  <c r="F1568" i="1"/>
  <c r="H1567" i="1"/>
  <c r="G1567" i="1"/>
  <c r="F1567" i="1"/>
  <c r="H1566" i="1"/>
  <c r="G1566" i="1"/>
  <c r="F1566" i="1"/>
  <c r="H1565" i="1"/>
  <c r="G1565" i="1"/>
  <c r="F1565" i="1"/>
  <c r="H1564" i="1"/>
  <c r="G1564" i="1"/>
  <c r="F1564" i="1"/>
  <c r="H1563" i="1"/>
  <c r="G1563" i="1"/>
  <c r="F1563" i="1"/>
  <c r="H1562" i="1"/>
  <c r="G1562" i="1"/>
  <c r="F1562" i="1"/>
  <c r="H1561" i="1"/>
  <c r="G1561" i="1"/>
  <c r="F1561" i="1"/>
  <c r="H1560" i="1"/>
  <c r="G1560" i="1"/>
  <c r="F1560" i="1"/>
  <c r="H1559" i="1"/>
  <c r="G1559" i="1"/>
  <c r="F1559" i="1"/>
  <c r="H1558" i="1"/>
  <c r="G1558" i="1"/>
  <c r="F1558" i="1"/>
  <c r="H1557" i="1"/>
  <c r="G1557" i="1"/>
  <c r="F1557" i="1"/>
  <c r="H1556" i="1"/>
  <c r="G1556" i="1"/>
  <c r="F1556" i="1"/>
  <c r="H1555" i="1"/>
  <c r="G1555" i="1"/>
  <c r="F1555" i="1"/>
  <c r="H1554" i="1"/>
  <c r="G1554" i="1"/>
  <c r="F1554" i="1"/>
  <c r="H1553" i="1"/>
  <c r="G1553" i="1"/>
  <c r="F1553" i="1"/>
  <c r="H1552" i="1"/>
  <c r="G1552" i="1"/>
  <c r="F1552" i="1"/>
  <c r="H1551" i="1"/>
  <c r="G1551" i="1"/>
  <c r="F1551" i="1"/>
  <c r="H1550" i="1"/>
  <c r="G1550" i="1"/>
  <c r="F1550" i="1"/>
  <c r="H1549" i="1"/>
  <c r="G1549" i="1"/>
  <c r="F1549" i="1"/>
  <c r="H1548" i="1"/>
  <c r="G1548" i="1"/>
  <c r="F1548" i="1"/>
  <c r="H1547" i="1"/>
  <c r="G1547" i="1"/>
  <c r="F1547" i="1"/>
  <c r="H1546" i="1"/>
  <c r="G1546" i="1"/>
  <c r="F1546" i="1"/>
  <c r="H1545" i="1"/>
  <c r="G1545" i="1"/>
  <c r="F1545" i="1"/>
  <c r="H1544" i="1"/>
  <c r="G1544" i="1"/>
  <c r="F1544" i="1"/>
  <c r="H1543" i="1"/>
  <c r="G1543" i="1"/>
  <c r="F1543" i="1"/>
  <c r="H1542" i="1"/>
  <c r="G1542" i="1"/>
  <c r="F1542" i="1"/>
  <c r="H1541" i="1"/>
  <c r="G1541" i="1"/>
  <c r="F1541" i="1"/>
  <c r="H1540" i="1"/>
  <c r="G1540" i="1"/>
  <c r="F1540" i="1"/>
  <c r="H1539" i="1"/>
  <c r="G1539" i="1"/>
  <c r="F1539" i="1"/>
  <c r="H1538" i="1"/>
  <c r="G1538" i="1"/>
  <c r="F1538" i="1"/>
  <c r="H1537" i="1"/>
  <c r="G1537" i="1"/>
  <c r="F1537" i="1"/>
  <c r="H1536" i="1"/>
  <c r="G1536" i="1"/>
  <c r="F1536" i="1"/>
  <c r="H1535" i="1"/>
  <c r="G1535" i="1"/>
  <c r="F1535" i="1"/>
  <c r="H1534" i="1"/>
  <c r="G1534" i="1"/>
  <c r="F1534" i="1"/>
  <c r="H1533" i="1"/>
  <c r="G1533" i="1"/>
  <c r="F1533" i="1"/>
  <c r="H1532" i="1"/>
  <c r="G1532" i="1"/>
  <c r="F1532" i="1"/>
  <c r="H1531" i="1"/>
  <c r="G1531" i="1"/>
  <c r="F1531" i="1"/>
  <c r="H1530" i="1"/>
  <c r="G1530" i="1"/>
  <c r="F1530" i="1"/>
  <c r="H1529" i="1"/>
  <c r="G1529" i="1"/>
  <c r="F1529" i="1"/>
  <c r="H1528" i="1"/>
  <c r="G1528" i="1"/>
  <c r="F1528" i="1"/>
  <c r="H1527" i="1"/>
  <c r="G1527" i="1"/>
  <c r="F1527" i="1"/>
  <c r="H1526" i="1"/>
  <c r="G1526" i="1"/>
  <c r="F1526" i="1"/>
  <c r="H1525" i="1"/>
  <c r="G1525" i="1"/>
  <c r="F1525" i="1"/>
  <c r="H1524" i="1"/>
  <c r="G1524" i="1"/>
  <c r="F1524" i="1"/>
  <c r="H1523" i="1"/>
  <c r="G1523" i="1"/>
  <c r="F1523" i="1"/>
  <c r="H1522" i="1"/>
  <c r="G1522" i="1"/>
  <c r="F1522" i="1"/>
  <c r="H1521" i="1"/>
  <c r="G1521" i="1"/>
  <c r="F1521" i="1"/>
  <c r="H1520" i="1"/>
  <c r="G1520" i="1"/>
  <c r="F1520" i="1"/>
  <c r="H1519" i="1"/>
  <c r="G1519" i="1"/>
  <c r="F1519" i="1"/>
  <c r="H1518" i="1"/>
  <c r="G1518" i="1"/>
  <c r="F1518" i="1"/>
  <c r="H1517" i="1"/>
  <c r="G1517" i="1"/>
  <c r="F1517" i="1"/>
  <c r="H1516" i="1"/>
  <c r="G1516" i="1"/>
  <c r="F1516" i="1"/>
  <c r="H1515" i="1"/>
  <c r="G1515" i="1"/>
  <c r="F1515" i="1"/>
  <c r="H1514" i="1"/>
  <c r="G1514" i="1"/>
  <c r="F1514" i="1"/>
  <c r="H1513" i="1"/>
  <c r="G1513" i="1"/>
  <c r="F1513" i="1"/>
  <c r="H1512" i="1"/>
  <c r="G1512" i="1"/>
  <c r="F1512" i="1"/>
  <c r="H1511" i="1"/>
  <c r="G1511" i="1"/>
  <c r="F1511" i="1"/>
  <c r="H1510" i="1"/>
  <c r="G1510" i="1"/>
  <c r="F1510" i="1"/>
  <c r="H1509" i="1"/>
  <c r="G1509" i="1"/>
  <c r="F1509" i="1"/>
  <c r="H1508" i="1"/>
  <c r="G1508" i="1"/>
  <c r="F1508" i="1"/>
  <c r="H1507" i="1"/>
  <c r="G1507" i="1"/>
  <c r="F1507" i="1"/>
  <c r="H1506" i="1"/>
  <c r="G1506" i="1"/>
  <c r="F1506" i="1"/>
  <c r="H1505" i="1"/>
  <c r="G1505" i="1"/>
  <c r="F1505" i="1"/>
  <c r="H1504" i="1"/>
  <c r="G1504" i="1"/>
  <c r="F1504" i="1"/>
  <c r="H1503" i="1"/>
  <c r="G1503" i="1"/>
  <c r="F1503" i="1"/>
  <c r="H1502" i="1"/>
  <c r="G1502" i="1"/>
  <c r="F1502" i="1"/>
  <c r="H1501" i="1"/>
  <c r="G1501" i="1"/>
  <c r="F1501" i="1"/>
  <c r="H1500" i="1"/>
  <c r="G1500" i="1"/>
  <c r="F1500" i="1"/>
  <c r="H1499" i="1"/>
  <c r="G1499" i="1"/>
  <c r="F1499" i="1"/>
  <c r="H1498" i="1"/>
  <c r="G1498" i="1"/>
  <c r="F1498" i="1"/>
  <c r="H1497" i="1"/>
  <c r="G1497" i="1"/>
  <c r="F1497" i="1"/>
  <c r="H1496" i="1"/>
  <c r="G1496" i="1"/>
  <c r="F1496" i="1"/>
  <c r="H1495" i="1"/>
  <c r="G1495" i="1"/>
  <c r="F1495" i="1"/>
  <c r="H1494" i="1"/>
  <c r="G1494" i="1"/>
  <c r="F1494" i="1"/>
  <c r="H1493" i="1"/>
  <c r="G1493" i="1"/>
  <c r="F1493" i="1"/>
  <c r="H1492" i="1"/>
  <c r="G1492" i="1"/>
  <c r="F1492" i="1"/>
  <c r="H1491" i="1"/>
  <c r="G1491" i="1"/>
  <c r="F1491" i="1"/>
  <c r="H1490" i="1"/>
  <c r="G1490" i="1"/>
  <c r="F1490" i="1"/>
  <c r="H1489" i="1"/>
  <c r="G1489" i="1"/>
  <c r="F1489" i="1"/>
  <c r="H1488" i="1"/>
  <c r="G1488" i="1"/>
  <c r="F1488" i="1"/>
  <c r="H1487" i="1"/>
  <c r="G1487" i="1"/>
  <c r="F1487" i="1"/>
  <c r="H1486" i="1"/>
  <c r="G1486" i="1"/>
  <c r="F1486" i="1"/>
  <c r="H1485" i="1"/>
  <c r="G1485" i="1"/>
  <c r="F1485" i="1"/>
  <c r="H1484" i="1"/>
  <c r="G1484" i="1"/>
  <c r="F1484" i="1"/>
  <c r="H1483" i="1"/>
  <c r="G1483" i="1"/>
  <c r="F1483" i="1"/>
  <c r="H1482" i="1"/>
  <c r="G1482" i="1"/>
  <c r="F1482" i="1"/>
  <c r="H1481" i="1"/>
  <c r="G1481" i="1"/>
  <c r="F1481" i="1"/>
  <c r="H1480" i="1"/>
  <c r="G1480" i="1"/>
  <c r="F1480" i="1"/>
  <c r="H1479" i="1"/>
  <c r="G1479" i="1"/>
  <c r="F1479" i="1"/>
  <c r="H1478" i="1"/>
  <c r="G1478" i="1"/>
  <c r="F1478" i="1"/>
  <c r="H1477" i="1"/>
  <c r="G1477" i="1"/>
  <c r="F1477" i="1"/>
  <c r="H1476" i="1"/>
  <c r="G1476" i="1"/>
  <c r="F1476" i="1"/>
  <c r="H1475" i="1"/>
  <c r="G1475" i="1"/>
  <c r="F1475" i="1"/>
  <c r="H1474" i="1"/>
  <c r="G1474" i="1"/>
  <c r="F1474" i="1"/>
  <c r="H1473" i="1"/>
  <c r="G1473" i="1"/>
  <c r="F1473" i="1"/>
  <c r="H1472" i="1"/>
  <c r="G1472" i="1"/>
  <c r="F1472" i="1"/>
  <c r="H1471" i="1"/>
  <c r="G1471" i="1"/>
  <c r="F1471" i="1"/>
  <c r="H1470" i="1"/>
  <c r="G1470" i="1"/>
  <c r="F1470" i="1"/>
  <c r="H1469" i="1"/>
  <c r="G1469" i="1"/>
  <c r="F1469" i="1"/>
  <c r="H1468" i="1"/>
  <c r="G1468" i="1"/>
  <c r="F1468" i="1"/>
  <c r="H1467" i="1"/>
  <c r="G1467" i="1"/>
  <c r="F1467" i="1"/>
  <c r="H1466" i="1"/>
  <c r="G1466" i="1"/>
  <c r="F1466" i="1"/>
  <c r="H1465" i="1"/>
  <c r="G1465" i="1"/>
  <c r="F1465" i="1"/>
  <c r="H1464" i="1"/>
  <c r="G1464" i="1"/>
  <c r="F1464" i="1"/>
  <c r="H1463" i="1"/>
  <c r="G1463" i="1"/>
  <c r="F1463" i="1"/>
  <c r="H1462" i="1"/>
  <c r="G1462" i="1"/>
  <c r="F1462" i="1"/>
  <c r="H1461" i="1"/>
  <c r="G1461" i="1"/>
  <c r="F1461" i="1"/>
  <c r="H1460" i="1"/>
  <c r="G1460" i="1"/>
  <c r="F1460" i="1"/>
  <c r="H1459" i="1"/>
  <c r="G1459" i="1"/>
  <c r="F1459" i="1"/>
  <c r="H1458" i="1"/>
  <c r="G1458" i="1"/>
  <c r="F1458" i="1"/>
  <c r="H1457" i="1"/>
  <c r="G1457" i="1"/>
  <c r="F1457" i="1"/>
  <c r="H1456" i="1"/>
  <c r="G1456" i="1"/>
  <c r="F1456" i="1"/>
  <c r="H1455" i="1"/>
  <c r="G1455" i="1"/>
  <c r="F1455" i="1"/>
  <c r="H1454" i="1"/>
  <c r="G1454" i="1"/>
  <c r="F1454" i="1"/>
  <c r="H1453" i="1"/>
  <c r="G1453" i="1"/>
  <c r="F1453" i="1"/>
  <c r="H1452" i="1"/>
  <c r="G1452" i="1"/>
  <c r="F1452" i="1"/>
  <c r="H1451" i="1"/>
  <c r="G1451" i="1"/>
  <c r="F1451" i="1"/>
  <c r="H1450" i="1"/>
  <c r="G1450" i="1"/>
  <c r="F1450" i="1"/>
  <c r="H1449" i="1"/>
  <c r="G1449" i="1"/>
  <c r="F1449" i="1"/>
  <c r="H1448" i="1"/>
  <c r="G1448" i="1"/>
  <c r="F1448" i="1"/>
  <c r="H1447" i="1"/>
  <c r="G1447" i="1"/>
  <c r="F1447" i="1"/>
  <c r="H1446" i="1"/>
  <c r="G1446" i="1"/>
  <c r="F1446" i="1"/>
  <c r="H1445" i="1"/>
  <c r="G1445" i="1"/>
  <c r="F1445" i="1"/>
  <c r="H1444" i="1"/>
  <c r="G1444" i="1"/>
  <c r="F1444" i="1"/>
  <c r="H1443" i="1"/>
  <c r="G1443" i="1"/>
  <c r="F1443" i="1"/>
  <c r="H1442" i="1"/>
  <c r="G1442" i="1"/>
  <c r="F1442" i="1"/>
  <c r="H1441" i="1"/>
  <c r="G1441" i="1"/>
  <c r="F1441" i="1"/>
  <c r="H1440" i="1"/>
  <c r="G1440" i="1"/>
  <c r="F1440" i="1"/>
  <c r="H1439" i="1"/>
  <c r="G1439" i="1"/>
  <c r="F1439" i="1"/>
  <c r="H1438" i="1"/>
  <c r="G1438" i="1"/>
  <c r="F1438" i="1"/>
  <c r="H1437" i="1"/>
  <c r="G1437" i="1"/>
  <c r="F1437" i="1"/>
  <c r="H1436" i="1"/>
  <c r="G1436" i="1"/>
  <c r="F1436" i="1"/>
  <c r="H1435" i="1"/>
  <c r="G1435" i="1"/>
  <c r="F1435" i="1"/>
  <c r="H1434" i="1"/>
  <c r="G1434" i="1"/>
  <c r="F1434" i="1"/>
  <c r="H1433" i="1"/>
  <c r="G1433" i="1"/>
  <c r="F1433" i="1"/>
  <c r="H1432" i="1"/>
  <c r="G1432" i="1"/>
  <c r="F1432" i="1"/>
  <c r="H1431" i="1"/>
  <c r="G1431" i="1"/>
  <c r="F1431" i="1"/>
  <c r="H1430" i="1"/>
  <c r="G1430" i="1"/>
  <c r="F1430" i="1"/>
  <c r="H1429" i="1"/>
  <c r="G1429" i="1"/>
  <c r="F1429" i="1"/>
  <c r="H1428" i="1"/>
  <c r="G1428" i="1"/>
  <c r="F1428" i="1"/>
  <c r="H1427" i="1"/>
  <c r="G1427" i="1"/>
  <c r="F1427" i="1"/>
  <c r="H1426" i="1"/>
  <c r="G1426" i="1"/>
  <c r="F1426" i="1"/>
  <c r="H1425" i="1"/>
  <c r="G1425" i="1"/>
  <c r="F1425" i="1"/>
  <c r="H1424" i="1"/>
  <c r="G1424" i="1"/>
  <c r="F1424" i="1"/>
  <c r="H1423" i="1"/>
  <c r="G1423" i="1"/>
  <c r="F1423" i="1"/>
  <c r="H1422" i="1"/>
  <c r="G1422" i="1"/>
  <c r="F1422" i="1"/>
  <c r="H1421" i="1"/>
  <c r="G1421" i="1"/>
  <c r="F1421" i="1"/>
  <c r="H1420" i="1"/>
  <c r="G1420" i="1"/>
  <c r="F1420" i="1"/>
  <c r="H1419" i="1"/>
  <c r="G1419" i="1"/>
  <c r="F1419" i="1"/>
  <c r="H1418" i="1"/>
  <c r="G1418" i="1"/>
  <c r="F1418" i="1"/>
  <c r="H1417" i="1"/>
  <c r="G1417" i="1"/>
  <c r="F1417" i="1"/>
  <c r="H1416" i="1"/>
  <c r="G1416" i="1"/>
  <c r="F1416" i="1"/>
  <c r="H1415" i="1"/>
  <c r="G1415" i="1"/>
  <c r="F1415" i="1"/>
  <c r="H1414" i="1"/>
  <c r="G1414" i="1"/>
  <c r="F1414" i="1"/>
  <c r="H1413" i="1"/>
  <c r="G1413" i="1"/>
  <c r="F1413" i="1"/>
  <c r="H1412" i="1"/>
  <c r="G1412" i="1"/>
  <c r="F1412" i="1"/>
  <c r="H1411" i="1"/>
  <c r="G1411" i="1"/>
  <c r="F1411" i="1"/>
  <c r="H1410" i="1"/>
  <c r="G1410" i="1"/>
  <c r="F1410" i="1"/>
  <c r="H1409" i="1"/>
  <c r="G1409" i="1"/>
  <c r="F1409" i="1"/>
  <c r="H1408" i="1"/>
  <c r="G1408" i="1"/>
  <c r="F1408" i="1"/>
  <c r="H1407" i="1"/>
  <c r="G1407" i="1"/>
  <c r="F1407" i="1"/>
  <c r="H1406" i="1"/>
  <c r="G1406" i="1"/>
  <c r="F1406" i="1"/>
  <c r="H1405" i="1"/>
  <c r="G1405" i="1"/>
  <c r="F1405" i="1"/>
  <c r="H1404" i="1"/>
  <c r="G1404" i="1"/>
  <c r="F1404" i="1"/>
  <c r="H1403" i="1"/>
  <c r="G1403" i="1"/>
  <c r="F1403" i="1"/>
  <c r="H1402" i="1"/>
  <c r="G1402" i="1"/>
  <c r="F1402" i="1"/>
  <c r="H1401" i="1"/>
  <c r="G1401" i="1"/>
  <c r="F1401" i="1"/>
  <c r="H1400" i="1"/>
  <c r="G1400" i="1"/>
  <c r="F1400" i="1"/>
  <c r="H1399" i="1"/>
  <c r="G1399" i="1"/>
  <c r="F1399" i="1"/>
  <c r="H1398" i="1"/>
  <c r="G1398" i="1"/>
  <c r="F1398" i="1"/>
  <c r="H1397" i="1"/>
  <c r="G1397" i="1"/>
  <c r="F1397" i="1"/>
  <c r="H1396" i="1"/>
  <c r="G1396" i="1"/>
  <c r="F1396" i="1"/>
  <c r="H1395" i="1"/>
  <c r="G1395" i="1"/>
  <c r="F1395" i="1"/>
  <c r="H1394" i="1"/>
  <c r="G1394" i="1"/>
  <c r="F1394" i="1"/>
  <c r="H1393" i="1"/>
  <c r="G1393" i="1"/>
  <c r="F1393" i="1"/>
  <c r="H1392" i="1"/>
  <c r="G1392" i="1"/>
  <c r="F1392" i="1"/>
  <c r="H1391" i="1"/>
  <c r="G1391" i="1"/>
  <c r="F1391" i="1"/>
  <c r="H1390" i="1"/>
  <c r="G1390" i="1"/>
  <c r="F1390" i="1"/>
  <c r="H1389" i="1"/>
  <c r="G1389" i="1"/>
  <c r="F1389" i="1"/>
  <c r="H1388" i="1"/>
  <c r="G1388" i="1"/>
  <c r="F1388" i="1"/>
  <c r="H1387" i="1"/>
  <c r="G1387" i="1"/>
  <c r="F1387" i="1"/>
  <c r="H1386" i="1"/>
  <c r="G1386" i="1"/>
  <c r="F1386" i="1"/>
  <c r="H1385" i="1"/>
  <c r="G1385" i="1"/>
  <c r="F1385" i="1"/>
  <c r="H1384" i="1"/>
  <c r="G1384" i="1"/>
  <c r="F1384" i="1"/>
  <c r="H1383" i="1"/>
  <c r="G1383" i="1"/>
  <c r="F1383" i="1"/>
  <c r="H1382" i="1"/>
  <c r="G1382" i="1"/>
  <c r="F1382" i="1"/>
  <c r="H1381" i="1"/>
  <c r="G1381" i="1"/>
  <c r="F1381" i="1"/>
  <c r="H1380" i="1"/>
  <c r="G1380" i="1"/>
  <c r="F1380" i="1"/>
  <c r="H1379" i="1"/>
  <c r="G1379" i="1"/>
  <c r="F1379" i="1"/>
  <c r="H1378" i="1"/>
  <c r="G1378" i="1"/>
  <c r="F1378" i="1"/>
  <c r="H1377" i="1"/>
  <c r="G1377" i="1"/>
  <c r="F1377" i="1"/>
  <c r="H1376" i="1"/>
  <c r="G1376" i="1"/>
  <c r="F1376" i="1"/>
  <c r="H1375" i="1"/>
  <c r="G1375" i="1"/>
  <c r="F1375" i="1"/>
  <c r="H1374" i="1"/>
  <c r="G1374" i="1"/>
  <c r="F1374" i="1"/>
  <c r="H1373" i="1"/>
  <c r="G1373" i="1"/>
  <c r="F1373" i="1"/>
  <c r="H1372" i="1"/>
  <c r="G1372" i="1"/>
  <c r="F1372" i="1"/>
  <c r="H1371" i="1"/>
  <c r="G1371" i="1"/>
  <c r="F1371" i="1"/>
  <c r="H1370" i="1"/>
  <c r="G1370" i="1"/>
  <c r="F1370" i="1"/>
  <c r="H1369" i="1"/>
  <c r="G1369" i="1"/>
  <c r="F1369" i="1"/>
  <c r="H1368" i="1"/>
  <c r="G1368" i="1"/>
  <c r="F1368" i="1"/>
  <c r="H1367" i="1"/>
  <c r="G1367" i="1"/>
  <c r="F1367" i="1"/>
  <c r="H1366" i="1"/>
  <c r="G1366" i="1"/>
  <c r="F1366" i="1"/>
  <c r="H1365" i="1"/>
  <c r="G1365" i="1"/>
  <c r="F1365" i="1"/>
  <c r="H1364" i="1"/>
  <c r="G1364" i="1"/>
  <c r="F1364" i="1"/>
  <c r="H1363" i="1"/>
  <c r="G1363" i="1"/>
  <c r="F1363" i="1"/>
  <c r="H1362" i="1"/>
  <c r="G1362" i="1"/>
  <c r="F1362" i="1"/>
  <c r="H1361" i="1"/>
  <c r="G1361" i="1"/>
  <c r="F1361" i="1"/>
  <c r="H1360" i="1"/>
  <c r="G1360" i="1"/>
  <c r="F1360" i="1"/>
  <c r="H1359" i="1"/>
  <c r="G1359" i="1"/>
  <c r="F1359" i="1"/>
  <c r="H1358" i="1"/>
  <c r="G1358" i="1"/>
  <c r="F1358" i="1"/>
  <c r="H1357" i="1"/>
  <c r="G1357" i="1"/>
  <c r="F1357" i="1"/>
  <c r="H1356" i="1"/>
  <c r="G1356" i="1"/>
  <c r="F1356" i="1"/>
  <c r="H1355" i="1"/>
  <c r="G1355" i="1"/>
  <c r="F1355" i="1"/>
  <c r="H1354" i="1"/>
  <c r="G1354" i="1"/>
  <c r="F1354" i="1"/>
  <c r="H1353" i="1"/>
  <c r="G1353" i="1"/>
  <c r="F1353" i="1"/>
  <c r="H1352" i="1"/>
  <c r="G1352" i="1"/>
  <c r="F1352" i="1"/>
  <c r="H1351" i="1"/>
  <c r="G1351" i="1"/>
  <c r="F1351" i="1"/>
  <c r="H1350" i="1"/>
  <c r="G1350" i="1"/>
  <c r="F1350" i="1"/>
  <c r="H1349" i="1"/>
  <c r="G1349" i="1"/>
  <c r="F1349" i="1"/>
  <c r="H1348" i="1"/>
  <c r="G1348" i="1"/>
  <c r="F1348" i="1"/>
  <c r="H1347" i="1"/>
  <c r="G1347" i="1"/>
  <c r="F1347" i="1"/>
  <c r="H1346" i="1"/>
  <c r="G1346" i="1"/>
  <c r="F1346" i="1"/>
  <c r="H1345" i="1"/>
  <c r="G1345" i="1"/>
  <c r="F1345" i="1"/>
  <c r="H1344" i="1"/>
  <c r="G1344" i="1"/>
  <c r="F1344" i="1"/>
  <c r="H1343" i="1"/>
  <c r="G1343" i="1"/>
  <c r="F1343" i="1"/>
  <c r="H1342" i="1"/>
  <c r="G1342" i="1"/>
  <c r="F1342" i="1"/>
  <c r="H1341" i="1"/>
  <c r="G1341" i="1"/>
  <c r="F1341" i="1"/>
  <c r="H1340" i="1"/>
  <c r="G1340" i="1"/>
  <c r="F1340" i="1"/>
  <c r="H1339" i="1"/>
  <c r="G1339" i="1"/>
  <c r="F1339" i="1"/>
  <c r="H1338" i="1"/>
  <c r="G1338" i="1"/>
  <c r="F1338" i="1"/>
  <c r="H1337" i="1"/>
  <c r="G1337" i="1"/>
  <c r="F1337" i="1"/>
  <c r="H1336" i="1"/>
  <c r="G1336" i="1"/>
  <c r="F1336" i="1"/>
  <c r="H1335" i="1"/>
  <c r="G1335" i="1"/>
  <c r="F1335" i="1"/>
  <c r="H1334" i="1"/>
  <c r="G1334" i="1"/>
  <c r="F1334" i="1"/>
  <c r="H1333" i="1"/>
  <c r="G1333" i="1"/>
  <c r="F1333" i="1"/>
  <c r="H1332" i="1"/>
  <c r="G1332" i="1"/>
  <c r="F1332" i="1"/>
  <c r="H1331" i="1"/>
  <c r="G1331" i="1"/>
  <c r="F1331" i="1"/>
  <c r="H1330" i="1"/>
  <c r="G1330" i="1"/>
  <c r="F1330" i="1"/>
  <c r="H1329" i="1"/>
  <c r="G1329" i="1"/>
  <c r="F1329" i="1"/>
  <c r="H1328" i="1"/>
  <c r="G1328" i="1"/>
  <c r="F1328" i="1"/>
  <c r="H1327" i="1"/>
  <c r="G1327" i="1"/>
  <c r="F1327" i="1"/>
  <c r="H1326" i="1"/>
  <c r="G1326" i="1"/>
  <c r="F1326" i="1"/>
  <c r="H1325" i="1"/>
  <c r="G1325" i="1"/>
  <c r="F1325" i="1"/>
  <c r="H1324" i="1"/>
  <c r="G1324" i="1"/>
  <c r="F1324" i="1"/>
  <c r="H1323" i="1"/>
  <c r="G1323" i="1"/>
  <c r="F1323" i="1"/>
  <c r="H1322" i="1"/>
  <c r="G1322" i="1"/>
  <c r="F1322" i="1"/>
  <c r="H1321" i="1"/>
  <c r="G1321" i="1"/>
  <c r="F1321" i="1"/>
  <c r="H1320" i="1"/>
  <c r="G1320" i="1"/>
  <c r="F1320" i="1"/>
  <c r="H1319" i="1"/>
  <c r="G1319" i="1"/>
  <c r="F1319" i="1"/>
  <c r="H1318" i="1"/>
  <c r="G1318" i="1"/>
  <c r="F1318" i="1"/>
  <c r="H1317" i="1"/>
  <c r="G1317" i="1"/>
  <c r="F1317" i="1"/>
  <c r="H1316" i="1"/>
  <c r="G1316" i="1"/>
  <c r="F1316" i="1"/>
  <c r="H1315" i="1"/>
  <c r="G1315" i="1"/>
  <c r="F1315" i="1"/>
  <c r="H1314" i="1"/>
  <c r="G1314" i="1"/>
  <c r="F1314" i="1"/>
  <c r="H1313" i="1"/>
  <c r="G1313" i="1"/>
  <c r="F1313" i="1"/>
  <c r="H1312" i="1"/>
  <c r="G1312" i="1"/>
  <c r="F1312" i="1"/>
  <c r="H1311" i="1"/>
  <c r="G1311" i="1"/>
  <c r="F1311" i="1"/>
  <c r="H1310" i="1"/>
  <c r="G1310" i="1"/>
  <c r="F1310" i="1"/>
  <c r="H1309" i="1"/>
  <c r="G1309" i="1"/>
  <c r="F1309" i="1"/>
  <c r="H1308" i="1"/>
  <c r="G1308" i="1"/>
  <c r="F1308" i="1"/>
  <c r="H1307" i="1"/>
  <c r="G1307" i="1"/>
  <c r="F1307" i="1"/>
  <c r="H1306" i="1"/>
  <c r="G1306" i="1"/>
  <c r="F1306" i="1"/>
  <c r="H1305" i="1"/>
  <c r="G1305" i="1"/>
  <c r="F1305" i="1"/>
  <c r="H1304" i="1"/>
  <c r="G1304" i="1"/>
  <c r="F1304" i="1"/>
  <c r="H1303" i="1"/>
  <c r="G1303" i="1"/>
  <c r="F1303" i="1"/>
  <c r="H1302" i="1"/>
  <c r="G1302" i="1"/>
  <c r="F1302" i="1"/>
  <c r="H1301" i="1"/>
  <c r="G1301" i="1"/>
  <c r="F1301" i="1"/>
  <c r="H1300" i="1"/>
  <c r="G1300" i="1"/>
  <c r="F1300" i="1"/>
  <c r="H1299" i="1"/>
  <c r="G1299" i="1"/>
  <c r="F1299" i="1"/>
  <c r="H1298" i="1"/>
  <c r="G1298" i="1"/>
  <c r="F1298" i="1"/>
  <c r="H1297" i="1"/>
  <c r="G1297" i="1"/>
  <c r="F1297" i="1"/>
  <c r="H1296" i="1"/>
  <c r="G1296" i="1"/>
  <c r="F1296" i="1"/>
  <c r="H1295" i="1"/>
  <c r="G1295" i="1"/>
  <c r="F1295" i="1"/>
  <c r="H1294" i="1"/>
  <c r="G1294" i="1"/>
  <c r="F1294" i="1"/>
  <c r="H1293" i="1"/>
  <c r="G1293" i="1"/>
  <c r="F1293" i="1"/>
  <c r="H1292" i="1"/>
  <c r="G1292" i="1"/>
  <c r="F1292" i="1"/>
  <c r="H1291" i="1"/>
  <c r="G1291" i="1"/>
  <c r="F1291" i="1"/>
  <c r="H1290" i="1"/>
  <c r="G1290" i="1"/>
  <c r="F1290" i="1"/>
  <c r="H1289" i="1"/>
  <c r="G1289" i="1"/>
  <c r="F1289" i="1"/>
  <c r="H1288" i="1"/>
  <c r="G1288" i="1"/>
  <c r="F1288" i="1"/>
  <c r="H1287" i="1"/>
  <c r="G1287" i="1"/>
  <c r="F1287" i="1"/>
  <c r="H1286" i="1"/>
  <c r="G1286" i="1"/>
  <c r="F1286" i="1"/>
  <c r="H1285" i="1"/>
  <c r="G1285" i="1"/>
  <c r="F1285" i="1"/>
  <c r="H1284" i="1"/>
  <c r="G1284" i="1"/>
  <c r="F1284" i="1"/>
  <c r="H1283" i="1"/>
  <c r="G1283" i="1"/>
  <c r="F1283" i="1"/>
  <c r="H1282" i="1"/>
  <c r="G1282" i="1"/>
  <c r="F1282" i="1"/>
  <c r="H1281" i="1"/>
  <c r="G1281" i="1"/>
  <c r="F1281" i="1"/>
  <c r="H1280" i="1"/>
  <c r="G1280" i="1"/>
  <c r="F1280" i="1"/>
  <c r="H1279" i="1"/>
  <c r="G1279" i="1"/>
  <c r="F1279" i="1"/>
  <c r="H1278" i="1"/>
  <c r="G1278" i="1"/>
  <c r="F1278" i="1"/>
  <c r="H1277" i="1"/>
  <c r="G1277" i="1"/>
  <c r="F1277" i="1"/>
  <c r="H1276" i="1"/>
  <c r="G1276" i="1"/>
  <c r="F1276" i="1"/>
  <c r="H1275" i="1"/>
  <c r="G1275" i="1"/>
  <c r="F1275" i="1"/>
  <c r="H1274" i="1"/>
  <c r="G1274" i="1"/>
  <c r="F1274" i="1"/>
  <c r="H1273" i="1"/>
  <c r="G1273" i="1"/>
  <c r="F1273" i="1"/>
  <c r="H1272" i="1"/>
  <c r="G1272" i="1"/>
  <c r="F1272" i="1"/>
  <c r="H1271" i="1"/>
  <c r="G1271" i="1"/>
  <c r="F1271" i="1"/>
  <c r="H1270" i="1"/>
  <c r="G1270" i="1"/>
  <c r="F1270" i="1"/>
  <c r="H1269" i="1"/>
  <c r="G1269" i="1"/>
  <c r="F1269" i="1"/>
  <c r="H1268" i="1"/>
  <c r="G1268" i="1"/>
  <c r="F1268" i="1"/>
  <c r="H1267" i="1"/>
  <c r="G1267" i="1"/>
  <c r="F1267" i="1"/>
  <c r="H1266" i="1"/>
  <c r="G1266" i="1"/>
  <c r="F1266" i="1"/>
  <c r="H1265" i="1"/>
  <c r="G1265" i="1"/>
  <c r="F1265" i="1"/>
  <c r="H1264" i="1"/>
  <c r="G1264" i="1"/>
  <c r="F1264" i="1"/>
  <c r="H1263" i="1"/>
  <c r="G1263" i="1"/>
  <c r="F1263" i="1"/>
  <c r="H1262" i="1"/>
  <c r="G1262" i="1"/>
  <c r="F1262" i="1"/>
  <c r="H1261" i="1"/>
  <c r="G1261" i="1"/>
  <c r="F1261" i="1"/>
  <c r="H1260" i="1"/>
  <c r="G1260" i="1"/>
  <c r="F1260" i="1"/>
  <c r="H1259" i="1"/>
  <c r="G1259" i="1"/>
  <c r="F1259" i="1"/>
  <c r="H1258" i="1"/>
  <c r="G1258" i="1"/>
  <c r="F1258" i="1"/>
  <c r="H1257" i="1"/>
  <c r="G1257" i="1"/>
  <c r="F1257" i="1"/>
  <c r="H1256" i="1"/>
  <c r="G1256" i="1"/>
  <c r="F1256" i="1"/>
  <c r="H1255" i="1"/>
  <c r="G1255" i="1"/>
  <c r="F1255" i="1"/>
  <c r="H1254" i="1"/>
  <c r="G1254" i="1"/>
  <c r="F1254" i="1"/>
  <c r="H1253" i="1"/>
  <c r="G1253" i="1"/>
  <c r="F1253" i="1"/>
  <c r="H1252" i="1"/>
  <c r="G1252" i="1"/>
  <c r="F1252" i="1"/>
  <c r="H1251" i="1"/>
  <c r="G1251" i="1"/>
  <c r="F1251" i="1"/>
  <c r="H1250" i="1"/>
  <c r="G1250" i="1"/>
  <c r="F1250" i="1"/>
  <c r="H1249" i="1"/>
  <c r="G1249" i="1"/>
  <c r="F1249" i="1"/>
  <c r="H1248" i="1"/>
  <c r="G1248" i="1"/>
  <c r="F1248" i="1"/>
  <c r="H1247" i="1"/>
  <c r="G1247" i="1"/>
  <c r="F1247" i="1"/>
  <c r="H1246" i="1"/>
  <c r="G1246" i="1"/>
  <c r="F1246" i="1"/>
  <c r="H1245" i="1"/>
  <c r="G1245" i="1"/>
  <c r="F1245" i="1"/>
  <c r="H1244" i="1"/>
  <c r="G1244" i="1"/>
  <c r="F1244" i="1"/>
  <c r="H1243" i="1"/>
  <c r="G1243" i="1"/>
  <c r="F1243" i="1"/>
  <c r="H1242" i="1"/>
  <c r="G1242" i="1"/>
  <c r="F1242" i="1"/>
  <c r="H1241" i="1"/>
  <c r="G1241" i="1"/>
  <c r="F1241" i="1"/>
  <c r="H1240" i="1"/>
  <c r="G1240" i="1"/>
  <c r="F1240" i="1"/>
  <c r="H1239" i="1"/>
  <c r="G1239" i="1"/>
  <c r="F1239" i="1"/>
  <c r="H1238" i="1"/>
  <c r="G1238" i="1"/>
  <c r="F1238" i="1"/>
  <c r="H1237" i="1"/>
  <c r="G1237" i="1"/>
  <c r="F1237" i="1"/>
  <c r="H1236" i="1"/>
  <c r="G1236" i="1"/>
  <c r="F1236" i="1"/>
  <c r="H1235" i="1"/>
  <c r="G1235" i="1"/>
  <c r="F1235" i="1"/>
  <c r="H1234" i="1"/>
  <c r="G1234" i="1"/>
  <c r="F1234" i="1"/>
  <c r="H1233" i="1"/>
  <c r="G1233" i="1"/>
  <c r="F1233" i="1"/>
  <c r="H1232" i="1"/>
  <c r="G1232" i="1"/>
  <c r="F1232" i="1"/>
  <c r="H1231" i="1"/>
  <c r="G1231" i="1"/>
  <c r="F1231" i="1"/>
  <c r="H1230" i="1"/>
  <c r="G1230" i="1"/>
  <c r="F1230" i="1"/>
  <c r="H1229" i="1"/>
  <c r="G1229" i="1"/>
  <c r="F1229" i="1"/>
  <c r="H1228" i="1"/>
  <c r="G1228" i="1"/>
  <c r="F1228" i="1"/>
  <c r="H1227" i="1"/>
  <c r="G1227" i="1"/>
  <c r="F1227" i="1"/>
  <c r="H1226" i="1"/>
  <c r="G1226" i="1"/>
  <c r="F1226" i="1"/>
  <c r="H1225" i="1"/>
  <c r="G1225" i="1"/>
  <c r="F1225" i="1"/>
  <c r="H1224" i="1"/>
  <c r="G1224" i="1"/>
  <c r="F1224" i="1"/>
  <c r="H1223" i="1"/>
  <c r="G1223" i="1"/>
  <c r="F1223" i="1"/>
  <c r="H1222" i="1"/>
  <c r="G1222" i="1"/>
  <c r="F1222" i="1"/>
  <c r="H1221" i="1"/>
  <c r="G1221" i="1"/>
  <c r="F1221" i="1"/>
  <c r="H1220" i="1"/>
  <c r="G1220" i="1"/>
  <c r="F1220" i="1"/>
  <c r="H1219" i="1"/>
  <c r="G1219" i="1"/>
  <c r="F1219" i="1"/>
  <c r="H1218" i="1"/>
  <c r="G1218" i="1"/>
  <c r="F1218" i="1"/>
  <c r="H1217" i="1"/>
  <c r="G1217" i="1"/>
  <c r="F1217" i="1"/>
  <c r="H1216" i="1"/>
  <c r="G1216" i="1"/>
  <c r="F1216" i="1"/>
  <c r="H1215" i="1"/>
  <c r="G1215" i="1"/>
  <c r="F1215" i="1"/>
  <c r="H1214" i="1"/>
  <c r="G1214" i="1"/>
  <c r="F1214" i="1"/>
  <c r="H1213" i="1"/>
  <c r="G1213" i="1"/>
  <c r="F1213" i="1"/>
  <c r="H1212" i="1"/>
  <c r="G1212" i="1"/>
  <c r="F1212" i="1"/>
  <c r="H1211" i="1"/>
  <c r="G1211" i="1"/>
  <c r="F1211" i="1"/>
  <c r="H1210" i="1"/>
  <c r="G1210" i="1"/>
  <c r="F1210" i="1"/>
  <c r="H1209" i="1"/>
  <c r="G1209" i="1"/>
  <c r="F1209" i="1"/>
  <c r="H1208" i="1"/>
  <c r="G1208" i="1"/>
  <c r="F1208" i="1"/>
  <c r="H1207" i="1"/>
  <c r="G1207" i="1"/>
  <c r="F1207" i="1"/>
  <c r="H1206" i="1"/>
  <c r="G1206" i="1"/>
  <c r="F1206" i="1"/>
  <c r="H1205" i="1"/>
  <c r="G1205" i="1"/>
  <c r="F1205" i="1"/>
  <c r="H1204" i="1"/>
  <c r="G1204" i="1"/>
  <c r="F1204" i="1"/>
  <c r="H1203" i="1"/>
  <c r="G1203" i="1"/>
  <c r="F1203" i="1"/>
  <c r="H1202" i="1"/>
  <c r="G1202" i="1"/>
  <c r="F1202" i="1"/>
  <c r="H1201" i="1"/>
  <c r="G1201" i="1"/>
  <c r="F1201" i="1"/>
  <c r="H1200" i="1"/>
  <c r="G1200" i="1"/>
  <c r="F1200" i="1"/>
  <c r="H1199" i="1"/>
  <c r="G1199" i="1"/>
  <c r="F1199" i="1"/>
  <c r="H1198" i="1"/>
  <c r="G1198" i="1"/>
  <c r="F1198" i="1"/>
  <c r="H1197" i="1"/>
  <c r="G1197" i="1"/>
  <c r="F1197" i="1"/>
  <c r="H1196" i="1"/>
  <c r="G1196" i="1"/>
  <c r="F1196" i="1"/>
  <c r="H1195" i="1"/>
  <c r="G1195" i="1"/>
  <c r="F1195" i="1"/>
  <c r="H1194" i="1"/>
  <c r="G1194" i="1"/>
  <c r="F1194" i="1"/>
  <c r="H1193" i="1"/>
  <c r="G1193" i="1"/>
  <c r="F1193" i="1"/>
  <c r="H1192" i="1"/>
  <c r="G1192" i="1"/>
  <c r="F1192" i="1"/>
  <c r="H1191" i="1"/>
  <c r="G1191" i="1"/>
  <c r="F1191" i="1"/>
  <c r="H1190" i="1"/>
  <c r="G1190" i="1"/>
  <c r="F1190" i="1"/>
  <c r="H1189" i="1"/>
  <c r="G1189" i="1"/>
  <c r="F1189" i="1"/>
  <c r="H1188" i="1"/>
  <c r="G1188" i="1"/>
  <c r="F1188" i="1"/>
  <c r="H1187" i="1"/>
  <c r="G1187" i="1"/>
  <c r="F1187" i="1"/>
  <c r="H1186" i="1"/>
  <c r="G1186" i="1"/>
  <c r="F1186" i="1"/>
  <c r="H1185" i="1"/>
  <c r="G1185" i="1"/>
  <c r="F1185" i="1"/>
  <c r="H1184" i="1"/>
  <c r="G1184" i="1"/>
  <c r="F1184" i="1"/>
  <c r="H1183" i="1"/>
  <c r="G1183" i="1"/>
  <c r="F1183" i="1"/>
  <c r="H1182" i="1"/>
  <c r="G1182" i="1"/>
  <c r="F1182" i="1"/>
  <c r="H1181" i="1"/>
  <c r="G1181" i="1"/>
  <c r="F1181" i="1"/>
  <c r="H1180" i="1"/>
  <c r="G1180" i="1"/>
  <c r="F1180" i="1"/>
  <c r="H1179" i="1"/>
  <c r="G1179" i="1"/>
  <c r="F1179" i="1"/>
  <c r="H1178" i="1"/>
  <c r="G1178" i="1"/>
  <c r="F1178" i="1"/>
  <c r="H1177" i="1"/>
  <c r="G1177" i="1"/>
  <c r="F1177" i="1"/>
  <c r="H1176" i="1"/>
  <c r="G1176" i="1"/>
  <c r="F1176" i="1"/>
  <c r="H1175" i="1"/>
  <c r="G1175" i="1"/>
  <c r="F1175" i="1"/>
  <c r="H1174" i="1"/>
  <c r="G1174" i="1"/>
  <c r="F1174" i="1"/>
  <c r="H1173" i="1"/>
  <c r="G1173" i="1"/>
  <c r="F1173" i="1"/>
  <c r="H1172" i="1"/>
  <c r="G1172" i="1"/>
  <c r="F1172" i="1"/>
  <c r="H1171" i="1"/>
  <c r="G1171" i="1"/>
  <c r="F1171" i="1"/>
  <c r="H1170" i="1"/>
  <c r="G1170" i="1"/>
  <c r="F1170" i="1"/>
  <c r="H1169" i="1"/>
  <c r="G1169" i="1"/>
  <c r="F1169" i="1"/>
  <c r="H1168" i="1"/>
  <c r="G1168" i="1"/>
  <c r="F1168" i="1"/>
  <c r="H1167" i="1"/>
  <c r="G1167" i="1"/>
  <c r="F1167" i="1"/>
  <c r="H1166" i="1"/>
  <c r="G1166" i="1"/>
  <c r="F1166" i="1"/>
  <c r="H1165" i="1"/>
  <c r="G1165" i="1"/>
  <c r="F1165" i="1"/>
  <c r="H1164" i="1"/>
  <c r="G1164" i="1"/>
  <c r="F1164" i="1"/>
  <c r="H1163" i="1"/>
  <c r="G1163" i="1"/>
  <c r="F1163" i="1"/>
  <c r="H1162" i="1"/>
  <c r="G1162" i="1"/>
  <c r="F1162" i="1"/>
  <c r="H1161" i="1"/>
  <c r="G1161" i="1"/>
  <c r="F1161" i="1"/>
  <c r="H1160" i="1"/>
  <c r="G1160" i="1"/>
  <c r="F1160" i="1"/>
  <c r="H1159" i="1"/>
  <c r="G1159" i="1"/>
  <c r="F1159" i="1"/>
  <c r="H1158" i="1"/>
  <c r="G1158" i="1"/>
  <c r="F1158" i="1"/>
  <c r="H1157" i="1"/>
  <c r="G1157" i="1"/>
  <c r="F1157" i="1"/>
  <c r="H1156" i="1"/>
  <c r="G1156" i="1"/>
  <c r="F1156" i="1"/>
  <c r="H1155" i="1"/>
  <c r="G1155" i="1"/>
  <c r="F1155" i="1"/>
  <c r="H1154" i="1"/>
  <c r="G1154" i="1"/>
  <c r="F1154" i="1"/>
  <c r="H1153" i="1"/>
  <c r="G1153" i="1"/>
  <c r="F1153" i="1"/>
  <c r="H1152" i="1"/>
  <c r="G1152" i="1"/>
  <c r="F1152" i="1"/>
  <c r="H1151" i="1"/>
  <c r="G1151" i="1"/>
  <c r="F1151" i="1"/>
  <c r="H1150" i="1"/>
  <c r="G1150" i="1"/>
  <c r="F1150" i="1"/>
  <c r="H1149" i="1"/>
  <c r="G1149" i="1"/>
  <c r="F1149" i="1"/>
  <c r="H1148" i="1"/>
  <c r="G1148" i="1"/>
  <c r="F1148" i="1"/>
  <c r="H1147" i="1"/>
  <c r="G1147" i="1"/>
  <c r="F1147" i="1"/>
  <c r="H1146" i="1"/>
  <c r="G1146" i="1"/>
  <c r="F1146" i="1"/>
  <c r="H1145" i="1"/>
  <c r="G1145" i="1"/>
  <c r="F1145" i="1"/>
  <c r="H1144" i="1"/>
  <c r="G1144" i="1"/>
  <c r="F1144" i="1"/>
  <c r="H1143" i="1"/>
  <c r="G1143" i="1"/>
  <c r="F1143" i="1"/>
  <c r="H1142" i="1"/>
  <c r="G1142" i="1"/>
  <c r="F1142" i="1"/>
  <c r="H1141" i="1"/>
  <c r="G1141" i="1"/>
  <c r="F1141" i="1"/>
  <c r="H1140" i="1"/>
  <c r="G1140" i="1"/>
  <c r="F1140" i="1"/>
  <c r="H1139" i="1"/>
  <c r="G1139" i="1"/>
  <c r="F1139" i="1"/>
  <c r="H1138" i="1"/>
  <c r="G1138" i="1"/>
  <c r="F1138" i="1"/>
  <c r="H1137" i="1"/>
  <c r="G1137" i="1"/>
  <c r="F1137" i="1"/>
  <c r="H1136" i="1"/>
  <c r="G1136" i="1"/>
  <c r="F1136" i="1"/>
  <c r="H1135" i="1"/>
  <c r="G1135" i="1"/>
  <c r="F1135" i="1"/>
  <c r="H1134" i="1"/>
  <c r="G1134" i="1"/>
  <c r="F1134" i="1"/>
  <c r="H1133" i="1"/>
  <c r="G1133" i="1"/>
  <c r="F1133" i="1"/>
  <c r="H1132" i="1"/>
  <c r="G1132" i="1"/>
  <c r="F1132" i="1"/>
  <c r="H1131" i="1"/>
  <c r="G1131" i="1"/>
  <c r="F1131" i="1"/>
  <c r="H1130" i="1"/>
  <c r="G1130" i="1"/>
  <c r="F1130" i="1"/>
  <c r="H1129" i="1"/>
  <c r="G1129" i="1"/>
  <c r="F1129" i="1"/>
  <c r="H1128" i="1"/>
  <c r="G1128" i="1"/>
  <c r="F1128" i="1"/>
  <c r="H1127" i="1"/>
  <c r="G1127" i="1"/>
  <c r="F1127" i="1"/>
  <c r="H1126" i="1"/>
  <c r="G1126" i="1"/>
  <c r="F1126" i="1"/>
  <c r="H1125" i="1"/>
  <c r="G1125" i="1"/>
  <c r="F1125" i="1"/>
  <c r="H1124" i="1"/>
  <c r="G1124" i="1"/>
  <c r="F1124" i="1"/>
  <c r="H1123" i="1"/>
  <c r="G1123" i="1"/>
  <c r="F1123" i="1"/>
  <c r="H1122" i="1"/>
  <c r="G1122" i="1"/>
  <c r="F1122" i="1"/>
  <c r="H1121" i="1"/>
  <c r="G1121" i="1"/>
  <c r="F1121" i="1"/>
  <c r="H1120" i="1"/>
  <c r="G1120" i="1"/>
  <c r="F1120" i="1"/>
  <c r="H1119" i="1"/>
  <c r="G1119" i="1"/>
  <c r="F1119" i="1"/>
  <c r="H1118" i="1"/>
  <c r="G1118" i="1"/>
  <c r="F1118" i="1"/>
  <c r="H1117" i="1"/>
  <c r="G1117" i="1"/>
  <c r="F1117" i="1"/>
  <c r="H1116" i="1"/>
  <c r="G1116" i="1"/>
  <c r="F1116" i="1"/>
  <c r="H1115" i="1"/>
  <c r="G1115" i="1"/>
  <c r="F1115" i="1"/>
  <c r="H1114" i="1"/>
  <c r="G1114" i="1"/>
  <c r="F1114" i="1"/>
  <c r="H1113" i="1"/>
  <c r="G1113" i="1"/>
  <c r="F1113" i="1"/>
  <c r="H1112" i="1"/>
  <c r="G1112" i="1"/>
  <c r="F1112" i="1"/>
  <c r="H1111" i="1"/>
  <c r="G1111" i="1"/>
  <c r="F1111" i="1"/>
  <c r="H1110" i="1"/>
  <c r="G1110" i="1"/>
  <c r="F1110" i="1"/>
  <c r="H1109" i="1"/>
  <c r="G1109" i="1"/>
  <c r="F1109" i="1"/>
  <c r="H1108" i="1"/>
  <c r="G1108" i="1"/>
  <c r="F1108" i="1"/>
  <c r="H1107" i="1"/>
  <c r="G1107" i="1"/>
  <c r="F1107" i="1"/>
  <c r="H1106" i="1"/>
  <c r="G1106" i="1"/>
  <c r="F1106" i="1"/>
  <c r="H1105" i="1"/>
  <c r="G1105" i="1"/>
  <c r="F1105" i="1"/>
  <c r="H1104" i="1"/>
  <c r="G1104" i="1"/>
  <c r="F1104" i="1"/>
  <c r="H1103" i="1"/>
  <c r="G1103" i="1"/>
  <c r="F1103" i="1"/>
  <c r="H1102" i="1"/>
  <c r="G1102" i="1"/>
  <c r="F1102" i="1"/>
  <c r="H1101" i="1"/>
  <c r="G1101" i="1"/>
  <c r="F1101" i="1"/>
  <c r="H1100" i="1"/>
  <c r="G1100" i="1"/>
  <c r="F1100" i="1"/>
  <c r="H1099" i="1"/>
  <c r="G1099" i="1"/>
  <c r="F1099" i="1"/>
  <c r="H1098" i="1"/>
  <c r="G1098" i="1"/>
  <c r="F1098" i="1"/>
  <c r="H1097" i="1"/>
  <c r="G1097" i="1"/>
  <c r="F1097" i="1"/>
  <c r="H1096" i="1"/>
  <c r="G1096" i="1"/>
  <c r="F1096" i="1"/>
  <c r="H1095" i="1"/>
  <c r="G1095" i="1"/>
  <c r="F1095" i="1"/>
  <c r="H1094" i="1"/>
  <c r="G1094" i="1"/>
  <c r="F1094" i="1"/>
  <c r="H1093" i="1"/>
  <c r="G1093" i="1"/>
  <c r="F1093" i="1"/>
  <c r="H1092" i="1"/>
  <c r="G1092" i="1"/>
  <c r="F1092" i="1"/>
  <c r="H1091" i="1"/>
  <c r="G1091" i="1"/>
  <c r="F1091" i="1"/>
  <c r="H1090" i="1"/>
  <c r="G1090" i="1"/>
  <c r="F1090" i="1"/>
  <c r="H1089" i="1"/>
  <c r="G1089" i="1"/>
  <c r="F1089" i="1"/>
  <c r="H1088" i="1"/>
  <c r="G1088" i="1"/>
  <c r="F1088" i="1"/>
  <c r="H1087" i="1"/>
  <c r="G1087" i="1"/>
  <c r="F1087" i="1"/>
  <c r="H1086" i="1"/>
  <c r="G1086" i="1"/>
  <c r="F1086" i="1"/>
  <c r="H1085" i="1"/>
  <c r="G1085" i="1"/>
  <c r="F1085" i="1"/>
  <c r="H1084" i="1"/>
  <c r="G1084" i="1"/>
  <c r="F1084" i="1"/>
  <c r="H1083" i="1"/>
  <c r="G1083" i="1"/>
  <c r="F1083" i="1"/>
  <c r="H1082" i="1"/>
  <c r="G1082" i="1"/>
  <c r="F1082" i="1"/>
  <c r="H1081" i="1"/>
  <c r="G1081" i="1"/>
  <c r="F1081" i="1"/>
  <c r="H1080" i="1"/>
  <c r="G1080" i="1"/>
  <c r="F1080" i="1"/>
  <c r="H1079" i="1"/>
  <c r="G1079" i="1"/>
  <c r="F1079" i="1"/>
  <c r="H1078" i="1"/>
  <c r="G1078" i="1"/>
  <c r="F1078" i="1"/>
  <c r="H1077" i="1"/>
  <c r="G1077" i="1"/>
  <c r="F1077" i="1"/>
  <c r="H1076" i="1"/>
  <c r="G1076" i="1"/>
  <c r="F1076" i="1"/>
  <c r="H1075" i="1"/>
  <c r="G1075" i="1"/>
  <c r="F1075" i="1"/>
  <c r="H1074" i="1"/>
  <c r="G1074" i="1"/>
  <c r="F1074" i="1"/>
  <c r="H1073" i="1"/>
  <c r="G1073" i="1"/>
  <c r="F1073" i="1"/>
  <c r="H1072" i="1"/>
  <c r="G1072" i="1"/>
  <c r="F1072" i="1"/>
  <c r="H1071" i="1"/>
  <c r="G1071" i="1"/>
  <c r="F1071" i="1"/>
  <c r="H1070" i="1"/>
  <c r="G1070" i="1"/>
  <c r="F1070" i="1"/>
  <c r="H1069" i="1"/>
  <c r="G1069" i="1"/>
  <c r="F1069" i="1"/>
  <c r="H1068" i="1"/>
  <c r="G1068" i="1"/>
  <c r="F1068" i="1"/>
  <c r="H1067" i="1"/>
  <c r="G1067" i="1"/>
  <c r="F1067" i="1"/>
  <c r="H1066" i="1"/>
  <c r="G1066" i="1"/>
  <c r="F1066" i="1"/>
  <c r="H1065" i="1"/>
  <c r="G1065" i="1"/>
  <c r="F1065" i="1"/>
  <c r="H1064" i="1"/>
  <c r="G1064" i="1"/>
  <c r="F1064" i="1"/>
  <c r="H1063" i="1"/>
  <c r="G1063" i="1"/>
  <c r="F1063" i="1"/>
  <c r="H1062" i="1"/>
  <c r="G1062" i="1"/>
  <c r="F1062" i="1"/>
  <c r="H1061" i="1"/>
  <c r="G1061" i="1"/>
  <c r="F1061" i="1"/>
  <c r="H1060" i="1"/>
  <c r="G1060" i="1"/>
  <c r="F1060" i="1"/>
  <c r="H1059" i="1"/>
  <c r="G1059" i="1"/>
  <c r="F1059" i="1"/>
  <c r="H1058" i="1"/>
  <c r="G1058" i="1"/>
  <c r="F1058" i="1"/>
  <c r="H1057" i="1"/>
  <c r="G1057" i="1"/>
  <c r="F1057" i="1"/>
  <c r="H1056" i="1"/>
  <c r="G1056" i="1"/>
  <c r="F1056" i="1"/>
  <c r="H1055" i="1"/>
  <c r="G1055" i="1"/>
  <c r="F1055" i="1"/>
  <c r="H1054" i="1"/>
  <c r="G1054" i="1"/>
  <c r="F1054" i="1"/>
  <c r="H1053" i="1"/>
  <c r="G1053" i="1"/>
  <c r="F1053" i="1"/>
  <c r="H1052" i="1"/>
  <c r="G1052" i="1"/>
  <c r="F1052" i="1"/>
  <c r="H1051" i="1"/>
  <c r="G1051" i="1"/>
  <c r="F1051" i="1"/>
  <c r="H1050" i="1"/>
  <c r="G1050" i="1"/>
  <c r="F1050" i="1"/>
  <c r="H1049" i="1"/>
  <c r="G1049" i="1"/>
  <c r="F1049" i="1"/>
  <c r="H1048" i="1"/>
  <c r="G1048" i="1"/>
  <c r="F1048" i="1"/>
  <c r="H1047" i="1"/>
  <c r="G1047" i="1"/>
  <c r="F1047" i="1"/>
  <c r="H1046" i="1"/>
  <c r="G1046" i="1"/>
  <c r="F1046" i="1"/>
  <c r="H1045" i="1"/>
  <c r="G1045" i="1"/>
  <c r="F1045" i="1"/>
  <c r="H1044" i="1"/>
  <c r="G1044" i="1"/>
  <c r="F1044" i="1"/>
  <c r="H1043" i="1"/>
  <c r="G1043" i="1"/>
  <c r="F1043" i="1"/>
  <c r="H1042" i="1"/>
  <c r="G1042" i="1"/>
  <c r="F1042" i="1"/>
  <c r="H1041" i="1"/>
  <c r="G1041" i="1"/>
  <c r="F1041" i="1"/>
  <c r="H1040" i="1"/>
  <c r="G1040" i="1"/>
  <c r="F1040" i="1"/>
  <c r="H1039" i="1"/>
  <c r="G1039" i="1"/>
  <c r="F1039" i="1"/>
  <c r="H1038" i="1"/>
  <c r="G1038" i="1"/>
  <c r="F1038" i="1"/>
  <c r="H1037" i="1"/>
  <c r="G1037" i="1"/>
  <c r="F1037" i="1"/>
  <c r="H1036" i="1"/>
  <c r="G1036" i="1"/>
  <c r="F1036" i="1"/>
  <c r="H1035" i="1"/>
  <c r="G1035" i="1"/>
  <c r="F1035" i="1"/>
  <c r="H1034" i="1"/>
  <c r="G1034" i="1"/>
  <c r="F1034" i="1"/>
  <c r="H1033" i="1"/>
  <c r="G1033" i="1"/>
  <c r="F1033" i="1"/>
  <c r="H1032" i="1"/>
  <c r="G1032" i="1"/>
  <c r="F1032" i="1"/>
  <c r="H1031" i="1"/>
  <c r="G1031" i="1"/>
  <c r="F1031" i="1"/>
  <c r="H1030" i="1"/>
  <c r="G1030" i="1"/>
  <c r="F1030" i="1"/>
  <c r="H1029" i="1"/>
  <c r="G1029" i="1"/>
  <c r="F1029" i="1"/>
  <c r="H1028" i="1"/>
  <c r="G1028" i="1"/>
  <c r="F1028" i="1"/>
  <c r="H1027" i="1"/>
  <c r="G1027" i="1"/>
  <c r="F1027" i="1"/>
  <c r="H1026" i="1"/>
  <c r="G1026" i="1"/>
  <c r="F1026" i="1"/>
  <c r="H1025" i="1"/>
  <c r="G1025" i="1"/>
  <c r="F1025" i="1"/>
  <c r="H1024" i="1"/>
  <c r="G1024" i="1"/>
  <c r="F1024" i="1"/>
  <c r="H1023" i="1"/>
  <c r="G1023" i="1"/>
  <c r="F1023" i="1"/>
  <c r="H1022" i="1"/>
  <c r="G1022" i="1"/>
  <c r="F1022" i="1"/>
  <c r="H1021" i="1"/>
  <c r="G1021" i="1"/>
  <c r="F1021" i="1"/>
  <c r="H1020" i="1"/>
  <c r="G1020" i="1"/>
  <c r="F1020" i="1"/>
  <c r="H1019" i="1"/>
  <c r="G1019" i="1"/>
  <c r="F1019" i="1"/>
  <c r="H1018" i="1"/>
  <c r="G1018" i="1"/>
  <c r="F1018" i="1"/>
  <c r="H1017" i="1"/>
  <c r="G1017" i="1"/>
  <c r="F1017" i="1"/>
  <c r="H1016" i="1"/>
  <c r="G1016" i="1"/>
  <c r="F1016" i="1"/>
  <c r="H1015" i="1"/>
  <c r="G1015" i="1"/>
  <c r="F1015" i="1"/>
  <c r="H1014" i="1"/>
  <c r="G1014" i="1"/>
  <c r="F1014" i="1"/>
  <c r="H1013" i="1"/>
  <c r="G1013" i="1"/>
  <c r="F1013" i="1"/>
  <c r="H1012" i="1"/>
  <c r="G1012" i="1"/>
  <c r="F1012" i="1"/>
  <c r="H1011" i="1"/>
  <c r="G1011" i="1"/>
  <c r="F1011" i="1"/>
  <c r="H1010" i="1"/>
  <c r="G1010" i="1"/>
  <c r="F1010" i="1"/>
  <c r="H1009" i="1"/>
  <c r="G1009" i="1"/>
  <c r="F1009" i="1"/>
  <c r="H1008" i="1"/>
  <c r="G1008" i="1"/>
  <c r="F1008" i="1"/>
  <c r="H1007" i="1"/>
  <c r="G1007" i="1"/>
  <c r="F1007" i="1"/>
  <c r="H1006" i="1"/>
  <c r="G1006" i="1"/>
  <c r="F1006" i="1"/>
  <c r="H1005" i="1"/>
  <c r="G1005" i="1"/>
  <c r="F1005" i="1"/>
  <c r="H1004" i="1"/>
  <c r="G1004" i="1"/>
  <c r="F1004" i="1"/>
  <c r="H1003" i="1"/>
  <c r="G1003" i="1"/>
  <c r="F1003" i="1"/>
  <c r="H1002" i="1"/>
  <c r="G1002" i="1"/>
  <c r="F1002" i="1"/>
  <c r="H1001" i="1"/>
  <c r="G1001" i="1"/>
  <c r="F1001" i="1"/>
  <c r="H1000" i="1"/>
  <c r="G1000" i="1"/>
  <c r="F1000" i="1"/>
  <c r="H999" i="1"/>
  <c r="G999" i="1"/>
  <c r="F999" i="1"/>
  <c r="H998" i="1"/>
  <c r="G998" i="1"/>
  <c r="F998" i="1"/>
  <c r="H997" i="1"/>
  <c r="G997" i="1"/>
  <c r="F997" i="1"/>
  <c r="H996" i="1"/>
  <c r="G996" i="1"/>
  <c r="F996" i="1"/>
  <c r="H995" i="1"/>
  <c r="G995" i="1"/>
  <c r="F995" i="1"/>
  <c r="H994" i="1"/>
  <c r="G994" i="1"/>
  <c r="F994" i="1"/>
  <c r="H993" i="1"/>
  <c r="G993" i="1"/>
  <c r="F993" i="1"/>
  <c r="H992" i="1"/>
  <c r="G992" i="1"/>
  <c r="F992" i="1"/>
  <c r="H991" i="1"/>
  <c r="G991" i="1"/>
  <c r="F991" i="1"/>
  <c r="H990" i="1"/>
  <c r="G990" i="1"/>
  <c r="F990" i="1"/>
  <c r="H989" i="1"/>
  <c r="G989" i="1"/>
  <c r="F989" i="1"/>
  <c r="H988" i="1"/>
  <c r="G988" i="1"/>
  <c r="F988" i="1"/>
  <c r="H987" i="1"/>
  <c r="G987" i="1"/>
  <c r="F987" i="1"/>
  <c r="H986" i="1"/>
  <c r="G986" i="1"/>
  <c r="F986" i="1"/>
  <c r="H985" i="1"/>
  <c r="G985" i="1"/>
  <c r="F985" i="1"/>
  <c r="H984" i="1"/>
  <c r="G984" i="1"/>
  <c r="F984" i="1"/>
  <c r="H983" i="1"/>
  <c r="G983" i="1"/>
  <c r="F983" i="1"/>
  <c r="H982" i="1"/>
  <c r="G982" i="1"/>
  <c r="F982" i="1"/>
  <c r="H981" i="1"/>
  <c r="G981" i="1"/>
  <c r="F981" i="1"/>
  <c r="H980" i="1"/>
  <c r="G980" i="1"/>
  <c r="F980" i="1"/>
  <c r="H979" i="1"/>
  <c r="G979" i="1"/>
  <c r="F979" i="1"/>
  <c r="H978" i="1"/>
  <c r="G978" i="1"/>
  <c r="F978" i="1"/>
  <c r="H977" i="1"/>
  <c r="G977" i="1"/>
  <c r="F977" i="1"/>
  <c r="H976" i="1"/>
  <c r="G976" i="1"/>
  <c r="F976" i="1"/>
  <c r="H975" i="1"/>
  <c r="G975" i="1"/>
  <c r="F975" i="1"/>
  <c r="H974" i="1"/>
  <c r="G974" i="1"/>
  <c r="F974" i="1"/>
  <c r="H973" i="1"/>
  <c r="G973" i="1"/>
  <c r="F973" i="1"/>
  <c r="H972" i="1"/>
  <c r="G972" i="1"/>
  <c r="F972" i="1"/>
  <c r="H971" i="1"/>
  <c r="G971" i="1"/>
  <c r="F971" i="1"/>
  <c r="H970" i="1"/>
  <c r="G970" i="1"/>
  <c r="F970" i="1"/>
  <c r="H969" i="1"/>
  <c r="G969" i="1"/>
  <c r="F969" i="1"/>
  <c r="H968" i="1"/>
  <c r="G968" i="1"/>
  <c r="F968" i="1"/>
  <c r="H967" i="1"/>
  <c r="G967" i="1"/>
  <c r="F967" i="1"/>
  <c r="H966" i="1"/>
  <c r="G966" i="1"/>
  <c r="F966" i="1"/>
  <c r="H965" i="1"/>
  <c r="G965" i="1"/>
  <c r="F965" i="1"/>
  <c r="H964" i="1"/>
  <c r="G964" i="1"/>
  <c r="F964" i="1"/>
  <c r="H963" i="1"/>
  <c r="G963" i="1"/>
  <c r="F963" i="1"/>
  <c r="H962" i="1"/>
  <c r="G962" i="1"/>
  <c r="F962" i="1"/>
  <c r="H961" i="1"/>
  <c r="G961" i="1"/>
  <c r="F961" i="1"/>
  <c r="H960" i="1"/>
  <c r="G960" i="1"/>
  <c r="F960" i="1"/>
  <c r="H959" i="1"/>
  <c r="G959" i="1"/>
  <c r="F959" i="1"/>
  <c r="H958" i="1"/>
  <c r="G958" i="1"/>
  <c r="F958" i="1"/>
  <c r="H957" i="1"/>
  <c r="G957" i="1"/>
  <c r="F957" i="1"/>
  <c r="H956" i="1"/>
  <c r="G956" i="1"/>
  <c r="F956" i="1"/>
  <c r="H955" i="1"/>
  <c r="G955" i="1"/>
  <c r="F955" i="1"/>
  <c r="H954" i="1"/>
  <c r="G954" i="1"/>
  <c r="F954" i="1"/>
  <c r="H953" i="1"/>
  <c r="G953" i="1"/>
  <c r="F953" i="1"/>
  <c r="H952" i="1"/>
  <c r="G952" i="1"/>
  <c r="F952" i="1"/>
  <c r="H951" i="1"/>
  <c r="G951" i="1"/>
  <c r="F951" i="1"/>
  <c r="H950" i="1"/>
  <c r="G950" i="1"/>
  <c r="F950" i="1"/>
  <c r="H949" i="1"/>
  <c r="G949" i="1"/>
  <c r="F949" i="1"/>
  <c r="H948" i="1"/>
  <c r="G948" i="1"/>
  <c r="F948" i="1"/>
  <c r="H947" i="1"/>
  <c r="G947" i="1"/>
  <c r="F947" i="1"/>
  <c r="H946" i="1"/>
  <c r="G946" i="1"/>
  <c r="F946" i="1"/>
  <c r="H945" i="1"/>
  <c r="G945" i="1"/>
  <c r="F945" i="1"/>
  <c r="H944" i="1"/>
  <c r="G944" i="1"/>
  <c r="F944" i="1"/>
  <c r="H943" i="1"/>
  <c r="G943" i="1"/>
  <c r="F943" i="1"/>
  <c r="H942" i="1"/>
  <c r="G942" i="1"/>
  <c r="F942" i="1"/>
  <c r="H941" i="1"/>
  <c r="G941" i="1"/>
  <c r="F941" i="1"/>
  <c r="H940" i="1"/>
  <c r="G940" i="1"/>
  <c r="F940" i="1"/>
  <c r="H939" i="1"/>
  <c r="G939" i="1"/>
  <c r="F939" i="1"/>
  <c r="H938" i="1"/>
  <c r="G938" i="1"/>
  <c r="F938" i="1"/>
  <c r="H937" i="1"/>
  <c r="G937" i="1"/>
  <c r="F937" i="1"/>
  <c r="H936" i="1"/>
  <c r="G936" i="1"/>
  <c r="F936" i="1"/>
  <c r="H935" i="1"/>
  <c r="G935" i="1"/>
  <c r="F935" i="1"/>
  <c r="H934" i="1"/>
  <c r="G934" i="1"/>
  <c r="F934" i="1"/>
  <c r="H933" i="1"/>
  <c r="G933" i="1"/>
  <c r="F933" i="1"/>
  <c r="H932" i="1"/>
  <c r="G932" i="1"/>
  <c r="F932" i="1"/>
  <c r="H931" i="1"/>
  <c r="G931" i="1"/>
  <c r="F931" i="1"/>
  <c r="H930" i="1"/>
  <c r="G930" i="1"/>
  <c r="F930" i="1"/>
  <c r="H929" i="1"/>
  <c r="G929" i="1"/>
  <c r="F929" i="1"/>
  <c r="H928" i="1"/>
  <c r="G928" i="1"/>
  <c r="F928" i="1"/>
  <c r="H927" i="1"/>
  <c r="G927" i="1"/>
  <c r="F927" i="1"/>
  <c r="H926" i="1"/>
  <c r="G926" i="1"/>
  <c r="F926" i="1"/>
  <c r="H925" i="1"/>
  <c r="G925" i="1"/>
  <c r="F925" i="1"/>
  <c r="H924" i="1"/>
  <c r="G924" i="1"/>
  <c r="F924" i="1"/>
  <c r="H923" i="1"/>
  <c r="G923" i="1"/>
  <c r="F923" i="1"/>
  <c r="H922" i="1"/>
  <c r="G922" i="1"/>
  <c r="F922" i="1"/>
  <c r="H921" i="1"/>
  <c r="G921" i="1"/>
  <c r="F921" i="1"/>
  <c r="H920" i="1"/>
  <c r="G920" i="1"/>
  <c r="F920" i="1"/>
  <c r="H919" i="1"/>
  <c r="G919" i="1"/>
  <c r="F919" i="1"/>
  <c r="H918" i="1"/>
  <c r="G918" i="1"/>
  <c r="F918" i="1"/>
  <c r="H917" i="1"/>
  <c r="G917" i="1"/>
  <c r="F917" i="1"/>
  <c r="H916" i="1"/>
  <c r="G916" i="1"/>
  <c r="F916" i="1"/>
  <c r="H915" i="1"/>
  <c r="G915" i="1"/>
  <c r="F915" i="1"/>
  <c r="H914" i="1"/>
  <c r="G914" i="1"/>
  <c r="F914" i="1"/>
  <c r="H913" i="1"/>
  <c r="G913" i="1"/>
  <c r="F913" i="1"/>
  <c r="H912" i="1"/>
  <c r="G912" i="1"/>
  <c r="F912" i="1"/>
  <c r="H911" i="1"/>
  <c r="G911" i="1"/>
  <c r="F911" i="1"/>
  <c r="H910" i="1"/>
  <c r="G910" i="1"/>
  <c r="F910" i="1"/>
  <c r="H909" i="1"/>
  <c r="G909" i="1"/>
  <c r="F909" i="1"/>
  <c r="H908" i="1"/>
  <c r="G908" i="1"/>
  <c r="F908" i="1"/>
  <c r="H907" i="1"/>
  <c r="G907" i="1"/>
  <c r="F907" i="1"/>
  <c r="H906" i="1"/>
  <c r="G906" i="1"/>
  <c r="F906" i="1"/>
  <c r="H905" i="1"/>
  <c r="G905" i="1"/>
  <c r="F905" i="1"/>
  <c r="H904" i="1"/>
  <c r="G904" i="1"/>
  <c r="F904" i="1"/>
  <c r="H903" i="1"/>
  <c r="G903" i="1"/>
  <c r="F903" i="1"/>
  <c r="H902" i="1"/>
  <c r="G902" i="1"/>
  <c r="F902" i="1"/>
  <c r="H901" i="1"/>
  <c r="G901" i="1"/>
  <c r="F901" i="1"/>
  <c r="H900" i="1"/>
  <c r="G900" i="1"/>
  <c r="F900" i="1"/>
  <c r="H899" i="1"/>
  <c r="G899" i="1"/>
  <c r="F899" i="1"/>
  <c r="H898" i="1"/>
  <c r="G898" i="1"/>
  <c r="F898" i="1"/>
  <c r="H897" i="1"/>
  <c r="G897" i="1"/>
  <c r="F897" i="1"/>
  <c r="H896" i="1"/>
  <c r="G896" i="1"/>
  <c r="F896" i="1"/>
  <c r="H895" i="1"/>
  <c r="G895" i="1"/>
  <c r="F895" i="1"/>
  <c r="H894" i="1"/>
  <c r="G894" i="1"/>
  <c r="F894" i="1"/>
  <c r="H893" i="1"/>
  <c r="G893" i="1"/>
  <c r="F893" i="1"/>
  <c r="H892" i="1"/>
  <c r="G892" i="1"/>
  <c r="F892" i="1"/>
  <c r="H891" i="1"/>
  <c r="G891" i="1"/>
  <c r="F891" i="1"/>
  <c r="H890" i="1"/>
  <c r="G890" i="1"/>
  <c r="F890" i="1"/>
  <c r="H889" i="1"/>
  <c r="G889" i="1"/>
  <c r="F889" i="1"/>
  <c r="H888" i="1"/>
  <c r="G888" i="1"/>
  <c r="F888" i="1"/>
  <c r="H887" i="1"/>
  <c r="G887" i="1"/>
  <c r="F887" i="1"/>
  <c r="H886" i="1"/>
  <c r="G886" i="1"/>
  <c r="F886" i="1"/>
  <c r="H885" i="1"/>
  <c r="G885" i="1"/>
  <c r="F885" i="1"/>
  <c r="H884" i="1"/>
  <c r="G884" i="1"/>
  <c r="F884" i="1"/>
  <c r="H883" i="1"/>
  <c r="G883" i="1"/>
  <c r="F883" i="1"/>
  <c r="H882" i="1"/>
  <c r="G882" i="1"/>
  <c r="F882" i="1"/>
  <c r="H881" i="1"/>
  <c r="G881" i="1"/>
  <c r="F881" i="1"/>
  <c r="H880" i="1"/>
  <c r="G880" i="1"/>
  <c r="F880" i="1"/>
  <c r="H879" i="1"/>
  <c r="G879" i="1"/>
  <c r="F879" i="1"/>
  <c r="H878" i="1"/>
  <c r="G878" i="1"/>
  <c r="F878" i="1"/>
  <c r="H877" i="1"/>
  <c r="G877" i="1"/>
  <c r="F877" i="1"/>
  <c r="H876" i="1"/>
  <c r="G876" i="1"/>
  <c r="F876" i="1"/>
  <c r="H875" i="1"/>
  <c r="G875" i="1"/>
  <c r="F875" i="1"/>
  <c r="H874" i="1"/>
  <c r="G874" i="1"/>
  <c r="F874" i="1"/>
  <c r="H873" i="1"/>
  <c r="G873" i="1"/>
  <c r="F873" i="1"/>
  <c r="H872" i="1"/>
  <c r="G872" i="1"/>
  <c r="F872" i="1"/>
  <c r="H871" i="1"/>
  <c r="G871" i="1"/>
  <c r="F871" i="1"/>
  <c r="H870" i="1"/>
  <c r="G870" i="1"/>
  <c r="F870" i="1"/>
  <c r="H869" i="1"/>
  <c r="G869" i="1"/>
  <c r="F869" i="1"/>
  <c r="H868" i="1"/>
  <c r="G868" i="1"/>
  <c r="F868" i="1"/>
  <c r="H867" i="1"/>
  <c r="G867" i="1"/>
  <c r="F867" i="1"/>
  <c r="H866" i="1"/>
  <c r="G866" i="1"/>
  <c r="F866" i="1"/>
  <c r="H865" i="1"/>
  <c r="G865" i="1"/>
  <c r="F865" i="1"/>
  <c r="H864" i="1"/>
  <c r="G864" i="1"/>
  <c r="F864" i="1"/>
  <c r="H863" i="1"/>
  <c r="G863" i="1"/>
  <c r="F863" i="1"/>
  <c r="H862" i="1"/>
  <c r="G862" i="1"/>
  <c r="F862" i="1"/>
  <c r="H861" i="1"/>
  <c r="G861" i="1"/>
  <c r="F861" i="1"/>
  <c r="H860" i="1"/>
  <c r="G860" i="1"/>
  <c r="F860" i="1"/>
  <c r="H859" i="1"/>
  <c r="G859" i="1"/>
  <c r="F859" i="1"/>
  <c r="H858" i="1"/>
  <c r="G858" i="1"/>
  <c r="F858" i="1"/>
  <c r="H857" i="1"/>
  <c r="G857" i="1"/>
  <c r="F857" i="1"/>
  <c r="H856" i="1"/>
  <c r="G856" i="1"/>
  <c r="F856" i="1"/>
  <c r="H855" i="1"/>
  <c r="G855" i="1"/>
  <c r="F855" i="1"/>
  <c r="H854" i="1"/>
  <c r="G854" i="1"/>
  <c r="F854" i="1"/>
  <c r="H853" i="1"/>
  <c r="G853" i="1"/>
  <c r="F853" i="1"/>
  <c r="H852" i="1"/>
  <c r="G852" i="1"/>
  <c r="F852" i="1"/>
  <c r="H851" i="1"/>
  <c r="G851" i="1"/>
  <c r="F851" i="1"/>
  <c r="H850" i="1"/>
  <c r="G850" i="1"/>
  <c r="F850" i="1"/>
  <c r="H849" i="1"/>
  <c r="G849" i="1"/>
  <c r="F849" i="1"/>
  <c r="H848" i="1"/>
  <c r="G848" i="1"/>
  <c r="F848" i="1"/>
  <c r="H847" i="1"/>
  <c r="G847" i="1"/>
  <c r="F847" i="1"/>
  <c r="H846" i="1"/>
  <c r="G846" i="1"/>
  <c r="F846" i="1"/>
  <c r="H845" i="1"/>
  <c r="G845" i="1"/>
  <c r="F845" i="1"/>
  <c r="H844" i="1"/>
  <c r="G844" i="1"/>
  <c r="F844" i="1"/>
  <c r="H843" i="1"/>
  <c r="G843" i="1"/>
  <c r="F843" i="1"/>
  <c r="H842" i="1"/>
  <c r="G842" i="1"/>
  <c r="F842" i="1"/>
  <c r="H841" i="1"/>
  <c r="G841" i="1"/>
  <c r="F841" i="1"/>
  <c r="H840" i="1"/>
  <c r="G840" i="1"/>
  <c r="F840" i="1"/>
  <c r="H839" i="1"/>
  <c r="G839" i="1"/>
  <c r="F839" i="1"/>
  <c r="H838" i="1"/>
  <c r="G838" i="1"/>
  <c r="F838" i="1"/>
  <c r="H837" i="1"/>
  <c r="G837" i="1"/>
  <c r="F837" i="1"/>
  <c r="H836" i="1"/>
  <c r="G836" i="1"/>
  <c r="F836" i="1"/>
  <c r="H835" i="1"/>
  <c r="G835" i="1"/>
  <c r="F835" i="1"/>
  <c r="H834" i="1"/>
  <c r="G834" i="1"/>
  <c r="F834" i="1"/>
  <c r="H833" i="1"/>
  <c r="G833" i="1"/>
  <c r="F833" i="1"/>
  <c r="H832" i="1"/>
  <c r="G832" i="1"/>
  <c r="F832" i="1"/>
  <c r="H831" i="1"/>
  <c r="G831" i="1"/>
  <c r="F831" i="1"/>
  <c r="H830" i="1"/>
  <c r="G830" i="1"/>
  <c r="F830" i="1"/>
  <c r="H829" i="1"/>
  <c r="G829" i="1"/>
  <c r="F829" i="1"/>
  <c r="H828" i="1"/>
  <c r="G828" i="1"/>
  <c r="F828" i="1"/>
  <c r="H827" i="1"/>
  <c r="G827" i="1"/>
  <c r="F827" i="1"/>
  <c r="H826" i="1"/>
  <c r="G826" i="1"/>
  <c r="F826" i="1"/>
  <c r="H825" i="1"/>
  <c r="G825" i="1"/>
  <c r="F825" i="1"/>
  <c r="H824" i="1"/>
  <c r="G824" i="1"/>
  <c r="F824" i="1"/>
  <c r="H823" i="1"/>
  <c r="G823" i="1"/>
  <c r="F823" i="1"/>
  <c r="H822" i="1"/>
  <c r="G822" i="1"/>
  <c r="F822" i="1"/>
  <c r="H821" i="1"/>
  <c r="G821" i="1"/>
  <c r="F821" i="1"/>
  <c r="H820" i="1"/>
  <c r="G820" i="1"/>
  <c r="F820" i="1"/>
  <c r="H819" i="1"/>
  <c r="G819" i="1"/>
  <c r="F819" i="1"/>
  <c r="H818" i="1"/>
  <c r="G818" i="1"/>
  <c r="F818" i="1"/>
  <c r="H817" i="1"/>
  <c r="G817" i="1"/>
  <c r="F817" i="1"/>
  <c r="H816" i="1"/>
  <c r="G816" i="1"/>
  <c r="F816" i="1"/>
  <c r="H815" i="1"/>
  <c r="G815" i="1"/>
  <c r="F815" i="1"/>
  <c r="H814" i="1"/>
  <c r="G814" i="1"/>
  <c r="F814" i="1"/>
  <c r="H813" i="1"/>
  <c r="G813" i="1"/>
  <c r="F813" i="1"/>
  <c r="H812" i="1"/>
  <c r="G812" i="1"/>
  <c r="F812" i="1"/>
  <c r="H811" i="1"/>
  <c r="G811" i="1"/>
  <c r="F811" i="1"/>
  <c r="H810" i="1"/>
  <c r="G810" i="1"/>
  <c r="F810" i="1"/>
  <c r="H809" i="1"/>
  <c r="G809" i="1"/>
  <c r="F809" i="1"/>
  <c r="H808" i="1"/>
  <c r="G808" i="1"/>
  <c r="F808" i="1"/>
  <c r="H807" i="1"/>
  <c r="G807" i="1"/>
  <c r="F807" i="1"/>
  <c r="H806" i="1"/>
  <c r="G806" i="1"/>
  <c r="F806" i="1"/>
  <c r="H805" i="1"/>
  <c r="G805" i="1"/>
  <c r="F805" i="1"/>
  <c r="H804" i="1"/>
  <c r="G804" i="1"/>
  <c r="F804" i="1"/>
  <c r="H803" i="1"/>
  <c r="G803" i="1"/>
  <c r="F803" i="1"/>
  <c r="H802" i="1"/>
  <c r="G802" i="1"/>
  <c r="F802" i="1"/>
  <c r="H801" i="1"/>
  <c r="G801" i="1"/>
  <c r="F801" i="1"/>
  <c r="H800" i="1"/>
  <c r="G800" i="1"/>
  <c r="F800" i="1"/>
  <c r="H799" i="1"/>
  <c r="G799" i="1"/>
  <c r="F799" i="1"/>
  <c r="H798" i="1"/>
  <c r="G798" i="1"/>
  <c r="F798" i="1"/>
  <c r="H797" i="1"/>
  <c r="G797" i="1"/>
  <c r="F797" i="1"/>
  <c r="H796" i="1"/>
  <c r="G796" i="1"/>
  <c r="F796" i="1"/>
  <c r="H795" i="1"/>
  <c r="G795" i="1"/>
  <c r="F795" i="1"/>
  <c r="H794" i="1"/>
  <c r="G794" i="1"/>
  <c r="F794" i="1"/>
  <c r="H793" i="1"/>
  <c r="G793" i="1"/>
  <c r="F793" i="1"/>
  <c r="H792" i="1"/>
  <c r="G792" i="1"/>
  <c r="F792" i="1"/>
  <c r="H791" i="1"/>
  <c r="G791" i="1"/>
  <c r="F791" i="1"/>
  <c r="H790" i="1"/>
  <c r="G790" i="1"/>
  <c r="F790" i="1"/>
  <c r="H789" i="1"/>
  <c r="G789" i="1"/>
  <c r="F789" i="1"/>
  <c r="H788" i="1"/>
  <c r="G788" i="1"/>
  <c r="F788" i="1"/>
  <c r="H787" i="1"/>
  <c r="G787" i="1"/>
  <c r="F787" i="1"/>
  <c r="H786" i="1"/>
  <c r="G786" i="1"/>
  <c r="F786" i="1"/>
  <c r="H785" i="1"/>
  <c r="G785" i="1"/>
  <c r="F785" i="1"/>
  <c r="H784" i="1"/>
  <c r="G784" i="1"/>
  <c r="F784" i="1"/>
  <c r="H783" i="1"/>
  <c r="G783" i="1"/>
  <c r="F783" i="1"/>
  <c r="H782" i="1"/>
  <c r="G782" i="1"/>
  <c r="F782" i="1"/>
  <c r="H781" i="1"/>
  <c r="G781" i="1"/>
  <c r="F781" i="1"/>
  <c r="H780" i="1"/>
  <c r="G780" i="1"/>
  <c r="F780" i="1"/>
  <c r="H779" i="1"/>
  <c r="G779" i="1"/>
  <c r="F779" i="1"/>
  <c r="H778" i="1"/>
  <c r="G778" i="1"/>
  <c r="F778" i="1"/>
  <c r="H777" i="1"/>
  <c r="G777" i="1"/>
  <c r="F777" i="1"/>
  <c r="H776" i="1"/>
  <c r="G776" i="1"/>
  <c r="F776" i="1"/>
  <c r="H775" i="1"/>
  <c r="G775" i="1"/>
  <c r="F775" i="1"/>
  <c r="H774" i="1"/>
  <c r="G774" i="1"/>
  <c r="F774" i="1"/>
  <c r="H773" i="1"/>
  <c r="G773" i="1"/>
  <c r="F773" i="1"/>
  <c r="H772" i="1"/>
  <c r="G772" i="1"/>
  <c r="F772" i="1"/>
  <c r="H771" i="1"/>
  <c r="G771" i="1"/>
  <c r="F771" i="1"/>
  <c r="H770" i="1"/>
  <c r="G770" i="1"/>
  <c r="F770" i="1"/>
  <c r="H769" i="1"/>
  <c r="G769" i="1"/>
  <c r="F769" i="1"/>
  <c r="H768" i="1"/>
  <c r="G768" i="1"/>
  <c r="F768" i="1"/>
  <c r="H767" i="1"/>
  <c r="G767" i="1"/>
  <c r="F767" i="1"/>
  <c r="H766" i="1"/>
  <c r="G766" i="1"/>
  <c r="F766" i="1"/>
  <c r="H765" i="1"/>
  <c r="G765" i="1"/>
  <c r="F765" i="1"/>
  <c r="H764" i="1"/>
  <c r="G764" i="1"/>
  <c r="F764" i="1"/>
  <c r="H763" i="1"/>
  <c r="G763" i="1"/>
  <c r="F763" i="1"/>
  <c r="H762" i="1"/>
  <c r="G762" i="1"/>
  <c r="F762" i="1"/>
  <c r="H761" i="1"/>
  <c r="G761" i="1"/>
  <c r="F761" i="1"/>
  <c r="H760" i="1"/>
  <c r="G760" i="1"/>
  <c r="F760" i="1"/>
  <c r="H759" i="1"/>
  <c r="G759" i="1"/>
  <c r="F759" i="1"/>
  <c r="H758" i="1"/>
  <c r="G758" i="1"/>
  <c r="F758" i="1"/>
  <c r="H757" i="1"/>
  <c r="G757" i="1"/>
  <c r="F757" i="1"/>
  <c r="H756" i="1"/>
  <c r="G756" i="1"/>
  <c r="F756" i="1"/>
  <c r="H755" i="1"/>
  <c r="G755" i="1"/>
  <c r="F755" i="1"/>
  <c r="H754" i="1"/>
  <c r="G754" i="1"/>
  <c r="F754" i="1"/>
  <c r="H753" i="1"/>
  <c r="G753" i="1"/>
  <c r="F753" i="1"/>
  <c r="H752" i="1"/>
  <c r="G752" i="1"/>
  <c r="F752" i="1"/>
  <c r="H751" i="1"/>
  <c r="G751" i="1"/>
  <c r="F751" i="1"/>
  <c r="H750" i="1"/>
  <c r="G750" i="1"/>
  <c r="F750" i="1"/>
  <c r="H749" i="1"/>
  <c r="G749" i="1"/>
  <c r="F749" i="1"/>
  <c r="H748" i="1"/>
  <c r="G748" i="1"/>
  <c r="F748" i="1"/>
  <c r="H747" i="1"/>
  <c r="G747" i="1"/>
  <c r="F747" i="1"/>
  <c r="H746" i="1"/>
  <c r="G746" i="1"/>
  <c r="F746" i="1"/>
  <c r="H745" i="1"/>
  <c r="G745" i="1"/>
  <c r="F745" i="1"/>
  <c r="H744" i="1"/>
  <c r="G744" i="1"/>
  <c r="F744" i="1"/>
  <c r="H743" i="1"/>
  <c r="G743" i="1"/>
  <c r="F743" i="1"/>
  <c r="H742" i="1"/>
  <c r="G742" i="1"/>
  <c r="F742" i="1"/>
  <c r="H741" i="1"/>
  <c r="G741" i="1"/>
  <c r="F741" i="1"/>
  <c r="H740" i="1"/>
  <c r="G740" i="1"/>
  <c r="F740" i="1"/>
  <c r="H739" i="1"/>
  <c r="G739" i="1"/>
  <c r="F739" i="1"/>
  <c r="H738" i="1"/>
  <c r="G738" i="1"/>
  <c r="F738" i="1"/>
  <c r="H737" i="1"/>
  <c r="G737" i="1"/>
  <c r="F737" i="1"/>
  <c r="H736" i="1"/>
  <c r="G736" i="1"/>
  <c r="F736" i="1"/>
  <c r="H735" i="1"/>
  <c r="G735" i="1"/>
  <c r="F735" i="1"/>
  <c r="H734" i="1"/>
  <c r="G734" i="1"/>
  <c r="F734" i="1"/>
  <c r="H733" i="1"/>
  <c r="G733" i="1"/>
  <c r="F733" i="1"/>
  <c r="H732" i="1"/>
  <c r="G732" i="1"/>
  <c r="F732" i="1"/>
  <c r="H731" i="1"/>
  <c r="G731" i="1"/>
  <c r="F731" i="1"/>
  <c r="H730" i="1"/>
  <c r="G730" i="1"/>
  <c r="F730" i="1"/>
  <c r="H729" i="1"/>
  <c r="G729" i="1"/>
  <c r="F729" i="1"/>
  <c r="H728" i="1"/>
  <c r="G728" i="1"/>
  <c r="F728" i="1"/>
  <c r="H727" i="1"/>
  <c r="G727" i="1"/>
  <c r="F727" i="1"/>
  <c r="H726" i="1"/>
  <c r="G726" i="1"/>
  <c r="F726" i="1"/>
  <c r="H725" i="1"/>
  <c r="G725" i="1"/>
  <c r="F725" i="1"/>
  <c r="H724" i="1"/>
  <c r="G724" i="1"/>
  <c r="F724" i="1"/>
  <c r="H723" i="1"/>
  <c r="G723" i="1"/>
  <c r="F723" i="1"/>
  <c r="H722" i="1"/>
  <c r="G722" i="1"/>
  <c r="F722" i="1"/>
  <c r="H721" i="1"/>
  <c r="G721" i="1"/>
  <c r="F721" i="1"/>
  <c r="H720" i="1"/>
  <c r="G720" i="1"/>
  <c r="F720" i="1"/>
  <c r="H719" i="1"/>
  <c r="G719" i="1"/>
  <c r="F719" i="1"/>
  <c r="H718" i="1"/>
  <c r="G718" i="1"/>
  <c r="F718" i="1"/>
  <c r="H717" i="1"/>
  <c r="G717" i="1"/>
  <c r="F717" i="1"/>
  <c r="H716" i="1"/>
  <c r="G716" i="1"/>
  <c r="F716" i="1"/>
  <c r="H715" i="1"/>
  <c r="G715" i="1"/>
  <c r="F715" i="1"/>
  <c r="H714" i="1"/>
  <c r="G714" i="1"/>
  <c r="F714" i="1"/>
  <c r="H713" i="1"/>
  <c r="G713" i="1"/>
  <c r="F713" i="1"/>
  <c r="H712" i="1"/>
  <c r="G712" i="1"/>
  <c r="F712" i="1"/>
  <c r="H711" i="1"/>
  <c r="G711" i="1"/>
  <c r="F711" i="1"/>
  <c r="H710" i="1"/>
  <c r="G710" i="1"/>
  <c r="F710" i="1"/>
  <c r="H709" i="1"/>
  <c r="G709" i="1"/>
  <c r="F709" i="1"/>
  <c r="H708" i="1"/>
  <c r="G708" i="1"/>
  <c r="F708" i="1"/>
  <c r="H707" i="1"/>
  <c r="G707" i="1"/>
  <c r="F707" i="1"/>
  <c r="H706" i="1"/>
  <c r="G706" i="1"/>
  <c r="F706" i="1"/>
  <c r="H705" i="1"/>
  <c r="G705" i="1"/>
  <c r="F705" i="1"/>
  <c r="H704" i="1"/>
  <c r="G704" i="1"/>
  <c r="F704" i="1"/>
  <c r="H703" i="1"/>
  <c r="G703" i="1"/>
  <c r="F703" i="1"/>
  <c r="H702" i="1"/>
  <c r="G702" i="1"/>
  <c r="F702" i="1"/>
  <c r="H701" i="1"/>
  <c r="G701" i="1"/>
  <c r="F701" i="1"/>
  <c r="H700" i="1"/>
  <c r="G700" i="1"/>
  <c r="F700" i="1"/>
  <c r="H699" i="1"/>
  <c r="G699" i="1"/>
  <c r="F699" i="1"/>
  <c r="H698" i="1"/>
  <c r="G698" i="1"/>
  <c r="F698" i="1"/>
  <c r="H697" i="1"/>
  <c r="G697" i="1"/>
  <c r="F697" i="1"/>
  <c r="H696" i="1"/>
  <c r="G696" i="1"/>
  <c r="F696" i="1"/>
  <c r="H695" i="1"/>
  <c r="G695" i="1"/>
  <c r="F695" i="1"/>
  <c r="H694" i="1"/>
  <c r="G694" i="1"/>
  <c r="F694" i="1"/>
  <c r="H693" i="1"/>
  <c r="G693" i="1"/>
  <c r="F693" i="1"/>
  <c r="H692" i="1"/>
  <c r="G692" i="1"/>
  <c r="F692" i="1"/>
  <c r="H691" i="1"/>
  <c r="G691" i="1"/>
  <c r="F691" i="1"/>
  <c r="H690" i="1"/>
  <c r="G690" i="1"/>
  <c r="F690" i="1"/>
  <c r="H689" i="1"/>
  <c r="G689" i="1"/>
  <c r="F689" i="1"/>
  <c r="H688" i="1"/>
  <c r="G688" i="1"/>
  <c r="F688" i="1"/>
  <c r="H687" i="1"/>
  <c r="G687" i="1"/>
  <c r="F687" i="1"/>
  <c r="H686" i="1"/>
  <c r="G686" i="1"/>
  <c r="F686" i="1"/>
  <c r="H685" i="1"/>
  <c r="G685" i="1"/>
  <c r="F685" i="1"/>
  <c r="H684" i="1"/>
  <c r="G684" i="1"/>
  <c r="F684" i="1"/>
  <c r="H683" i="1"/>
  <c r="G683" i="1"/>
  <c r="F683" i="1"/>
  <c r="H682" i="1"/>
  <c r="G682" i="1"/>
  <c r="F682" i="1"/>
  <c r="H681" i="1"/>
  <c r="G681" i="1"/>
  <c r="F681" i="1"/>
  <c r="H680" i="1"/>
  <c r="G680" i="1"/>
  <c r="F680" i="1"/>
  <c r="H679" i="1"/>
  <c r="G679" i="1"/>
  <c r="F679" i="1"/>
  <c r="H678" i="1"/>
  <c r="G678" i="1"/>
  <c r="F678" i="1"/>
  <c r="H677" i="1"/>
  <c r="G677" i="1"/>
  <c r="F677" i="1"/>
  <c r="H676" i="1"/>
  <c r="G676" i="1"/>
  <c r="F676" i="1"/>
  <c r="H675" i="1"/>
  <c r="G675" i="1"/>
  <c r="F675" i="1"/>
  <c r="H674" i="1"/>
  <c r="G674" i="1"/>
  <c r="F674" i="1"/>
  <c r="H673" i="1"/>
  <c r="G673" i="1"/>
  <c r="F673" i="1"/>
  <c r="H672" i="1"/>
  <c r="G672" i="1"/>
  <c r="F672" i="1"/>
  <c r="H671" i="1"/>
  <c r="G671" i="1"/>
  <c r="F671" i="1"/>
  <c r="H670" i="1"/>
  <c r="G670" i="1"/>
  <c r="F670" i="1"/>
  <c r="H669" i="1"/>
  <c r="G669" i="1"/>
  <c r="F669" i="1"/>
  <c r="H668" i="1"/>
  <c r="G668" i="1"/>
  <c r="F668" i="1"/>
  <c r="H667" i="1"/>
  <c r="G667" i="1"/>
  <c r="F667" i="1"/>
  <c r="H666" i="1"/>
  <c r="G666" i="1"/>
  <c r="F666" i="1"/>
  <c r="H665" i="1"/>
  <c r="G665" i="1"/>
  <c r="F665" i="1"/>
  <c r="H664" i="1"/>
  <c r="G664" i="1"/>
  <c r="F664" i="1"/>
  <c r="H663" i="1"/>
  <c r="G663" i="1"/>
  <c r="F663" i="1"/>
  <c r="H662" i="1"/>
  <c r="G662" i="1"/>
  <c r="F662" i="1"/>
  <c r="H661" i="1"/>
  <c r="G661" i="1"/>
  <c r="F661" i="1"/>
  <c r="H660" i="1"/>
  <c r="G660" i="1"/>
  <c r="F660" i="1"/>
  <c r="H659" i="1"/>
  <c r="G659" i="1"/>
  <c r="F659" i="1"/>
  <c r="H658" i="1"/>
  <c r="G658" i="1"/>
  <c r="F658" i="1"/>
  <c r="H657" i="1"/>
  <c r="G657" i="1"/>
  <c r="F657" i="1"/>
  <c r="H656" i="1"/>
  <c r="G656" i="1"/>
  <c r="F656" i="1"/>
  <c r="H655" i="1"/>
  <c r="G655" i="1"/>
  <c r="F655" i="1"/>
  <c r="H654" i="1"/>
  <c r="G654" i="1"/>
  <c r="F654" i="1"/>
  <c r="H653" i="1"/>
  <c r="G653" i="1"/>
  <c r="F653" i="1"/>
  <c r="H652" i="1"/>
  <c r="G652" i="1"/>
  <c r="F652" i="1"/>
  <c r="H651" i="1"/>
  <c r="G651" i="1"/>
  <c r="F651" i="1"/>
  <c r="H650" i="1"/>
  <c r="G650" i="1"/>
  <c r="F650" i="1"/>
  <c r="H649" i="1"/>
  <c r="G649" i="1"/>
  <c r="F649" i="1"/>
  <c r="H648" i="1"/>
  <c r="G648" i="1"/>
  <c r="F648" i="1"/>
  <c r="H647" i="1"/>
  <c r="G647" i="1"/>
  <c r="F647" i="1"/>
  <c r="H646" i="1"/>
  <c r="G646" i="1"/>
  <c r="F646" i="1"/>
  <c r="H645" i="1"/>
  <c r="G645" i="1"/>
  <c r="F645" i="1"/>
  <c r="H644" i="1"/>
  <c r="G644" i="1"/>
  <c r="F644" i="1"/>
  <c r="H643" i="1"/>
  <c r="G643" i="1"/>
  <c r="F643" i="1"/>
  <c r="H642" i="1"/>
  <c r="G642" i="1"/>
  <c r="F642" i="1"/>
  <c r="H641" i="1"/>
  <c r="G641" i="1"/>
  <c r="F641" i="1"/>
  <c r="H640" i="1"/>
  <c r="G640" i="1"/>
  <c r="F640" i="1"/>
  <c r="H639" i="1"/>
  <c r="G639" i="1"/>
  <c r="F639" i="1"/>
  <c r="H638" i="1"/>
  <c r="G638" i="1"/>
  <c r="F638" i="1"/>
  <c r="H637" i="1"/>
  <c r="G637" i="1"/>
  <c r="F637" i="1"/>
  <c r="H636" i="1"/>
  <c r="G636" i="1"/>
  <c r="F636" i="1"/>
  <c r="H635" i="1"/>
  <c r="G635" i="1"/>
  <c r="F635" i="1"/>
  <c r="H634" i="1"/>
  <c r="G634" i="1"/>
  <c r="F634" i="1"/>
  <c r="H633" i="1"/>
  <c r="G633" i="1"/>
  <c r="F633" i="1"/>
  <c r="H632" i="1"/>
  <c r="G632" i="1"/>
  <c r="F632" i="1"/>
  <c r="H631" i="1"/>
  <c r="G631" i="1"/>
  <c r="F631" i="1"/>
  <c r="H630" i="1"/>
  <c r="G630" i="1"/>
  <c r="F630" i="1"/>
  <c r="H629" i="1"/>
  <c r="G629" i="1"/>
  <c r="F629" i="1"/>
  <c r="H628" i="1"/>
  <c r="G628" i="1"/>
  <c r="F628" i="1"/>
  <c r="H627" i="1"/>
  <c r="G627" i="1"/>
  <c r="F627" i="1"/>
  <c r="H626" i="1"/>
  <c r="G626" i="1"/>
  <c r="F626" i="1"/>
  <c r="H625" i="1"/>
  <c r="G625" i="1"/>
  <c r="F625" i="1"/>
  <c r="H624" i="1"/>
  <c r="G624" i="1"/>
  <c r="F624" i="1"/>
  <c r="H623" i="1"/>
  <c r="G623" i="1"/>
  <c r="F623" i="1"/>
  <c r="H622" i="1"/>
  <c r="G622" i="1"/>
  <c r="F622" i="1"/>
  <c r="H621" i="1"/>
  <c r="G621" i="1"/>
  <c r="F621" i="1"/>
  <c r="H620" i="1"/>
  <c r="G620" i="1"/>
  <c r="F620" i="1"/>
  <c r="H619" i="1"/>
  <c r="G619" i="1"/>
  <c r="F619" i="1"/>
  <c r="H618" i="1"/>
  <c r="G618" i="1"/>
  <c r="F618" i="1"/>
  <c r="H617" i="1"/>
  <c r="G617" i="1"/>
  <c r="F617" i="1"/>
  <c r="H616" i="1"/>
  <c r="G616" i="1"/>
  <c r="F616" i="1"/>
  <c r="H615" i="1"/>
  <c r="G615" i="1"/>
  <c r="F615" i="1"/>
  <c r="H614" i="1"/>
  <c r="G614" i="1"/>
  <c r="F614" i="1"/>
  <c r="H613" i="1"/>
  <c r="G613" i="1"/>
  <c r="F613" i="1"/>
  <c r="H612" i="1"/>
  <c r="G612" i="1"/>
  <c r="F612" i="1"/>
  <c r="H611" i="1"/>
  <c r="G611" i="1"/>
  <c r="F611" i="1"/>
  <c r="H610" i="1"/>
  <c r="G610" i="1"/>
  <c r="F610" i="1"/>
  <c r="H609" i="1"/>
  <c r="G609" i="1"/>
  <c r="F609" i="1"/>
  <c r="H608" i="1"/>
  <c r="G608" i="1"/>
  <c r="F608" i="1"/>
  <c r="H607" i="1"/>
  <c r="G607" i="1"/>
  <c r="F607" i="1"/>
  <c r="H606" i="1"/>
  <c r="G606" i="1"/>
  <c r="F606" i="1"/>
  <c r="H605" i="1"/>
  <c r="G605" i="1"/>
  <c r="F605" i="1"/>
  <c r="H604" i="1"/>
  <c r="G604" i="1"/>
  <c r="F604" i="1"/>
  <c r="H603" i="1"/>
  <c r="G603" i="1"/>
  <c r="F603" i="1"/>
  <c r="H602" i="1"/>
  <c r="G602" i="1"/>
  <c r="F602" i="1"/>
  <c r="H601" i="1"/>
  <c r="G601" i="1"/>
  <c r="F601" i="1"/>
  <c r="H600" i="1"/>
  <c r="G600" i="1"/>
  <c r="F600" i="1"/>
  <c r="H599" i="1"/>
  <c r="G599" i="1"/>
  <c r="F599" i="1"/>
  <c r="H598" i="1"/>
  <c r="G598" i="1"/>
  <c r="F598" i="1"/>
  <c r="H597" i="1"/>
  <c r="G597" i="1"/>
  <c r="F597" i="1"/>
  <c r="H596" i="1"/>
  <c r="G596" i="1"/>
  <c r="F596" i="1"/>
  <c r="H595" i="1"/>
  <c r="G595" i="1"/>
  <c r="F595" i="1"/>
  <c r="H594" i="1"/>
  <c r="G594" i="1"/>
  <c r="F594" i="1"/>
  <c r="H593" i="1"/>
  <c r="G593" i="1"/>
  <c r="F593" i="1"/>
  <c r="H592" i="1"/>
  <c r="G592" i="1"/>
  <c r="F592" i="1"/>
  <c r="H591" i="1"/>
  <c r="G591" i="1"/>
  <c r="F591" i="1"/>
  <c r="H590" i="1"/>
  <c r="G590" i="1"/>
  <c r="F590" i="1"/>
  <c r="H589" i="1"/>
  <c r="G589" i="1"/>
  <c r="F589" i="1"/>
  <c r="H588" i="1"/>
  <c r="G588" i="1"/>
  <c r="F588" i="1"/>
  <c r="H587" i="1"/>
  <c r="G587" i="1"/>
  <c r="F587" i="1"/>
  <c r="H586" i="1"/>
  <c r="G586" i="1"/>
  <c r="F586" i="1"/>
  <c r="H585" i="1"/>
  <c r="G585" i="1"/>
  <c r="F585" i="1"/>
  <c r="H584" i="1"/>
  <c r="G584" i="1"/>
  <c r="F584" i="1"/>
  <c r="H583" i="1"/>
  <c r="G583" i="1"/>
  <c r="F583" i="1"/>
  <c r="H582" i="1"/>
  <c r="G582" i="1"/>
  <c r="F582" i="1"/>
  <c r="H581" i="1"/>
  <c r="G581" i="1"/>
  <c r="F581" i="1"/>
  <c r="H580" i="1"/>
  <c r="G580" i="1"/>
  <c r="F580" i="1"/>
  <c r="H579" i="1"/>
  <c r="G579" i="1"/>
  <c r="F579" i="1"/>
  <c r="H578" i="1"/>
  <c r="G578" i="1"/>
  <c r="F578" i="1"/>
  <c r="H577" i="1"/>
  <c r="G577" i="1"/>
  <c r="F577" i="1"/>
  <c r="H576" i="1"/>
  <c r="G576" i="1"/>
  <c r="F576" i="1"/>
  <c r="H575" i="1"/>
  <c r="G575" i="1"/>
  <c r="F575" i="1"/>
  <c r="H574" i="1"/>
  <c r="G574" i="1"/>
  <c r="F574" i="1"/>
  <c r="H573" i="1"/>
  <c r="G573" i="1"/>
  <c r="F573" i="1"/>
  <c r="H572" i="1"/>
  <c r="G572" i="1"/>
  <c r="F572" i="1"/>
  <c r="H571" i="1"/>
  <c r="G571" i="1"/>
  <c r="F571" i="1"/>
  <c r="H570" i="1"/>
  <c r="G570" i="1"/>
  <c r="F570" i="1"/>
  <c r="H569" i="1"/>
  <c r="G569" i="1"/>
  <c r="F569" i="1"/>
  <c r="H568" i="1"/>
  <c r="G568" i="1"/>
  <c r="F568" i="1"/>
  <c r="H567" i="1"/>
  <c r="G567" i="1"/>
  <c r="F567" i="1"/>
  <c r="H566" i="1"/>
  <c r="G566" i="1"/>
  <c r="F566" i="1"/>
  <c r="H565" i="1"/>
  <c r="G565" i="1"/>
  <c r="F565" i="1"/>
  <c r="H564" i="1"/>
  <c r="G564" i="1"/>
  <c r="F564" i="1"/>
  <c r="H563" i="1"/>
  <c r="G563" i="1"/>
  <c r="F563" i="1"/>
  <c r="H562" i="1"/>
  <c r="G562" i="1"/>
  <c r="F562" i="1"/>
  <c r="H561" i="1"/>
  <c r="G561" i="1"/>
  <c r="F561" i="1"/>
  <c r="H560" i="1"/>
  <c r="G560" i="1"/>
  <c r="F560" i="1"/>
  <c r="H559" i="1"/>
  <c r="G559" i="1"/>
  <c r="F559" i="1"/>
  <c r="H558" i="1"/>
  <c r="G558" i="1"/>
  <c r="F558" i="1"/>
  <c r="H557" i="1"/>
  <c r="G557" i="1"/>
  <c r="F557" i="1"/>
  <c r="H556" i="1"/>
  <c r="G556" i="1"/>
  <c r="F556" i="1"/>
  <c r="H555" i="1"/>
  <c r="G555" i="1"/>
  <c r="F555" i="1"/>
  <c r="H554" i="1"/>
  <c r="G554" i="1"/>
  <c r="F554" i="1"/>
  <c r="H553" i="1"/>
  <c r="G553" i="1"/>
  <c r="F553" i="1"/>
  <c r="H552" i="1"/>
  <c r="G552" i="1"/>
  <c r="F552" i="1"/>
  <c r="H551" i="1"/>
  <c r="G551" i="1"/>
  <c r="F551" i="1"/>
  <c r="H550" i="1"/>
  <c r="G550" i="1"/>
  <c r="F550" i="1"/>
  <c r="H549" i="1"/>
  <c r="G549" i="1"/>
  <c r="F549" i="1"/>
  <c r="H548" i="1"/>
  <c r="G548" i="1"/>
  <c r="F548" i="1"/>
  <c r="H547" i="1"/>
  <c r="G547" i="1"/>
  <c r="F547" i="1"/>
  <c r="H546" i="1"/>
  <c r="G546" i="1"/>
  <c r="F546" i="1"/>
  <c r="H545" i="1"/>
  <c r="G545" i="1"/>
  <c r="F545" i="1"/>
  <c r="H544" i="1"/>
  <c r="G544" i="1"/>
  <c r="F544" i="1"/>
  <c r="H543" i="1"/>
  <c r="G543" i="1"/>
  <c r="F543" i="1"/>
  <c r="H542" i="1"/>
  <c r="G542" i="1"/>
  <c r="F542" i="1"/>
  <c r="H541" i="1"/>
  <c r="G541" i="1"/>
  <c r="F541" i="1"/>
  <c r="H540" i="1"/>
  <c r="G540" i="1"/>
  <c r="F540" i="1"/>
  <c r="H539" i="1"/>
  <c r="G539" i="1"/>
  <c r="F539" i="1"/>
  <c r="H538" i="1"/>
  <c r="G538" i="1"/>
  <c r="F538" i="1"/>
  <c r="H537" i="1"/>
  <c r="G537" i="1"/>
  <c r="F537" i="1"/>
  <c r="H536" i="1"/>
  <c r="G536" i="1"/>
  <c r="F536" i="1"/>
  <c r="H535" i="1"/>
  <c r="G535" i="1"/>
  <c r="F535" i="1"/>
  <c r="H534" i="1"/>
  <c r="G534" i="1"/>
  <c r="F534" i="1"/>
  <c r="H533" i="1"/>
  <c r="G533" i="1"/>
  <c r="F533" i="1"/>
  <c r="H532" i="1"/>
  <c r="G532" i="1"/>
  <c r="F532" i="1"/>
  <c r="H531" i="1"/>
  <c r="G531" i="1"/>
  <c r="F531" i="1"/>
  <c r="H530" i="1"/>
  <c r="G530" i="1"/>
  <c r="F530" i="1"/>
  <c r="H529" i="1"/>
  <c r="G529" i="1"/>
  <c r="F529" i="1"/>
  <c r="H528" i="1"/>
  <c r="G528" i="1"/>
  <c r="F528" i="1"/>
  <c r="H527" i="1"/>
  <c r="G527" i="1"/>
  <c r="F527" i="1"/>
  <c r="H526" i="1"/>
  <c r="G526" i="1"/>
  <c r="F526" i="1"/>
  <c r="H525" i="1"/>
  <c r="G525" i="1"/>
  <c r="F525" i="1"/>
  <c r="H524" i="1"/>
  <c r="G524" i="1"/>
  <c r="F524" i="1"/>
  <c r="H523" i="1"/>
  <c r="G523" i="1"/>
  <c r="F523" i="1"/>
  <c r="H522" i="1"/>
  <c r="G522" i="1"/>
  <c r="F522" i="1"/>
  <c r="H521" i="1"/>
  <c r="G521" i="1"/>
  <c r="F521" i="1"/>
  <c r="H520" i="1"/>
  <c r="G520" i="1"/>
  <c r="F520" i="1"/>
  <c r="H519" i="1"/>
  <c r="G519" i="1"/>
  <c r="F519" i="1"/>
  <c r="H518" i="1"/>
  <c r="G518" i="1"/>
  <c r="F518" i="1"/>
  <c r="H517" i="1"/>
  <c r="G517" i="1"/>
  <c r="F517" i="1"/>
  <c r="H516" i="1"/>
  <c r="G516" i="1"/>
  <c r="F516" i="1"/>
  <c r="H515" i="1"/>
  <c r="G515" i="1"/>
  <c r="F515" i="1"/>
  <c r="H514" i="1"/>
  <c r="G514" i="1"/>
  <c r="F514" i="1"/>
  <c r="H513" i="1"/>
  <c r="G513" i="1"/>
  <c r="F513" i="1"/>
  <c r="H512" i="1"/>
  <c r="G512" i="1"/>
  <c r="F512" i="1"/>
  <c r="H511" i="1"/>
  <c r="G511" i="1"/>
  <c r="F511" i="1"/>
  <c r="H510" i="1"/>
  <c r="G510" i="1"/>
  <c r="F510" i="1"/>
  <c r="H509" i="1"/>
  <c r="G509" i="1"/>
  <c r="F509" i="1"/>
  <c r="H508" i="1"/>
  <c r="G508" i="1"/>
  <c r="F508" i="1"/>
  <c r="H507" i="1"/>
  <c r="G507" i="1"/>
  <c r="F507" i="1"/>
  <c r="H506" i="1"/>
  <c r="G506" i="1"/>
  <c r="F506" i="1"/>
  <c r="H505" i="1"/>
  <c r="G505" i="1"/>
  <c r="F505" i="1"/>
  <c r="H504" i="1"/>
  <c r="G504" i="1"/>
  <c r="F504" i="1"/>
  <c r="H503" i="1"/>
  <c r="G503" i="1"/>
  <c r="F503" i="1"/>
  <c r="H502" i="1"/>
  <c r="G502" i="1"/>
  <c r="F502" i="1"/>
  <c r="H501" i="1"/>
  <c r="G501" i="1"/>
  <c r="F501" i="1"/>
  <c r="H500" i="1"/>
  <c r="G500" i="1"/>
  <c r="F500" i="1"/>
  <c r="H499" i="1"/>
  <c r="G499" i="1"/>
  <c r="F499" i="1"/>
  <c r="H498" i="1"/>
  <c r="G498" i="1"/>
  <c r="F498" i="1"/>
  <c r="H497" i="1"/>
  <c r="G497" i="1"/>
  <c r="F497" i="1"/>
  <c r="H496" i="1"/>
  <c r="G496" i="1"/>
  <c r="F496" i="1"/>
  <c r="H495" i="1"/>
  <c r="G495" i="1"/>
  <c r="F495" i="1"/>
  <c r="H494" i="1"/>
  <c r="G494" i="1"/>
  <c r="F494" i="1"/>
  <c r="H493" i="1"/>
  <c r="G493" i="1"/>
  <c r="F493" i="1"/>
  <c r="H492" i="1"/>
  <c r="G492" i="1"/>
  <c r="F492" i="1"/>
  <c r="H491" i="1"/>
  <c r="G491" i="1"/>
  <c r="F491" i="1"/>
  <c r="H490" i="1"/>
  <c r="G490" i="1"/>
  <c r="F490" i="1"/>
  <c r="H489" i="1"/>
  <c r="G489" i="1"/>
  <c r="F489" i="1"/>
  <c r="H488" i="1"/>
  <c r="G488" i="1"/>
  <c r="F488" i="1"/>
  <c r="H487" i="1"/>
  <c r="G487" i="1"/>
  <c r="F487" i="1"/>
  <c r="H486" i="1"/>
  <c r="G486" i="1"/>
  <c r="F486" i="1"/>
  <c r="H485" i="1"/>
  <c r="G485" i="1"/>
  <c r="F485" i="1"/>
  <c r="H484" i="1"/>
  <c r="G484" i="1"/>
  <c r="F484" i="1"/>
  <c r="H483" i="1"/>
  <c r="G483" i="1"/>
  <c r="F483" i="1"/>
  <c r="H482" i="1"/>
  <c r="G482" i="1"/>
  <c r="F482" i="1"/>
  <c r="H481" i="1"/>
  <c r="G481" i="1"/>
  <c r="F481" i="1"/>
  <c r="H480" i="1"/>
  <c r="G480" i="1"/>
  <c r="F480" i="1"/>
  <c r="H479" i="1"/>
  <c r="G479" i="1"/>
  <c r="F479" i="1"/>
  <c r="H478" i="1"/>
  <c r="G478" i="1"/>
  <c r="F478" i="1"/>
  <c r="H477" i="1"/>
  <c r="G477" i="1"/>
  <c r="F477" i="1"/>
  <c r="H476" i="1"/>
  <c r="G476" i="1"/>
  <c r="F476" i="1"/>
  <c r="H475" i="1"/>
  <c r="G475" i="1"/>
  <c r="F475" i="1"/>
  <c r="H474" i="1"/>
  <c r="G474" i="1"/>
  <c r="F474" i="1"/>
  <c r="H473" i="1"/>
  <c r="G473" i="1"/>
  <c r="F473" i="1"/>
  <c r="H472" i="1"/>
  <c r="G472" i="1"/>
  <c r="F472" i="1"/>
  <c r="H471" i="1"/>
  <c r="G471" i="1"/>
  <c r="F471" i="1"/>
  <c r="H470" i="1"/>
  <c r="G470" i="1"/>
  <c r="F470" i="1"/>
  <c r="H469" i="1"/>
  <c r="G469" i="1"/>
  <c r="F469" i="1"/>
  <c r="H468" i="1"/>
  <c r="G468" i="1"/>
  <c r="F468" i="1"/>
  <c r="H467" i="1"/>
  <c r="G467" i="1"/>
  <c r="F467" i="1"/>
  <c r="H466" i="1"/>
  <c r="G466" i="1"/>
  <c r="F466" i="1"/>
  <c r="H465" i="1"/>
  <c r="G465" i="1"/>
  <c r="F465" i="1"/>
  <c r="H464" i="1"/>
  <c r="G464" i="1"/>
  <c r="F464" i="1"/>
  <c r="H463" i="1"/>
  <c r="G463" i="1"/>
  <c r="F463" i="1"/>
  <c r="H462" i="1"/>
  <c r="G462" i="1"/>
  <c r="F462" i="1"/>
  <c r="H461" i="1"/>
  <c r="G461" i="1"/>
  <c r="F461" i="1"/>
  <c r="H460" i="1"/>
  <c r="G460" i="1"/>
  <c r="F460" i="1"/>
  <c r="H459" i="1"/>
  <c r="G459" i="1"/>
  <c r="F459" i="1"/>
  <c r="H458" i="1"/>
  <c r="G458" i="1"/>
  <c r="F458" i="1"/>
  <c r="H457" i="1"/>
  <c r="G457" i="1"/>
  <c r="F457" i="1"/>
  <c r="H456" i="1"/>
  <c r="G456" i="1"/>
  <c r="F456" i="1"/>
  <c r="H455" i="1"/>
  <c r="G455" i="1"/>
  <c r="F455" i="1"/>
  <c r="H454" i="1"/>
  <c r="G454" i="1"/>
  <c r="F454" i="1"/>
  <c r="H453" i="1"/>
  <c r="G453" i="1"/>
  <c r="F453" i="1"/>
  <c r="H452" i="1"/>
  <c r="G452" i="1"/>
  <c r="F452" i="1"/>
  <c r="H451" i="1"/>
  <c r="G451" i="1"/>
  <c r="F451" i="1"/>
  <c r="H450" i="1"/>
  <c r="G450" i="1"/>
  <c r="F450" i="1"/>
  <c r="H449" i="1"/>
  <c r="G449" i="1"/>
  <c r="F449" i="1"/>
  <c r="H448" i="1"/>
  <c r="G448" i="1"/>
  <c r="F448" i="1"/>
  <c r="H447" i="1"/>
  <c r="G447" i="1"/>
  <c r="F447" i="1"/>
  <c r="H446" i="1"/>
  <c r="G446" i="1"/>
  <c r="F446" i="1"/>
  <c r="H445" i="1"/>
  <c r="G445" i="1"/>
  <c r="F445" i="1"/>
  <c r="H444" i="1"/>
  <c r="G444" i="1"/>
  <c r="F444" i="1"/>
  <c r="H443" i="1"/>
  <c r="G443" i="1"/>
  <c r="F443" i="1"/>
  <c r="H442" i="1"/>
  <c r="G442" i="1"/>
  <c r="F442" i="1"/>
  <c r="H441" i="1"/>
  <c r="G441" i="1"/>
  <c r="F441" i="1"/>
  <c r="H440" i="1"/>
  <c r="G440" i="1"/>
  <c r="F440" i="1"/>
  <c r="H439" i="1"/>
  <c r="G439" i="1"/>
  <c r="F439" i="1"/>
  <c r="H438" i="1"/>
  <c r="G438" i="1"/>
  <c r="F438" i="1"/>
  <c r="H437" i="1"/>
  <c r="G437" i="1"/>
  <c r="F437" i="1"/>
  <c r="H436" i="1"/>
  <c r="G436" i="1"/>
  <c r="F436" i="1"/>
  <c r="H435" i="1"/>
  <c r="G435" i="1"/>
  <c r="F435" i="1"/>
  <c r="H434" i="1"/>
  <c r="G434" i="1"/>
  <c r="F434" i="1"/>
  <c r="H433" i="1"/>
  <c r="G433" i="1"/>
  <c r="F433" i="1"/>
  <c r="H432" i="1"/>
  <c r="G432" i="1"/>
  <c r="F432" i="1"/>
  <c r="H431" i="1"/>
  <c r="G431" i="1"/>
  <c r="F431" i="1"/>
  <c r="H430" i="1"/>
  <c r="G430" i="1"/>
  <c r="F430" i="1"/>
  <c r="H429" i="1"/>
  <c r="G429" i="1"/>
  <c r="F429" i="1"/>
  <c r="H428" i="1"/>
  <c r="G428" i="1"/>
  <c r="F428" i="1"/>
  <c r="H427" i="1"/>
  <c r="G427" i="1"/>
  <c r="F427" i="1"/>
  <c r="H426" i="1"/>
  <c r="G426" i="1"/>
  <c r="F426" i="1"/>
  <c r="H425" i="1"/>
  <c r="G425" i="1"/>
  <c r="F425" i="1"/>
  <c r="H424" i="1"/>
  <c r="G424" i="1"/>
  <c r="F424" i="1"/>
  <c r="H423" i="1"/>
  <c r="G423" i="1"/>
  <c r="F423" i="1"/>
  <c r="H422" i="1"/>
  <c r="G422" i="1"/>
  <c r="F422" i="1"/>
  <c r="H421" i="1"/>
  <c r="G421" i="1"/>
  <c r="F421" i="1"/>
  <c r="H420" i="1"/>
  <c r="G420" i="1"/>
  <c r="F420" i="1"/>
  <c r="H419" i="1"/>
  <c r="G419" i="1"/>
  <c r="F419" i="1"/>
  <c r="H418" i="1"/>
  <c r="G418" i="1"/>
  <c r="F418" i="1"/>
  <c r="H417" i="1"/>
  <c r="G417" i="1"/>
  <c r="F417" i="1"/>
  <c r="H416" i="1"/>
  <c r="G416" i="1"/>
  <c r="F416" i="1"/>
  <c r="H415" i="1"/>
  <c r="G415" i="1"/>
  <c r="F415" i="1"/>
  <c r="H414" i="1"/>
  <c r="G414" i="1"/>
  <c r="F414" i="1"/>
  <c r="H413" i="1"/>
  <c r="G413" i="1"/>
  <c r="F413" i="1"/>
  <c r="H412" i="1"/>
  <c r="G412" i="1"/>
  <c r="F412" i="1"/>
  <c r="H411" i="1"/>
  <c r="G411" i="1"/>
  <c r="F411" i="1"/>
  <c r="H410" i="1"/>
  <c r="G410" i="1"/>
  <c r="F410" i="1"/>
  <c r="H409" i="1"/>
  <c r="G409" i="1"/>
  <c r="F409" i="1"/>
  <c r="H408" i="1"/>
  <c r="G408" i="1"/>
  <c r="F408" i="1"/>
  <c r="H407" i="1"/>
  <c r="G407" i="1"/>
  <c r="F407" i="1"/>
  <c r="H406" i="1"/>
  <c r="G406" i="1"/>
  <c r="F406" i="1"/>
  <c r="H405" i="1"/>
  <c r="G405" i="1"/>
  <c r="F405" i="1"/>
  <c r="H404" i="1"/>
  <c r="G404" i="1"/>
  <c r="F404" i="1"/>
  <c r="H403" i="1"/>
  <c r="G403" i="1"/>
  <c r="F403" i="1"/>
  <c r="H402" i="1"/>
  <c r="G402" i="1"/>
  <c r="F402" i="1"/>
  <c r="H401" i="1"/>
  <c r="G401" i="1"/>
  <c r="F401" i="1"/>
  <c r="H400" i="1"/>
  <c r="G400" i="1"/>
  <c r="F400" i="1"/>
  <c r="H399" i="1"/>
  <c r="G399" i="1"/>
  <c r="F399" i="1"/>
  <c r="H398" i="1"/>
  <c r="G398" i="1"/>
  <c r="F398" i="1"/>
  <c r="H397" i="1"/>
  <c r="G397" i="1"/>
  <c r="F397" i="1"/>
  <c r="H396" i="1"/>
  <c r="G396" i="1"/>
  <c r="F396" i="1"/>
  <c r="H395" i="1"/>
  <c r="G395" i="1"/>
  <c r="F395" i="1"/>
  <c r="H394" i="1"/>
  <c r="G394" i="1"/>
  <c r="F394" i="1"/>
  <c r="H393" i="1"/>
  <c r="G393" i="1"/>
  <c r="F393" i="1"/>
  <c r="H392" i="1"/>
  <c r="G392" i="1"/>
  <c r="F392" i="1"/>
  <c r="H391" i="1"/>
  <c r="G391" i="1"/>
  <c r="F391" i="1"/>
  <c r="H390" i="1"/>
  <c r="G390" i="1"/>
  <c r="F390" i="1"/>
  <c r="H389" i="1"/>
  <c r="G389" i="1"/>
  <c r="F389" i="1"/>
  <c r="H388" i="1"/>
  <c r="G388" i="1"/>
  <c r="F388" i="1"/>
  <c r="H387" i="1"/>
  <c r="G387" i="1"/>
  <c r="F387" i="1"/>
  <c r="H386" i="1"/>
  <c r="G386" i="1"/>
  <c r="F386" i="1"/>
  <c r="H385" i="1"/>
  <c r="G385" i="1"/>
  <c r="F385" i="1"/>
  <c r="H384" i="1"/>
  <c r="G384" i="1"/>
  <c r="F384" i="1"/>
  <c r="H383" i="1"/>
  <c r="G383" i="1"/>
  <c r="F383" i="1"/>
  <c r="H382" i="1"/>
  <c r="G382" i="1"/>
  <c r="F382" i="1"/>
  <c r="H381" i="1"/>
  <c r="G381" i="1"/>
  <c r="F381" i="1"/>
  <c r="H380" i="1"/>
  <c r="G380" i="1"/>
  <c r="F380" i="1"/>
  <c r="H379" i="1"/>
  <c r="G379" i="1"/>
  <c r="F379" i="1"/>
  <c r="H378" i="1"/>
  <c r="G378" i="1"/>
  <c r="F378" i="1"/>
  <c r="H377" i="1"/>
  <c r="G377" i="1"/>
  <c r="F377" i="1"/>
  <c r="H376" i="1"/>
  <c r="G376" i="1"/>
  <c r="F376" i="1"/>
  <c r="H375" i="1"/>
  <c r="G375" i="1"/>
  <c r="F375" i="1"/>
  <c r="H374" i="1"/>
  <c r="G374" i="1"/>
  <c r="F374" i="1"/>
  <c r="H373" i="1"/>
  <c r="G373" i="1"/>
  <c r="F373" i="1"/>
  <c r="H372" i="1"/>
  <c r="G372" i="1"/>
  <c r="F372" i="1"/>
  <c r="H371" i="1"/>
  <c r="G371" i="1"/>
  <c r="F371" i="1"/>
  <c r="H370" i="1"/>
  <c r="G370" i="1"/>
  <c r="F370" i="1"/>
  <c r="H369" i="1"/>
  <c r="G369" i="1"/>
  <c r="F369" i="1"/>
  <c r="H368" i="1"/>
  <c r="G368" i="1"/>
  <c r="F368" i="1"/>
  <c r="H367" i="1"/>
  <c r="G367" i="1"/>
  <c r="F367" i="1"/>
  <c r="H366" i="1"/>
  <c r="G366" i="1"/>
  <c r="F366" i="1"/>
  <c r="H365" i="1"/>
  <c r="G365" i="1"/>
  <c r="F365" i="1"/>
  <c r="H364" i="1"/>
  <c r="G364" i="1"/>
  <c r="F364" i="1"/>
  <c r="H363" i="1"/>
  <c r="G363" i="1"/>
  <c r="F363" i="1"/>
  <c r="H362" i="1"/>
  <c r="G362" i="1"/>
  <c r="F362" i="1"/>
  <c r="H361" i="1"/>
  <c r="G361" i="1"/>
  <c r="F361" i="1"/>
  <c r="H360" i="1"/>
  <c r="G360" i="1"/>
  <c r="F360" i="1"/>
  <c r="H359" i="1"/>
  <c r="G359" i="1"/>
  <c r="F359" i="1"/>
  <c r="H358" i="1"/>
  <c r="G358" i="1"/>
  <c r="F358" i="1"/>
  <c r="H357" i="1"/>
  <c r="G357" i="1"/>
  <c r="F357" i="1"/>
  <c r="H356" i="1"/>
  <c r="G356" i="1"/>
  <c r="F356" i="1"/>
  <c r="H355" i="1"/>
  <c r="G355" i="1"/>
  <c r="F355" i="1"/>
  <c r="H354" i="1"/>
  <c r="G354" i="1"/>
  <c r="F354" i="1"/>
  <c r="H353" i="1"/>
  <c r="G353" i="1"/>
  <c r="F353" i="1"/>
  <c r="H352" i="1"/>
  <c r="G352" i="1"/>
  <c r="F352" i="1"/>
  <c r="H351" i="1"/>
  <c r="G351" i="1"/>
  <c r="F351" i="1"/>
  <c r="H350" i="1"/>
  <c r="G350" i="1"/>
  <c r="F350" i="1"/>
  <c r="H349" i="1"/>
  <c r="G349" i="1"/>
  <c r="F349" i="1"/>
  <c r="H348" i="1"/>
  <c r="G348" i="1"/>
  <c r="F348" i="1"/>
  <c r="H347" i="1"/>
  <c r="G347" i="1"/>
  <c r="F347" i="1"/>
  <c r="H346" i="1"/>
  <c r="G346" i="1"/>
  <c r="F346" i="1"/>
  <c r="H345" i="1"/>
  <c r="G345" i="1"/>
  <c r="F345" i="1"/>
  <c r="H344" i="1"/>
  <c r="G344" i="1"/>
  <c r="F344" i="1"/>
  <c r="H343" i="1"/>
  <c r="G343" i="1"/>
  <c r="F343" i="1"/>
  <c r="H342" i="1"/>
  <c r="G342" i="1"/>
  <c r="F342" i="1"/>
  <c r="H341" i="1"/>
  <c r="G341" i="1"/>
  <c r="F341" i="1"/>
  <c r="H340" i="1"/>
  <c r="G340" i="1"/>
  <c r="F340" i="1"/>
  <c r="H339" i="1"/>
  <c r="G339" i="1"/>
  <c r="F339" i="1"/>
  <c r="H338" i="1"/>
  <c r="G338" i="1"/>
  <c r="F338" i="1"/>
  <c r="H337" i="1"/>
  <c r="G337" i="1"/>
  <c r="F337" i="1"/>
  <c r="H336" i="1"/>
  <c r="G336" i="1"/>
  <c r="F336" i="1"/>
  <c r="H335" i="1"/>
  <c r="G335" i="1"/>
  <c r="F335" i="1"/>
  <c r="H334" i="1"/>
  <c r="G334" i="1"/>
  <c r="F334" i="1"/>
  <c r="H333" i="1"/>
  <c r="G333" i="1"/>
  <c r="F333" i="1"/>
  <c r="H332" i="1"/>
  <c r="G332" i="1"/>
  <c r="F332" i="1"/>
  <c r="H331" i="1"/>
  <c r="G331" i="1"/>
  <c r="F331" i="1"/>
  <c r="H330" i="1"/>
  <c r="G330" i="1"/>
  <c r="F330" i="1"/>
  <c r="H329" i="1"/>
  <c r="G329" i="1"/>
  <c r="F329" i="1"/>
  <c r="H328" i="1"/>
  <c r="G328" i="1"/>
  <c r="F328" i="1"/>
  <c r="H327" i="1"/>
  <c r="G327" i="1"/>
  <c r="F327" i="1"/>
  <c r="H326" i="1"/>
  <c r="G326" i="1"/>
  <c r="F326" i="1"/>
  <c r="H325" i="1"/>
  <c r="G325" i="1"/>
  <c r="F325" i="1"/>
  <c r="H324" i="1"/>
  <c r="G324" i="1"/>
  <c r="F324" i="1"/>
  <c r="H323" i="1"/>
  <c r="G323" i="1"/>
  <c r="F323" i="1"/>
  <c r="H322" i="1"/>
  <c r="G322" i="1"/>
  <c r="F322" i="1"/>
  <c r="H321" i="1"/>
  <c r="G321" i="1"/>
  <c r="F321" i="1"/>
  <c r="H320" i="1"/>
  <c r="G320" i="1"/>
  <c r="F320" i="1"/>
  <c r="H319" i="1"/>
  <c r="G319" i="1"/>
  <c r="F319" i="1"/>
  <c r="H318" i="1"/>
  <c r="G318" i="1"/>
  <c r="F318" i="1"/>
  <c r="H317" i="1"/>
  <c r="G317" i="1"/>
  <c r="F317" i="1"/>
  <c r="H316" i="1"/>
  <c r="G316" i="1"/>
  <c r="F316" i="1"/>
  <c r="H315" i="1"/>
  <c r="G315" i="1"/>
  <c r="F315" i="1"/>
  <c r="H314" i="1"/>
  <c r="G314" i="1"/>
  <c r="F314" i="1"/>
  <c r="H313" i="1"/>
  <c r="G313" i="1"/>
  <c r="F313" i="1"/>
  <c r="H312" i="1"/>
  <c r="G312" i="1"/>
  <c r="F312" i="1"/>
  <c r="H311" i="1"/>
  <c r="G311" i="1"/>
  <c r="F311" i="1"/>
  <c r="H310" i="1"/>
  <c r="G310" i="1"/>
  <c r="F310" i="1"/>
  <c r="H309" i="1"/>
  <c r="G309" i="1"/>
  <c r="F309" i="1"/>
  <c r="H308" i="1"/>
  <c r="G308" i="1"/>
  <c r="F308" i="1"/>
  <c r="H307" i="1"/>
  <c r="G307" i="1"/>
  <c r="F307" i="1"/>
  <c r="H306" i="1"/>
  <c r="G306" i="1"/>
  <c r="F306" i="1"/>
  <c r="H305" i="1"/>
  <c r="G305" i="1"/>
  <c r="F305" i="1"/>
  <c r="H304" i="1"/>
  <c r="G304" i="1"/>
  <c r="F304" i="1"/>
  <c r="H303" i="1"/>
  <c r="G303" i="1"/>
  <c r="F303" i="1"/>
  <c r="H302" i="1"/>
  <c r="G302" i="1"/>
  <c r="F302" i="1"/>
  <c r="H301" i="1"/>
  <c r="G301" i="1"/>
  <c r="F301" i="1"/>
  <c r="H300" i="1"/>
  <c r="G300" i="1"/>
  <c r="F300" i="1"/>
  <c r="H299" i="1"/>
  <c r="G299" i="1"/>
  <c r="F299" i="1"/>
  <c r="H298" i="1"/>
  <c r="G298" i="1"/>
  <c r="F298" i="1"/>
  <c r="H297" i="1"/>
  <c r="G297" i="1"/>
  <c r="F297" i="1"/>
  <c r="H296" i="1"/>
  <c r="G296" i="1"/>
  <c r="F296" i="1"/>
  <c r="H295" i="1"/>
  <c r="G295" i="1"/>
  <c r="F295" i="1"/>
  <c r="H294" i="1"/>
  <c r="G294" i="1"/>
  <c r="F294" i="1"/>
  <c r="H293" i="1"/>
  <c r="G293" i="1"/>
  <c r="F293" i="1"/>
  <c r="H292" i="1"/>
  <c r="G292" i="1"/>
  <c r="F292" i="1"/>
  <c r="H291" i="1"/>
  <c r="G291" i="1"/>
  <c r="F291" i="1"/>
  <c r="H290" i="1"/>
  <c r="G290" i="1"/>
  <c r="F290" i="1"/>
  <c r="H289" i="1"/>
  <c r="G289" i="1"/>
  <c r="F289" i="1"/>
  <c r="H288" i="1"/>
  <c r="G288" i="1"/>
  <c r="F288" i="1"/>
  <c r="H287" i="1"/>
  <c r="G287" i="1"/>
  <c r="F287" i="1"/>
  <c r="H286" i="1"/>
  <c r="G286" i="1"/>
  <c r="F286" i="1"/>
  <c r="H285" i="1"/>
  <c r="G285" i="1"/>
  <c r="F285" i="1"/>
  <c r="H284" i="1"/>
  <c r="G284" i="1"/>
  <c r="F284" i="1"/>
  <c r="H283" i="1"/>
  <c r="G283" i="1"/>
  <c r="F283" i="1"/>
  <c r="H282" i="1"/>
  <c r="G282" i="1"/>
  <c r="F282" i="1"/>
  <c r="H281" i="1"/>
  <c r="G281" i="1"/>
  <c r="F281" i="1"/>
  <c r="H280" i="1"/>
  <c r="G280" i="1"/>
  <c r="F280" i="1"/>
  <c r="H279" i="1"/>
  <c r="G279" i="1"/>
  <c r="F279" i="1"/>
  <c r="H278" i="1"/>
  <c r="G278" i="1"/>
  <c r="F278" i="1"/>
  <c r="H277" i="1"/>
  <c r="G277" i="1"/>
  <c r="F277" i="1"/>
  <c r="H276" i="1"/>
  <c r="G276" i="1"/>
  <c r="F276" i="1"/>
  <c r="H275" i="1"/>
  <c r="G275" i="1"/>
  <c r="F275" i="1"/>
  <c r="H274" i="1"/>
  <c r="G274" i="1"/>
  <c r="F274" i="1"/>
  <c r="H273" i="1"/>
  <c r="G273" i="1"/>
  <c r="F273" i="1"/>
  <c r="H272" i="1"/>
  <c r="G272" i="1"/>
  <c r="F272" i="1"/>
  <c r="H271" i="1"/>
  <c r="G271" i="1"/>
  <c r="F271" i="1"/>
  <c r="H270" i="1"/>
  <c r="G270" i="1"/>
  <c r="F270" i="1"/>
  <c r="H269" i="1"/>
  <c r="G269" i="1"/>
  <c r="F269" i="1"/>
  <c r="H268" i="1"/>
  <c r="G268" i="1"/>
  <c r="F268" i="1"/>
  <c r="H267" i="1"/>
  <c r="G267" i="1"/>
  <c r="F267" i="1"/>
  <c r="H266" i="1"/>
  <c r="G266" i="1"/>
  <c r="F266" i="1"/>
  <c r="H265" i="1"/>
  <c r="G265" i="1"/>
  <c r="F265" i="1"/>
  <c r="H264" i="1"/>
  <c r="G264" i="1"/>
  <c r="F264" i="1"/>
  <c r="H263" i="1"/>
  <c r="G263" i="1"/>
  <c r="F263" i="1"/>
  <c r="H262" i="1"/>
  <c r="G262" i="1"/>
  <c r="F262" i="1"/>
  <c r="H261" i="1"/>
  <c r="G261" i="1"/>
  <c r="F261" i="1"/>
  <c r="H260" i="1"/>
  <c r="G260" i="1"/>
  <c r="F260" i="1"/>
  <c r="H259" i="1"/>
  <c r="G259" i="1"/>
  <c r="F259" i="1"/>
  <c r="H258" i="1"/>
  <c r="G258" i="1"/>
  <c r="F258" i="1"/>
  <c r="H257" i="1"/>
  <c r="G257" i="1"/>
  <c r="F257" i="1"/>
  <c r="H256" i="1"/>
  <c r="G256" i="1"/>
  <c r="F256" i="1"/>
  <c r="H255" i="1"/>
  <c r="G255" i="1"/>
  <c r="F255" i="1"/>
  <c r="H254" i="1"/>
  <c r="G254" i="1"/>
  <c r="F254" i="1"/>
  <c r="H253" i="1"/>
  <c r="G253" i="1"/>
  <c r="F253" i="1"/>
  <c r="H252" i="1"/>
  <c r="G252" i="1"/>
  <c r="F252" i="1"/>
  <c r="H251" i="1"/>
  <c r="G251" i="1"/>
  <c r="F251" i="1"/>
  <c r="H250" i="1"/>
  <c r="G250" i="1"/>
  <c r="F250" i="1"/>
  <c r="H249" i="1"/>
  <c r="G249" i="1"/>
  <c r="F249" i="1"/>
  <c r="H248" i="1"/>
  <c r="G248" i="1"/>
  <c r="F248" i="1"/>
  <c r="H247" i="1"/>
  <c r="G247" i="1"/>
  <c r="F247" i="1"/>
  <c r="H246" i="1"/>
  <c r="G246" i="1"/>
  <c r="F246" i="1"/>
  <c r="H245" i="1"/>
  <c r="G245" i="1"/>
  <c r="F245" i="1"/>
  <c r="H244" i="1"/>
  <c r="G244" i="1"/>
  <c r="F244" i="1"/>
  <c r="H243" i="1"/>
  <c r="G243" i="1"/>
  <c r="F243" i="1"/>
  <c r="H242" i="1"/>
  <c r="G242" i="1"/>
  <c r="F242" i="1"/>
  <c r="H241" i="1"/>
  <c r="G241" i="1"/>
  <c r="F241" i="1"/>
  <c r="H240" i="1"/>
  <c r="G240" i="1"/>
  <c r="F240" i="1"/>
  <c r="H239" i="1"/>
  <c r="G239" i="1"/>
  <c r="F239" i="1"/>
  <c r="H238" i="1"/>
  <c r="G238" i="1"/>
  <c r="F238" i="1"/>
  <c r="H237" i="1"/>
  <c r="G237" i="1"/>
  <c r="F237" i="1"/>
  <c r="H236" i="1"/>
  <c r="G236" i="1"/>
  <c r="F236" i="1"/>
  <c r="H235" i="1"/>
  <c r="G235" i="1"/>
  <c r="F235" i="1"/>
  <c r="H234" i="1"/>
  <c r="G234" i="1"/>
  <c r="F234" i="1"/>
  <c r="H233" i="1"/>
  <c r="G233" i="1"/>
  <c r="F233" i="1"/>
  <c r="H232" i="1"/>
  <c r="G232" i="1"/>
  <c r="F232" i="1"/>
  <c r="H231" i="1"/>
  <c r="G231" i="1"/>
  <c r="F231" i="1"/>
  <c r="H230" i="1"/>
  <c r="G230" i="1"/>
  <c r="F230" i="1"/>
  <c r="H229" i="1"/>
  <c r="G229" i="1"/>
  <c r="F229" i="1"/>
  <c r="H228" i="1"/>
  <c r="G228" i="1"/>
  <c r="F228" i="1"/>
  <c r="H227" i="1"/>
  <c r="G227" i="1"/>
  <c r="F227" i="1"/>
  <c r="H226" i="1"/>
  <c r="G226" i="1"/>
  <c r="F226" i="1"/>
  <c r="H225" i="1"/>
  <c r="G225" i="1"/>
  <c r="F225" i="1"/>
  <c r="H224" i="1"/>
  <c r="G224" i="1"/>
  <c r="F224" i="1"/>
  <c r="H223" i="1"/>
  <c r="G223" i="1"/>
  <c r="F223" i="1"/>
  <c r="H222" i="1"/>
  <c r="G222" i="1"/>
  <c r="F222" i="1"/>
  <c r="H221" i="1"/>
  <c r="G221" i="1"/>
  <c r="F221" i="1"/>
  <c r="H220" i="1"/>
  <c r="G220" i="1"/>
  <c r="F220" i="1"/>
  <c r="H219" i="1"/>
  <c r="G219" i="1"/>
  <c r="F219" i="1"/>
  <c r="H218" i="1"/>
  <c r="G218" i="1"/>
  <c r="F218" i="1"/>
  <c r="H217" i="1"/>
  <c r="G217" i="1"/>
  <c r="F217" i="1"/>
  <c r="H216" i="1"/>
  <c r="G216" i="1"/>
  <c r="F216" i="1"/>
  <c r="H215" i="1"/>
  <c r="G215" i="1"/>
  <c r="F215" i="1"/>
  <c r="H214" i="1"/>
  <c r="G214" i="1"/>
  <c r="F214" i="1"/>
  <c r="H213" i="1"/>
  <c r="G213" i="1"/>
  <c r="F213" i="1"/>
  <c r="H212" i="1"/>
  <c r="G212" i="1"/>
  <c r="F212" i="1"/>
  <c r="H211" i="1"/>
  <c r="G211" i="1"/>
  <c r="F211" i="1"/>
  <c r="H210" i="1"/>
  <c r="G210" i="1"/>
  <c r="F210" i="1"/>
  <c r="H209" i="1"/>
  <c r="G209" i="1"/>
  <c r="F209" i="1"/>
  <c r="H208" i="1"/>
  <c r="G208" i="1"/>
  <c r="F208" i="1"/>
  <c r="H207" i="1"/>
  <c r="G207" i="1"/>
  <c r="F207" i="1"/>
  <c r="H206" i="1"/>
  <c r="G206" i="1"/>
  <c r="F206" i="1"/>
  <c r="H205" i="1"/>
  <c r="G205" i="1"/>
  <c r="F205" i="1"/>
  <c r="H204" i="1"/>
  <c r="G204" i="1"/>
  <c r="F204" i="1"/>
  <c r="H203" i="1"/>
  <c r="G203" i="1"/>
  <c r="F203" i="1"/>
  <c r="H202" i="1"/>
  <c r="G202" i="1"/>
  <c r="F202" i="1"/>
  <c r="H201" i="1"/>
  <c r="G201" i="1"/>
  <c r="F201" i="1"/>
  <c r="H200" i="1"/>
  <c r="G200" i="1"/>
  <c r="F200" i="1"/>
  <c r="H199" i="1"/>
  <c r="G199" i="1"/>
  <c r="F199" i="1"/>
  <c r="H198" i="1"/>
  <c r="G198" i="1"/>
  <c r="F198" i="1"/>
  <c r="H197" i="1"/>
  <c r="G197" i="1"/>
  <c r="F197" i="1"/>
  <c r="H196" i="1"/>
  <c r="G196" i="1"/>
  <c r="F196" i="1"/>
  <c r="H195" i="1"/>
  <c r="G195" i="1"/>
  <c r="F195" i="1"/>
  <c r="H194" i="1"/>
  <c r="G194" i="1"/>
  <c r="F194" i="1"/>
  <c r="H193" i="1"/>
  <c r="G193" i="1"/>
  <c r="F193" i="1"/>
  <c r="H192" i="1"/>
  <c r="G192" i="1"/>
  <c r="F192" i="1"/>
  <c r="H191" i="1"/>
  <c r="G191" i="1"/>
  <c r="F191" i="1"/>
  <c r="H190" i="1"/>
  <c r="G190" i="1"/>
  <c r="F190" i="1"/>
  <c r="H189" i="1"/>
  <c r="G189" i="1"/>
  <c r="F189" i="1"/>
  <c r="H188" i="1"/>
  <c r="G188" i="1"/>
  <c r="F188" i="1"/>
  <c r="H187" i="1"/>
  <c r="G187" i="1"/>
  <c r="F187" i="1"/>
  <c r="H186" i="1"/>
  <c r="G186" i="1"/>
  <c r="F186" i="1"/>
  <c r="H185" i="1"/>
  <c r="G185" i="1"/>
  <c r="F185" i="1"/>
  <c r="H184" i="1"/>
  <c r="G184" i="1"/>
  <c r="F184" i="1"/>
  <c r="H183" i="1"/>
  <c r="G183" i="1"/>
  <c r="F183" i="1"/>
  <c r="H182" i="1"/>
  <c r="G182" i="1"/>
  <c r="F182" i="1"/>
  <c r="H181" i="1"/>
  <c r="G181" i="1"/>
  <c r="F181" i="1"/>
  <c r="H180" i="1"/>
  <c r="G180" i="1"/>
  <c r="F180" i="1"/>
  <c r="H179" i="1"/>
  <c r="G179" i="1"/>
  <c r="F179" i="1"/>
  <c r="H178" i="1"/>
  <c r="G178" i="1"/>
  <c r="F178" i="1"/>
  <c r="H177" i="1"/>
  <c r="G177" i="1"/>
  <c r="F177" i="1"/>
  <c r="H176" i="1"/>
  <c r="G176" i="1"/>
  <c r="F176" i="1"/>
  <c r="H175" i="1"/>
  <c r="G175" i="1"/>
  <c r="F175" i="1"/>
  <c r="H174" i="1"/>
  <c r="G174" i="1"/>
  <c r="F174" i="1"/>
  <c r="H173" i="1"/>
  <c r="G173" i="1"/>
  <c r="F173" i="1"/>
  <c r="H172" i="1"/>
  <c r="G172" i="1"/>
  <c r="F172" i="1"/>
  <c r="H171" i="1"/>
  <c r="G171" i="1"/>
  <c r="F171" i="1"/>
  <c r="H170" i="1"/>
  <c r="G170" i="1"/>
  <c r="F170" i="1"/>
  <c r="H169" i="1"/>
  <c r="G169" i="1"/>
  <c r="F169" i="1"/>
  <c r="H168" i="1"/>
  <c r="G168" i="1"/>
  <c r="F168" i="1"/>
  <c r="H167" i="1"/>
  <c r="G167" i="1"/>
  <c r="F167" i="1"/>
  <c r="H166" i="1"/>
  <c r="G166" i="1"/>
  <c r="F166" i="1"/>
  <c r="H165" i="1"/>
  <c r="G165" i="1"/>
  <c r="F165" i="1"/>
  <c r="H164" i="1"/>
  <c r="G164" i="1"/>
  <c r="F164" i="1"/>
  <c r="H163" i="1"/>
  <c r="G163" i="1"/>
  <c r="F163" i="1"/>
  <c r="H162" i="1"/>
  <c r="G162" i="1"/>
  <c r="F162" i="1"/>
  <c r="H161" i="1"/>
  <c r="G161" i="1"/>
  <c r="F161" i="1"/>
  <c r="H160" i="1"/>
  <c r="G160" i="1"/>
  <c r="F160" i="1"/>
  <c r="H159" i="1"/>
  <c r="G159" i="1"/>
  <c r="F159" i="1"/>
  <c r="H158" i="1"/>
  <c r="G158" i="1"/>
  <c r="F158" i="1"/>
  <c r="H157" i="1"/>
  <c r="G157" i="1"/>
  <c r="F157" i="1"/>
  <c r="H156" i="1"/>
  <c r="G156" i="1"/>
  <c r="F156" i="1"/>
  <c r="H155" i="1"/>
  <c r="G155" i="1"/>
  <c r="F155" i="1"/>
  <c r="H154" i="1"/>
  <c r="G154" i="1"/>
  <c r="F154" i="1"/>
  <c r="H153" i="1"/>
  <c r="G153" i="1"/>
  <c r="F153" i="1"/>
  <c r="H152" i="1"/>
  <c r="G152" i="1"/>
  <c r="F152" i="1"/>
  <c r="H151" i="1"/>
  <c r="G151" i="1"/>
  <c r="F151" i="1"/>
  <c r="H150" i="1"/>
  <c r="G150" i="1"/>
  <c r="F150" i="1"/>
  <c r="H149" i="1"/>
  <c r="G149" i="1"/>
  <c r="F149" i="1"/>
  <c r="H148" i="1"/>
  <c r="G148" i="1"/>
  <c r="F148" i="1"/>
  <c r="H147" i="1"/>
  <c r="G147" i="1"/>
  <c r="F147" i="1"/>
  <c r="H146" i="1"/>
  <c r="G146" i="1"/>
  <c r="F146" i="1"/>
  <c r="H145" i="1"/>
  <c r="G145" i="1"/>
  <c r="F145" i="1"/>
  <c r="H144" i="1"/>
  <c r="G144" i="1"/>
  <c r="F144" i="1"/>
  <c r="H143" i="1"/>
  <c r="G143" i="1"/>
  <c r="F143" i="1"/>
  <c r="H142" i="1"/>
  <c r="G142" i="1"/>
  <c r="F142" i="1"/>
  <c r="H141" i="1"/>
  <c r="G141" i="1"/>
  <c r="F141" i="1"/>
  <c r="H140" i="1"/>
  <c r="G140" i="1"/>
  <c r="F140" i="1"/>
  <c r="H139" i="1"/>
  <c r="G139" i="1"/>
  <c r="F139" i="1"/>
  <c r="H138" i="1"/>
  <c r="G138" i="1"/>
  <c r="F138" i="1"/>
  <c r="H137" i="1"/>
  <c r="G137" i="1"/>
  <c r="F137" i="1"/>
  <c r="H136" i="1"/>
  <c r="G136" i="1"/>
  <c r="F136" i="1"/>
  <c r="H135" i="1"/>
  <c r="G135" i="1"/>
  <c r="F135" i="1"/>
  <c r="H134" i="1"/>
  <c r="G134" i="1"/>
  <c r="F134" i="1"/>
  <c r="H133" i="1"/>
  <c r="G133" i="1"/>
  <c r="F133" i="1"/>
  <c r="H132" i="1"/>
  <c r="G132" i="1"/>
  <c r="F132" i="1"/>
  <c r="H131" i="1"/>
  <c r="G131" i="1"/>
  <c r="F131" i="1"/>
  <c r="H130" i="1"/>
  <c r="G130" i="1"/>
  <c r="F130" i="1"/>
  <c r="H129" i="1"/>
  <c r="G129" i="1"/>
  <c r="F129" i="1"/>
  <c r="H128" i="1"/>
  <c r="G128" i="1"/>
  <c r="F128" i="1"/>
  <c r="H127" i="1"/>
  <c r="G127" i="1"/>
  <c r="F127" i="1"/>
  <c r="H126" i="1"/>
  <c r="G126" i="1"/>
  <c r="F126" i="1"/>
  <c r="H125" i="1"/>
  <c r="G125" i="1"/>
  <c r="F125" i="1"/>
  <c r="H124" i="1"/>
  <c r="G124" i="1"/>
  <c r="F124" i="1"/>
  <c r="H123" i="1"/>
  <c r="G123" i="1"/>
  <c r="F123" i="1"/>
  <c r="H122" i="1"/>
  <c r="G122" i="1"/>
  <c r="F122" i="1"/>
  <c r="H121" i="1"/>
  <c r="G121" i="1"/>
  <c r="F121" i="1"/>
  <c r="H120" i="1"/>
  <c r="G120" i="1"/>
  <c r="F120" i="1"/>
  <c r="H119" i="1"/>
  <c r="G119" i="1"/>
  <c r="F119" i="1"/>
  <c r="H118" i="1"/>
  <c r="G118" i="1"/>
  <c r="F118" i="1"/>
  <c r="H117" i="1"/>
  <c r="G117" i="1"/>
  <c r="F117" i="1"/>
  <c r="H116" i="1"/>
  <c r="G116" i="1"/>
  <c r="F116" i="1"/>
  <c r="H115" i="1"/>
  <c r="G115" i="1"/>
  <c r="F115" i="1"/>
  <c r="H114" i="1"/>
  <c r="G114" i="1"/>
  <c r="F114" i="1"/>
  <c r="H113" i="1"/>
  <c r="G113" i="1"/>
  <c r="F113" i="1"/>
  <c r="H112" i="1"/>
  <c r="G112" i="1"/>
  <c r="F112" i="1"/>
  <c r="H111" i="1"/>
  <c r="G111" i="1"/>
  <c r="F111" i="1"/>
  <c r="H110" i="1"/>
  <c r="G110" i="1"/>
  <c r="F110" i="1"/>
  <c r="H109" i="1"/>
  <c r="G109" i="1"/>
  <c r="F109" i="1"/>
  <c r="H108" i="1"/>
  <c r="G108" i="1"/>
  <c r="F108" i="1"/>
  <c r="H107" i="1"/>
  <c r="G107" i="1"/>
  <c r="F107" i="1"/>
  <c r="H106" i="1"/>
  <c r="G106" i="1"/>
  <c r="F106" i="1"/>
  <c r="H105" i="1"/>
  <c r="G105" i="1"/>
  <c r="F105" i="1"/>
  <c r="H104" i="1"/>
  <c r="G104" i="1"/>
  <c r="F104" i="1"/>
  <c r="H103" i="1"/>
  <c r="G103" i="1"/>
  <c r="F103" i="1"/>
  <c r="H102" i="1"/>
  <c r="G102" i="1"/>
  <c r="F102" i="1"/>
  <c r="H101" i="1"/>
  <c r="G101" i="1"/>
  <c r="F101" i="1"/>
  <c r="H100" i="1"/>
  <c r="G100" i="1"/>
  <c r="F100" i="1"/>
  <c r="H99" i="1"/>
  <c r="G99" i="1"/>
  <c r="F99" i="1"/>
  <c r="H98" i="1"/>
  <c r="G98" i="1"/>
  <c r="F98" i="1"/>
  <c r="H97" i="1"/>
  <c r="G97" i="1"/>
  <c r="F97" i="1"/>
  <c r="H96" i="1"/>
  <c r="G96" i="1"/>
  <c r="F96" i="1"/>
  <c r="H95" i="1"/>
  <c r="G95" i="1"/>
  <c r="F95" i="1"/>
  <c r="H94" i="1"/>
  <c r="G94" i="1"/>
  <c r="F94" i="1"/>
  <c r="H93" i="1"/>
  <c r="G93" i="1"/>
  <c r="F93" i="1"/>
  <c r="H92" i="1"/>
  <c r="G92" i="1"/>
  <c r="F92" i="1"/>
  <c r="H91" i="1"/>
  <c r="G91" i="1"/>
  <c r="F91" i="1"/>
  <c r="H90" i="1"/>
  <c r="G90" i="1"/>
  <c r="F90" i="1"/>
  <c r="H89" i="1"/>
  <c r="G89" i="1"/>
  <c r="F89" i="1"/>
  <c r="H88" i="1"/>
  <c r="G88" i="1"/>
  <c r="F88" i="1"/>
  <c r="H87" i="1"/>
  <c r="G87" i="1"/>
  <c r="F87" i="1"/>
  <c r="H86" i="1"/>
  <c r="G86" i="1"/>
  <c r="F86" i="1"/>
  <c r="H85" i="1"/>
  <c r="G85" i="1"/>
  <c r="F85" i="1"/>
  <c r="H84" i="1"/>
  <c r="G84" i="1"/>
  <c r="F84" i="1"/>
  <c r="H83" i="1"/>
  <c r="G83" i="1"/>
  <c r="F83" i="1"/>
  <c r="H82" i="1"/>
  <c r="G82" i="1"/>
  <c r="F82" i="1"/>
  <c r="H81" i="1"/>
  <c r="G81" i="1"/>
  <c r="F81" i="1"/>
  <c r="H80" i="1"/>
  <c r="G80" i="1"/>
  <c r="F80" i="1"/>
  <c r="H79" i="1"/>
  <c r="G79" i="1"/>
  <c r="F79" i="1"/>
  <c r="H78" i="1"/>
  <c r="G78" i="1"/>
  <c r="F78" i="1"/>
  <c r="H77" i="1"/>
  <c r="G77" i="1"/>
  <c r="F77" i="1"/>
  <c r="H76" i="1"/>
  <c r="G76" i="1"/>
  <c r="F76" i="1"/>
  <c r="H75" i="1"/>
  <c r="G75" i="1"/>
  <c r="F75" i="1"/>
  <c r="H74" i="1"/>
  <c r="G74" i="1"/>
  <c r="F74" i="1"/>
  <c r="H73" i="1"/>
  <c r="G73" i="1"/>
  <c r="F73" i="1"/>
  <c r="H72" i="1"/>
  <c r="G72" i="1"/>
  <c r="F72" i="1"/>
  <c r="H71" i="1"/>
  <c r="G71" i="1"/>
  <c r="F71" i="1"/>
  <c r="H70" i="1"/>
  <c r="G70" i="1"/>
  <c r="F70" i="1"/>
  <c r="H69" i="1"/>
  <c r="G69" i="1"/>
  <c r="F69" i="1"/>
  <c r="H68" i="1"/>
  <c r="G68" i="1"/>
  <c r="F68" i="1"/>
  <c r="H67" i="1"/>
  <c r="G67" i="1"/>
  <c r="F67" i="1"/>
  <c r="H66" i="1"/>
  <c r="G66" i="1"/>
  <c r="F66" i="1"/>
  <c r="H65" i="1"/>
  <c r="G65" i="1"/>
  <c r="F65" i="1"/>
  <c r="H64" i="1"/>
  <c r="G64" i="1"/>
  <c r="F64" i="1"/>
  <c r="H63" i="1"/>
  <c r="G63" i="1"/>
  <c r="F63" i="1"/>
  <c r="H62" i="1"/>
  <c r="G62" i="1"/>
  <c r="F62" i="1"/>
  <c r="H61" i="1"/>
  <c r="G61" i="1"/>
  <c r="F61" i="1"/>
  <c r="H60" i="1"/>
  <c r="G60" i="1"/>
  <c r="F60" i="1"/>
  <c r="H59" i="1"/>
  <c r="G59" i="1"/>
  <c r="F59" i="1"/>
  <c r="H58" i="1"/>
  <c r="G58" i="1"/>
  <c r="F58" i="1"/>
  <c r="H57" i="1"/>
  <c r="G57" i="1"/>
  <c r="F57" i="1"/>
  <c r="H56" i="1"/>
  <c r="G56" i="1"/>
  <c r="F56" i="1"/>
  <c r="H55" i="1"/>
  <c r="G55" i="1"/>
  <c r="F55" i="1"/>
  <c r="H54" i="1"/>
  <c r="G54" i="1"/>
  <c r="F54" i="1"/>
  <c r="H53" i="1"/>
  <c r="G53" i="1"/>
  <c r="F53" i="1"/>
  <c r="H52" i="1"/>
  <c r="G52" i="1"/>
  <c r="F52" i="1"/>
  <c r="H51" i="1"/>
  <c r="G51" i="1"/>
  <c r="F51" i="1"/>
  <c r="H50" i="1"/>
  <c r="G50" i="1"/>
  <c r="F50" i="1"/>
  <c r="H49" i="1"/>
  <c r="G49" i="1"/>
  <c r="F49" i="1"/>
  <c r="H48" i="1"/>
  <c r="G48" i="1"/>
  <c r="F48" i="1"/>
  <c r="H47" i="1"/>
  <c r="G47" i="1"/>
  <c r="F47" i="1"/>
  <c r="H46" i="1"/>
  <c r="G46" i="1"/>
  <c r="F46" i="1"/>
  <c r="H45" i="1"/>
  <c r="G45" i="1"/>
  <c r="F45" i="1"/>
  <c r="H44" i="1"/>
  <c r="G44" i="1"/>
  <c r="F44" i="1"/>
  <c r="H43" i="1"/>
  <c r="G43" i="1"/>
  <c r="F43" i="1"/>
  <c r="H42" i="1"/>
  <c r="G42" i="1"/>
  <c r="F42" i="1"/>
  <c r="H41" i="1"/>
  <c r="G41" i="1"/>
  <c r="F41" i="1"/>
  <c r="H40" i="1"/>
  <c r="G40" i="1"/>
  <c r="F40" i="1"/>
  <c r="H39" i="1"/>
  <c r="G39" i="1"/>
  <c r="F39" i="1"/>
  <c r="H38" i="1"/>
  <c r="G38" i="1"/>
  <c r="F38" i="1"/>
  <c r="H37" i="1"/>
  <c r="G37" i="1"/>
  <c r="F37" i="1"/>
  <c r="H36" i="1"/>
  <c r="G36" i="1"/>
  <c r="F36" i="1"/>
  <c r="H35" i="1"/>
  <c r="G35" i="1"/>
  <c r="F35" i="1"/>
  <c r="H34" i="1"/>
  <c r="G34" i="1"/>
  <c r="F34" i="1"/>
  <c r="H33" i="1"/>
  <c r="G33" i="1"/>
  <c r="F33" i="1"/>
  <c r="H32" i="1"/>
  <c r="G32" i="1"/>
  <c r="F32" i="1"/>
  <c r="H31" i="1"/>
  <c r="G31" i="1"/>
  <c r="F31" i="1"/>
  <c r="H30" i="1"/>
  <c r="G30" i="1"/>
  <c r="F30" i="1"/>
  <c r="H29" i="1"/>
  <c r="G29" i="1"/>
  <c r="F29" i="1"/>
  <c r="H28" i="1"/>
  <c r="G28" i="1"/>
  <c r="F28" i="1"/>
  <c r="H27" i="1"/>
  <c r="G27" i="1"/>
  <c r="F27" i="1"/>
  <c r="H26" i="1"/>
  <c r="G26" i="1"/>
  <c r="F26" i="1"/>
  <c r="H25" i="1"/>
  <c r="G25" i="1"/>
  <c r="F25" i="1"/>
  <c r="H24" i="1"/>
  <c r="G24" i="1"/>
  <c r="F24" i="1"/>
  <c r="H23" i="1"/>
  <c r="G23" i="1"/>
  <c r="F23" i="1"/>
  <c r="H22" i="1"/>
  <c r="G22" i="1"/>
  <c r="F22" i="1"/>
  <c r="H21" i="1"/>
  <c r="G21" i="1"/>
  <c r="F21" i="1"/>
  <c r="H20" i="1"/>
  <c r="G20" i="1"/>
  <c r="F20" i="1"/>
  <c r="H19" i="1"/>
  <c r="G19" i="1"/>
  <c r="F19" i="1"/>
  <c r="H18" i="1"/>
  <c r="G18" i="1"/>
  <c r="F18" i="1"/>
  <c r="H17" i="1"/>
  <c r="G17" i="1"/>
  <c r="F17" i="1"/>
  <c r="H16" i="1"/>
  <c r="G16" i="1"/>
  <c r="F16" i="1"/>
  <c r="H15" i="1"/>
  <c r="G15" i="1"/>
  <c r="F15" i="1"/>
  <c r="H14" i="1"/>
  <c r="G14" i="1"/>
  <c r="F14" i="1"/>
  <c r="H13" i="1"/>
  <c r="G13" i="1"/>
  <c r="F13" i="1"/>
  <c r="H12" i="1"/>
  <c r="G12" i="1"/>
  <c r="F12" i="1"/>
  <c r="H11" i="1"/>
  <c r="G11" i="1"/>
  <c r="F11" i="1"/>
  <c r="H10" i="1"/>
  <c r="G10" i="1"/>
  <c r="F10" i="1"/>
  <c r="H9" i="1"/>
  <c r="G9" i="1"/>
  <c r="F9" i="1"/>
  <c r="H8" i="1"/>
  <c r="G8" i="1"/>
  <c r="F8" i="1"/>
  <c r="H7" i="1"/>
  <c r="G7" i="1"/>
  <c r="F7" i="1"/>
  <c r="H6" i="1"/>
  <c r="G6" i="1"/>
  <c r="F6" i="1"/>
  <c r="H5" i="1"/>
  <c r="G5" i="1"/>
  <c r="F5" i="1"/>
  <c r="H4" i="1"/>
  <c r="G4" i="1"/>
  <c r="F4" i="1"/>
  <c r="H3" i="1"/>
  <c r="G3" i="1"/>
  <c r="F3" i="1"/>
  <c r="H2" i="1"/>
  <c r="G2" i="1"/>
  <c r="F2" i="1"/>
</calcChain>
</file>

<file path=xl/sharedStrings.xml><?xml version="1.0" encoding="utf-8"?>
<sst xmlns="http://schemas.openxmlformats.org/spreadsheetml/2006/main" count="58582" uniqueCount="37306">
  <si>
    <t>_id</t>
  </si>
  <si>
    <t>title</t>
  </si>
  <si>
    <t>body</t>
  </si>
  <si>
    <t>created_at</t>
  </si>
  <si>
    <t>close_day</t>
  </si>
  <si>
    <t>issue_page</t>
  </si>
  <si>
    <t>repo_page</t>
  </si>
  <si>
    <t>release_page</t>
  </si>
  <si>
    <t>has_crash_sent</t>
  </si>
  <si>
    <t>has_step</t>
  </si>
  <si>
    <t>has_trace</t>
  </si>
  <si>
    <t>has_img</t>
  </si>
  <si>
    <t>type_symbol</t>
  </si>
  <si>
    <t>CellularPrivacy-Android-IMSI-Catcher-Detector-252</t>
  </si>
  <si>
    <t>Silent SMS and Database viewer</t>
  </si>
  <si>
    <t>Awesome work with AIMSICD. am thrilled that there are people out there such as yourselves to help us lay people guard privacy! That being said did notice an issue on my Galaxy S4 running on Verizon. Anytime receive an ordinary SMS am alerted that it is silent SMS or Type-0. was gonna go through the database to send you guys report, but anytime try to pull it for silent SMS the app crashes on me :( anything can do to help out with that issue without sending crash report?</t>
  </si>
  <si>
    <t>2015-01-01</t>
  </si>
  <si>
    <t>1000</t>
  </si>
  <si>
    <t>kontalk-androidclient-251</t>
  </si>
  <si>
    <t>crash on verification code</t>
  </si>
  <si>
    <t>When you enter verification code in LG G2 kontalk crashes.</t>
  </si>
  <si>
    <t>2015-01-03</t>
  </si>
  <si>
    <t>jclehner-AppOpsXposed-8</t>
  </si>
  <si>
    <t>Settings menu crashes as soon as I click on an app</t>
  </si>
  <si>
    <t>Unfortunately the settings menu crashes as soon as click on an app in the list. tried both failsave and compatibility mode, but that didn help. You can find my report file here (https: spideroak.com share AppOpsXposed home mlangc Public attachments AppOpsXposed report c1d5419bf53b Please note that don think that the SecurityExceptions you find there are related to my original problem, as they only show up in Compatibility Mode (that would be another issue though -)).
Thank you very much,</t>
  </si>
  <si>
    <t>cc-archive-list-94</t>
  </si>
  <si>
    <t>Failed while adding a picture, then app crash</t>
  </si>
  <si>
    <t>Chose to take picture for an item, then nothing appeared different after upload. Tried to then Choose Picture from my device and got this error:
2015-01-05 21 45 34 (https: assets 33296 5620761
Selected the item to try once more and the app crashed.</t>
  </si>
  <si>
    <t>2015-01-05</t>
  </si>
  <si>
    <t>1010</t>
  </si>
  <si>
    <t>dsoulayrol-android-sholi-18</t>
  </si>
  <si>
    <t>App crash when deleting item</t>
  </si>
  <si>
    <t>When there is only one item and you re deleting it, the app crash every time.
It happens too when there is multiple items but not all the time.
version1.4.2 on wiko cink peax with android 4.1.2</t>
  </si>
  <si>
    <t>syncthing-syncthing-android-201</t>
  </si>
  <si>
    <t>app crashes immediately after start</t>
  </si>
  <si>
    <t>app version: 0.5.13
android version: 4.2.2
installed via google play.
will provide any additional data, if necessary.</t>
  </si>
  <si>
    <t>2015-01-06</t>
  </si>
  <si>
    <t>sandsmark-QuasselDroid-226</t>
  </si>
  <si>
    <t>crash after 0.11.3</t>
  </si>
  <si>
    <t>Catlog shows this for 0.11.5
Installed via fdroid. Android 4.1 x86.</t>
  </si>
  <si>
    <t>AnaelMobilia-NextINpact-Unofficial-114</t>
  </si>
  <si>
    <t>Null pointer exception</t>
  </si>
  <si>
    <t>Si pas de connexion seau
rifier et remonter un message utilisateur
pr parer les cas de probl mes (perte de connexion, ...) pour viter les crash
voir mettre un catcheur ant</t>
  </si>
  <si>
    <t>0000</t>
  </si>
  <si>
    <t>geopaparazzi-geopaparazzi-219</t>
  </si>
  <si>
    <t>Crash with enquiry on Spatialite layer with null attributes</t>
  </si>
  <si>
    <t>1. Load spatialite layer where some of the features (rows) have nulls in some of the attributes (columns). Note: geometry is always present (not null).
2. Perform an enquiry on feature where all attributes contain values. Works as expected.
3. Perform an enquiry on feature some attributes contain NULL. GeoPaparazzi crashes.
Using GeoPaparazzi 4.0.1 on Sony Xperia Z3 Compact (Android 4.4.4)</t>
  </si>
  <si>
    <t>2015-01-07</t>
  </si>
  <si>
    <t>1100</t>
  </si>
  <si>
    <t>CellularPrivacy-Android-IMSI-Catcher-Detector-272</t>
  </si>
  <si>
    <t>Map crashes, when BTS GPS coordinates are far from each other</t>
  </si>
  <si>
    <t>just noticed, that if you have made measurements in one place, and the next place differs lot in location, the map crashes...</t>
  </si>
  <si>
    <t>2015-01-08</t>
  </si>
  <si>
    <t>Natio-Places-8</t>
  </si>
  <si>
    <t>Background_crash</t>
  </si>
  <si>
    <t>Ho notato che ogni tanto per crasha mentre in background, succede quando attivo disattivo la localizzazione. Se riapro Places dopo il crash funziona tutto correttamente.
Fabio Samsung s4 android 4.4.4</t>
  </si>
  <si>
    <t>zendesk-android-floating-action-button-99</t>
  </si>
  <si>
    <t xml:space="preserve">Changing visibility of button within a menu </t>
  </si>
  <si>
    <t>may be doing something wrong, but running into an issue with setting the visibility of an action button within the expanding menu.
Here my scenario my expanding menu allows the user to add various types of media (image, video, etc). If the user has Galaxy Note, want to enable the sketching option as media type. However, if they don have Note, the sketching option is hidden, as it is no use.
In my XML layout, if it set the visibility gone the app crashes when the menu expands:
Removing this fixes everything. The only way ve found to remove an action from the menu is to use the and set the visibility in the onMenuExpanded event.
Am overlooking something easy?
Thanks for this library it is great addition to the community. Your efforts are appreciated!</t>
  </si>
  <si>
    <t>1101</t>
  </si>
  <si>
    <t>google-ExoPlayer-232</t>
  </si>
  <si>
    <t>ArrayIndexOutOfBoundsException on live smooth stream</t>
  </si>
  <si>
    <t>Trying to play off non protected live smooth stream. added following code into the demo app:
new Sample( TV Agder (SmoothStreaming) uid:ss:tvagder
DemoUtil.TYPE SS, false, false),
After 5-10sec of playing get
Tried this on Sony SGP511, Android 4.4.4
Here the log:
OpenGL ES Shader Compiler Version: E031.24.00.15
Build Date: 08 12 14 Tue
Remote Branch: quic LNX.LA.3.5.2.2 rb1
Local Patches: Fixes an llvm crash with mini dEQP apk
Fixes potential dEQP crash.
Caused by: length index</t>
  </si>
  <si>
    <t>2015-01-09</t>
  </si>
  <si>
    <t>1001</t>
  </si>
  <si>
    <t>khalid-hussain-HisnulMuslim-8</t>
  </si>
  <si>
    <t>Settings Activity crashes the application.</t>
  </si>
  <si>
    <t>This is due to the activity not having been properly implemented. Its skeleton has been added but the details are to be worked on. Options to be provided will be discussed once we get an empty Settings activity up and running.</t>
  </si>
  <si>
    <t>PanicInitiative-PanicButton-57</t>
  </si>
  <si>
    <t>crash when adding a contact</t>
  </si>
  <si>
    <t>running PanicButton 1.3.0 from Google Play on Samsung Note running CyanogenMod 10.1 (Android 4.2). When click on the contact button next to the field to add contact number, PanicButton crashes. This seems to happen for all contacts.
have submitted the crash to Google Play, and here is it from logcat:
BluetoothAdapter 1103767408: getState() mService null. Returning STATE OFF
dalvikvm GC EXPLICIT freed 430K, 5% free 23170K 24232K, paused 12ms+8ms, total 71ms
Finsky Page class DetailsFragment loaded in 529787 ms false)
Doing slow HTML parse due to unexpected tag &lt;a href
Page class DetailsFragment loaded in 529893 ms true)
dalvikvm GC CONCURRENT freed 2660K, 17% free 14693K 17532K, paused 2ms+5ms, total 32ms
WAIT FOR CONCURRENT GC blocked 24ms
&gt;&gt;&gt;&gt;&gt; no update needed
&gt;&gt;&gt;&gt;&gt;&gt;&gt;&gt;&gt;&gt;&gt;&gt; starting next activity
&gt;&gt;&gt;&gt;&gt;&gt; first run FALSE, running CalculatorActivity
&gt;&gt;&gt;&gt;&gt; Registering Restart Install receiver
Registering Restart Install receiver
Registering finish activity in oncreate -&gt;
TagHandler Found an unsupported tag html
Found an unsupported tag body
Found an unsupported tag html
Found an unsupported tag body
pageId home-ready and flagRiseFromPause false</t>
  </si>
  <si>
    <t>syncthing-syncthing-android-202</t>
  </si>
  <si>
    <t>app crashes on open</t>
  </si>
  <si>
    <t>app version: 0.5.7-0.5.13 (F-droid, bisected)
platform info: Acer Iconia Tab
Model #: A1-840
Android version: 4.4.4 (x86)
UEFI version: 1.0.5
Kernel version: 3.10,20+
Image version: Acer AV0K1 A1-840 RV0ERC02 WW GEN1
Build number: Acer AV0K1 A1-840 1.061.00 WW GEN1
If necessary ll attach logs once get somewhere can use ADB.</t>
  </si>
  <si>
    <t>forcedotcom-SalesforceMobileSDK-CordovaPlugin-41</t>
  </si>
  <si>
    <t>upSync not working correctly</t>
  </si>
  <si>
    <t>When using the up sync ability from the new smartsync plugin, you need to specify field list.
But if one the objects that needs to be synced has field from the field list that is empty, the application will crash on setObjectForKey: object cannot be nil (key: Customfield c) exception.
This way it not possible to have edited multiple items and use the up sync functionality if for example in item A, Customfield is edited and in item it empty.</t>
  </si>
  <si>
    <t>bumptech-glide-303</t>
  </si>
  <si>
    <t>ConcurrentModificationException when resuming requests</t>
  </si>
  <si>
    <t>have scroll listener that pauses resumes request loading when ListView is flinged.
And from time to time keep getting crash like this:
Using version 3.4.0.</t>
  </si>
  <si>
    <t>kontalk-androidclient-263</t>
  </si>
  <si>
    <t>Crashes while searching for contacts</t>
  </si>
  <si>
    <t>updated to new beta via f-droid. Kontalk now crashes when hit the search button in the choose contact window.
Also noticed new unnown contact string with some long random string as number.</t>
  </si>
  <si>
    <t>2015-01-10</t>
  </si>
  <si>
    <t>cgeo-cgeo-4611</t>
  </si>
  <si>
    <t>Array index out of bounds exception on map</t>
  </si>
  <si>
    <t>am sure we already have an issue somewhere with similar thing (or it is just on Google Play crash reports up to now):
Normally this issue happens after using the live map quite long time (scrolling, loading, and so on).
However just now tested 2015.01.11-RC with all available connectors activated and just after some movement of the live map got the following in the log.</t>
  </si>
  <si>
    <t>2015-01-11</t>
  </si>
  <si>
    <t>fixme-lausanne-MyHackerspace-30</t>
  </si>
  <si>
    <t>crashes with a Null Pointer de-reference on the london hackspace spaceapi</t>
  </si>
  <si>
    <t>Works fine with no widget, but if you do use widget it crashes, probably due to open being null
390): Dropping: data app crash (966 bytes)
WindowState( 390): WIN DEATH: Window 42065258 u0 ch.fixme.status config
ActivityManager( 390): Process ch.fixme.status (pid 29223) has died.</t>
  </si>
  <si>
    <t>GigsSquad-GigsAndroid-37</t>
  </si>
  <si>
    <t xml:space="preserve">Mapy bez internetu - crash </t>
  </si>
  <si>
    <t>2015-01-12</t>
  </si>
  <si>
    <t>GigsSquad-GigsAndroid-36</t>
  </si>
  <si>
    <t xml:space="preserve">Napierdalanie - crash </t>
  </si>
  <si>
    <t>eugenkiss-chanobol-44</t>
  </si>
  <si>
    <t>Crash after Revisiting App</t>
  </si>
  <si>
    <t>Sometimes Chanobol crashes after putting it in the background and revisiting it again from the recet apps screen or similar. Need to find way to reproduce this behavior to see the stack trace.</t>
  </si>
  <si>
    <t>GhostFlying-LocationReportEnabler-5</t>
  </si>
  <si>
    <t>Serious crashes in Samsung TouchWiz based Android 4.4.2</t>
  </si>
  <si>
    <t>When approved it with ROOT then reboot, checked the Location Report app and it still told me Not Available in China even after long wait.
But when reboot again something weird happens. An auto power off was executed on each boot after few seconds. So thought there is something incompatible with Samsung firmware. But when tried to uninstall, once clicked the phone will power off, every time.
And get to disapprove ROOT quickly, uninstall successfully. BUT,
It still has the problem, auto power-off after boot into system for few seconds. And found that once clicked Google Drive app it will power-off immediately(Maybe Google Service related).
Until now, had no idea to deal with the problem except for ROM flash, which don want to do now.
Sorry that can not log cat any data as soon as it appears. Please do some tests on Samsung device and noted that this issue is SERIOUS.
My device is Samsung Galaxy S4 LTE GT-I9505 with latest firmware and Google Play Services. For further information, feel free to ask me.</t>
  </si>
  <si>
    <t>akvo-akvo-flow-mobile-243</t>
  </si>
  <si>
    <t>App crashes when keyboard is changed during use</t>
  </si>
  <si>
    <t>can see this happening regular with normal usage of the app, but when the following steps are performed with v2.1.0:
Open flow app, navigate to form
Select field and click to focus on it
Change the device keyboard (e.g. from swiftkey to samsung default etc)
Try to type anything in field
The application crashes.</t>
  </si>
  <si>
    <t>2015-01-13</t>
  </si>
  <si>
    <t>NCU-CC-NCU-MAP-1</t>
  </si>
  <si>
    <t>Crash on clicking emergency phone buttons</t>
  </si>
  <si>
    <t>By using tablet that without phone functionality, It will crash if clicked emergency phone buttons below at first page.</t>
  </si>
  <si>
    <t>mixpanel-mixpanel-android-160</t>
  </si>
  <si>
    <t>Debug message causes crash when fallback is disabled</t>
  </si>
  <si>
    <t>using version 4.5.2
Worker threw an unhandled exception
Mixpanel will not process any more analytics messages
Dead mixpanel worker dropping message: 13 (Thread 1)
Dead mixpanel worker dropping message: (Thread 1)
After that worker stays dead and all messages are dropped.</t>
  </si>
  <si>
    <t>2015-01-14</t>
  </si>
  <si>
    <t>saintlab-mobileapp_android-261</t>
  </si>
  <si>
    <t>Linker crash</t>
  </si>
  <si>
    <t>kontalk-androidclient-272</t>
  </si>
  <si>
    <t>Beta4 broken or incompatible with Beta3?</t>
  </si>
  <si>
    <t>upgraded from beta3 to beta4 and suddenly almost nothing works. Constant crashes, incorrect contact list, unable to send encrypted messages to my contact. Are beta4 and beta3 incompatible? Or what could be the reason..</t>
  </si>
  <si>
    <t>blinskey-greek-reference-115</t>
  </si>
  <si>
    <t>ArrayIndexOutOfBoundsException</t>
  </si>
  <si>
    <t>Two reports of this crash this week. One user reports that the exception occurs when viewing the lexicon entry for pros.</t>
  </si>
  <si>
    <t>2015-01-15</t>
  </si>
  <si>
    <t>0001</t>
  </si>
  <si>
    <t>cgeo-cgeo-4618</t>
  </si>
  <si>
    <t>`SERVICE_INVALID` returned by Play services leads to crash</t>
  </si>
  <si>
    <t>From Play store from 2014.12.12 to 2015.01.12.
Caused by: Connection failed: ConnectionResult statusCode SERVICE INVALID, resolution null
Caused by: Connection failed: ConnectionResult statusCode SERVICE INVALID, resolution null</t>
  </si>
  <si>
    <t>kprikshit-android-sensor-data-recorder-2</t>
  </si>
  <si>
    <t>App Crashing due to Location Switched Off</t>
  </si>
  <si>
    <t>The app will crash if the location is switched off by the user and he tries to record the data by changing the record Data switch. This is due to the fact that the locationListener will be null.
Priority Level: High</t>
  </si>
  <si>
    <t>2015-01-16</t>
  </si>
  <si>
    <t>onepf-OpenIAB-433</t>
  </si>
  <si>
    <t>Amazon crash on Lollipop</t>
  </si>
  <si>
    <t>10000000 (has extras)</t>
  </si>
  <si>
    <t>nextcloud-news-android-307</t>
  </si>
  <si>
    <t>App crash when favicon has a height or width of 0px</t>
  </si>
  <si>
    <t>2015-01-17</t>
  </si>
  <si>
    <t>raphw-byte-buddy-16</t>
  </si>
  <si>
    <t>Create Interface (not class)</t>
  </si>
  <si>
    <t>have looked at lot of ASM type libraries and was just starting on cglib when ran into an issue with it and found your post about byte-buddy. Trying this out, really like it, although its bit of learning curve to figure out model so can do what think is obvious but has different representation in bb.
One thing am stuck on. dont need this 100% but it would be very useful. Most ASM tools assume (many with comments saying so) that there is no use for creating interfaces, only classes.
would like to be able to create interfaces, ideally root (not derived) interfaces.
With cglib that was in fact the first thing tried and got to work (although dont like that it derives from an internal interface, its not top level one but it is an interface)
have tried about 20 ways to do to this with BB and scanned most of the source and and the web and cant find it. Two strategies that got close were
new no-constrors ).name(...)...
got that to produce something that worked but its not an interface, its
class name extends Object implements
see in the code where its switching the subclass to Object ...
The other attempt is to use variations on this
but that ends up crashing with null pointer exceptions in various places ...
the superclass isnt null but its contents are uninitialized.
Is this possible cant find anywhere that constructs Builder for either an iterface,
or (related probably) without superclass.
The Annotation support looks like its close ...
am curious if this is fundamental difficulty with the JVM or ASM or if its simply something that noones ever asked for or thought of ..
can live without it by making an abstract class but it seems huge hole where the rest of the product has incredible depth.</t>
  </si>
  <si>
    <t>0100</t>
  </si>
  <si>
    <t>M66B-XPrivacy-2120</t>
  </si>
  <si>
    <t>Crash</t>
  </si>
  <si>
    <t>While on the main screen (shown), clicking the pulldown (labelled all currently) crashes the app. This is the only behaviour can get from it. Click that, app crashes. Consistently.
ve attempted data and cache dump. That doesn change anything.
currently have every optional part installed. (xpriv xposed mod, xpriv pro license fetcher, xpriv installer...)
SM-N900v, 4.4.2, rooted, stock ROM.</t>
  </si>
  <si>
    <t>lwis-miband-notifier-3</t>
  </si>
  <si>
    <t>App crashes after adding an app to the list.</t>
  </si>
  <si>
    <t>On release version whole app crashes instantly after pressing done button when confirming adding app to the list. When try to open app again it still crashes. But that problem only exist on release version, debug works fine.
using app on Nexus with custom rom.
Logs from release version: http: pastebin.com bqPbxSaq, and from debug: http: pastebin.com RSFWBbai</t>
  </si>
  <si>
    <t>2015-01-18</t>
  </si>
  <si>
    <t>google-ExoPlayer-244</t>
  </si>
  <si>
    <t>IllegalStateException opening local file in FrameWorkSampleSource with file saved in internal storage</t>
  </si>
  <si>
    <t>ve been having an issue playing files that are backup copies of livestreaming audio recording. able to play the files back in Exoplayer when they are streaming from the server but not locally on the device. ve found that in the method prepare() of Exoplayer fails to create FileDescriptor for the MediaExtractor due to it having path separators in the filename. See here --&gt;
There are few suggestions on how to avoid the aboveforementioned error the simplest is to get FileDescriptor from FileInputStream that you create yourself.
The strange thing is that even so the backup copies play normally on my htc one and local broadcasts that are created directly from the MediaRecorder play normally even though still seeing this error. How is this possible?
When the player crashes it is with the following error: MMParserExtractor FileSource::FILE SOURCE DATA END then Signal error.</t>
  </si>
  <si>
    <t>2015-01-19</t>
  </si>
  <si>
    <t>square-okhttp-1338</t>
  </si>
  <si>
    <t xml:space="preserve"> New issue Native crash in SSL_CTX_set_alpn_protos</t>
  </si>
  <si>
    <t>Using OkHTTP 2.2.0 and CyanogenMod v11 M1.</t>
  </si>
  <si>
    <t>bitcraze-crazyflie-android-client-46</t>
  </si>
  <si>
    <t>Radio scan w/o Crazyradio crashs the app</t>
  </si>
  <si>
    <t>Radio scan without attached Crazyradio causes the app to crash</t>
  </si>
  <si>
    <t>unfoldingWord-dev-uw-android-36</t>
  </si>
  <si>
    <t>Next Button Doesn't Work for pt-br</t>
  </si>
  <si>
    <t>In the latest 76 build the app crashes when trying to use the next button to go to the next story in pt-br. Also, next chapter is not localized for pt-br.</t>
  </si>
  <si>
    <t>2015-01-20</t>
  </si>
  <si>
    <t>SCCapstone-IArch-28</t>
  </si>
  <si>
    <t>Bug when taking photos</t>
  </si>
  <si>
    <t>Often after taking photo on galaxy s5 and trying to keep it, you get crash and an error:</t>
  </si>
  <si>
    <t>2015-01-21</t>
  </si>
  <si>
    <t>SCCapstone-IArch-27</t>
  </si>
  <si>
    <t>Gallery Bug</t>
  </si>
  <si>
    <t>On some phones, such as my note 2, the gallery can show many photos without crashing but currently takes an unacceptable amount of time to load more than about of them. On my galaxy s5, the gallery will currently only show one photo. If you have taken two or more, it crashes with the following error:</t>
  </si>
  <si>
    <t>SufficientlySecure-document-viewer-62</t>
  </si>
  <si>
    <t>App crashes for some PDF files</t>
  </si>
  <si>
    <t>Thanks to all devs, it is the most useful reader on android! :-)
When opening some PDF files, this app will crash, there is some files that make this app crash:</t>
  </si>
  <si>
    <t>eugenkiss-chanobol-75</t>
  </si>
  <si>
    <t>External Links and Webm-Activity Result in Crash</t>
  </si>
  <si>
    <t>The change to RecyclerView for the PostsFragment for some reason leads to crashes when either clicking an external link or clicking on webm thumbnail.
Here the webm one:
And here the external link one:
Need to investigate further: https: www.google.de search?q ACTIVITY NEW TASK+flag.&amp;gws rd cr&amp;ei
It must have something to do with the way provide the listeners to the adapters now. Somehow maybe they get the application context instead of the activity one?
Related to #70 apparently, it leads to this bug.</t>
  </si>
  <si>
    <t>2015-01-22</t>
  </si>
  <si>
    <t>AnaelMobilia-NextINpact-Unofficial-121</t>
  </si>
  <si>
    <t>Crash de l'application sur les liens</t>
  </si>
  <si>
    <t>Si aucune thode est finie pour ouverture des liens, crash</t>
  </si>
  <si>
    <t>realtime-framework-RealtimeStorage-Android-4</t>
  </si>
  <si>
    <t>App crashing when calling disablePushNotifications()</t>
  </si>
  <si>
    <t>StorageRef storageRef new Config.TOKEN, Config.PROJECT ID, context)
TableRef tableRef NAME)
public void run(ItemSnapshot itemSnapshot)
public void run(Integer integer, String exception)
Log.e( Storage Exception exception)</t>
  </si>
  <si>
    <t>inaturalist-iNaturalistAndroid-34</t>
  </si>
  <si>
    <t>Crash when awaking post syncing</t>
  </si>
  <si>
    <t>This crash is still happening in 1.3.10(21) it generally happens for me after tap sync and turn my attention away from the device. When return and wake the device up from sleep, iNaturalist has stopped
Here are the errors on Crashlytics:</t>
  </si>
  <si>
    <t>2015-01-23</t>
  </si>
  <si>
    <t>AnaelMobilia-NextINpact-Unofficial-124</t>
  </si>
  <si>
    <t>CommentairesActivity - minSDK crashe au défilement</t>
  </si>
  <si>
    <t>Sur ensemble des commentaires
minSdk crashe (vers le commentaire 4-5) en filement
Pas de soucis sur 4.2.2</t>
  </si>
  <si>
    <t>2015-01-24</t>
  </si>
  <si>
    <t>geftimov-android-pathview-3</t>
  </si>
  <si>
    <t>Fatal signal 11 (SIGSEGV) at 0x00000000 (code=1), thread 2124 (SVG Loader)</t>
  </si>
  <si>
    <t>The sample project crashes with an internal platform error (no stacktrace). Crashes on devices from API 14 till API 19, different device models, emulated and physical devices as well. Works on API 19 and above.</t>
  </si>
  <si>
    <t>CellularPrivacy-Android-IMSI-Catcher-Detector-299</t>
  </si>
  <si>
    <t>location / signal in aimcid_locationinfo.csv not updated while the cell is not changing</t>
  </si>
  <si>
    <t>the bug must be there since WIP-Release using -15 now.
did the following: tracking cells enabled, collected measurements around the city. Then used the backup-function and copied the aimcid locationinfo.csv to my computer. noticed that the fields in id Lac CellID and Timestamp are correct, but Lat Lng and Signal are not updated until the cell is changing. So get lot of lines each with the same cell, signal and location. Before version build-9 the values are alright.
can check if the values are wrong in the internal database because the app crashes when try to load measured signal strengths in the database menu. maybe the file is too big? (about 8700 measurements, the .csv is about 1,5MB in size)</t>
  </si>
  <si>
    <t>cgeo-cgeo-4634</t>
  </si>
  <si>
    <t>Crash on GPX export</t>
  </si>
  <si>
    <t>user on support mail reported that c:geo crashed when exporting his stored caches.
recevied the DB-backup and can reproduce the issue with 2015.01.25-NB.
It crashes after approx. 250 caches and shows this log:
DB backup available on request</t>
  </si>
  <si>
    <t>2015-01-25</t>
  </si>
  <si>
    <t>thecosmicfrog-LuasataGlance-6</t>
  </si>
  <si>
    <t>App occasionally crashes when screen is rotated many times in a short space of time</t>
  </si>
  <si>
    <t>When Luas at Glance is open and the handheld device is rotated several times in short space of time (causing the Activity to redraw many times), the app occasionally crashes.</t>
  </si>
  <si>
    <t>CellularPrivacy-Android-IMSI-Catcher-Detector-300</t>
  </si>
  <si>
    <t>Crash at trying to view "Measured Signal Strengths" in Database Viewer</t>
  </si>
  <si>
    <t>Description of the Crash mentioned in https: github.com SecUpwN issues 299:
start aLogcatROOT, pause, clear. (optional, just for the log)
open AIMSICD, go to Database Viewer, choose Measured Signal Strengths press Load Data
App crashes, note pops up that AIMSICD was closed.
go back to aLogcatROOT, pause, save log.</t>
  </si>
  <si>
    <t>eugenkiss-chanobol-79</t>
  </si>
  <si>
    <t>Crash: DeepZoom OutOfMemory</t>
  </si>
  <si>
    <t>Not much can be done from my side except improving Ion directly. ve actually encountered this bug couple of times myself. http: crashes.to d354bc8e97f</t>
  </si>
  <si>
    <t>2015-01-26</t>
  </si>
  <si>
    <t>code-troopers-android-betterpickers-139</t>
  </si>
  <si>
    <t>RecurrencePicker null pointer exception</t>
  </si>
  <si>
    <t>Set it to month, and to day of week. The sample app will crash (my app will too):</t>
  </si>
  <si>
    <t>2015-01-27</t>
  </si>
  <si>
    <t>google-physical-web-278</t>
  </si>
  <si>
    <t>App crashes when there is no Wifi</t>
  </si>
  <si>
    <t>When WiFi is turned off and user tries to tap on beacon the app crashes.</t>
  </si>
  <si>
    <t>2015-01-28</t>
  </si>
  <si>
    <t>eugenkiss-chanobol-81</t>
  </si>
  <si>
    <t>Crash: No Activity found to handle Intent</t>
  </si>
  <si>
    <t>Fresh from Crashlytics http: crashes.to ae6e3068a99
It probably has to do with the post text parsing when there is link that references another thread. Once it improved this crash should be thing of the past. See #3.</t>
  </si>
  <si>
    <t>smartdevicelink-sdl_java_suite-86</t>
  </si>
  <si>
    <t>OnSystemRequest has a lot of bugs</t>
  </si>
  <si>
    <t>can see here (https: github.com smartdevicelink sdl android blob master sdl android lib src com smartdevicelink proxy rpc that the class is attempting to create JSON object from the binary bulk data. If the BulkData is valid, it will save global variables, httpreqparams and myJSONObj If the bulk data is not valid, both of these variables will be null.
In the setHeaders method (https: github.com smartdevicelink sdl android blob master sdl android lib src com smartdevicelink proxy rpc if the httpreqparams is null, it will cause crash.
The body of the request is even more confusing. In the getBody method (https: github.com smartdevicelink sdl android blob master sdl android lib src com smartdevicelink proxy rpc it is trying to read from httpreqparams if that not null. Even though httpreqparams is already the object returned from the HTTPRequest key, the code is reading the exact same value from the original bulk data and then reading the body key from that. If the httpreqparams is null, the code just returns the original bulk data as string, which don really understand. Why are we just blindly assuming that whatever is in the bulk data is the body of an HTTP request in this one case? In addition, in the setBody method (https: github.com smartdevicelink sdl android blob master sdl android lib src com smartdevicelink proxy rpc the body information is stored in the parameters hashtable, which isn even where it came from and obviously doesn belong here.
think this whole class should be re-written, to be honest.</t>
  </si>
  <si>
    <t>eugenkiss-chanobol-84</t>
  </si>
  <si>
    <t>Crash: Gif OutOfMemory</t>
  </si>
  <si>
    <t>Probably nothing that can be done from my side outside of switching out Ion which don plan to. http: crashes.to a95533cb0a9</t>
  </si>
  <si>
    <t>2015-01-29</t>
  </si>
  <si>
    <t>Frank-Zhu-PullZoomView-10</t>
  </si>
  <si>
    <t>PullToZoomScrollView Crash on change orientation</t>
  </si>
  <si>
    <t>Great library thanks but crash when change orientation</t>
  </si>
  <si>
    <t>mit-cml-appinventor-sources-236</t>
  </si>
  <si>
    <t>Sound recorder not working on some phones</t>
  </si>
  <si>
    <t>user claims that evey app that uses the sound recorder component crashes on some phones, including THL 5000 and the Elephone p8 Pro. The phones are running Android 4.4.2.
Check whether this happens with 4.4.2 in general, or whether it something about those phones.
Look here for the original comment</t>
  </si>
  <si>
    <t>2015-01-30</t>
  </si>
  <si>
    <t>smartdevicelink-sdl_java_suite-91</t>
  </si>
  <si>
    <t>Enum valueForString methods are not consistent</t>
  </si>
  <si>
    <t>See PR #82 for more details.
Most enum classes simply use the name() method to define the value of the JSON value for each particular enum value. Therefore, the valueForString method typically calls and returns the result of the valueOf() method.
However, in enum classes that define their own internal name to represent the JSON value, the valueForString method loops through all enum values and returns the value if it found. If it not found, it will return null.
All enums should behave identically in this case, so we need to determine if the correct course of action is to throw RuntimeException (causing crash) or to return null.</t>
  </si>
  <si>
    <t>citiususc-calendula-16</t>
  </si>
  <si>
    <t>App crashes when editing schedule</t>
  </si>
  <si>
    <t>According to an ANR report on google play, app crashes when editing schedule.
Apparently, valid schedule ID is provided in the edit intent, but when trying to recover the schedule, it seems not to exist is null).
Probably the schedule was deleted but the list was not updated, and this caused the problem</t>
  </si>
  <si>
    <t>2015-01-31</t>
  </si>
  <si>
    <t>libgdx-libgdx-2791</t>
  </si>
  <si>
    <t>Crash iOS app in OALAudio</t>
  </si>
  <si>
    <t>Got another OALAudio crash in the game build with libGDX roboVM for iOS devices. ve tested the game locally on simulator and iPhone-5s everything works fine. However ve got plenty (several hundreds) of crash reports by Flurry from the game in the field:
&lt;pre&gt;&lt;code&gt;0 libobjc.A.dylib 0x394fc608 objc retain
Ted the Jumper 0x002fdb43 OALSuspendHandler 438
Ted the Jumper 0x002fcc23 OALAudioSession onAudioError: 466
CoreFoundation 0x2ec391f1 &lt;redacted&gt; 12
CoreFoundation 0x2ebad57f CFXNotificationPost 1718
Foundation 0x2f597a3d &lt;redacted&gt; 76
Foundation 0x2f59c31b &lt;redacted&gt; 30
Ted the Jumper 0x002f2403 ALDevice .cxx destruct 33626
Ted the Jumper 0x002f2ccd ALWrapper closeDevice: 116
Ted the Jumper 0x002e9a91 ALDevice dealloc 164
10 libobjc.A.dylib 0x394fcb6b &lt;redacted&gt; 174
11 Ted the Jumper 0x002e99e3 ALDevice 450
12 Ted the Jumper 0x002df05d OALSimpleAudio initWithSources: 100
13 Ted the Jumper 0x002de99b OALSimpleAudio sharedInstanceSynch 138
14 Ted the Jumper 0x00434f7f 1093422
15 Ted the Jumper 0x00434b5d 1092364
16 Ted the Jumper 0x00434b87 1092406
17 Ted the Jumper 0x00424fa3 1027922
18 Ted the Jumper 0x0042369d 1021516</t>
  </si>
  <si>
    <t>libgdx-libgdx-2790</t>
  </si>
  <si>
    <t>Crash iOS app with NullPointerException in IOSSound.play</t>
  </si>
  <si>
    <t>ve just published the game build with libGDX roboVM for iOS devices. ve tested the game locally on simulator and iPhone-5s everything works fine. However ve got plenty (several hundreds) of crash reports by Flurry from the game in the field:
&lt;pre&gt;&lt;code&gt;*** Terminating app due to uncaught exception null reason: null
So the exception raise for more or less any device type (iPhone Plus, iPhone 6, iPhone 5s, iPhone 4s, iPads, etc.). The source code line is:
ALSource soundSource volume, pitch, pan, loop) code&gt;&lt; pre&gt;
Only the possibility see is that returns null.
What could be the problem for that?</t>
  </si>
  <si>
    <t>libgdx-libgdx-2800</t>
  </si>
  <si>
    <t>iOS app crashes on device with latest nightly 01.02.2015 (was working before)</t>
  </si>
  <si>
    <t>The game which was successfully working crash on the real device (iPhone 5s) with the latest nightly 01.02.2015 right at the start. At the same time it works fine in simulator of the same device. Here is the simbolication of crash report:
The issue was got using last libGDX and roboVM snapshot. From the history It is probably that the problem is exactly in the commit days ago: 41708a5. It do the opposite to what it is named :) libGDX 1.5.3 with roboVM beta-03 works just fine. Latest SNAPSHOTS (libGDX roboVM) fail with this issue.
This is connected to roboVM issue #737</t>
  </si>
  <si>
    <t>2015-02-01</t>
  </si>
  <si>
    <t>the-blue-alliance-the-blue-alliance-android-309</t>
  </si>
  <si>
    <t>Populate District Rankings NPE</t>
  </si>
  <si>
    <t>From crash report:</t>
  </si>
  <si>
    <t>the-blue-alliance-the-blue-alliance-android-308</t>
  </si>
  <si>
    <t>Populate District Points NPE</t>
  </si>
  <si>
    <t>the-blue-alliance-the-blue-alliance-android-307</t>
  </si>
  <si>
    <t>SQL Exception on Update</t>
  </si>
  <si>
    <t>From crash report:
... 10 more</t>
  </si>
  <si>
    <t>the-blue-alliance-the-blue-alliance-android-306</t>
  </si>
  <si>
    <t>Get Credential NPE</t>
  </si>
  <si>
    <t>cforlando-bike-orlando-android-48</t>
  </si>
  <si>
    <t>Crash on pre lollipop from attr based color</t>
  </si>
  <si>
    <t>The drop shadow drawable uses an attribute reference which only works in 5.0+ causing crashes on older devices at runtime.</t>
  </si>
  <si>
    <t>cSploit-android-61</t>
  </si>
  <si>
    <t>force closing on gingerbread.</t>
  </si>
  <si>
    <t>ve installed the latest stable release on my samsung galaxy duos gt-s6102,running stock rooted gingerbread 2.3.6 rom. ve busybox v1.23.1-sterickson installed on my device. but when try to open the app, it crashes. log is attached below.</t>
  </si>
  <si>
    <t>wallabag-android-app-75</t>
  </si>
  <si>
    <t>FC with Fliktu sharing app</t>
  </si>
  <si>
    <t>Basically, it replaces the share menu by having you select it as default. The best could tell, the issue arose because when you choose to bag it the share menu pops up second time asking which browser to use. Since Fliktu was selected as my default browser but is not, in fact, browser Wallabag would crash.
went ahead and made browser the default for the wallabag action, and now all is well even with Fliktu engaged.
This should be put in some sort of FAQ while wallabag v2 comes out and the android app be updated.</t>
  </si>
  <si>
    <t>2015-02-02</t>
  </si>
  <si>
    <t>SafeSlingerProject-SafeSlinger-Android-99</t>
  </si>
  <si>
    <t>force stop error on startup</t>
  </si>
  <si>
    <t>From Google Play: Great concept but can sometimes crash
This app is great, so easy it can bring crypto to computer illiterate people (the kind that can barely operate Mac) and the key slinging process is straightforward. However... on my Galaxy S5 SM-G900M had to clear all my data before getting it to work, as the app would force stop as soon as opened it. As result, this app for now requires backing up often, which can only be done with rooted phone, which means huge security hole must be opened in order to close the hole of insecure messaging.
App version 1.8.1.2
Galaxy S5 (klte)</t>
  </si>
  <si>
    <t>cgeo-cgeo-4651</t>
  </si>
  <si>
    <t>Crash on export GPX from imported benchmark *.loc</t>
  </si>
  <si>
    <t>From support mail:
*.loc file of US benchmarks as selected and downloaded from Geocaching.com, with no modifications, will import fine. But then try to export, c:Geo crashes and an empty export file is created.</t>
  </si>
  <si>
    <t>cgeo-cgeo-4647</t>
  </si>
  <si>
    <t>Crash on startup on an Android 3.2.1 device</t>
  </si>
  <si>
    <t>There is report on support mail from user with device running Android 3.2.1 where c:geo crashed on startup. Various clean reinstallation did not solve the problem, am unable to test because don have 3.x device.
log has been send to cgeo-dev some minutes ago.</t>
  </si>
  <si>
    <t>citiususc-calendula-17</t>
  </si>
  <si>
    <t>App crashes when editing a schedule if the number of repetitions is greater than the number of routines</t>
  </si>
  <si>
    <t>h6ah4i-android-openslmediaplayer-4</t>
  </si>
  <si>
    <t>Native API example app crashes when "Don't keep activities" option is enabled</t>
  </si>
  <si>
    <t>The C++ native API example app crashes when Don keep activities developer option is enabled.</t>
  </si>
  <si>
    <t>2015-02-03</t>
  </si>
  <si>
    <t>h6ah4i-android-advancedrecyclerview-3</t>
  </si>
  <si>
    <t>ClassCastException bug</t>
  </si>
  <si>
    <t>Feb. 2, 2015 ve got crash report on Developer Console.
Application version: 0.6
Android version: Android 5.0
Device: Nexus (hammerhead)</t>
  </si>
  <si>
    <t>the-blue-alliance-the-blue-alliance-android-311</t>
  </si>
  <si>
    <t>Notification Settings Fragment NPE</t>
  </si>
  <si>
    <t>From Play Store crash report (v2.0.17):</t>
  </si>
  <si>
    <t>libgdx-libgdx-2807</t>
  </si>
  <si>
    <t>AndroidInput.onKey exception: java.lang.ArrayIndexOutOfBoundsException</t>
  </si>
  <si>
    <t>Get new crash in-the-wild. Several devices with Android 4.0.3 and 4.2.2. Reports are from the field (China) so no minimal example. Stacktrace:</t>
  </si>
  <si>
    <t>2015-02-04</t>
  </si>
  <si>
    <t>duckduckgo-android-search-and-stories-148</t>
  </si>
  <si>
    <t xml:space="preserve">2015 Redesign Feedback: </t>
  </si>
  <si>
    <t>## Initial reactions and thoughts
Wow the pics are way bigger, but see less per page. sacrifice image size for more results per page.
Even with bigger images, the full text (title description) for the story isn fully readable. In most cases, following through to the article allows you to read that, but for Reddit Imgur you usually can and so you miss out on the context of the image (the worst is when you rotate the display and it still gets cut off. wish could drag the article description down sideways to expand it and read it all)
thought clicking the category of the article (top right text) would filter the results to only those kinds of articles. Would be really useful.
Not sure why we have menu button (vertical dots) for each tile when long-press shows the same content. would expect long-press to do more or remove the button for more text space.
Tagging the article as picture or video (in the same manner as how we ve labelled the category) would be really sweet. usually can tell if an article is going to link to video or picture or website with more to read
After clicking the search box while viewing an image, the article disappears. Why?
Tried it again, see now that we re showing recent searches there. That wasn clear
Woah. Holding down on the top-right Menu button continuously opens new copies of the menu. Caused the app to crash.
Recents view seems broken?
Images aren loading
Small grey box in top-right corner where category label text should be
The detail view for IA tiles adds black line below the search box -- is that intentional?
View in Browser lists DuckDuckGo app as browser you can view in -- seems redundant
After clicking menu button beside search box, the 3-item menu has scrollbar that seems unnecessary (there nowhere to scroll)
Seems like the links to Recents and Favourites are missing from that menu?
Favourites section has tabs, favourites and favourite searches but both give the same description:
Add searches and stories to your favourites...they ll appear here
What the difference between the tabs?</t>
  </si>
  <si>
    <t>2015-02-05</t>
  </si>
  <si>
    <t>akvo-akvo-flow-mobile-258</t>
  </si>
  <si>
    <t>Global state missing after crash recovery</t>
  </si>
  <si>
    <t>Upon an unforeseen app crash, the Android environment attempts to recover the previous state and ongoing activities. However, if the FLOW app is set not to automatically log in the last user, this part of the global state will not be properly loaded.
Since most of the activities assume the user is logged in (except main screen), this can potentially result in an unexpected NPE -- blindly assuming the User object can be read from the FlowApp component.
To go around this situation, we ll need to explicitly load the user after an app crash.</t>
  </si>
  <si>
    <t>unfoldingWord-dev-uw-android-37</t>
  </si>
  <si>
    <t>Crashes on attempted open</t>
  </si>
  <si>
    <t>Jesse Griffin may have notified you already about this but my unfoldingWord program on the Nexus crashed upon an attempted open. It then opens dialog box offering to submit bug report. have submitted one on the tablet.
The tablet is Nexus 7, Andriod version 5.0.2, Kernel Version 3.4.0-g154bef4, Build number LRX22G</t>
  </si>
  <si>
    <t>2015-02-06</t>
  </si>
  <si>
    <t>eugenkiss-chanobol-101</t>
  </si>
  <si>
    <t>Crash: Renderscript</t>
  </si>
  <si>
    <t>Simply catch this exception inside updateToolbarShadow and don draw shadow.
See http: crashes.to 69336c7a6c4</t>
  </si>
  <si>
    <t>lgallard-qBittorrent-Controller-18</t>
  </si>
  <si>
    <t>Check crash with navigationDrawerItemTitles or ic_drawer_* files</t>
  </si>
  <si>
    <t>Check crash with or ic drawer files on some devices</t>
  </si>
  <si>
    <t>zhuowei-Boardwalk-116</t>
  </si>
  <si>
    <t>boardwalk 1.0.7 crash with mc1.8</t>
  </si>
  <si>
    <t>Version of Boardwalk: 1.0.7
Version of Android: 5.0.2 (cm12)
Device model: lg g2 (f320)
Description of the problem:
ActivityManager( 808): Force finishing activity .MainActivity
ActivityManager( 808): Force finishing activity .LauncherActivity</t>
  </si>
  <si>
    <t>bumptech-glide-331</t>
  </si>
  <si>
    <t>java.lang.NullPointerException at com.bumptech.glide.util.Util.getBitmapByteSize</t>
  </si>
  <si>
    <t>Using glide 3.5.1, crashing lot when onTrimMemory is triggered.</t>
  </si>
  <si>
    <t>pattch-PicToPoly-5</t>
  </si>
  <si>
    <t>Triangulation Persists on setImage</t>
  </si>
  <si>
    <t>think that when you add points to triangulation with an Image, then open an Image take picture, the Triangulation from the previous image persists. this is problem, because it can cause the app to crash and points remain when they shouldn t.</t>
  </si>
  <si>
    <t>unfoldingWord-dev-ts-android-270</t>
  </si>
  <si>
    <t>crashes when receiving data from p2p server after screen goes to sleep</t>
  </si>
  <si>
    <t>Android Release: 4.4.1
Androind SDK: 19</t>
  </si>
  <si>
    <t>2015-02-07</t>
  </si>
  <si>
    <t>braintree-braintree_android-20</t>
  </si>
  <si>
    <t>Crash on SDK 10 in FloatingLabelEditText when trying to focus next field.</t>
  </si>
  <si>
    <t>When the CardEditText tries to move the focus to the next field on an Android 2.3 device (SDK 10), crash is experienced:
FATAL EXCEPTION: main
This happens on an HTX Nexus One running Android 2.3.6. am using version 1.3.0 of the Braintree SDK.</t>
  </si>
  <si>
    <t>2015-02-08</t>
  </si>
  <si>
    <t>ikarus23-MifareClassicTool-52</t>
  </si>
  <si>
    <t>MCT crashes on HTC One (m7/m8) after updating to Lollipop</t>
  </si>
  <si>
    <t>MCT has always been working flawless on my HTC M8 pre-lollipop. This weekend updated the device to 5.0, since then MCT crashes immediately when reading or writing to tag.</t>
  </si>
  <si>
    <t>prohor33-gimme-collage-28</t>
  </si>
  <si>
    <t>Swap фотки с пустой фоткой =&gt; crash</t>
  </si>
  <si>
    <t>aikuma-aikuma-388</t>
  </si>
  <si>
    <t>About screen causes crash</t>
  </si>
  <si>
    <t>Accessing the About screen causes the app to crash.</t>
  </si>
  <si>
    <t>2015-02-09</t>
  </si>
  <si>
    <t>MythTV-Clients-MythtvPlayerForAndroid-1</t>
  </si>
  <si>
    <t>Stacktrace from crash when selecting a recording to play.</t>
  </si>
  <si>
    <t>2015-02-10</t>
  </si>
  <si>
    <t>libgdx-libgdx-2833</t>
  </si>
  <si>
    <t>TmxMapLoader: flipped tiled object &amp; loader crash</t>
  </si>
  <si>
    <t>The TmxMapLoader crashes when loading map containing flipped tiled object.
This is the error:
Exception in thread LWJGL Application For input string: 2147483751
Steps to reproduce the issue:
In Tiled create an object layer.
Select the Insert Tile tool.
Select tile from the tileset and insert it in the new layer.
Select the created object and flip it the or coordinate
Load the map in LibGdx.
According to the TMX Map Format (https: github.com bjorn tiled wiki the flip information of the tile is being saved withing the gid property for the tile.
In my case the object was saved as &lt;object id 80 name ASDASDSD gid 2147483751 66 626 and this number can be parsed by the Integer class in Java and results in an exception.
Note that when not fliped the gid number is saved as an integer &lt;object id 80 name ASDASDSD gid 103 66 626 and the exception doesn happen.</t>
  </si>
  <si>
    <t>cgeo-cgeo-4665</t>
  </si>
  <si>
    <t>Stack overflow after scanning for map files</t>
  </si>
  <si>
    <t>From support mail and corresponding stacktrace derived from Googe Play:
Open Settings Map Offline map folder
Directory scan is performed
If the scan ends c:geo crashes
can not reproduce this on my device.
Maybe related to the amount of files dirs returned by the scanner?</t>
  </si>
  <si>
    <t>dm77-barcodescanner-55</t>
  </si>
  <si>
    <t>Crash: setParameters failed</t>
  </si>
  <si>
    <t>got the following crash in our crashlytics:
Caused by: setParameters failed</t>
  </si>
  <si>
    <t>0011</t>
  </si>
  <si>
    <t>nerzhul-ncsms-android-30</t>
  </si>
  <si>
    <t>Crashing app when syncing</t>
  </si>
  <si>
    <t>First of all, thks for your work, was looking for this kind of software for long time
just got little problem when start syncing, app crashes after some seconds displaying Unfortunatly, owncloud SMS has stopped this kind of android system error http: www.ekoob.com wp-content uploads 2012 07 ).
Above, you ll find information about my client server configuration.
Btw, ve got bit more than 25000 sms to sync...
ownCloud version: 7.0.4
PHP version: 5.4
HTTPd server: Apache
Android version: 4.2.2
ownCloud SMS app version: 0.16.1
Thks lot and have nice day :).</t>
  </si>
  <si>
    <t>redsolution-xabber-android-352</t>
  </si>
  <si>
    <t>Orientation change during "password" dialog cause crash</t>
  </si>
  <si>
    <t>segmentio-analytics-android-172</t>
  </si>
  <si>
    <t>QueueFile crash</t>
  </si>
  <si>
    <t>We recently added the Segment IO SDK into our application. Since then we have seen an increasing number of crashes caused within the SDK due to Tape. It appears that an exception is being thrown but not handled.
This crash is now the 2nd most prevalent crash in our application.
Below is the stack trace we are getting via HockeyApp:
While trying to debug it internally we also hit the following issue, however we re not sure if it is related:
We are using the Core library version 2.5.3.</t>
  </si>
  <si>
    <t>ConnectSDK-Connect-SDK-Android-209</t>
  </si>
  <si>
    <t>ConcurrentModificationException in DefaultConnectableDeviceStore</t>
  </si>
  <si>
    <t>Just recently experienced crashing issue in Haven been able to figure out the steps to reproduce. hoping one of you guys knows bit more about Android threading than do.
Here is the relevant part of my stack trace.</t>
  </si>
  <si>
    <t>2015-02-11</t>
  </si>
  <si>
    <t>SCCapstone-IArch-54</t>
  </si>
  <si>
    <t>Gallery crash</t>
  </si>
  <si>
    <t>Gallery crashes if the user clicks on an image that does not have datastore record attached to it, or if the data is invalid.</t>
  </si>
  <si>
    <t>2015-02-12</t>
  </si>
  <si>
    <t>unfoldingWord-dev-uw-android-38</t>
  </si>
  <si>
    <t>App Crashes on Catalog Update</t>
  </si>
  <si>
    <t>The 79 build crashes the first times you try to update the projects from within the app. The third time works.</t>
  </si>
  <si>
    <t>MythTV-Clients-MythtvPlayerForAndroid-3</t>
  </si>
  <si>
    <t>Problem initiating a transcode on a slave backend.</t>
  </si>
  <si>
    <t>Apologies in advance. do not yet have stack trace for this. will get one.
When try to queue an HLS transcode of recording made on slave backend get failure indicating that some java component timed out trying to reach the slave backend after resolving the name of the machine to an IP address. The IP address that was retrieved was incorrect because it is all internal to my network and do not have complete DNS solution for my internal boxes. The transcode never starts and eventually mythtvPlayer crashed.
So, why am posting about the problem here? Because used the mythweb:6544 interface in web browser and selected the same recording for streaming. The transcode started and was able to view the recording in JWPlayer.
Also interestingly, after mythweb:6544 started the transcode was able to select that recording in myththPlayer and it knew that transcoded stream was available and was able to play it.
Obviously the DNS issues on my internal network are NOT your issue but the fact that mythweb:6544 was able to queue the transcode makes me wonder if mythtvPlayer could do that also?</t>
  </si>
  <si>
    <t>2015-02-13</t>
  </si>
  <si>
    <t>MythTV-Clients-MythtvPlayerForAndroid-2</t>
  </si>
  <si>
    <t>Stacktrace from crash when selecting a video to play(not an mythtv recording)</t>
  </si>
  <si>
    <t>On my Galaxy Tab 8.9 running 4.0.4.
Running latest mythtv code as of this morning and latest MythtvPlayer code from this morning.</t>
  </si>
  <si>
    <t>JDNdeveloper-Off-By-One-38</t>
  </si>
  <si>
    <t>Alarm receiver boot crash</t>
  </si>
  <si>
    <t>App crashes after phone boots. Not on launch. Phone boots, launching receiver, that causes the app to be launched and crashes.</t>
  </si>
  <si>
    <t>h6ah4i-android-openslmediaplayer-5</t>
  </si>
  <si>
    <t>Nullpointer exception</t>
  </si>
  <si>
    <t>While playing around bit with the playstore version this crash occured: Cant reproduce.</t>
  </si>
  <si>
    <t>eugenkiss-chanobol-105</t>
  </si>
  <si>
    <t>Crash: RuntimeException Util.emitAllData when canceling requests</t>
  </si>
  <si>
    <t>See https: github.com koush ion issues 252 and https: github.com koush ion issues 422 and http: crashes.to 189f5fd49c2
ve seen this crash often enough now that simply think should comment cancelAll in UiActivity with note that should reenable it when the above issues are fixed.</t>
  </si>
  <si>
    <t>2015-02-15</t>
  </si>
  <si>
    <t>SCCapstone-IArch-59</t>
  </si>
  <si>
    <t>Crash Taking Photo</t>
  </si>
  <si>
    <t>Very rarely when taking photo and choosing to keep it you will get an app crash. Not sure at this time what the error is about. This photo will not open in the gallery, it will crash the app. Ideally this photo needs to be deleted when this happens.</t>
  </si>
  <si>
    <t>2015-02-16</t>
  </si>
  <si>
    <t>smartEKG-SmartEKG-1</t>
  </si>
  <si>
    <t>offline files name and devices name are mixed</t>
  </si>
  <si>
    <t>this cause crash if device can be selected</t>
  </si>
  <si>
    <t>CellularPrivacy-Android-IMSI-Catcher-Detector-326</t>
  </si>
  <si>
    <t>Application crashes constantly, when network location provider is unavailable</t>
  </si>
  <si>
    <t>experience constant crashes, as long as the location tracking service of AIMSICD is active. This seems to be related to this line (https: github.com SecUpwN blob master app src main java com SecUpwN AIMSICD service of code.
Device: Hammerhead (Nexus 5, GSM)
AIMSICD: 0.1.25-alpha-b15 (self-compiled)
ROM: AOSP 4.4.4 (self-compiled) no GApps
XPrivacy 3.6.2 (not restricting AIMSICD)</t>
  </si>
  <si>
    <t>remulasce-metroapp-148</t>
  </si>
  <si>
    <t>Tapping a trip with no arrivals crashes app</t>
  </si>
  <si>
    <t>Probably the default-radio-tick code.</t>
  </si>
  <si>
    <t>bumptech-glide-347</t>
  </si>
  <si>
    <t>java.lang.NullPointerException at com.bumptech.glide.manager.RequestTracker.clearRequests (RequestTracker.java:80)</t>
  </si>
  <si>
    <t>Sorry can give more context as to how when this happened, just got picked up by our crash tracker</t>
  </si>
  <si>
    <t>2015-02-18</t>
  </si>
  <si>
    <t>SCCapstone-IArch-66</t>
  </si>
  <si>
    <t>Photo Management Issue</t>
  </si>
  <si>
    <t>just realized that our fix to the gallery crash problem was not allowing anyone to take pictures without being logged in which would mean no local photos would be in the gallery. can manually go into the Android file system though and put any picture want in the IArch folder. This places the photo in the gallery but crashes the app when selected. Not that this is something ton of people are going to do, but if its possibility it might not be the best work around.</t>
  </si>
  <si>
    <t>SCCapstone-IArch-65</t>
  </si>
  <si>
    <t>Dropbox image syncing problems and crash</t>
  </si>
  <si>
    <t>Sync app up with Dropbox. Take picture but when filling in the fields the sync to dropbox button is still there. When the button is pressed, the photo appears on Dropbox but not in image gallery. Also my long and lat was at 0,0 for some reason.</t>
  </si>
  <si>
    <t>libgdx-gdx-video-3</t>
  </si>
  <si>
    <t>Starting VideoPlayer from libgdx render thread</t>
  </si>
  <si>
    <t>use the VideoPlayer in Screen.
in the initialize method (method which is called before the screen switch)
If do this no events are called..
figured out that this is due to the fact that there is no Looper on LibGdx render thread.
So added handler to initialize and start the player.
But the rendering then crashes on vPlayer.render() because there is different GL context on textures for the mediaplayer.
also try to call Looper.prepare() on the render thread but get error that only one looper can exist.
Can you please suggest how can create working video player on render thread of LibGDX game screen?</t>
  </si>
  <si>
    <t>geopaparazzi-geopaparazzi-233</t>
  </si>
  <si>
    <t>crash when taking pictures</t>
  </si>
  <si>
    <t>randomly get crashes when logging and taking pictures. get
and am not sure where it occurrs. Looks like in the Camera merdia images query.</t>
  </si>
  <si>
    <t>JusticeRage-ApkTrack-14</t>
  </si>
  <si>
    <t>Multiple Crashes</t>
  </si>
  <si>
    <t>The app crashes when try to reload the list of installed apps. As well as when check for updates. The crashing seems random other then each time want to reload my installed app list. am running android 4.4.4 on Sony Xperia Z1</t>
  </si>
  <si>
    <t>2015-02-19</t>
  </si>
  <si>
    <t>Stuart-campbell-RushOrm-7</t>
  </si>
  <si>
    <t>SQL Error when updating objects</t>
  </si>
  <si>
    <t>First, thanks for your great work. planning to use your framework for my next app.
having the following issue: When create objects with parent-child relationship, store them, load them again, change something and store them again the framework crashes with SQL Error. See the following minimal working example:
public class Child extends RushObject
private String string
public Child(String string)
public String getString()
public void setString(String string)
public class Parent extends RushObject
private List&lt;Child&gt; children
this.children new ArrayList&lt;Child&gt;()
public boolean add(Child child)
public boolean remove(Child child)
public List&lt;Child&gt; getChildren()
public class MainActivity extends ActionBarActivity
protected void onCreate(Bundle savedInstanceState)
Parent parent new Parent()
Child firstChild new Child()
Child secondChild new Child()
This issue should be resolved by database migration.
This can be done by updating db version number in the manifest or setting Rush in debug mode.</t>
  </si>
  <si>
    <t>FamilyParking-Project-25</t>
  </si>
  <si>
    <t>Crash dal dialog dei gruppi</t>
  </si>
  <si>
    <t>1. Aggiungo un gruppo ed un utente
2. Dal menu in alto destra clicco su Groups
3. Cliccando pi volte sulla foto dell utente, clicco back sul dialog app crasha</t>
  </si>
  <si>
    <t>0111</t>
  </si>
  <si>
    <t>facebook-stetho-59</t>
  </si>
  <si>
    <t>Installing 'com.facebook.stetho:stetho-okhttp:1.0.0' breaks okhttp</t>
  </si>
  <si>
    <t>When included this jar in my project, okhttp would crash when used with what looked like proguard related issue.
get the following error
ve tried whitelisting that file in proguard to no avail.</t>
  </si>
  <si>
    <t>2015-02-20</t>
  </si>
  <si>
    <t>blazsolar-HorizontalPicker-17</t>
  </si>
  <si>
    <t>Null Pointer Exception</t>
  </si>
  <si>
    <t>ve got one picker on the activity that when selected, populates another picker with values that depend on the selected item from the first picker.
second picker is defined as follows:
When select an item in the first picker, intermittantly, get this:
have not been able to figure out what sequence of events triggers this crash. Any thoughts?</t>
  </si>
  <si>
    <t>erickok-transdroid-192</t>
  </si>
  <si>
    <t>Cannot add torrent from .torrent file</t>
  </si>
  <si>
    <t>However, cannot add local .torrent files. When click on adding torrent from file then navigate to the Downloads folder, the local .torrent files are greyed out, can select them.
If use an external file chooser app, (FX File Chooser in my case) to force-select them, get Unfortunately, Transdrone has crashed</t>
  </si>
  <si>
    <t>CellularPrivacy-Android-IMSI-Catcher-Detector-330</t>
  </si>
  <si>
    <t>Using Hangouts as SMS app trips "Type Zero SMS.." alert and crash.</t>
  </si>
  <si>
    <t>When using Hangouts app as SMS client, incoming SMS triggers the Alert!! Type Zero SMS Intercepted! message.
When going to the database viewer to check Silent SMS clicking Load Data button drops the UI and get Unfortunately, Android IMSI-Catcher Detector has stopped. message.
Running Cyanogenmod (Android 5.0.2) on Nexus 6, Sprint.</t>
  </si>
  <si>
    <t>SCCapstone-IArch-76</t>
  </si>
  <si>
    <t>Maps crash</t>
  </si>
  <si>
    <t>Ever since the newest update to the master tonight, cannot open the maps activity without the app crashing. Happens on both of my android phones.</t>
  </si>
  <si>
    <t>Any1s-RBTV-Sendeplan-27</t>
  </si>
  <si>
    <t>AsyncTask in DataFragment crashes if the context object is null</t>
  </si>
  <si>
    <t>2015-02-22</t>
  </si>
  <si>
    <t>drpout-boilr-72</t>
  </si>
  <si>
    <t>price change time frame no default</t>
  </si>
  <si>
    <t>while creating price change alarm, clicking on time frame doesn show any value. it should show the specified value or the default value. plus, if you press ok without inputing any value, boilr crashes but goes back to the alarm list..</t>
  </si>
  <si>
    <t>Any1s-RBTV-Sendeplan-29</t>
  </si>
  <si>
    <t>appcompat-v7 v21.0.0 causing crash on Samsung devices with Android v4.2.2</t>
  </si>
  <si>
    <t>See Issue 78377 (https: code.google.com android issues detail?id 78377) at Google and this post on stackoverflow (http: stackoverflow.com questions 24809580
TL DR is: Samsung fucked up their custom 4.2.2 ROM causing crashes in apps using the AppCompat Action Bar. The commonly used workaround seems to be obfuscating the affected class.
The aforementioned workaround will probably not be used here, but until the decision is final this bug stays open.</t>
  </si>
  <si>
    <t>2015-02-23</t>
  </si>
  <si>
    <t>jpardogo-PagerSlidingTabStrip-71</t>
  </si>
  <si>
    <t>BUG, switch from this(as a fragment) to a fragment, crashed!</t>
  </si>
  <si>
    <t>This happens when set no adapter to mRecyclerView. get this but running well:
RecyclerView No adapter attached skipping layout
Here is the exception when detaching:</t>
  </si>
  <si>
    <t>ZieIony-Carbon-22</t>
  </si>
  <si>
    <t>RippleDrawable crashes when used with duplicateParentState</t>
  </si>
  <si>
    <t>If view with RippleDrawable set is part of list row or any other layout with state propagation, RippleDrawable crashes due to null hotspot.</t>
  </si>
  <si>
    <t>vanitasvitae-EnigmAndroid-4</t>
  </si>
  <si>
    <t>ArrayIndexOutOfBoundsException on Numerical Input as PlugBoard</t>
  </si>
  <si>
    <t>EnigmAndroid crashes if the user inserts number as PlugBoard</t>
  </si>
  <si>
    <t>bumptech-glide-349</t>
  </si>
  <si>
    <t>Crash when mutating SquaringDrawable (getConstantState is not overridden) - v3.5.2</t>
  </si>
  <si>
    <t>If an ImageView has something that has its (internal) &lt;code&gt;mColorMod&lt; code&gt; field set to true (i.e. there is an alpha or color filter set see code&gt;), then when Glide updates the image view providing the code&gt; (the current drawable code&gt;), the image view attempts to mutate it and crashes (NPE) when calling code&gt;.
Trace from Genymotion v4.4.2</t>
  </si>
  <si>
    <t>radlib-radlib-cordova-24</t>
  </si>
  <si>
    <t>BUG # 3</t>
  </si>
  <si>
    <t>NEW BUG AS OF 22 15 6:18 pm
When one phone is connected to bluetooth reader, if another phone tries to connect to the same reader, the app crashes.</t>
  </si>
  <si>
    <t>mozilla-webmaker-android-1295</t>
  </si>
  <si>
    <t>FFOS: adding a camera photo crashes app</t>
  </si>
  <si>
    <t>1. In the inline editor for photo block, tap the pencil
2. Choose Camera
3. Take photo, tap select</t>
  </si>
  <si>
    <t>2015-02-24</t>
  </si>
  <si>
    <t>mozilla-webmaker-android-1294</t>
  </si>
  <si>
    <t>"sw" locale prevents gulp from running successfully</t>
  </si>
  <si>
    <t>as of v0.0.24, the sw locale is somehow causing the gulp build process to crash. Commeting out this locale in the gulp task for it makes everything run just fine again cc alicoding</t>
  </si>
  <si>
    <t>daneren2005-Subsonic-459</t>
  </si>
  <si>
    <t>Refresh on Empty Podcast Channel - Crash</t>
  </si>
  <si>
    <t>DSub crashes when refreshing on empty podcast channel (I assume when there is something there after refresh)</t>
  </si>
  <si>
    <t>2015-02-25</t>
  </si>
  <si>
    <t>Any1s-RBTV-Sendeplan-32</t>
  </si>
  <si>
    <t>Crash possible when handling a reminder</t>
  </si>
  <si>
    <t>not exactly sure how this can happen. The alarm for an event fired, but there was no data in the reminder map. Maybe the backup was corrupted? need to investigate this further.
Stack trace from Play Store crash report:</t>
  </si>
  <si>
    <t>hackguru-android-linkit-merchant-6</t>
  </si>
  <si>
    <t>crash sometime after link to url</t>
  </si>
  <si>
    <t>1) crash sometime after link to url
2) listview loading progressbar hide after onfail</t>
  </si>
  <si>
    <t>2015-02-26</t>
  </si>
  <si>
    <t>SCCapstone-IArch-90</t>
  </si>
  <si>
    <t>Project Management crash</t>
  </si>
  <si>
    <t>If iArch folder doesn exist yet (before any pictures have ever been taken) and project management is pressed, app crashes.</t>
  </si>
  <si>
    <t>SCCapstone-IArch-89</t>
  </si>
  <si>
    <t>Map crash</t>
  </si>
  <si>
    <t>Map crashes if not linked to dropbox and button is pressed on home screen.</t>
  </si>
  <si>
    <t>SCCapstone-IArch-87</t>
  </si>
  <si>
    <t xml:space="preserve">Camera returning empty </t>
  </si>
  <si>
    <t>Sometimes on one of my devices, the after selecting to keep photo on the camera fragment, the TakePicture activity will come up with blank white space where the photo should be. The app will then crash. The photo is still there on the phone in local storage but not in project folder. If this photo happens to be clicked in the file chooser, app will crash.</t>
  </si>
  <si>
    <t>liato-android-bankdroid-434</t>
  </si>
  <si>
    <t>Application crashes for notifications if SonyMobile LiveView is enabled.</t>
  </si>
  <si>
    <t>... 10 more</t>
  </si>
  <si>
    <t>liato-android-bankdroid-433</t>
  </si>
  <si>
    <t>WebView broken for Swedbank and Sparbankerna</t>
  </si>
  <si>
    <t>The application crashes if user clicks the www button for Swedbank or Sparbankerna.</t>
  </si>
  <si>
    <t>vickychijwani-quill-21</t>
  </si>
  <si>
    <t>Crash: PostViewActivity.java line 64</t>
  </si>
  <si>
    <t>Number of crashes:
There lot more information about this crash on crashlytics.com:</t>
  </si>
  <si>
    <t>h6ah4i-android-advancedrecyclerview-10</t>
  </si>
  <si>
    <t>onMoveItem() crash?</t>
  </si>
  <si>
    <t>We got this crash report couple of times in last few weeks since we moved to Advanced Recycler View.
We are currently using stable ids and also each id is unique by random number so it shouldn crash, the crash happened when there were two items and started dragging it back and forth.
Any ideas? haven updated the library yet to the newest one, 0.6.0 is currently used.</t>
  </si>
  <si>
    <t>jt19056-Notey-22</t>
  </si>
  <si>
    <t>Do not call doinappbillingstuff() if already Pro</t>
  </si>
  <si>
    <t>No point in wasting resources and risking crashes if the user is already Pro</t>
  </si>
  <si>
    <t>Any1s-RBTV-Sendeplan-35</t>
  </si>
  <si>
    <t>Crash in DataFragment.groupEvents()</t>
  </si>
  <si>
    <t>Propably parsing error.
Stack trace from Play Store crash report:</t>
  </si>
  <si>
    <t>mozilla-webmaker-android-1402</t>
  </si>
  <si>
    <t>Crash when trying to edit an app</t>
  </si>
  <si>
    <t>Trying to edit an existing app. Webmaker app says it can find it, but there crash, and an error.
screenshot 2015-02-27 14 06 50 (https: assets 403231 6419286
Uncaught TypeError: Cannot read property id of null index.js:15860
App id is -Jj3xa33tb9ff MTRMbz</t>
  </si>
  <si>
    <t>2015-02-27</t>
  </si>
  <si>
    <t>gdg-x-frisbee-240</t>
  </si>
  <si>
    <t>App crashes when rotating device while loading Pulse</t>
  </si>
  <si>
    <t>GIVEN the user launches the app the first time (is this required?)
WHEN the user clicks on the nav drawer on pulse and rotates the device
THEN the pulse should be shown in the correct orientation
Currently, the following exception occurs</t>
  </si>
  <si>
    <t>mozilla-MozStumbler-1515</t>
  </si>
  <si>
    <t xml:space="preserve">1.7.1 crash in MotionSensor </t>
  </si>
  <si>
    <t>This is bit confusing. would say that mContext should use an application context, but tracing back the call stack shows that start(Context) uses an application context already.
public void start(Context c)
LocationManager lm (LocationManager) SERVICE)
if (mLastLocation null)
if (mLastLocation null)
PROVIDER, 0, 0,</t>
  </si>
  <si>
    <t>facebook-stetho-76</t>
  </si>
  <si>
    <t>Does stetho support okhttp with websocket?</t>
  </si>
  <si>
    <t>Cause okhttp will support websocket fully in the future, ex. this
If add stetho to inspect this, app will crash.
Chrome dev tool could monitor websocket activity, does stetho support it as well?</t>
  </si>
  <si>
    <t>2015-02-28</t>
  </si>
  <si>
    <t>eugenkiss-chanobol-120</t>
  </si>
  <si>
    <t>Crash: Photoattacher Zooming Out to Finish ImageActivity</t>
  </si>
  <si>
    <t>It happens seldomly but sometimes the app crashes when zooming ImageActivity out. The activity is closed with the following exception: http: crashes.to 37a8f11ff89
guess just need to catch it in the right place and do nothing. Sadly, it hard to reproduce.</t>
  </si>
  <si>
    <t>jt19056-Notey-24</t>
  </si>
  <si>
    <t>java.lang.RuntimeException crash</t>
  </si>
  <si>
    <t>User Message: Opening the application resulted in crash.</t>
  </si>
  <si>
    <t>libgdx-libgdx-2886</t>
  </si>
  <si>
    <t>BitmapFont markup crashes if String is just "["</t>
  </si>
  <si>
    <t>Im using latest nightlies,
crashes if just pass as the string to draw.
Exception in thread LWJGL Application String index out of range:</t>
  </si>
  <si>
    <t>2015-03-01</t>
  </si>
  <si>
    <t>liato-android-bankdroid-478</t>
  </si>
  <si>
    <t>Application crashes if user click on widget after the account has been deleted.</t>
  </si>
  <si>
    <t>2015-03-02</t>
  </si>
  <si>
    <t>liato-android-bankdroid-475</t>
  </si>
  <si>
    <t>Application crashes if no balance is found for Villabanken</t>
  </si>
  <si>
    <t>The application will crash if no balance is found for Villabanken.
Caused by: No successful match so far
Caused by: No successful match so far</t>
  </si>
  <si>
    <t>fixme-lausanne-MyHackerspace-32</t>
  </si>
  <si>
    <t>crashes with https://freieslabor.org/api/info</t>
  </si>
  <si>
    <t>Space status is shown within the application, but adding widget for Freies Labor leads to crash of MyHackerspace. Widgets for other Hackerspaces are OK.</t>
  </si>
  <si>
    <t>2015-03-03</t>
  </si>
  <si>
    <t>SimenCodes-heads-up-72</t>
  </si>
  <si>
    <t>Stop working randomly</t>
  </si>
  <si>
    <t>The app is working fine for few hours and then stop to show the notifications. When enter the application settings get the android crash message (with OK Send report). After closing and opening the app, it starts to work normally (until it stops after few hours).
Thanks in advance</t>
  </si>
  <si>
    <t>piemasters-SmartLock-5</t>
  </si>
  <si>
    <t>Trigger Crash</t>
  </si>
  <si>
    <t>When moving between creating Trigger and editting Trigger, the application will crash and the following error is produced:</t>
  </si>
  <si>
    <t>2015-03-04</t>
  </si>
  <si>
    <t>eugenkiss-chanobol-129</t>
  </si>
  <si>
    <t>Crash: Util.drawableToBitmap IllegalArgumentException</t>
  </si>
  <si>
    <t>Simply check if width and height both otherwise return null: http: crashes.to 1d05c773bb0</t>
  </si>
  <si>
    <t>2015-03-05</t>
  </si>
  <si>
    <t>the-blue-alliance-the-blue-alliance-android-343</t>
  </si>
  <si>
    <t>App crashes after myTBA Settings screen</t>
  </si>
  <si>
    <t>Have attempted to install the app on three different phones: HTC One, HTC One M8, and Samsung Galaxy S3. After the downloading data occurs, from the myTBA Settings screen, the app crashes upon all following options:
Google+ Sign In
Google+ Sign In with alternate permissions selected</t>
  </si>
  <si>
    <t>nextgis-metro4all-android-4</t>
  </si>
  <si>
    <t>Download package breaks and app crashes if orientation changes while downloading</t>
  </si>
  <si>
    <t>From simgislab on February 21, 2015 8:54
Copied from original issue: nextgis metro4all#214</t>
  </si>
  <si>
    <t>2015-03-06</t>
  </si>
  <si>
    <t>gdg-x-frisbee-298</t>
  </si>
  <si>
    <t>App crashes when error occurs in first step</t>
  </si>
  <si>
    <t>gdg-x-frisbee-296</t>
  </si>
  <si>
    <t>App crashes when receiving an gcm intent</t>
  </si>
  <si>
    <t>gdg-x-frisbee-295</t>
  </si>
  <si>
    <t>App crashes when watching video in news stream</t>
  </si>
  <si>
    <t>mixpanel-mixpanel-android-179</t>
  </si>
  <si>
    <t>Fix worker crash when fallabck endpoint disabled</t>
  </si>
  <si>
    <t>glae-if_exceed_speed_limits_then_lower_music-4</t>
  </si>
  <si>
    <t>Fix landscape / portrait mode switch</t>
  </si>
  <si>
    <t>The app crashes when switching, but remains in background.</t>
  </si>
  <si>
    <t>2015-03-07</t>
  </si>
  <si>
    <t>gdg-x-frisbee-301</t>
  </si>
  <si>
    <t>Youtube video crash</t>
  </si>
  <si>
    <t>Here is the screenshot attached about the crash. It happened when clicked video in the news feed page</t>
  </si>
  <si>
    <t>0010</t>
  </si>
  <si>
    <t>eugenkiss-chanobol-134</t>
  </si>
  <si>
    <t>Crash: MediaPath can be null</t>
  </si>
  <si>
    <t>Need to check in of MediaActivity if path null and in that case do either nothing or inform the user that the operation is not possible. See http: crashes.to dd34f5cec8c and http: crashes.to 26df4a5b1e8</t>
  </si>
  <si>
    <t>mixpanel-mixpanel-android-180</t>
  </si>
  <si>
    <t>PersistentIdentity : OutOfMemoryError</t>
  </si>
  <si>
    <t>noticed recently new crash in my crash report tool. didn had chance to reproduce it out of the wild.
Here is the stack trace:</t>
  </si>
  <si>
    <t>2015-03-08</t>
  </si>
  <si>
    <t>segmentio-analytics-android-223</t>
  </si>
  <si>
    <t>Crash in QueueFile.setLength</t>
  </si>
  <si>
    <t>We ve recently integrated segment.io in our Android app and small segment of our users are experiencing recurring crash, this seems to be happening whenever they open the app. Here the stack trace from Crashlytics:
We are using the Core library version 2.5.3.</t>
  </si>
  <si>
    <t>geopaparazzi-geopaparazzi-245</t>
  </si>
  <si>
    <t>crash report to check III</t>
  </si>
  <si>
    <t>Provato cambiare la cartella per le mappe offline dalla memoria interna alla scheda sd.
Ho cambiato smartphone, precedentemente nessun problema
APP VERSION CODE 58
APP VERSION NAME 3.9.7
ANDROID VERSION 4.4.2
PHONE MODEL LG-D620
... 12 more</t>
  </si>
  <si>
    <t>geopaparazzi-geopaparazzi-244</t>
  </si>
  <si>
    <t>crash report to check II</t>
  </si>
  <si>
    <t>APP VERSION CODE 64
APP VERSION NAME 4.1.1
ANDROID VERSION 4.4.2
PHONE MODEL H60-L04
... 12 more</t>
  </si>
  <si>
    <t>geopaparazzi-geopaparazzi-242</t>
  </si>
  <si>
    <t>crash report to check</t>
  </si>
  <si>
    <t>APP VERSION CODE 65
APP VERSION NAME 4.2.0
ANDROID VERSION 4.1.1
PHONE MODEL EVO</t>
  </si>
  <si>
    <t>jamienicol-episodes-32</t>
  </si>
  <si>
    <t>Version 0.9 crashes on Android 4.0.4</t>
  </si>
  <si>
    <t>System log shows NoSuchMethodError: getMinimumHeight which introduced in</t>
  </si>
  <si>
    <t>2015-03-09</t>
  </si>
  <si>
    <t>facebook-stetho-83</t>
  </si>
  <si>
    <t>Elements tab crashes with NPE in DOM.ProviderListener.onChildRemoved()</t>
  </si>
  <si>
    <t>In onChildRemoved, we try to get the nodeId for an element that isn mapped. We end up with null Integer and then blindly try to store it into Node nodeId field (an int), and immediately NPE.
This happened several times, but the stack trace has long since scrolled off into oblivion and can repro it anymore. For now ve got fix that logs warning and skips sending the event over the wire.</t>
  </si>
  <si>
    <t>2015-03-10</t>
  </si>
  <si>
    <t>eugenkiss-chanobol-137</t>
  </si>
  <si>
    <t>Crash: DebugSettings onClick Release Version</t>
  </si>
  <si>
    <t>Doesn make sense to me because the DebugSettings entry is hidden in the release Version but here the exception: http: crashes.to 26666a5dd20
Might just need to put an Optional Butterknife annotation somewhere.</t>
  </si>
  <si>
    <t>ZieIony-Carbon-42</t>
  </si>
  <si>
    <t>PagerTabStrip crashes when empty</t>
  </si>
  <si>
    <t>ZieIony-Carbon-41</t>
  </si>
  <si>
    <t>ListView crashes when scrolled with 0 children</t>
  </si>
  <si>
    <t>mitmedialab-Action-Path-Client-1</t>
  </si>
  <si>
    <t>Geofence intent causes crash</t>
  </si>
  <si>
    <t>think this is caused because the AlertDialog.Builder has the wrong context. See the link below. To create dialog from within an IntentService, you need to call and pass that to the</t>
  </si>
  <si>
    <t>2015-03-11</t>
  </si>
  <si>
    <t>giletvin-ornidroid-134</t>
  </si>
  <si>
    <t>java.lang.RuntimeException: Unable to start activity ComponentInfo{fr.ornidroid/fr.ornidroid.ui.activity.NewBirdActivity_}: java.lang.NullPointerException</t>
  </si>
  <si>
    <t>New crash 11 03
... 11 more</t>
  </si>
  <si>
    <t>clintonhealthaccess-chailmis-android-142</t>
  </si>
  <si>
    <t>After successful validation of an activity, the system goes blank for about 10 seconds, if it is touched during that period, it crashes.</t>
  </si>
  <si>
    <t>2015-03-12</t>
  </si>
  <si>
    <t>clintonhealthaccess-chailmis-android-131</t>
  </si>
  <si>
    <t>Emergency and Routine Ordering causes the app to crash on some tablets and work on some others</t>
  </si>
  <si>
    <t>clintonhealthaccess-chailmis-android-130</t>
  </si>
  <si>
    <t>Receiving an allocation causes the app to crash</t>
  </si>
  <si>
    <t>dimagi-commcare-android-181</t>
  </si>
  <si>
    <t>Fix for Custom Logos in Home Screen Landscape</t>
  </si>
  <si>
    <t>2.19.5 Hotfix merge.
Home screen crashed when custom logos were used.</t>
  </si>
  <si>
    <t>Cloudkibo-Android-2</t>
  </si>
  <si>
    <t>Loading of chat messages on Android crashes</t>
  </si>
  <si>
    <t>This crashes when there is no Internet and app tries to fetch the chat messages over the Internet.</t>
  </si>
  <si>
    <t>wordpress-mobile-MediaPicker-Android-3</t>
  </si>
  <si>
    <t>Scale decoded bitmaps to avoid OOM errors</t>
  </si>
  <si>
    <t>If the user is scrolling too fast with too many large images the app may run out of memory and crash.</t>
  </si>
  <si>
    <t>2015-03-13</t>
  </si>
  <si>
    <t>nfcgate-nfcgate-59</t>
  </si>
  <si>
    <t>App crashes on reset button press while not connected</t>
  </si>
  <si>
    <t>cwhitten1-DMApp-41</t>
  </si>
  <si>
    <t>App crashes in swipe activity on screen rotation</t>
  </si>
  <si>
    <t>Temporary fix was to disable rotation for swipe activity but better one should be found later</t>
  </si>
  <si>
    <t>2015-03-14</t>
  </si>
  <si>
    <t>nilsbraden-ttrss-reader-fork-260</t>
  </si>
  <si>
    <t>Share on Facebook messenger crashes Facebook messenger</t>
  </si>
  <si>
    <t>What steps will reproduce the problem?
1.long click on an article in the feed and click share.
select Facebook messenger and select friend. Click on send.
3.facebook messenger crashes.
What is the expected output? What do you see instead?
Normal sharing experience expected, Facebook messenger app crashes instead.
What version of the product are you using (please provide the full version
information from the About-box!)? On what android version? And
what server-version is your TTRSS-Server running?
App version 1771
Android version 4.4.2
Server Version 1.14
Please provide any additional information below:
Original issue reported on code.google.com by pcco... gmail.com on 29 Oct 2014 at 8:49</t>
  </si>
  <si>
    <t>syncthing-syncthing-android-244</t>
  </si>
  <si>
    <t xml:space="preserve">crash when trying to add /efs </t>
  </si>
  <si>
    <t>syncthing 0.5.20 craches when trying to add efs or data (and others) via add folder dialog.
Maybe these folders are not readable anyway but the app should not crash.</t>
  </si>
  <si>
    <t>2015-03-15</t>
  </si>
  <si>
    <t>dimagi-commcare-android-186</t>
  </si>
  <si>
    <t>Drop down search crash</t>
  </si>
  <si>
    <t>When filtering over saved forms and changing the form status to list, the filtering method would crash because it tried to filter data before it was loaded. This commit ensures that filtering only occurs after FormRecord text data has been loaded.
The biggest change is that extends and adds itself to the listeners to be called when finishes loading data, in order to filterValues at the proper time.
Fixes bug 161420 (http: manage.dimagi.com default.asp?161420)</t>
  </si>
  <si>
    <t>2015-03-16</t>
  </si>
  <si>
    <t>nfcgate-nfcgate-62</t>
  </si>
  <si>
    <t>NPE on launching NFCGate from the NFC app selection prompt</t>
  </si>
  <si>
    <t>If you select NFCGate from the list of applications that can handle provided NFC card, it crashes with NPE.
Judging from the stack trace, that probably due to the process trying to send message, which has to be passed through the SinkManager. However, the SinkManager has not been initialized yet, the relevant reference to the Queue and the SinkManager is still null.
ll think about how to best fix this. The easiest is probably to check if the SinkManager has been initialized, and if it hasn t, to not try to pass any messages to it.</t>
  </si>
  <si>
    <t>sbonner1-RateMyDrink-31</t>
  </si>
  <si>
    <t>App crashes when a new drink is added to the database</t>
  </si>
  <si>
    <t>geopaparazzi-geopaparazzi-247</t>
  </si>
  <si>
    <t>Still crashes on Sensor Orientation</t>
  </si>
  <si>
    <t>APP VERSION CODE 67
APP VERSION NAME 4.2.2
ANDROID VERSION 4.1.2
PHONE MODEL LT22i</t>
  </si>
  <si>
    <t>riul88-call-recorder-for-android-11</t>
  </si>
  <si>
    <t>Crash when other files present in recordedCalls dir</t>
  </si>
  <si>
    <t>Line 215 of MainActivity.java makes some assumptions about how many characters
there are in each filename. If there are unexpected files in that directory,
it can crash.
%20Recorder src com call recorder
What steps will reproduce the problem?
1. create directory called keepers in the recordedCalls directory
2. try to start app
Original issue reported on code.google.com by e... waxworlds.org on 12 Mar 2015 at 6:05</t>
  </si>
  <si>
    <t>square-okhttp-1512</t>
  </si>
  <si>
    <t>LoggingInterceptor Recipe Can Crash</t>
  </si>
  <si>
    <t>ve experience code based on the LoggingInterceptor recipe crashing with null pointer exception because chain.proceed() returned null (probably because the call was cancelled).</t>
  </si>
  <si>
    <t>2015-03-17</t>
  </si>
  <si>
    <t>mvysny-aedict-451</t>
  </si>
  <si>
    <t>android 5.1 after update aedict always crashes after selecting words</t>
  </si>
  <si>
    <t>chennaione-sugar-279</t>
  </si>
  <si>
    <t>DB upgrades can result in race condition</t>
  </si>
  <si>
    <t>In the SugarApp class the onCreate() method looks like this:
public void onCreate()
Since super.onCreate() is being called first, it means that the launcher activity starts, then is called. This is creating problems in my app because my Activity is able to hit its onCreate() and onStart() methods before the upgrade is even started. This has been crashing my app and wonder if this has occurred for anyone else and if you have solution that you can suggest.
Would calling before super.onCreate() guarantee that upgrades would occur before Activity code is run?</t>
  </si>
  <si>
    <t>Rajawali-Rajawali-1383</t>
  </si>
  <si>
    <t>RajawaliRender fails to handle some GL versions</t>
  </si>
  <si>
    <t>The Nexus reports the OpenGL version as OpenGL ES 3.0V 95.0 (GIT I86da836d38)
The above string causes crash during onSurfaceCreated as the string post the is attempted to be converted to an integer.</t>
  </si>
  <si>
    <t>dimagi-commcare-android-187</t>
  </si>
  <si>
    <t>Bugfix: Form Serialization Crash</t>
  </si>
  <si>
    <t>Fixes an issue where when our caching optimization fails and it crashes the app</t>
  </si>
  <si>
    <t>2015-03-18</t>
  </si>
  <si>
    <t>mixpanel-mixpanel-android-189</t>
  </si>
  <si>
    <t>OutOfMemoryError: DecideChecker.getNotificationImage()</t>
  </si>
  <si>
    <t>MP SDK: 4.5.3
Just to let you know about recent crash report got. Not so much info to repro it.
DecideChecker.java line 231</t>
  </si>
  <si>
    <t>ZieIony-Carbon-52</t>
  </si>
  <si>
    <t>ShadowGenerator crashes when radius is &gt;25</t>
  </si>
  <si>
    <t>This happens mostly on very dense screens, as FAB can be translated over 25px on press.</t>
  </si>
  <si>
    <t>kshoji-BLE-MIDI-for-Android-8</t>
  </si>
  <si>
    <t>Timestamp of end of SysEx crashes SysEx data</t>
  </si>
  <si>
    <t>The SysEx message of Apple BLE MIDI specification is like this.
(Header) (Timestamp) F0 xx xx xx ... ... xx xx xx (Timestamp) F7
If the latter Timestamp value is F7 (same value as End of SysEx ), the SysEx data will be truncated.
Don send end of SysEx Timestamp with F7 value.
Recovery the data when F7 F7 values arrived on the end of SysEx.</t>
  </si>
  <si>
    <t>spacecowboy-NoNonsense-FilePicker-12</t>
  </si>
  <si>
    <t>Crash on root folders</t>
  </si>
  <si>
    <t>Using your library on my project (FDND), found little bug, it crashes when we go back to the of the device, and then click on folder which we can access (I tried on device without root).
ll probably make pull request if you don have the time.
Here the stack trace
Caused by: Attempt to get length of null array</t>
  </si>
  <si>
    <t>iBotPeaches-Apktool-745</t>
  </si>
  <si>
    <t>Breaks on decoding Google+ APKs</t>
  </si>
  <si>
    <t>&lt;b&gt;What steps will reproduce the problem?&lt; b&gt;
1. Download Google+ APK 4.3+ from http: 2014 05 20
2. Attempt to decode it.
3. Receive crash midway through decoding resources.
&lt;b&gt;What is the expected output? What do you see instead?&lt; b&gt;
Exception in thread &amp;quot main&amp;quot resource spec: 0x7f030010
&lt;b&gt;What version of the product are you using? On what operating system?&lt; b&gt;</t>
  </si>
  <si>
    <t>0101</t>
  </si>
  <si>
    <t>iBotPeaches-Apktool-712</t>
  </si>
  <si>
    <t xml:space="preserve">malformed html styles </t>
  </si>
  <si>
    <t>There does seem to be problems with this.
If string like
&amp;lt href &amp;quot http: foo.com&amp;quot style &amp;quot padding: 4px 4px 4px 4px &amp;quot &amp;gt foo&amp;lt a&amp;gt
It used to crash.
Now it comes out as (with: https: github.com iBotPeaches Apktool commit
&amp;lt href &amp;quot http: foo.com&amp;quot style &amp;quot padding: 4px 4px 4px 4px&amp;quot &amp;gt foo&amp;lt a&amp;gt
Missing the trailing slash. got commit out that fixes the crashes to prevent apktool from being abused from this problem, but ll have to look into the HTML function more in depth and write whole class of unit-tests for this so that we don strip the trailing and fix the crash.
The bug with lengths being read as short max has been fixed: https: github.com iBotPeaches Apktool commit</t>
  </si>
  <si>
    <t>syncthing-syncthing-android-256</t>
  </si>
  <si>
    <t>crash when click "add device"</t>
  </si>
  <si>
    <t>google-google-authenticator-android-14</t>
  </si>
  <si>
    <t>Authenticator crashes in attempt to read a barcode</t>
  </si>
  <si>
    <t>How to reproduce:
1- Open Autenticator
2- Choose Start Configuration
3- Choose Read Barcode
Application crashes before camera opens.
Android Version: 5.0</t>
  </si>
  <si>
    <t>2015-03-19</t>
  </si>
  <si>
    <t>dimagi-commcare-android-190</t>
  </si>
  <si>
    <t>Spanning Iterator Hotfix</t>
  </si>
  <si>
    <t>Fixes an issue where the spanning iterator would miss edges when it was doing the ID walking, causing crashes on devices with thousands of cases.</t>
  </si>
  <si>
    <t>2015-03-20</t>
  </si>
  <si>
    <t>syncthing-syncthing-android-262</t>
  </si>
  <si>
    <t>Slow startup, should ignore .thumbnails</t>
  </si>
  <si>
    <t>had problem that the app hung since weeks, Waiting for API forever, de- and reinstalled multiple times whenever new version came, no remedy. Then looked at my files on my smartphone closely, even though had 10 photos, it showed 2000 files? They were remaining thumbnails of photos deleted earlier to make room, in hidden directory, once deleted those manually, syncthing finally came up.
My guess: lot of small files in directory makes syncthing stall, crash or whatever.
Galaxy GT-I9100 Android 4.1.2 2GB RAM.</t>
  </si>
  <si>
    <t>libgdx-libgdx-2964</t>
  </si>
  <si>
    <t>Joystick support crash with X7 keyboard/mouse</t>
  </si>
  <si>
    <t>The problem: Instant crash when using A4Tech X7 keyboard or mouse buttons. Game crashes when try to use arrow keys on external keyboard (G800V), can play using builtin keyboard, but not the external one.
CrashLog (all have):
Exception in thread LWJGL Application keyID here
Laptop (CPU: i7-4800MQ, GPU: GTX770M, RAM: 16GB)
ext Keyboard: A4Tech X7 G800V
System configuration utility detects both input devices (additionally to their primary function) as Joysticks with 69 buttons and 37 axis. It known that a4tech devices mess up some games, but this is the first time it causes them to crash and based on the exception it not game specific problem</t>
  </si>
  <si>
    <t>2015-03-21</t>
  </si>
  <si>
    <t>bumptech-glide-374</t>
  </si>
  <si>
    <t>Possible NPE when Disk Cache fails</t>
  </si>
  <si>
    <t>**Glide Version Integration library (if any)**: 3.5.2
**Device Android Version**:
**Issue details Repro steps**:
method JavaDoc says
Returns new disk cache, or code null if no disk cache could be created.
and just returns the value,
then DecodeJob uses that return value in chain: put delete()
Meaning custom Disk Cache Factory may fail:
public static class GlideSetup implements GlideModule
Override public void applyOptions(final Context context, GlideBuilder builder)
Override public DiskCache build()
if (cacheDir null
(!cacheDir.mkdirs() &amp;&amp; (!cacheDir.exists()
Note that the condition is almost the same as
return 250 1024 1024)
Override public void context, Glide glide)
In case the DiskCache.Factory can create cache (no available directory, the App will crash with an NPE in Glide, however it could probably work just fine without disk cache, maybe little slower.
if (diskCache null)
diskCache new DiskCacheAdapter()
lines in should be moved to so the fallback applies to all caches, not just the Glide built-in one.</t>
  </si>
  <si>
    <t>2015-03-22</t>
  </si>
  <si>
    <t>haiwen-seadroid-309</t>
  </si>
  <si>
    <t>Current master crashes on startup if server unreachable</t>
  </si>
  <si>
    <t>Steps to reproduce:
1. shutdown your server or make sure its unreachable (do not go into flight mode!)
2. open Seafile app (current master)
3. observe as Seafile closes immediately
It seems to be an uncatched exception originating here:</t>
  </si>
  <si>
    <t>lecho-hellocharts-android-105</t>
  </si>
  <si>
    <t>Crash in PieChartView</t>
  </si>
  <si>
    <t>Had this crash in production build hope you can find out the cause. Thanks! :)</t>
  </si>
  <si>
    <t>2015-03-23</t>
  </si>
  <si>
    <t>syncthing-syncthing-android-289</t>
  </si>
  <si>
    <t>Not showing "Generating keys. This may take a while."</t>
  </si>
  <si>
    <t>1. installed 0.5.26 from Play store
3. nothing happening and almost every action causes crash
4. letting it run for while and it works
After some fiddling realized that it was generating key pair and that there SHOULD have been message that tells me whats going on, but it never appeared.
(rooted HTC One cm11-nightlies)</t>
  </si>
  <si>
    <t>syncthing-syncthing-android-302</t>
  </si>
  <si>
    <t>StartService unit test fails</t>
  </si>
  <si>
    <t>--------- beginning of crash</t>
  </si>
  <si>
    <t>2015-03-24</t>
  </si>
  <si>
    <t>google-google-authenticator-android-15</t>
  </si>
  <si>
    <t>Authenticator crashes on "start setup"</t>
  </si>
  <si>
    <t>**What steps will reproduce the problem?**
1. Open Authentication
2. Try to put Begin Setup button
3. Immediately unfortunately, authentication has stopped
**What is the expected output? What do you see instead?**
Immediately unfortunately, authentication has stopped
**What version of the product are you using? On what operating system?**
Package version 49
package version name: 2.49
**Please provide any additional information below.**
This issue was originally reported on google code (https: code.google.com issues detail?id 353) and then reopened on github (https: github.com google issues 346) but both records are closed.
However the issue still occurs.
Originally posted on google code and reproduced at http: lifeisabug.com
1. Open Authenticator but do NOT press the Begin setup button.
2. Instead, select setup account from the option menu.
3. Then from another device, go to https: accounts.google.com SmsAuthSettings, select Move to different phone and scan the QR code.</t>
  </si>
  <si>
    <t>aikuma-aikuma-418</t>
  </si>
  <si>
    <t>Orientation crash</t>
  </si>
  <si>
    <t>still getting crashes on change of orientation, on the Google Play build, 0.8.4.
This is reproducible as follows: Make new recording -&gt; review -&gt; name recording -&gt; add user -&gt; select user lang -&gt; now change phone orientation and Aikuma crashes every time on Nexus 5.</t>
  </si>
  <si>
    <t>Rajawali-Rajawali-1411</t>
  </si>
  <si>
    <t>Gradle crashes if GIT is not on path</t>
  </si>
  <si>
    <t>If GIT is not on the path then gradle will not build.</t>
  </si>
  <si>
    <t>2015-03-25</t>
  </si>
  <si>
    <t>cSploit-android-118</t>
  </si>
  <si>
    <t>CSploit are crached if u open traceroute.</t>
  </si>
  <si>
    <t>On my android 4.4.4 if open traceroute csploit are crashed.</t>
  </si>
  <si>
    <t>Stuart-campbell-RushOrm-17</t>
  </si>
  <si>
    <t>Startup crash</t>
  </si>
  <si>
    <t>Hi just implemented your library but it crashes on startup with this error. followed the realm to initialize.
Caused by: println needs message</t>
  </si>
  <si>
    <t>connectbot-connectbot-62</t>
  </si>
  <si>
    <t>Port range is not checked in Telnet transport</t>
  </si>
  <si>
    <t>There are some crashes like this:
We should detect this before failing. Maybe we can also try to detect 192.168.x.x mistypes?</t>
  </si>
  <si>
    <t>2015-03-26</t>
  </si>
  <si>
    <t>MythTV-Clients-MythtvPlayerForAndroid-17</t>
  </si>
  <si>
    <t>Fatal Exception: NullPointerException; In Watch Videos Screen</t>
  </si>
  <si>
    <t>Not duplicatable at will. Seen once. On commit 1fb137cf
Was on Watch Recordings
Switched to Watch Videos
Swiped to scroll to end fo videos
2nd exception fired after responded to the Unfortunately... pop up.
It included in the LogCat below. The entire app closed at this point.
Note that have: to reduce the
--------- beginning of crash</t>
  </si>
  <si>
    <t>2015-03-27</t>
  </si>
  <si>
    <t>Natio-Places-63</t>
  </si>
  <si>
    <t>Video Bug on nexus and others</t>
  </si>
  <si>
    <t>crash on nexus and other device</t>
  </si>
  <si>
    <t>2015-03-28</t>
  </si>
  <si>
    <t>koral---android-gif-drawable-sample-1</t>
  </si>
  <si>
    <t>GifTextureView crash (IllegalStateException: Poll failed)</t>
  </si>
  <si>
    <t>1) Open sample app
2) swipe --&gt; from SourcesFragment to TextViewFragment
3) swipe back &lt;-- to SourcesFragment
4) Swipe left &lt;-- again.
CPU usage from 39803ms to 3863ms ago with 99% awake:
4% 1246 3.3% user 0.7% kernel faults: 1136 minor
1.2% 113 local opengl: 0% user 1.2% kernel
0.8% 404 surfaceflinger: 0.3% user 0.4% kernel
0.5% 385 system server: 0.3% user 0.2% kernel faults: 84 minor
0.4% 60 adbd: 0% user 0.4% kernel faults: 1849 minor
0% 111 vinput: 0% user 0% kernel
0% 383 logcat: 0% user 0% kernel
6.8% TOTAL: 3.5% user 2.7% kernel 0.5% softirq
CPU usage from 117ms to 618ms later:
6% 385 system server: 4% user 2% kernel faults: 930 minor
2% 400 WindowManager: 0% user 2% kernel
2% 401 ActivityManager: 2% user 0% kernel
2% 685 Binder 7: 2% user 0% kernel
4% 404 surfaceflinger: 0% user 4% kernel
2% 406 SurfaceFlinger: 0% user 2% kernel</t>
  </si>
  <si>
    <t>Bathlamos-RTDC-48</t>
  </si>
  <si>
    <t>Bugs and problems in date of March 27</t>
  </si>
  <si>
    <t>**FIXED** Delete user not implemented.
**FIXED** Delete unit not implemented.
**FIXED** Edit description of action not working
**FIXED** Rename Cancel button when editing user or account to delete Confusing
**FIXED** Show time only in action plan deadline instead of full date?
**FIXED** Sorting in Capcity Overview does not seem to work except for Unit Name column
No sorting in Action Plan?
**FIXED** Update of Role, Target and Deadline in Action does not seem to work. It like when editing, new Action is inserted in the database.
**FIXED** Application crashed when trying to modify deadline:</t>
  </si>
  <si>
    <t>marverenic-Jockey-4</t>
  </si>
  <si>
    <t>Various Bugs Found, Please Fix ASAP</t>
  </si>
  <si>
    <t>Creating Blank Playlist from Playlist Tab and then creating playlist with the same name through the song, makes the app to crash
While Changing Music and returning to the song screen, previous song info is shown.
Last.Fm Information about artists is only half shown, cannot click on it.
Sometimes the seek bar in now playing screen does not move, and if moved forcefully, returns to its original position (Temporary Workaround Go back and come to the Now Playing Screen)
App Installs on OS 4.4 and above, but crashes on the start for KitKat.
Cannot enter playlist name sometimes while creating playlist from album screen.
Some UI Glitches
Make Yellow and Orange Skin distinct, both look orange-ish.
Improve Last.Fm Integration
Make the Repeat icon more visible for darker album artwork.
Thanks for the awesome app though.</t>
  </si>
  <si>
    <t>2015-03-29</t>
  </si>
  <si>
    <t>rey5137-material-7</t>
  </si>
  <si>
    <t>Demo application crashes</t>
  </si>
  <si>
    <t>The demo application crashes in dialogs tab, after clicking DATE (LIGHT)</t>
  </si>
  <si>
    <t>cgeo-cgeo-4801</t>
  </si>
  <si>
    <t>Crash using new Hint Option on go to coordinates</t>
  </si>
  <si>
    <t>When not actually viewing geocache but simply selecting coordinates from the history list in the goto destination (bottom middle icon on cgeo home screen) you still have the new hint option at the top of the screen (even though there obviously isn hint)
selecting this crashes cgeo unfortauntely c:geo has stopped</t>
  </si>
  <si>
    <t>2015-03-30</t>
  </si>
  <si>
    <t>gitskarios-Gitskarios-58</t>
  </si>
  <si>
    <t>when the menu button is pressed the app crashes</t>
  </si>
  <si>
    <t>hi, using the samsung s3 mini with cm 11. great work, but if press the menu button the app crashes.</t>
  </si>
  <si>
    <t>mpcjanssen-simpletask-android-205</t>
  </si>
  <si>
    <t>Badly timed crash can cause irreversible data loss</t>
  </si>
  <si>
    <t>When applying changes, what happens is that Simpletask builds up the new file in memory and then overwrites the old file in one go. If just after opening this file for writing the phone crashes, you will lose data.
will need to look into how to make the actual replacement an atomic operation which either works completely or fails completely to prevent this from ever happening.</t>
  </si>
  <si>
    <t>2015-03-31</t>
  </si>
  <si>
    <t>nfcgate-nfcgate-78</t>
  </si>
  <si>
    <t>App crash when sending Anticol to a non HCE enabled device</t>
  </si>
  <si>
    <t>The app crashes when we send the Anticol Message to devices which is not HCE enabled.</t>
  </si>
  <si>
    <t>koral---android-gif-drawable-141</t>
  </si>
  <si>
    <t>native crash when feeding a malformed gif file</t>
  </si>
  <si>
    <t>check the following file.</t>
  </si>
  <si>
    <t>square-okhttp-1540</t>
  </si>
  <si>
    <t>ArrayIndexOutOfBoundsException reading from stream</t>
  </si>
  <si>
    <t>Our crash logger is logging lot of these when trying to read GZIP data from the response body byte stream:</t>
  </si>
  <si>
    <t>facebook-stetho-117</t>
  </si>
  <si>
    <t>ApplicationDescriptor NPE crash when opening to Network tab and then closing</t>
  </si>
  <si>
    <t>Steps to repro:
1. Launch stetho sample app
2. Open inspector
3. Click over to the Network tab
4. Close inspector
5. Repeat 2-4 and it ll crash. (if the Network tab was already open after step 2, you won need to repeat)</t>
  </si>
  <si>
    <t>2015-04-01</t>
  </si>
  <si>
    <t>geopaparazzi-geopaparazzi-250</t>
  </si>
  <si>
    <t>crash on secret view</t>
  </si>
  <si>
    <t>APP VERSION CODE 69
APP VERSION NAME 4.2.4
ANDROID VERSION 4.4.2
PHONE MODEL GT-N7105
... 11 more</t>
  </si>
  <si>
    <t>akvo-akvo-flow-mobile-285</t>
  </si>
  <si>
    <t>Error view crash</t>
  </si>
  <si>
    <t>Upon error view display (i.e. mandatory response skipped), very subtle focusability error can happen. Since the QuestionGroupTab requests the focus each time the scroll state has changed, this can potentially cause an in the error popup, if this view has just been instantiated and hasn been attached to the window manager yet.
There are two things to consider here: 1) The QuestionGroupTab should not claim the focus on each scroll interaction, and 2) the keyboard input mode, currently set to adjustPan should be changed to adjustResize which handles the space better, leaving all UI elements accessible.
The main UX change this fix will involve is the removal of implicit focus changes, which has proven to be something rather complicated to manage automatically (and probably not necessary).
Relevant stack trace:
Method) View not attached to window manager</t>
  </si>
  <si>
    <t>calblueprint-phc-308</t>
  </si>
  <si>
    <t>entering code again after entering code crashes</t>
  </si>
  <si>
    <t>100% of the time</t>
  </si>
  <si>
    <t>cgeo-cgeo-4829</t>
  </si>
  <si>
    <t>crash on navigate to android wear</t>
  </si>
  <si>
    <t>user on geoclub.de highlighted an issue, were he got crash when navigating with Wear under Android 5.0.
Report from March, 31st, 23:14.
Here is the stacktrace:</t>
  </si>
  <si>
    <t>2015-04-02</t>
  </si>
  <si>
    <t>facebook-stetho-126</t>
  </si>
  <si>
    <t>App crashing on 4.1.1</t>
  </si>
  <si>
    <t>launch stetho sample
Navigate to APOD</t>
  </si>
  <si>
    <t>facebook-stetho-123</t>
  </si>
  <si>
    <t>getAllActivitiesHack fails on 4.1.1</t>
  </si>
  <si>
    <t>See https: gist.github.com longinoa for the log.
We probably want to find out what version this hack started working on and gate the function to that call.
Failing that we should not allow this to NPE and crash the host app.</t>
  </si>
  <si>
    <t>AntonioRedondo-AnotherMonitor-1</t>
  </si>
  <si>
    <t>Crashes on start</t>
  </si>
  <si>
    <t>Unfortunately, it crashes on start. Tested device was an ASUS MemoPad HD7 (ME173X) running Android 4.2.2.</t>
  </si>
  <si>
    <t>federicoiosue-Omni-Notes-133</t>
  </si>
  <si>
    <t>Crash on tablet</t>
  </si>
  <si>
    <t>not able to create note on tablet, app crashes when perform actions via FAB. Bug reports automatically sent.
About tablet: Samsung Galaxy Tab2 Android Jelly Bean 4.1.2 Unrooted.
ON Beta 15</t>
  </si>
  <si>
    <t>facebook-stetho-131</t>
  </si>
  <si>
    <t>NPE crash in ResourcesUtil.getIdString()</t>
  </si>
  <si>
    <t>Looks like we do need to check for null after all</t>
  </si>
  <si>
    <t>2015-04-03</t>
  </si>
  <si>
    <t>JusticeRage-ApkTrack-36</t>
  </si>
  <si>
    <t>Version 1.1a crashes on startup</t>
  </si>
  <si>
    <t>Version 1.1a just crashes on startup every time on my Galaxy Relay with CM 10.2.1...</t>
  </si>
  <si>
    <t>liato-android-bankdroid-528</t>
  </si>
  <si>
    <t>Jojo crash application if less than 4 cards are connected to the account</t>
  </si>
  <si>
    <t>If the pagination node is not present at the overview page, the application throws an and hence crashes the application.</t>
  </si>
  <si>
    <t>spacecowboy-NoNonsense-FilePicker-13</t>
  </si>
  <si>
    <t>crash InBackground thread</t>
  </si>
  <si>
    <t>Rajawali-Rajawali-1448</t>
  </si>
  <si>
    <t>RajawaliScene.updateSkybox() does not change texture.</t>
  </si>
  <si>
    <t>## Underlying bug
negx, posy, negy, posz, negz) does not update the skybox texture.
## Original support Request
wanted to change skybox images at runtime with timer.
before set skybox use clear() method. not sure if it is true.
but after 3. skybox images, it gives OutOfMemory. (when try all images one by one it is ok.)
but when change it with timer it crashes.
is it logical to change skybox at runtime? what do you advise? how can solve it?</t>
  </si>
  <si>
    <t>2015-04-04</t>
  </si>
  <si>
    <t>syncthing-syncthing-android-333</t>
  </si>
  <si>
    <t>App should not be available on the play store for ARM 5 devices</t>
  </si>
  <si>
    <t>tried installing Syncthing on an HTC Wildfire phone and the loading circle went round and round endlessly without any errors. Starting logcat showed the following:
452): runtime: this CPU has no floating point hardware, so it cannot run
452): this GOARM binary. Recompile using GOARM 5.
452): Syncthing binary crashed with error code
do not see real chance for ARM5 support, but at least it should not be available for these devices as most users will not get what going on, and will just leave bad review.</t>
  </si>
  <si>
    <t>rey5137-material-23</t>
  </si>
  <si>
    <t>Demo app crash when select contacts with unicode characters</t>
  </si>
  <si>
    <t>This library is indeed really amazing. just installed the demo app and gave it try, when selected contact with unicode characters like Vietnamese in the name, the app crashed. haven built the app from source code so cannot give you more information on the crash.</t>
  </si>
  <si>
    <t>forcedotcom-SalesforceMobileSDK-Android-862</t>
  </si>
  <si>
    <t>Hybrid app crash (ArrayIndexOutOfBoundsException) when OAuth scopes aren't defined to match bootconfig.json</t>
  </si>
  <si>
    <t>If you don include the proper scopes when setting up your Connected App, rather than getting 1804: the requested scope is not allowed upon Login, the app crashes with:
AccountManager returns an empty array if there are no accounts, never null so that should be the test (#835 is this same bug, just in different words)
The offending code was introduced in 633df05</t>
  </si>
  <si>
    <t>2015-04-06</t>
  </si>
  <si>
    <t>mobilyzer-Mobilyzer-5</t>
  </si>
  <si>
    <t>Mobilyzer crashing on throughput tests on certain devices</t>
  </si>
  <si>
    <t>My Speed Test user reported our app crashing while performing throughput test.
Android version: 5.0
... 10 more
don have much more information here, but believe this could be Lollipop specific issue.
Please investigate this and ll try to provide as much information as possible.</t>
  </si>
  <si>
    <t>dimagi-commcare-android-216</t>
  </si>
  <si>
    <t>Landscape detail fix</t>
  </si>
  <si>
    <t>This PR removes (useless) Continue button that is displayed while in landscape mode, and that causes crashes when pressed.
When rotating from landscape to portrait with an entity selected, launch with that selection.
Bug 163637 (http: manage.dimagi.com default.asp?163637)</t>
  </si>
  <si>
    <t>ZieIony-Carbon-62</t>
  </si>
  <si>
    <t>Using Carbon's FrameLayout as a container for fragments results in an ArrayIndexOutOfBoundsException</t>
  </si>
  <si>
    <t>have (in DrawerLayout, though don think it matters) that using as container for FragmentTransaction s. do this in my activity:
Here my layout:
The first fragment transaction works fine. However, subsequent one gives the following crash:
Simply changing the to regular Android FrameLayout with no other changes, fixes the issue.
My guess is it something to do with the z-ordering Carbon does, but not sure.
This isn catastrophic for my case as using regular FrameLayout is fine, but it could impede the use of shadows in some other cases.</t>
  </si>
  <si>
    <t>pattch-PicToPoly-16</t>
  </si>
  <si>
    <t>Interacting with the Triangulation while ProcessImage is running</t>
  </si>
  <si>
    <t>Since ProcessImage runs on thread outside of the UI thread, the UI thread can send calls to ImageProcessor to add remove points etc. while ProcessImage is running. This should never be the case, because it can cause the application to crash, or cause graphical errors.</t>
  </si>
  <si>
    <t>2015-04-07</t>
  </si>
  <si>
    <t>pattch-PicToPoly-14</t>
  </si>
  <si>
    <t>Concurrent ProcessImage threads</t>
  </si>
  <si>
    <t>Right now, when an image is processed, it is done on separate thread, accessing modifying the images held in the ImageProcessor for PolyActivity. This can cause the app to crash, and cause graphical errors when multiple threads run at the same time.
The user should be able to stop processing, but not be able to process the image multiple times at once.</t>
  </si>
  <si>
    <t>rengwuxian-MaterialEditText-162</t>
  </si>
  <si>
    <t xml:space="preserve">Holding down an an edit text field crashes </t>
  </si>
  <si>
    <t>After updating to 2.0.3 get an error every time hold down on material edit text element
The xml element in question</t>
  </si>
  <si>
    <t>codebasepk-TrackBuddy-22</t>
  </si>
  <si>
    <t xml:space="preserve">app crashed </t>
  </si>
  <si>
    <t>app get crashed on Qmobile devices.</t>
  </si>
  <si>
    <t>gitskarios-Gitskarios-75</t>
  </si>
  <si>
    <t>App crashes when you tap on another issue in a repository, just as you return from one (before it finishes reloading)</t>
  </si>
  <si>
    <t>If you open an issue, then go back tap on another issue while it refreshing the list, the app will crash. This is so long as the list is being refreshed, so it might happen more often on slower network conditions.
This is on Nexus running stock Android 5.1, non-rooted.</t>
  </si>
  <si>
    <t>moneymanagerex-android-money-manager-ex-123</t>
  </si>
  <si>
    <t>Channel is unrecoverably broken and will be disposed!</t>
  </si>
  <si>
    <t>In JellyBean the application random crash with similar error:
We are able to investigate and some of us to simulate and understand why it happens?</t>
  </si>
  <si>
    <t>2015-04-08</t>
  </si>
  <si>
    <t>ZieIony-Carbon-65</t>
  </si>
  <si>
    <t>Hardware Acceleration Crash</t>
  </si>
  <si>
    <t>If have hardware acceleration enabled on my ASUS TF101 (Android 4.0.3), it crashes when trying to clip the content of view with rounded corners. With hardware acceleration disabled it works. Also, on my Phone (Samsung Galaxy Fame with Android 4.1) it does not crash, but the rounded corners do not work.</t>
  </si>
  <si>
    <t>pattch-PicToPoly-24</t>
  </si>
  <si>
    <t>Bad input text in GradientActivity crashes the App</t>
  </si>
  <si>
    <t>This should be tested for caught and then the user should be informed that the width height should be number.</t>
  </si>
  <si>
    <t>pattch-PicToPoly-23</t>
  </si>
  <si>
    <t>Selecting only One Color in GradientActivity Crashes the App</t>
  </si>
  <si>
    <t>In GradientActivity, if youy only select one Color, and hit Apply without selecting another Color, the App crashes. This is probably because LinearGradient requires that there be more than one color in the array of colors passed to it.
Possible Fix: if the user only wants one color, make solid Image instead of Gradient (totally useless)
Alternate Possible Fix: Don navigate away from GradientActivity if the user only selects one color. Instead, notify the user that they didn pick enough colors to make Gradient.</t>
  </si>
  <si>
    <t>unfoldingWord-dev-ts-android-430</t>
  </si>
  <si>
    <t>The view pager is not correctly removing fragments.</t>
  </si>
  <si>
    <t>As result rotating the screen causes fragments to pile up eventually using up all the memory and crashing the app. You have to rotate decent number of times to cause crash.
Note the view pager is used for tabbed content such as the library and resources.</t>
  </si>
  <si>
    <t>2015-04-09</t>
  </si>
  <si>
    <t>orhanobut-logger-17</t>
  </si>
  <si>
    <t>1.5 does not work</t>
  </si>
  <si>
    <t>updated to 1.5, in our gradle files (since we need the stack-trace crash fix), but it does not recognise the classes from the library.
Even if put the .aar locally in the project it does not work.
1.4 works perfectly, something wrong with the build that were uploaded to mavenCentral?</t>
  </si>
  <si>
    <t>kontalk-androidclient-385</t>
  </si>
  <si>
    <t>Crash on opening unknown contact</t>
  </si>
  <si>
    <t>Trying to carry out this intent (resuming compose activity):
resulted in this crash:
Caused by: key null
... 10 more</t>
  </si>
  <si>
    <t>piemasters-SmartLock-8</t>
  </si>
  <si>
    <t>Colour Theme Crashes App</t>
  </si>
  <si>
    <t>The application crashes and no longer opens when the colour theme preference is changed on devices running 4.4 or lower.</t>
  </si>
  <si>
    <t>2015-04-10</t>
  </si>
  <si>
    <t>pwittchen-prefser-22</t>
  </si>
  <si>
    <t>Boolean default value returns a String</t>
  </si>
  <si>
    <t>Is there reason why the default value of Boolean does not return true or false but String containing the value? In my opinion it must returns boolean to avoid crashes.</t>
  </si>
  <si>
    <t>cgeo-cgeo-4868</t>
  </si>
  <si>
    <t>OOM crash on Android 5.0+ only</t>
  </si>
  <si>
    <t>Looking at the PlayStore this error seems to be limited to Android 5.0+ and not related to the known mapsforge OOM issue.
2015.03.31 and 2015.03.28.
stopped when tried to store
app always crashing, not sure what going on usually very reliable.
Bei der kartenansicht st rzt die App laufend ab.
Caused by: Failed to allocate 4665612 byte allocation with 1016073 free bytes and 992KB until OOM</t>
  </si>
  <si>
    <t>the-blue-alliance-the-blue-alliance-android-386</t>
  </si>
  <si>
    <t>NPE crash on a non-existent event</t>
  </si>
  <si>
    <t>This case shouldn arise in the field so ll just log it and fix the test data in test notification.py in #379 where the test schedule updated push notification uses the non-existent Event 2014ausy event. (Why didn this crash before?)
calls expecting non-null value but getDateString() can catch and return null
**Test case 1:** Uninstall the debug app. Sync to the master branch. Optionally set breakpoint in the catch for Launch the debug build. Let it load team event data. Tap not now for myTBA sign in. It will hit the breakpoint (8 times IIRC) in as called by Event#render() This breakpoint on the background thead seems to make it hang.
**Test case 2:** Repeat test case but don set breakpoint. (It puzzling that Missing fields for getting date string is not in logcat given that it would ve hit the breakpoint. Is the debugger wrong about what happens in the background thread?) Then send test notification for non-existent event like 2014ausy Then tap that notification to go to the Event screen. That when calls gets null result, then crashes with NPE. (See logcat below.)
from fetching http: api v2 event 2014ausy awards
from fetching http: api v2 event 2014ausy stats</t>
  </si>
  <si>
    <t>bumptech-glide-401</t>
  </si>
  <si>
    <t>Do not try to clear a non existent request</t>
  </si>
  <si>
    <t>During some test with Glide and FutureTarget it appears that when you cancel FutureTarget very fast, the request may not yet be set in RequestFutureTarget leading to crash.
This simple PR fix this case.</t>
  </si>
  <si>
    <t>2015-04-13</t>
  </si>
  <si>
    <t>docprajit-MithrilApp-1</t>
  </si>
  <si>
    <t>App crashes for multiple permissions</t>
  </si>
  <si>
    <t>If an app uses multiple permissions the app crashes without displaying them.</t>
  </si>
  <si>
    <t>AltBeacon-android-beacon-library-165</t>
  </si>
  <si>
    <t>App Crashes using BeaconSimulator crashes app when Android L APIs Active</t>
  </si>
  <si>
    <t>Reported by an end-user here: http: stackoverflow.com questions 29594996 29596488?noredirect 1#comment47340114 29596488</t>
  </si>
  <si>
    <t>bumptech-glide-413</t>
  </si>
  <si>
    <t>Invalid resource ID crashes the app</t>
  </si>
  <si>
    <t>**Glide Version Integration library (if any)**: 3.6.0-SNAPSHOT
**Device Android Version**: S4 4.4
**Issue details Repro steps**: When Glide receives an invalid resource ID it leads to crashing application. The expected behaviour would be to display the .error() image (if any) and call onException with the instance and the invalid resource ID as model
Please note that all the other cases could think of are gracefully (and most of the time correctly) handled. See other cases. below the stack trace.
**Glide load line**:
.load(0) any non-existent resource ID, 123456789 too
Override public boolean onException(...) Log.d(...) return false
Override public boolean Log.d(...) return false
27.797 10716-10716 ResourceType No known package when getting name for resource number 0x075bcd15
27.797 10716-10716 dalvikvm threadid 1: thread exiting with uncaught exception (group 0x418cbda0)
#### Other Cases
Some parts of the log were cut for brevity.
52.270 13649-13675 skia --- returned null
##### R.string.app name
17.622 9907-10147 skia --- returned null</t>
  </si>
  <si>
    <t>2015-04-14</t>
  </si>
  <si>
    <t>dmfs-opentasks-134</t>
  </si>
  <si>
    <t>widget crashs on tapping on task</t>
  </si>
  <si>
    <t>Additional info: Tapping at brings me to create new task also tapping at the title works fine.
Is it only at my device? If you need further informations, will give it to you.</t>
  </si>
  <si>
    <t>Thing342-MobileMemento-4</t>
  </si>
  <si>
    <t>MobileMink immediately crashes when used on Android 4.4.4</t>
  </si>
  <si>
    <t>2015-04-15</t>
  </si>
  <si>
    <t>rosjava-android_apps-46</t>
  </si>
  <si>
    <t>Illegal call to VisualizationView.onCreate</t>
  </si>
  <si>
    <t>In map nav MainActivity (and propably in the other apps, too) the call to is made in the Activity init method and not in onCreate, as demanded by the documentation of VisualizationView. Furthermore isn called at all.
This might work under some circumstances, but when running the current head of the indigo branch on an Android 4.0 device, the app crashed every time on startup throwing in The stack didn include any custom rosjava methods.
Calling and init in the designated methods fixed the problem.
submit pull request, but the fix needs some architectural changes in the layers, which you might want to do yourself.</t>
  </si>
  <si>
    <t>mixpanel-mixpanel-android-205</t>
  </si>
  <si>
    <t>IllegalStateException: Can not perform this action after onSaveInstanceState</t>
  </si>
  <si>
    <t>Repeatable crash (happens enough that can grab it in debugger and get any other info you need).
Seems to happen when we re changing activities, and have recently set unset properties with propertyName, Object value)
Properties never seem to end up in our Mixpanel account.
Please let me know whatever else can provide to get this resolved.
Full stack traces are below (one exception causes another). The last non-Android line is:
Caused by: Can not perform this action after onSaveInstanceState</t>
  </si>
  <si>
    <t>2015-04-16</t>
  </si>
  <si>
    <t>michaelbarlow7-dungeon-crawl-android-55</t>
  </si>
  <si>
    <t>Crash when the orientation changes</t>
  </si>
  <si>
    <t>DCSS crashes when the phone or tablet orientation changes. Locking the orientation helps bit, but not completely because when another application comes atop (for exemple due to an incoming phone call) the game crashes even with locked orientation. Changing the display size with the volume buttons also causes crash.
The bug can be reproduced systematically. It happears on different hardwares with different android versions for example on LG Nexus with Android 5.1.</t>
  </si>
  <si>
    <t>OneDrive-onedrive-explorer-android-38</t>
  </si>
  <si>
    <t>Should determine if the user's wifi is down to prevent the app from crashing</t>
  </si>
  <si>
    <t>Should determine if the user wifi is down to prevent the app from crashing</t>
  </si>
  <si>
    <t>2015-04-17</t>
  </si>
  <si>
    <t>Thing342-MobileMemento-7</t>
  </si>
  <si>
    <t>Clicking "Settings" causes a crash</t>
  </si>
  <si>
    <t>Title explains it all.</t>
  </si>
  <si>
    <t>dhis2-dhis2-android-eventcapture-14</t>
  </si>
  <si>
    <t>App crash on entering data in EditTextField</t>
  </si>
  <si>
    <t>App crash on entering data in EditTextField.
Android Version: 5.1</t>
  </si>
  <si>
    <t>cc-archive-list-276</t>
  </si>
  <si>
    <t>App crashes when saving new photo</t>
  </si>
  <si>
    <t>opened the List (v. 1.0), selected option from My List (a photo of an umbrella).
took the photo, and when given the choice to Save or Discard, chose Save.
The List app notified me it had crashed.
This happened twice, exactly the same experience each time.
tried this with another item from My List (cup of coffee), and had the same result, for 3x total.
Samsung GT-I9100m (Galaxy II)
Android v. 4.1.3</t>
  </si>
  <si>
    <t>2015-04-18</t>
  </si>
  <si>
    <t>redsolution-xabber-android-400</t>
  </si>
  <si>
    <t>Development version crashes when "Active chats on top" is disabled</t>
  </si>
  <si>
    <t>2015-04-19</t>
  </si>
  <si>
    <t>moneymanagerex-android-money-manager-ex-205</t>
  </si>
  <si>
    <t>app crash when user inserti new transactions</t>
  </si>
  <si>
    <t>This is logcat:</t>
  </si>
  <si>
    <t>2015-04-20</t>
  </si>
  <si>
    <t>PanicInitiative-PanicButton-81</t>
  </si>
  <si>
    <t>Crash report for contact nested fragment</t>
  </si>
  <si>
    <t>This is the most frequent crash report in Parse.
This might be related to #57 although the stack traces look very different.
Stackoverflow seems to point at problem with nested fragments (http: stackoverflow.com 19815266 3237351) which shouldn be done but seems to be happening here (https: github.com iilab PanicButton blob master res layout fragment type interactiveIt seems that nested fragments were introduced in Android 4.2 (but they still can be added with &lt;fragment&gt; tag according to this post (http: 2013 02 so we need to remove this to keep Android 2.3 compatibility.</t>
  </si>
  <si>
    <t>ZieIony-Carbon-73</t>
  </si>
  <si>
    <t>ShadowGenerator crashes with 0dp views</t>
  </si>
  <si>
    <t>2015-04-21</t>
  </si>
  <si>
    <t>dhis2-dhis2-android-eventcapture-22</t>
  </si>
  <si>
    <t xml:space="preserve">View recycling related issue in DataEntryFragment ListView. </t>
  </si>
  <si>
    <t>Scrolling listview with fields in DataEntryFragment causes application crash.</t>
  </si>
  <si>
    <t>24HeuresINSA-24h-android-app-100</t>
  </si>
  <si>
    <t>URGENT : export cassé</t>
  </si>
  <si>
    <t>Dans les animations tu exportes les pictures dans un object alors qu il faut un array. appli crash pas mais ne recoit plus les donn es.
Tu peux en occuper quand</t>
  </si>
  <si>
    <t>2015-04-22</t>
  </si>
  <si>
    <t>Natio-Places-74</t>
  </si>
  <si>
    <t>crash after closing flag</t>
  </si>
  <si>
    <t>going back to homepage the app crashes</t>
  </si>
  <si>
    <t>johnkil-Android-RobotoTextView-38</t>
  </si>
  <si>
    <t>appcompat 22.1 crash</t>
  </si>
  <si>
    <t>have just updated to appcompat 22.1.0 and inflating layout that contains RobotoTextView widgets causes crash of class not found
Maybe the issue is caused by the automatic substitution of widget with the new tinted aware (AppCompatTextView, AppCompatEditText etc) version</t>
  </si>
  <si>
    <t>paceuniversity-cs3892015team1-28</t>
  </si>
  <si>
    <t>App crashes when the user tries to start quiz without having any pictures</t>
  </si>
  <si>
    <t>If you have no file associated with the app and try to start the quiz, the app will crash and start over.</t>
  </si>
  <si>
    <t>koral---android-gif-drawable-157</t>
  </si>
  <si>
    <t>CRASH: SIGSEGV on particular gif</t>
  </si>
  <si>
    <t>This image produces 100% repro crash:
Haven had time to investigate it my self yet.
This is all got for the stack trace:
Also as note this crash doesn seem to have been present on older versions of the lib. not sure exactly when it started, but some time before 1.0 it was fine for sure.</t>
  </si>
  <si>
    <t>2015-04-23</t>
  </si>
  <si>
    <t>getlantern-firetweet-56</t>
  </si>
  <si>
    <t>App crashes when clicking on a tweet in the mentions screen</t>
  </si>
  <si>
    <t>remulasce-metroapp-216</t>
  </si>
  <si>
    <t>User reported crash</t>
  </si>
  <si>
    <t>Looks like goofed in priority comparison method.
public int compare(Trip lhs, Trip rhs)
return (lhs.getPriority() rhs.getPriority()) -1
Violates the contract of comparitors, because if the priorities are equal, -1 will be returned, which denotes that one side is greater.
This is obviously incorrect.
Also, it simple fix.
User reports this happened with screen off when notification sounded. think it was when he turned on his phone, all the priorities got recalculated and reordered, revealing this issue.
It was likely for priorities to be exactly equal because each trip in stop has identical priority.
USER COMMENT alarm sounded when the screen was off
ANDROID VERSION 4.4.2
APP VERSION NAME 0.71
PHONE MODEL LGMS323</t>
  </si>
  <si>
    <t>2015-04-24</t>
  </si>
  <si>
    <t>CellularPrivacy-Android-IMSI-Catcher-Detector-390</t>
  </si>
  <si>
    <t>Application dies when running in background</t>
  </si>
  <si>
    <t>When turn on location service (from no location service to GPS) application crashes after few seconds:
(+40 more times the same update)
Then press OK on the popup application crashes 2-3 more times just after pressing OK, then starts without problems.</t>
  </si>
  <si>
    <t>2015-04-25</t>
  </si>
  <si>
    <t>remulasce-metroapp-218</t>
  </si>
  <si>
    <t>Analytics Crash reporting doesn't work.</t>
  </si>
  <si>
    <t>ve received zero crash reports through analytics, but ve gotten an email from user, and definitely crashed the app developing features while on analytics.
So that not working.</t>
  </si>
  <si>
    <t>24HeuresINSA-24h-android-app-135</t>
  </si>
  <si>
    <t>Crash when rotating screen</t>
  </si>
  <si>
    <t>Steps to reproduce
1. Start application
2. Rotate screen
App crashes with following error</t>
  </si>
  <si>
    <t>2015-04-27</t>
  </si>
  <si>
    <t>sandsmark-QuasselDroid-243</t>
  </si>
  <si>
    <t>[Bug Report] QuasselDroid crash when connecting to server</t>
  </si>
  <si>
    <t>getting the following error when connecting to my Quassel Core (with some extra debug log just in case):
This appears to happen on occasions when connecting to my core, which consists of servers, one connected to freenode and one connecting to esper, and occurs during the receiving backlog portion of the connect process.</t>
  </si>
  <si>
    <t>mvysny-aedict-485</t>
  </si>
  <si>
    <t>Aedict 3.16 crashes on Galaxy Tab S after upgrade to Android 5.0</t>
  </si>
  <si>
    <t>It seems that upon upgrade to 5.0, Galaxy Tab had removed the drawable android:ic clear image which causes Aedict to crash. will copy the image to Aedict and release fix version.</t>
  </si>
  <si>
    <t>open-keychain-open-keychain-1227</t>
  </si>
  <si>
    <t>crash in tokenautocomplete</t>
  </si>
  <si>
    <t>happened at click on the back button (top left) in the encrypt text dialog while the encrypt to field was focused</t>
  </si>
  <si>
    <t>AugustanaCSC490Spring2015-SealTeamSixGame-2</t>
  </si>
  <si>
    <t>Game crashes when there are no players</t>
  </si>
  <si>
    <t>We need some sort of check that there is at least one player before user can start game. noticed that when there is no player, the app randomly crashes (Because it is seemly random, would guess it is when the first queen is drawn and there is no player to assign the question master title to)</t>
  </si>
  <si>
    <t>sriharshachilakapati-SilenceEngine-15</t>
  </si>
  <si>
    <t>BUG: Blank String = crash</t>
  </si>
  <si>
    <t>0, 0) throws the exception
This only happens with blank string. normal string will work fine. If the string is empty it should just skip doing anything however it crashes instead. null pointer is thrown as expected when the string value is null though.</t>
  </si>
  <si>
    <t>2015-04-28</t>
  </si>
  <si>
    <t>EricssonResearch-openwebrtc-android-sdk-2</t>
  </si>
  <si>
    <t>Switching camera takes a long time and sometimes crashes the app</t>
  </si>
  <si>
    <t>Fixing this will require some changes in OpenWebRTC and the Android video source plugin, in the meantime this is worked around by using some timeouts, which is far from foolproof.
The workaround can be improved once we can listen for start stop events from the local video sources.</t>
  </si>
  <si>
    <t>2015-04-29</t>
  </si>
  <si>
    <t>clintonhealthaccess-chailmis-android-192</t>
  </si>
  <si>
    <t>test to confirm memory leak doesn't occur</t>
  </si>
  <si>
    <t>You can reproduce this issue by loading report Monthly Facility Consumption Report RH2 for many times. If you load it 20-30 times, the app should crash. Although, now that this is fixed, it should not crash anymore.
(I had to recreate this issue as dupe of 189, as couldn move card 189)</t>
  </si>
  <si>
    <t>2015-04-30</t>
  </si>
  <si>
    <t>Stuart-campbell-RushOrm-30</t>
  </si>
  <si>
    <t>Database migration issue</t>
  </si>
  <si>
    <t>Hi, encountering an issue with auto database migration. When add new fields to my database objects the auto migration crashes. Please see the following MWE.
This is the simple class starting with:
public class MyObject extends RushObject
private String value
public MyObject(String value)
In my activity create an instance and write it to the database:
public class MainActivity extends ActionBarActivity
protected void onCreate(Bundle savedInstanceState)
MyObject obj new MyObject( Test
Everything works fine until now. But when adding new member to my object and running the code from the activity above, it crashes.
public class MyObject extends RushObject
private String value
private String nextField
public MyObject(String value)
This issue should be resolved by database migration.
This can be done by updating db version number in the manifest or setting Rush in debug mode.
To set Rush in debug mode add this to your manifest file &lt;meta-data android:name Rush debug android:value true
Caused by: This is most likely caused by change in data structure or new RushObject.
This issue should be resolved by database migration.
This can be done by updating db version number in the manifest or setting Rush in debug mode.</t>
  </si>
  <si>
    <t>2015-05-01</t>
  </si>
  <si>
    <t>kontalk-androidclient-410</t>
  </si>
  <si>
    <t>Unknown crash probably from 2.x upgrade gone south</t>
  </si>
  <si>
    <t>Reported from Google Play on version 3.0-rc3.</t>
  </si>
  <si>
    <t>2015-05-02</t>
  </si>
  <si>
    <t>sockeqwe-mosby-23</t>
  </si>
  <si>
    <t>Production app with Mosby : RuntimeException: Parcel android.os.Parcel Unmarshalling unknown type code 47068 at offset 304</t>
  </si>
  <si>
    <t>can not reproduce it, As it was one some random users device, just caught it in Crashlytics.
Here is the crashlytics report with whole exception and other device android details
Does it have anything to do with ParclablePlease or it pro-guard configuration )?
Or Any other Mosby components
This is the first time such error has occurred and it doesn see on new device. it is kind of old device. App works fine in many devices as can see in the analytcis and crashlytics.
Some discussion in similar Stack Overflow with similar question
Pasting the stack trace here as well</t>
  </si>
  <si>
    <t>redsolution-xabber-android-417</t>
  </si>
  <si>
    <t>Crash opening chat window</t>
  </si>
  <si>
    <t>running Version 1.0.2 from F-Droid on Galaxy Nexus (maguro) running Android 4.4.4. It crashes as soon as try to open chat window to talk to any contact. Here is the logcat:
DEBUG 134): *** *** *** *** *** *** *** *** *** *** *** *** *** *** *** ***
DEBUG 134): Build fingerprint: google yakju maguro:4.4.2 KOT49H 737497:user release-keys
DEBUG 134): Revision:
DEBUG 134): signal (SIGBUS), code 128 (SI KERNEL), fault addr 00000000
DEBUG 134): r0 bedb60f4 r1 00000000 r2 00000001 r3 00000000
DEBUG 134): r4 2d6e7461 r5 5dcf4a20 r6 00000000 r7 5db7ca08
DEBUG 134): r8 00000000 r9 5de75608 sl 44340000 fp bedb643c
DEBUG 134): ip 00000001 sp bedb60e8 lr 40bf3271 pc 40bf327e cpsr 200d0030
DEBUG 134): d0 448dc00033d6bf95 d1 4248000000000000
DEBUG 134): d2 0000000000000000 d3 33d6bf9544340000
DEBUG 134): d4 000000ff3df0f0f1 d5 4434000000000000
DEBUG 134): d6 448dc00000000000 d7 3df0f0f100000000
DEBUG 134): d8 00000000448dc000 d9 448dc00044340000
DEBUG 134): d10 0000000000000000 d11 0000000000000000
DEBUG 134): d12 0000000000000000 d13 0000000000000000
DEBUG 134): d14 0000000000000000 d15 0000000000000000
DEBUG 134): d16 0000000800000000 d17 4031000000000000
DEBUG 134): d18 3ff0000000000000 d19 0000000000000000
DEBUG 134): d20 3ff0000000000000 d21 4040000000000000</t>
  </si>
  <si>
    <t>2015-05-03</t>
  </si>
  <si>
    <t>redsolution-xabber-android-420</t>
  </si>
  <si>
    <t>1.0.2: 3 issues with "Export chat" functionnality</t>
  </si>
  <si>
    <t>Export chat basically works, but there are issues that break Xabber along the way, and in the end some content is not saved properly.
HTD Desire HD (http: www.gsmarena.com htc desire hd-3468.php)
CyanogenMod 11 M12 (http: showthread.php?t 2533007)
Steps to reproduce
1. Make sure you are logging chats on your device
2. Update Xabber from 0.9.30f to 1.0.2 via F-droid
3. Tap on the name of user to access the chat window
4. Call up the option menu
5. Select Export Chat
Issue 1: cut paste menu design issue
## Actual result
When selecting text to cut or paste, the cut paste menu comes down, but all the icons are white on white background. They are still functionnal if you know where to press.
## Expected result
When selecting text to cut or paste, the cut paste menu comes down, icons should be different color from the background they are on
Issue 2: Xabber crashes upon exporting
## Actual result
When confirming the name of the export, an Android window appears to inform Xabber has crashed. If you press OK quickly, the save is not carried out. If you wait 10 to 15 secondes before dismissing the window, the chat is properly saved.
## Expected result
Xabber should not crash upon exporting chat.
Issue 3: Issues with parsing conversion to HTML</t>
  </si>
  <si>
    <t>2015-05-04</t>
  </si>
  <si>
    <t>bumptech-glide-454</t>
  </si>
  <si>
    <t>Handle null url in GlideUrl without crashing</t>
  </si>
  <si>
    <t>think it bug. When use this:
String url null
GlideUrl glideUrl new GlideUrl(url, new
.addHeader( User-Agent USER AGENT)
.addHeader( App-Agent APP AGENT)
Then app crash with:
String url must not be empty or null
But then fallback for null is unusable in this situation?</t>
  </si>
  <si>
    <t>2015-05-05</t>
  </si>
  <si>
    <t>dhis2-dhis2-android-eventcapture-34</t>
  </si>
  <si>
    <t>If initial loading finishes while app is in the background it crashes</t>
  </si>
  <si>
    <t>Because it tries to change fragment (from loading to selectprogram) after instance state has been saved. It not big problem, but the app crashes and closes so the user will have to re-open it</t>
  </si>
  <si>
    <t>DigitalCampus-oppia-mobile-android-427</t>
  </si>
  <si>
    <t>App crashing when changing server setting</t>
  </si>
  <si>
    <t>Also, app crashes when the user goes to the settings page but they re not yet logged in
Reported by Fred</t>
  </si>
  <si>
    <t>2015-05-06</t>
  </si>
  <si>
    <t>dimagi-commcare-android-267</t>
  </si>
  <si>
    <t xml:space="preserve">Null pointer exception fix on form crash </t>
  </si>
  <si>
    <t>cgeo-cgeo-4922</t>
  </si>
  <si>
    <t>Geocache details page crashes occasionally</t>
  </si>
  <si>
    <t>For some months, c:geo sometimes crashes when displaying the geocache details page. Unfortunately, this bug is not reproducible (can trigger it directly) but still happens quite often during normal use. running Android 4.4.4 (Samsung S3 LTE, not rooted) with recent releases of c:geo (from Google Play store).
ve send couple of those automated bug reports (usually like crash while viewing cache details ), but today crash (5.5.2015) starts with the (hopefully unique) label AMK4711A just in case you want to debug this specific crash.
There are two ways the crash happens.
(1) When on the map screen (OpenAndroMaps locally stored) and touch geocache icon (traditional, geocaching.com), small overlay window opens. There can touch More details to launch the geocache details page. And this is when the crashes happen.
(2) When editing the Personal note of geocache and touch OK to return to the geocache details page, then c:geo also is likely to crash.
It doesn matter if GPS, WLAN or Mobile networks (or any combination of it) is switched on or off. There plenty of memory and disk space available (usually, c:geo is the only app actively running). Rebooting the phone doesn change anything.
The only common thing of all the crashes is that they always happen when the geocache details page(s) is going to be displayed. There no crash by just switching back and forth between the sub-pages of the geocache details (like waypoints, overview, description, logs etc.)
If you need additional information, please let me know. If it helps can assign the same unique label (see above) to future crash reports so they can be referenced easily.</t>
  </si>
  <si>
    <t>syncthing-syncthing-android-389</t>
  </si>
  <si>
    <t>Log window crashes</t>
  </si>
  <si>
    <t>can reproduce this with release build (f-droid) but not for debug builds, any idea Nutomic</t>
  </si>
  <si>
    <t>2015-05-07</t>
  </si>
  <si>
    <t>24HeuresINSA-24h-android-app-180</t>
  </si>
  <si>
    <t>static activity : crash when switching between itself</t>
  </si>
  <si>
    <t>elan-ev-StudIPAndroidApp-67</t>
  </si>
  <si>
    <t>BaseLayoutManager.java line 355</t>
  </si>
  <si>
    <t>Number of crashes: 41
Impacted devices: 41
There lot more information about this crash on crashlytics.com:</t>
  </si>
  <si>
    <t>sockeqwe-mosby-29</t>
  </si>
  <si>
    <t>AndroidRuntime NullPointerException</t>
  </si>
  <si>
    <t>when using your in my app and rotating the device, get this crash:
ViewState is null! That not allowed</t>
  </si>
  <si>
    <t>2015-05-08</t>
  </si>
  <si>
    <t>gdg-x-frisbee-354</t>
  </si>
  <si>
    <t>ModelCache ClassCastException</t>
  </si>
  <si>
    <t>This time it is for EventList in the main screen. don know how this happened. solved it by cleaning data of the app and it is now working fine.
The crash was persistent and was happening on every app open.</t>
  </si>
  <si>
    <t>splitwise-TokenAutoComplete-125</t>
  </si>
  <si>
    <t>Intermittent crash after performCollapse</t>
  </si>
  <si>
    <t>Encountered with 1.3.3 don know how to reproduce the crash. The crash happens in delayed Runnable (https: github.com splitwise TokenAutoComplete blob master library src main java com tokenautocomplete inside so don know the exact state it was in. The application this runs in does not call performCollapse manually</t>
  </si>
  <si>
    <t>2015-05-11</t>
  </si>
  <si>
    <t>federicoiosue-Omni-Notes-160</t>
  </si>
  <si>
    <t>Search in Reminders crashes in Beta</t>
  </si>
  <si>
    <t>When try to search notes via the reminders tab in the menu, the app crashes all the time</t>
  </si>
  <si>
    <t>dimagi-commcare-android-286</t>
  </si>
  <si>
    <t>Save on session expiration when constraints are violated</t>
  </si>
  <si>
    <t>Saving on session expiration currently crashes the app if the form being edited violates constraints. This PR just aborts the save if constraints aren met. We could also attempt to clear violating values and resave, should this be done?</t>
  </si>
  <si>
    <t>2015-05-12</t>
  </si>
  <si>
    <t>splitwise-TokenAutoComplete-126</t>
  </si>
  <si>
    <t>setTokenLimit(), app crashes when more than the limit will be added</t>
  </si>
  <si>
    <t>Without setting any token limit, the library works fine. But when set the token limit to or 2, the app crashes every time try to add one token more than the limit.
In my understanding this should not happen. If need to check if the token limit has been reached, the method doesn make any sense...</t>
  </si>
  <si>
    <t>nerzhul-ncsms-android-57</t>
  </si>
  <si>
    <t>crash on sync</t>
  </si>
  <si>
    <t>The app service crashes on sync when using design with app icons.
You could try for example with Onze
think the most relevant part of the log is:
The full log:
ActivityManager( 755): Start proc fr.unix experience.owncloud sms:sync for service fr.unix experience.owncloud sms .sync pid 4277 uid 10505 gids 50505, 3003
755): onNotification error pkg fr.unix experience.owncloud sms tag null id will 10505, pid 4277)
ActivityManager( 755): Process fr.unix experience.owncloud sms:sync (pid 4277) has died.
ActivityManager( 755): Scheduling restart of crashed service fr.unix experience.owncloud sms .sync in 1000ms</t>
  </si>
  <si>
    <t>aminought-HowLongAgoWidget-6</t>
  </si>
  <si>
    <t>Widget often crashes, possibly, because of images.</t>
  </si>
  <si>
    <t>moneymanagerex-android-money-manager-ex-257</t>
  </si>
  <si>
    <t>App crashes when offline</t>
  </si>
  <si>
    <t>User left remark in Play Store that the app crashes when offline.
ran into something similar in an emulator that did not have Internet access. We should inspect the Dropbox check on app start.</t>
  </si>
  <si>
    <t>aidangrabe-material-color-picker-1</t>
  </si>
  <si>
    <t>Crash on Android versions &lt; 5.0</t>
  </si>
  <si>
    <t>Showing the crashes on versions 5.0 with the following StackTrace:</t>
  </si>
  <si>
    <t>k9mail-k-9-642</t>
  </si>
  <si>
    <t>K9-Mail crashes when touching area of attached mail and quickly trying to type</t>
  </si>
  <si>
    <t>What steps will reproduce the problem?
1. Tap in the reply area, so the keyboard opens
2. Tap in the area of the attached message
3. quickly start typing before the keyboard disappears -&gt; K9mail has stopped working.
What do you expect to have happen?
No crash, or that keyboard disappears more quickly, or that current message gets saved before K9-Mail crashes.
What version of K-9 are you using?
What is your device and what version of Android are you using?
Fairphone FP1 (MT6589 chipset)
What else should we know?
The crash produces no entry in the log (using CatLog on the rooted phone).
We have discussed this in the Fairphone Forum and the issue seems quite reproducible: https: forum.fairphone.com 5899</t>
  </si>
  <si>
    <t>2015-05-13</t>
  </si>
  <si>
    <t>dimagi-commcare-android-292</t>
  </si>
  <si>
    <t>Removed unused fields that cause crash on 4.2.2</t>
  </si>
  <si>
    <t>Removing unused class fields that caused crash when CommCareActivity tried to load them when screen orientation changes.</t>
  </si>
  <si>
    <t>2015-05-14</t>
  </si>
  <si>
    <t>mixpanel-mixpanel-android-219</t>
  </si>
  <si>
    <t>Codeless event tracking breaking looking for a conditional element</t>
  </si>
  <si>
    <t>Using Mixpanel codeless event tracking, bound the tracking to an element which only appears upon user interaction with the app. This is configured as explained below:
fragment1 has menu item(say M1) on which there was codeless event tracking. The leak is happening on menu item(M2) which is inflated by fragment2 in place of this menu item(M1).
When this occurs, the SDK fails -- the view crawler looks for the element on the screen and throws memory leak error crashing the app when it does not find the element as expected.
Here is the stack trace:
references array java.lang.Object
Device: asus asus ASUS T00J WW a501cg
Android Version: 4.4.2 API: 19
Durations: watch 5020ms, gc 167ms, heap dump 345ms, analysis 15727ms</t>
  </si>
  <si>
    <t>dimagi-commcare-android-295</t>
  </si>
  <si>
    <t>ManageAsyncTasks; enabling task cancellation on session expiration</t>
  </si>
  <si>
    <t>Was experiencing crash in EntityLoaderTask, where if the database closed when it was running, it would crash commcare. Fix this by canceling the task when the db is closed.
Create ManageAsyncTask to keep track of running tasks.
calls cancel on all the running tasks call on session expiration
have CommCareTask extend it ManageAsyncTask</t>
  </si>
  <si>
    <t>2015-05-15</t>
  </si>
  <si>
    <t>netmackan-ATimeTracker-34</t>
  </si>
  <si>
    <t>14-May-2015 update causes application to crash when editing an ongoing task</t>
  </si>
  <si>
    <t>1) Click on task and start logging time.
2) Long press on task and hit show times
3) On the ongoing time (the one with checkmark and without finish time), either click or long press and hit edit time
4) Unfortunately TimeTracker stopped warning comes up and application restarts.
Luckily it doesn ruin database. And once the time is stopped, the entry can be edited. But not without stopping it. Until this update have been using this usage case without any issues.
Android Version: 4.4.4</t>
  </si>
  <si>
    <t>google-ExoPlayer-461</t>
  </si>
  <si>
    <t>HLS crash when RESOLUTION=0x0</t>
  </si>
  <si>
    <t>When playing HLS with unknown resolutions playback fails.
The master playlist looks like this:
The exeption is this:</t>
  </si>
  <si>
    <t>square-okhttp-1651</t>
  </si>
  <si>
    <t>IllegalStateException - Http2$Writer.headers</t>
  </si>
  <si>
    <t>found this crash in crashlytics Android 5.0 XT1097</t>
  </si>
  <si>
    <t>frakbot-JumpingBeans-2</t>
  </si>
  <si>
    <t>Zombie JumpingBeans instance causes java.lang.StackOverflowError</t>
  </si>
  <si>
    <t>using your library for an app project and really like it so far.
However, just stumbled over rather tricky issue: triggering JumpingBeans animation on single TextView from several places in my fragment, like so:
When the fragment is paused, cancel any possibly active animation by calling:
if (loadingDots null)
Now, by accident, actually created JumpingBeans instance twice, i.e. assigned new JumpingBeans instance to loadingDots without calling .stopJumping() on the old one. This doesn cause any problem until the users leaves the current activity and transitions to new one. That when the zombie JumpingBeans instance (which apparently doesn get GC ed) actually takes down the entire app with The culprit is JumpingBeansSpan which makes an infinitely recursive call to animation.start() when the TextView still exists but the span is no longer attached to it:
public void animation)
No need for synchronization as this always run on main thread anyway
if (v null)
If there is zombie JumpingBeans instance that is not attached
to view, this code block will cause infinite recursion and
am aware that this error came from improper use of the library (now actually stop and clean up any existent JumpingBeans instance before creating new one and it works fine). Still, the consequences of this possibly common pitfall seem bit harsh, so like to suggest the following:
Detect and prevent recursive starting of the animation in https: github.com frakbot JumpingBeans blob master lib src main java net frakbot jumpingbeans this would mitigate the and possibly resulting app crashes.
Even better (if possible): Clear any old JumpingBeans instances that hold WeakReference to TextView when new instance is attached to the same TextView.
Unfortunately, don have time to work out PR at the moment, but thought share this issue anyway.</t>
  </si>
  <si>
    <t>2015-05-17</t>
  </si>
  <si>
    <t>luispablo-pikisubs-57</t>
  </si>
  <si>
    <t>App suddenly crashes when trying to open TV shows on Android TV</t>
  </si>
  <si>
    <t>Reason unknown by now...</t>
  </si>
  <si>
    <t>xiprox-WaniKani-for-Android-5</t>
  </si>
  <si>
    <t>Crash when going from vertical to horizontal view.</t>
  </si>
  <si>
    <t>tried to find the bug in the code but too new to android development to fully understand how to debug this properly.
Either way... The crash happens of 10 times if you:
1. Start the app vertically.
2. Let the application do it update.
3. Scroll down the page little bit.
4. Rotate to horizontal view.
can reproduce the crash in Android Studio as well as on the phone.</t>
  </si>
  <si>
    <t>AltBeacon-android-beacon-library-185</t>
  </si>
  <si>
    <t>Stackoverflow error</t>
  </si>
  <si>
    <t>After updating the library.
get Stackoverflow error at
Checking DDMS shows that are allocated when in writeToParcel:
It crashed in Emulator, also on Galaxy S5, 4.4.4</t>
  </si>
  <si>
    <t>2015-05-18</t>
  </si>
  <si>
    <t>moneymanagerex-android-money-manager-ex-281</t>
  </si>
  <si>
    <t>Crash on copy transaction</t>
  </si>
  <si>
    <t>The latest version just simply stopped and got terminated by itself without prompting the report crash window. Hence not able to send crash report straightaway. It happens every time try to
1) add new transaction
2) copy transaction the new function
3) to open edit existing transaction.
My current android version is 4.3</t>
  </si>
  <si>
    <t>liferay-liferay-screens-125</t>
  </si>
  <si>
    <t>LMW-242 Creating a full view crashes</t>
  </si>
  <si>
    <t>Removing crash if replacing screenlet with another name and some documentation fixes</t>
  </si>
  <si>
    <t>dhis2-dhis2-android-trackercapture-19</t>
  </si>
  <si>
    <t>ProgramOverview crashes seemingly randomly when starting</t>
  </si>
  <si>
    <t>Every so often the crashes when shown. think it because of some race condition with the creation of the State or setting of arguments. This task includes reproduction as it is kind of hard to reproduce.</t>
  </si>
  <si>
    <t>2015-05-20</t>
  </si>
  <si>
    <t>luispablo-pikisubs-74</t>
  </si>
  <si>
    <t>Get episode info crashes</t>
  </si>
  <si>
    <t>It has wrong TMDb ID, so the API gives 404 and the app crashes. Fail gently, please.</t>
  </si>
  <si>
    <t>2015-05-22</t>
  </si>
  <si>
    <t>dimagi-commcare-android-307</t>
  </si>
  <si>
    <t>Wrap a form sync call in try/catch for session expiration check</t>
  </si>
  <si>
    <t>Pressing the sync button could cause crash because the session might expire while in an un-wrapped call to
wasn able to reproduce this crash, but the stack trace is found here</t>
  </si>
  <si>
    <t>dimagi-commcare-android-306</t>
  </si>
  <si>
    <t>Check array size before removing questions and dividers</t>
  </si>
  <si>
    <t>QA is experiencing strange crash when session expiration tries to save form that has questions that violate constraints.
was unable to reproduce the bug, but worked off of the stack trace, found at http: manage.dimagi.com</t>
  </si>
  <si>
    <t>nikclayton-android-squeezer-50</t>
  </si>
  <si>
    <t>After updating to 0.61 squeezer crashes with sorry there was an error</t>
  </si>
  <si>
    <t>What steps will reproduce the problem?
1. Connect to squeezebox
2. Try to do anything
What is the expected output? What do you see instead?
After successfully logging in to my squeezebox cannot perform any operations using
squeezer, the application will just quit with an error.
What version of the product are you using? On what operating system?
Latest from the market 0.61. OS is Android honeycomb 3.2
Please provide any additional information below.
have tried removing reinstalling but no joy. Worked fine with 0.61.</t>
  </si>
  <si>
    <t>2015-05-25</t>
  </si>
  <si>
    <t>syncthing-syncthing-android-401</t>
  </si>
  <si>
    <t>Syncthing binary crashed with error code 4 (ARM5)</t>
  </si>
  <si>
    <t>Taking one small step forward from #336
Updated and started syncthing-android (0.6.2) on HTC Wildfire with CM7 (Android 2.3)
Logcat available here: http: tnm.no-ip.biz ftp syncthing armv5 startup logcat no2.txt
Thanks for your continued effort!
(I ll soon switch from this device to newer one, but will test the updated syncthing versions on this one until it works, unless you say not to :) or you decide to drop ARM5 support.)</t>
  </si>
  <si>
    <t>2015-05-26</t>
  </si>
  <si>
    <t>ConnectSDK-Connect-SDK-Android-255</t>
  </si>
  <si>
    <t>java.lang.NullPointerException: GoogleApiClient must not be null</t>
  </si>
  <si>
    <t>Just got this exception on crashlytics:
On my version of ConnectSDK this is the line 723</t>
  </si>
  <si>
    <t>felixb-callmeter-70</t>
  </si>
  <si>
    <t>Call Meter 3G crashes on editing a rule</t>
  </si>
  <si>
    <t>try to edit any rule, and CM 3G crashes when scroll down the screen (most probably just after Exclude hours appears).
This happens on Nexus with Android 5.1.1 installed. This is the first time have installed CM, so do not know how it behaved in previous versions of Android.</t>
  </si>
  <si>
    <t>asterics-AsTeRICS-84</t>
  </si>
  <si>
    <t>KeyCapture (jnativehook) crashes when having several keyboard layouts installed</t>
  </si>
  <si>
    <t>The ARE crashes when model is started that uses the KeyCapture plugin and the user has installed several keyboard layouts.
Keyboard layouts: ger, eng
The crash happens when switching model with modelSwitcher or restarting the model with start stop on the ARE gui.</t>
  </si>
  <si>
    <t>2015-05-27</t>
  </si>
  <si>
    <t>mehtank-androminion-281</t>
  </si>
  <si>
    <t>secret Chambers Reaktion crashes game</t>
  </si>
  <si>
    <t>From GoogleCodeExporter on May 31, 2015 1:59
What steps will reproduce the problem?
1. start game with secret chamber and attack cards
2. buy secret chamber
3. use secret chamber as reaction
4. cards Werke drawn
5. applications crashes
What is the expected output? What do you see instead?
Choose cards for returning
What version of the product are you using? On what operating system?
Please provide any additional information below.
Original issue reported on code.google.com by jhonsb... gmail.com on 25 May 2015 at 9:39
Copied from original issue: tkdennis androminion#674</t>
  </si>
  <si>
    <t>2015-05-31</t>
  </si>
  <si>
    <t>dimtion-Shaarlier-10</t>
  </si>
  <si>
    <t>The diablog box is crashing</t>
  </si>
  <si>
    <t>Since the last version, when the dialog box shows up, it crashes few seconds later.
Not browser related, it crashes in the shaarlier app itself.
So, can shaare something.</t>
  </si>
  <si>
    <t>PaNaVTEC-Clean-Contacts-8</t>
  </si>
  <si>
    <t>presenter.getView() can be null</t>
  </si>
  <si>
    <t>The Presenter.getView() can be null. Consider the case that the interactor result returns after call detachView. The view is null and the presenter is crashing, to solve it, return NullObjectPattern of the View in the Presenter BaseClass to avoid undesired crashes.
If you want to save the results for later present, you need to handle this by your self in the presenter</t>
  </si>
  <si>
    <t>2015-06-03</t>
  </si>
  <si>
    <t>DigitalCampus-oppia-mobile-android-441</t>
  </si>
  <si>
    <t>App crashing when trying to download video of &gt; 10Mb</t>
  </si>
  <si>
    <t>Didn happen in previous versions, but unclear why it started happening now as nothing has changed on this.</t>
  </si>
  <si>
    <t>2015-06-04</t>
  </si>
  <si>
    <t>khalid-hussain-HisnulMuslim-35</t>
  </si>
  <si>
    <t>App crashes when scrolling long list</t>
  </si>
  <si>
    <t>For some reason, the app crashes when scrolling long list.
1. Nexus 2013 running 5.1.1.
2. Samsung Galaxy Note N7100 running Cyanogenmod unofficial 5.1.1.
**Possible definition of error from logcat**
1. Could be due to Android 5.1.1.
2. Might be related to TextJustify library.
**Steps to reproduce**
1. Scroll to section with number of dua to necessitate scrolling, e.g. Category 16: Supplications at the start of Salah.
2. Scroll down and it should crash. If it doesn t, try scrolling back up and repeat until you are met with the crash.</t>
  </si>
  <si>
    <t>bparmentier-OpenBikeSharing-21</t>
  </si>
  <si>
    <t>Cannot compile after fork</t>
  </si>
  <si>
    <t>forked the repository and tried to compile the app. After few failed attempts because of the missing android-support, was finally able to compile it, but when ran it in the emulator it crashed.
Seems like it trying to resume an app on first run, which is obviously not possible.
Here are the adb logs</t>
  </si>
  <si>
    <t>2015-06-05</t>
  </si>
  <si>
    <t>mattford-scoutlink-6</t>
  </si>
  <si>
    <t>New channel gets added to UI twice</t>
  </si>
  <si>
    <t>Sometimes when joining channel from the Channel List, the channel is added to the UI twice, when selecting the Close option for the first tab, the operation is successful, the second time the app crashes</t>
  </si>
  <si>
    <t>2015-06-07</t>
  </si>
  <si>
    <t>wlky-AnkiDroid-Wear-1</t>
  </si>
  <si>
    <t>Crash when tapping on welcome screen</t>
  </si>
  <si>
    <t>When tapped on the welcome screen with Hello message app will instantly crash.</t>
  </si>
  <si>
    <t>2015-06-08</t>
  </si>
  <si>
    <t>dimagi-commcare-android-328</t>
  </si>
  <si>
    <t>Make SessionUnavailableException a checked exception</t>
  </si>
  <si>
    <t>We don want CommCare to crash when session expires, so this PR changes from Runtime to checked exception forcing us to handle its invocation.
It should make session expiration much more robust, or at least lay the ground work, since in many cases unsure how to handle the checked exception and just default to throwing runtime exception.
Overboard response to this ticket, which keeps crashing in different ways because is runtime exception</t>
  </si>
  <si>
    <t>2015-06-10</t>
  </si>
  <si>
    <t>DigitalCampus-oppia-mobile-android-449</t>
  </si>
  <si>
    <t>Fail more cleanly when course files have been deleted from the sd card</t>
  </si>
  <si>
    <t>Currently the app crashed completely if the course files have been removed</t>
  </si>
  <si>
    <t>DigitalCampus-oppia-mobile-android-448</t>
  </si>
  <si>
    <t>App crashes when first logging in and give incorrect password</t>
  </si>
  <si>
    <t>DigitalCampus-oppia-mobile-android-445</t>
  </si>
  <si>
    <t>Quiz feedback - app can crash on screen rotation</t>
  </si>
  <si>
    <t>If the question feedback popup is showing and the phone is rotated, then the app can crash as popup no longer linked to the activity. Perhaps embed the feedback in the fragment rather than as popup maybe easier to solve this way?</t>
  </si>
  <si>
    <t>CellularPrivacy-Android-IMSI-Catcher-Detector-464</t>
  </si>
  <si>
    <t>WIN DEATH when using Advanced User Settings</t>
  </si>
  <si>
    <t>banjaxbanjo, our app currently **crashes** (and restarts if set in Preferences when pressing Detection Strings and Delete SMS in Prefeferences ADVANCED USER SETTINGS Please have look at the cause, it worked perfectly before. Let me know if you need more than my filtered logcat (https: defuse.ca 0OA64sU0). Thank you.</t>
  </si>
  <si>
    <t>AltBeacon-android-beacon-library-212</t>
  </si>
  <si>
    <t>NullPointerException in BeaconService.matchingRegions()</t>
  </si>
  <si>
    <t>ve got an issue which doesn seem to depend on Android version or AltBeaconLib version. Anyways, it is currently confirmed to occur on some of Kyocera and Samsung devices running Android 4.4 and Android 5.0 and AltBeaconLib 2.1.4. Here stack trace:
So far it happens from time to time without any visible regularity, so can reproduce it on purpose, but it happens quite often. Here some code details:
mRegion new null, null, null)
(UUID is changed when program is restarted)
After some time (could be minutes, could be hours) program crashes with the above exception.
Also it worth to say that scan is searching for iBeacons, and seams to happen when there are lot of Bluetooth devices nearby
This exception happens inside next loop:
Iterator&lt;Region&gt; regionIterator regions.iterator()
LogManager.d(TAG, This region (%s) does not match beacon: %s region, beacon)
Of course quickfix would be to just check if Region is null and continue the loop if it is. Or is there any purpose for null key in rangedRegionState and maps?</t>
  </si>
  <si>
    <t>Kornkammer-foodcoapp-6</t>
  </si>
  <si>
    <t>crash when click on Pfeil in Bilanz</t>
  </si>
  <si>
    <t>2015-06-11</t>
  </si>
  <si>
    <t>Kornkammer-foodcoapp-4</t>
  </si>
  <si>
    <t>crash when no QR scanner installed</t>
  </si>
  <si>
    <t>alert for QR Scanner install in app store</t>
  </si>
  <si>
    <t>Cardshifter-Cardshifter-299</t>
  </si>
  <si>
    <t>Client crashes when starting local game without selected opponent</t>
  </si>
  <si>
    <t>The client throws when attempting to start local game without selected AI opponent.</t>
  </si>
  <si>
    <t>mozilla-webmaker-android-2178</t>
  </si>
  <si>
    <t>Tapping card in style guide crashes Webmaker</t>
  </si>
  <si>
    <t>presumably because it fake project?</t>
  </si>
  <si>
    <t>2015-06-12</t>
  </si>
  <si>
    <t>mozilla-webmaker-android-2176</t>
  </si>
  <si>
    <t xml:space="preserve">The display on the Symphony Smartphone is not good </t>
  </si>
  <si>
    <t>Symphony W69Q -&gt; this is the phone we used with 60 participants from Dnet Study.
(Yes, bringing this device to you in Whistler
Page does not fit in the screen
icons don show properly
app crashed few times.</t>
  </si>
  <si>
    <t>bumptech-glide-497</t>
  </si>
  <si>
    <t>IllegalStateException in getSupportRequestManagerFragment</t>
  </si>
  <si>
    <t>Since ve migrated more Glide calls to use fragment instead of application context now receive new crash report
Caused by: Activity has been destroyed</t>
  </si>
  <si>
    <t>2015-06-14</t>
  </si>
  <si>
    <t>CellularPrivacy-Android-IMSI-Catcher-Detector-469</t>
  </si>
  <si>
    <t>Dev b137 crashes upon start</t>
  </si>
  <si>
    <t>Accept pop-up screen shows twice, then FC.
It also fails on Travis-CI with:
while compiling: CREATE INDEX OpenCellID spatial ON opencellid (latitude, longitude)</t>
  </si>
  <si>
    <t>calvinaquino-LNReader-Android-193</t>
  </si>
  <si>
    <t>imageUrls handling</t>
  </si>
  <si>
    <t>These problems are most likely connected to #186
The app crashes on clicking the cover image thumbnail of some novels.
Tried inserting try catch on function:
public static String imageUrl)
http: www.baka-tsuki.org project images 4a Bakemonogatari Up.png
http: www.baka-tsuki.org project images thumb 4a Bakemonogatari Up.png Up.png
String tokens imageUrl.split(
if (imageUrl.contains( thumb ))
from full page
Log.e(TAG, ERROR OCCURRED with given URL string:
Log.e(TAG, ERROR invoked: e)
And got this:
But thanks to my improper try catch, these errors followed which should have been fine since these were due to my try catch:
It resulted on getting Bitmap Empty message whenever the novel was opened.
As said, this should have been fine and all, but can get it back to the way it was(NOTE: restoring from backup should not be the solution here).
looked into pages.db and this is what happened:
pages db browsed (https: assets 5836354 8147439
Tried deleting the novel and re-downloaded it info but it didn work. Tried all the refresh es on the app but it didn work either. tried using Download All Info and it made things worse, rendering all updated novels missing it cover image as shown in the image above. If nothing worked, then when is the cover image url updated properly?</t>
  </si>
  <si>
    <t>1011</t>
  </si>
  <si>
    <t>h6ah4i-android-advancedrecyclerview-54</t>
  </si>
  <si>
    <t xml:space="preserve"> ClassCastException, MyPlatformChildViewHolder cannot be MyPlatformGroupViewHolder</t>
  </si>
  <si>
    <t>click my child view ,then carsh. don know what happen, Does anyone know it thank you!
--------- beginning of crash
--------- beginning of system</t>
  </si>
  <si>
    <t>cgeo-cgeo-5034</t>
  </si>
  <si>
    <t>Regular crashes on Sony Xperia devices on Android 5+</t>
  </si>
  <si>
    <t>There seem to be many users (judged by the amount of support mails and bad GooglePlay ratings) having stability problems with c:geo after upgrading their devices to Android 5.0.x.
This seems to be an issue which is maybe independend of #4921
For some of them the problem seems solved after factory reset, but lot others keep having problems. have the chance to get Sony Xperia Z3 tomorrow and will try to see if can reproduce the general instability.
rsudev What was that device you are using? Did you see any regular crashes of c:geo on it?</t>
  </si>
  <si>
    <t>2015-06-15</t>
  </si>
  <si>
    <t>cgeo-cgeo-5036</t>
  </si>
  <si>
    <t>Crash on Google Map</t>
  </si>
  <si>
    <t>This is another round of crashes which might be contrary to initial believe something new (the only older report is from an NB version)</t>
  </si>
  <si>
    <t>2015-06-16</t>
  </si>
  <si>
    <t>mthli-Ninja-6</t>
  </si>
  <si>
    <t>I have some browser issues (Download Crash issues)</t>
  </si>
  <si>
    <t>took look into mthlifan issue about download error.
When any download starts in the background, the application crashes. Sometimes while downloading file too, it happens
do not understand where the problem is.
Here is the log file for the exact problem</t>
  </si>
  <si>
    <t>kaltsimon-Chasing-Pictures-front-end-12</t>
  </si>
  <si>
    <t>App crashes when user leaves the camera screen</t>
  </si>
  <si>
    <t>Steps to reproduce:
1. Start the app
2. Go to camera
3. Press to exit the camera without taking photo</t>
  </si>
  <si>
    <t>kaltsimon-Chasing-Pictures-front-end-11</t>
  </si>
  <si>
    <t>App crashes when backend can't be reached</t>
  </si>
  <si>
    <t>Steps to reproduce:
1. Start Android app, do not start back end
2. Go to login page -&gt; login form -&gt; enter information -&gt; press send</t>
  </si>
  <si>
    <t>syncthing-syncthing-android-410</t>
  </si>
  <si>
    <t>Array Index out of Bounds when opening device list (index=-2147483648)</t>
  </si>
  <si>
    <t>just installed the app and added two devices both are synced now. However once open the app and click on the devices tab, the app crashes.
Please note that removed the ID and address in the log.
dalvikvm( 927): GC FOR ALLOC freed 3583K, 23% free 48932K 63200K, paused 89ms, total 89ms
audio hw primary( 231): select devices: out snd device(2: speaker) in snd device(0:</t>
  </si>
  <si>
    <t>2015-06-17</t>
  </si>
  <si>
    <t>mvysny-aedict-526</t>
  </si>
  <si>
    <t>Sentence analysis fallback</t>
  </si>
  <si>
    <t>What going on here? How did it turn into It appears to have figured out the conjugation correctly (i.e. the bottom fallback is correct), but instead gives an apparently unrelated word which has more kanji than it started with... Which crashes my app.
screenshot 18-06-2015 12-54-08 am (https: assets 2818274 8212130</t>
  </si>
  <si>
    <t>mvysny-aedict-523</t>
  </si>
  <si>
    <t>Exporter crashes when exporting large list of entries</t>
  </si>
  <si>
    <t>... 25 more</t>
  </si>
  <si>
    <t>gdg-x-frisbee-368</t>
  </si>
  <si>
    <t>NPEs with Picasso use</t>
  </si>
  <si>
    <t>This has caused 51 crashes via Fabric.io.</t>
  </si>
  <si>
    <t>2015-06-20</t>
  </si>
  <si>
    <t>gdg-x-frisbee-367</t>
  </si>
  <si>
    <t>getCoverPhoto() on a null object reference</t>
  </si>
  <si>
    <t>This has caused 53 crashes via Fabric.io.</t>
  </si>
  <si>
    <t>geopaparazzi-geopaparazzi-271</t>
  </si>
  <si>
    <t>RasterLite2 issues</t>
  </si>
  <si>
    <t>When browsing around the berlin map, at some point get big bunch of:
Not sure if it is related, but it also crashed during panning.</t>
  </si>
  <si>
    <t>cymcsg-UltimateRecyclerView-87</t>
  </si>
  <si>
    <t>NPE on touch loadMore layout...</t>
  </si>
  <si>
    <t>when LoadMore layout is shown if user touches it, app crashes.</t>
  </si>
  <si>
    <t>2015-06-21</t>
  </si>
  <si>
    <t>CellularPrivacy-Android-IMSI-Catcher-Detector-496</t>
  </si>
  <si>
    <t>Can't start app anymore with current build</t>
  </si>
  <si>
    <t>The app crashs directly after starting.
have installed the most current build.
Also after reinstallation it doesn work.
Occues on Android 4.4.4 (CM11).
Here my logcat.</t>
  </si>
  <si>
    <t>2015-06-22</t>
  </si>
  <si>
    <t>artem-zinnatullin-android-wail-app-162</t>
  </si>
  <si>
    <t>WAIL crashes after some time without usage.</t>
  </si>
  <si>
    <t>am not sure it just my phone but sometimes WAIL gets crashed when relaunch the app after long period of time (at least more than several hours) from the first run. can identify what causing it. Does WAIL store crash log somewhere (maybe in GA)?</t>
  </si>
  <si>
    <t>h6ah4i-android-advancedrecyclerview-64</t>
  </si>
  <si>
    <t xml:space="preserve">After swipe/remove of a group crash in some cases </t>
  </si>
  <si>
    <t>Hi. Trying to debug an issue where in some configurations the app crashes when group item removed after swipe. In most cases it seems to work fine but in certain sets of data it seems to crash every time. It very frustrating. It doesn seem to happen with the sample.
understand that the lib needs stable IDs. have those.
In debugger see that during of MyAdapter is called. Stepping though that eventually end up in (https: github.com h6ah4i blob master library src main java com h6ah4i android widget advrecyclerview expandable
Here it seems it intentional that the cached items IDs and position info arrays are not adjusted and values are just copied to the removed item.
But what happens soon after (once we come out of the swipe remove) is that my adapter gets calls such as and getGroupID etc. for group that not there anymore.
Let say had groups. removed 1st group. After removal get asked about both groups!
But only have group left. It as if the lib forgot doesn know that the group was removed.
Scenario that fails for me reliably:
swipe away group
Again, this happens only with my data.
The example seems to work stably. Which makes me very sad in that can probably be helped. Hoping that you might have at least some idea about why might get confused.</t>
  </si>
  <si>
    <t>2015-06-23</t>
  </si>
  <si>
    <t>OneBusAway-onebusaway-android-270</t>
  </si>
  <si>
    <t>develop branch crashes when GTFS shapes.txt isn't provided</t>
  </si>
  <si>
    <t>As discussed on the mailing list (https: groups.google.com msg wK5VHHA1DqQ pOstfHcfvVQJ), the current behavior of OBA when building the transit bundle is to omit the polyline when shapes.txt isn provided in the GTFS data.
As result, in the stops-for-route API response from the OBA server, the polylines element is empty for all routes. This prevents the apps from showing the route geometry (i.e., stops for the route) on the map when they drill down to single route on the map. However, in the develop branch we don consider the possibility that the polylines aren provided, and the app crashes:
Steps to reproduce:
1. Go to any stop and show the arrival times
2. Tap on an arrival time for route that doesn have shape data
3. Select Show route information
4. Tap on the map icon in the Actoin Bar
Here an example response without polylines:
...and one with:</t>
  </si>
  <si>
    <t>OneBusAway-onebusaway-android-273</t>
  </si>
  <si>
    <t>Crash when searching prior to location initialization</t>
  </si>
  <si>
    <t>Reported by Fire Phone user, for develop branch:
Steps to reproduce:
1. Disable Location Services in Settings
2. Launch app for the 1st time
3. Search for bus stop crash
The problem is fixed after enabling LBS and wait for it to get my current location before performing search</t>
  </si>
  <si>
    <t>2015-06-24</t>
  </si>
  <si>
    <t>MythTV-Clients-MythtvPlayerForAndroid-86</t>
  </si>
  <si>
    <t>Developer Console: java.net.MalformedURLException</t>
  </si>
  <si>
    <t>It appears that users are attempting to enter the BE port in the
Master Backend Address setting. One case looks like someone is
trying to implement port forwarding there:
In the Developer Console, the version is 1.1.10. However the issue
is easily duplicated in the current master (stack trace below.) entered:
with Clear Data in Android Settings for the app.
The existing title and description strings used in the app settings look
perfectly clear to me. The enhancement would be preventing the input
of :port (which could be future problem if IPv6 addresses are allowed.)
added bug because the app probably shouldn crash on user input
Caused by: Malformed URL: http: Myth GetHostName
Caused by: Invalid int: 1234:6544</t>
  </si>
  <si>
    <t>dimagi-commcare-android-351</t>
  </si>
  <si>
    <t>Allow uploading of all audio, image, and video filetypes to HQ (2.22 version)</t>
  </si>
  <si>
    <t>The 2.22 version of this PR https: github.com dimagi commcare-odk pull 350
Fix for this ticket (http: manage.dimagi.com default.asp?173209)
There was bug where the sync process wasn sending certain case audio attachments up to HQ. The problem was that only handful of hard coded filetypes were accepted as valid.
This PR allows for all files that have an audio, video, or image mimetype to be uploaded as case attachments to HQ.
made AudioWidget stop adding double backslashes to filepaths
removed unneeded platform parameter from SendTask constructor
Refactored FormUploadUtil to use helper methods
make CommCare not crash if you select an audio file in AudioWidget that doesn have an extension (even though this should never really happen, good to be safe)</t>
  </si>
  <si>
    <t>2015-06-26</t>
  </si>
  <si>
    <t>dimagi-commcare-android-350</t>
  </si>
  <si>
    <t>Allow uploading of all audio, image, and video filetypes to HQ</t>
  </si>
  <si>
    <t>There was bug where the sync process wasn sending certain case audio attachments up to HQ. The problem was that only handful of hard coded filetypes were accepted as valid.
This PR allows for all files that have an audio, video, or image mimetype to be uploaded as case attachments to HQ.
Fix for this ticket (http: manage.dimagi.com default.asp?173209)
made AudioWidget stop adding double backslashes to filepaths
removed unneeded platform parameter from SendTask constructor
Refactored FormUploadUtil to use helper methods
make CommCare not crash if you select an audio file in AudioWidget that doesn have an extension (even though this should never really happen, good to be safe)</t>
  </si>
  <si>
    <t>OneBusAway-onebusaway-android-275</t>
  </si>
  <si>
    <t>StackOverflowError when using Arrival Info Style B on Android 2.3 device</t>
  </si>
  <si>
    <t>When trying to view arrival times on an HTC EVO Shift with Android 2.3.4, the Agency demo app crashes and get the following trace:
Based on these two StackOverflow posts:
http: stackoverflow.com 19854263 937715
http: stackoverflow.com 16920207 937715
...it appears that the thread stack sizes for Android 2.3 are 12KB, while Android 4.0 and higher is 16KB. With the CardViews and nested arrival times in Style B, we re exceeding the stack size which leads to the StackOverflowError.
Our options seem to be:
Try to reduce the depth of the View hierarchy on Style
Only allow Style on Android 4.0 and higher</t>
  </si>
  <si>
    <t>niteshmourya-app-inventor-for-android-2101</t>
  </si>
  <si>
    <t>Blocks Editor crashs by saving</t>
  </si>
  <si>
    <t>When try to save the Projekt by clicking save in the Blocks Editor the Editor
takes more then five minutes to save (If have luck), else have to end it
with the taskmanager.
Original issue reported on code.google.com by laurenzr... gmail.com on May 2012 at 2:10
Screenshot.png (https: issue-2101 comment-0 Screenshot.png)</t>
  </si>
  <si>
    <t>niteshmourya-app-inventor-for-android-1778</t>
  </si>
  <si>
    <t>Unable to create apps in Landscape ScreenOrientation. When connecting to my attached phone they crash out. This includes projects in landscape mode that were successfully created and downloaded onto my phone previously.</t>
  </si>
  <si>
    <t>This form is only for reporting bugs in App Inventor. Do not use it for
reporting problems with connecting to the phone or opening the Blocks
Editor. Those matters typically involve needing the right drivers, being
blocked by firewalls, or interference from other software running on your
computer. Ask about these in the group Forum:
Also use the Forum -- not this form -- to request help in writing apps,
and other discussions, please visit:
Use this space to describe the issue in detail. Be sure to include:
Steps to reproduce the problem.
What happened. (Don just say: It didn work.
What you think the correct behavior should be.
Set the Summary to descriptive phrase, such as Phone Call component
drops leading zeroes from numbers not App Inventor bug
Attach any material you think would be relevant to diagnosing the problem,
The source of your app: use download to computer to get the source zip
Don forget to mention which device you have, and which version of Android
is installed on it. (Find it under Home Menu Settings About
phone.) Please also tell us what Operating System your computer is running
and what browser you were using to access App Inventor.
Original issue reported on code.google.com by petercre... gmail.com on Aug 2011 at 10:40</t>
  </si>
  <si>
    <t>niteshmourya-app-inventor-for-android-1756</t>
  </si>
  <si>
    <t>app crashes when phone turned to landscapre</t>
  </si>
  <si>
    <t>introduced in July 2011 update
Original issue reported on code.google.com by Den1... gmail.com on 29 Jul 2011 at 12:20</t>
  </si>
  <si>
    <t>niteshmourya-app-inventor-for-android-1752</t>
  </si>
  <si>
    <t>App Crashes</t>
  </si>
  <si>
    <t>designing game that so far is only 4.47MB. In comparison to other apps,
it about the same size. Every time you open the app, after about 15 clicks,
the app with close. It closes in different, random spots every time. have
uninstalled it, reinstalled it, cleared the cache, cleared the data, and forced
stopped it. After trying it again, it still crashes. checked to make sure the
programming was correct and all my files were up to date in my components.
still can figure out why this is happening.
Original issue reported on code.google.com by aaronker... gmail.com on 27 Jul 2011 at 4:02</t>
  </si>
  <si>
    <t>niteshmourya-app-inventor-for-android-1699</t>
  </si>
  <si>
    <t>emulator crashes shortly after launch</t>
  </si>
  <si>
    <t>Steps to reproduce:
1. Start new project
2. Open the blocks editor
3. Click new Emulator
The emulator starts, shows on the screen then crashes. The crash
report is attached, it appears to be related to audio input. In fact after
noticing that removed the Logitech USB headset with mic that had attached
and set as my default audio input output devise and the emulator did not crash.
Java(TM) SE Runtime Environment (build 1.6.0 26-b03-384-10M3425)
Original issue reported on code.google.com by wjmo... gmail.com on Jul 2011 at 4:48
emulator 2011-07-07-142948 (https: issue-1699 comment-0 emulator 2011-07-07-142948</t>
  </si>
  <si>
    <t>niteshmourya-app-inventor-for-android-1630</t>
  </si>
  <si>
    <t>Error: Your build failed due to a server error in the AAPT stage, not because of an error in your program</t>
  </si>
  <si>
    <t>Hi it worked while developing then suddenly crashed. Can get emulation working
on usb htc desire and on android emulator but download apk crashes now and will
not do anything.
Original issue reported on code.google.com by kitchene... gmail.com on 14 Jun 2011 at 9:11
Buzzer Rigs UploadV6.zip (https: issue-1630 comment-0 Buzzer Rigs UploadV6.zip)</t>
  </si>
  <si>
    <t>niteshmourya-app-inventor-for-android-1515</t>
  </si>
  <si>
    <t>internet explorer crashes when i open blocks editor</t>
  </si>
  <si>
    <t>in app inventor when open blocks editor internet explorer crashes. im trying
to download my app but cant because of this. fix it
Original issue reported on code.google.com by gamemani... gmail.com on 10 May 2011 at 1:01</t>
  </si>
  <si>
    <t>niteshmourya-app-inventor-for-android-1462</t>
  </si>
  <si>
    <t>ContactPicker returns "nothing" and crashes.</t>
  </si>
  <si>
    <t>ContactPicker returns the value of nothing and crashes when trying to look up
phone number, name or picture.
Sorry Google, your App Inventor is poor bug ridden mess. Even the tutorial is
littered with spelling errors, not to mention that the second tutorial doesn
Super idea...BAD execution. :(
Original issue reported on code.google.com by ChrisSke... gmail.com on 15 Apr 2011 at 5:58</t>
  </si>
  <si>
    <t>niteshmourya-app-inventor-for-android-1172</t>
  </si>
  <si>
    <t>The Blocks Editor is having trouble communicating with the server (error=404)</t>
  </si>
  <si>
    <t>This crash happens every time try to open very large dimension project on
the Blocks Editor.
Loading the project takes about 40 minutes, and when loading is complete, it
appears the message (see the attached image).
worked on other or smaller projects without this issue.
Thanks for your attention.
Original issue reported on code.google.com by andrea.g... gmail.com on 29 Jan 2011 at 11:52
Blocks Editor crash.png (https: issue-1172 comment-0 Blocks Editor crash.png)</t>
  </si>
  <si>
    <t>niteshmourya-app-inventor-for-android-1124</t>
  </si>
  <si>
    <t>Method "call length text" should not apply to list objects</t>
  </si>
  <si>
    <t>Because type block names in the Editor, had introduced this subtle bug:
instead of calling the length of list block, had called the length text
block with list object.
So, my IF condition
never became true, and the index kept increasing, crashing the app.
My suggestion would be to not allow the block length text to apply to list
objects. It easy to mistake length text with length of list if one types
instead of using the drawers.
Original issue reported on code.google.com by eni.must... gmail.com on 22 Jan 2011 at 5:14</t>
  </si>
  <si>
    <t>niteshmourya-app-inventor-for-android-1014</t>
  </si>
  <si>
    <t>TinyWebDB crash (AppInventorPhoneApp proces com.google.AppInventorPhoneApp)</t>
  </si>
  <si>
    <t>am using TinyWebDB to communicate with my website. use the json method like
described on the
notice that something strange is happening. It worked fine until certain
moment, but now do get crash of my application when do GetValue on my
TinyWebDB, message shown on my phone:
following strange things:
have deactivated GotValue, so there nothing going on after getting value
When use non-existing ServiceURL in the TinyWebDB then get nice
errormessage without letting the app crash
also have very simple app, using the right ServiceURL and the same call
to functionality on the site. That app is working fine, so concluded that
there is nothing wrong with the result that get from the website
When change the ServiceURL to non-exising page on my site (so the domain
is correct, the site php page is not), then get the crash also, which feels
very strange to me. Why is there differente behaviour between ServiceURL on
non-existing domain versus ServiceURl on non-existing site, but on
am using HTC Desire, Android 2.2, nr 2.29.405.2
Windows Vista, Chrome browser
Original issue reported on code.google.com by Reynold.... gmail.com on 28 Dec 2010 at 7:37
Squaskia v1.zip (https: issue-1014 comment-0 Squaskia v1.zip)</t>
  </si>
  <si>
    <t>niteshmourya-app-inventor-for-android-997</t>
  </si>
  <si>
    <t>Appcrash</t>
  </si>
  <si>
    <t>my application keeps crashing and have no idea why. attached SS of the
error get. the last thing remember doing before the crashes started was
using the leaveinstance call to leave an instance, that instance is under the
gameID zgameserver in the android gameserver at appspot. the error happens on
real phones that aren attached to the blocks editor. have tried changing
the gameid but it keeps showing the same error in the blocks editor and with
and now my application crashes on startup without even having any commands,
deactivated my timer and sceen1.initialize
Original issue reported on code.google.com by zaid.a... gmail.com on 25 Dec 2010 at 9:06
bug.png (https: issue-997 comment-0 bug.png)</t>
  </si>
  <si>
    <t>niteshmourya-app-inventor-for-android-992</t>
  </si>
  <si>
    <t>Entering non numeric data in to the font size property of a button causes the blocks editor to crash, and the project to become unrecoverable</t>
  </si>
  <si>
    <t>was working through the PicCall tutorial, when accendently set the text
size property of button to 20#. Blocks editor kept stating that this was no
valid size. corrected this, but the blocks editor repetialy showed message
box stating that it was not valid size. Upon restarting App Inventor and
blocks editor, clicked on my project, but it did not load, instead showing
what looked like multi line text input box.
think that if user enters non numerical data, that data should be
Original issue reported on code.google.com by phill.ri... gmail.com on 23 Dec 2010 at 11:06</t>
  </si>
  <si>
    <t>niteshmourya-app-inventor-for-android-961</t>
  </si>
  <si>
    <t>Vertical Alignment inplace move causes Inventor to crash</t>
  </si>
  <si>
    <t>Selected Vertical Alignment object by mistake. Moved slightly and let go to
snap back into place. Inventor crashes with notification to submit bug.
This has happened several times. When it does, the alignment object is
deleted. if you download and view the source, you can see corrupted objects.
This has occurred on Windows computers running Windows and Xp Pro. Using
both Chrome and Firefox.
This error has corrupted two applications. They both seemed to autosave
corrupted versions causing me to recreate hours of tedious programming.
Further, the inability to copy and paste elements between apps, manually edit
the source files or to merge two apps means you have to recreate everything
manually. This is pretty poor design.
Expected results: No crashes, no lost and corrupted code.
Original issue reported on code.google.com by aiellos... gmail.com on 19 Dec 2010 at 10:54
FUGoogle copy.zip (https: issue-961 comment-0 FUGoogle copy.zip)</t>
  </si>
  <si>
    <t>niteshmourya-app-inventor-for-android-955</t>
  </si>
  <si>
    <t>Activate - Deactivate variable - Block editor</t>
  </si>
  <si>
    <t>It seems to me that deactivate (variable) function usage in Block Editor makes
the program corrupt. After used deactivate and activate my program crashes
however it was running properly before.
Length of list function always says after above described event that it
receives *null*. Same happens when try to set defined list to ListPicker.
If drag and drop an item from My Definition list which was deactivated once
appears by the color of inactive variable however it has been activated before.
If create new variable with exactly the same content and replace the
calls of old variable by new one program works again.
Simple rename of existing variable does not solve the problem.
Please see attached picture for further information.
am using Motorola Mileston phone which has Android 2.2.16.
My notebook operating system is Windows XP professional SP3.
AppInventor is running under Google Chrome 8.0.552.224.
Original issue reported on code.google.com by hmag... gmail.com on 19 Dec 2010 at 9:01
01.png (https: issue-955 comment-0 01.png)</t>
  </si>
  <si>
    <t>niteshmourya-app-inventor-for-android-887</t>
  </si>
  <si>
    <t>adb crash with latest HTC EVO 4G drivers</t>
  </si>
  <si>
    <t>just tried updating to the latest drivers trying to fix another problem, and
found that adb constantly crashes with the latest drivers.
Having no drivers at all, or just the previous version it still crashes, but
you are able to restart app and it works fine. Yes, have rolled back. Just
letting you know about the problem. :)
URL to latest drivers:
Original issue reported on code.google.com by kupfe... gmail.com on 11 Dec 2010 at 11:46</t>
  </si>
  <si>
    <t>akexorcist-RoundCornerProgressBar-19</t>
  </si>
  <si>
    <t>Parcelable error when reloading app back from stack and has been cleared by the os</t>
  </si>
  <si>
    <t>Enable Don keep activities in Developer options. Start the app and go to activity with the rc progressbar.
Get out of app and go back to it. crash.
From what gathered
Happens due to progaurd
Need to add</t>
  </si>
  <si>
    <t>2015-06-27</t>
  </si>
  <si>
    <t>rfblue2-wolfpak_android_camera-1</t>
  </si>
  <si>
    <t>Application Crash after video recording</t>
  </si>
  <si>
    <t>Application crashes closes pauses after video is recorded (after finger is released after holding capture button), likely due to issue with method, error refers to camera already being closed.</t>
  </si>
  <si>
    <t>2015-06-28</t>
  </si>
  <si>
    <t>andreistirb-MountainTracker-2</t>
  </si>
  <si>
    <t>it crashes when you want to start a new track after you already recorded one</t>
  </si>
  <si>
    <t>SufficientlySecure-document-viewer-114</t>
  </si>
  <si>
    <t>Catch MuPdf exception  (wrong zip local file signature)</t>
  </si>
  <si>
    <t>When reading CBZ files, the viewer process crashes occasionally. The crashes happen more often when scrolling fast and or multithreaded decoding is enabled. It doesn seem to depend on what kind of CBZ file is being viewed.
Logcat shows the following:
WindowState( 339): WIN DEATH: Window 418f8878 SurfaceView paused false
The stack overflow exceptions happen while scrolling and don seem to be harmful, but as soon as the signature exception occurs, DV crashes and relaunches.
This is on Motorola Xoom tablet.</t>
  </si>
  <si>
    <t>dimagi-commcare-android-366</t>
  </si>
  <si>
    <t>startManagingCursor 2.21 hotfix</t>
  </si>
  <si>
    <t>2.21 hotfix for this ticket (http: manage.dimagi.com default.asp?174380)
Ran this on 2.21.0 build, verifying that the bug is present and fixed by this PR
How to reproduce the crash (thanks to Clark):
Open form to edit
save your progress using the right-hand settings menu.
In the same settings menu, click Go to prompt and then Go to beginning or Go to end
Experience the wondrous crash
Fix has already gone into 2.22 https: github.com dimagi commcare-odk pull 355</t>
  </si>
  <si>
    <t>2015-06-29</t>
  </si>
  <si>
    <t>dimagi-commcare-android-364</t>
  </si>
  <si>
    <t>Remove deprecated use of startManagingCursor (old ui)</t>
  </si>
  <si>
    <t>OldUI fix for this ticket (http: manage.dimagi.com default.asp?174380)
How to reproduce the crash (thanks to Clark):
Open form to edit
save your progress using the right-hand settings menu.
In the same settings menu, click Go to prompt and then Go to beginning or Go to end
Experience the wondrous crash
Cross-requested with new ui: https: github.com dimagi commcare-odk pull 355</t>
  </si>
  <si>
    <t>dimagi-commcare-android-362</t>
  </si>
  <si>
    <t>Remove deprecated use of startManagingCursor (oldui)</t>
  </si>
  <si>
    <t>dimagi-commcare-android-358</t>
  </si>
  <si>
    <t>Allow uploading of all audio, image, and video filetypes to HQ (oldui version)</t>
  </si>
  <si>
    <t>Fix for this ticket (http: manage.dimagi.com default.asp?173209)
OldUi version of this PR: https: github.com dimagi commcare-odk pull 357
There was bug where the sync process wasn sending certain case audio attachments up to HQ. The problem was that only handful of hard coded filetypes were accepted as valid.
This PR allows for all files that have an audio, video, or image mimetype to be uploaded as case attachments to HQ.
made AudioWidget stop adding double backslashes to filepaths
removed unneeded platform parameter from SendTask constructor
Refactored FormUploadUtil to use helper methods
make CommCare not crash if you select an audio file in AudioWidget that doesn have an extension (even though this should never really happen, good to be safe)</t>
  </si>
  <si>
    <t>dimagi-commcare-android-357</t>
  </si>
  <si>
    <t>Allow uploading of all audio, image, and video filetypes to HQ (newui version)</t>
  </si>
  <si>
    <t>Fix for this ticket (http: manage.dimagi.com default.asp?173209)
NewUi version of this PR: https: github.com dimagi commcare-odk pull 358
There was bug where the sync process wasn sending certain case audio attachments up to HQ. The problem was that only handful of hard coded filetypes were accepted as valid.
This PR allows for all files that have an audio, video, or image mimetype to be uploaded as case attachments to HQ.
made AudioWidget stop adding double backslashes to filepaths
removed unneeded platform parameter from SendTask constructor
Refactored FormUploadUtil to use helper methods
make CommCare not crash if you select an audio file in AudioWidget that doesn have an extension (even though this should never really happen, good to be safe)</t>
  </si>
  <si>
    <t>segmentio-analytics-android-309</t>
  </si>
  <si>
    <t>IllegalArgumentException in QueueFile.setLength</t>
  </si>
  <si>
    <t>We recently added segment into our release build, and it causing number of fatal crashes.
Observed on Samsung and Motorola phones, Android 5.0.2 and 5.1.1.</t>
  </si>
  <si>
    <t>dimagi-commcare-android-355</t>
  </si>
  <si>
    <t>Remove deprecated use of startManagingCursor</t>
  </si>
  <si>
    <t>NewUI fix for this ticket (http: manage.dimagi.com default.asp?174380)
How to reproduce the crash (thanks to Clark):
Open form to edit
save your progress using the right-hand settings menu.
In the same settings menu, click Go to prompt and then Go to beginning or Go to end
Experience the wondrous crash
Cross-requested with old ui: https: github.com dimagi commcare-odk pull 364</t>
  </si>
  <si>
    <t>floating-cat-S1-Next-23</t>
  </si>
  <si>
    <t>Fix crash from Bugsnag</t>
  </si>
  <si>
    <t>QuickBlox-quickblox-android-sdk-103</t>
  </si>
  <si>
    <t>NullPointerException in QBJsonErrorParser</t>
  </si>
  <si>
    <t>Occasionally my Android app will crash because of in the QuickBlox SDK. Checking Fabric, can see that the crash occurs in the method.
Possibly related at one point saw this output in my logs, but the app did not seem to crash at that point.
GET https: api.quickblox.com users.json
QB-SDK Android 2.2.2
per page 10000
GET https: api.quickblox.com users.json?page 0&amp;per page 10000
*** RESPONSE *** ***
Content-Type text html
Server nginx 1.0.15
&lt;head&gt;&lt;title&gt;502 Bad Gateway&lt; title&gt;&lt; head&gt;
&lt;body bgcolor white
&lt;center&gt;&lt;h1&gt;502 Bad Gateway&lt; h1&gt;&lt; center&gt;
&lt;hr&gt;&lt;center&gt;nginx 1.0.15&lt; center&gt;</t>
  </si>
  <si>
    <t>smarek-Simple-Dilbert-22</t>
  </si>
  <si>
    <t>Strip reload without connection</t>
  </si>
  <si>
    <t>Reload of strip causes it to disappear if no access to internet is available. When trying to reload one more time without connection, the application crashes.</t>
  </si>
  <si>
    <t>yazeed44-MultiImagePicker-12</t>
  </si>
  <si>
    <t>DarkActionBar</t>
  </si>
  <si>
    <t>Hello! Beautiful lib, though failed to implement it easily into my project.
App crashes when AlbumActivity calls
suppose that happens because of the theme. using and Toolbar as separate layout.</t>
  </si>
  <si>
    <t>2015-06-30</t>
  </si>
  <si>
    <t>pjuu-droidotter-6</t>
  </si>
  <si>
    <t>droidotter crashing on image selection (for upload)</t>
  </si>
  <si>
    <t>Whenever try to upload an image in Droidotter and select an image Droidotter then crashes.</t>
  </si>
  <si>
    <t>2015-07-01</t>
  </si>
  <si>
    <t>cgeo-cgeo-5074</t>
  </si>
  <si>
    <t>Many crashes on map</t>
  </si>
  <si>
    <t>Each time want to open cache from the map cgeo crashes.
No further details as am on the road.</t>
  </si>
  <si>
    <t>2015-07-02</t>
  </si>
  <si>
    <t>dimagi-commcare-android-390</t>
  </si>
  <si>
    <t>Replace managedQuery/CursorLoader with getContentResolver().query</t>
  </si>
  <si>
    <t>Proposing 2.21.2 hotfix because:
The issues persist with http: manage.dimagi.com
Now getting something like:
... 10 more
This PR tries to fix this by replacing calls to managedQuery CursorLoader with and make sure to manually close the cursor afterwards.
Sorta big change for hotfix. quickly set breakpoints at each place where removed mangedQuery calls and verified the new call to followed the expected code path. also tested that 2.21.1 does crash on pre Android (emulators), and that this PR prevents that crash.
Looking on the Play store, see one crash report of this type on 2.21.1. It is for an Android 2.X device. suspected that our 2.21.1 hotfix wouldn actually resolve the crash for devices running Android or earlier. Apologies for not verifying my suspicions.
believe the crash is happening because managedQuery makes some automatic calls to requery that we aren anticipating handling correctly (hand-wavy intuition).
The way we are using managedQuery and CursorLoader in FormEntryActivity is vanilla (each query is made only once, in UI-blocking fashion), we don need the added complexity (at the moment, though using them correctly would enable non-UI blocking queries).</t>
  </si>
  <si>
    <t>2015-07-03</t>
  </si>
  <si>
    <t>SMSTicket-sms-ticket-18</t>
  </si>
  <si>
    <t>Crashlytics not working</t>
  </si>
  <si>
    <t>We don see any users in Crashlytics. We should add some hidden part of the app which causes the crash to test crash reporting in release builds.</t>
  </si>
  <si>
    <t>vickychijwani-quill-87</t>
  </si>
  <si>
    <t>Crash on logging in after offline logout</t>
  </si>
  <si>
    <t>Not sure if it ll be reproducible, but these were the steps:
2. Stop Ghost
3. Edit draft and hit back to auto-save the post will say Saved on device, waiting to go online...
4. Logout access token revocation will fail (but it seems irrelevant here)
5. Start Ghost again
7. Edit draft and hit back to auto-save crash (link below)
Crash stack: http: crashes.to 9dcc54645d7</t>
  </si>
  <si>
    <t>2015-07-06</t>
  </si>
  <si>
    <t>mapsforge-mapsforge-645</t>
  </si>
  <si>
    <t>Invalid Number of Way Nodes</t>
  </si>
  <si>
    <t>It is common occurrence to get warning message from this block in MapFile.java:
if (numberOfWayNodes numberOfWayNodes Short.MAX VALUE)
LOGGER.warning( invalid number of way nodes: numberOfWayNodes)
returning null here will actually leave the tile blank as the
position on the ReadBuffer will not be advanced correctly. However,
it will not crash the app.
with numberOfWayNodes 0. guessing it bug in the map writer. An example is in japan.map, in the block where 4,x 13,y</t>
  </si>
  <si>
    <t>facebook-stetho-215</t>
  </si>
  <si>
    <t>Stetho crashes when it is opened with Network as the default tab</t>
  </si>
  <si>
    <t>Stetho crashes when it is opened with Network as the default tab.
To see the crash:
1) Open stetho, go to Network tab.
2) Close stetho, reopen stetho (the default tab should be network)
Here is the stack trace:</t>
  </si>
  <si>
    <t>forcedotcom-SalesforceMobileSDK-Android-917</t>
  </si>
  <si>
    <t>null integer and floating values cause crash</t>
  </si>
  <si>
    <t>When running an upsert with null integer or floating values crash is seen. It looked like this was fixed in PR 832 (https: github.com forcedotcom pull 832) but it does not seem to have worked as expected.
The following can be used to re-produce the issue (from JS console) of new hybrid app.
testSoup path: MyString ,type: string path: MyInt ,type: integer function(res) console.log(res) function(err) console.error(err)
All fields present
All OK, as expected
upsertArr MyString MyInt
testSoup upsertArr, function(res) console.log(res) function(err) console.error(err)
No int field supplied
All OK, as expected
testSoup upsertArr, function(res) console.log(res) function(err) console.error(err)
null string value supplied
All OK, as expected
upsertArr MyString null, MyInt
testSoup upsertArr, function(res) console.log(res) function(err) console.error(err)
null int value supplied
upsertArr MyString MyInt null
testSoup upsertArr, function(res) console.log(res) function(err) console.error(err)
this is the error seen
was going to put in PR but was unsure of how where the tests should be written etc. If you can give me guidance be happy to give this go.
private void soupElt, ContentValues contentValues, IndexSpec indexSpec)</t>
  </si>
  <si>
    <t>unfoldingWord-dev-translationKeyboard-24</t>
  </si>
  <si>
    <t>Crashes</t>
  </si>
  <si>
    <t>Build 44 is crashing periodically on my s5 lollipop</t>
  </si>
  <si>
    <t>Fermat-ORG-fermat-framework-532</t>
  </si>
  <si>
    <t>Crash tocando en un folder en Log Tools</t>
  </si>
  <si>
    <t>Tocando en un folder en Log Tools, se produjo un crash este es el log que capure.</t>
  </si>
  <si>
    <t>2015-07-07</t>
  </si>
  <si>
    <t>Fermat-ORG-fermat-framework-528</t>
  </si>
  <si>
    <t>Apretando varias veces seguidas "Available Balance" y "Book Balance" crashea</t>
  </si>
  <si>
    <t>Captur en ese momento el siguiente log:</t>
  </si>
  <si>
    <t>auth0-Lock.Android-106</t>
  </si>
  <si>
    <t>User's identities are not properly parsed from JSON</t>
  </si>
  <si>
    <t>Instead of returning List&lt;UserIdentity&gt; it returns list of maps which cause any Android app to crash if it request the identities from UserProfile</t>
  </si>
  <si>
    <t>2015-07-08</t>
  </si>
  <si>
    <t>ConnectSDK-Connect-SDK-Android-274</t>
  </si>
  <si>
    <t>java.lang.NullPointerException        at com.connectsdk.service.sessions.WebOSWebAppSession.sendP2PMessage(WebOSWebAppSession.java:449)</t>
  </si>
  <si>
    <t>Just got this crash report, no idea how to reproduce as don have WebOS TV.</t>
  </si>
  <si>
    <t>marverenic-Jockey-19</t>
  </si>
  <si>
    <t>Service crash, lag</t>
  </si>
  <si>
    <t>Every time open the app in kitkat and jellybean, it reports crash and the service notification disappears. later, when clicked on song, nothing happens but after sometime, the app starts playing. Please fix the service issue</t>
  </si>
  <si>
    <t>2015-07-09</t>
  </si>
  <si>
    <t>QuantumBadger-RedReader-228</t>
  </si>
  <si>
    <t>RedReader crashes on login</t>
  </si>
  <si>
    <t>When tried to login to the app it crashes and app won open again until delete the cache. But login appears to be successful. While can open the app get the message notifications. tried to login with both my main account and throwaway one. Result stays the same.
am using an LG G2 with stock ROM and my Android version is 4.2.2
Here is the log le https: gist.github.com ugurcan377</t>
  </si>
  <si>
    <t>2015-07-10</t>
  </si>
  <si>
    <t>geftimov-android-pathview-10</t>
  </si>
  <si>
    <t>Attempt to invoke virtual method 'android.graphics.RectF com.caverock.androidsvg.SVG.getDocumentViewBox()' on a null object reference</t>
  </si>
  <si>
    <t>have an error which crash app:
Bug occurs on tablet with tegra and phones with Mediatek.
Full error log:</t>
  </si>
  <si>
    <t>px-amaac-KZFR-52</t>
  </si>
  <si>
    <t>Crash on reopen of the app</t>
  </si>
  <si>
    <t>When the app has been in the background for period of time and is relaunched it will sometimes crash. Needs Debugging.</t>
  </si>
  <si>
    <t>aashrai-Skittles-6</t>
  </si>
  <si>
    <t>ClickEventError when no mini skittles added</t>
  </si>
  <si>
    <t>there is crash when the main skittle is clicked when there are no mini skittles added</t>
  </si>
  <si>
    <t>2015-07-11</t>
  </si>
  <si>
    <t>react-native-camera-react-native-camera-61</t>
  </si>
  <si>
    <t xml:space="preserve">Stuttery viewfinder on switching to camera </t>
  </si>
  <si>
    <t>It kind of dim and stuttery for about second. Trying to take picture during this time can crash the app.</t>
  </si>
  <si>
    <t>netmackan-ATimeTracker-35</t>
  </si>
  <si>
    <t>crash on restore</t>
  </si>
  <si>
    <t>when trying to restore backup, the app crashes with Unfortunately, Time Tracker has stopped.
this happens directly after selecting the menu item.</t>
  </si>
  <si>
    <t>2015-07-12</t>
  </si>
  <si>
    <t>CellularPrivacy-Android-IMSI-Catcher-Detector-543</t>
  </si>
  <si>
    <t>app crash when downloading OpenCellID</t>
  </si>
  <si>
    <t>After clean install of 0.1.32 alpha b00, the app crash when try to download the cell informations from OpenCellID.
This from the download option in the menu or with the download icon in the map of the cells.
Samsung Galaxy S4 mini stock firmware rooted by towelroot.</t>
  </si>
  <si>
    <t>dimagi-commcare-android-414</t>
  </si>
  <si>
    <t>Fix app crash in LoginActivity &amp; persistently log any task crashes</t>
  </si>
  <si>
    <t>Don try to switch on null value, which occurs when the DataPullTask launched by LoginActivity errors out. Noticed this when looking at this crash from the play store crash reports:
Also log task crashes persistently.</t>
  </si>
  <si>
    <t>2015-07-13</t>
  </si>
  <si>
    <t>Cloudkibo-Android-21</t>
  </si>
  <si>
    <t>App crashed on receive chat</t>
  </si>
  <si>
    <t>When chat message was sent to android, the app crashed. The bug log is like this:
am looking into this bug. This was not created before.</t>
  </si>
  <si>
    <t>jjhesk-KickAssSlidingMenu-7</t>
  </si>
  <si>
    <t>lifecycle issue</t>
  </si>
  <si>
    <t>crashed when the app is restarted again.</t>
  </si>
  <si>
    <t>RFO-BASIC-Basic-192</t>
  </si>
  <si>
    <t>gr.get.params example crashes BASIC!</t>
  </si>
  <si>
    <t>Code that crashes BASIC! is
gr.text.draw t,10,10, bla bla
for to as: ?p$ next</t>
  </si>
  <si>
    <t>2015-07-14</t>
  </si>
  <si>
    <t>liferay-liferay-screens-161</t>
  </si>
  <si>
    <t>LSR-288 Allow creating the CredentialsStore for the first time</t>
  </si>
  <si>
    <t>Before this commit if you want to retrieve the stored session and there is nothing there, it fails with an exception because that method does not set an auth type (and think that is right, because it could load BASIC or OAUTH).
think that the programmer prefers to not find anything, instead of an exception, so prefer sensible default that throwing null and expecting it to crash (with runtimeexception).
Another solution could be launching checked exception...</t>
  </si>
  <si>
    <t>avluis-Hentoid-14</t>
  </si>
  <si>
    <t>[Bug] Invoking "web search" in a webview causes the app to crash.</t>
  </si>
  <si>
    <t>In webview activity, tapping and holding text will show the text selection CAB. In this CAB there is menu overflow that has web search option. Selecting this option will cause the app to crash.
Affects version: 1.0.8
Device os: 4.2.2
1. Launch app and proceed to any webview activity.
2. Tap and hold over text.
3. When the CAB appears, select the overflow menu and tap web search</t>
  </si>
  <si>
    <t>Exlsunshine-ChatApplication-38</t>
  </si>
  <si>
    <t>Audio bug</t>
  </si>
  <si>
    <t>Select void input mode, then with quick click to the input button (instead of long click), the system will crash.</t>
  </si>
  <si>
    <t>Exlsunshine-ChatApplication-37</t>
  </si>
  <si>
    <t>SlideBar bug</t>
  </si>
  <si>
    <t>If the friend list is empty, one single click will lead the system to crash.</t>
  </si>
  <si>
    <t>cgeo-cgeo-5091</t>
  </si>
  <si>
    <t>IllegalStateException short after editing personal note</t>
  </si>
  <si>
    <t>2015.07.13-NB but not clearly reproducible
Open saved cache
Edit existing personal note and save it
When selecting upload or short before just after saving the note c:geo crashes sometimes:</t>
  </si>
  <si>
    <t>2015-07-15</t>
  </si>
  <si>
    <t>ukanth-afwall-385</t>
  </si>
  <si>
    <t>OutofMemory Crash while scrolling through list of apps</t>
  </si>
  <si>
    <t>Samsung Galaxy S4 Active (i9295), Samsung Stock Android 4.4.2, XPosed installed
AfWall+ Version 2.0.0-ALPHA-2
start AFWall+ and then slowly (really seems to depend on scrolling speed) scroll through the list of apps (the list where you mark whether you want to whitelist an app or not).
In this scrolling process, AFWall+ occasionally crashes with the following stack:
Could there be memory leak in the icon loader?</t>
  </si>
  <si>
    <t>2015-07-16</t>
  </si>
  <si>
    <t>dimagi-commcare-android-420</t>
  </si>
  <si>
    <t>Don't show task progress dialog when activity is in bg</t>
  </si>
  <si>
    <t>When you log in (initially) data pull task is spun up to download bunch of data. If the device goes to sleep while this is running then the task crashes due to fragment state loss error. This causes the app to log the user out.
The solution is to not try to show dialog when the corresponding activity has been stopped. This PR introduces flags that keep track of the activities lifecycle state to prevent this.
Also fixed user error notification when login fails, such that it doesn also show bad network error.
Fix for http: manage.dimagi.com default.asp?175212</t>
  </si>
  <si>
    <t>marverenic-Jockey-20</t>
  </si>
  <si>
    <t>Unable to play songs from songs tab</t>
  </si>
  <si>
    <t>Found new bug in the player. When click on song on the songs tab, it displays toast that the song cannot be played. However, am able to play the song from the album. Also, some songs also don play from the album as well. bug in such basic function is setback to an otherwise awesome player. Also, regarding that service crash earlier reported, noticed that it happens when the notification update is called the first time on the app run on Api level&lt;21. Can you fix that too?</t>
  </si>
  <si>
    <t>2015-07-17</t>
  </si>
  <si>
    <t>nextcloud-news-android-364</t>
  </si>
  <si>
    <t>App crash on Android &lt; 4.1</t>
  </si>
  <si>
    <t>Causes crash on Android API LEVEL 11</t>
  </si>
  <si>
    <t>2015-07-18</t>
  </si>
  <si>
    <t>h6ah4i-android-advancedrecyclerview-71</t>
  </si>
  <si>
    <t>Fix crashing issue after swipe dismissed a group item</t>
  </si>
  <si>
    <t>This commit fixed the issue #64.
forgot to update the field, so the internal state of gets corrupted when removing group item :disappointed:</t>
  </si>
  <si>
    <t>2015-07-19</t>
  </si>
  <si>
    <t>openbmap-radiocells-nlp-android-12</t>
  </si>
  <si>
    <t>cell-based geolocation issue on some Android ≤ 4.1 devices</t>
  </si>
  <si>
    <t>Thanks again for making it available for 4.1 but now found minor incident with that. There method referenced not available before Android 4.2 concerning cell-based geolocation (for details, see this issue for the Mozilla backend (https: github.com microg IchnaeaNlpBackend issues 12)).
You can find stack-trace here at pastebin.com (http: pastebin.com XzZrThMi) for what happening. Seems not to be that crucial, though, as location is still found:
solution would be an additional option in the module settings to discable cell-based location. E.g.
use cell-based location (4.2+)
use WiFi based location
and initially disable the first option on lower Android versions, but still give the user the chance to check it on own risk as some 4.1 devices indeed seem to support it if understood Marvin correctly:
Using gsm cells to geolocate is not possible on Android version 4.1 and below because of missing API support **on most devices.**
still jumping between the different projects here at Github with my issues mixing things up Though OBM finds location, UnifiedNlp doesn seem to pick it up but reports the Google location instead (details in the linked issue and yes, do have the Xposed UnifiedNlp module installed and loaded as in all my tests, it reports having found location, but it not UnifiedNlp one) Or could it be your module doesn hand it through here? The above line is the only proof have OBM found location and after all it only reports JSON response not location found
Ah, yuck: See longer excerpt at this pastebin (http: pastebin.com vpLjnyRp): Looks like after finding the location, it simply crashes :(</t>
  </si>
  <si>
    <t>2015-07-20</t>
  </si>
  <si>
    <t>splitwise-TokenAutoComplete-151</t>
  </si>
  <si>
    <t>Crash on rotate when field is disabled</t>
  </si>
  <si>
    <t>When set the android:enabled flag to false for the field, then rotate the device, it crashes with this:
If enable the view, have no issues, guessing it isn necessarily due to rotation but due to Resuming or restoring the view state? One thing noticed is that when the view is enabled, and don have focus on the view, if rotate the device, it puts focus in the view to start editing, and the keyboard comes up, which don want either. This may be related.
running it on device with 5.X android and also tested on 4.4, using the latest release of TokenAutoComplete.</t>
  </si>
  <si>
    <t>nextcloud-news-android-367</t>
  </si>
  <si>
    <t>[0.9.4] Widget non-functional, crashes frequently</t>
  </si>
  <si>
    <t>since the update to 0.9.4 the widget isn working anymore and the news app crashes very frequently when start the app.
It tested it on two devices
SGS4, Android 5.0.1
Nexus 10, Android 5.1.1
deleted the cache and recreated the widget on both devices, without success.
To be honest, the widget never worked very well. It displayed items from days ago and seems never to get updated until manual update by scrolling down the existing items in the widget window.</t>
  </si>
  <si>
    <t>dimagi-commcare-android-434</t>
  </si>
  <si>
    <t>CommCare crashes when you mistype bit.ly url during installation</t>
  </si>
  <si>
    <t>If you mistype bit.ly url such that it redirects to url that doesn point to profile file, CommCare crashes in nondescript manner.
This was because SetupActivity was returning OK result code even when it errored-out. Fix is to return CANCELED code and make the home activity re-launch the install screen on aborted installs.
Fix for http: manage.dimagi.com default.asp?176536</t>
  </si>
  <si>
    <t>2015-07-21</t>
  </si>
  <si>
    <t>dimagi-commcare-android-440</t>
  </si>
  <si>
    <t>Disable acra if submission url isn't valid</t>
  </si>
  <si>
    <t>ACRA crashes and blocks stack traces when it isn setup correctly.
This PR disables ACRA if the submission url isn valid url.</t>
  </si>
  <si>
    <t>2015-07-23</t>
  </si>
  <si>
    <t>Bathlamos-RTDC-69</t>
  </si>
  <si>
    <t>Add User Crash</t>
  </si>
  <si>
    <t>After trying to add user, all seems to work for few seconds until the application crashes. When dismiss the crash, am brought back to the new user dialog with all the information that had previously filled. Here is the stacktrace:
Saving the user for second time causes more errors, as seen by the following two stack traces:
Last note: can reproduce this bug everytime. It has happened more then once to me however.</t>
  </si>
  <si>
    <t>Bathlamos-RTDC-68</t>
  </si>
  <si>
    <t>Communication Hub &amp; Manage Users Crash</t>
  </si>
  <si>
    <t>The application crashes when you go to the communication hub, and then the manage users (using the drawer menu). Here is the stack trace:</t>
  </si>
  <si>
    <t>gdg-x-frisbee-401</t>
  </si>
  <si>
    <t>Arrow game crash after sign out of G+</t>
  </si>
  <si>
    <t>1. Go to Arrow game while signed into G+
2. Open Settings and uncheck box to sign out of G+
3. Press Back, You are taken to Arrow Game again
4. Press Crown icon (Achievements), app crashes
If the user is signed out of the Arrow game onResume, we should probably finish the activity and take them back to their previous activity.</t>
  </si>
  <si>
    <t>2015-07-25</t>
  </si>
  <si>
    <t>Ereza-CustomActivityOnCrash-7</t>
  </si>
  <si>
    <t xml:space="preserve">Crashlytics are not working properly </t>
  </si>
  <si>
    <t>Crashlytics are not working properly
this is my code
public void onCreate()
This makes the library not launch the error activity when the app crashes while it is in background.
Fabric.with(this, new Crashlytics())</t>
  </si>
  <si>
    <t>theSoenke-Paperwork-Android-6</t>
  </si>
  <si>
    <t>apk 0.1 crashes on galaxy note 10.1 GT8010 with JB 4.1.2</t>
  </si>
  <si>
    <t>download the apk from here https: github.com theSoenke Paperwork-Android releases tag v0.1
Installation works, but can open the app,
Got blank screen from about seconds, then black one for about seconds and
it crashes with this message
Paperwork is stopped. this is the translation as the message is in french)
Don know how can give you more informations because not an android dev, but let me know if you want more informations tests</t>
  </si>
  <si>
    <t>2015-07-26</t>
  </si>
  <si>
    <t>Cloudkibo-Android-25</t>
  </si>
  <si>
    <t>Android crashed after SDK update</t>
  </si>
  <si>
    <t>It updated the Google Play services which is used in google plus login. It resulted in app crash. During debug, learnt that we need to update the version number in our dependencies list if the Google Play services is upgraded to new version in SDK. Also have disabled the auto upgrade of Google Play services from SDK now. so it wont crash next time on update.</t>
  </si>
  <si>
    <t>2015-07-27</t>
  </si>
  <si>
    <t>k9mail-k-9-724</t>
  </si>
  <si>
    <t xml:space="preserve">k9 crashes using wrong signs </t>
  </si>
  <si>
    <t>My k9 crashes when entering different combinations of characters to the recipient field of an email.
Just typing forward slash to the To -field even does it.</t>
  </si>
  <si>
    <t>wdullaer-MaterialDateTimePicker-71</t>
  </si>
  <si>
    <t>Crash when "Ok" and "Cancel" are pressed at the same time</t>
  </si>
  <si>
    <t>Sometimes, when both buttons are pressed the app crashes for null pointer exception at line with You can fix it surrounding it with if getDialog() null</t>
  </si>
  <si>
    <t>2015-07-28</t>
  </si>
  <si>
    <t>ankidroid-Anki-Android-3569</t>
  </si>
  <si>
    <t>AnkiDroid not reporting errors</t>
  </si>
  <si>
    <t>Originally reported on Google Code with ID 2697
What steps will reproduce the problem?
1. Install AnkiDroid (2.5beta only?)
2. Look at Settings General settings Error reporting mode
3. See that the setting says Ask me
4. Crash AnkiDroid
What is the expected output? What do you see instead?
An error report should be send.
Instead, logcat produces lines like
on to default ExceptionHandler
and you get the standard Android app crash dialog.
Does it happen again every time you repeat the steps above? Or did it
happen only one time?
Paste the debug info from the AnkiDroid About dialog below (see the
above help webpage for detailed instructions).
AnkiDroid Version 2.5alpha47
Android Version 4.4.4
Please provide any additional information below.
This seems to be problem with the prefs value.
When you switch it to never report and back to ask me and *then* crash AnkiDroid,</t>
  </si>
  <si>
    <t>ankidroid-Anki-Android-3568</t>
  </si>
  <si>
    <t>Crash after sync</t>
  </si>
  <si>
    <t>Originally reported on Google Code with ID 2696
What steps will reproduce the problem?
1. do git checkout ae2036f that is, use 2.5alpha47 PR 896, https: github.com ankidroid Anki-Android pull 896
2. Build, install, run
3. In Ankidroid, sync
4. Wait for the sync to finish
5. Go to another app
6. Go back to Ankidroid
What is the expected output? What do you see instead?
AnkiDroid should continue to work, showing the Sync OK dialog.
Instead it crashes.
Does it happen again every time you repeat the steps above? Or did it
happen only one time?
Paste the debug info from the AnkiDroid About dialog below (see the
above help webpage for detailed instructions).
AnkiDroid Version 2.5alpha47
Android Version 4.4.4
Please provide any additional information below.
Bits of the logcat:
on to default ExceptionHandler</t>
  </si>
  <si>
    <t>ankidroid-Anki-Android-3557</t>
  </si>
  <si>
    <t xml:space="preserve">Crash: AnkiDroid </t>
  </si>
  <si>
    <t>Originally reported on Google Code with ID 2685
What steps will reproduce the problem?
1. Update to new google services due to F*** youtube
2. Try to open AnkiDroid
3. Get toast message AnkiDroid has encountered problem, generating report... and
What is the expected output? What do you see instead?
No crash is expected
Does it happen again every time you repeat the steps above? Or did it
happen only one time?
Yes, cannot use the up since have update google services. really dissapointed
Paste the debug info from the AnkiDroid About dialog below (see the
above help webpage for detailed instructions).
cannot, AnkiDroid crashes immediately.
Please provide any additional information below.
Phone model Lenovo A820, android version 4.1.2
The crashes started after have updated to new google services</t>
  </si>
  <si>
    <t>ankidroid-Anki-Android-3547</t>
  </si>
  <si>
    <t>App crashes after answer checking</t>
  </si>
  <si>
    <t>Originally reported on Google Code with ID 2675
What steps will reproduce the problem?
1. Pressing the check button after typing text into the text field will crash the app
2. Pressing the check button without text in this field will not crash it and showing
the answer properly
What is the expected output? What do you see instead?
Checking the input and showing the differences
Does it happen again every time you repeat the steps above? Or did it
happen only one time?
It happens every time
Paste the debug info from the AnkiDroid About dialog below (see the
above help webpage for detailed instructions).
AnkiDroid Version 2.4.3
Android Version 4.3
Please provide any additional information below.
No problems with the same deck in the Anki Web version 2.0.32 under Ubuntu</t>
  </si>
  <si>
    <t>ankidroid-Anki-Android-3543</t>
  </si>
  <si>
    <t>Badly hosed database crashes AnkiDroid</t>
  </si>
  <si>
    <t>Originally reported on Google Code with ID 2671
What steps will reproduce the problem?
1. Somehow manage to badly damage your collection in certain way.
2. Try to review, sync &amp;c.
What is the expected output? What do you see instead?
AnkiDroid should show the Collection can be opend dialog.
Instead it crashes.
Does it happen again every time you repeat the steps above? Or did it
happen only one time?
With that collection.anki2 every time.
Paste the debug info from the AnkiDroid About dialog below (see the
above help webpage for detailed instructions).
Please provide any additional information below.
still see the deck list with the due counts &amp;c. The crash happens when touch
one deck and then touch STUDY
Full sync from server did not work, nor restore from backup
The DB is on an external SD formatted with NTFS
Anki desktop doesn like the database file either, and throws you back to the select
profile dialog with the error message
Your collection is corrupt. Please create new profile, then see the manual for how</t>
  </si>
  <si>
    <t>ankidroid-Anki-Android-3533</t>
  </si>
  <si>
    <t>Crash when starting reviewing</t>
  </si>
  <si>
    <t>Originally reported on Google Code with ID 2661
What steps will reproduce the problem?
1. (Spend some time in other apps so Android closes the flashcard webview)
2. Touch the STUDY button to start learning
3. Immediately press the home button
What is the expected output? What do you see instead?
AnkiDroid should switch tho the reviewer in the background, so that when you go back
to the app you see the first card due.
Instead it crashes.
Does it happen again every time you repeat the steps above? Or did it
happen only one time?
Pretty much every time, when you are quick enough.
Paste the debug info from the AnkiDroid About dialog below (see the
above help webpage for detailed instructions).
AnkiDroid Version 2.5alpha39
Android Version 4.4.2
Please provide any additional information below.
on to default ExceptionHandler</t>
  </si>
  <si>
    <t>ankidroid-Anki-Android-3531</t>
  </si>
  <si>
    <t>Crashes (at start)  -  Samsung Galaxy S5</t>
  </si>
  <si>
    <t>Originally reported on Google Code with ID 2659
What steps will reproduce the problem?
2. AnkiDroid crashes... Do you want to send report?
Does it happen again every time you repeat the steps above? Or did it
happen only one time?
All the time
Please provide any additional information below.
already tried to reinstall the program few times
tried all options on the screenshots
Thank you for help!
Attachment: Screenshot Screenshot (https: ankidroid issue-2659 comment-0 Screenshot
Attachment: Screenshot Screenshot (https: ankidroid issue-2659 comment-0 Screenshot
Attachment: Screenshot Screenshot (https: ankidroid issue-2659 comment-0 Screenshot
Attachment: Screenshot Screenshot (https: ankidroid issue-2659 comment-0 Screenshot</t>
  </si>
  <si>
    <t>ankidroid-Anki-Android-3521</t>
  </si>
  <si>
    <t>Trying to open settings crashes AnkiDroid</t>
  </si>
  <si>
    <t>Originally reported on Google Code with ID 2635
What steps will reproduce the problem?
1. Built AnkiDroid 2.5alpha33 c23cbff
2. Install it on an API emulator and run debug it
3. (Download collection, set up sync &amp;c.)
4. Open the navigation drawer and touch Settings
What is the expected output? What do you see instead?
The settings should open.
Instead, AnkiDroid crashes.
Does it happen again every time you repeat the steps above? Or did it
happen only one time?
So far, every time in that emulator.
Paste the debug info from the AnkiDroid About dialog below (see the
above help webpage for detailed instructions).
would, if could. The debug info is in the settings, which have the problem with
Please provide any additional information below.
Looks like it is crashing here:
Also crashed with API 10, but seems to work with API 14 and 19.</t>
  </si>
  <si>
    <t>ankidroid-Anki-Android-3501</t>
  </si>
  <si>
    <t>On windows pc, anki is displaying part of answer (2nd column) on 1st page, then rest on 2nd page</t>
  </si>
  <si>
    <t>Originally reported on Google Code with ID 2605
What steps will reproduce the problem?
1. ve download to Windows PC Version 2.0.32 of anki
2. Load new deck no problem
3. run deck on Windows PC it shows question and part of answer
on 1st page. If click show answer it shows the rest of the answer.
What is the expected output? What do you see instead?
rest of answer after click show answer
Does it happen again every time you repeat the steps above? Or did it
happen only one time?
ve repeated times with the same result
Paste the debug info from the AnkiDroid About dialog below (see the
above help webpage for detailed instructions).
Anki is not crashing it just displays the part of the answer on the first page
Please provide any additional information below.
ve been using Anki for more than year with no problems.
First saw problem after upgraded to Version 2.0.32, Qt 4.8.4 PyQt 4.10
loading CSV file in Unicode (UTF-8) using LibreOffice calc like
always do. ve attached the CSV file
Attachment: 0000A b3b4 grammar.csv (https: ankidroid issue-2605 comment-0 0000A b3b4 grammar.csv)</t>
  </si>
  <si>
    <t>ankidroid-Anki-Android-3483</t>
  </si>
  <si>
    <t xml:space="preserve">Problem with custom study </t>
  </si>
  <si>
    <t>Originally reported on Google Code with ID 2587
What steps will reproduce the problem?
1. Custom study
2. Click answer on first card
3. AnkiDroid closes down, an unexpected error has occurred
What is the expected output? What do you see instead?
Expected next card. Instead crash
Does it happen again every time you repeat the steps above? Or did it
happen only one time?
Happens every time, but not with regular study.
Paste the debug info from the AnkiDroid About dialog below (see the
above help webpage for detailed instructions).
AnkiDroid Version 2.4.2
Android Version 4.4.2
Please provide any additional information below.</t>
  </si>
  <si>
    <t>ankidroid-Anki-Android-3469</t>
  </si>
  <si>
    <t>Safe Display mode crashing Ankidroid</t>
  </si>
  <si>
    <t>Originally reported on Google Code with ID 2573
On rooted Barnes and Noble Nook Glowlight (Android 2.1), when Safe Display Mode
is enabled and Simple Interface is not enabled, Anki crashes when opening the review
screen with message similar to this:
Ankidroid has encountered problem. We are letting the developers know.
However, do not see the crashes here:
This is with Ankdroid 2.4.1beta14. AnkiDroid 2.4 had the same issue on
What steps will reproduce the problem?
1. Enable Safe Display Mode
2. Disable Simple Interface
3. Click on deck to review it.
What is the expected output? What do you see instead?
expect to see the review screen. Instead: crash.
Does it happen again every time you repeat the steps above? Or did it
happen only one time?
Please provide any additional information below.
understand that Android 2.1 is no longer supported. would appreciate help in diagnosing
this bug to see if maybe can fix it.</t>
  </si>
  <si>
    <t>ankidroid-Anki-Android-3458</t>
  </si>
  <si>
    <t xml:space="preserve">Due count too high </t>
  </si>
  <si>
    <t>Originally reported on Google Code with ID 2562
What steps will reproduce the problem?
1. Have lots of subdecks, with lots of cards due.
What is the expected output? What do you see instead?
Each card in subdeck should be counted only for the top level deck.
Instead it is counted twice, for the subdeck and the top level deck.
Does it happen again every time you repeat the steps above? Or did it
happen only one time?
Paste the debug info from the AnkiDroid About dialog below (see the
above help webpage for detailed instructions).
No crash, so won paste the uuid
Please provide any additional information below.
think this is regression. think it was fixed in 2.1 or something.</t>
  </si>
  <si>
    <t>ankidroid-Anki-Android-3450</t>
  </si>
  <si>
    <t>Hi,i'm using android 4.3 HTC desire 516 dual sim. Intially the device restricts storing the apps like anki in the SD card and crashing followed even if i deleted the app data.</t>
  </si>
  <si>
    <t>Originally reported on Google Code with ID 2554
What steps will reproduce the problem?
1.installed ankidroid and changed storage location to SD card
2.Use anki for day and synced using the HTC or not.
3.Next morning crashes and their is nothing can to fix it. Also, happened when
attempted to transfer installed app to the SD card.
4.Another time changed where the app gets the collection by exporting the collection
from the anki in the desktop to my SD card and when ankidroid installed changed the
collection retrieval to the SD card and it crashed too.
What is the expected output? What do you see instead?
wanted the ankidroid to be accessed by the mobile device SD card instead of the phone
storage. It crashed and even the options the app points out to fix the problem don
assist. In all the instances, ve pointed out.
Does it happen again every time you repeat the steps above? Or did it
happen only one time?
It happens every time. Especially after studying and syncing. cannot use the app
the next day in my mobile phone.
When changed the storage location of the app and the collection.
For changing storage location yes. But the second issue is endemic to this mobile.
have never used anki for more than day even if sync my progress.</t>
  </si>
  <si>
    <t>ankidroid-Anki-Android-3449</t>
  </si>
  <si>
    <t>Collection not opened</t>
  </si>
  <si>
    <t>Originally reported on Google Code with ID 2553
What steps will reproduce the problem?
1. Opening AnkiDroid under any circumstances
What is the expected output? What do you see instead?
would hope that AnkiDroid might eventually open. get the collection loading error,
and am given the option to restore from backup or download fresh, but none work, it
just hangs on Collection loading failed. Press back to close AnkiDroid
Does it happen again every time you repeat the steps above? Or did it
happen only one time?
Happens any and all times try to run AnkiDroid. have uninstalled, deleted any files
associated with it, restarted, and can get it to work
Paste the debug info from the AnkiDroid About dialog below (see the
above help webpage for detailed instructions).
can even get to the AnkiDroid options to paste debug info. ve sent the crash
info it offers when it loads initially
Please provide any additional information below.</t>
  </si>
  <si>
    <t>ankidroid-Anki-Android-3443</t>
  </si>
  <si>
    <t>Prefs show whiteboard brush width of 0 (should show 6)</t>
  </si>
  <si>
    <t>Originally reported on Google Code with ID 2547
What steps will reproduce the problem?
1. On fresh install
2. Go to the prefs
3. Learning specific
4. Look at whiteboard pixel width
What is the expected output? What do you see instead?
It should show 6, which is the value used by default
Instead, it shows
Does it happen again every time you repeat the steps above? Or did it
happen only one time?
Paste the debug info from the AnkiDroid About dialog below (see the
above help webpage for detailed instructions).
No crash to report, so skip the uuid
AnkiDroid 2.4.1beta14 6ad40b9
Please provide any additional information below.</t>
  </si>
  <si>
    <t>ankidroid-Anki-Android-3438</t>
  </si>
  <si>
    <t>java.lang.IllegalArgumentException: View not attached to window manager : at com.ichi2.anki.DeckPicker$16.onPostExecute</t>
  </si>
  <si>
    <t>Originally reported on Google Code with ID 2542
There seems to be quite few crashes failing at the sync onPostExecute() method at
if (mProgressDialog null)
Here the stacktrace:
V.E..... R.....ID 0,0-960,439 not attached to window manager
But all of crashes with this signature have similar logcat indicating that the root
cause of the problem might be somewhere else:</t>
  </si>
  <si>
    <t>ankidroid-Anki-Android-3429</t>
  </si>
  <si>
    <t>Problem with Anki that effected my database and now Ankidroid is crashing</t>
  </si>
  <si>
    <t>Originally reported on Google Code with ID 2533
was using Anki today and started having problem with it saying there was problem
with the database. Unfortunately let it sync and now having problems with Ankidroid.
have over 14,000 cards. hope don lose my work!
have run Ankidroid repair database utility to no avail.
Do you have any ideas?</t>
  </si>
  <si>
    <t>ankidroid-Anki-Android-3401</t>
  </si>
  <si>
    <t>Wrong title when returning from e.g. statitstics to review</t>
  </si>
  <si>
    <t>Originally reported on Google Code with ID 2505
What steps will reproduce the problem?
1. Review deck
2. Via the navigation drawer, go to statistics
3. Touch the back button
What is the expected output? What do you see instead?
The title, at the very top besides the app icon, should show the deck name.
Instead it says Statistics (localized, in my case Statistik
Does it happen again every time you repeat the steps above? Or did it
happen only one time?
Paste the debug info from AnkiDroid below. (In v2.4+, go to Settings -&gt;
About -&gt; Copy Debug Info).
AnkiDroid Version 2.4alpha38 (actually something like 2.5alpha N, git hash ee92ee6)
Android Version 4.1.2
(no crash, ll skip the uuid)
Please provide any additional information below.
It the same with the card browser</t>
  </si>
  <si>
    <t>ankidroid-Anki-Android-3398</t>
  </si>
  <si>
    <t>rooted  note 2 (GT-N7105)  crash with ankidroid version 2.4</t>
  </si>
  <si>
    <t>Originally reported on Google Code with ID 2502
running Ditto Note ROM image.
Build Number DN3 v3.1.1 LTE (Ditto Note 3)
What steps will reproduce the problem?
1. Install AnkiDroid 2.4
2. Start Anki
3. Observe message it has crashed
see black screen see popup test. Ankidroid has encountered problem. report is
being generated flashed twice.
4. AnkiDroid Exit to previous screen app.
What is the expected output? What do you see instead?
Does it happen again every time you repeat the steps above? Or did it
happen only one time?
It happens everytime tried to go in.
Paste the debug info from AnkiDroid below. (In v2.4+, go to Settings -&gt;
About -&gt; Copy Debug Info).
Can even get into the screen.
Please provide any additional information below.
my email is pekcheey ad gmail.com
my number if you would whatsapp or telegram me is +65 0ne 79 0ne 09 (faster respond)</t>
  </si>
  <si>
    <t>ankidroid-Anki-Android-3395</t>
  </si>
  <si>
    <t>Where is main menu with import option?</t>
  </si>
  <si>
    <t>Originally reported on Google Code with ID 2499
What steps will reproduce the problem?
1.Turn on ANKIDROID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</si>
  <si>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ankidroid-Anki-Android-3394</t>
  </si>
  <si>
    <t>Fuzzy syncing issues</t>
  </si>
  <si>
    <t>Originally reported on Google Code with ID 2498
What steps will reproduce the problem?
hard to reproduce probably:
1. have large set (116k cards, c. 30 decks), using windows client ankidroid. full
sync from windows -&gt; clean slate.
2. after while (doing some editing in the browser? exporting importing data?) of
syncing between the clients, there database problem in the win version. repair,
then sync again.
3. probably after that, the two versions (win droid) are not perfectly in sync. For
one, sometimes get cards as new that already did the day before for sure. One
other strange thing: can press Sync on win, then droid, then win, then droid, over
and over, without ever telling me there are no changes. it always syncs some kilobytes.
What is the expected output? What do you see instead?
Does it happen again every time you repeat the steps above? Or did it
happen only one time?
What version of AnkiDroid are you using? (Decks list menu About Look
On what version of Android? (Home screen menu About phone Android
win client 2.0.31
droid 2.3.2 on android 4.1.2
If it is crash or Force close and you can reproduce it, the following</t>
  </si>
  <si>
    <t>ankidroid-Anki-Android-3382</t>
  </si>
  <si>
    <t>AnkiDroid 2.0.1 crashes when trying to sync</t>
  </si>
  <si>
    <t>Originally reported on Google Code with ID 2486
What steps will reproduce the problem?
1.Open Ankidroid on Kindle Fire
3.Synchronisation symbol appears and twirls for second or two
What is the expected output? What do you see instead?
What happens instead: app crashes, textbox Ankidroid has stopped appears
Does it happen again every time you repeat the steps above? Or did it
happen only one time?
Never happened until yesterday, now happens every time (attempted syncing about 10
times -&gt; crashed 10 10, sent error feedback several times). The decks that are already
in the list still work fine.
What version of AnkiDroid are you using? (Decks list menu About Look
On what version of Android? (Home screen menu About phone Android
Kindle Fire System version:7.5.1 user 5170020
If it is crash or Force close and you can reproduce it, the following
would help immensely: 1) Install the SendLog app, 2) Reproduce the crash,
3) Immediately after, launch SendLog, 4) Attach the resulting file to this
report. That will make the bug much easier to fix.
Sorry, not sure how where to get SendLog... But will check around bit more :) Thanks
for your help!</t>
  </si>
  <si>
    <t>ankidroid-Anki-Android-3380</t>
  </si>
  <si>
    <t>Crash when switching to a different deck after finishing reviews of the previous one</t>
  </si>
  <si>
    <t>Originally reported on Google Code with ID 2484
What steps will reproduce the problem?
1. Do reviews for one of the decks. When the last card is done, AnkiDroid goes back
to the main screen and the right panel (the one with the chart and Study button)
is blank, probably because it being loaded in the background.
2. Click on different deck before the right panel loads. Anki crashes and asks for
What is the expected output? What do you see instead?
It should select the clicked deck and not crash.
Does it happen again every time you repeat the steps above? Or did it
happen only one time?
It happened to me three times today, each time after finishing reviews for one of the
decks. It did not crash for the fourth deck.
don know if the right panel not being loaded matters. think this does not happen
when it already loaded but the crash is not easy to reproduce in controlled way
so can check.
What version of AnkiDroid are you using?
On what version of Android?
Running on Prestigio PMT5587 Wi tablet
Until recently ve been using AnkiDroid 2.3.2. have already experienced similar
crashes before so it probably not just this beta but not sure as don have</t>
  </si>
  <si>
    <t>ankidroid-Anki-Android-3376</t>
  </si>
  <si>
    <t>Bluetooth keyboard causes error</t>
  </si>
  <si>
    <t>Originally reported on Google Code with ID 2480
What steps will reproduce the problem?
1. When turn on bluetooth and attach my keyboard then anki shows me an error
What is the expected output? What do you see instead?
onscreen keyboard goes away.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</si>
  <si>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ankidroid-Anki-Android-3371</t>
  </si>
  <si>
    <t>Images too small</t>
  </si>
  <si>
    <t>Originally reported on Google Code with ID 2475
What steps will reproduce the problem?
1. Adding any image from Anki desktop and syncing on my GS4
What is the expected output? What do you see instead?
expect to see an image which fills the screen area, or is large and scrollable.
Instead see thumbnail-size image only.
Does it happen again every time you repeat the steps above? Or did it
happen only one time?
All times with all cards
What version of AnkiDroid are you using? (Decks list menu About Look
On what version of Android? (Home screen menu About phone Android
Latest, and 4.4.2 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have been making flashcards for study but wanted more convenient, quick method...
this app looks fantastic but can get images to display correctly. After had
issues, went to Browse --&gt; Cards... --&gt; and added the following string:</t>
  </si>
  <si>
    <t>ankidroid-Anki-Android-3370</t>
  </si>
  <si>
    <t>Crashes and says the database is not real or is corrupt</t>
  </si>
  <si>
    <t>Originally reported on Google Code with ID 2474
What steps will reproduce the problem?
1. Opening the app
2.trying to import deck
What is the expected output? What do you see instead?
Expecred is for the app to open and to be able to import new decks. Instead app crashes
or displays message saying the database is corrupt or not real version.
Does it happen again every time you repeat the steps above? Or did it
happen only one time?
it happens every time try to import deck or try to open the app.
What version of AnkiDroid are you using? (Decks list menu About Look
On what version of Android? (Home screen menu About phone Android
2.3.2 and KitKat 4.4.2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</si>
  <si>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ankidroid-Anki-Android-3369</t>
  </si>
  <si>
    <t>no sound on samsung s3 mini</t>
  </si>
  <si>
    <t>Originally reported on Google Code with ID 2473
What steps will reproduce the problem?
1. install ankidroid on samsung s3 mini
2. install Russian Cryillic card deck
3. no audio plays however Edit Card and go to Editing field and press play button
and the sound works sound:sound07.mp3
What is the expected output? What do you see instead?
no audio plays however if go to Edit Card and go to Editing field and press play
button and the sound works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It is the first deck have tried, and it it repeatable so that should help to find
the problem guess?</t>
  </si>
  <si>
    <t>ankidroid-Anki-Android-3362</t>
  </si>
  <si>
    <t>cards that are marked seem to become unmarked randomly</t>
  </si>
  <si>
    <t>Originally reported on Google Code with ID 2466
What steps will reproduce the problem?
1. mark some cards
2. make filter deck sorting on the tag marked
3. study that deck. Even though all of the cards in the deck appear some will not be
marked any longer.
What is the expected output? expecting that the cards should stay marked unless
explicitly unmarked by the operator
What do you see instead?
the cards seem to randomly become unmarked. Perhaps don understand the way cards
being marked should function.
Does it happen again every time you repeat the steps above? Or did it
happen only one time?
it seems to happen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</si>
  <si>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ankidroid-Anki-Android-3361</t>
  </si>
  <si>
    <t>when adding new tags sometimes pre existing tags are randomly selected as well</t>
  </si>
  <si>
    <t>Originally reported on Google Code with ID 2465
What steps will reproduce the problem?
1.add new tag
What is the expected output?
the new tag should be added and in my opinion should be automatically selected, but
no other tags should be randomly selected
What do you see instead?
some tags, near the top of the list of tags are randomly selected.
Does it happen again every time you repeat the steps above? Or did it
happen only one time?
seems like everytime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</si>
  <si>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ankidroid-Anki-Android-3360</t>
  </si>
  <si>
    <t>Adding a new tag after selecting existing tags in tag editor causes the wrong tags to be selected</t>
  </si>
  <si>
    <t>Originally reported on Google Code with ID 2464
What steps will reproduce the problem?
1.add tags do card by clicking on the tags field and check existing tags checkbox.
With multiple tags already checked add new tag by typing it in the appropriate box
and clicking to add it to the list. the new tag will be added however all previously
checked tags: will become unchecked.
What is the expected output?
the previously selected tags should remain selected and the new tag be added and selected
What do you see instead?
the previously selected tags are selected when adding new tag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</si>
  <si>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ankidroid-Anki-Android-3358</t>
  </si>
  <si>
    <t>Words in target language window go outside the screen</t>
  </si>
  <si>
    <t>Originally reported on Google Code with ID 2462
What steps will reproduce the problem?
1. Cards are added on Computer Anki version.
2. Cards are reviewed on Android Anki version after synchronisation.
What is the expected output? What do you see instead?
Words in target language (the second lower window) go outside the screen on Android
Anki. When edit these words on Android Anki, can clearly see that &amp;nbsp symbols
appeared, which need to remove.
Does it happen again every time you repeat the steps above? Or did it
happen only one time?
It happens every time after they are added on Computer version and reviewed on Android
Anki version after synchronization. However, it does not repeat, if edit such cards
manually on Android Anki by removing &amp;nbsp symbols between the words. After such
editing, words do not go outside the screen.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</si>
  <si>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ankidroid-Anki-Android-3357</t>
  </si>
  <si>
    <t>Timeout while uploading changes during sync</t>
  </si>
  <si>
    <t>Originally reported on Google Code with ID 2461
What steps will reproduce the problem?
1. Do some reviews in AnkiDroid
2. Press the sync button
What is the expected output? What do you see instead?
expect the sync to complete successfully. Instead it gets stuck during Upload changes
after some amount of changes have been uploaded (e.g. kb) and after some time times
Does it happen again every time you repeat the steps above? Or did it
happen only one time?
It happens every time, regardless of whether do regular sync or full re-upload.
However, it only affects uploading when downloading changes it never gets stuck.
What version of AnkiDroid are you using? (Decks list menu About Look
On what version of Android? (Home screen menu About phone Android
AnkiDroid 2.3.2 and 2.4beta2 on Android 4.4.2.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can do full sync (Download) which works correctly, but does not fix the problem.</t>
  </si>
  <si>
    <t>ankidroid-Anki-Android-3356</t>
  </si>
  <si>
    <t>SOME self-created cards turn invisible during review</t>
  </si>
  <si>
    <t>Originally reported on Google Code with ID 2460
What steps will reproduce the problem?
1.i create cards by copy-paste from website into anki
2.during review problem occurs
3.1st review of self-created cards pose no issue, but its subsequent reviews do
What is the expected output? What do you see instead?
expected output-card review, see NOTHING,like empty card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and also SOME self-created cards tend to create itself duplicates, appearing themselves
during reviews.when delete anyone of them, original plus its duplicate cards get</t>
  </si>
  <si>
    <t>ankidroid-Anki-Android-3355</t>
  </si>
  <si>
    <t>Basic note type not showing answers</t>
  </si>
  <si>
    <t>Originally reported on Google Code with ID 2459
What steps will reproduce the problem?
1.Trying to change the settings to that can type an answer in using the basic note
2. cut back to the front part of the card and change it to type:back
What is the expected output? What do you see instead?
wanted to be able to type the answer in and followed steps on youtube, but decided
it was too much hassle. When tried to use the basic note to make normal cards, the
answer either wont show up or unknown field back comes up instead of the answer.
This has therefore made it impossible to see all the answers from decks using the basic
Does it happen again every time you repeat the steps above? Or did it
happen only one time?
It happens each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</si>
  <si>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ankidroid-Anki-Android-3350</t>
  </si>
  <si>
    <t>Media check find "unused" LaTeX images (but they are used actually)</t>
  </si>
  <si>
    <t>Originally reported on Google Code with ID 2454
What steps will reproduce the problem?
1. Anki desktop: Edit notes with any LaTeX expression, view the cards in order to generate
2. Sync on desktop then on android
3. AnkiDroid: Do menu -&gt; Check media. It finds unused LaTeX images (which are actually
used) and asks for deletion (if you do delete, then LaTeX fields won show correctly)
What is the expected output? What do you see instead?
It should not find unused LaTeX images if they are associated with note or card.
It should find only unassociated LaTeX images.
Does it happen again every time you repeat the steps above? Or did it
happen only one time?
Yes, it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</si>
  <si>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ankidroid-Anki-Android-3346</t>
  </si>
  <si>
    <t>Activities with radio groups/buttons are not usable</t>
  </si>
  <si>
    <t>Originally reported on Google Code with ID 2450
What steps will reproduce the problem?
1. Add radio buttons to basic Linear Layout, any existing Activity Layout will do,
or new one
What is the expected output? What do you see instead?
The buttons are misrendered and unusable.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You can test this with basic radio button layout, as outlined by the Android Developer
The unusable and broken rendering is illustrated in the attachment.
Attachment: 2014-12-22 00.36.10.png&lt;br&gt;! 2014-12-22 00.36.10.png (https: ankidroid issue-2450 comment-0 2014-12-22 00.36.10.png)</t>
  </si>
  <si>
    <t>ankidroid-Anki-Android-3345</t>
  </si>
  <si>
    <t>Saved data dialog doesn't show clear all button</t>
  </si>
  <si>
    <t>Originally reported on Google Code with ID 2449
What steps will reproduce the problem?
1. Turn on Instant add (not sure if this is necessary)
2. Add lot of cards to the saved data (in my case 22 entries added through CREATE FLASCARD
3. Try to create card from saved data
What is the expected output? What do you see instead?
the Saved data dialog clear all button should be shown, but can see it
even when scrolling down.
Does it happen again every time you repeat the steps above? Or did it
happen only one time?
What version of AnkiDroid are you using?
On what version of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Once down to entries in the Saved data dialog (by adding the data to cards)
the button shows up.</t>
  </si>
  <si>
    <t>ankidroid-Anki-Android-3344</t>
  </si>
  <si>
    <t>Can't download new deck</t>
  </si>
  <si>
    <t>Originally reported on Google Code with ID 2448
What steps will reproduce the problem?
1. Install new software
2. Go to download deck
3. Select shared deck
What is the expected output? What do you see instead?
Does it happen again every time you repeat the steps above? Or did it
happen only one time?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</si>
  <si>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ankidroid-Anki-Android-3340</t>
  </si>
  <si>
    <t>Zoom feature in 2.3.2</t>
  </si>
  <si>
    <t>Originally reported on Google Code with ID 2444
What steps will reproduce the problem?
1. Open any card with an image
What is the expected output? What do you see instead?
On older versions of Ankidroid it was possible to zoom into the picture, can not
find this feature in 2.3.2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</si>
  <si>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ankidroid-Anki-Android-3338</t>
  </si>
  <si>
    <t xml:space="preserve">core6k japanese sentence pack audio stopped playing automatically when answer shown </t>
  </si>
  <si>
    <t>Originally reported on Google Code with ID 2442
What steps will reproduce the problem?
when reviewing cards.
What is the expected output? What do you see instead?
To have the audio play automatically when hit show answer.
This was happening before update to lollipop... :(
Does it happen again every time you repeat the steps above? Or did it
happen only one time?
It has happened only since upgrade to lollipop.
What version of AnkiDroid are you using? 2.3.2 (Decks list menu About Look
On what version of Android?lollipop 5.0.1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</si>
  <si>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ankidroid-Anki-Android-3335</t>
  </si>
  <si>
    <t>Existing notes are not updated on import</t>
  </si>
  <si>
    <t>Originally reported on Google Code with ID 2439
What steps will reproduce the problem?
1. having ankidroid update the changes onto the phone
What is the expected output? What do you see instead?
expect to see changes updated, instead no changes occur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</si>
  <si>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ankidroid-Anki-Android-3325</t>
  </si>
  <si>
    <t>com.ichi2.anki.exception.UnknownHttpResponseException: Bad Gateway</t>
  </si>
  <si>
    <t>Originally reported on Google Code with ID 2429
What steps will reproduce the problem?
1. Click the sync button
What is the expected output? What do you see instead?
Bad Gateway) where it takes me to the error report screen. It always times out when
it says 275 media objects it starts uploading and then crashes.
Does it happen again every time you repeat the steps above? Or did it
happen only one time?
-Every time. It just started to happen this week.
What version of AnkiDroid are you using? (Decks list menu About Look
On what version of Android? (Home screen menu About phone Android
-Android 4.4.2, AnkiDroid 2.3.2
If it is crash or Force close and you can reproduce it, the following
would help immensely: 1) Install the SendLog app, 2) Reproduce the crash,
3) Immediately after, launch SendLog, 4) Attach the resulting file to this
report. That will make the bug much easier to fix.
-I ve attached the SendLog file.
Please provide any additional information below.
-I not sure what caused it, maybe AnkiDroid and Anki Desktop tried to sync at the
same time? not sure, but the problem just started this week. It seems to still</t>
  </si>
  <si>
    <t>ankidroid-Anki-Android-3324</t>
  </si>
  <si>
    <t>Long Press Gesture Not Working Anymore</t>
  </si>
  <si>
    <t>Originally reported on Google Code with ID 2428
What steps will reproduce the problem?
1. Go to settings gestures
2. Activate gestures
3. Set no action for all the events (but doesn really matter)
4. Define undo action in case of long press event
5. Open card deck
6. Answer the first card to reach the second
7. Long press to execute the undo command
What is the expected output? What do you see instead?
expected: undo command being executed
instead: nothing happens
Does it happen again every time you repeat the steps above? Or did it
happen only one time?
all the time since an AnkiDroid update some weeks ago. Before it worked fine.
What version of AnkiDroid are you using? (Decks list menu About Look
On what version of Android? (Home screen menu About phone Android
latest AnkiDroid version (2.3.2) on Android 4.4.2
perfectly worked with an older AnkiDroid version
If it is crash or Force close and you can reproduce it, the following</t>
  </si>
  <si>
    <t>ankidroid-Anki-Android-3320</t>
  </si>
  <si>
    <t>Sound does not automatically play on the back card if the front card includes a command to play a sound file first.</t>
  </si>
  <si>
    <t>Originally reported on Google Code with ID 2424
What steps will reproduce the problem?
1. Pressing show answer on card which front template and back template include
command to play audio (example audio
What is the expected output? What do you see instead?
Front template contains
Back template also contains audio
entry of audio in the card type front template.
When show answer is pressed it plays the sound file one more time as indicated by audio
in my card type back template.
it did on the last version on AnkiDroid.
Does it happen again every time you repeat the steps above? Or did it
happen only one time?
Yes every time there is command to play sound file in the front template and back
template the sound file will not play again once show answer is pressed.
However if the front template does not contain any commands to play sound file then
once show answer is pressed then the back template sound file does play.
What version of AnkiDroid are you using? (Decks list menu About Look
On what version of Android? (Home screen menu About phone Android
If it is crash or Force close and you can reproduce it, the following</t>
  </si>
  <si>
    <t>ankidroid-Anki-Android-3313</t>
  </si>
  <si>
    <t>Russian words get 'y' added in front of word when queried</t>
  </si>
  <si>
    <t>Originally reported on Google Code with ID 2417
What steps will reproduce the problem?
1. Have deck with Russian words (written in cyrillic) and English as answer
2. Have the query word be Russian (the reversed card does not have the problem)
3. The word will show up with in front of the word.
What is the expected output? What do you see instead?
Expected is the word as written in the database, it will show up with an in front
of it (card edit shows that the is not part of the word.
Does it happen again every time you repeat the steps above? Or did it
happen only one time?
Happens all the time if the first word is Russian. If it asks me the reverse (English),
it doesn show the before the English, nor for the Russian answer.
What version of AnkiDroid are you using? (Decks list menu About Look
On what version of Android? (Home screen menu About phone Android
Ankidroid version: 2.3.2
Andriod version: 4.4.3
If it is crash or Force close and you can reproduce it, the following
would help immensely: 1) Install the SendLog app, 2) Reproduce the crash,
3) Immediately after, launch SendLog, 4) Attach the resulting file to this
report. That will make the bug much easier to fix.</t>
  </si>
  <si>
    <t>0110</t>
  </si>
  <si>
    <t>ankidroid-Anki-Android-3312</t>
  </si>
  <si>
    <t>Ankidroid resets back to main screen when switching to another app and then back again</t>
  </si>
  <si>
    <t>Originally reported on Google Code with ID 2416
What steps will reproduce the problem?
1. Study deck in ankidroid
2. Open another app e.g. notes
3. Switch back to ankidroid
What is the expected output? What do you see instead?
All prior versions maintained the app as it was before the switch, this was very useful
for taking notes in study session as you can use the pie to flick to notes, then
flick straight back to your study session. Now you have to scroll to the deck and reopen
it, plus you don always return to the same study card this way.
Does it happen again every time you repeat the steps above? Or did it
happen only one time?
Happens every time
What version of AnkiDroid are you using? (Decks list menu About Look
On what version of Android? (Home screen menu About phone Android
2.3.2 on 4.4.2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</si>
  <si>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ankidroid-Anki-Android-3311</t>
  </si>
  <si>
    <t>Tap gestures on: audio button non-functional</t>
  </si>
  <si>
    <t>Originally reported on Google Code with ID 2415
What steps will reproduce the problem?
1. review card with audio on it.
2. have gestures on, probably with single-tap active
3. tap on the audio button
What is the expected output? What do you see instead?
want to replay the audio by tapping on the audio button, instead, the gesture gets
activated (in my case, show the backside).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realize that the gesture function is quite rudimentary (the swipes didn work at
all for me), but hope this can be fixed without too much hassle :)</t>
  </si>
  <si>
    <t>ankidroid-Anki-Android-3310</t>
  </si>
  <si>
    <t>When downloading own deck off anki server on new computer for the first time, AssertionError occurs and download aborts</t>
  </si>
  <si>
    <t>Originally reported on Google Code with ID 2414
What steps will reproduce the problem?
1.Download Anki 2.0.31, set to English
2. Press the Sync button, log into own account
3. Download starts... but then fails with the following error (attached image)
What is the expected output? What do you see instead?
Expect Sync, instead get error
Does it happen again every time you repeat the steps above? Or did it
happen only one time?
Only tested over 30 min interval, but happened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screenshot.246.png (https: ankidroid issue-2414 comment-0 screenshot.246.png)</t>
  </si>
  <si>
    <t>ankidroid-Anki-Android-3307</t>
  </si>
  <si>
    <t>Card editing crashed anki</t>
  </si>
  <si>
    <t>Originally reported on Google Code with ID 2411
What steps will reproduce the problem?
1. anki in learning mode
2. activate whiteboard
3. edit the card and click to save
4. anki crashes
What is the expected output? What do you see instead?
Anki does not crash and the card is edited.
Does it happen again every time you repeat the steps above? Or did it
happen only one time?
It happens in of 10 attampts to edit card an anki droid.
What version of AnkiDroid are you using? (Decks list menu About Look
On what version of Android? (Home screen menu About phone Android
The newest ones.</t>
  </si>
  <si>
    <t>ankidroid-Anki-Android-3302</t>
  </si>
  <si>
    <t>NPE crash on createStatisticOverview</t>
  </si>
  <si>
    <t>Originally reported on Google Code with ID 2406
Been seeing few NPE crashes opening statistics overview:</t>
  </si>
  <si>
    <t>ankidroid-Anki-Android-3301</t>
  </si>
  <si>
    <t xml:space="preserve">cards written on windows version sometimes display in bold on ankidroid </t>
  </si>
  <si>
    <t>Originally reported on Google Code with ID 2405
What steps will reproduce the problem?
1. have feeling this is not new, but can find solution.
2. Making the font bigger helps little
What is the expected output? What do you see instead?
expect to see normal non-bold fonts and instead some groups of words are randomly
displayed in bold. This is not problem for the English content, but the Chinese characters
learning can become illegible.
After pressing the edit button the card content can be seen to include the html code
Does it happen again every time you repeat the steps above? Or did it
happen only one time?
It happened numerous times.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have also experienced numerous crashes recently (several per day). ll try to do
Please provide any additional information below.</t>
  </si>
  <si>
    <t>ankidroid-Anki-Android-3300</t>
  </si>
  <si>
    <t>cards written on windows version sometimes display in bold on ankidroid</t>
  </si>
  <si>
    <t>Originally reported on Google Code with ID 2404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</si>
  <si>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ankidroid-Anki-Android-3294</t>
  </si>
  <si>
    <t>Can't download shared decks</t>
  </si>
  <si>
    <t>Originally reported on Google Code with ID 2398
What steps will reproduce the problem?
1. Click on app, open browser (I use chrome), download shared deck, try to open in
anki, get error message that it is not valid apkg file.
What is the expected output? What do you see instead?
Error message that the file is not valid when try to upload shared deck that
have downloaded onto my Android
Does it happen again every time you repeat the steps above? Or did it
happen only one time?
Every time. Several decks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Samsung galaxy s4 mini. Worked before recent update.</t>
  </si>
  <si>
    <t>ankidroid-Anki-Android-3291</t>
  </si>
  <si>
    <t>Crash on db check</t>
  </si>
  <si>
    <t>Originally reported on Google Code with ID 2395
What steps will reproduce the problem?
1. Somehow produce sync conflict
2. and start check database
What is the expected output? What do you see instead?
The check should run. (Ideally, it should fix the sync conflict, as, in this case,
didn really do anything that needed the check.)
Instead AnkiDroid crashed Android (reboot).
Does it happen again every time you repeat the steps above? Or did it
happen only one time?
With the collection in this state every time.
What version of AnkiDroid are you using? (Decks list menu About Look
On what version of Android? (Home screen menu About phone Android
The test works OK with 2.3.2, head of the hotfix branch.
If it is crash or Force close and you can reproduce it, the following
would help immensely: 1) Install the SendLog app, 2) Reproduce the crash,
3) Immediately after, launch SendLog, 4) Attach the resulting file to this
report. That will make the bug much easier to fix.
There is this triage report:
Please provide any additional information below.</t>
  </si>
  <si>
    <t>ankidroid-Anki-Android-3288</t>
  </si>
  <si>
    <t>Case sensitive search with non-english letters</t>
  </si>
  <si>
    <t>Originally reported on Google Code with ID 2392
What steps will reproduce the problem?
1. Create card with eg. the word ber in it
2. Use the search feature to search for ber, ber and Ber
What is the expected output? What do you see instead?
expect that ber will match ber because Ber matches ber
Does it happen again every time you repeat the steps above? Or did it
happen only one time?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</si>
  <si>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ankidroid-Anki-Android-3286</t>
  </si>
  <si>
    <t>"Again" cards don't appear when tapping "Study".</t>
  </si>
  <si>
    <t>Originally reported on Google Code with ID 2390
What steps will reproduce the problem?
1. almost completing study session and then finding that the again cards are left
2.Then it goes back to deck itself without completing those cards
3.Then when tap Study, the cards don open at all.
What is the expected output? What do you see instead?
expected the deck to open the again cards for study so as to complete them so that
complete them unless go back to all decks and then enter and do thing or two to
make it show me one card and then again few cards are not shown. have to go through
this process again and again. Earlier there was no such problem.
Does it happen again every time you repeat the steps above? Or did it
happen only one time?
It happened in three chapters reviewed. And it tends to happen everytime repeat
What version of AnkiDroid are you using? (Decks list menu About Look
On what version of Android? (Home screen menu About phone Android
4.4.2 android kitkat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</si>
  <si>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ankidroid-Anki-Android-3284</t>
  </si>
  <si>
    <t>AnkiDroid not syncing</t>
  </si>
  <si>
    <t>Originally reported on Google Code with ID 2388
What steps will reproduce the problem?
1.open anki droid decks appear find
2.synch and get error message: SYNCH ERROR: Please use the latest AnkiDroid to continue
What is the expected output? What do you see instead?
expect the synch to the web to work. It worked YESTERDAY. Today get
error message: SYNCH ERROR: Please use the latest AnkiDroid to continue synching
Does it happen again every time you repeat the steps above? Or did it
happen only one time?
Every single time
What version of AnkiDroid are you using? (Decks list menu About Look
On what version of Android? (Home screen menu About phone Android
version) Android 4.4.2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</si>
  <si>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ankidroid-Anki-Android-3283</t>
  </si>
  <si>
    <t>syncing then updating issue</t>
  </si>
  <si>
    <t>Originally reported on Google Code with ID 2387
What steps will reproduce the problem?
1. When attempted to sync it told me to update to the latest AnkiDroid.
2. When attempted to update it told me to free up space and try again (although
have plenty of free space).
3. When uninstalled was unable to reinstall due to the free up space and try again
What is the expected output? What do you see instead?
Does it happen again every time you repeat the steps above? Or did it
happen only one time?
Now unable to install AnkiDroid after many attempts.
What version of AnkiDroid are you using? (Decks list menu About Look
On what version of Android? (Home screen menu About phone Android
version) Nokia 2.1.0.12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</si>
  <si>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ankidroid-Anki-Android-3281</t>
  </si>
  <si>
    <t>hide field does not work</t>
  </si>
  <si>
    <t>Originally reported on Google Code with ID 2385
What steps will reproduce the problem?
1.load deck which uses the hide:example field, which can supposedly hide the
actual word example on the card. (is used to differentiate notes with same Front
words showing up).
2.on the test preview card page, the field still isn hidden and appears hideous in
3.desktop mode works perfectly so suspect that it something that the android version
still hasn implemented.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desktop 01.png&lt;br&gt;! desktop 01.png (https: ankidroid issue-2385 comment-0 desktop 01.png)
Attachment: desktop 02.png&lt;br&gt;! desktop 02.png (https: ankidroid issue-2385 comment-0 desktop 02.png)</t>
  </si>
  <si>
    <t>ankidroid-Anki-Android-3278</t>
  </si>
  <si>
    <t>where are the saved cards in new version of ankidroid</t>
  </si>
  <si>
    <t>Originally reported on Google Code with ID 2382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</si>
  <si>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ankidroid-Anki-Android-3277</t>
  </si>
  <si>
    <t>bug Exporting indivitual decks</t>
  </si>
  <si>
    <t>Originally reported on Google Code with ID 2381
What steps will reproduce the problem?
1. Export an individual deck (for example MyDeck) by long tap on the deck you wish
2. See EXPORT folder in AnkiDroid folder
3. In addition of MyDeck.apkg one another file named MyDeck.media.ad.db2 and folder
named MyDeck.media is also created
4. Send file MyDeck.apkg to PC an error occurred during importing this file. also
if you re-import this file in Ankidroid it is failed.
What is the expected output? What do you see instead?
This bug don occur if you try to export whole collection. Just occur when you want
to export individual decks
Does it happen again every time you repeat the steps above? Or did it
happen only one time?
It happens every time
What version of AnkiDroid are you using? (Decks list menu About Look
On what version of Android? (Home screen menu About phone Android
version AnkiDroid 2.3
If it is crash or Force close and you can reproduce it, the following
would help immensely: 1) Install the SendLog app, 2) Reproduce the crash,
3) Immediately after, launch SendLog, 4) Attach the resulting file to this</t>
  </si>
  <si>
    <t>ankidroid-Anki-Android-3276</t>
  </si>
  <si>
    <t>fron text is in english ans the back is in hebrw and well displayed in browser. but when u study u get the answer (back) in gibrish</t>
  </si>
  <si>
    <t>Originally reported on Google Code with ID 2380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</si>
  <si>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ankidroid-Anki-Android-3272</t>
  </si>
  <si>
    <t>Anki shows flag icon instead of question</t>
  </si>
  <si>
    <t>Originally reported on Google Code with ID 2376
What steps will reproduce the problem?
1.download shared deck from https: ankiweb.net shared info 978720750
2.view any card on AnkiDroid
What is the expected output? vocabulary in either Japanese or English
What do you see instead? small flag icon of either Japan or Great Britain
Does it happen again every time you repeat the steps above? Or did it
happen only one time?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This behavior began yesterday, happens every time, for all my card types, but only
for this one deck. It never happened before and makes the deck useless to me.
Simple interface displays only small box for the question.
ve used Anki for over years, which means upgraded the deck to migrate to Anki
Please help. ve enjoyed Anki on Linux, Windows, iPhone, and Android (note that</t>
  </si>
  <si>
    <t>ankidroid-Anki-Android-3271</t>
  </si>
  <si>
    <t>Anki displays flag icon instead of question</t>
  </si>
  <si>
    <t>Originally reported on Google Code with ID 2375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</si>
  <si>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ankidroid-Anki-Android-3265</t>
  </si>
  <si>
    <t>unable to save images from googe imagesearch</t>
  </si>
  <si>
    <t>Originally reported on Google Code with ID 2369
What steps will reproduce the problem?
1.After last updating Anki Adroid App
2.unable to save images from googe imagesearch.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</si>
  <si>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ankidroid-Anki-Android-3264</t>
  </si>
  <si>
    <t>Update v2.3 breaks shortcut on homescreen</t>
  </si>
  <si>
    <t>Originally reported on Google Code with ID 2368
What steps will reproduce the problem?
1.Update to v2.3 from previous version v2.2.3.
2.Pushing of shortcut on home screen.
What is the expected output? What do you see instead?
Shortcut should start the app. Instead toast is shown: application of found.
Does it happen again every time you repeat the steps above? Or did it
happen only one time?
didn try re-install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</si>
  <si>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ankidroid-Anki-Android-3258</t>
  </si>
  <si>
    <t>Ankidroid 2.3: Syncing with Windows client out of sync</t>
  </si>
  <si>
    <t>Originally reported on Google Code with ID 2362
What steps will reproduce the problem?
1. study lots of cards on the ankidroid client
2. sync ankidroid to ankiweb
3. sync windows client.
What is the expected output? What do you see instead?
After sync, both versions should show the same studied cards. Instead, while studied
1454 cards in 152 minutes according to ankidroid (which is accurate), with all of
my 20 decks displaying (also correct), the windows client shows 823 cards
in 84 minutes and has some green numbers at some decks still.
Does it happen again every time you repeat the steps above? Or did it
happen only one time?
This is consistent behavior since the upgrading to 2.3 Ankidroid yesterday.
be happy to help with debugging if needed.
What version of AnkiDroid are you using? (Decks list menu About Look
On what version of Android? (Home screen menu About phone Android
Ankidroid 2.3, Android 4.1.2 (Galaxy Note 2)
If it is crash or Force close and you can reproduce it, the following
would help immensely: 1) Install the SendLog app, 2) Reproduce the crash,
3) Immediately after, launch SendLog, 4) Attach the resulting file to this</t>
  </si>
  <si>
    <t>ankidroid-Anki-Android-3254</t>
  </si>
  <si>
    <t>Latex equations disappearing from card answer on Android 2.2</t>
  </si>
  <si>
    <t>Originally reported on Google Code with ID 2358
What steps will reproduce the problem?
1. Open cloze card containing latex equations (either within or outside the cloze)
2. Click show answer
3. latex equations (sometimes!) disappear in the answer, even if they were visible
in the question. All plain text is still visible. No question mark is shown.
What is the expected output? What do you see instead?
expect to see the same latex equations that saw in the question.
Does it happen again every time you repeat the steps above? Or did it
happen only one time?
It happens with most, but not all, of the cards have that have latex on them. It
is not consistent per-card: particular card may show all its equations one time,
but not show its equations the next time view it. Some cards do seem to have the
problem more often, though (usually cards with lots of equations).
What version of AnkiDroid are you using? (Decks list menu About Look
On what version of Android? (Home screen menu About phone Android
This problem only occurs on my phone, which is android 2.2.1. My tablet is running
android 4.3, and has no such issue (with ankidroid 2.2.3).
If it is crash or Force close and you can reproduce it, the following
would help immensely: 1) Install the SendLog app, 2) Reproduce the crash,</t>
  </si>
  <si>
    <t>ankidroid-Anki-Android-3253</t>
  </si>
  <si>
    <t>Question media no longer replays automatically after answering</t>
  </si>
  <si>
    <t>Originally reported on Google Code with ID 2357
What steps will reproduce the problem?
1.When card with media is answered, the media no longer automatically replays, despite
the box being checked in settings
2.the problem arose after the latest update
What is the expected output? What do you see instead?
expected media to play again after answering card, but it does not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</si>
  <si>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ankidroid-Anki-Android-3251</t>
  </si>
  <si>
    <t>Make database error dialog async</t>
  </si>
  <si>
    <t>Originally reported on Google Code with ID 2355
This crash occasionally occurs</t>
  </si>
  <si>
    <t>ankidroid-Anki-Android-3247</t>
  </si>
  <si>
    <t>Removing tags only works when not using tag search</t>
  </si>
  <si>
    <t>Originally reported on Google Code with ID 2351
What steps will reproduce the problem?
1. Editing note: tap on Tags:
2. search for tag to remove
3. tap on the red tick mark, deselecting it
4. tap Select
5. the tag will still be present
What is the expected output? What do you see instead?
When instead only scrolling down the tag list and tapping on the red tick mark to deactivate
it, then Select, the removing of the tag works fine.
Does it happen again every time you repeat the steps above? Or did it
happen only one time?
Can be reliably reproduced.
What version of AnkiDroid are you using? (Decks list menu About Look
On what version of Android? (Home screen menu About phone Android
Android 4.1.2 on Samsung Galaxy Note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</si>
  <si>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ankidroid-Anki-Android-3246</t>
  </si>
  <si>
    <t>Many media: Update takes forever even when no media changed</t>
  </si>
  <si>
    <t>Originally reported on Google Code with ID 2350
What steps will reproduce the problem?
1. Have several decks with lots of media (17k in my case) on the Anki central server
2. with only changing the decks (not adding removing media), sync ankidroid
3. wait for several minutes for Ankidroid to check for media changes.
What is the expected output? What do you see instead?
It seems that the code for checking out whether there were any media changes does not
scale well. sure there much faster way to check for changes. Right now, it
quite unpractical to sync, with every time having to wait for many minutes.
Does it happen again every time you repeat the steps above? Or did it
happen only one time?
What version of AnkiDroid are you using? (Decks list menu About Look
On what version of Android? (Home screen menu About phone Android
AnkiDroid 2.2.4, Android 4.1.2 Samsung Galaxy Note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</si>
  <si>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ankidroid-Anki-Android-3245</t>
  </si>
  <si>
    <t>The full list of tags dont show up</t>
  </si>
  <si>
    <t>Originally reported on Google Code with ID 2349
What steps will reproduce the problem?
1.Created deck with around 5000 entries and 100 tags on Anki Mac
2.Imported the deck to ankidroid successfuly and it works fine
3.When want to add new entry in the deck, only limited number of previously created
tags appear. Probably tags were not imported properly.
What is the expected output? What do you see instead?
What see: Only around 10 tags visible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</si>
  <si>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ankidroid-Anki-Android-3244</t>
  </si>
  <si>
    <t>Chrome OS: crash on login, "leaked window"</t>
  </si>
  <si>
    <t>Originally reported on Google Code with ID 2348
What steps will reproduce the problem?
1. Start from scratch
2. In empty deck picker, click on sync button
3. Select Login
4. Enter credentials
5. Click Login
What is the expected output? What do you see instead?
Does it happen again every time you repeat the steps above? Or did it
happen only one time?
What version of AnkiDroid are you using? (Decks list menu About Look
On what version of Android? (Home screen menu About phone Android
2.3 Beta 42 in Chrome OS
If it is crash or Force close and you can reproduce it, the following
would help immensely: 1) Install the SendLog app, 2) Reproduce the crash,
3) Immediately after, launch SendLog, 4) Attach the resulting file to this
report. That will make the bug much easier to fix.
See attached log.txt.
Please provide any additional information below.
This is new, have successfully entered my credentials several times in the last couple</t>
  </si>
  <si>
    <t>ankidroid-Anki-Android-3238</t>
  </si>
  <si>
    <t>Chrome OS: fails to send crash reports</t>
  </si>
  <si>
    <t>Originally reported on Google Code with ID 2342
UI displays Failed to send next to the stacktrace.</t>
  </si>
  <si>
    <t>ankidroid-Anki-Android-3235</t>
  </si>
  <si>
    <t>Tablet mode: Crash when changing language</t>
  </si>
  <si>
    <t>Originally reported on Google Code with ID 2339
Change language on 10 tablet:
Sometimes get this crash:</t>
  </si>
  <si>
    <t>ankidroid-Anki-Android-3232</t>
  </si>
  <si>
    <t>Tablet mode: Crash on sync while switching windows</t>
  </si>
  <si>
    <t>Originally reported on Google Code with ID 2336
What steps will reproduce the problem?
1. Initiate sync
2. Switch windows while AD is syncing
3. After some time AD will crash
It seems like the runtime pauses or stops the app after certain timeout. This will
mess with the sync in progress. Will have to investigate if the timeout can be disabled,
or if the sync process can happen in more robust way in the background.</t>
  </si>
  <si>
    <t>ankidroid-Anki-Android-3226</t>
  </si>
  <si>
    <t>accidentally i marked a basic card 'later' and it disappeared. how to find it.</t>
  </si>
  <si>
    <t>Originally reported on Google Code with ID 2330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</si>
  <si>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ankidroid-Anki-Android-3224</t>
  </si>
  <si>
    <t>AnkiDroid crashes on Sync</t>
  </si>
  <si>
    <t>Originally reported on Google Code with ID 2328
What steps will reproduce the problem?
1. Start AnkiDroid 2.3.beta19 or beta20
2. Initiate server sync
What is the expected output? What do you see instead?
expect that Anki syncs with the server and comes back to the main screen. Instead
get crash report.
Does it happen again every time you repeat the steps above? Or did it
happen only one time?
It happend many times. (All times but one.)
What version of AnkiDroid are you using? (Decks list menu About Look
noticed this on beta19 and beta20.
On what version of Android? (Home screen menu About phone Android
Android 5.0 image for Nexus of last friday.
Please provide any additional information below.
The crash is logged on</t>
  </si>
  <si>
    <t>ankidroid-Anki-Android-3221</t>
  </si>
  <si>
    <t>Unable to use ANKI Android when connected to the internet in China</t>
  </si>
  <si>
    <t>Originally reported on Google Code with ID 2325
What steps will reproduce the problem?
1. When connected to the internet, ANKI droid do not open up and repeat the loading
What is the expected output? What do you see instead?
downloaded the app in Korea and have been using it in China. Since have cone
to China, the app is only available when the internet, including WIFI and cellular
data, is off.
Does it happen again every time you repeat the steps above? Or did it
happen only one time?
Yes it happens again and again. It is inconvenient, however, can still use the
app when turn off the internet. Once you turn the app, it does not shuts off even
if turn on the internet.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guess the bug is somehow related with China blocking the web. It would be great</t>
  </si>
  <si>
    <t>ankidroid-Anki-Android-3220</t>
  </si>
  <si>
    <t>AnkiDroid crash when network lost</t>
  </si>
  <si>
    <t>Originally reported on Google Code with ID 2324
What steps will reproduce the problem?
2. While the sync is running, lose the network connection. For example tap the WLAN
in the quick settings to switch off the internet. Or be passenger in moving vehicle
that moves to an area with no reception.
What is the expected output? What do you see instead?
There should be some error shown that the sync did not work.
Instead AnkiDroid crashes.
Does it happen again every time you repeat the steps above? Or did it
happen only one time?
Some of the time. My guess is that the connection has to be lost at exactly the wrong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Instead of SendLog, see the triage entry: http: view crash?crash id 5026645207416832
Please provide any additional information below.</t>
  </si>
  <si>
    <t>ankidroid-Anki-Android-3219</t>
  </si>
  <si>
    <t>Regression: Swipe shows navigation drawer when whiteboard is active</t>
  </si>
  <si>
    <t>Originally reported on Google Code with ID 2323
What steps will reproduce the problem?
1. Review with whiteboard on
2. Try to write draw stroke starting at the left screen edge
What is the expected output? What do you see instead?
The stroke should be drawn.
Instead the navigation drawer is opened.
Does it happen again every time you repeat the steps above? Or did it
happen only one time?
What version of AnkiDroid are you using?
On what version of Android?
If it is crash
Please provide any additional information below.
This problem has been discussed before
and the navigation drawer was only shown through the app icon (top left) during reviews
with whiteboard. This looks like regression.
Afaik there has been some changes where code was moved from the
class to the Reviewer. Maybe that bit got lost on the way?
Also, when you tap whiteboard on off button twice to switch the whiteboard off
and on again the swipe gets disabled.</t>
  </si>
  <si>
    <t>ankidroid-Anki-Android-3218</t>
  </si>
  <si>
    <t>cloze button does not show up in ankidroid and unable to add tags</t>
  </si>
  <si>
    <t>Originally reported on Google Code with ID 2322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</si>
  <si>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ankidroid-Anki-Android-3209</t>
  </si>
  <si>
    <t>Sudden Audio problems (only some files)</t>
  </si>
  <si>
    <t>Originally reported on Google Code with ID 2313
What steps will reproduce the problem?
1.Card question is audio file
2. Sound file doesn play
3. Even editing the note and attempting to play audio from edit window fails
What is the expected output? What do you see instead?
The audio should play
Does it happen again every time you repeat the steps above? Or did it
happen only one time?
Everytime, even after deleting and reinstalling the deck. This wasn the case until
moment ago and only for this particular deck (it seems)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</si>
  <si>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ankidroid-Anki-Android-3207</t>
  </si>
  <si>
    <t>Unable to sync due to insufficent memory</t>
  </si>
  <si>
    <t>Originally reported on Google Code with ID 2311
What steps will reproduce the problem?
1. Press Sync Button
What is the expected output? What do you see instead?
The cards don sync to server as expected. After some time the dialog box disappears,
and get the error message Operation not possible due to insufficient memory on your
Does it happen again every time you repeat the steps above? Or did it
happen only one time?
Every time. have two decks one 2200 notes, and one 25700 and in the months ve
studied with them, have never successfully synced to server.
What version of AnkiDroid are you using? (Decks list menu About Look
On what version of Android? (Home screen menu About phone Android
2.2.3 and the current beta.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use Galaxy Tab 2.</t>
  </si>
  <si>
    <t>ankidroid-Anki-Android-3204</t>
  </si>
  <si>
    <t>Label names</t>
  </si>
  <si>
    <t>Originally reported on Google Code with ID 2308
What steps will reproduce the problem?
1. Generate several labels on my laptop anki application and synchronize with cellphone
2. Some are now empty, check the integrity of the database on my laptop, then synchronize
3. Empty labels disappeared my laptop anki application but are still present on my
What is the expected output? What do you see instead?
expect the empty label to disappear on both applications simultaneously, or to get
some check integrity of the database option on my cellphone too (is there such button
Does it happen again every time you repeat the steps above? Or did it
happen only one time?
They are still in my current database on my cellphone.
What version of AnkiDroid are you using? (Decks list menu About Look
On what version of Android? (Home screen menu About phone Android
version) version 4.1.2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</si>
  <si>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ankidroid-Anki-Android-3203</t>
  </si>
  <si>
    <t>On some decks, "Deck options" button doesn't work and lead to a crash.</t>
  </si>
  <si>
    <t>Originally reported on Google Code with ID 2307
What steps will reproduce the problem?
1.Tap particular deck on the screen of deck list.
2.Tap Deck options
After that, error message which say AnkiDroid is now inactive is displayed.
Then,after tapping OK button, AnkiDroid restarts.
What is the expected output? What do you see instead?
Deck option screen is displayed.
Does it happen again every time you repeat the steps above? Or did it
happen only one time?
Every time on some particular decks.
(On the other decks, the button works normally in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crash,3) Immediately
after, launch SendLog, 4) Attach the resulting file to this report. That will make
the bug much easier to fix.
Please provide any additional information below.</t>
  </si>
  <si>
    <t>ankidroid-Anki-Android-3198</t>
  </si>
  <si>
    <t xml:space="preserve">ANKI Displaying Backside First! </t>
  </si>
  <si>
    <t>Originally reported on Google Code with ID 2302
What steps will reproduce the problem?
1. Made Flash Cards with back included.
2. Started to Study
3. Anki shows backside first!
What is the expected output? What do you see instead?
To see the front side (where wrote questions) first. Instead, get to play Jeopardy...
Does it happen again every time you repeat the steps above? Or did it
happen only one time?
First time using anki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</si>
  <si>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ankidroid-Anki-Android-3196</t>
  </si>
  <si>
    <t>java.lang.RuntimeException: org.json.JSONException:Value &lt;!DOCTYPE of type java.lang.String cannot be converted to JSONObject</t>
  </si>
  <si>
    <t>Originally reported on Google Code with ID 2300
What steps will reproduce the problem?
1. launch ankidroid tap sync button
What is the expected output? What do you see instead?
Expected output: fully synchronised or something to that effect.
type java.lang.String cannot be converted to JSONObject
Does it happen again every time you repeat the steps above? Or did it happen only one
It does not happen during the very 1st sync (following an uninstall reinstall of
After that, it happens on every sync.
What version of AnkiDroid are you using? (Decks list menu About Look at the title)
On what version of Android? (Home screen menu About phone Android version)
If it is crash or Force close and you can reproduce it, the following would help
1) Install the SendLog app,
2) Reproduce the crash,
3) Immediately after, launch SendLog,
4) Attach the resulting file to this report. That will make the bug much easier to
It is not crash issue.
Please provide any additional information below.
ve been user of ankidroid for over year now and never had real issue until
now very happy with the app overall.</t>
  </si>
  <si>
    <t>ankidroid-Anki-Android-3194</t>
  </si>
  <si>
    <t>Kindle fire hd won't sync online account</t>
  </si>
  <si>
    <t>Originally reported on Google Code with ID 2298
What steps will reproduce the problem?
1.I allow sync in preferences
2. Sync button won press, downloaded sample, sync button on
3. press sync but it says error
What is the expected output? What do you see instead?
hoped it won download my cards from absorbing instead it said error.
Does it happen again every time you repeat the steps above? Or did it
happen only one time?
It happens each time.
What version of AnkiDroid are you using? (Decks list menu About Look
On what version of Android? (Home screen menu About phone Android
Not sure it kindle hd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</si>
  <si>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ankidroid-Anki-Android-3190</t>
  </si>
  <si>
    <t>In the set up..  What is on the screen doent make sense</t>
  </si>
  <si>
    <t>Originally reported on Google Code with ID 2294
What steps will reproduce the problem?
didnt mKe sense.
It say press the big bottom when there was only or presse the 4th bottom. When there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Screenshot Screenshot (https: ankidroid issue-2294 comment-0 Screenshot</t>
  </si>
  <si>
    <t>ankidroid-Anki-Android-3186</t>
  </si>
  <si>
    <t>TTS does not work on Galaxy tab 4</t>
  </si>
  <si>
    <t>Originally reported on Google Code with ID 2290
What steps will reproduce the problem?
1.Turn on TTS
2.Open the card (German language)
What is the expected output? What do you see instead?
No TTS languages found message.
Same happens on Samsung Galaxy
Does it happen again every time you repeat the steps above? Or did it
happen only one time?
Every time, every TTS engine (Google, ivona, built in)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</si>
  <si>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ankidroid-Anki-Android-3185</t>
  </si>
  <si>
    <t>Image on front of card will not load</t>
  </si>
  <si>
    <t>Originally reported on Google Code with ID 2289
What steps will reproduce the problem?
1. Enter deck
2. Those cards where the front is an image (e.g. flag) the image will not load.
What is the expected output? What do you see instead?
Ankidroid does not crash. can reveal the back of the card, but the image on the front
Does it happen again every time you repeat the steps above? Or did it
happen only one time?
This happens repeatedly. This only started happening when recently downloaded the
updated version of ankidroid.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Many thanks for your help</t>
  </si>
  <si>
    <t>ankidroid-Anki-Android-3184</t>
  </si>
  <si>
    <t>v2.3alpha28 crashes when trying to save an editted note.</t>
  </si>
  <si>
    <t>Originally reported on Google Code with ID 2288
When go to edit note and hit save, get message: Unfortunately, AnkiDriod has
Happens every time.
Note 3: v4.3</t>
  </si>
  <si>
    <t>ankidroid-Anki-Android-3183</t>
  </si>
  <si>
    <t>Answering "good" for new cards puts them in the "again" pile</t>
  </si>
  <si>
    <t>Originally reported on Google Code with ID 2287
What steps will reproduce the problem?
1.Create new deck with two cards
What is the expected output?
get three options: Again (&lt; minute), Good (&lt; 10 minutes), Easy (4 days)
it says by default, the card will be shown again the next day
What do you see instead?
Clicking on Good adds one to the red count in the top left and if keep testing,
see the card again.
Does it happen again every time you repeat the steps above? Or did it
happen only one time?
What version of AnkiDroid are you using? (Decks list menu About Look
On what version of Android? (Home screen menu About phone Android
2.2.3 on android 4.4.4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</si>
  <si>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ankidroid-Anki-Android-3178</t>
  </si>
  <si>
    <t>Originally reported on Google Code with ID 2282
get the following error now and the audio does not play when sync with my computer.
It plays fine on the computer but not with my Anki on the Android.
cannot be converted to JSONObject
What steps will reproduce the problem?
1. Simply trying to sync my AnkiDroid with my webversion (audio works fine on web version)
What is the expected output? What do you see instead?
was expecting no errors and for the audio files to play normally. There is no sound
on the latest cards that use Awesome TTS.
Does it happen again every time you repeat the steps above? Or did it
happen only one time?
Yep, it quite constant.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</si>
  <si>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ankidroid-Anki-Android-3174</t>
  </si>
  <si>
    <t>ankidroid reboots my phone!</t>
  </si>
  <si>
    <t>Originally reported on Google Code with ID 2278
What steps will reproduce the problem?
1. tap on any deck, even the Tutorial deck works after fresh install.
2. tap Study button.
What is the expected output? What do you see instead?
expected normal anki study session. Instead, phone reboots within ten seconds,
like the whole OS crashed or something. When it doesn crash instantly can see The
clipboard history was cleared toast and study session starting, with buttons working
as expected. The reboot happens within ten seconds even if exit ankidroid by rapidly
tapping back or force stop ankidroid through application manager app info settings
(which is hard to do within 10 seconds btw). No other app has triggered this effect,
just ankidroid Study button.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</si>
  <si>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ankidroid-Anki-Android-3173</t>
  </si>
  <si>
    <t>Is not displayed $ in Checking Answer (compare input to the real answer)</t>
  </si>
  <si>
    <t>Originally reported on Google Code with ID 2277
What steps will reproduce the problem?
1. create card with answer test$
2. after click the Show Answer button, view only test and not displayed char
&gt;What is the expected output?
&gt;What do you see instead?
&gt;Does it happen again every time you repeat the steps above? Or did it
happen only one time?
&gt;What version of AnkiDroid are you using?
&gt;On what version of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</si>
  <si>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ankidroid-Anki-Android-3170</t>
  </si>
  <si>
    <t>Android L crash long press</t>
  </si>
  <si>
    <t>Originally reported on Google Code with ID 2274
What steps will reproduce the problem?
1.Run phone with Android
2.Long-press deck (to rename or delete)
3.Ankidroid force closes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No permissions in for log readers, force close info attached however
Please provide any additional information below.
Attachment: Screenshot Screenshot (https: ankidroid issue-2274 comment-0 Screenshot</t>
  </si>
  <si>
    <t>1110</t>
  </si>
  <si>
    <t>ankidroid-Anki-Android-3167</t>
  </si>
  <si>
    <t>Import replace broken in 2.3alpha19</t>
  </si>
  <si>
    <t>Originally reported on Google Code with ID 2271
1. Try to do import (add) into fresh collection with typical shared deck such as this:
2. Take note how deck Current Study with subdecks is created
3. Repeat step but doing import (replace) instead of import (add)
Expect to see same result, but import replace ends up with all cards in default deck.
Try to do import (replace) with fairly large collection.apkg generated by exporting
your whole collection in Anki Desktop. AnkiDroid immediately crashes:</t>
  </si>
  <si>
    <t>ankidroid-Anki-Android-3164</t>
  </si>
  <si>
    <t>cards display backwards- answers on front and questions on back</t>
  </si>
  <si>
    <t>Originally reported on Google Code with ID 2267
What steps will reproduce the problem?
1.download set of cards(on android)
3.answer displays. Click show answer, and question displays.
What is the expected output? What do you see instead?
want to see the question first, and then the answer.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</si>
  <si>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ankidroid-Anki-Android-3163</t>
  </si>
  <si>
    <t>images sometimes don't appear</t>
  </si>
  <si>
    <t>Originally reported on Google Code with ID 2266
What steps will reproduce the problem?
1. Simply opening the deck. Every note in this geography deck has an image in the front.
am not sure if the same happens in other decks.
What is the expected output? Image in front text on back. What do you see instead?
Sometimes what should be, mostly no image in front but text in back. If the front includes
text, the text is visible but the image still isn t. The image sometimes disappears
when reveal the back.
Does it happen again every time you repeat the steps above? Or did it
happen only one time?
Most of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workaround to this is, while reviewing, to go to the help page and then go back.</t>
  </si>
  <si>
    <t>ankidroid-Anki-Android-3159</t>
  </si>
  <si>
    <t>Crashes when entering Custom Study</t>
  </si>
  <si>
    <t>Originally reported on Google Code with ID 2262
What steps will reproduce the problem?
1. Finished studying daily cards in dictionary
2. Go to (unknowingly) empty Custom Study to review forgotten cards
3. Anki Crashes
What is the expected output? What do you see instead?
Should say that the deck is empty. But Anki crashes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Unable to access this support site on my phone as am in China and this site is blocked
for some reason, and no vpn on my phone. Sorry....
Please provide any additional information below.</t>
  </si>
  <si>
    <t>ankidroid-Anki-Android-3157</t>
  </si>
  <si>
    <t>'t move application to external SD card</t>
  </si>
  <si>
    <t>Originally reported on Google Code with ID 2260
What steps will reproduce the problem?
1. Go to Home screen-&gt; menu-&gt; applications and select AnkiDroid-&gt; move to SD card
2. Error message Unable to move app.
What is the expected output? What do you see instead?
move application to external SD CARD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</si>
  <si>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ankidroid-Anki-Android-3156</t>
  </si>
  <si>
    <t>Can't create files on external SD card</t>
  </si>
  <si>
    <t>Originally reported on Google Code with ID 2259
What steps will reproduce the problem?
1.change database folder to external SD card on unrolled device
2. program has no read write permission on Kit at, creating database in existing folder
or creating new folder fails
3. application crashes on every start
What is the expected output? What do you see instead?
create deck database on external SD card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</si>
  <si>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ankidroid-Anki-Android-3153</t>
  </si>
  <si>
    <t>audio doesn't play for any of my cards or downloaded decks</t>
  </si>
  <si>
    <t>Originally reported on Google Code with ID 2256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</si>
  <si>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ankidroid-Anki-Android-3152</t>
  </si>
  <si>
    <t>Multimedia images disappear</t>
  </si>
  <si>
    <t>Originally reported on Google Code with ID 2255
What steps will reproduce the problem?
2.View first card
3.View card answer media is visible and can play.
4.Do anything other than hit one of the answer buttons. Some examples:
a) Dismiss the card (via bury card or bury note)
b) Use the back button to go back to the deck summary screen.
c) edit the card.
5. View next card
6. View next card answer
What is the expected output? What do you see instead?
expect to see the card answer with the multimedia image associated with that card.
Instead, see no image. No other card in the deck will view images ever again, until
AnkiDroid is forcibly reset, or the phone is rebooted.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t>
  </si>
  <si>
    <t>ankidroid-Anki-Android-3149</t>
  </si>
  <si>
    <t>Custom study :: Limit to tags Includes tags which were not selected</t>
  </si>
  <si>
    <t>Originally reported on Google Code with ID 2252
What steps will reproduce the problem?
1.click on tags and begin typing the name of tag and when it appears select it
2.after having selected all the tags click the select button to lock in your selection
3.I often find tags that are at the top of the list alphabetically which were not selected
during the selection process are now selected.
What is the expected output? What do you see instead?
only the tags which were specifically selected during the selection process should
be applied to the cards
Does it happen again every time you repeat the steps above? Or did it
happen only one time? it seems to happen almost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</si>
  <si>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ankidroid-Anki-Android-3148</t>
  </si>
  <si>
    <t>Custom steps on filtered decks</t>
  </si>
  <si>
    <t>Originally reported on Google Code with ID 2251
What steps will reproduce the problem?
1. Create filtered deck
2. choose rebuild to make the cards going into the new deck
3. click deck option
4. uncheck custom steps
5. going back to decks
What is the expected output? What do you see instead?
Custom steps remains unchecked. It is still checked and runs with some abnormal steps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</si>
  <si>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ankidroid-Anki-Android-3146</t>
  </si>
  <si>
    <t>an error occurs whenever I click on the "Cards..." button within the "Add" window.</t>
  </si>
  <si>
    <t>Originally reported on Google Code with ID 2249
What steps will reproduce the problem?
1.Click on deck (all decks have the same problem).
2.Click on the Add option at the top.
3.Click on the Cards... button (to Customize Cards).
What is the expected output? What do you see instead?
A.)Expected want to see screen when can fully customize each card.
What see instead message that reads An error occurred. It may have been caused
by harmless bug, or your deck may have problem. (Please read the full error message
Does it happen again every time you repeat the steps above? Or did it
happen only one time?
A.)It happens every time.
What version of AnkiDroid are you using? (Decks list menu About Look
A.) AnkiDroid V2.2.3
However the feature am having the problem with is only on my desktop version.
cannot find the same option Cards... or equivalent option) on the mobile version.
My desktop version is V.2.0.28
On what version of Android? (Home screen menu About phone Android
A.) Adroid V4.2.2
If it is crash or Force close and you can reproduce it, the following</t>
  </si>
  <si>
    <t>ankidroid-Anki-Android-3144</t>
  </si>
  <si>
    <t>Ankidroid skips last 20 or so cards needing review for one specific deck</t>
  </si>
  <si>
    <t>Originally reported on Google Code with ID 2247
What steps will reproduce the problem?
1. Review specific Spanish Conjugations deck that downloaded from AnkiWeb and have
been working my way through (attached)
2. Review as usual until there are 20-30 cards needing review left
What is the expected output? What do you see instead?
Upon completing card, the cards needing review count will jump from its current number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If it would be helpful, can record video of it in action, but don know that
it would provide any useful debugging info.
Attachment: Essential Spanish Conjugations.apkg (https: ankidroid issue-2247 comment-0 Essential Spanish Conjugations.apkg)</t>
  </si>
  <si>
    <t>ankidroid-Anki-Android-3142</t>
  </si>
  <si>
    <t>Zero review time</t>
  </si>
  <si>
    <t>Originally reported on Google Code with ID 2245
What steps will reproduce the problem?
1. Start Reviewing
2.Tap show answer
3.Cancel with Android back button
4. Start Reviewing same card again
5.May repeat from to or...
6.Eventually evaluate ease of card ie Again Hard Good Easy
What is the expected output? What do you see instead?
The card should have the review time according to the last time of the above loop.
Instead it gets zero.
This may also cause it to be elevated in interval ivl because of the falsely low
Does it happen again every time you repeat the steps above? Or did it
happen only one time?
The frequency is often enough for me to constantly look at the sql revlog table to
ensure cards are not falsely speeded up to zero review time.
Of just over 10000 revlog entries, there were about 400 zero review times and one negative
What version of AnkiDroid are you using? (Decks list menu About Look
On what version of Android? (Home screen menu About phone Android
If it is crash or Force close and you can reproduce it, the following</t>
  </si>
  <si>
    <t>ankidroid-Anki-Android-3138</t>
  </si>
  <si>
    <t>Sync doesn't work on one of my decks media</t>
  </si>
  <si>
    <t>Originally reported on Google Code with ID 2241
What steps will reproduce the problem?
1. Syncing my cards on my computer which shoes sync complete
2. Then syncing on my tablet and phone
What is the expected output? What do you see instead? Expected output is complete syncing
of cards as made on my desktop. Instead see the error in attached file
Does it happen again every time you repeat the steps above? Or did it
happen only one time?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Although am able to sync other data, but my pictures are not able to get synced in
one of my decks
Attachment: 2014-08-20 21.20.32.png&lt;br&gt;! 2014-08-20 21.20.32.png (https: ankidroid issue-2241 comment-0 2014-08-20 21.20.32.png)</t>
  </si>
  <si>
    <t>ankidroid-Anki-Android-3127</t>
  </si>
  <si>
    <t>New card is always added to default deck no matter what you set it to be added to</t>
  </si>
  <si>
    <t>Originally reported on Google Code with ID 2230
What steps will reproduce the problem?
1. Click plus sign in the upper right corner of the upp and choose Add note
2. Put some text into the new card
3. Set what deck should it to be added to
4. Choose Add
What is the expected output? What do you see instead?
Expected output: The new card is added to the chosen deck during the adding process.
Real output: The new card is added to the default deck.
Does it happen again every time you repeat the steps above? Or did it
happen only one time?
It happens every time.
What version of AnkiDroid are you using? (Decks list menu About Look
AnkiDroid version 2.2.3.
On what version of Android? (Home screen menu About phone Android
Android version 4.2.1.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</si>
  <si>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ankidroid-Anki-Android-3121</t>
  </si>
  <si>
    <t>"Add new media" action wipes existing field content</t>
  </si>
  <si>
    <t>Originally reported on Google Code with ID 2224
What steps will reproduce the problem?
1. Add new media to field
2. Place cursor to the end of the reference (see screenshot)
3. Add another media to the same field
What is the expected output? What do you see instead?
the field contents instead.
Does it happen again every time you repeat the steps above? Or did it
happen only one time?
Tried twice, happened twice.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</si>
  <si>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ankidroid-Anki-Android-3119</t>
  </si>
  <si>
    <t xml:space="preserve">Ankidroid crashes whenever I edit a card </t>
  </si>
  <si>
    <t>Originally reported on Google Code with ID 2222
What steps will reproduce the problem?
1.start reviewing deck
What is the expected output? What do you see instead?
Does it happen again every time you repeat the steps above? Or did it
happen only one time?
What version of AnkiDroid are you using? (Decks list menu About Look
On what version of Android? (Home screen menu About phone Android
4.4.4 on Nexus</t>
  </si>
  <si>
    <t>ankidroid-Anki-Android-3117</t>
  </si>
  <si>
    <t>AnkiDroid crashes when trying to show pictures which don't exist</t>
  </si>
  <si>
    <t>Originally reported on Google Code with ID 2220
What steps will reproduce the problem?
1. Take picture on my Galaxy S5, add the picture to my card
2. try to sync with ankiweb (and not send anything more than 4ko)
3. try to show the picture on card will crash the app
What is the expected output? What do you see instead?
The expected output is to make it sync on ankiweb and being able to show the pic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sorry can find the way to use sendlog properly, sent you the log original from
hope you can help me
Please provide any additional information below.
Attachment: Screenshot Screenshot (https: ankidroid issue-2220 comment-0 Screenshot
Attachment: Screenshot Screenshot (https: ankidroid issue-2220 comment-0 Screenshot</t>
  </si>
  <si>
    <t>ankidroid-Anki-Android-3116</t>
  </si>
  <si>
    <t>database path problem in verbose its cant open database</t>
  </si>
  <si>
    <t>Originally reported on Google Code with ID 2219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DataBaseHelper.java (https: ankidroid issue-2219 comment-0</t>
  </si>
  <si>
    <t>ankidroid-Anki-Android-3113</t>
  </si>
  <si>
    <t>Bring the "switch" or "reverse" button back!</t>
  </si>
  <si>
    <t>Originally reported on Google Code with ID 2216
What steps will reproduce the problem?
1.Edit card and want to reverse the front and back
What is the expected output? What do you see instead?
expect to have the switch icon with two arrows.
Does it happen again every time you repeat the steps above? Or did it
happen only one time?
It lacks this button since the 2.2 release of ankidroid.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</si>
  <si>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ankidroid-Anki-Android-3105</t>
  </si>
  <si>
    <t>Type cloze with repeated word works different then on Anki desktop</t>
  </si>
  <si>
    <t>Originally reported on Google Code with ID 2208
What steps will reproduce the problem?
1. Have cards where the same word is cloze deleted several times for one card
2. And use the type answer feature.
What is the expected output? What do you see instead?
On Anki desktop, you are expected to type the word once.
On AnkiDroid, you have to type it twice.
Does it happen again every time you repeat the steps above? Or did it
happen only one time?
What version of AnkiDroid are you using? (Decks list menu About Look
On what version of Android? (Home screen menu About phone Android
(Any Android version, guess, but tested with 4.1.2)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In the attached deck, once you are expected to type peace, friendship
For the other, you have to type the name of the cocktail once on Anki desktop, and
Bloody Mary, Bloody Mary, Bloody Mary on AD.</t>
  </si>
  <si>
    <t>ankidroid-Anki-Android-3104</t>
  </si>
  <si>
    <t>Image resizing is inconsistent</t>
  </si>
  <si>
    <t>Originally reported on Google Code with ID 2207
What steps will reproduce the problem?
1. since updating yesterday to version with expandable pictures, image always starts
to small to view. Must manually resize every image to be able to see
What is the expected output? What do you see instead?
Does it happen again every time you repeat the steps above? Or did it
happen only one time? appears to happen to ask image cards after first image card
of attack is reviewed ie first image is full sized, every subsequent image is small)
What version of AnkiDroid are you using? (Decks list menu About Look. 2.2.2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</si>
  <si>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ankidroid-Anki-Android-3102</t>
  </si>
  <si>
    <t>my front and back cards are showing up in the front card together</t>
  </si>
  <si>
    <t>Originally reported on Google Code with ID 2205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This occurred after upgraded.</t>
  </si>
  <si>
    <t>ankidroid-Anki-Android-3100</t>
  </si>
  <si>
    <t>Crash after selecting Nciku dictionary</t>
  </si>
  <si>
    <t>Originally reported on Google Code with ID 2203
What steps will reproduce the problem?
1. In the prefs Advanced Lookup dictionary
2. Touch Nciku (Web)
What is the expected output? What do you see instead?
The dictionary should be selected.
Instead, AD crashes.
Does it happen again every time you repeat the steps above? Or did it
happen only one time?
What version of AnkiDroid are you using? (Decks list menu About Look
On what version of Android? (Home screen menu About phone Android
AD 2.2.3a0, f9310f3
Android 4.1.2 (Samsung)
If it is crash or Force close and you can reproduce it, the following
would help immensely: 1) Install the SendLog app, 2) Reproduce the crash,
3) Immediately after, launch SendLog, 4) Attach the resulting file to this
report. That will make the bug much easier to fix.
Also, http: view crash?crash id 5618734131576832
Please provide any additional information below.
Attachment: SendLog(1).zip (https: ankidroid issue-2203 comment-0 SendLog%281%29.zip)</t>
  </si>
  <si>
    <t>ankidroid-Anki-Android-3098</t>
  </si>
  <si>
    <t>Unbury button doesn't appear for filtered decks</t>
  </si>
  <si>
    <t>Originally reported on Google Code with ID 2201
What steps will reproduce the problem?
1. Select deck, choose Custom study
2. Complete custom study, upon completion hidden related cards are present.
3. Anki prompts to press unbury- But there is nolonger any no unbury option, nor is
What is the expected output? button can push to unbury the hidden cards.
What do you see instead? prompt to press unbury, but no option, or button.
If you re-select the original deck, the unbury option appears, you then must exit that
deck, and go and select the custom study deck.
Does it happen again every time you repeat the steps above? Or did it
happen only one time?
Happens every time, since today 2.2.2 upgrade.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</si>
  <si>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ankidroid-Anki-Android-3088</t>
  </si>
  <si>
    <t>Add image by Camera doesn't work - Ankidroid 2.2</t>
  </si>
  <si>
    <t>Originally reported on Google Code with ID 2191
What steps will reproduce the problem?
What is the expected output? What do you see instead?
cann see pic shot.
can see only small square.
Does it happen again every time you repeat the steps above? Or did it
happen only one time?
It happen always
What version of AnkiDroid are you using? (Decks list menu About Look
On what version of Android? (Home screen menu About phone Android
Android 4.4.2 (Samsung 4S)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2014-07-21 10.34.11.png&lt;br&gt;! 2014-07-21 10.34.11.png (https: ankidroid issue-2191 comment-0 2014-07-21 10.34.11.png)
Attachment: 2014-07-21 10.34.26.png&lt;br&gt;! 2014-07-21 10.34.26.png (https: ankidroid issue-2191 comment-0 2014-07-21 10.34.26.png)</t>
  </si>
  <si>
    <t>ankidroid-Anki-Android-3084</t>
  </si>
  <si>
    <t>Pictures added with camera don't get a valid reference</t>
  </si>
  <si>
    <t>Originally reported on Google Code with ID 2187
What steps will reproduce the problem?
1. Add new card
2. Provide content by selecting media -&gt; Camera -&gt; Take picture
3. Tick ok.
4. Add card to deck.
5. Preview card
What is the expected output? What do you see instead?
Picture should be referenced correctly card preview should show it.
What see: broken reference.
Does it happen again every time you repeat the steps above? Or did it
happen only one time?
tried twice, happened twice.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</si>
  <si>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ankidroid-Anki-Android-3081</t>
  </si>
  <si>
    <t>Crash on deck with audio every few cards.</t>
  </si>
  <si>
    <t>Originally reported on Google Code with ID 2184
What steps will reproduce the problem?
1. Download shared deck https: ankiweb.net shared info 1371863408
2. Import into Anki 2.1.3
3. Study cards, crash occurs every 3-6 cards
What is the expected output? What do you see instead?
Instead of showing the solution to card, only the audio is played. After that,
crash occurs. The crash report can be sent, which do almost every time.
Does it happen again every time you repeat the steps above? Or did it
happen only one time?
Every time. Makes studying next to useless as it interrupts the flow of cards all the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Says it has no permissions to read reports?
Please provide any additional information below.</t>
  </si>
  <si>
    <t>ankidroid-Anki-Android-3078</t>
  </si>
  <si>
    <t>Preferrences not applied while reviewing</t>
  </si>
  <si>
    <t>Originally reported on Google Code with ID 2181
What steps will reproduce the problem?
1. Review with model that uses non-trivial CSS
2. Open the navigation drawer (see below)
3. and switch to Simple interface
What is the expected output? What do you see instead?
The nice styling of the model should disappear.
It does not, at least not at once. The setting *is* applied (showing non-styled cards)
after going to the deck overview and starting reviewing again.
Does it happen again every time you repeat the steps above? Or did it
happen only one time?
What version of AnkiDroid are you using? (Decks list menu About Look
On what version of Android? (Home screen menu About phone Android
AnkiDroid 2.2.beta17. As this is about the navigation drawer, it only applies to the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tried it with the Simple interface but this may be somewhat more general problem.</t>
  </si>
  <si>
    <t>ankidroid-Anki-Android-3076</t>
  </si>
  <si>
    <t>Reversed cards: only one side shows up</t>
  </si>
  <si>
    <t>Originally reported on Google Code with ID 2179
What steps will reproduce the problem?
1.Add reversed card
2.Review your cards
What is the expected output? What do you see instead?
Having added reversed card, expecting to see both sides showing up when reviewing.
Instead, only one shows up (always the same, the one we can see when creating card)
Does it happen again every time you repeat the steps above? Or did it
happen only one time?
Always the case.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</si>
  <si>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ankidroid-Anki-Android-3075</t>
  </si>
  <si>
    <t>Network error always occurrs when attempting to get shared decks</t>
  </si>
  <si>
    <t>Originally reported on Google Code with ID 2178
What steps will reproduce the problem?
2. Attempt to log in to Anki Web to sync shared decks
What is the expected output? What do you see instead?
Expect the shared decks to be downloaded.
Instead, popup saying, network error occurred appears
Does it happen again every time you repeat the steps above? Or did it
happen only one time?
What version of AnkiDroid are you using? (Decks list menu About Look
On what version of Android? (Home screen menu About phone Android
2.3.7 (Gingerbread) CyanogenMod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My phone has no sim card, as use it on wifi only. am connected to the network,
and can browse the web. entered my username and password correctly the same credentials
work fine for logging in on different device.</t>
  </si>
  <si>
    <t>ankidroid-Anki-Android-3072</t>
  </si>
  <si>
    <t>Moto G 4G speakerphone disabled after unplugging headphones</t>
  </si>
  <si>
    <t>Originally reported on Google Code with ID 2175
What steps will reproduce the problem?
1. Run audio flashcards on Ankidroid on Moto 4G using earphones.
2. Unplug earphones.
3. Speakerphone does not work. Can hear phone calls, nor can the other person hear
you. Adjusting volume using rocker buttons doesn produce the usual beeping sound.
What is the expected output? What do you see instead?
See point 3. above
Does it happen again every time you repeat the steps above? Or did it
happen only one time?
Happens every time, even in safe mode. Doesn happen when using my earphones for other
applications e.g. music player.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Problem doesn occur if use app with speakerphone playing the flaschcards. Only</t>
  </si>
  <si>
    <t>ankidroid-Anki-Android-3070</t>
  </si>
  <si>
    <t>Android Clipboard data removed after saving a card</t>
  </si>
  <si>
    <t>Originally reported on Google Code with ID 2173
What steps will reproduce the problem?
1.copy something in Android
2.Edit card in Ankidroid, then save.
3.then try to copy the previously copied data somewhere in Android
What is the expected output? What do you see instead?
expecting Ankidroid to not clean remove the android cliboard after saving card.
Does it happen again every time you repeat the steps above? Or did it
happen only one time?
What version of AnkiDroid are you using? (Decks list menu About Look
On what version of Android? (Home screen menu About phone Android
version)V4.2.2 (CM11 M7)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</si>
  <si>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ankidroid-Anki-Android-3069</t>
  </si>
  <si>
    <t>Unable to Increase Card Limit</t>
  </si>
  <si>
    <t>Originally reported on Google Code with ID 2172
What steps will reproduce the problem?
1. Went to preferences
2. Clicked on reviewing
3. Clicked on learn ahead limit
4. Increase amount to 50
What is the expected output? What do you see instead?
am trying to study more every day. have lot of cards to study and want to spend
long time every day reviewing. Anki preset amount of cards that get is too little
for me. get congratulations screen that says there is way to increase the study
amount. The above procedure was my attempt to resolve this, but it doesn seem to
Does it happen again every time you repeat the steps above? Or did it
happen only one time?
What version of AnkiDroid are you using? (Decks list menu About Look
On what version of Android? (Home screen menu About phone Android
version) Cannot find menu from homescreen so cannot answer this.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</si>
  <si>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ankidroid-Anki-Android-3067</t>
  </si>
  <si>
    <t>The navigation drawer makes the keyboard *not* hide when answer shown.</t>
  </si>
  <si>
    <t>Originally reported on Google Code with ID 2170
What steps will reproduce the problem?
1. With recent version (see below)
2. Type the answer
3. and touch either the keyboard done or the Show answer button
What is the expected output? What do you see instead?
The soft keyboard should hide.
It does not.
Does it happen again every time you repeat the steps above? Or did it
happen only one time?
What version of AnkiDroid are you using? (Decks list menu About Look
On what version of Android? (Home screen menu About phone Android
Android 4.3, CM 10.2.
The keyboard hiding worked fine with commit 8268620,2.2alpha83, but it stopped working
with 27f5bcc or, 2.2alpha84, pull request 374.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</si>
  <si>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ankidroid-Anki-Android-3061</t>
  </si>
  <si>
    <t>Double night mode button</t>
  </si>
  <si>
    <t>Originally reported on Google Code with ID 2164
What steps will reproduce the problem?
1. Create custom study deck
What is the expected output? What do you see instead? In the top of the screen, there
is two night mode button
Does it happen again every time you repeat the steps above? Or did it
happen only one time? Always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Screenshot Screenshot (https: ankidroid issue-2164 comment-0 Screenshot</t>
  </si>
  <si>
    <t>ankidroid-Anki-Android-3058</t>
  </si>
  <si>
    <t>Two versions of the deck picker confusing.</t>
  </si>
  <si>
    <t>Originally reported on Google Code with ID 2161
What steps will reproduce the problem?
1. Use 2.3beta build
2. on an 18cm tablet
3. and rotate that lot.
What is the expected output? What do you see instead?
It should be consistent what happens when, for example, you touch the back button during
Instead, depending on which way you held the tablet at the moment you started AnkiDroid,
single touch of the back button brings you either to the deck options or to the combined
deck picker deck options, double touch brings you either to the deck picker, or to
the Android home screen launcher.
Does it happen again every time you repeat the steps above? Or did it
happen only one time?
Every time. That is working as designed.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</si>
  <si>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ankidroid-Anki-Android-3052</t>
  </si>
  <si>
    <t>App/deck name temporarily black on dark gray</t>
  </si>
  <si>
    <t>Originally reported on Google Code with ID 2155
What steps will reproduce the problem?
1. Use new alpha version
2. and night mode.
3. During reviews
4. open the navigation drawer
What is the expected output? What do you see instead?
The text in the action bar should be shown with high contrast.
Instead the white-on-dark-gray deck name in the action bar is replaced with
AnkiDroid while the navigation drawer is visible, and replaced with the deck name
in black again when the drawer is hidden.
Does it happen again every time you repeat the steps above? Or did it
happen only one time?
What version of AnkiDroid are you using? (Decks list menu About Look
On what version of Android? (Home screen menu About phone Android
AnkiDroid 2.2alpha92+, revision 05729aa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</si>
  <si>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ankidroid-Anki-Android-3048</t>
  </si>
  <si>
    <t>Error 400 - Bad Request when sending crash report</t>
  </si>
  <si>
    <t>Originally reported on Google Code with ID 2151
What steps will reproduce the problem?
1. have reproduced crash (see https: code.google.com ankidroid issues detail?id 1964)
2. When trying to send the crash report, get Failed to send
3. Debugging in eclipse shows this: postFeedback failure: 400 Bad Request
This is the actual content of the HttpPost entity:
What version of AnkiDroid are you using? (Decks list menu About Look
On what version of Android? (Home screen menu About phone Android
Why does the server reject the message?</t>
  </si>
  <si>
    <t>ankidroid-Anki-Android-3046</t>
  </si>
  <si>
    <t>Hidden subdecks under different deck</t>
  </si>
  <si>
    <t>Originally reported on Google Code with ID 2149
What steps will reproduce the problem?
1.With three top level decks, when hide subdecks of the third, they end up below
the second whether the second is hiding subdecks or not.
What is the expected output? What do you see instead?
expect to see only the top-level decks with pluses after them to show there are subdecks.
do see this but in addition see the subdecks of the third deck, though grouped
under the second one.
Does it happen again every time you repeat the steps above? Or did it
happen only one time?
What version of AnkiDroid are you using? (Decks list menu About Look
On what version of Android? (Home screen menu About phone Android
Ankidroid 2.1.3, Android 4.3.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If press show subdecks on the third deck it works as it should. Also the names
are correct, they use the third deck as the path.</t>
  </si>
  <si>
    <t>ankidroid-Anki-Android-3042</t>
  </si>
  <si>
    <t>Crash after adding card from saved data</t>
  </si>
  <si>
    <t>Originally reported on Google Code with ID 2145
What steps will reproduce the problem?
1. Save card for later e.g. imported from dictionary
2. open it from the list of cards saved for later and add it
3. you will get back to the list, the added card is still there
4. Clicking on any card will cause the AnkiDroid to crash
What is the expected output? What do you see instead?
The added card should be removed from the list. Clicking on another card shouldn
Does it happen again every time you repeat the steps above? Or did it
happen only one time?
Every damn time.
What version of AnkiDroid are you using? (Decks list menu About Look at the
On what version of Android? (Home screen menu About phone Android version)
4.1.2 (Defy+ with CM10)
If it is crash or Force close and you can reproduce it, the
following would help immensely: 1) Install the SendLog app,
Sorry, doesn work. SendLog.zip is empty.</t>
  </si>
  <si>
    <t>ankidroid-Anki-Android-3040</t>
  </si>
  <si>
    <t>Ankidroid and desktop Anki review time statistics are different</t>
  </si>
  <si>
    <t>Originally reported on Google Code with ID 2143
What steps will reproduce the problem?
1. Review create cards with the desktop version.
2. Review cards on Ankidroid.
4. Compare review time statistics on mobile and desktop versions.
What is the expected output? What do you see instead?
expect the reported review times to be the same each day on both platforms. Instead
they are different.
Does it happen again every time you repeat the steps above? Or did it
happen only one time?
don know whether it happens every single time review on both platforms in given
day. But, it looks like the time reviewed statistic differs between the two platforms
for most if not all days. There are many examples of the time reviewed being over
specific tick mark on the y-axis on one platform, and below that same mark on the other.
Sometimes the Ankidroid statistic is higher, sometimes the desktop Anki statistic is
What version of AnkiDroid are you using? (Decks list menu About Look at the title)
AnkiDroid v2.1.3, Anki for Windows v2.0.26
On what version of Android? (Home screen menu About phone Android
Android v4.4.2, Windows
If it is crash or Force close and you can reproduce it, the following</t>
  </si>
  <si>
    <t>ankidroid-Anki-Android-3037</t>
  </si>
  <si>
    <t>Card browser search does not show results</t>
  </si>
  <si>
    <t>Originally reported on Google Code with ID 2140
What steps will reproduce the problem?
1. Go to the card browser
2. Change display order to something else than No sorting
What is the expected output? What do you see instead?
Not single result is shown, though some results should show up.
Does it happen again every time you repeat the steps above? Or did it
happen only one time?
Yes, every time, with every sort option other than No sorting
What version of AnkiDroid are you using? (Decks list menu About Look
On what version of Android? (Home screen menu About phone Android
AnkiDroid v2.2alpha81, Android 4.4.2 (emulator)
If it is crash or Force close and you can reproduce it, the following
would help immensely: 1) Install the SendLog app, 2) Reproduce the crash,
3) Immediately after, launch SendLog, 4) Attach the resulting file to this
report. That will make the bug much easier to fix.
Does not apply.
Please provide any additional information below.
Every time no results show up, the following errors occur:
c.did, c.queue, n.tags from cards c, notes where c.nid n.id and order by true</t>
  </si>
  <si>
    <t>ankidroid-Anki-Android-3036</t>
  </si>
  <si>
    <t>NullPointerException at DeckOptions.buildLists</t>
  </si>
  <si>
    <t>Originally reported on Google Code with ID 2139
How to reproduce:
1. Enter any deck
2. Press Options
3. Immediate crash as seen below
142): setOutputDevice() setting same device 0002 or null
device for output
339): acquireWakeLock flags 0x1 tag AudioOut
339): mLocks.size 1:
339): PARTIAL WAKE LOCK AudioOut activated
(minState 0, uid 1013, pid 142)
AudioResampler( 142): forcing AudioResampler quality to
audio hw primary( 142): select output device normal: fir set mode error!
339): acquireWakeLock flags 0x1 tag
339): mLocks.size 2:
339): PARTIAL WAKE LOCK AudioOut activated
(minState 0, uid 1013, pid 142)
339): PARTIAL WAKE LOCK
activated (minState 0, uid 1000, pid 339)
142): stopOutput() output 5, stream 1, session 71</t>
  </si>
  <si>
    <t>ankidroid-Anki-Android-3024</t>
  </si>
  <si>
    <t>answer does not show</t>
  </si>
  <si>
    <t>Originally reported on Google Code with ID 2127
What steps will reproduce the problem?
1. It happens randomly in almost every second card. When click show answer it does
not appear, have to enter card edit menu to have look. The rating of tree answer
What is the expected output? What do you see instead?
would like to see the answer.
Does it happen again every time you repeat the steps above? Or did it
happen only one time?
Randomly, think for different cards.
What version of AnkiDroid are you using? (Decks list menu About Look
On what version of Android? (Home screen menu About phone Android
Kitkat, but also my other phone 2.6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Screenshot Screenshot (https: ankidroid issue-2127 comment-0 Screenshot</t>
  </si>
  <si>
    <t>ankidroid-Anki-Android-3010</t>
  </si>
  <si>
    <t>Freezes with the "Show Answer" area outlined in red</t>
  </si>
  <si>
    <t>Originally reported on Google Code with ID 2113
What steps will reproduce the problem?
1.Selecting the Show Answer card on the very first card.
What is the expected output? What do you see instead?
Does it happen again every time you repeat the steps above? Or did it
happen only one time?
Every time. can get it to run properly at all. And have done as suggested, which
is to uninstall and re-install.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don know how to do this, or would do.
Please provide any additional information below.
would really appreciate at least prompt email letting me know if this can be worked</t>
  </si>
  <si>
    <t>ankidroid-Anki-Android-3004</t>
  </si>
  <si>
    <t>Out-of date translations confusing in 2.2alpha deck browser</t>
  </si>
  <si>
    <t>Originally reported on Google Code with ID 2107
What steps will reproduce the problem?
1. Use new 2.2alpha version, e.g. 2.2alpha56
2. Use German or, presumably, some other language
3. Go to the deck browser
4. Select the Frage i.e. Question in the second column drop down spinner
What is the expected output? What do you see instead?
The question should be shown
Instead you see the tags.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am pretty sure that have identified how this happens:
and here: https: github.com ankidroid Anki-Android blob develop res values</t>
  </si>
  <si>
    <t>ankidroid-Anki-Android-2990</t>
  </si>
  <si>
    <t>Editing a card and changing deck at the same time</t>
  </si>
  <si>
    <t>Originally reported on Google Code with ID 2093
What steps will reproduce the problem?
1. Edit card
2. Change both one or more fields and the Card deck
3. Press Save
What is the expected output? What do you see instead?
All changes are applied.
Instead the card changes deck but its fields have not been edited.
Does it happen again every time you repeat the steps above? Or did it
happen only one time?
It happens every time.
What version of AnkiDroid are you using? (Decks list menu About Look
On what version of Android? (Home screen menu About phone Android
version) Android 4.2.2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</si>
  <si>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ankidroid-Anki-Android-2988</t>
  </si>
  <si>
    <t>Card browser loading all cards</t>
  </si>
  <si>
    <t>Originally reported on Google Code with ID 2091
What steps will reproduce the problem?
1. Check the Fast Card Browser Open option in the prefs
2. Open the card browser
What is the expected output? What do you see instead?
All cards get loaded.
They should not.
Does it happen again every time you repeat the steps above? Or did it
happen only one time?
What version of AnkiDroid are you using? (Decks list menu About Look
On what version of Android? (Home screen menu About phone Android
Android 4.3.1 CM10.2.1
If it is crash or Force close and you can reproduce it, the following
would help immensely: 1) Install the SendLog app, 2) Reproduce the crash,
3) Immediately after, launch SendLog, 4) Attach the resulting file to this
report. That will make the bug much easier to fix.
It is not.
Please provide any additional information below.
think this behavior may have started when the deck selection spinner was added. C.f.</t>
  </si>
  <si>
    <t>ankidroid-Anki-Android-2987</t>
  </si>
  <si>
    <t>Decks unsorted in card browser spinner</t>
  </si>
  <si>
    <t>Originally reported on Google Code with ID 2090
What steps will reproduce the problem?
1. Go to the card browser
2. With lots of decks
3. and click on the new (alpha) spinner to select deck
What is the expected output? What do you see instead?
The decks should be int same order as on the deck browser main screen.
They are not.
Does it happen again every time you repeat the steps above? Or did it
happen only one time?
What version of AnkiDroid are you using? (Decks list menu About Look
On what version of Android? (Home screen menu About phone Android
Android 4.3.1 CM 10.2.1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This looks like it is related to issue #2088.
am not sure whether the decks appear ordered by deck id, randomly, or something like</t>
  </si>
  <si>
    <t>ankidroid-Anki-Android-2986</t>
  </si>
  <si>
    <t>I can't use a study function with error</t>
  </si>
  <si>
    <t>Originally reported on Google Code with ID 2089
What steps will reproduce the problem?
Start with study now button on the browser with PC
What is the expected output? What do you see instead?
Error shows your collection is in an inconsistent state.
please use tools&gt;Check Database on the computer version.
Using Desktop tool followed as error showed, but it doesn work
Does it happen again every time you repeat the steps above? Or did it
happen only one time?
Yes,it happens everytime,every devices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Traceback (most recent call last):
21, in link
312, in linkHandler</t>
  </si>
  <si>
    <t>ankidroid-Anki-Android-2985</t>
  </si>
  <si>
    <t>Browser drop down deck selector cuts off text when in landscape</t>
  </si>
  <si>
    <t>Originally reported on Google Code with ID 2088
What steps will reproduce the problem?
1. Open the card browser
What is the expected output? What do you see instead?
When you are in landscape mode, the new drop down menu from alpha 43 is not high enough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If the resolution of my screen can help on nexus 5, 1920*1080.
Attachment: Screenshot Screenshot (https: ankidroid issue-2088 comment-0 Screenshot
Attachment: Screenshot Screenshot (https: ankidroid issue-2088 comment-0 Screenshot</t>
  </si>
  <si>
    <t>ankidroid-Anki-Android-2978</t>
  </si>
  <si>
    <t>Cards due in 1 or 10 min do not show up until hours later</t>
  </si>
  <si>
    <t>Originally reported on Google Code with ID 2081
What steps will reproduce the problem?
1. For new cards or reviews, pressing again (&lt;1 min) or good (10 min) will not bring
up the card in or 10 minutes. Instead waiting for other, longer period cards (1
hour and hours) to show up.
What is the expected output? What do you see instead?
My Learn ahead limit is set at 20 mins, Next day starts at hrs past midnight, and
have not reached the maximum reviews day. My expected output is for the card to
show up immediately after press the again button. Yet, the card does not show up
until longer review (1 hr and 5hrs) cards show up or until the next day. When press
Study Now it says no cards are due.
Does it happen again every time you repeat the steps above? Or did it
happen only one time?
It doesn happen every time, but it has happened more than once. Sometime, when
in the Learning mode with or cards, it works fine. And sometime when all the cards
are due back in 10 mins, none of them show up until an hour later or so.
What version of AnkiDroid are you using? (Decks list menu About Look
On what version of Android? (Home screen menu About phone Android
version) Droid Razr HD
If it is crash or Force close and you can reproduce it, the following</t>
  </si>
  <si>
    <t>ankidroid-Anki-Android-2977</t>
  </si>
  <si>
    <t xml:space="preserve">Blank cards </t>
  </si>
  <si>
    <t>Originally reported on Google Code with ID 2080
What steps will reproduce the problem?
1. Review some cards
2. Later, review other cards
3. All cards are white. But when you edit them, you can see the content
What is the expected output? What do you see instead? Instead of having the content
of the note, the card is blank. When answer, don see the animation. It happen
with every type of cards have.
Does it happen again every time you repeat the steps above? Or did it
happen only one time? It is the first time for me and solved it with reinstalling
the app, without uninstalling.
What version of AnkiDroid are you using? (Decks list menu About Look 2.2alpha33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don think have done something different than other times so can see anything
that can cause this bug.</t>
  </si>
  <si>
    <t>ankidroid-Anki-Android-2976</t>
  </si>
  <si>
    <t>Problem removing tags and filters</t>
  </si>
  <si>
    <t>Originally reported on Google Code with ID 2079
When downloaded some shared decks, number of new tags appeared on the left side.
This makes sense because these cards use them. However, when deleted the shared decks,
these tags remained. tried to remove these tags by highlighting the tag and click
remove tags and selecting the tag wanted to remove. This does not do anything.
did test by creating new tags by clicking add tags but again can remove
the tags by clicking remove tags Is this bug or is there way to remove those
tags from appearing on the left menu if no longer use them?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</si>
  <si>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ankidroid-Anki-Android-2975</t>
  </si>
  <si>
    <t>Clear Whiteboard is in overflow button</t>
  </si>
  <si>
    <t>Originally reported on Google Code with ID 2078
What steps will reproduce the problem?
1. Open deck
2. Choose Show Whiteboard
3. Clear Whiteboard is in overflow button
What is the expected output? What do you see instead?
In version 2.0.4 Clear Whiteboard is not in overflow button. Clear Whiteboard is in
overflow button, other buttons takes to much space. This happens even when changing
the DPI to higher one. this issue makes it harder to practice writing in the whiteboard
since it two button press rather than one from before.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</si>
  <si>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ankidroid-Anki-Android-2972</t>
  </si>
  <si>
    <t>Show answer button too high</t>
  </si>
  <si>
    <t>Originally reported on Google Code with ID 2075
What steps will reproduce the problem?
1. Switch off showing the next review times.
What is the expected output? What do you see instead?
The Show Answer button has the height of the ease buttons *with* the second line
for the time.
It should be smaller, the size of the one-line ease buttons.
Does it happen again every time you repeat the steps above? Or did it
happen only one time?
What version of AnkiDroid are you using? (Decks list menu About Look
On what version of Android? (Home screen menu About phone Android
Android 4.3.1 CM 10.2.1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As my phone is rather small, this effect is actually noticeable and wasting space that
is in short supply.
have made few screen shots. The red line is at the same height in all four of the</t>
  </si>
  <si>
    <t>ankidroid-Anki-Android-2970</t>
  </si>
  <si>
    <t>Swap button behavior odd with complex models</t>
  </si>
  <si>
    <t>Originally reported on Google Code with ID 2073
What steps will reproduce the problem?
1. Go to the edit card dialog
2. with model with lots of fields,
3. and hit the Swap button (below the field
What is the expected output? What do you see instead?
Not sure what *should* happen with the select-this-field rings gone.
But it appears that the content of the second field is put into the third field and
the second field cleared. The content of the third field seems to disappear.
Does it happen again every time you repeat the steps above? Or did it
happen only one time?
What version of AnkiDroid are you using? (Decks list menu About Look
On what version of Android? (Home screen menu About phone Android
AnkiDroid 2.2beta30, CM10.2.1 Android 4.3.1
If it is crash or Force close and you can reproduce it, the following
would help immensely: 1) Install the SendLog app, 2) Reproduce the crash,
3) Immediately after, launch SendLog, 4) Attach the resulting file to this
report. That will make the bug much easier to fix.
It is not.
Please provide any additional information below.</t>
  </si>
  <si>
    <t>ankidroid-Anki-Android-2967</t>
  </si>
  <si>
    <t>Preview hiding status bar</t>
  </si>
  <si>
    <t>Originally reported on Google Code with ID 2070
What steps will reproduce the problem?
1. Click the Preview button
What is the expected output? What do you see instead?
The top status bar (with the battery and mail icons, clock &amp;c.) disappear.
They should not.
Does it happen again every time you repeat the steps above? Or did it
happen only one time?
What version of AnkiDroid are you using? (Decks list menu About Look
On what version of Android? (Home screen menu About phone Android
AnkiDroid 2.1.2 or 2.2alpha26, the same.
Android 4.1.2, Samsung or 4.3.1 CM10.2.1, the same.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Is the preview ready for release version</t>
  </si>
  <si>
    <t>ankidroid-Anki-Android-2966</t>
  </si>
  <si>
    <t>Preview showing only answer</t>
  </si>
  <si>
    <t>Originally reported on Google Code with ID 2069
What steps will reproduce the problem?
1. Click the preview button
What is the expected output? What do you see instead?
Looking at the code, the preview should show question and answer.
Instead see only the answer
Does it happen again every time you repeat the steps above? Or did it
happen only one time?
What version of AnkiDroid are you using? (Decks list menu About Look
On what version of Android? (Home screen menu About phone Android
2.1.2 or 2.2alpha26, the same.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am not sure how you should be able to switch between question and answer anyway.
Is the preview ready for release version</t>
  </si>
  <si>
    <t>ankidroid-Anki-Android-2964</t>
  </si>
  <si>
    <t>Long tap of deck from home screen selects deck</t>
  </si>
  <si>
    <t>Originally reported on Google Code with ID 2067
What steps will reproduce the problem?
1. From deck picker, long tap on deck.
What is the expected output? What do you see instead?
The options menu appears (with show subdecks rename delete), but as soon as the tap
is released, the deck is then selected, showing the study options, and preventing an
option from the context menu from being selected.
However, the menu is still accessible by clicking the back button to go back to the
Ideally, the screen would not go to the study options, but instead, stay on the deck
Does it happen again every time you repeat the steps above? Or did it
happen only one time?
Yes, every time.
What version of AnkiDroid are you using? (Decks list menu About Look
On what version of Android? (Home screen menu About phone Android
experience the error on AnkiDroid 2.1.2 on Android 4.4.2 (Nexus 5). The problem
continued even after uninstalling reinstalling.
However, the problem does not occur on AnkiDroid 2.1.2 on Android 4.2.2 or 4.0.4.
If it is crash or Force close and you can reproduce it, the following
would help immensely: 1) Install the SendLog app, 2) Reproduce the crash,
3) Immediately after, launch SendLog, 4) Attach the resulting file to this</t>
  </si>
  <si>
    <t>ankidroid-Anki-Android-2963</t>
  </si>
  <si>
    <t>Anki won't download deck from server to android phone</t>
  </si>
  <si>
    <t>Originally reported on Google Code with ID 2066
What steps will reproduce the problem?
2. Since this is the initial download, click to overwrite the decks on the phone
(there aren any)
3. Error pops up saying my SD card is in read only (its not) or there isn enough
space (it mostly empty)
What is the expected output? What do you see instead?
expect to see my decks downloaded and see nothing instead
Does it happen again every time you repeat the steps above? Or did it
happen only one time?
Yes, it happens every time try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Not sure what this is...
Please provide any additional information below.</t>
  </si>
  <si>
    <t>ankidroid-Anki-Android-2960</t>
  </si>
  <si>
    <t>Statistics</t>
  </si>
  <si>
    <t>Originally reported on Google Code with ID 2063
What steps will reproduce the problem?
1. Display statistics
2. month and years are not fully showed on my nexus (1980*1200)
What is the expected output? What do you see instead?
Does it happen again every time you repeat the steps above? Or did it
happen only one time?
What version of AnkiDroid are you using? (Decks list menu About Look
my nexus 5. It was OK on my galaxy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think it is linked with the screen resolution.
Attachment: Screenshot Screenshot (https: ankidroid issue-2063 comment-0 Screenshot</t>
  </si>
  <si>
    <t>ankidroid-Anki-Android-2957</t>
  </si>
  <si>
    <t>Sync Windows Anki ⇒ Overwrites Ankidroid Progress</t>
  </si>
  <si>
    <t>Originally reported on Google Code with ID 2060
What steps will reproduce the problem?
1.Do daily new cards reviews on Ankidroid.
2.Don sync windows Anki for few days.
3.Add modify cards in windows Anki.
4.Sync windows Anki.
What is the expected output? What do you see instead?
Expected output is that card modifications new cards made on desktop anki will be accepted
by ankidroid without losing ankidroid review new card progress.
Instead, new cards modifications were updated on ankidroid, but all ankidroid progress
was lost at the same time.(See image)
Does it happen again every time you repeat the steps above? Or did it
happen only one time?
This has happened few times.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</si>
  <si>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ankidroid-Anki-Android-2955</t>
  </si>
  <si>
    <t>answer very slow to display since ankidroid version 2.1.2</t>
  </si>
  <si>
    <t>Originally reported on Google Code with ID 2058
What steps will reproduce the problem?
1. create card from the image occlusion add-in
2. show the card in ankidroid
3. click show answer ... and wait... very long (up to 30s. it sometimes crashes)
What is the expected output? What do you see instead?
the answer should be displayed right away after having clicked the show answer button
Does it happen again every time you repeat the steps above? Or did it
happen only one time?
it happens again every time for the cards created with Image Occlusion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it didn happen in the previous version</t>
  </si>
  <si>
    <t>ankidroid-Anki-Android-2949</t>
  </si>
  <si>
    <t>New Update make the reviewing time very slow</t>
  </si>
  <si>
    <t>Originally reported on Google Code with ID 2052
What steps will reproduce the problem?
1. When reviewing and after push the Show Answer button, the review time is very
slow (around 10 to 30 seconds)
What is the expected output? What do you see instead?
In previous version, the time for showing answer is very smooth (I think it will take
around to seconds)
Does it happen again every time you repeat the steps above? Or did it
happen only one time?
This happens when the answer is long (I am using Anki to study Korean, and am using
the add-on (Add MCD cards) for adding new cards. Normally use fill in the blanks
type card by Anki, will first put whole article copied from the web at the text
box, then the answer on the clozes, and the whole definition and sample sentences example
copied from web were put on the notes box.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</si>
  <si>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ankidroid-Anki-Android-2948</t>
  </si>
  <si>
    <t>Note Deck name do not automatically select the current deck after temp change</t>
  </si>
  <si>
    <t>Originally reported on Google Code with ID 2051
What steps will reproduce the problem?
1.I working in specific deck (ex: Deck N1) and suddenly want to add note but
for another deck. change the Note Deck field name to Deck N2 and add my word.
2. Once added my word, the Note Deck Field is still on Deck N2
What is the expected output? What do you see instead?
As still working under the deck N1, expect the Note Deck Field to automatically
select again what should be the default Deck Name (ie the current Deck Name). Instead,
after adding my word using different Deck Name, The field for the next new note still
use this Deck Name. But 99% chances that the next word will be added under the Current
This was working well in the previous version.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</si>
  <si>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ankidroid-Anki-Android-2946</t>
  </si>
  <si>
    <t>Cards are added to the wrong deck</t>
  </si>
  <si>
    <t>Originally reported on Google Code with ID 2049
What steps will reproduce the problem?
1. Sometimes, for some decks, when creating new card, the card is added to different,
apparently default deck. It very easy problem to encounter.
The error was introduced by txn written by myself.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</si>
  <si>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ankidroid-Anki-Android-2942</t>
  </si>
  <si>
    <t>"Init TTS" prevents Ankidroid from loading decks</t>
  </si>
  <si>
    <t>Originally reported on Google Code with ID 2045
What steps will reproduce the problem?
1. Start Ankidroid
2. Chose deck
What is the expected output? What do you see instead?
Instead of showing the card, Ankidroid shows message: Init TTS The message doesn
disappear. Pressing the back -Button makes the message disappear and shows an empty
Does it happen again every time you repeat the steps above? Or did it
happen only one time?
It happens on every deck, always.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Before updated to this version, TTS worked only sometimes, but cards and decks were
shown without problems.</t>
  </si>
  <si>
    <t>ankidroid-Anki-Android-2933</t>
  </si>
  <si>
    <t>Stubborn card doesn't move to the newly assigned deck</t>
  </si>
  <si>
    <t>Originally reported on Google Code with ID 2036
What steps will reproduce the problem?
1. Edit card in particular deck
2. Change that card deck
3. The card doesn move to the newly assigned deck
What is the expected output? What do you see instead?
It should move to the newly assigned deck.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copied the collection and archived it if you need to see the collection with the</t>
  </si>
  <si>
    <t>ankidroid-Anki-Android-2932</t>
  </si>
  <si>
    <t>Forgetful clipboard during copy and paste</t>
  </si>
  <si>
    <t>Originally reported on Google Code with ID 2035
What steps will reproduce the problem?
1. Copy some data from one card
2. Make new card.
3. Attempt to paste the copied data, it no longer available
What is the expected output? What do you see instead?
It would be nice if the clipboard data was retained long enough to be useful within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</si>
  <si>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ankidroid-Anki-Android-2926</t>
  </si>
  <si>
    <t>it is not crashing anymore</t>
  </si>
  <si>
    <t>Originally reported on Google Code with ID 2029
funny thing am not sure what happened but deleted the program when left the bad
review and just reinstalled it so that could do the send log and now am not having
any issues. the only thing can think of is when went to get new shared list that
somehow the download got botched or something.
either way it is fixed and thank you for the help. look forward to using your product</t>
  </si>
  <si>
    <t>ankidroid-Anki-Android-2924</t>
  </si>
  <si>
    <t>Issues with crash reporter screen on 320x240</t>
  </si>
  <si>
    <t>Originally reported on Google Code with ID 2027
In 2.1beta8 on my 320x240 screen, the error reporter screen has couple of issues.
In portrait orientation, Filed bug, no response is intermeshed with the stacktrace
filename, so it says .sFiled bug, no response tacktrace
In landscape orientation, that results text doesn appear at all (maybe it covered
up by the disclaimer text) screenshots from before and after sending an error are
Attachment: (https: ankidroid issue-2027 comment-0
Attachment: (https: ankidroid issue-2027 comment-0
Attachment: (https: ankidroid issue-2027 comment-0</t>
  </si>
  <si>
    <t>ankidroid-Anki-Android-2921</t>
  </si>
  <si>
    <t>Deleting cram/filter decks without reviewing cards seems to instigate changes although no cards seen</t>
  </si>
  <si>
    <t>Originally reported on Google Code with ID 2024
What steps will reproduce the problem?
The following steps likely require source deck with certain properties, namely
fair amount of new along with some due for review cards.
1. Create filter deck from some deck, using default values. You want the resulting
cram deck to either be all review cards, or at least have some review and some new.
2. Without reviewing single card, go delete the cram deck (which may crash due to
issue 2009, which has been addressed and will not be the cause of this issue)
3. Repeat steps and until eventually you have only new cards in the cram deck.
What is the expected output? What do you see instead?
would expect the exact same deck to be generated each time, with no changes. Instead,
it is either handing me new cards (I don know), or upon deleting the cram filter
deck it is changing the scheduling or some other property of the cards such that they
appear new rather than as reviews. Perhaps, it marks cards as seen such that the
default critera of oldest not seen is selecting new set of cards, but, the cards
have not actually been seen! So this would not be proper result.
Does it happen again every time you repeat the steps above? Or did it
happen only one time?
don know and haven tried.
What version of AnkiDroid are you using? (Decks list menu About Look</t>
  </si>
  <si>
    <t>ankidroid-Anki-Android-2919</t>
  </si>
  <si>
    <t xml:space="preserve">Sync log error </t>
  </si>
  <si>
    <t>Originally reported on Google Code with ID 2022
What steps will reproduce the problem?
1. Open AnkiDroid
2. Press on the Sync button
What is the expected output? What do you see instead?
The sync (in this case, download of data from Anki computer) process doesn complete
it starts up and stays on
Preparing syncing... Up:0 kb, Down: 0kb for quite while 30 seconds)
Sync log: An error has occurred. Please try again later. message appears.
Does it happen again every time you repeat the steps above? Or did it
happen only one time?
Yes, every time.
What version of AnkiDroid are you using? (Decks list menu About Look
On what version of Android? (Home screen menu About phone Android
AnkiDroid version 2.0.4
Android version 4.4.2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</si>
  <si>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ankidroid-Anki-Android-2917</t>
  </si>
  <si>
    <t xml:space="preserve">"Select Text" menu item broken on Android 4.1 + </t>
  </si>
  <si>
    <t>Originally reported on Google Code with ID 2016
What steps will reproduce the problem?
1. Enable dictionary lookup
2. In the reviewer tap the menu entry select text
What is the expected output? What do you see instead?
Expect text to be selected and copied to clipboard, but nothing happens.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method selectAndCopyText() from Reviewer.java is broken in Jelly Bean... don
know how to fix it, and couldn find anything on the net except for this (http: stackoverflow.com questions 7581131
But do we really need to have menu item for this? Does long-tapping on the text and
selecting copy work on all Android versions? If so, instead of having that menu entry
double as select text lookup in dictionary we could just remove the select</t>
  </si>
  <si>
    <t>ankidroid-Anki-Android-2915</t>
  </si>
  <si>
    <t>Ankidroid 2.0.4 sometimes crashes while syncing then all decks are lost</t>
  </si>
  <si>
    <t>Originally reported on Google Code with ID 2014
What steps will reproduce the problem?
1. Syncing sometimes causes it, if haven exited the program before (just minimise
it) and try to sync sometimes that causes it
2. It will randomly crash and after that sometimes that causes it
What is the expected output? What do you see instead?
expect it to sync properly but it crashes then when open it again it has message
saying there is major update to anki which need to install even though have the
latest version already. tried everything like not choosing not to upgrade trying
to go back to the old deck, trying to install back ups (it says they are not valid
apk files) then always end up with no decks left and have to sync with the deck
online and so lose my progress.
Or sometimes just open it and the same message is displayed (I think that may be
after crashing but don remember as the last one was couple of weeks ago)
Does it happen again every time you repeat the steps above? Or did it
happen only one time?
It happens sometimes.
What version of AnkiDroid are you using? (Decks list menu About Look
On what version of Android? (Home screen menu About phone Android
If it is crash or Force close and you can reproduce it, the following</t>
  </si>
  <si>
    <t>ankidroid-Anki-Android-2911</t>
  </si>
  <si>
    <t>Cannot sync from China</t>
  </si>
  <si>
    <t>Originally reported on Google Code with ID 2010
What steps will reproduce the problem?
1. Click the sync button
What is the expected output? What do you see instead?
Error message: An error has occurred. Please try again later.
Does it happen again every time you repeat the steps above? Or did it
happen only one time?
Every time for the last two weeks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My desktop is also not able to sync. It seems can get around the problem on
my desktop by using VPN software. However, on my mobile, have no such VPN software
installed. understand that certain websites are blocked in China, but Ankiweb??
Am the only person living in China who has reported this problem?</t>
  </si>
  <si>
    <t>ankidroid-Anki-Android-2910</t>
  </si>
  <si>
    <t>Crash when deleting empty filtered deck</t>
  </si>
  <si>
    <t>Originally reported on Google Code with ID 2009
What steps will reproduce the problem?
1. Create filtered deck
2. Try to delete it
What is the expected output? What do you see instead?
Works for long time, deletes the filtered deck, but then crashes with out of memory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Possibly problem with Android 4.x as there are 100 crashes with this signature, all
of which are Android 4.0+</t>
  </si>
  <si>
    <t>ankidroid-Anki-Android-2909</t>
  </si>
  <si>
    <t>Anki starts to crash everytime</t>
  </si>
  <si>
    <t>Originally reported on Google Code with ID 2008
Related to bug:
Anki suddenly started to crash after tried to review deck. After some time, it
started to crash when tried to access any option (preferences, open deck, etc...)
Removed and installed Anki 2.0.4.</t>
  </si>
  <si>
    <t>ankidroid-Anki-Android-2907</t>
  </si>
  <si>
    <t>Change deck in note editor doesn't remove from filtered deck (JSONException: No value for separate at com.ichi2.libanki.Sched._newConf)</t>
  </si>
  <si>
    <t>Originally reported on Google Code with ID 2006
What steps will reproduce the problem?
1. Review for some time
What is the expected output? What do you see instead?
Database error is shown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</si>
  <si>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ankidroid-Anki-Android-2906</t>
  </si>
  <si>
    <t>JSONException: No value for replayq</t>
  </si>
  <si>
    <t>Originally reported on Google Code with ID 2005
1. Install 2.1beta3 or 2.1beta4
2. Review any card (even most basic front+back model, with no sound)
3. Press Show answer
It started happening suddenly. 2.1beta3 was working normally until it started crashing
this way. Now it crashes on any card. did not review any card with sounds, the whole</t>
  </si>
  <si>
    <t>ankidroid-Anki-Android-2903</t>
  </si>
  <si>
    <t>font selecting problem</t>
  </si>
  <si>
    <t>Originally reported on Google Code with ID 2002
What steps will reproduce the problem?
1.select any font in font selection menu
2.Anki remember font, but not use it, and write in status This font dont exist
3.in cards editor font changing working
What is the expected output? What do you see instead?
need it very much for tibetan cards. Please help. cant see tibetan characters when
learning cards, but can see in card editor (because can change font)
Does it happen again every time you repeat the steps above? Or did it
happen only one time?
What version of AnkiDroid are you using? (Decks list menu About Look
On what version of Android? (Home screen menu About phone Android
Last ankkidroid on android, but all previous had same problem. Device sgs4 (android
4.2.2) and nexus 7-2 (android 4.4.1) same problem,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</si>
  <si>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ankidroid-Anki-Android-2902</t>
  </si>
  <si>
    <t>Anki skips to next card without user direction</t>
  </si>
  <si>
    <t>Originally reported on Google Code with ID 2001
What steps will reproduce the problem?
(unfortunately, this is hard to reproduce. Something odd must be going on in the background)
1. Turn off automatically display answer
2. Open deck
3. Wait an unspecified length of time (sometime 5min, sometimes 30 seconds, sometimes
never happens!), and Anki will skip from Card1 to Card2.
What is the expected output? What do you see instead?
This occurs regardless of whether you are on the front or the back of Card1. It also
occurs regardless of whether the phone is active or asleep.
Does it happen again every time you repeat the steps above? Or did it
happen only one time?
&gt;This has happened to me over 100 times. However, still cannot consistently reproduce
it! am at loss
What version of AnkiDroid are you using? (Decks list menu About Look
&gt;&gt; v. 2.0.4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</si>
  <si>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ankidroid-Anki-Android-2901</t>
  </si>
  <si>
    <t>the answer is not listening properly</t>
  </si>
  <si>
    <t>Originally reported on Google Code with ID 2000
What steps will reproduce the problem?
1.I write the solution.
2.I click in Mostrar respuesta
3.I should listen to the solution
What is the expected output?
What your job?
What do you see instead?
What your job?
Does it happen again every time you repeat the steps above? Or did it
happen only one time?
it happens always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 as cards are configured</t>
  </si>
  <si>
    <t>ankidroid-Anki-Android-2896</t>
  </si>
  <si>
    <t>Some cards are displayed without text, only with the soundfile</t>
  </si>
  <si>
    <t>Originally reported on Google Code with ID 1995
What steps will reproduce the problem?
What is the expected output? What do you see instead?
expect the card to show up normally text, with one cloze marked out in blue.
When click the answer button am suppose to get the answer to the cloze as well
as soundfile played.
What get is an empty sceen as if the card had no text in it when click the answer
button, still get no text, but, the sound is still played.
Does it happen again every time you repeat the steps above? Or did it
happen only one time?
This is not completely consistent. card can start doing this after having worked
perfectly fine for while, and without me modyfing anything. usually supend the
cards when this happen. Only solution seems to be to delete the card and start anew.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</si>
  <si>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ankidroid-Anki-Android-2895</t>
  </si>
  <si>
    <t>Statistics have been wacky for 6 months</t>
  </si>
  <si>
    <t>Originally reported on Google Code with ID 1994
What steps will reproduce the problem?
See the attatched file.
My statistics have been messed up during the last months What am thinking is
that this is exacly the time when ankidroid was released.
Scroll down to see anmeldelsestid which is the acumulated time of reviews since
started using anki two years ago. Some results come up negative and are useless
you kan see it reflected on the graph, when the light green line dumps.
wish were able to use my statistics from the whole period, but fear that it might
be corrupted and the the correct number at some point was erased from the database.
Which other info could be helpful?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</si>
  <si>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ankidroid-Anki-Android-2884</t>
  </si>
  <si>
    <t>Large decks with hyperlinks crash on "Import of cards"</t>
  </si>
  <si>
    <t>Originally reported on Google Code with ID 1983
What steps will reproduce the problem?
1. Make large deck, i.e. 1000+ cards in the deck
2. Put hyperlink on the back of each card, i.e., custom link that leads to direct
look up of the word in an online dictionary
3. Export this deck from your Anki desktop, copy apkg to phone Ankidroid folder,
4. Import stops at or during Import of cards
not sure if it is the hyperlinks causing this, or if Ankidroid has limit placed
on the total number of cards decks on the phone? If the latter, what is the limit?
What is the expected output? What do you see instead?
Successful import of cards. Instead get crashing during Import of cards
Does it happen again every time you repeat the steps above? Or did it
happen only one time?
90% of the time.
What version of AnkiDroid are you using? (Decks list menu About Look
The latest: 2.0.3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</si>
  <si>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ankidroid-Anki-Android-2883</t>
  </si>
  <si>
    <t>Image Bug</t>
  </si>
  <si>
    <t>Originally reported on Google Code with ID 1982
What steps will reproduce the problem?
What is the expected output? What do you see instead?
got stack of cards with images in it, they are shown on the pc version, but not
on the android mobile version. Media sync is activated. can only see little sign
with question mark in it.
Does it happen again every time you repeat the steps above? Or did it
happen only one time?
problem exists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</si>
  <si>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ankidroid-Anki-Android-2878</t>
  </si>
  <si>
    <t>Sync conflict every (other) day and new cards for review reapper after upload all from local</t>
  </si>
  <si>
    <t>Originally reported on Google Code with ID 1977
What steps will reproduce the problem?
1. Review all cards (which are for review) from all decks. Sync after each deck is
2. (Not needed for bug reproduction) When is zero cards for review try to check database.
Db is ok, there are still zero cards for review.
3. Synchronizing: sync conflict, then upload all from local, then new cards for review
What is the expected output? What do you see instead?
See instead: Cards for reviewing, usualy from to 15 cards. Cards which reappers are
from the same note which reviewed this day (but not the same cars).
Does it happen again every time you repeat the steps above? Or did it
happen only one time?
It happen every other day or more, but not always.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problem is hapening after update to new ankidroid version.</t>
  </si>
  <si>
    <t>ankidroid-Anki-Android-2873</t>
  </si>
  <si>
    <t>After edition a card disappear</t>
  </si>
  <si>
    <t>Originally reported on Google Code with ID 1971
What steps will reproduce the problem?
1. Edit note
What is the expected output? What do you see instead?
should see actual card (the one ve just edited). instead see nothing.
Does it happen again every time you repeat the steps above? Or did it
happen only one time?
It happens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Screenshot Screenshot (https: ankidroid issue-1971 comment-0 Screenshot</t>
  </si>
  <si>
    <t>ankidroid-Anki-Android-2872</t>
  </si>
  <si>
    <t>Reviewing all decks simultanously - cards come seperately anyway</t>
  </si>
  <si>
    <t>Originally reported on Google Code with ID 1970
What steps will reproduce the problem?
1. revieing my main deck languages which includes languages::arabic and
What is the expected output? What do you see instead?
expect the cards to be mixed randomly. sometimes languages::arabic and sometimes
from arabic before getting to review the cards from arabic::derja The only exection
is for new cards When add new cards to arabic::derja, they are mixed in with arabic
Does it happen again every time you repeat the steps above? Or did it
happen only one time?
This is consistent
What version of AnkiDroid are you using? (Decks list menu About Look
(currently it 2.02)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</si>
  <si>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ankidroid-Anki-Android-2871</t>
  </si>
  <si>
    <t>2.0beta20 crashes on Android 2.2.2</t>
  </si>
  <si>
    <t>Originally reported on Google Code with ID 1969
What steps will reproduce the problem?
1. sync Anki from android phone to web anki
2. It star sync, and program self close
3. start program again. It show error report window. And close again if try sync.
Android 2.2.2. HTC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</si>
  <si>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ankidroid-Anki-Android-2869</t>
  </si>
  <si>
    <t>Clicking the preference button on a filtered deck with "cards selected by relative overdueness" crashes Anki</t>
  </si>
  <si>
    <t>Originally reported on Google Code with ID 1967
create filtered deck via the desktop client that uses the relative overdueness option.
If click on the preference button inside Ankidroid while opening that deck Ankidroid</t>
  </si>
  <si>
    <t>ankidroid-Anki-Android-2866</t>
  </si>
  <si>
    <t xml:space="preserve">Ankidroid will fore close when I add note from "saved data" </t>
  </si>
  <si>
    <t>Originally reported on Google Code with ID 1964
What steps will reproduce the problem?
chooses first item from saved data to my note
But after click the Add button
The added item still in saved data list. If click the list, Ankidroid will fore
close. Like this
What is the expected output? What do you see instead?
After click the add button, the added Item shouldn in saved date list.
Does it happen again every time you repeat the steps above? Or did it
happen only one time?
Always fore close if repeat the step above.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</si>
  <si>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ankidroid-Anki-Android-2861</t>
  </si>
  <si>
    <t>AnkiDroid doesn't show the 〜 (Japanese ~) character, messes up furigana</t>
  </si>
  <si>
    <t>Originally reported on Google Code with ID 1959
What steps will reproduce the problem?
1. Use this deck https: ankiweb.net shared info 2743658753
2. Open on PC, you will see character in many cards
3. Open on AnkiDroid, the character does not display.
What is the expected output? What do you see instead?
Expect to see the character on the cards that have it. see blank space instead.
Does it happen again every time you repeat the steps above? Or did it
happen only one time?
Every time, the character never displays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</si>
  <si>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ankidroid-Anki-Android-2860</t>
  </si>
  <si>
    <t>Crashed when compared answer</t>
  </si>
  <si>
    <t>Originally reported on Google Code with ID 1958
1. Android 4.3
2. Switch on compare answer
3. Ankidroid 2.02 and 2.03
When compare answer and word program crashed.
It started happen every time since version 2.02.
It work normally in version 2.01 with Android 4.3
It work normally on another device with Android 4.1.1 with 2.02 and 2.03
created log from device when it crash and send it.</t>
  </si>
  <si>
    <t>ankidroid-Anki-Android-2857</t>
  </si>
  <si>
    <t>Force close when pressing "show answer" button while the keyboard is not minimized. Nexus 4 Android 4.3</t>
  </si>
  <si>
    <t>Originally reported on Google Code with ID 1955
am reviewing deck with japanese kanji, with reverse cards for me to input japanese.
use custom font that bunbled with the deck (ipakaisho.ttf) On some cards, after
type the correct answer in and press show answer while the keyboard (i ve tried
google japanese ime, and swiftkey) is not minimized (see the screenshots), it causes
anki to force close. Now, some cards work okay, but most of them crash.
However, it doesn just simply close. Some progress seems to just disappear after
the crash. For example, if the crash happened after some new cards were being introduced
(new today counter is reduced) and then on some other card the crash happens, the newly
learnt cards are remembered, but the new counter gets reset back to what new per day
is set to. Therefore, you have to learn extra cards if the crash happened.
What steps will reproduce the problem?
1.Bring up deck, start reviewing (create custom review)
2.Review until card with input field will come up
3.Write something in the input field
4.Without closing the keyboard, press show answer button
Expected to see the reverse of the card with the answer being checked.
Instead, force close screen, application restarts but gets stuck on opening collection
screen until back button is pressed.
This happens every time, however some cards are not affected. originally though</t>
  </si>
  <si>
    <t>ankidroid-Anki-Android-2855</t>
  </si>
  <si>
    <t>the app can't open the database when it starts</t>
  </si>
  <si>
    <t>Originally reported on Google Code with ID 1953
What steps will reproduce the problem?
2. after choose the repair of the database option
What is the expected output? What do you see instead?
Does it happen again every time you repeat the steps above? Or did it
happen only one time?
Again and again, but it happens that after device reboot it started correctly.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</si>
  <si>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ankidroid-Anki-Android-2852</t>
  </si>
  <si>
    <t>App does not translate to Spanish or Portuguese</t>
  </si>
  <si>
    <t>Originally reported on Google Code with ID 1950
What steps will reproduce the problem?
1. Go to preferences.
2. Choose category Language
3. Click Language to select app language and select either flavor of Spanish or either
flavor of Portuguese.
4. Hit the back button until AnkiDroid closes.
5. Restart Anki and notice it is still in English (or system default)
What is the expected output? What do you see instead?
would expect to see foreign text in most places, and that is what see for French,
Swedish, Italian, etc.
Does it happen again every time you repeat the steps above? Or did it
happen only one time?
Every time. do not know how many other languages it may affect besides the options
What version of AnkiDroid are you using? (Decks list menu About Look
On what version of Android? (Home screen menu About phone Android
AnkiDroid v2.0.2 on Android 4.1.2
If it is crash or Force close and you can reproduce it, the following
would help immensely: 1) Install the SendLog app, 2) Reproduce the crash,
3) Immediately after, launch SendLog, 4) Attach the resulting file to this</t>
  </si>
  <si>
    <t>ankidroid-Anki-Android-2850</t>
  </si>
  <si>
    <t>Cards to review changes at random - sync conflict</t>
  </si>
  <si>
    <t>Originally reported on Google Code with ID 1948
What steps will reproduce the problem?
1. Reviewing my flashcards on ankidroid at random, the number of cards left halves
all new cards dissapear.
2. try to sync to get the correct review queue back, and one of two things happen.
of syncing conflict and asks me to chose between local source or anki-web. choose
local in order to keep the status of the cards just reviewed. When sync from local,
the correct review queue reappears. Until the problem repats itself seamingly without
What is the expected output? What do you see instead?
expect the queue to change normally instead, significant part of the cards dissapear
Does it happen again every time you repeat the steps above? Or did it
happen only one time?
It has happened repeatedly, however, when syncing, the problem isn always resolved
(as descibed above)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</si>
  <si>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ankidroid-Anki-Android-2848</t>
  </si>
  <si>
    <t>Application crashes</t>
  </si>
  <si>
    <t>Originally reported on Google Code with ID 1946
What steps will reproduce the problem?
1. Download application
2. Run application
3. Application crashes
send crash report to the android google play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</si>
  <si>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ankidroid-Anki-Android-2845</t>
  </si>
  <si>
    <t>Anki almost always tries to open collection when supposed to show answer (only type answer decks)</t>
  </si>
  <si>
    <t>Originally reported on Google Code with ID 1943
What steps will reproduce the problem?
1. Start reviewing cards which have to type in correct answer.
2. Whether or not have written anything, after clicking Show answer
3. Anki tries to Open collection and stays in this state.
What is the expected output? What do you see instead?
It should compare the typed in with the correct answer and show me if mine is right
or wrong. Instead it remains in the state of opening collection for infinite time.
Does it happen again every time you repeat the steps above? Or did it
happen only one time?
Almost every time. But if didn type anything and also didn open the keyboard,
there is high percentage that this issue doesn occur.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</si>
  <si>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ankidroid-Anki-Android-2835</t>
  </si>
  <si>
    <t>Reviewer crashes under Romanian localization</t>
  </si>
  <si>
    <t>Originally reported on Google Code with ID 1933
In AnkiDroid release 2.0.2.
Triage link: http: view bug?bug id 5457075656196096</t>
  </si>
  <si>
    <t>ankidroid-Anki-Android-2833</t>
  </si>
  <si>
    <t xml:space="preserve">Impossible to review any decks: Anki gets stuck in *opening collection please wait* loop since update 2.0.2 after reviewing only a few cards in any deck </t>
  </si>
  <si>
    <t>Originally reported on Google Code with ID 1931
What steps will reproduce the problem?
1. Opening any of my existing decks.
What is the expected output? What do you see instead?
Whenever do review, after just few cards have been done, the
Does it happen again every time you repeat the steps above? Or did it
happen only one time?
It happens with all my decks, and has essentially made the entire app completely unusable
on my phone, which is my main way of studying.
The decks still open fine and without issue on the PC version. Also syncs still appear
to work, am just unable to do any reviews.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am running Sony Xperia ZL. The program ran with no issues at all prior to the update.</t>
  </si>
  <si>
    <t>ankidroid-Anki-Android-2830</t>
  </si>
  <si>
    <t>App hangs during review</t>
  </si>
  <si>
    <t>Originally reported on Google Code with ID 1928
What steps will reproduce the problem?
1. Start review, answer several dozens of cards
2. blank card appears
3. App is frozen, wait min till it gets killed by an OS.
4. No crash report screen
Does it happen again every time you repeat the steps above? Or did it
happen only one time?
Every time after the new update (v2.0.2).
&gt;What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Might try it later but the whole OS becomes unresponsive and sometimes it faster
for me to reboot.</t>
  </si>
  <si>
    <t>ankidroid-Anki-Android-2827</t>
  </si>
  <si>
    <t>Latest update causing a lot of troubles</t>
  </si>
  <si>
    <t>Originally reported on Google Code with ID 1925
What steps will reproduce the problem?
1. Use constantly the app
2. The spp will crash, my phone even resetted twice.
What is the expected output? What do you see instead?
Ankidroid shouldn crash, even less make my device to reset itself...
Does it happen again every time you repeat the steps above? Or did it
happen only one time?
Happened to me at least times, it seems like some serious memory leak or something.
What version of AnkiDroid are you using? (Decks list menu About Look
On what version of Android? (Home screen menu About phone Android
Please provide any additional information below.
always send my crash logs, and it seems this may be known, but didn see the issue
listed here (although may have missed it).
Can rollback to the previous version? that one was working fine...</t>
  </si>
  <si>
    <t>ankidroid-Anki-Android-2826</t>
  </si>
  <si>
    <t>reload collection -&gt; onPostExecute causes java.lang.IllegalStateException: Can not perform this action after onSaveInstanceState</t>
  </si>
  <si>
    <t>Originally reported on Google Code with ID 1924
haven experienced this myself, but there have been several reports over the last
few days on the Google Play Store about constant crashes after reviewing few cards.
By isolating their devices, think have narrowed it down to the following bug on</t>
  </si>
  <si>
    <t>ankidroid-Anki-Android-2824</t>
  </si>
  <si>
    <t>Images do not resize when zooming</t>
  </si>
  <si>
    <t>Originally reported on Google Code with ID 1922
What steps will reproduce the problem?
1. open any card with an image
2. attempt to zoom
3. text gets larger image size is unchanged
What is the expected output? What do you see instead?
Until the latest release it was possible to zoom in and see detail of an image in
card. Now images are automatically re-sized to display the entire image on the screen
no matter how far one tries to zoom in.
Does it happen again every time you repeat the steps above? Or did it
happen only one time?
Yes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</si>
  <si>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ankidroid-Anki-Android-2823</t>
  </si>
  <si>
    <t xml:space="preserve">images do not resize </t>
  </si>
  <si>
    <t>Originally reported on Google Code with ID 1921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</si>
  <si>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ankidroid-Anki-Android-2820</t>
  </si>
  <si>
    <t xml:space="preserve">AnkiDroid fails </t>
  </si>
  <si>
    <t>Originally reported on Google Code with ID 1918
What steps will reproduce the problem?
What is the expected output? What do you see instead?
Ankidroid is stopped
Does it happen again every time you repeat the steps above? Or did it
happen only one time?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</si>
  <si>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ankidroid-Anki-Android-2817</t>
  </si>
  <si>
    <t>Default font setting doesn't affect card in review mode. Browser &amp; Editor font (with the same font set) works fine</t>
  </si>
  <si>
    <t>Originally reported on Google Code with ID 1915
What steps will reproduce the problem?
Anki doesn display the default font correctly. have the same font set in Browser
Editor font and in Default font (Preferences -&gt; General). It respects only Browser&amp;
Editor setting. It was ok before the update.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</si>
  <si>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ankidroid-Anki-Android-2815</t>
  </si>
  <si>
    <t>AnkiDroid crashes during card reading</t>
  </si>
  <si>
    <t>Originally reported on Google Code with ID 1913
What steps will reproduce the problem?
can reproduce the problem. AnkiDroid will sporadically fail during card reading.
Usually it is after certain number of cards read.
What is the expected output? What do you see instead?
see white screen instead of the back side of the card. Then AnkiDroid stops and
have sent several bug reports.
Does it happen again every time you repeat the steps above? Or did it
happen only one time?
It has happened to me repeatedly over the course of several days. sent numerous bug
reports via the AnkiDroid bug reports system and via Andriod OS.
What version of AnkiDroid are you using?
On what version of Android? (Home screen menu About phone Android
It would help if Ankidroid would write more often to the database file or automatically
sync to the server. Then would not loose my progress.</t>
  </si>
  <si>
    <t>ankidroid-Anki-Android-2811</t>
  </si>
  <si>
    <t xml:space="preserve">I can't find my deck!!! </t>
  </si>
  <si>
    <t>Originally reported on Google Code with ID 1909
What steps will reproduce the problem?
1. They are just gone
2. have files on my sd card, but no matter how much move them around, ankidroid
can find them...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</si>
  <si>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ankidroid-Anki-Android-2809</t>
  </si>
  <si>
    <t xml:space="preserve"> Whiteboard causes OutOfMemoryError (Android 4.x)</t>
  </si>
  <si>
    <t>Originally reported on Google Code with ID 1907
What steps will reproduce the problem?
do not know an assured way to reproduce the problem. It happens to me after some
continued practice. (Maybe after half an hour of practicing.) And it started when switching
to Android 4.4 (KitKat):
After some time of practicing the content of the second side of the card does not get
shown. just get the buttons. Even if wait some seconds nothing happens anymore.
When hit the back button, can go back in the application. But as soon as try
to get forward again or reopen the application, get the message, that the application
crashed. Asking me whether want to send bug report. (I confirmed this several times,
by the way, so you should have stack traces.)
Problem is there on my new Nexus from the beginning (Android 4.4(.1)). On my Nexus
2012 WiFi it started after the upgrade from Android 4.3 to 4.4.
What is the expected output? What do you see instead?
expect to just continue practicing. I.e. seeing the next card or its backside.
Does it happen again every time you repeat the steps above? Or did it
happen only one time?
It happens again an again. But it is not reproducable, as it does not happen at the
beginning. Just after you continue some practicing.
What version of AnkiDroid are you using? (Decks list menu About Look</t>
  </si>
  <si>
    <t>ankidroid-Anki-Android-2807</t>
  </si>
  <si>
    <t>Review time estimation is displayed as being negative</t>
  </si>
  <si>
    <t>Originally reported on Google Code with ID 1905
What steps will reproduce the problem?
Since can seem to find way to reset the values, trying to reproduce the error
is out of my reach, but it occurred after having reviews opened and leaving the phone
idle for quite some time.
What is the expected output? What do you see instead?
The expected output is obviously positive and within reasonable reach, what get instead
are huge negative numbers, pretty much alike to the problems of signed unsigned number
Does it happen again every time you repeat the steps above? Or did it
happen only one time?
As stated above, it happened once, but the estimates are staying this way for some
days now, probably because old data needs more time to be discarded, if it is discarded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Sadly lack any further information on the issue.</t>
  </si>
  <si>
    <t>ankidroid-Anki-Android-2800</t>
  </si>
  <si>
    <t>Custom fonts not displayed after upgraded to android 4.4</t>
  </si>
  <si>
    <t>Originally reported on Google Code with ID 1898
What steps will reproduce the problem?
1. upgraded to android 4.4
What is the expected output? What do you see instead?
Does it happen again every time you repeat the steps above? Or did it
happen only one time?
see below. am sorry that do not have enough time to flash back to android 4.3 and
What version of AnkiDroid are you using? (Decks list menu About Look
On what version of Android? (Home screen menu About phone Android
version) 4.4 (nexus 4)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custom font is properly displayed in the PC client. In android 4.2 and 4.3, put
the custom font file in sdcard Ankidroid font folder and it was displayed properly.
After upgraded to android 4.4, the custom font then cannot be displayed. The problem
still continues after reinstall Ankidroid</t>
  </si>
  <si>
    <t>ankidroid-Anki-Android-2799</t>
  </si>
  <si>
    <t>If I add a card it creates 2 cards with the same info.</t>
  </si>
  <si>
    <t>Originally reported on Google Code with ID 1897
What steps will reproduce the problem?
1. Only one card must be created
What is the expected output? What do you see instead?
One card needs to be created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</si>
  <si>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ankidroid-Anki-Android-2798</t>
  </si>
  <si>
    <t xml:space="preserve">Can't sync windows nor mobile app.  </t>
  </si>
  <si>
    <t>Originally reported on Google Code with ID 1896
What steps will reproduce the problem?
1. Syncing (windows, anki version 2.0.16)
2. Syncing ankidroid (mobile app)
3. Updating anki
What is the expected output? What do you see instead?
expecto to sync my flashcards.
Instead see these errors:
La sincronizaci fall
Traceback (most recent call last):
in conn request
in ssl wrap socket
Does it happen again every time you repeat the steps above? Or did it
happen only one time?
Happens always. Since today.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</si>
  <si>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ankidroid-Anki-Android-2797</t>
  </si>
  <si>
    <t>Search field ignores font settings</t>
  </si>
  <si>
    <t>Originally reported on Google Code with ID 1895
What steps will reproduce the problem?
1. Setting view
2. Set don for card overview
3. Search field ignores it
Or rooted device
1. use ifont and or font installer to set system font.
2. Go to card overview
3. Search field ignores it
What is the expected output? What do you see instead?
Search field should react and show Unicode font. But still can show ancient greek
characters. Only rectangles instead.
Font change works everywhere else, lust isshown correctly.
Does it happen again every time you repeat the steps above? Or did it
happen only one time?
What version of AnkiDroid are you using? (Decks list menu About Look
On what version of Android? (Home screen menu About phone Android
4.2.2, device: Samsung galaxy s4
If it is crash or Force close and you can reproduce it, the following
would help immensely: 1) Install the SendLog app, 2) Reproduce the crash,</t>
  </si>
  <si>
    <t>ankidroid-Anki-Android-2793</t>
  </si>
  <si>
    <t>card wouldn't change decks</t>
  </si>
  <si>
    <t>Originally reported on Google Code with ID 1891
What steps will reproduce the problem?
2.change its associated deck
4.check deck for card
What is the expeed output? What do you see instead?
Card should change deck
Does it happen again every time you repeat the steps above? Or did it
happen only one time?
this is very rare occurrence which have only seen it happen with one card, though
the issue with that card was ongoing. use Ankidroid extensively every day and have
been using it for about months. never saw this issue with any other cards.
What version of AnkiDroid are you using? 2.0.2.b6 (Decks list menu About Look
On what version of Android? 4.3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want to put more of description so it is clear what happened. have temporary
holding deck where initially put cards when they re first made before they re checked</t>
  </si>
  <si>
    <t>ankidroid-Anki-Android-2789</t>
  </si>
  <si>
    <t>Doubling of cards created on mobile</t>
  </si>
  <si>
    <t>Originally reported on Google Code with ID 1887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</si>
  <si>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ankidroid-Anki-Android-2787</t>
  </si>
  <si>
    <t>com.ichi2.libanki.sync.Syncer.mergeNotes  --&gt; ClassCastException: java.lang.Integer cannot be cast to java.lang.Long</t>
  </si>
  <si>
    <t>Originally reported on Google Code with ID 1885
What steps will reproduce the problem?
2.use some other apps
What is the expected output? What do you see instead?
It shouldn stop
Does it happen again every time you repeat the steps above? Or did it
happen only one time?
oh yeah,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SendLog-1.txt (https: ankidroid issue-1885 comment-0 SendLog-1.txt)</t>
  </si>
  <si>
    <t>ankidroid-Anki-Android-2784</t>
  </si>
  <si>
    <t>Images no longer display</t>
  </si>
  <si>
    <t>Originally reported on Google Code with ID 1882
often copy snapshots from pdf into flashcards. Generally, this works pretty well.
Recently, have found that many of the flashcards have made show blue boxes with
question mark wherever have pasted picture. do not know what determined which
pictures would be lost and which would not. also have no idea how to recover the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Untitled.png&lt;br&gt;! Untitled.png (https: ankidroid issue-1882 comment-0 Untitled.png)</t>
  </si>
  <si>
    <t>ankidroid-Anki-Android-2783</t>
  </si>
  <si>
    <t>Text-to-Speech Not Found on Samsung Note 3</t>
  </si>
  <si>
    <t>Originally reported on Google Code with ID 1881
What steps will reproduce the problem?
1. Turn on text-to-speech in preferences
2. Open deck and chose start reviewing
3. Problem occurs
What is the expected output? What do you see instead?
It will do one of two things. Either it will (1) have pop-up with an exclamation
point that says Text-to-Speech: No text-to-speech language available and continue
to review, or (2) go to black screen and then after while say unfortunately, AnkiDroid
has stopped If it does option number 2, then going to preference and reseting text-to-speech
seems to help some, but instead of going to the blank screen and exiting it doesn
work it just goes to option again...
Does it happen again every time you repeat the steps above? Or did it
happen only one time?
Happens every single time, either (1) or (2)...yet there may have been some kind of
initial problems with the setup because haven gotten to work at all yet. It seems
to work fine without text-to-speech though.
What version of AnkiDroid are you using? (Decks list menu About Look
On what version of Android? (Home screen menu About phone Android
If it is crash or Force close and you can reproduce it, the following</t>
  </si>
  <si>
    <t>ankidroid-Anki-Android-2782</t>
  </si>
  <si>
    <t>Doesn't bury sibling cards for next day</t>
  </si>
  <si>
    <t>Originally reported on Google Code with ID 1880
What steps will reproduce the problem?
0. Have Anki 2.0.15 or 2.0.16 on your desktop computer that you sync with.
1. Have deck that includes sibling cards.
2. Set Ankidroid for: Minimum siblings by up to 10% and Minimum sibling range:
3. Start reviewing.
4. Nevertheless still get sibling cards in the same day.
What is the expected output? What do you see instead?
Actual result: all sibling cards shown in same review session.
Does it happen again every time you repeat the steps above? Or did it
happen only one time?
What version of AnkiDroid are you using? (Decks list menu About Look
2.0.1 but also same problem with 2.0.2beta6.
When synced with Anki 2.0.15 AND OR 2.0.16 on my computer.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</si>
  <si>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ankidroid-Anki-Android-2781</t>
  </si>
  <si>
    <t>Styling differences between desktop and Android</t>
  </si>
  <si>
    <t>Originally reported on Google Code with ID 1879
What steps will reproduce the problem?
1. Create new note type with fields: letters, words, shorts, easy, definitions.
2. Create new template, where last fields are displayed conditionally using expressions
(template is attached at the end of this issue report).
3. Inside each expression add DIV with own styling (see template and styling at the
4. Create card and fill following fields: letters, words, easy, definitions.
What is the expected output? What do you see instead?
On Android see DIV between #easy .. easy expression with empty content. On
desktop application, the DIV between expressions is not displayed at all.
Does it happen again every time you repeat the steps above? Or did it
happen only one time?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</si>
  <si>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ankidroid-Anki-Android-2778</t>
  </si>
  <si>
    <t>Cards always added to my first non-default deck</t>
  </si>
  <si>
    <t>Originally reported on Google Code with ID 1876
What steps will reproduce the problem?
1. Click to Add Note
2. Enter front and back info
3. Change Note deck to something other than first deck created
4. Click Add
5. Discover Note is added to the wrong deck.
What is the expected output? What do you see instead?
Supposed to be added to the deck chose at the time of creation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</si>
  <si>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ankidroid-Anki-Android-2774</t>
  </si>
  <si>
    <t>Android requires source compatibility set to 5.0 or 6.0. Found '1.7' instead. Please use Android Tools &gt; Fix Project Properties.</t>
  </si>
  <si>
    <t>Originally reported on Google Code with ID 1872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</si>
  <si>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ankidroid-Anki-Android-2771</t>
  </si>
  <si>
    <t>app crashes when filter screen is rotated</t>
  </si>
  <si>
    <t>Originally reported on Google Code with ID 1869
What steps will reproduce the problem?
1.have app showing all decks
2.hit the filter button to show filter screen
3.without dieting cards rotate the screen
What is the expected output? What do you see instead?
it shouldn crash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</si>
  <si>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ankidroid-Anki-Android-2770</t>
  </si>
  <si>
    <t xml:space="preserve">Inaccessible collection path not fail-safe </t>
  </si>
  <si>
    <t>Originally reported on Google Code with ID 1868
What steps will reproduce the problem?
1. Use collection folder on an external SD-Card (e.g. with an ext4fs, see issue #1158
2. Stop Anki
3. Remove the SD-Card
4. Re-start Anki
What is the expected output? What do you see instead?
Anki should complain that it can find the collection.
Instead it crashes. Afais the only way to recover is to delete all app data and set
up all your configuration data, including the sync account again.
Does it happen again every time you repeat the steps above? Or did it
happen only one time?
What version of AnkiDroid are you using? (Decks list menu About Look
On what version of Android? (Home screen menu About phone Android
Also seen with the 2.1beta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</si>
  <si>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ankidroid-Anki-Android-2766</t>
  </si>
  <si>
    <t>Constant Crash on "Start Reviewing"</t>
  </si>
  <si>
    <t>Originally reported on Google Code with ID 1864
What steps will reproduce the problem?
2.Select ANY Deck
3.Select Start Reviewing
What is the expected output? What do you see instead?
Expected output: Start reviewing normally
What do see instead: System displays: Unfortunately, the application AnkiDroid has
Does it happen again every time you repeat the steps above? Or did it
happen only one time?
It happens every time. have tried to sync my deck, it seems to sync normally but
the problem continues. have tried to uninstall the application and reinstall it,
but the previous decks were automatically found and loaded, and the problem continues.
have also tried different decks but the problem continues to happen.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On Android 4.3 the application SendLog doesn work, and can get the log this way.</t>
  </si>
  <si>
    <t>ankidroid-Anki-Android-2765</t>
  </si>
  <si>
    <t>AnkiDroid crashes when clicking on "Start Reviewing" at any deck.</t>
  </si>
  <si>
    <t>Originally reported on Google Code with ID 1863
What steps will reproduce the problem?
1. Open AnkiDriod
2. Select any deck
3. Click Start Reviewing.
What is the expected output? What do you see instead?
Instead see: An error message pops up and says that Unfortunately, AnkiDroid has
stopped working. And it crashes.
Does it happen again every time you repeat the steps above? Or did it
happen only one time?
Yes, every time.
What version of AnkiDroid are you using? (Decks list menu About Look
AnkiDroid v2.0.1 (latest, released on Oct, 2013)
On what version of Android? (Home screen menu About phone Android
Android version 4.3 (Stock)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</si>
  <si>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ankidroid-Anki-Android-2764</t>
  </si>
  <si>
    <t xml:space="preserve">  Unable to see the list of  all cards for a separate deck</t>
  </si>
  <si>
    <t>Originally reported on Google Code with ID 1862
am using Ankidroid with two devices Samsung Galaxy Note and Samsung Galaxy Tab
10,1. At Anki version for Galaxy Note there is an option to see the list of cards
for any separate deck, but this option isn available in Tab version of Ankidroid.
There is also no option to sort cards in the list of cards using alphabet, what think
would help to see whether new word is already in the list or not.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</si>
  <si>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ankidroid-Anki-Android-2759</t>
  </si>
  <si>
    <t>AnkiDroid doesn't sync all media for cards with cloze-deletions in LaTeX.</t>
  </si>
  <si>
    <t>Originally reported on Google Code with ID 1857
What steps will reproduce the problem?
1. On Desktop, create card with cloze deletion within LaTeX. e.g. latex frac c1::1 c2::2
2. Click Unused Media or Check Media from Desktop.
3. Verify that the proper png files are created in the Anki directory on Desktop.
4. Sync on Desktop.
5. Sync on AnkiDroid.
6. Attempt to view the cards on AnkiDroid.
What is the expected output? What do you see instead?
Since Anki on the desktop has created all relevant media, you expect to see the images
rendered properly on AnkiDroid. Instead you see an image-not-found icon.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</si>
  <si>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ankidroid-Anki-Android-2755</t>
  </si>
  <si>
    <t>Text center aligned should be left aligned</t>
  </si>
  <si>
    <t>Originally reported on Google Code with ID 1853
What steps will reproduce the problem?
1. Review any card
What is the expected output? What do you see instead?
Expect field text to be left aligned as on PC version. All fields are center aligned
so the formatting is really messed up.
Does it happen again every time you repeat the steps above? Or did it
happen only one time?
Every time since moved to V2.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</si>
  <si>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ankidroid-Anki-Android-2754</t>
  </si>
  <si>
    <t>Search wildcards * and _ do not work with fields - cannot cram with ankidroid</t>
  </si>
  <si>
    <t>Originally reported on Google Code with ID 1852
What steps will reproduce the problem?
1. In the search filed enter myfield:text* or myfield:text
What is the expected output? What do you see instead?
Expect to select cards that match the search but it does not work i.e. card with
myfield set to text1 should be displayed.
No cards are displayed.
This also fails in the create filtered deck so have to export my deck and go back
to the PC version for cramming.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</si>
  <si>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ankidroid-Anki-Android-2751</t>
  </si>
  <si>
    <t>AnkiDroid crashes every time I tap "Start Reviewing," no matter what deck I try to open.</t>
  </si>
  <si>
    <t>Originally reported on Google Code with ID 1849
What steps will reproduce the problem?
1. Select any deck from the main menu screen. To simplify this issue, only have
two decks that made myself in August in Anki 2.0.12
2. Select Start Reviewing.
What is the expected output? What do you see instead?
After select Start Reviewing, expect to see the first card in my deck for that
day. Instead, the screen stays still for couple seconds, then goes black for few
seconds. After that am back in my phone main menu screen and there is message
indicating that AnkiDroid has crashed.
Does it happen again every time you repeat the steps above? Or did it
happen only one time?
It happens every time. used AnkiDroid for about two weeks--starting in August 2013--before
this happened, and it worked great. One day tried to edit typo in card using
the AnkiDroid interface. After that, the program ran but felt unstable for few minutes,
then this crash happened. Now, as said above, can open any deck without the
What version of AnkiDroid are you using? (Decks list menu About Look
On what version of Android? (Home screen menu About phone Android
If it is crash or Force close and you can reproduce it, the following
would help immensely: 1) Install the SendLog app, 2) Reproduce the crash,</t>
  </si>
  <si>
    <t>ankidroid-Anki-Android-2750</t>
  </si>
  <si>
    <t xml:space="preserve">Sync Failure: SQLiteDatabaseLockedException </t>
  </si>
  <si>
    <t>Originally reported on Google Code with ID 1848
What steps will reproduce the problem?
1.Attempt to sync with ANKI web.
2.Sync will fail with decks differ on ankiweb in such way that they can be merged.
3.Choose Upload or Download, (I ve mostly been trying download)
5.Sync fails with database error. ve tried all the options (on the non beta version
of the app) and nothing seems to work.
What is the expected output? What do you see instead?
Expected sync from anki web, received failure.
Does it happen again every time you repeat the steps above? Or did it
happen only one time?
What version of AnkiDroid are you using? (Decks list menu About Look
(also tried on V2.0.1 before trying the beta, same results.)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am going to see if can reproduce this in the emulator to try to narrow down if</t>
  </si>
  <si>
    <t>ankidroid-Anki-Android-2749</t>
  </si>
  <si>
    <t>Apparently 2.0.2 Beta 2 doesn't respect the "default font" setting</t>
  </si>
  <si>
    <t>Originally reported on Google Code with ID 1847
What steps will reproduce the problem?
1. Put font into the app folder fonts folder
2. Choose the font as the default font in the settings
3. Start using the app, apparently the font you chose isn used.
What is the expected output? What do you see instead?
The selected font should be used.
Does it happen again every time you repeat the steps above? Or did it
happen only one time?
Every stinkin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use unicode font (SIL Charis) and unicode keyboard to add combining diacritic
characters which appear properly in the unicode font. In 2.0.2 Beta apparently the
default font setting isn respected because when using the app the SIL Charis font</t>
  </si>
  <si>
    <t>ankidroid-Anki-Android-2748</t>
  </si>
  <si>
    <t>nmnmbnkj</t>
  </si>
  <si>
    <t>Originally reported on Google Code with ID 1846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</si>
  <si>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ankidroid-Anki-Android-2747</t>
  </si>
  <si>
    <t>Activities restart on rotation in Android 3.2+</t>
  </si>
  <si>
    <t>Originally reported on Google Code with ID 1845
What steps will reproduce the problem?
1. Start making new card. Write some data in the fields.
2. Rotate the device
3. The entered data is lost on rotation. After the rotation the fields are blank.
What is the expected output? What do you see instead?
The data should survive rotation. Instead the fields are blank.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</si>
  <si>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ankidroid-Anki-Android-2745</t>
  </si>
  <si>
    <t>the cards i type online are reversed on mobile when synced</t>
  </si>
  <si>
    <t>Originally reported on Google Code with ID 1843
What steps will reproduce the problem?
1.create deck with cards online
2.sync the deck to your mobile anki app
3.try to study the deck the cards will be reversed
What is the expected output? What do you see instead?
would hope the front of the card online would be the front in the mobile app. see
just the opposite see the back instead of the front when synced from online
Does it happen again every time you repeat the steps above? Or did it
happen only one time? happens everytime
What version of AnkiDroid are you using? (Decks list menu About Look
On what version of Android? (Home screen menu About phone Android
version)2.0.1 on mobile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</si>
  <si>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ankidroid-Anki-Android-2742</t>
  </si>
  <si>
    <t>Tapping back while collection is still loading causes crash</t>
  </si>
  <si>
    <t>Originally reported on Google Code with ID 1840
On AnkiDroid 2.0.2beta1, tapping the back button while the collection is still loading
(during splash screen) will crash AnkiDroid.</t>
  </si>
  <si>
    <t>ankidroid-Anki-Android-2740</t>
  </si>
  <si>
    <t>Modifying # new cards for one deck changes # new cards for all decks</t>
  </si>
  <si>
    <t>Originally reported on Google Code with ID 1838
What steps will reproduce the problem?
1. Select Deck Deck Preferences New Cards
2. Specify New cards day
3. Observe that all decks share the same New cards day
What is the expected output? What do you see instead?
was hoping to have one deck with 15 new cards day and one deck with 25 new cards day,
but it doesn seem to be possible when they all share the same setting.
Does it happen again every time you repeat the steps above? Or did it
happen only one time?
What version of AnkiDroid are you using? (Decks list menu About Look
On what version of Android? (Home screen menu About phone Android
Anki v2.0.1 on Android 4.3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</si>
  <si>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ankidroid-Anki-Android-2739</t>
  </si>
  <si>
    <t>Replace Mustache with libanki.template</t>
  </si>
  <si>
    <t>Originally reported on Google Code with ID 1837
What steps will reproduce the problem?
1.The first time is random, but after that the same deck will not work until finish
the deck on my desktop.
What is the expected output? What do you see instead?
Expected output: To see the Question part of the card
This could be related to corrupt database or to insufficient disc space. If it happens
more often, please try to check the database, repair the collection or restoring it
from backup. Click on options for that. Nevertheless, it could be an AnkiDroid
bug as well please report the error that we can check this.
Does it happen again every time you repeat the steps above? Or did it
happen only one time?
It seems to happen when get to card and then it crashes everytime, until do some
cards on my desktop and then sync and then it seems to be fine.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</si>
  <si>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ankidroid-Anki-Android-2734</t>
  </si>
  <si>
    <t>Cards failed shortly before new day will always be marked as leech</t>
  </si>
  <si>
    <t>Originally reported on Google Code with ID 1832
What steps will reproduce the problem?
1. Fail card few minutes before new Anki day begins.
What is the expected output? What do you see instead?
Card is always marked as leech, regardless of its failed count.
Does it happen again every time you repeat the steps above? Or did it
happen only one time?
Happens every time with every card.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</si>
  <si>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ankidroid-Anki-Android-2733</t>
  </si>
  <si>
    <t>Syncing issues with AnkiDroid</t>
  </si>
  <si>
    <t>Originally reported on Google Code with ID 1831
** What steps will reproduce the problem?
The problem is unfortunately intermittent. be tempted to blame the AnkiWeb server,
except that Anki for Windows usually can successfully sync when my phone cannot--both
over the same WiFi network. It actually working at the moment, but has been an intermittent
issue for the last several weeks.
1. Hit Sync on AnkiDroid, especially after doing few reviews.
2. It will either hang early on in the sync process, at 0K up and 0K down.
3. The usual result is that it will eventually simply give failure message saying
sync has failed. Alternately, at least once it crept up by few K, then failed--corrupting
the deck and giving the options of restoring from backup or doing full sync from
** What is the expected output? What do you see instead?
but once deck corruption.
** Does it happen again every time you repeat the steps above? Or did it
happen only one time?
It happened intermittently over the last few weeks.
** What version of AnkiDroid are you using? (Decks list menu About Look
** On what version of Android? (Home screen menu About phone Android
If it is crash or Force close and you can reproduce it, the following
would help immensely: 1) Install the SendLog app, 2) Reproduce the crash,</t>
  </si>
  <si>
    <t>ankidroid-Anki-Android-2726</t>
  </si>
  <si>
    <t>Crash when start review on AnkiDroid</t>
  </si>
  <si>
    <t>Originally reported on Google Code with ID 1824
Always that start review the app crashes. Uninstalled and removed the directory and
with the fresh new version the default card stack also crash when start review.</t>
  </si>
  <si>
    <t>ankidroid-Anki-Android-2719</t>
  </si>
  <si>
    <t>Ankidroid force closing on Andoid 4.3</t>
  </si>
  <si>
    <t>Originally reported on Google Code with ID 1817
What steps will reproduce the problem?
1. Launch Ankidroid
2. Starting Study Session causes force close
Does it happen again every time you repeat the steps above? Or did it
happen only one time?
Happens every time. ve cleared app data, cleared databases, resynced, but it always
crashes. Even crashes with an empty study deck.
What version of AnkiDroid are you using?
ve tried both the latest 2.0.1 and the latest 2.1 Alpha.
On what version of Android?
4.3 (on Nexus 4, build JSS15J, the latest AOSP build).
ve sent the crash logs via the reporting tool.
haven seen any further reports due to this, and imagine this happens lot during
new Android version releases, but it would be nice if could continue studying my
Thanks for the great work so far!</t>
  </si>
  <si>
    <t>ankidroid-Anki-Android-2718</t>
  </si>
  <si>
    <t>Crash when trying to review a deck on Nook Simple Touch</t>
  </si>
  <si>
    <t>Originally reported on Google Code with ID 1816
Whenever try to review deck, the screen starts to flicker (sometimes briefly shows
Opening collection, please wait and then it returns back to the deck screen (the
one with the Start Reviewing button).
Does it happen again every time you repeat the steps above? Or did it
happen only one time?
Happened with few, imported decks of my own, and with the Default deck with cards.
What version of AnkiDroid are you using? (Decks list menu About Look
Tried 2.0.1 (currently available at Google Play) and the 2.1 alpha4 version from google
On what version of Android? (Home screen menu About phone Android
Rooted 2.1 on Nook Simple Touch.
If it is crash or Force close and you can reproduce it, the following
would help immensely: 1) Install the SendLog app, 2) Reproduce the crash,
3) Immediately after, launch SendLog, 4) Attach the resulting file to this
report. That will make the bug much easier to fix.
was unable to open any deck for reviewing. To isolate the issue, have restored
the device to the factory state, rooted, installed anki 2.1 alpha4, added cards to
the Default deck. Now the Default deck still won open. The same thing happens when
import my personal decks none of them will open for reviewing.
have an SD card also tried to force anki to use internal memory (with no luck).</t>
  </si>
  <si>
    <t>ankidroid-Anki-Android-2717</t>
  </si>
  <si>
    <t>Bad rendering of Bengali signs in "superscript" and "subscript" areas in Jelly Bean 4.3</t>
  </si>
  <si>
    <t>Originally reported on Google Code with ID 1815
What steps will reproduce the problem?
1. Use any cards with Bengali Bangla characters in the superscript or subscript zone,
e.g. and think the attached package should demonstrate the problem.
2. Make sure you re running in Jelly Bean 4.3. (duplicated after updating my Nexus
to 4.3 from the previous version of Jelly Bean).
3. Enter review.
What is the expected output? What do you see instead?
Whereas the swoosh at the bottom in img1.png and the bird s-eye at the top in img2.png
should be directly adjacent to the letters, as they are in the attached images. In
AnkiDroid on 4.3, though, the swoosh renders way below the line, and the bird s-eye
renders way above.
Does it happen again every time you repeat the steps above? Or did it
happen only one time?
It happens consistently.
What version of AnkiDroid are you using? (Decks list menu About Look
On what version of Android? (Home screen menu About phone Android
AnkiDroid 2.0.1 Android 4.3
If it is crash or Force close and you can reproduce it, the following
would help immensely: 1) Install the SendLog app, 2) Reproduce the crash,</t>
  </si>
  <si>
    <t>ankidroid-Anki-Android-2716</t>
  </si>
  <si>
    <t>UTF8 chars hosed on import</t>
  </si>
  <si>
    <t>Originally reported on Google Code with ID 1814
What steps will reproduce the problem?
1. Create my German cards in Anki windows. Umlauts look good!
2. Export to German Voc.apkg
3. Copy file to the AnkiDroid folder on the droid
4. Import said card file into AnkiDroid
What is the expected output? What do you see instead?
Special German chars like vowels with umlauts are replaced with ANSI char pairs.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German Voc.apkg (https: ankidroid issue-1814 comment-0 German Voc.apkg)</t>
  </si>
  <si>
    <t>ankidroid-Anki-Android-2714</t>
  </si>
  <si>
    <t>LaTeX not rendered: [$]Y_{i}[/$] and similar</t>
  </si>
  <si>
    <t>Originally reported on Google Code with ID 1812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</si>
  <si>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ankidroid-Anki-Android-2710</t>
  </si>
  <si>
    <t>Ankidroid downloads media again and again</t>
  </si>
  <si>
    <t>Originally reported on Google Code with ID 1808
What steps will reproduce the problem?
1. Synching Ankidroid takes hours.
2. Ankidroid downloads the entire media catalogue repeatedly, uses up all data bandwidth
(media is over 200 MB). It says:
Receiving media from server...
checking media counts...
3. It seems the entire media catalogue is downloaded again on every sync.
Does it happen again every time you repeat the steps above? Or did it
happen only one time?
This happens during each sync since installed Anki on Android.
What version of AnkiDroid are you using? (Decks list menu About Look
Latest AnkiDroid from 15. July 2013.
On what version of Android? (Home screen menu About phone Android
2.3.6 on Samsung Galaxy Ace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</si>
  <si>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ankidroid-Anki-Android-2706</t>
  </si>
  <si>
    <t>Stays at splash screen forever</t>
  </si>
  <si>
    <t>Originally reported on Google Code with ID 1804
What steps will reproduce the problem?
1. Just open the app, it doesn open
What is the expected output? What do you see instead?
Does it happen again every time you repeat the steps above? Or did it
happen only one time?
It happens randomly.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</si>
  <si>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ankidroid-Anki-Android-2702</t>
  </si>
  <si>
    <t>Note type error</t>
  </si>
  <si>
    <t>Originally reported on Google Code with ID 1800
What steps will reproduce the problem?
1.When we add the words, we select Note Type and Deck.
2.If select Certain Note type and add word, go to Browse
3. Check the word that added just now. You could see the note type of the word changed
to another Note type. Please check attached files.
What is the expected output? What do you see instead?
Does it happen again every time you repeat the steps above? Or did it
happen only one time?
Sometimes it happens. Not that often..but at least three times week guess.
What version of AnkiDroid are you using? (Decks list menu About Look
On what version of Android? (Home screen menu About phone Android
version) made mistake. edit the words in the computer. Not cell phone.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Photo 1.jpg (https: ankidroid issue-1800 comment-0 Photo 1.jpg)
Attachment: Photo 2.jpg (https: ankidroid issue-1800 comment-0 Photo 2.jpg)</t>
  </si>
  <si>
    <t>ankidroid-Anki-Android-2697</t>
  </si>
  <si>
    <t>Crash on media sync with special characters in file name</t>
  </si>
  <si>
    <t>Originally reported on Google Code with ID 1795
Details initially reported in Issue 1743, but creating new issue in order to not take
over the original bug described there.
Crash report: http: view crash?crash id 4994028
failed to reproduce it with file named b+ $! .jpg so there must be more
Would you be able to provide more details about your device and the exact steps you
take to trigger the crash? like to know how you first got file with that name
on your device (USB, sync from desktop, etc), and whether it works on the desktop client.
Can you also tell us the language set in AnkiDroid and the system language as well?</t>
  </si>
  <si>
    <t>ankidroid-Anki-Android-2696</t>
  </si>
  <si>
    <t>Anki crashes on Nook HD+ when syncing / attempting to Repair Database</t>
  </si>
  <si>
    <t>Originally reported on Google Code with ID 1794
What steps will reproduce the problem?
1. Merely sync the Deck after inputting your account details and failure occurs.
2. Attempting the Repair Database option causes the entire app to crash.
What is the expected output? What do you see instead?
1. An error occurs, labelled:
Does it happen again every time you repeat the steps above? Or did it
happen only one time?
1. Yes. Every time. This is separate from the Repair Database crashing however as
an error is created doing this, where attempting to repair the database just crashes
the app. (I think they re linked? Same problem?)
2. have tried using second dummy account and the problem still occurs.
What version of AnkiDroid are you using? (Decks list menu About Look
On what version of Android? (Home screen menu About phone Android
v2.1.0 Nook HD+ Model Number: BNTV600
Please provide any additional information below.
know the B&amp;N Nook runs an awkward version of Android (Or, at least think it does)
ve had to reformat the nook couple of times, and have tried using the app while
rooted and not rooted (No hardware settings have been changed, the Nook is currently
Rooted, but doesn use any Root Apps(Although some are installed but do not have superuser</t>
  </si>
  <si>
    <t>ankidroid-Anki-Android-2692</t>
  </si>
  <si>
    <t>Strange colors while reviewing</t>
  </si>
  <si>
    <t>Originally reported on Google Code with ID 1790
What steps will reproduce the problem?
don know. started up AnkiDroid today, and the problem appears.
What is the expected output? What do you see instead?
The white AnkiDroid background is turned black, and the text is turned white. My cards
are configured to have blue background with yellow text, but now they have an orange
background with blue text.
Does it happen again every time you repeat the steps above? Or did it
happen only one time?
This is the first time it happened, and don know how to change it back.
What version of AnkiDroid are you using? (Decks list menu About Look
On what version of Android? (Home screen menu About phone Android
Ankidroid version 2.0.1
Android version 4.2.2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AnkiDroid Error.png&lt;br&gt;! AnkiDroid Error.png (https: ankidroid issue-1790 comment-0 AnkiDroid Error.png)</t>
  </si>
  <si>
    <t>ankidroid-Anki-Android-2690</t>
  </si>
  <si>
    <t>Hint button text should contain field name</t>
  </si>
  <si>
    <t>Originally reported on Google Code with ID 1788
What steps will reproduce the problem?
1. Just entering hint:MyField only show Show Hint every time
2. For old method of showing hint don know the code to make button disappear after
button clicked on as is done in new method for step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Code of old method Hint:
onclick hint ).style.display block return false
FieldName&lt; a&gt;&lt;div id hint style display: none field div&gt;&lt; div&gt;
would like to be able to use the old method of showing hint but be able to get</t>
  </si>
  <si>
    <t>ankidroid-Anki-Android-2688</t>
  </si>
  <si>
    <t>AnkiDroid does not show correct colors (card background and text) after editing decks with Anki Desktop</t>
  </si>
  <si>
    <t>Originally reported on Google Code with ID 1786
What steps will reproduce the problem?
1. Create deck with Anki Desktop
2. Edit the deck and change the background color from white to yellow
3. Edit the answers text color from default black to blue, red or green depending on
the genre of the nouns
3. Sync with AnkiWeb and then sync AnkiDroid
What is the expected output? What do you see instead?
The background color should be yellow but it shows black.
The text colors are jammed (yellow instead of blue...)
Does it happen again every time you repeat the steps above? Or did it
happen only one time? Yes, it happens with every new deck add based on the same edition
What version of AnkiDroid are you using? (Decks list menu About Look
On what version of Android? (Home screen menu About phone Android
version) This issue just refers to Android 4.1.2 running on my tablet (Samsung Galaxy
Note 10.1) AnkiDroid works fine with Android 2.3.4 on my smartphone (Samsung Galaxy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</si>
  <si>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ankidroid-Anki-Android-2686</t>
  </si>
  <si>
    <t>Errors in card templates should not cause a force close</t>
  </si>
  <si>
    <t>Originally reported on Google Code with ID 1784
As in issue 1750, errors in the card template should be caught, and some useful feedback
given to the user, rather than crashing.
Here is an example crash from 1750:</t>
  </si>
  <si>
    <t>ankidroid-Anki-Android-2681</t>
  </si>
  <si>
    <t xml:space="preserve">Ankidroid crashes with invalid or inaccessible collection path </t>
  </si>
  <si>
    <t>Originally reported on Google Code with ID 1779
What steps will reproduce the problem?
1. Change the collection path to one that is invalid. This is easy to do since the
path has to be typed in by hand.
2. Exit Ankidroid.
3. Restart Ankidroid. It will crash leaving the user no way to correct the collection
What is the expected output? What do you see instead?
would expect the app to fail more gracefully, saying collection path is invalid
and to allow the user to correct it through the apps GUI.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only way to correct an invalid collection path setting is to delete the app and
Being able to browse to the collection and set the path that way would greatly help.</t>
  </si>
  <si>
    <t>ankidroid-Anki-Android-2680</t>
  </si>
  <si>
    <t>Freezes then Crashes after ~40 cards</t>
  </si>
  <si>
    <t>Originally reported on Google Code with ID 1778
What steps will reproduce the problem?
1. just simply do the cards like normal then after hit any of the good, very good,
etc bottons it just freezes and then crash screens comes up giving me the option
to either close or report but not wait.
What is the expected output? What do you see instead?
Not to freeze?
Does it happen again every time you repeat the steps above? Or did it
happen only one time?
All the time recently
What version of AnkiDroid are you using? (Decks list menu About Look
On what version of Android? (Home screen menu About phone Android
Android Tablet 4.2.1
Tablet Type: ASUS PAD TF300T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SendLog.txt (https: ankidroid issue-1778 comment-0 SendLog.txt)</t>
  </si>
  <si>
    <t>ankidroid-Anki-Android-2678</t>
  </si>
  <si>
    <t>New LaTeX cards with cloze deletions in Anki do not display correctly in AnkiDroid</t>
  </si>
  <si>
    <t>Originally reported on Google Code with ID 1776
What steps will reproduce the problem?
1. Add new cloze card with the following:
2. Use Unused Media to generate images for the cards.
3. Synchronize Anki, and then synchronize AnkiDroid.
4. Attempt to review the new cards.
What is the expected output? What do you see instead?
should see LaTeX image, but all see is blue box. don have this problem
for LaTeX cards without cloze deletions. This is problem as of Anki 2.0.9. have
checked the media folder on my phone, and can see the new LaTeX pictures there, so
know that they re being generated and are syncing correctly.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</si>
  <si>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ankidroid-Anki-Android-2677</t>
  </si>
  <si>
    <t>Impossible to use before moving back to Europe</t>
  </si>
  <si>
    <t>Originally reported on Google Code with ID 1775
What steps will reproduce the problem?
1.Install Anki while living in foreign country
2.Come back to Europe
3.Set the time to an Europe timezone
What is the expected output? What do you see instead?
get the timezone message and can use Anki, even though my time zone and time are
correct for Europe
Does it happen again every time you repeat the steps above? Or did it
happen only one time?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</si>
  <si>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ankidroid-Anki-Android-2675</t>
  </si>
  <si>
    <t>Ankidroid doesn't show meanings!!!</t>
  </si>
  <si>
    <t>Originally reported on Google Code with ID 1773
What steps will reproduce the problem?
What is the expected output? What do you see instead?
The cards are being shown in prefixed order, from the first added fact, always in the
same way. Moreover, the cards are being shown without meanings, only words and readings
are visible. would like to fix this problem because that completely useless to
have an app like this. use ankidroid for japanese language, would like to view
my cards on android in random order and with all the infos on them, including words,
readings, meanings and notes.
Does it happen again every time you repeat the steps above? Or did it
happen only one time?
It happens all the time managed to transfer my decks on my mobile phone. Sometimes
it worked correctly but don know what was different and maybe that was another
version of the app, maybe this one have some bugs.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</si>
  <si>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ankidroid-Anki-Android-2674</t>
  </si>
  <si>
    <t>Font problems when WebView switching is disabled</t>
  </si>
  <si>
    <t>Originally reported on Google Code with ID 1772
What steps will reproduce the problem?
1. Use new v2.1-dev build
2. Use custom fonts
3. Switch on Force quick update of Webview in the settings
What is the expected output? What do you see instead?
The fonts set up in the style should be used.
They are not.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can easily switch between the view with the fonts Quick update off and with just
the standard font (Droid Sans ?) with Quick update on.
Apart from that the quick update seems to work</t>
  </si>
  <si>
    <t>ankidroid-Anki-Android-2673</t>
  </si>
  <si>
    <t>Edit to customize displays at the top of some cards during review</t>
  </si>
  <si>
    <t>Originally reported on Google Code with ID 1771
What steps will reproduce the problem?
1. Create new card with the foreign language word on card and the English word
on card selecting the option to create reverse cards automatically.
2. When the card displays and prompts for you to guess at what card displays, the
Edit to customize words display.
What is the expected output? should not see the words Edit to customize It is
annoying when trying to review deck of cards.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</si>
  <si>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ankidroid-Anki-Android-2670</t>
  </si>
  <si>
    <t>LaTeX not rendering, broken image-like symbol</t>
  </si>
  <si>
    <t>Originally reported on Google Code with ID 1768
What steps will reproduce the problem?
1. Creating flashcard with LaTeX
What is the expected output? What do you see instead?
Broken image-like symbol
Does it happen again every time you repeat the steps above? Or did it
happen only one time?
What version of AnkiDroid are you using? (Decks list menu About Look at the title)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</si>
  <si>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ankidroid-Anki-Android-2668</t>
  </si>
  <si>
    <t>Sync error when router time/date incorrect.</t>
  </si>
  <si>
    <t>Originally reported on Google Code with ID 1766
What steps will reproduce the problem?
1. Wireless router set to the wrong time (eg. incorrect adjustment for daylight savings
2. Sync in ankidroid give sync error Sync works fine on ankimobile.
3. Set router to correct time, sync works properly.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</si>
  <si>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ankidroid-Anki-Android-2660</t>
  </si>
  <si>
    <t>Card created on Ankiweb shows &amp;nbsp;</t>
  </si>
  <si>
    <t>Originally reported on Google Code with ID 1758
What steps will reproduce the problem?
1. Create card on Anki server.
2. Use Ankidroid to sync with Anki server.
3. Open the deck on Ankidroid to find it not usable and full of &amp;nbsp everywhere.
What is the expected output? What do you see instead?
One should see the exact card made on Anki server.
Does it happen again every time you repeat the steps above? Or did it
happen only one time?
It happens all the time making Ankidroid itself obsolete and useless if syncing does
not render usable cards.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ve looked all over the internet for fix and it seems like the only thing people
are saying is that Ankidroid needs major update.</t>
  </si>
  <si>
    <t>ankidroid-Anki-Android-2657</t>
  </si>
  <si>
    <t>Hebrew first syllable shift</t>
  </si>
  <si>
    <t>Originally reported on Google Code with ID 1755
What steps will reproduce the problem?
1.edit Hebrew card in anki on the Windows desktop including vowels (a filed font
set to Times New Roman, rtl)
2.let say that word has three consonants and three vowels (three syllables)
3. distinguish the first consonant-vowel group (syllabe) styling it (span, color:
What is the expected output? What do you see instead?
on the desktop everything looks just fine, but AnkiDroid moves the first (beginning)
consonant-vowel group to the left (the end of the word in the rtl mode)
Does it happen again every time you repeat the steps above? Or did it
happen only one time?
it happens every time. shifting font doesn help
What version of AnkiDroid are you using? (Decks list menu About Look
On what version of Android? (Home screen menu About phone Android
stable (featured on the page) and also latest beta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</si>
  <si>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ankidroid-Anki-Android-2656</t>
  </si>
  <si>
    <t>Crash when downloading shared deck</t>
  </si>
  <si>
    <t>Originally reported on Google Code with ID 1754
What steps will reproduce the problem?
1. Search for shared deck
2. Click import
3. Anki crashes on the LG Spirit 4G (ice cream sandwich)
What is the expected output? What do you see instead?
Does it happen again every time you repeat the steps above? Or did it
happen only one time?
Everytime with any deck
What version of AnkiDroid are you using? (Decks list menu About Look
On what version of Android? (Home screen menu About phone Android
just installed it today at 4pm
If it is crash or Force close and you can reproduce it, the following
would help immensely: 1) Install the SendLog app, 2) Reproduce the crash,
3) Immediately after, launch SendLog, 4) Attach the resulting file to this
report. That will make the bug much easier to fix.
sent the report
Please provide any additional information below.
Thanks for the help!!!</t>
  </si>
  <si>
    <t>ankidroid-Anki-Android-2652</t>
  </si>
  <si>
    <t>Database Error while reviewing (due to mismatched tags in template)</t>
  </si>
  <si>
    <t>Originally reported on Google Code with ID 1750
What steps will reproduce the problem?
1. Open Ankidroid
2. Start reviewing
3. Database error pops up every cards, crashes app eventually.
What is the expected output? What do you see instead?
Does it happen again every time you repeat the steps above? Or did it
happen only one time?
This happens about every three cards, every time try to review. have tried: database
repair, restore from backup, full synch, uninstall reinstall app (deleting all data
and decks)...still happens.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SendLog.txt (https: ankidroid issue-1750 comment-0 SendLog.txt)</t>
  </si>
  <si>
    <t>ankidroid-Anki-Android-2648</t>
  </si>
  <si>
    <t>NullPointerException at Reviewer.clipboardSetText</t>
  </si>
  <si>
    <t>Originally reported on Google Code with ID 1746
What steps will reproduce the problem?
1.Attempting to review any decks (anything else, such as browsing
cards works fine)2.
What is the expected output? What do you see instead?
Expect to be able to review cards. Instead, turns black and unfortunately, ankidroid
has stopped pops up
Does it happen again every time you repeat the steps above? Or did it
happen only one time?
What version of AnkiDroid are you using? (Decks list menu About Look
v2.0.1 (I have seen post with the same issue which was apparently resolved in v2.0.1,
but still seem to have this problem)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SendLog.txt (https: ankidroid issue-1746 comment-0 SendLog.txt)</t>
  </si>
  <si>
    <t>ankidroid-Anki-Android-2645</t>
  </si>
  <si>
    <t>Crash on sync if system language is Arabic</t>
  </si>
  <si>
    <t>Originally reported on Google Code with ID 1743
What steps will reproduce the problem?
What is the expected output? Sync Sucess
What do you see instead? Force Close
Does it happen again every time you repeat the steps above? Or did it
happen only one time? Every time tried reinstalling from market, no luck
What version of AnkiDroid are you using? (Decks list menu About Look
am using Anki 2.0.1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</si>
  <si>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ankidroid-Anki-Android-2644</t>
  </si>
  <si>
    <t>Lots of subdecks make AnkiDroid extremely slow</t>
  </si>
  <si>
    <t>Originally reported on Google Code with ID 1742
What steps will reproduce the problem?
1. have big collection, with more than 25.000 cards.
2. ve organized this collection in big tree (lots subdecks probably something
between 500 1000 subdecks)
3. when try to use ankidroid, it can work (crash), or, sometimes, works extremely
What is the expected output? What do you see instead?
expect ankidroid to work, but it is extremely slow. (ankimobile simply don work.
anki on PC works, but little slow)
Does it happen again every time you repeat the steps above? Or did it
happen only one time?
Yes, it happen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contacted Damien, and he says that the extense number os subdecks is probably causing</t>
  </si>
  <si>
    <t>ankidroid-Anki-Android-2641</t>
  </si>
  <si>
    <t>Font from .card{} style not applied</t>
  </si>
  <si>
    <t>Originally reported on Google Code with ID 1739
What steps will reproduce the problem?
1. Set non-standard font-family for the .card in the model style.
2. Make sure the font is installed in AnkiDrid fonts
What is the expected output? What do you see instead?
The font should be used to show text where no other font is set.
Instead, some standard font (DroidSans?) is used.
Does it happen again every time you repeat the steps above? Or did it
happen only one time?
Every time. But think it wasn like this in the past.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Relevant bits from the style:
.card font-family: Moon font
.nhg font-family: Moon font</t>
  </si>
  <si>
    <t>ankidroid-Anki-Android-2639</t>
  </si>
  <si>
    <t>Freeze while syncing (Ipod ver.)</t>
  </si>
  <si>
    <t>Originally reported on Google Code with ID 1737
What steps will reproduce the problem?
1. try to start syncing my database to the anki cloud
What is the expected output? What do you see instead?
It has beed syncing for hours, unable to cancel or doing anything.
If reopen the software, it is still syncing.
Does it happen again every time you repeat the steps above? Or did it
happen only one time?
Only happened once. have been using it for month.
What version of AnkiDroid are you using? (Decks list menu About Look
Im not sure, should be the latest since the OS wont tell me to update.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</si>
  <si>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ankidroid-Anki-Android-2638</t>
  </si>
  <si>
    <t>orientation not working iPhone 4</t>
  </si>
  <si>
    <t>Originally reported on Google Code with ID 1736
What steps will reproduce the problem?
1. launch anki
2. go to settings-review
3. choose either force landscape or allow either
4. go to deck, start review and it automatically goes to portrait
What is the expected output? What do you see instead?
Either use portrait or landscape view or force landscape.
Does it happen again every time you repeat the steps above? Or did it
happen only one time?
What version of AnkiDroid are you using? (Decks list menu About Look
On what version of Android? (Home screen menu About phone Android
OS 6.1.3 (10B329)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</si>
  <si>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ankidroid-Anki-Android-2637</t>
  </si>
  <si>
    <t>Crash when opening on SIII</t>
  </si>
  <si>
    <t>Originally reported on Google Code with ID 1735
What steps will reproduce the problem?
1. opening the app, crashes on opening. it used to work before the update in January
What is the expected output? What do you see instead?
Unfortunately, AnkiDroid has stopped comes up before any other screen can
Does it happen again every time you repeat the steps above? Or did it
happen only one time? everytime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running galaxy SIII GT-I9300 4.2.1 on CyanogenMod version
Attachment: SendLog.txt (https: ankidroid issue-1735 comment-0 SendLog.txt)</t>
  </si>
  <si>
    <t>ankidroid-Anki-Android-2636</t>
  </si>
  <si>
    <t>Sound not playing for some media files (probably related to accents in file name).</t>
  </si>
  <si>
    <t>Originally reported on Google Code with ID 1734
What steps will reproduce the problem?
1. Add an mp3-file named abb .mp3 or acc s.mp3 to the reply-side of card.
2. Review the card and try to play the sound.
What is the expected output? What do you see instead?
Sound should play, sound doesn play. :-)
Does it happen again every time you repeat the steps above? Or did it
happen only one time?
It happened when fixed my cards up in Anki adding sounds to this shared deck: https: ankiweb.net shared info 363046915
Had the same problem with this deck out of the box: https: ankiweb.net shared info 3239105708
Strongly suspect it has to do with the use of accents which is pretty much omnipresent
in the pronounciation (second) deck but only (thus far) with abb and acc in the
Both work fine on the desktop (OS X, latest).
What version of AnkiDroid are you using? (Decks list menu About Look
On what version of Android? (Home screen menu About phone Android
Latest version of Anki both on desktop (OS X) and Android. Running Jellybean-based
AOKP ROM (IceColdJelly).
If it is crash or Force close and you can reproduce it, the following
would help immensely: 1) Install the SendLog app, 2) Reproduce the crash,
3) Immediately after, launch SendLog, 4) Attach the resulting file to this</t>
  </si>
  <si>
    <t>ankidroid-Anki-Android-2629</t>
  </si>
  <si>
    <t>Internet connection error</t>
  </si>
  <si>
    <t>Originally reported on Google Code with ID 1727
What steps will reproduce the problem?
1. When try and download persnal shared decks, the app can connect to the internet
and comes up with connection error, even when am connected to the internet. (Kindle
2. can#t find the individual Anki decks to put onto the kindle manually.
What is the expected output? What do you see instead?
expect to be connected to my online account so can download decks.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</si>
  <si>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ankidroid-Anki-Android-2628</t>
  </si>
  <si>
    <t>changing the path causes fault and never works again</t>
  </si>
  <si>
    <t>Originally reported on Google Code with ID 1726
What steps will reproduce the problem?
1. using AnkiDroid to memorise some personal stuff and dont want that personal
decks in my phone. So im changing path to UsbDrive in Galaxy S3.
2. In first working it works well. But if you work AnkiDroid without UsbDrive it gives
fault and never works again.
3.even you plug your UsbDrive it wont work.At previous versions didn see that problem.
What is the expected output? What do you see instead?
Its not working. expect if you dont use UsbDrive it still works so can change the
path to phone drive.
Does it happen again every time you repeat the steps above? Or did it
happen only one time?
tried many times and result was the same. And please add password support to phone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</si>
  <si>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ankidroid-Anki-Android-2625</t>
  </si>
  <si>
    <t>Cloze back card ""Correct answer was: " does not show on 4.1.2v Droid. It does show on desktop. Need the answer.</t>
  </si>
  <si>
    <t>Originally reported on Google Code with ID 1723
What steps will reproduce the problem?
1.Sync my desktop to AnkiDroid on Samsung G2
2.No problem seeing Correct answer was:
3. AnkiDroid shows the answer typed, red wrong green correct but does not show the
correct answer was line that get on my desktop.
What is the expected output? What do you see instead?
Correct answer was:
see nothing in AnkiDroid
Does it happen again every time you repeat the steps above? Or did it
happen only one time? Everytime
What version of AnkiDroid are you using? (Decks list menu About Look
to V2.08 with no improvement after sync Anki desktop with AnkiDroid.....
On what version of Android? (Home screen menu About phone Android
version) Android version: 4.1.2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</si>
  <si>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ankidroid-Anki-Android-2619</t>
  </si>
  <si>
    <t>New Cards from Anki2 Doesn't Show a New Sentence for Each Line</t>
  </si>
  <si>
    <t>Originally reported on Google Code with ID 1717
What steps will reproduce the problem?
1.after click add on anki2 desktop then add new card
2.sync new card to ankidroid
What is the expected output? What do you see instead?
expect the new card on Ankidroid to look exactly like the desktop. Instead of seeing
new line for each sentence. see all sentences clumped together consecutively with
no spacing. New sentences are only separated by div&gt;&lt;div&gt; instead of blank space.
However, old Anki cards from the original desktop version (not anki2) are fine and
show up on ankidroid as they should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</si>
  <si>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ankidroid-Anki-Android-2615</t>
  </si>
  <si>
    <t>Unnecessary white space in cards created with "Image Occlusion 2.0" addon</t>
  </si>
  <si>
    <t>Originally reported on Google Code with ID 1713
What steps will reproduce the problem?
1. Create card in Anki Desktop using Image Occlusion 2.0
2. Open the card in AnkiDroid
What is the expected output? What do you see instead?
**I should see that the image is placed at the top of the screen on my mobile device.
However, now there is significant amount of white space above the image, causing
part of the image to be outside the screen. On iPhone devices all cards created with
Image Occlusion appear to be shown properly.
The problem is illustrated in the attached image.
Does it happen again every time you repeat the steps above? Or did it happen only one
**It happens consistently.
What version of AnkiDroid are you using? (Decks list menu About Look
On what version of Android? (Home screen menu About phone Android
**Android 4.2.2 with CyanogenMod 10.1
If it is crash or Force close and you can reproduce it, the following
would help immensely: 1) Install the SendLog app, 2) Reproduce the crash,
3) Immediately after, launch SendLog, 4) Attach the resulting file to this
report. That will make the bug much easier to fix.
**The program does not crash.</t>
  </si>
  <si>
    <t>ankidroid-Anki-Android-2612</t>
  </si>
  <si>
    <t>Occasional crash playing audio when using the undo function</t>
  </si>
  <si>
    <t>Originally reported on Google Code with ID 1710
haven noticed any pattern for reproduction unfortunately, but it happens quite frequently</t>
  </si>
  <si>
    <t>ankidroid-Anki-Android-2606</t>
  </si>
  <si>
    <t>Some unicode (utf8) Chinese radicals appear as boxes</t>
  </si>
  <si>
    <t>Originally reported on Google Code with ID 1704
What steps will reproduce the problem?
1. have only had this occur with two characters so far: and created the card
on anki desktop (where these characters display with no problem.
2. synced my phone (rooted samsung droid charge) via ankiweb.
3. found that, both in testing mode and in browse mode, these characters do not appear
What is the expected output? What do you see instead? When enter or into card
it is replaced with blank rectangle.
Does it happen again every time you repeat the steps above? Or did it
happen only one time? It happens every time.
What version of AnkiDroid are you using? (Decks list menu About Look
On what version of Android? (Home screen menu About phone Android
version) There is not section labeled Android version in my menu. Firmware version
is 2.3.6, Kernel version is 2.6.35.7-FP5, Build number is SCH-I510.FP1. Is that sufficient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</si>
  <si>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ankidroid-Anki-Android-2603</t>
  </si>
  <si>
    <t>font color for selected words differs between Android one one hand and Linux and WebAnki on the other hand</t>
  </si>
  <si>
    <t>Originally reported on Google Code with ID 1701
What steps will reproduce the problem?
1. Use Anki client under Linux (Ubuntu 11.04): create card with some words colored
differently than the default color using GUI Set Foreground dialog.
2. Sync to the web server. The colors of the words remain the same on web client as
3. Sync onto an Android device
4. The colors of the words change on Android (HTC Droid Incredible, CynogenMod 7.2.0).
What is the expected output?
The colors of the words on flashcards on all devices should be the same
What do you see instead?
Notice that if one looks in HTML source under Linux and Android the blue color is represented
as &lt;font color #0000FF as it should if RGB color model is used. But apparently something
else is used on Android and that hex is interpreted differently.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</si>
  <si>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ankidroid-Anki-Android-2602</t>
  </si>
  <si>
    <t>card details repeats front word</t>
  </si>
  <si>
    <t>Originally reported on Google Code with ID 1700
What steps will reproduce the problem?
1. open deck list
2. hold down on card to bring up card menu popup
3. click card details
What is the expected output? What do you see instead?
If the front word was Foo, and the back word was Bar, would expect to see:
In other words, the Answer has the Front word before the Back word when it should only
have the Back word.
Does it happen again every time you repeat the steps above? Or did it
happen only one time?
What version of AnkiDroid are you using? (Decks list menu About Look
On what version of Android? (Home screen menu About phone Android
2.0.1 on Jelly Bean.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</si>
  <si>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ankidroid-Anki-Android-2601</t>
  </si>
  <si>
    <t>display list in the browser doesnt show reverse</t>
  </si>
  <si>
    <t>Originally reported on Google Code with ID 1699
What steps will reproduce the problem?
1. open deck
2. click the list icon (3 horizontal lines)
3. observe the only the front of all cards is displayed
What is the expected output? What do you see instead?
would expect the front of Forward cards to be displayed, and the back of Reverse
cards. It is impossible to scan for card if you only know the back word. Also, there
is no column that identifies if card is reverse or forward.
Does it happen again every time you repeat the steps above? Or did it
happen only one time?
What version of AnkiDroid are you using? (Decks list menu About Look
On what version of Android? (Home screen menu About phone Android
2.0.1 on Jelly Bean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</si>
  <si>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ankidroid-Anki-Android-2598</t>
  </si>
  <si>
    <t>LaTeX with Cloze displays incorrectly</t>
  </si>
  <si>
    <t>Originally reported on Google Code with ID 1696
What steps will reproduce the problem?
1. Create Cloze note with the following content:
Formula for Gaussian pdf: $f X(x) frac c1:: sqrt pi sigma e^ frac
This is problem for other mixed LaTeX-Cloze notes as well.
2. Sync to AnkiDroid
3. Attempt to review it.
What is the expected output? What do you see instead?
The expected output is what see in Anki. It displays correctly there. In AnkiDroid,
see box with question mark for all three cards generated.
Does it happen again every time you repeat the steps above? Or did it
happen only one time?
What version of AnkiDroid are you using? (Decks list menu About Look at the title)
On what version of Android? (Home screen menu About phone Android
AnkiDroid version 2.0.1.
Android version 4.0.3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</si>
  <si>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ankidroid-Anki-Android-2597</t>
  </si>
  <si>
    <t>NullPointerException when reviewing a particular public deck</t>
  </si>
  <si>
    <t>Originally reported on Google Code with ID 1695
What steps will reproduce the problem?
1. open deck
2. start learning
3. crash of ankidroid
What is the expected output? What do you see instead?
wanted to start learning public deck deutsch englisch part but ankidroid
2.0.1 crashed after start learning
Does it happen again every time you repeat the steps above? Or did it
happen only one time?
yes,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device type: samsung galaxy s2
Attachment: SendLog.txt (https: ankidroid issue-1695 comment-0 SendLog.txt)</t>
  </si>
  <si>
    <t>ankidroid-Anki-Android-2596</t>
  </si>
  <si>
    <t>OutOfMemoryError when importing decks with huge number of cards</t>
  </si>
  <si>
    <t>Originally reported on Google Code with ID 1694
What steps will reproduce the problem?
1.open AnkiDroidv2.0.1, -&gt;import, -&gt;select Oxford Advanced Learners Dict En-En Top 0001-1000.apkg
which has 25722 notes. -&gt;Add
2. the progress dialog of importing shows: Unpacking archive done, Import of notes
3. When it comes to Import of cards there isn any progess.
What is the expected output? What do you see instead?
The expected output is to import the deck properly into AnkiDroid.
What have seen is that AnkiDroid crashed.
Does it happen again every time you repeat the steps above? Or did it
happen only one time?
Yes! The phenomenon repeats.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</si>
  <si>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ankidroid-Anki-Android-2595</t>
  </si>
  <si>
    <t>Unable to Sync with mobil phone</t>
  </si>
  <si>
    <t>Originally reported on Google Code with ID 1693
What steps will reproduce the problem?
1. Open software
2. go into tools on the right and select Sync
3. Enter login information,
screen then shows LOGGED IN AS :jeffmtl
but nothing happens. Must log out to be able to do something and the sync is not done.
What is the expected output? What do you see instead?
would like to sync information that was done or created on PC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tried reinstalling the software but the problem still occures.
Seems to refresh up Decks that have on your server the first time installed.</t>
  </si>
  <si>
    <t>ankidroid-Anki-Android-2592</t>
  </si>
  <si>
    <t>importing more than one vocabulary from another app (like a dict) causes a force-crash</t>
  </si>
  <si>
    <t>Originally reported on Google Code with ID 1690
When importing cards from another app like colordict (imports mean adding (+) and using
saved data to get the shared data), AnkiDroid 2.1alpha2 (and versions before on
Android 2.3.6) crashes when adding more than one vocab.
The added vocab is still in the saved data list maybe this causes the crash?
To add more than one vocab, have to go back twice (to the menu) and do the procedure
again. By this way, the saved data list is updated, the afore added vocab is, like
it should be, missing.
The Number of the force-crash feedback (when this is helping):</t>
  </si>
  <si>
    <t>ankidroid-Anki-Android-2583</t>
  </si>
  <si>
    <t>Image zoom distortion</t>
  </si>
  <si>
    <t>Originally reported on Google Code with ID 1681
What steps will reproduce the problem?
1. Create flashcard with text and large image underneath
2. Pinch to zoom
3. Release pinch in zoomed state
What is the expected output? What do you see instead?
When zooming expect the image to retain the same height width ratio.
Instead, it seems as if the width is fitted to the zooming while the height remains
unchanged, making the image very long and thin and in many cases unreadable.
Does it happen again every time you repeat the steps above? Or did it
happen only one time?
Happens with all image flashcards have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</si>
  <si>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ankidroid-Anki-Android-2579</t>
  </si>
  <si>
    <t>items scheduled for immediate review after clicking on one- or ten-minute review</t>
  </si>
  <si>
    <t>Originally reported on Google Code with ID 1677
What steps will reproduce the problem?
1.Fresh install v2.0.1 with new user, all settings default
2.Open any new deck
3.Show answer, select ten-minute review
What is the expected output? What do you see instead?
Expect to review word after ten minutes.. is scheduled after any new words.
Also after then selecting one hour.. immediate review.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</si>
  <si>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ankidroid-Anki-Android-2573</t>
  </si>
  <si>
    <t>[AnkiDroid triage] Re-visit the signature heuristic</t>
  </si>
  <si>
    <t>Originally reported on Google Code with ID 1671
Bug 3561092 has assigned crashes that correspond to different issue... or does it
have 113 crashes with different cause?
database is locked (code 5): retrycount exceeded was thrown,
In the same Bug, crashes 4067466, 3926164, 3929170, 3716036, 3563097, failed for
package, but between versions that is likely to be different code.
So, it could be improved by taking into account either:
The exception class, the message could contain variable data (paths, numbers), or
So for instance crash 4255054 has signature:
An crash 3926164 has signature:
Hopefully that signature could be little less version specific (i.e. the call chain
of similar crashes in different version should be the same), and help to distinguish
different crashes happening on the same line in different versions.</t>
  </si>
  <si>
    <t>ankidroid-Anki-Android-2572</t>
  </si>
  <si>
    <t>[AnkiDroid triage] Wrong Bug ids assigned to some crashes on 'Crashes Export'</t>
  </si>
  <si>
    <t>Originally reported on Google Code with ID 1670
What steps will reproduce the problem?
1. In AnkiDroid triage tool, Crashes Export
2. Open csv file, and search for crash 3519084
3. Open crash 3519084 on AnkiDroid triage
4. Compare the Bug ID in both places
What is the expected output?
Crash 3519084 has the same Bug ID in WebPage and CSV
What do you see instead?
In web interface says bug 3343159, but csv file has bug 3487097.
Please provide any additional information below.
This issue us noticeable comparing crashes counts of some bugs, for instance Bug 2583531
reports 100 less counts on Web page</t>
  </si>
  <si>
    <t>ankidroid-Anki-Android-2571</t>
  </si>
  <si>
    <t>Clicking "About" button crashes Ankidroid and can't sync, and can't delete decks</t>
  </si>
  <si>
    <t>Originally reported on Google Code with ID 1669
What steps will reproduce the problem?
1. Clicking the about button in the main screen or study screen crashes Ankidroid
2. Trying to sync results in the error message Syncing error, type: 409, message:
3. Trying to delete deck results in Anki getting stuck in deleting deck screen
(longest ve waited is 20 minutes)
Happens every time.
It the most recent version downloaded it two weeks ago from the Market but
can click the more button so can get to the About screen.</t>
  </si>
  <si>
    <t>ankidroid-Anki-Android-2570</t>
  </si>
  <si>
    <t>Parsing of incorrect field marker inconsistent</t>
  </si>
  <si>
    <t>Originally reported on Google Code with ID 1668
What steps will reproduce the problem?
1. Accidentally write three opening and two closing braces in the card template Field
2. Don notice the error because desktop Anki shows the field
3. Review card like that on AnkiDroid
What is the expected output? What do you see instead?
The field text is not show. Text after the the field also disappears.
What should happen?
Not sure. Maybe
*Parse things the way the desktop client does
*Or show an error
*Or show one opening brace and the field. (That what think would be the Right Thing.)
But think it should not eat up other fields or text from the template.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</si>
  <si>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ankidroid-Anki-Android-2568</t>
  </si>
  <si>
    <t>Changing language in Study Options causes a crash</t>
  </si>
  <si>
    <t>Originally reported on Google Code with ID 1666
What steps will reproduce the problem?
0. This is only reproducible on devices with soft-menu button on the ActionBar.
1. Open deck (going to Study Options Activity)
2. Change language:
3. Go back to Study Options Activity
4. Click menu button
What is the expected output?
Menu list is displayed
What do you see instead?
What version of AnkiDroid are you using? (Decks list menu About Look
Found on 2.0.1beta14, but exists since 2.0.
On what version of Android? (Home screen menu About phone Android
Reproduced on 4.0.4, *cannot* reproduce on 2.x with hard menu button.
Don know if it reproducible on 3.x
Triage-tool bug link:
Please provide any additional information below.
Someone more android development knowledgeable please explain to me, why this is not
happening on DeckPicker Activity if both Activities have the same menu-rebuilding logic</t>
  </si>
  <si>
    <t>ankidroid-Anki-Android-2567</t>
  </si>
  <si>
    <t>Crash when deleting deck</t>
  </si>
  <si>
    <t>Originally reported on Google Code with ID 1665
AnkiDroid 2.0.1beta14 on Android 4.2.1.
AnkiDroid has started crashing when deck (normal or filtered) is deleted on my tablet.
The same collection on my phone (Android 2.3) doesn crash.
ve attached the collection that causes this. Checking the database on the desktop
client makes the problem go away.
Attaching debugger reveals this detailed message at the point of the exception:
Couldn read row 4799, col from CursorWindow. Make sure the Cursor is initialized
correctly before accessing data from it.
Attachment: collection.zip (https: ankidroid issue-1665 comment-0 collection.zip)</t>
  </si>
  <si>
    <t>ankidroid-Anki-Android-2566</t>
  </si>
  <si>
    <t>occasionally text is not rendered and app stops responding</t>
  </si>
  <si>
    <t>Originally reported on Google Code with ID 1664
This has been persistent issue in v2 and since it doesn generate crash report
it little tricky to pinpoint. The sound file will play but no text will render
and the app will freeze with blank white screen.
Attachment: (https: ankidroid issue-1664 comment-0</t>
  </si>
  <si>
    <t>ankidroid-Anki-Android-2564</t>
  </si>
  <si>
    <t>"Custom steps" value on filtered deck is not validated</t>
  </si>
  <si>
    <t>Originally reported on Google Code with ID 1662
What steps will reproduce the problem?
1. Select Create filtered deck
2. Tick option Custom steps
3. Tap Custom steps (the second custom steps entry, i.e. the one with the text),
delete entre, tap Ok
What do you see instead?
This issue is identified as http: report crashes?bug id 4240087
on triage tool.
What version of AnkiDroid are you using?
Found on 2.0.1beta14, also present on 2.0
Please provide any additional information below.
Also note, that the app will allow me to enter whatever string there, such values
clear the existing text, but assume internally more sane value is chosen.
--&gt; This is separate issue but renaming the first Custom steps to Enable custom
steps will improve the ui.
Alternatively the interface can be reworked to use one single Custom steps entry, in
which an invalid empty value enables the default values.</t>
  </si>
  <si>
    <t>ankidroid-Anki-Android-2563</t>
  </si>
  <si>
    <t>Enabling Gestures crashes opened deck ("Study Options Fragment")</t>
  </si>
  <si>
    <t>Originally reported on Google Code with ID 1661
What steps will reproduce the problem?
0. Start application with Gestures disabled
1. Click on deck on the Deck picker
2. Enable Gestures Gestures)
3. Return to the opened deck with back keys
4. Click the Study Options Fragment (the deck name for instance)
What do you see instead?
Application crashes. This crash is identified as http: report crashes?bug id 4120065
in triage tool
What version of AnkiDroid are you using? (Decks list menu About Look
Found on 2.0.1beta14, but present on 2.0 release
Please provide any additional information below.</t>
  </si>
  <si>
    <t>ankidroid-Anki-Android-2561</t>
  </si>
  <si>
    <t>Ivona voice stopped work after turning off.</t>
  </si>
  <si>
    <t>Originally reported on Google Code with ID 1659
What steps will reproduce the problem?
1. need to turn of build in android ttx to be able to listen ttx, and than manually
change to the better ttx, after turning our need to do it again because it doesn
find the language files.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</si>
  <si>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ankidroid-Anki-Android-2560</t>
  </si>
  <si>
    <t>No TTS playback button (automatic only)</t>
  </si>
  <si>
    <t>Originally reported on Google Code with ID 1658
What steps will reproduce the problem?
1. In old version it was very useful to play text to speech by pressing the button,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</si>
  <si>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ankidroid-Anki-Android-2559</t>
  </si>
  <si>
    <t>can't edit cards in AnkiDroid</t>
  </si>
  <si>
    <t>Originally reported on Google Code with ID 1657
What steps will reproduce the problem?
1. Select edit card
2. Edit card
3. Select done
What is the expected output? What do you see instead?
Edited cards are unchanged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</si>
  <si>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ankidroid-Anki-Android-2558</t>
  </si>
  <si>
    <t>duplicates of all cards</t>
  </si>
  <si>
    <t>Originally reported on Google Code with ID 1656
What steps will reproduce the problem?
1. Use Anki 1, AnkiWeb, and previous AnkiDroid
2. Upgrade to new versions
3. Import decks
What is the expected output? What do you see instead?
There are now two of each card in each of my decks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</si>
  <si>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ankidroid-Anki-Android-2551</t>
  </si>
  <si>
    <t>Crashing of filtered desk when tts is enabled</t>
  </si>
  <si>
    <t>Originally reported on Google Code with ID 1649
What steps will reproduce the problem?
1. Preferences -&gt; Reviewing -&gt; Check Text to Speech
2. Create filterd desk
3. Start reviewing
4. Press Show Answer
What is the expected output? Ansewer
unexpectedly. Please try again.
Does it happen again every time you repeat the steps above? Or did it
happen only one time?
It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SendLog.txt (https: ankidroid issue-1649 comment-0 SendLog.txt)</t>
  </si>
  <si>
    <t>ankidroid-Anki-Android-2539</t>
  </si>
  <si>
    <t>Ankidroid 1.3 decks no longer available under 2.0</t>
  </si>
  <si>
    <t>Originally reported on Google Code with ID 1637
What steps will reproduce the problem?
1. Get upgarded to version 2.0
2. Decks that were available under 1.3 are now no longer available under 2.0
What is the expected output? What do you see instead?
expect to see decks that created in 1.3 available in 2.0.
don see any decks at all
Does it happen again every time you repeat the steps above? Or did it
happen only one time?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</si>
  <si>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ankidroid-Anki-Android-2534</t>
  </si>
  <si>
    <t>AnkiDroid crashes when home button pressed while collection reloading in StudyOptions --&gt;  java.lang.IllegalStateException: Can not perform this action after onSaveInstanceState</t>
  </si>
  <si>
    <t>Originally reported on Google Code with ID 1632
From top 10 error list on the forun</t>
  </si>
  <si>
    <t>ankidroid-Anki-Android-2530</t>
  </si>
  <si>
    <t>Card are marked as filtered but are actually contained in a regular deck</t>
  </si>
  <si>
    <t>Originally reported on Google Code with ID 1628
Not sure what causes it.
We only see the correction code taking place and marking the card as non-filtered.
This code then files triage crash so the the bug doesn go unnoticed:</t>
  </si>
  <si>
    <t>ankidroid-Anki-Android-2529</t>
  </si>
  <si>
    <t>Old decks won't load on v 2.0</t>
  </si>
  <si>
    <t>Originally reported on Google Code with ID 1627
What steps will reproduce the problem?
1. App was working fine prior to last update.
2. When app was updated to 2.0 could no longer see the decks that had previously
3. Decks now no longer show up.
What is the expected output? What do you see instead?
should see the decks that had created on the previous version, don see any
decks at all.
Does it happen again every time you repeat the steps above? Or did it
happen only one time?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</si>
  <si>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ankidroid-Anki-Android-2528</t>
  </si>
  <si>
    <t>Alternative cloze format causes crash</t>
  </si>
  <si>
    <t>Originally reported on Google Code with ID 1626
What steps will reproduce the problem?
1. Use cloze format like &lt;%cloze:...%&gt;
What is the expected output? What do you see instead?
Crashes like this one:</t>
  </si>
  <si>
    <t>ankidroid-Anki-Android-2522</t>
  </si>
  <si>
    <t>Sync Error: The time of your device is different than that of the server by 1816 sec</t>
  </si>
  <si>
    <t>Originally reported on Google Code with ID 1620
What steps will reproduce the problem?
1. Every time try to sync my decks.
What is the expected output? What do you see instead?
The time of your device is different than that of the server by 1816 sec unable to
Does it happen again every time you repeat the steps above? Or did it
happen only one time? It happens every time try to sync.
What version of AnkiDroid are you using? Ankidroid v2.0
On what version of Android? Samsung Galaxy Tab GT-P1000
If it is crash or Force close and you can reproduce it, the following
would help immensely: it not like that
Please provide any additional information below.
Sometimes instead of 1816 sec it says 1815 or 1814 sec.</t>
  </si>
  <si>
    <t>ankidroid-Anki-Android-2517</t>
  </si>
  <si>
    <t>Suspending a card results in a crash</t>
  </si>
  <si>
    <t>Originally reported on Google Code with ID 1615
What steps will reproduce the problem?
1. Starting learning.
2. Showing an answer to card.
3. Suspending the card.
What is the expected output? What do you see instead?
Does it happen again every time you repeat the steps above? Or did it
happen only one time?
99% of the time. Sometimes happens only after suspending few cards. Not necessarily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SendLog.txt (https: ankidroid issue-1615 comment-0 SendLog.txt)</t>
  </si>
  <si>
    <t>ankidroid-Anki-Android-2516</t>
  </si>
  <si>
    <t>Answers partially covered up on flashcards with images</t>
  </si>
  <si>
    <t>Originally reported on Google Code with ID 1614
What steps will reproduce the problem?
1. Create new card by dragging 300 by 300 pixel jpg image from web page to the
Front field of new card
2. Type text for the Back field of the card.
3. Study the deck with the card and view the answer screen for the card. The text from
the Back field is mostly covered up by the buttons with Again Good or Easy
To see the answer you need to drag the image up.
What is the expected output? expect the image and the answer to fully display at
the same time without being covered up by the response buttons.
What do you see instead? The answer is mostly covered by the response buttons.
Does it happen again every time you repeat the steps above? Or did it
happen only one time? It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</si>
  <si>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ankidroid-Anki-Android-2515</t>
  </si>
  <si>
    <t>Synchronization error</t>
  </si>
  <si>
    <t>Originally reported on Google Code with ID 1613
What steps will reproduce the problem?
What is the expected output? What do you see instead?
The flashcards should synchronize with my account on ankiweb. Instead the following
error message occurs: The time of your device is differen than that of the server by
3634 sec, the device time zone is possibly wrong unable to sync.
Does it happen again every time you repeat the steps above? Or did it
happen only one time?
It happens always, was never able to synchronize the decks.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</si>
  <si>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ankidroid-Anki-Android-2513</t>
  </si>
  <si>
    <t>Stuck on "opening collection"</t>
  </si>
  <si>
    <t>Originally reported on Google Code with ID 1611
What steps will reproduce the problem?
1. Open AnkiDroid.
What is the expected output? What do you see instead?
expect, after few seconds, for AnkiDroid to show me list of my decks. Instead,
the initial loading screen with the spinner stays there indefinitely.
Does it happen again every time you repeat the steps above? Or did it
happen only one time?
What version of AnkiDroid are you using? (Decks list menu About Look
Can get to the decks list to check. pretty sure it 2.0.4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ve been creating and reviewing cards on the desktop version and synchronising them
to the server, but haven been able to open them on AnkiDroid since connected it
to my sync account.</t>
  </si>
  <si>
    <t>ankidroid-Anki-Android-2509</t>
  </si>
  <si>
    <t>Portrait mode not consistent with pc formatting. landscape works just fine</t>
  </si>
  <si>
    <t>Originally reported on Google Code with ID 1607
What steps will reproduce the problem?
1. Create new deck and notes with format aligned to left in the pc application
2. Sync notes to ankidrroid latest version
What is the expected output? What do you see instead?
expected that the format will stay constant regardless if its in portrait or landscape
orientation. However, portrait mode has lot of awkward spaces while the landscape
mode,shows it as is from the file in the pc
Does it happen again every time you repeat the steps above? Or did it
happen only one time?
It happens all the time
What version of AnkiDroid are you using? (Decks list menu About Look
On what version of Android? (Home screen menu About phone Android
Android version 4.1.1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</si>
  <si>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ankidroid-Anki-Android-2505</t>
  </si>
  <si>
    <t>Attempt to "Start Reviewing" Causes AnkiDroid to Crash - NullPointerException at CompatV11.setTitle</t>
  </si>
  <si>
    <t>Originally reported on Google Code with ID 1603
What steps will reproduce the problem?
1. Pressing the Start Reviewing button on my Genki II deck.
What is the expected output? What do you see instead?
Instead of starting to review material, AnkiDroid hard crashes, throwing up the
application has stopped unexpectedly error.
Does it happen again every time you repeat the steps above? Or did it
happen only one time?
It happens every time.
What version of AnkiDroid are you using? (Decks list menu About Look
On what version of Android? (Home screen menu About phone Android
AnkiDroid version 2.0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My trouble-shooting steps thus far:
have deleted and reinstalled AnkiDroid, re-synced my decks, and followed the trouble-shooting
advice provided by Tim on the forum (https: groups.google.com msg anki-android Bxfw37 j-rw 6GQXeMTKg4YJ).</t>
  </si>
  <si>
    <t>ankidroid-Anki-Android-2502</t>
  </si>
  <si>
    <t xml:space="preserve">Menu bar has no text on it </t>
  </si>
  <si>
    <t>Originally reported on Google Code with ID 1600
What steps will reproduce the problem?
1.whenever open the software
What is the expected output? What do you see instead?
There should be some text on the menu bar. see empty bars.You can see it on the picture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Attachment: 20130114222927.png (https: ankidroid issue-1600 comment-0 20130114222927.png)
Attachment: 20130114223007.png (https: ankidroid issue-1600 comment-0 20130114223007.png)
Attachment: 20130114223029.png (https: ankidroid issue-1600 comment-0 20130114223029.png)</t>
  </si>
  <si>
    <t>ankidroid-Anki-Android-2500</t>
  </si>
  <si>
    <t>Filtered deck crash when revealing answer</t>
  </si>
  <si>
    <t>Originally reported on Google Code with ID 1598
What steps will reproduce the problem?
1.Create filtered deck
3. Click reveal answer and it crashes
What is the expected output? What do you see instead?
Expect to see answer and continue with reviewing deck. Instead it crashes and closes
Does it happen again every time you repeat the steps above? Or did it
happen only one time?
Every single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Have sent file from app itself. Can create SendLog if also required.
Please provide any additional information below.</t>
  </si>
  <si>
    <t>ankidroid-Anki-Android-2497</t>
  </si>
  <si>
    <t>Cannot delete default deck</t>
  </si>
  <si>
    <t>Originally reported on Google Code with ID 1595
What steps will reproduce the problem?
1. Go to deck list
2. Long-press the Default deck until menu appears
3. Press Delete deck
What is the expected output? What do you see instead?
The Default deck should disappear, but nothing happens. When try the deletion on
the website, message informs me that the default deck can be removed which seems
stupid (my other decks are organized by language, so what the point of having default
deck?) but even more stupid is the current AnkiDroid behavior.
Does it happen again every time you repeat the steps above? Or did it
happen only one time?
This is repeatable.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</si>
  <si>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ankidroid-Anki-Android-2496</t>
  </si>
  <si>
    <t xml:space="preserve"> sync downloads several megabytes of media even though no changes happened since last sync</t>
  </si>
  <si>
    <t>Originally reported on Google Code with ID 1594
What steps will reproduce the problem?
1. Sync deck (with media in it)
2. Do nothing.
3. Sync again.
What is the expected output? What do you see instead?
In step most of the media is downloaded again.
Does it happen again every time you repeat the steps above? Or did it
happen only one time?
It happens every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</si>
  <si>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ankidroid-Anki-Android-2495</t>
  </si>
  <si>
    <t>how do i uninstall the previous. version of ankidroid mobile version formy Samsung S3?</t>
  </si>
  <si>
    <t>Originally reported on Google Code with ID 1593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</si>
  <si>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ankidroid-Anki-Android-2492</t>
  </si>
  <si>
    <t>Unable to Copy collection.anki2 from AnkiDroid2 to Anki Desktop 2</t>
  </si>
  <si>
    <t>Originally reported on Google Code with ID 1590
What steps will reproduce the problem?
1. Create new profile on Anki Desktop
2. Copy the attached collection (which was from AnkiDroid2) to Anki Desktop 2.
3. Try to open that collection on Anki Desktop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File is 14 MB, too large. can send it through email to someone.
Please provide any additional information below.</t>
  </si>
  <si>
    <t>ankidroid-Anki-Android-2487</t>
  </si>
  <si>
    <t xml:space="preserve">I enter correct username and password but it says invalid </t>
  </si>
  <si>
    <t>Originally reported on Google Code with ID 1585
What steps will reproduce the problem?
1. Select sync accounts
2. Enter valid username and password
What is the expected output? What do you see instead?
Message says username or password is invalid.
Does it happen again every time you repeat the steps above? Or did it
happen only one time?
It happened on my android phone. Then created new user account because all the
progress want saved is on the phone so far. When try to sync on my android tablet
with the new account get the username or password is invalid message.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have ankidroid 2.0 and am using the new ankiweb.</t>
  </si>
  <si>
    <t>ankidroid-Anki-Android-2486</t>
  </si>
  <si>
    <t>Fix and enhance TTS support and settings</t>
  </si>
  <si>
    <t>Originally reported on Google Code with ID 1584
What steps will reproduce the problem?
1. Review your deck. Choose TTS languages from the popup as appropriate.
2. Close Ankidroid
3. Open deck again
What is the expected output? What do you see instead?
TTS popup appears again. On Ankidroid did not do so (setting were stored
with deck and asked only once).
Does it happen again every time you repeat the steps above? Or did it
happen only one time?
Happens on 90% of restarts.
What version of AnkiDroid are you using? (Decks list menu About Look
On what version of Android? (Home screen menu About phone Android
4.0.4 and 2.3.6 (2 different phones).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</si>
  <si>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ankidroid-Anki-Android-2485</t>
  </si>
  <si>
    <t>Sync log error: tmpSyncFromServer.zip not found</t>
  </si>
  <si>
    <t>Originally reported on Google Code with ID 1583
What steps will reproduce the problem?
1. Sync from Ankidroid client
2. Message from ankidroid:
open failed: ENOENT (No such file or directory)
What is the expected output? What do you see instead?
No error message, but get the one above.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</si>
  <si>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ankidroid-Anki-Android-2481</t>
  </si>
  <si>
    <t>Sync server time is inaccurate (for Eastern Time, USA) so that cards show up too early/twice a day.</t>
  </si>
  <si>
    <t>Originally reported on Google Code with ID 1579
What steps will reproduce the problem?
1. Go through deck for the first time, say before 12 noon
2.Sync deck at, say, 8pm
3. The next morning deck shows up.
4. This way, you have two card sessions showing up at different part of the day for
What is the expected output? What do you see instead?
It should wait till the next day, around 12 or so before showing up.
Does it happen again every time you repeat the steps above? Or did it
happen only one time? Yes, it seems to happen, and can find anywhere in the setting
to turn it off. My desktop and phone time are in sync.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</si>
  <si>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ankidroid-Anki-Android-2480</t>
  </si>
  <si>
    <t>Crash when entering blank in field where number is expected</t>
  </si>
  <si>
    <t>Originally reported on Google Code with ID 1578
What steps will reproduce the problem?
1. Enter number of new review cards as blank instead of zero
What is the expected output? What do you see instead?
Should automatically set it to zero (or raise an error)
Does it happen again every time you repeat the steps above? Or did it
happen only one time? Always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</si>
  <si>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ankidroid-Anki-Android-2476</t>
  </si>
  <si>
    <t>Installation Error Ankidroid 2.0</t>
  </si>
  <si>
    <t>Originally reported on Google Code with ID 1574
What steps will reproduce the problem?
1. Install Ankidroid from Google Play Store or from download site
What is the expected output? What do you see instead?
During Installation get error: The packet wasn signed correctly
(This is translation from German).
Does it happen again every time you repeat the steps above? Or did it
happen only one time?
Every time and also happens on Beta 23 and 2.0.1 Beta
What version of AnkiDroid are you using? (Decks list menu About 2.0 Beta 22 without
On what version of Android? 2.1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Never had any problems to install ANkidroid. This error happens from 2.0 Beta 23 onwards.
My Mobile: ZTE Blade</t>
  </si>
  <si>
    <t>ankidroid-Anki-Android-2466</t>
  </si>
  <si>
    <t>Play sound button disappears from question when answer is displayed</t>
  </si>
  <si>
    <t>Originally reported on Google Code with ID 1564
What steps will reproduce the problem?
1.open deck and view the first card where there is sound track in the question box
3.the loudspeaker icon disappears and can no longer hear the audio (this is Jap6000series)
What is the expected output? What do you see instead?
expect to be able to hear the audio, so as to hear it as read the Japanese but
Does it happen again every time you repeat the steps above? Or did it
happen only one time?
Every time, every deck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Best, tell me in simple terms how can go back to EXACTLY as it was before (I am 70
years old and can understand your horrible turgid prose in your prolix instructions)</t>
  </si>
  <si>
    <t>ankidroid-Anki-Android-2461</t>
  </si>
  <si>
    <t>malfunction of anki-data-fields</t>
  </si>
  <si>
    <t>Originally reported on Google Code with ID 1559
What steps will reproduce the problem?
1. created new deck with my Windows-PC (Anki 2.0.3),
2. synchronized it with my account Anki and than
3. synchronized it with my Android-Phone.
What is the expected output? What do you see instead?
created on my pc on the front-side of the card two type: xxx -fields, which are
used at the backside too (to compare the answers). At my PC works everything very well.
But if open the deck on my Android-Phone, it doesn work (enclosed screenshot).
For example, Ankidroid shows only one of the two input-fields. The second-one appears
as code-line. And the process of comparison doesn work also.
Does it happen again every time you repeat the steps above? Or did it
happen only one time?
What version of AnkiDroid are you using? (Decks list menu About Look
On what version of Android? (Home screen menu About phone Android
4.0.4 and the same with 4.2.1 (second phone)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</si>
  <si>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ankidroid-Anki-Android-2460</t>
  </si>
  <si>
    <t>All my old decks don't show up anymore after update. 2.0</t>
  </si>
  <si>
    <t>Originally reported on Google Code with ID 1558
What steps will reproduce the problem?
1.did not import old decks after update.
2.When try to start my .anki deck or import it program says it is not valit .apkg
file. All my decks have always been .anki
3.Kant start any of the .anki decs and have no idea what the .apkg file is.
What is the expected output? What do you see instead?
expect to see all my decks that was studdying to be there after the update. What
get is new anki with no decks.
Does it happen again every time you repeat the steps above? Or did it
happen only one time?
What version of AnkiDroid are you using? (Decks list menu About Look
On what version of Android? (Home screen menu About phone Android
now have the new 2.0 Don know what the version what that had before. But had
it set in googleplay to automaticaly update. assume its predisessor.
If it is crash or Force close and you can reproduce it, the following
would help immensely: 1) Install the SendLog app, 2) Reproduce the crash,
3) Immediately after, launch SendLog, 4) Attach the resulting file to this
report. That will make the bug much easier to fix.
It does not crash. It just didn bring over the decks was using before.</t>
  </si>
  <si>
    <t>ankidroid-Anki-Android-2454</t>
  </si>
  <si>
    <t>System crash down</t>
  </si>
  <si>
    <t>Originally reported on Google Code with ID 1552
When go to menu and change language from English to Russian
It happened only at first time, in the second time language changed without challenge.
ve Android 4.1- system language English.
sended feedback from anki, when it appear from start after crash down.</t>
  </si>
  <si>
    <t>ankidroid-Anki-Android-2453</t>
  </si>
  <si>
    <t>Crash on Reviewer Start</t>
  </si>
  <si>
    <t>Originally reported on Google Code with ID 1551
This app keeps crashing when want to review the cards!
... 11 more</t>
  </si>
  <si>
    <t>ankidroid-Anki-Android-2451</t>
  </si>
  <si>
    <t>'application not installed' installer fails</t>
  </si>
  <si>
    <t>Originally reported on Google Code with ID 1549
What steps will reproduce the problem?
2. try to intstall
What is the expected output? What do you see instead?
Instead, application not installed installer fails.
Does it happen again every time you repeat the steps above? Or did it
happen only one time?
What version of AnkiDroid are you using? (Decks list menu About Look
On what version of Android? (Home screen menu About phone Android
2.0 beta 22, trying to install 2.0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</si>
  <si>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ankidroid-Anki-Android-2450</t>
  </si>
  <si>
    <t>Cannot delete dynamic deck</t>
  </si>
  <si>
    <t>Originally reported on Google Code with ID 1548
Try to delete dynamic deck and it crashes.
What version of AnkiDroid are you using? (Decks list menu About Look
On what version of Android? (Home screen menu About phone Android
Ankidroid 2.0 and android 2.1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Tried to sync with server to remove it, but it says the deck is corrupted.
Attachment: SendLog.txt (https: ankidroid issue-1548 comment-0 SendLog.txt)</t>
  </si>
  <si>
    <t>ankidroid-Anki-Android-2448</t>
  </si>
  <si>
    <t>Negative 'time remaining'</t>
  </si>
  <si>
    <t>Originally reported on Google Code with ID 1546
What steps will reproduce the problem?
1.I don know.
What is the expected output? What do you see instead?
Time remaining is negative number. expect to see 10 minutes but get -5000 minutes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The time studied statistic works corrwctly on mobile. When synched to the desktop
verson 2.0.3, time studied is negative.</t>
  </si>
  <si>
    <t>ankidroid-Anki-Android-2447</t>
  </si>
  <si>
    <t>package file was not signed correctly</t>
  </si>
  <si>
    <t>Originally reported on Google Code with ID 1545
What steps will reproduce the problem?
1. Open play store
2. Install update from 03.01.2013
What is the expected output? What do you see instead?
Error mentioned in the title.
Does it happen again every time you repeat the steps above? Or did it
happen only one time?
All the time.
What version of AnkiDroid are you using? (Decks list menu About Look
Current version is 1.1.3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</si>
  <si>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ankidroid-Anki-Android-2443</t>
  </si>
  <si>
    <t>Import fails to find apkg files in its folder</t>
  </si>
  <si>
    <t>Originally reported on Google Code with ID 1541
What steps will reproduce the problem?
1. Export card deck from Anki Desktop 2.03 (Windows)
2. Copy apkg file to storage sdcard0 AnkiDroid
3. Try to import cards in AnkiDroid 2.0 beta 22
What is the expected output? What do you see instead?
should get new deck of cards in my set.
Instead get an error message, telling me that no apkg files were found to import.
Does it happen again every time you repeat the steps above? Or did it
happen only one time?
It happens every time, could not import any file yet.
What version of AnkiDroid are you using? (Decks list menu About Look
The latest public beta as of february 2nd 2013: 2.0 beta 22
On what version of Android? (Home screen menu About phone Android
Android 4.1.1 with Kernel 3.1.10+
The device is an Acer Iconia Tab A700 tablet.
If it is crash or Force close and you can reproduce it, the following
would help immensely: 1) Install the SendLog app, 2) Reproduce the crash,
3) Immediately after, launch SendLog, 4) Attach the resulting file to this
report. That will make the bug much easier to fix.</t>
  </si>
  <si>
    <t>ankidroid-Anki-Android-2442</t>
  </si>
  <si>
    <t>"Shake" gesture feature only works once per view</t>
  </si>
  <si>
    <t>Originally reported on Google Code with ID 1540
What steps will reproduce the problem?
1. Enable gesture&gt;shake. Map clear whiteboard to shake. Optional: increase shake
2. Open deck and enable whiteboard.
3. Draw stroke or two and shake. It clears the stroke. Sometimes nothing happens.
4. Draw another stroke and shake your phone like Thor. Nothing happens.
What is the expected output? What do you see instead?
It should ALWAYS clear stroke (or execute whatever key is mapped)
Does it happen again every time you repeat the steps above? Or did it
happen only one time? Yes, every single time, without fail.
What version of AnkiDroid are you using? (Decks list menu About Look
On what version of Android? (Home screen menu About phone Android
version) 4.1 (CyanogenMod)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</si>
  <si>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ankidroid-Anki-Android-2441</t>
  </si>
  <si>
    <t>Custom function does not save changes/scores into parent, and other issues.</t>
  </si>
  <si>
    <t>Originally reported on Google Code with ID 1539
What steps will reproduce the problem?
1. Attempt any of the custom function
2. Make edits and save.
3. Finish empty the custom deck
What is the expected output? What do you see instead?
It should keep changes and scores into the parent.
Another issue is the &gt;1000 that shows up for new cards when the number is (obviously)
more than thousand. It will be more helpful for future planning to know the exact
count (like in beta 20).
Does it happen again every time you repeat the steps above? Or did it
happen only one time? Yes, every single time
What version of AnkiDroid are you using? (Decks list menu About Look
On what version of Android? (Home screen menu About phone Android
version) 4.1 (CyanogenMod)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</si>
  <si>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ankidroid-Anki-Android-2440</t>
  </si>
  <si>
    <t>same cards showing up more than once even during the same round</t>
  </si>
  <si>
    <t>Originally reported on Google Code with ID 1538
What steps will reproduce the problem?
1. Install beta 22
What is the expected output? What do you see instead?
It should work at least like (if not better than) version 20.
1. Negative time shows up for all the decks but it is not as frustrating as the second
2. am getting tasked on the same decks at least twice day, with the same cards
showing up more than once even during the same round.
Does it happen again every time you repeat the steps above? Or did it
happen only one time? This has happened since updated from beta 21 to 22.
What version of AnkiDroid are you using? (Decks list menu About Look
On what version of Android? (Home screen menu About phone Android
version) 4.1. Jellybean CyanogenMod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ve reverted to version 20, will post an update tomorrow.</t>
  </si>
  <si>
    <t>ankidroid-Anki-Android-2438</t>
  </si>
  <si>
    <t>AnkiDroid 1.1.3: Reproducible NPE from "Share page -&gt; AnkiDroid card" (onCreateOptionsMenu)</t>
  </si>
  <si>
    <t>Originally reported on Google Code with ID 1536
know you re concentrating on v2, but it would be great to fix this bug if it
quickie -- right now one can share third-party app content with AnkiDroid in this
What steps will reproduce the problem?
1. Open the native browser or Chrome to any webpage
2. Select Dots -&gt; Share page -&gt; AnkiDroid card
What is the expected output?
new card is created
What do you see instead?
Does it happen again every time you repeat the steps above? Or did it happen only one
It happens every time.
What version of AnkiDroid are you using? (Decks list menu About Look
On what version of Android? (Home screen menu About phone Android
SDK version 17
Incremental version 533553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</si>
  <si>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ankidroid-Anki-Android-2435</t>
  </si>
  <si>
    <t>Syncing small changes takes a very long time and uses 60-80% cpu</t>
  </si>
  <si>
    <t>Originally reported on Google Code with ID 1533
What steps will reproduce the problem?
1. After the initial full sync do review, and then sync again
2. The sync only transfers small time, but it takes very long time (10-20 minutes)
and uses majority of the phone CPU
What is the expected output? What do you see instead?
Does it happen again every time you repeat the steps above? Or did it
happen only one time?
It happened for the last 2-3 times ve done reviews on AnkiDroid, so stopped using
it. afraid it will do something to my collection.
What version of AnkiDroid are you using? (Decks list menu About Look
On what version of Android? (Home screen menu About phone Android
Beta 22. Android is 2.3.6 believe. The phone is Samsung 4G phone.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</si>
  <si>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ankidroid-Anki-Android-2434</t>
  </si>
  <si>
    <t>Can't review and then crash if AnkiDroid stays open during new day crossover.</t>
  </si>
  <si>
    <t>Originally reported on Google Code with ID 1532
AnkiDroid beta 22 on Android 4.2.1 on Nexus 10 (tablet).
If AnkiDroid remains open while the next day (in Anki offset terms) ticks over, then
AnkiDroid seems to enter some bad state. The counts on the decks are not updated, and
if you try to review, you only get white screen in the reviewer with the spinner
in the top-right. It looks like it stuck re-loading the collection.
Opening AnkiDroid again shows only the splash screen, and it appears to be stuck on
it. Hitting back at this point crashes AnkiDroid.</t>
  </si>
  <si>
    <t>ankidroid-Anki-Android-2433</t>
  </si>
  <si>
    <t>Anki gets stuck on first start-up</t>
  </si>
  <si>
    <t>Originally reported on Google Code with ID 1531
What steps will reproduce the problem?
1. Go to Settings -&gt; Developer options and select Don keep activities.
2. Go to Settings -&gt; Apps and clear AnkiDroid data and force stop it.
3. Start the application.
4. Dismiss the New features dialog (with Continue).
5. Dismiss the Broadcast message dialog (with Close ).
What is the expected output? What do you see instead?
The application should start but instead is stuck in the splash screen.
Does it happen again every time you repeat the steps above? Or did it
happen only one time?
What version of AnkiDroid are you using? (Decks list menu About Look
2.0 beta 22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</si>
  <si>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ankidroid-Anki-Android-2431</t>
  </si>
  <si>
    <t>wrong german translation of  deck options &gt; Reviews  &gt;  Minimum sibling range</t>
  </si>
  <si>
    <t>Originally reported on Google Code with ID 1529
What steps will reproduce the problem?
2.open any deck,goto deck options
3.goto reviews options: minimum sibling range ist translated to
maximaler Abstand von Geschwistern correct would be
minimaler Abstand von Geschwistern
What is the expected output? What do you see instead?
Does it happen again every time you repeat the steps above? Or did it
happen only one time?
What version of AnkiDroid are you using? (Decks list menu About Look at the title)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</si>
  <si>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ankidroid-Anki-Android-2430</t>
  </si>
  <si>
    <t>Crash reviewing deck on Samsung S3 with clipboard bug</t>
  </si>
  <si>
    <t>Originally reported on Google Code with ID 1528
What steps will reproduce the problem?
1. Launch Ankdroid Samsung S3 that has clipboard bug
2. Open saved deck
3. Click Start reviewing
4. Watch it crash!
What is the expected output? What do you see instead?
expect it to open my deck, but it crashes instead. My S3 currently has the clipboard
bug http: showthread.php?t 1781060 but don want to root
my phone yet, so have to put up with having no clipboard.
When start Ankidroid, calls into
which goes to and that eventually leads to
because of bug in Samsung clipboard code.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t>
  </si>
  <si>
    <t>ankidroid-Anki-Android-2429</t>
  </si>
  <si>
    <t>"Add card" crash in decks tweaked in desktop Anki</t>
  </si>
  <si>
    <t>Originally reported on Google Code with ID 1527
What steps will reproduce the problem?
1.Create new deck within AnkiDroid it ll only have facts set.
2.Add some cards.
3.Import the deck to desktop Anki.
4.Adjust layout to have more facts as needed (3, for instance) this step probably
corrupts the deck and ll provide more details about this step below ll refer
to the deck as corrupted later on.
5.Export the deck back to .anki file, overwrite it in AnkiDroid.
6.Try adding new cards for the corrupted deck (different ways tried from within deck
main window and from cards browser).
7.See excuses about unfortunate stop.
8.Loop to step 6.
What is the expected output? What do you see instead?
Expected is card edition window with empty fields to type in. Crash dialog is seen
Does it happen again every time you repeat the steps above? Or did it
happen only one time?
Every time for any corrupted deck.
AnkiDroid version: 1.1.3
Anki desktop version: 1.2.8</t>
  </si>
  <si>
    <t>ankidroid-Anki-Android-2428</t>
  </si>
  <si>
    <t>Frequent crashes on TF700, then new cards after force quit</t>
  </si>
  <si>
    <t>Originally reported on Google Code with ID 1526
What steps will reproduce the problem?
1. Run program until it freezes.
2. Force quit.
3. Open again.
What is the expected output? What do you see instead?
On version 1, the cards remaining after force quit was the same as before. On the
beta, it loads new cards up to the maximum after each force quit. As the crash happens
2-4 times every single review cycle, end up reviewing about 20-30 more cards per
day than want to.
Does it happen again every time you repeat the steps above? Or did it
happen only one time?
What version of AnkiDroid are you using? (Decks list menu About Look
On what version of Android? (Home screen menu About phone Android
4.1.1, on ASUS Transformer Infinity TF700 tablet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</si>
  <si>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ankidroid-Anki-Android-2427</t>
  </si>
  <si>
    <t>Softkeyboard does not appear in CardEditor by default</t>
  </si>
  <si>
    <t>Originally reported on Google Code with ID 1525
What steps will reproduce the problem?
1. Click on Add Note
What is the expected output? What do you see instead?
Softkeyboard should open up automatically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In commit 348a34c626, orbert.nagold gmail.com has specifically wrote the code to hide
the softkeyboard. not sure why this was done but according to the email conversation,
it could be useful for users editing cards to see the keyboard immediately.</t>
  </si>
  <si>
    <t>ankidroid-Anki-Android-2425</t>
  </si>
  <si>
    <t>Drawing function during Review not working in Ankidroid 2 Beta 22</t>
  </si>
  <si>
    <t>Originally reported on Google Code with ID 1523
When reviewing cards in Ankidroid 1.3, you could use your fingers to directly draw on
the screen. This function is great for reviewing Chinese characters and Japanese Kanji,
especially while traveling when writing on paper is not possible. Active writing of
characters is essential if learner is going to learn character properly.
In Ank 2.0 Beta22 could not find the function anymore.
Please bring it back. This together with the Zoom function is one of the great benefits
Thanks lot for your great work!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</si>
  <si>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ankidroid-Anki-Android-2424</t>
  </si>
  <si>
    <t>Pinch to zoom / zoom function not working in Ankidroid 2 Beta 22</t>
  </si>
  <si>
    <t>Originally reported on Google Code with ID 1522
In Ankidroid 1.3 you could pinch to zoom when reviewing cards, respectively use and
to zoom. This function is essential for reviewing Chinese characters as learners
may need to zoom into more complex characters to see them clearly and understand all
components. Worked great in Ankidroid 1.3. Please bring it back. Thanks lot.
appreciate all the great work done by the Ankidroid developers!
What steps will reproduce the problem?
What is the expected output? What do you see instead?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</si>
  <si>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ankidroid-Anki-Android-2422</t>
  </si>
  <si>
    <t>cant log in to pc site fro my phone to use cards I made.</t>
  </si>
  <si>
    <t>Originally reported on Google Code with ID 1520
What steps will reproduce the problem?
1.trying to log in from andriod phone and android browser.
What is the expected output? What do you see instead?
expect to use to cards frkm my pc on my phone
Does it happen again every time you repeat the steps above? Or did it
happen only one time?
What version of AnkiDroid are you using? (Decks list menu About Lookmy app is
stuck in tutorial mode.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</si>
  <si>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ankidroid-Anki-Android-2418</t>
  </si>
  <si>
    <t>Kicked out when checking database</t>
  </si>
  <si>
    <t>Originally reported on Google Code with ID 1516
Using AnkiDroid 2.0beta22 on Archos 28 4GB, firmware 2.4.83, Android 2.2.1.
My collection is attached here: https: code.google.com ankidroid issues detail?id 1449#c13
Whenever do Check database it says Checking database. Please wait... for few
seconds, but then the screen turns black and then am returned to the Android home launcher
There is no message saying whether the DB was successful or unsuccessful, and there
is no error message or crash report.
Log from Log Collector is attached.
Attachment: log20121712.txt (https: ankidroid issue-1516 comment-0 log20121712.txt)</t>
  </si>
  <si>
    <t>ankidroid-Anki-Android-2417</t>
  </si>
  <si>
    <t>New cards lost deck style</t>
  </si>
  <si>
    <t>Originally reported on Google Code with ID 1515
What steps will reproduce the problem?
1. Add new cards
What is the expected output? What do you see instead?
The new cards should have the same style as configured in the deck, but when created
some new cards, it has the default size, the deck configuration has different sizes
for front and back.
Does it happen again every time you repeat the steps above? Or did it
happen only one time?
Happens every time, it didn happen in beta 20.
What version of AnkiDroid are you using? (Decks list menu About Look
On what version of Android? (Home screen menu About phone Android
Android 2.1 and ankidroid 2.0 beta 22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</si>
  <si>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ankidroid-Anki-Android-2415</t>
  </si>
  <si>
    <t>Crash on Nook Simple Touch (I have no SD card)</t>
  </si>
  <si>
    <t>Originally reported on Google Code with ID 1513
What steps will reproduce the problem?
1. NST 1.1.0 software with TouchNooter 2.1.31 to root
2. adb install beta22
What is the expected output? What do you see instead?
Shows some preliminary materials, then crashes.
Does it happen again every time you repeat the steps above? Or did it
happen only one time?
haven tried uninstalling.
What version of AnkiDroid are you using? (Decks list menu About Look
On what version of Android? (Home screen menu About phone Android
think it SDK version or 9. Android 2.1ish.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happy to help provide more info!
Attachment: stack.txt (https: ankidroid issue-1513 comment-0 stack.txt)</t>
  </si>
  <si>
    <t>ankidroid-Anki-Android-2409</t>
  </si>
  <si>
    <t>No longer displays 'Total New Cards' in beta 21</t>
  </si>
  <si>
    <t>Originally reported on Google Code with ID 1507
What steps will reproduce the problem?
1. Install beta 21
2. Open an unfinished deck from previous version.
3. It now zero
What is the expected output? What do you see instead?
get the actual number when revert back to beta 20.
Does it happen again every time you repeat the steps above? Or did it
happen only one time?
Happens all the time.
What version of AnkiDroid are you using? (Decks list menu About Look
On what version of Android? (Home screen menu About phone Android
version) Jellybean 4.1.2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</si>
  <si>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ankidroid-Anki-Android-2408</t>
  </si>
  <si>
    <t>Sound not playing</t>
  </si>
  <si>
    <t>Originally reported on Google Code with ID 1506
What steps will reproduce the problem?
1. Start studying (shared card deck: Mastering Chinese Characters 01 (Listening Sentence
Vocab). It also happens with ((shared card deck: Mastering Chinese Characters 02
(Listening Sentence Vocab)
What is the expected output? What do you see instead?
When sound should be played nothing happens, when pressing the play button, nothing
Does it happen again every time you repeat the steps above? Or did it
happen only one time?
All the time, although at least once (out of tens of times) have heard the sound
play. can tell what the trigger was that one time, but it might have been the first
time tried to use the app (beta20), few days ago. have tried installing the app
again (beta21) and deleting sdcard AnkiDroid folder and all its contents and resynchronizing,
but it is still not working. The web version plays sounds just fine, both on my mobile,
as well as the desktop.
What version of AnkiDroid are you using? (Decks list menu About Look
AnkiDroid v2.0beta21 and AnkiDroid v2.0beta20
On what version of Android? (Home screen menu About phone Android
If it is crash or Force close and you can reproduce it, the following
would help immensely: 1) Install the SendLog app, 2) Reproduce the crash,</t>
  </si>
  <si>
    <t>ankidroid-Anki-Android-2407</t>
  </si>
  <si>
    <t>Sync Log / disk I/O error:COMMIT;</t>
  </si>
  <si>
    <t>Originally reported on Google Code with ID 1505
What steps will reproduce the problem?
1. Press sync button
What is the expected output? What do you see instead?
Sync Log the text disk error:COMMIT and an OK button
Does it happen again every time you repeat the steps above? Or did it
happen only one time?
All the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</si>
  <si>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ankidroid-Anki-Android-2406</t>
  </si>
  <si>
    <t>Next card’s answer revealed early after moving card</t>
  </si>
  <si>
    <t>Originally reported on Google Code with ID 1504
What steps will reproduce the problem?
1. Have more than one deck
2. and more then one card due in deck.
3. Start reviewing,
4. with the *answer* shown
5. go to the menu Edit card
6. move the card to another deck
What is the expected output? What do you see instead?
The *question* of the next card due should appear.
Instead, the next cards answer is shown, without giving you chance to ponder the
Does it happen again every time you repeat the steps above? Or did it
happen only one time?
What version of AnkiDroid are you using? (Decks list menu About Look
On what version of Android? (Home screen menu About phone Android
If it is crash ...
It is not
Please provide any additional information below.
IIRC, the desktop Anki always goes back to showing the question when you return from
the edit dialog, even when not moving cards. That seems reasonable approach to dealing</t>
  </si>
  <si>
    <t>ankidroid-Anki-Android-2404</t>
  </si>
  <si>
    <t>Beta 21 :: Can't suspend cards after starting learning</t>
  </si>
  <si>
    <t>Originally reported on Google Code with ID 1502
What steps will reproduce the problem?
1. Add new card
2. Review it
3. Choose hard
4. Try to suspend it
What is the expected output? What do you see instead?
Get database write error and crash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
Definitely only started happening with the latest beta this is very common operation</t>
  </si>
  <si>
    <t>ankidroid-Anki-Android-2403</t>
  </si>
  <si>
    <t>Second shared deck download fails with "This is not a valid apkg file"</t>
  </si>
  <si>
    <t>Originally reported on Google Code with ID 1501
What steps will reproduce the problem?
1. get an apkg file
2. store it under the decks path
3. use ankidroid2beta20 to open it
What is the expected output?
should import the deck
What do you see instead?
This is not valid apkg file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Please provide any additional information below.</t>
  </si>
  <si>
    <t>ankidroid-Anki-Android-2400</t>
  </si>
  <si>
    <t>Crash when trying to do a custom study, back out, try again</t>
  </si>
  <si>
    <t>Originally reported on Google Code with ID 1498
What steps will reproduce the problem?
1. Review deck to the end, reach congratulations screen.
2. Select to do custom study.
3. In the dialog that appears press back.
4. From the congratulations screen select to do custom study again.
5. Select custom study from the list.
What is the expected output? What do you see instead?
Expected to setup the parameters for the custom study, instead it crashed.
Does it happen again every time you repeat the steps above? Or did it
happen only one time?
What version of AnkiDroid are you using? (Decks list menu About Look
On what version of Android? (Home screen menu About phone Android
If it is crash or Force close and you can reproduce it, the following
would help immensely: 1) Install the SendLog app, 2) Reproduce the crash,
3) Immediately after, launch SendLog, 4) Attach the resulting file to this
report. That will make the bug much easier to fix.
Triage report: http: view crash?crash id 4077291
Please provide any additional information below.</t>
  </si>
  <si>
    <t>Fermat-ORG-fermat-framework-970</t>
  </si>
  <si>
    <t>CRASH: Memory Leak ocasionado por el WalletStoreNetworkServiceDatabaseDao</t>
  </si>
  <si>
    <t>Existe un **memory leak** ocasionado por las conexiones de la clase utilizada de en un **background thread** por
Esto puede solventarse utilizando de forma correcta los metodos openDatabase closeDatabase de la interfaz **Database** en los metodos del DAO.
La excepcion reportada por el crash es
resource was acquired at attached stack trace but never released. See java.io.Closeable for information on avoiding resource leaks.</t>
  </si>
  <si>
    <t>2015-07-29</t>
  </si>
  <si>
    <t>Fermat-ORG-fermat-framework-967</t>
  </si>
  <si>
    <t>Crash de la Reference Wallet por NullPointerException de ReferenceWalletSession</t>
  </si>
  <si>
    <t>Pasos para replicar el issue:
1. Se entra en la Reference Wallet
2. Se vuelve al Home de Fermat utilizando el back button
3. Se vuelve entrar en la Reference Wallet
El crash reporta la siguiente excepcion:</t>
  </si>
  <si>
    <t>Bathlamos-RTDC-73</t>
  </si>
  <si>
    <t>Application crashes when saving an Action with a modified Target</t>
  </si>
  <si>
    <t>See title. Originally discovered during July meeting when trying to edit an action target. Upon further inspection, the application crashes whenever an Action is saved (whether it new, changed, or unedited). Here is the stack trace when we try to edit target:</t>
  </si>
  <si>
    <t>koral---android-gif-drawable-194</t>
  </si>
  <si>
    <t>Gif crashes app without stack trace or any exception information</t>
  </si>
  <si>
    <t>Hello, please try to display this gif as GifDrawable:
It makes app crash and have no stacktrace in logcat nor in Crashlitycs.
Build Date: 04 11 13 Thu
Remote Branch: quic mako jb mr1
Local Patches: NONE
Reconstruct Branch: AU LINUX ANDROID JB NOTHING
Im using library version 1.1.+
The same crash on HTC One 4.3.1 and Genymotion Nexus 5.1</t>
  </si>
  <si>
    <t>2015-07-30</t>
  </si>
  <si>
    <t>gdg-x-frisbee-447</t>
  </si>
  <si>
    <t xml:space="preserve">Memory Leak on Achievements implementations. </t>
  </si>
  <si>
    <t>Achievement implementation immediately leaks Activity on open.
It happens both on SettingsActivity and AboutActivity.
think it is because of the delay with Handler implementation. It makes also the app crash lot. think it is the most common unresolved crash of the app in Crashlytics as of now.
Device: motorola google Nexus shamu
Android Version: 5.1.1 API: 22 LeakCanary: 1.3.1
Durations: watch 5023ms, gc 174ms, heap dump 16281ms, analysis 27519ms
mDescriptor java.lang.String id 0x32c58240
zzaqx id 0x33644040
zzaoR java.lang.String id 0x32e86c80
zzWJ id 0x336605f0
zzaao java.util.ArrayList id 0x33643f20
zzaau id 0x33660770
zzqt java.lang.Object id 0x33660760
mManagedCursors java.util.ArrayList id 0x335fc880
mReferrer java.lang.String id 0x3362f900
mTitle java.lang.String id 0x32dd2180
mUiThread java.lang.Thread id 0x741a4000</t>
  </si>
  <si>
    <t>2015-08-02</t>
  </si>
  <si>
    <t>CellularPrivacy-Android-IMSI-Catcher-Detector-595</t>
  </si>
  <si>
    <t>I was using AIMSICD a lot recently, here are some log crashes...</t>
  </si>
  <si>
    <t>don have much time to sort them and investigate separately so ll just drop them here.
All of them happened when was in bus with WiFi and GPS on.
am using code from days ago from development branch.</t>
  </si>
  <si>
    <t>2015-08-03</t>
  </si>
  <si>
    <t>ukanth-afwall-399</t>
  </si>
  <si>
    <t>AFWall 2.0.0-Beta-2 GUI Crash on maguro w/ 5.1.1</t>
  </si>
  <si>
    <t>Unless the brief logcat provided at the link below highlights something obvious to you, please feel free to rate this as low confidence priority for now. just updated all my devices to the new beta and one of them has the GUI force-closing, though the background process still shows as running in the notification tray. won have any time to debug this on the device until the later part of next week. That said, the crash occurs on the most non-stock device have (Galaxy Nexus maguro, Android 5.1.1, rooted, XPosed several modules, SELinux in enforcing, etc). That said, the GUI runs fine on very similarly configured Nexus 5. Obviously there are lot of things can dial back bit to see if they are the cause of the crash. If the logcat doesn help you figure it out on your own, expect that will follow-up with add testing results next week.</t>
  </si>
  <si>
    <t>gdg-x-frisbee-457</t>
  </si>
  <si>
    <t xml:space="preserve">AchievementHandler should be redesigned. </t>
  </si>
  <si>
    <t>Here is crash occured in AchievementHandler. It is not easy to fix. It should be redesigned.
Here is the public link to crash.</t>
  </si>
  <si>
    <t>Cardshifter-Cardshifter-337</t>
  </si>
  <si>
    <t>"Start Local Game" causes NPE</t>
  </si>
  <si>
    <t>cardshifter bug (https: assets 3816754 9071989
Steps to reproduce:
1. Launch GameClient
2. Select difficulty level
3. Press Start Local Server
The client does not crash, but nothing happens.
JRE build: 1.8.0 51-b16
HotSpot build: 25.51-b03 (64-bit)
Exception in thread JavaFX Application Thread
... 50 more</t>
  </si>
  <si>
    <t>2015-08-04</t>
  </si>
  <si>
    <t>Ereza-CustomActivityOnCrash-9</t>
  </si>
  <si>
    <t>add codes for clearing current activity stack before showing crash activity</t>
  </si>
  <si>
    <t>Activity -&gt; Activity -&gt; Activity now throw RuntimeException and show CrashActivity But when users click back key they would see Activity this will make them confused. And if they click restart button it worse because Activity Activity would still in stack
So add some codes for clearing current stack before showing crash activity</t>
  </si>
  <si>
    <t>CellularPrivacy-Android-IMSI-Catcher-Detector-596</t>
  </si>
  <si>
    <t>Release v0.1.33-alpha-b00 immediately crashes</t>
  </si>
  <si>
    <t>even after reboot, so must revert to v0.1.32-alpha-b00, but, since the current release will not stay open long enough to get log, how do help? What can provide?</t>
  </si>
  <si>
    <t>koral---android-gif-drawable-196</t>
  </si>
  <si>
    <t>Unable to play Gif</t>
  </si>
  <si>
    <t>This gif has not been able to play for me. http: i.imgur.com 36ao1fY.gif
The way it is played is its downloaded from the URL and GifDrawable is created by calling new GifDrawable( path to downloaded file and passing to the ImageView. When it loads, it starts to play and pauses after the first frame. If trying to replay it, it sometimes throw segfault crash.
It only fails when it is downloaded from the URL. downloaded it and re-uploaded it and it played fine after that so can pin point it.</t>
  </si>
  <si>
    <t>dimagi-commcare-android-483</t>
  </si>
  <si>
    <t>Fixing crash in older Android versions</t>
  </si>
  <si>
    <t>Checking if build version is Honeycomb or greater before calling refreshActionBar().</t>
  </si>
  <si>
    <t>2015-08-05</t>
  </si>
  <si>
    <t>enviroCar-enviroCar-app-258</t>
  </si>
  <si>
    <t>broken track upload can result in duplicate tracks</t>
  </si>
  <si>
    <t>if the upload fails for whatever reason (net issues, app crashes) the upload might continue in ghost thread and finish. the app does not realize this probably and does not store the remote ID in the database. Thus new upload can be initiated. Consider rock-stable solution: e.g. local ID that is also stored on the server and an upload is rejected on server-side with the same local ID.</t>
  </si>
  <si>
    <t>mixpanel-mixpanel-android-251</t>
  </si>
  <si>
    <t>android.os.BadParcelableException: Unable to start activity ComponentInfo{com.mixpanel.android.surveys.SurveyActivity}</t>
  </si>
  <si>
    <t>Our app crashes with the following stack traces.
... 10 more</t>
  </si>
  <si>
    <t>2015-08-06</t>
  </si>
  <si>
    <t>mrmans0n-smart-adapters-5</t>
  </si>
  <si>
    <t>SmartAdapter is tied to needing mappings</t>
  </si>
  <si>
    <t>It is stated in the README that you setting map between model and view is not necessary when you pass your own implementation of but it is not true:
1) getItemViewType crashes because
throws an exception when calling position, as it cannot find any mapping
But if add some dummy mapping to bypass this exception the problem is then different one: The different type of cells (views) are mixed when they are reused:
Consider your own example:
public class implements
public BindableLayout build(ViewGroup parent, Mapper mapper, Class aClass, Object item)
parent the parent, Mapper object -&gt; view mapper defined in the SmartAdapters invocation
aClass current model (item) class, item current object
Tweet tweet (Tweet) item
else if (tweet.hasImage())
else if (tweet.hasEmbeds())
Then, inside the RecyclerView adapter method getItemViewType we have:
public int getItemViewType(int position)
if (listItems null)
As the mapper will get position for the class Tweet, all the cells will be considered the same so the build method of the could not be called TweetImageView is needed because it reused another one, which can be of any (undesired) type like TweetView or TweetGalleryView</t>
  </si>
  <si>
    <t>NineWorlds-serenity-android-302</t>
  </si>
  <si>
    <t>Grid view and detail view crash in tablet me302c Android 4.3</t>
  </si>
  <si>
    <t>have this problem with tablet me302c and Android 4.3. When switch the view to grid view or detail view the app crash and restart, so can see the grid view list...
downloaded latest version of Serenity, hope that there is solution because really need something that auto-update the watched status with an external player like mx player.
can provide logcat of the crash if this can be useful.
Thanks for reading and for the support.</t>
  </si>
  <si>
    <t>google-ExoPlayer-694</t>
  </si>
  <si>
    <t>HLS live playbacks can crash if left paused for too long</t>
  </si>
  <si>
    <t>If chunkIndex evaluates to negative number in HlsChunkSource, then is called with an invalid index. This will either fail playback or crash the process depending on where it happens to be called from.
We should ensure that playback failure is always the outcome (with</t>
  </si>
  <si>
    <t>google-ExoPlayer-693</t>
  </si>
  <si>
    <t>HLS - Select correct audio stream when multiple embedded streams exist</t>
  </si>
  <si>
    <t>want to use exoplayer for streaming HLS, som streams play fine, but can play some of them at all,
have found out it is problem with audio, .ts file looks like this:
Stream 0: Video, codec h264-mpeg-avc
Stream 1: Audio, codec MPEG AAC Audio(mp4a)
Stream 2: Audio, codec MPEG Audio layer 2(mpga)
On some devices app crashes completely(eg. genymotion emulator) with
Unsupported mime audio mpeg-L2
on some app works but stream doesn play and see this:
in logcat, this happened when tested my app on on PAP5450 duo with mediatek chip and also on Nexus with Snapdragon S4, on One+ One stream plays, but it lags and audio is slowed down, guess it is some kind of problem with mpeg audio codek, is there any chance can resolve it by myself, am pretty noobish when it comes to video encoding. can provide link to stream if needed for testing. Stream plays perfectly with usage of libVLC and basic MediaPlayer.</t>
  </si>
  <si>
    <t>federicoiosue-Omni-Notes-190</t>
  </si>
  <si>
    <t>Sort Selection Crash</t>
  </si>
  <si>
    <t>When selecting the SORT icon from the note list, then selecting the same sort type that is already selected the app crashes</t>
  </si>
  <si>
    <t>2015-08-07</t>
  </si>
  <si>
    <t>nerzhul-ncsms-android-64</t>
  </si>
  <si>
    <t>Application stopped working when receiving message without registered account</t>
  </si>
  <si>
    <t>1. install owncould-sms-app
2. ignore registration
3. receive sms
4. application crashes</t>
  </si>
  <si>
    <t>2015-08-09</t>
  </si>
  <si>
    <t>ConnectSDK-Connect-SDK-Android-290</t>
  </si>
  <si>
    <t>Crash on cast service connected</t>
  </si>
  <si>
    <t>got this crash report from Crashlytics:
On line 1206 have this:</t>
  </si>
  <si>
    <t>2015-08-10</t>
  </si>
  <si>
    <t>Cloudkibo-Android-26</t>
  </si>
  <si>
    <t>Android crashes on receive call</t>
  </si>
  <si>
    <t>The android app crashes when we receive call from other side. However, outgoing calls from android are not crashing.</t>
  </si>
  <si>
    <t>Ereza-CustomActivityOnCrash-12</t>
  </si>
  <si>
    <t>Bugsnag conflict</t>
  </si>
  <si>
    <t>noticed that library is blocking the crash analysis Bugsnag. initialize the Bugsnag after the install of But still not notifies the bugs.
The application class:
Override public void onCreate()
removed the install and Bugsnag comes working.</t>
  </si>
  <si>
    <t>zhuowei-MCPELauncher-264</t>
  </si>
  <si>
    <t>Increase Texture Map Memory Space</t>
  </si>
  <si>
    <t>couldn find feature request section, but decided this was the best place since it does cause BL to crash.
If install few BIG MODS, seem to find that about 256 or so textures seems to be the MAX that one can load. If use MOD like Extended Craft (about 100+ textures) as well as hxRedStone (about 82 textures), that gets me almost there. Then added few more to bump me over 256 textures and BlockLauncher crashes Although if you are quick to read the error message, it is crashing because there are too many textures being added to the system.
So, can we please increase this? With the new methods of adding textures is REALLY enhances the game TREMENDOUSLY! Although, if you are trying to get your MCPE to be just like PC (with ExtendedCraft added), it is not really possible with the currently allocated memory footprint for the textures.
Thanks and wanted to thank you for working on this! It was certainly the best use of my Google Play Store funds (next to Minecraft itself!)!</t>
  </si>
  <si>
    <t>fossasia-open-event-droidgen-70</t>
  </si>
  <si>
    <t>Fix Add bookmarks issue</t>
  </si>
  <si>
    <t>When bookmark an already bookmarked event, the app crashes.</t>
  </si>
  <si>
    <t>2015-08-11</t>
  </si>
  <si>
    <t>google-google-authenticator-android-31</t>
  </si>
  <si>
    <t>Crashes on time sync</t>
  </si>
  <si>
    <t>Ever since upgraded to Android 5.0 Authenticator codes no longer work and if do Settings -&gt; Time correction for codes -&gt; Sync now the app crashes.</t>
  </si>
  <si>
    <t>2015-08-12</t>
  </si>
  <si>
    <t>uPhyca-stetho-realm-6</t>
  </si>
  <si>
    <t>NoSuchMethodError is thrown with realm 0.82.1</t>
  </si>
  <si>
    <t>When tried to open realm file on chrome inspector, it crashes.</t>
  </si>
  <si>
    <t>geftimov-android-patternview-5</t>
  </si>
  <si>
    <t>Fixed a crash when rotating the screen due to an empty pattern string.</t>
  </si>
  <si>
    <t>The stringToPattern method attempts to convert the empty string to an integer which caused the exception.</t>
  </si>
  <si>
    <t>Fleker-CumulusTV-29</t>
  </si>
  <si>
    <t>Setup Crashes</t>
  </si>
  <si>
    <t>Seems to be some weird length issue. From crash report:</t>
  </si>
  <si>
    <t>2015-08-13</t>
  </si>
  <si>
    <t>Fleker-CumulusTV-28</t>
  </si>
  <si>
    <t>Intent crash</t>
  </si>
  <si>
    <t>From crash report</t>
  </si>
  <si>
    <t>bumptech-glide-578</t>
  </si>
  <si>
    <t>NoSuchMethodError being thrown in Glide.get() in Application onCreate</t>
  </si>
  <si>
    <t>Our app analytics are showing few hundred of these crashes across few dozen devices:
The devices crashing range from Android 4.4.0 to 5.1.1, and come from Samsung, HTC, and other OEMs.
My code inspection of makes me think this should be working fine, and don understand why the only crashes are in levels where this method should be present. Maybe bad OEM customizations?</t>
  </si>
  <si>
    <t>evernote-evernote-sdk-android-50</t>
  </si>
  <si>
    <t>Invoke authorization when evernote client doesn't login could lead to crash.</t>
  </si>
  <si>
    <t>in my app, call to start authorization. then the evernote sdk progress dialog show, and later ,a crash dialog was shown.
find that it only happened when didn login in in the Evernote app.
when have already login in in the Evernote app, and then call from my app,It can work.
so ,for simplicity. the issue is when don login in in the Evernote App,It will crash when third part app use Evernote App to authorize. and use YinXiangBiJi app.
here is the log message.
Parcel 857): Reading NULL string not supported here.
msm8974 platform( 292): platform update tpa poll: Could not get ctl for mixer cmd TPA6165 POLL ACC DET
msm8974 platform( 292): platform update tpa poll: Could not get ctl for mixer cmd TPA6165 POLL ACC DET</t>
  </si>
  <si>
    <t>2015-08-14</t>
  </si>
  <si>
    <t>groundupworks-wings-30</t>
  </si>
  <si>
    <t>GCP link page crashes on no network</t>
  </si>
  <si>
    <t>Observed on OnePlus One when no WiFi or mobile data.</t>
  </si>
  <si>
    <t>2015-08-15</t>
  </si>
  <si>
    <t>Cloudkibo-Android-27</t>
  </si>
  <si>
    <t>Leak SocketConnection error</t>
  </si>
  <si>
    <t>After continuous use of call, found this bug which crashes the application. This occurs less frequently. From its logs, came to know that this error is happening due to leaked service. am looking into this issue and trying to understand when services are leaked. It seems that when no activity is connected to service, only then the service becomes leaked.</t>
  </si>
  <si>
    <t>Cloudkibo-Android-46</t>
  </si>
  <si>
    <t>when web application removes contact, android crashes</t>
  </si>
  <si>
    <t>when web application removes contact that is online from android application, then android crashes</t>
  </si>
  <si>
    <t>2015-08-16</t>
  </si>
  <si>
    <t>Cloudkibo-Android-45</t>
  </si>
  <si>
    <t>Crashes when application is closed during network call</t>
  </si>
  <si>
    <t>There was network request to server to fetch the chat. It was not yet completed and closed the application. saw the crash message of app on android and in logs following was the error:</t>
  </si>
  <si>
    <t>square-okhttp-1807</t>
  </si>
  <si>
    <t>WebSocketCall IllegalStateException</t>
  </si>
  <si>
    <t>Despite the experimental note on okhttp-ws page, currently using it for an App with 4.5k daily active users and seeing some crash reports of:
Unable to take ownership of connection.
can see that there is TODO in the source for this case (https: github.com square okhttp blob master okhttp-ws src main java com squareup okhttp ws Is the ws library still in development (as in: should expect to see fix soon)?</t>
  </si>
  <si>
    <t>2015-08-17</t>
  </si>
  <si>
    <t>kabouzeid-Phonograph-57</t>
  </si>
  <si>
    <t>The permission stuff is not working yet. App will crash on Android Marshmallow (API 23)</t>
  </si>
  <si>
    <t>2015-08-18</t>
  </si>
  <si>
    <t>bumptech-glide-586</t>
  </si>
  <si>
    <t>NoSuchMethodError: Resources.getDisplayMetrics at MemorySizeCalculator:35</t>
  </si>
  <si>
    <t>Hey guys. got few crashes from Samsung(SGH S730M) with Android 4.0.4
is it OEM issue?</t>
  </si>
  <si>
    <t>JordanMoffat-KitchenPal-13</t>
  </si>
  <si>
    <t>App crashes when marking as discarded/eaten</t>
  </si>
  <si>
    <t>All in the the title. Need to investigate this</t>
  </si>
  <si>
    <t>2015-08-19</t>
  </si>
  <si>
    <t>aikuma-aikuma-528</t>
  </si>
  <si>
    <t>Crash when opening derivative file</t>
  </si>
  <si>
    <t>There corrupted derivative file in the kunbarlangproject account which causes Aikuma to crash: (Brolga story interpretation, 302s long). It has no tags, and tried adding language tag, but it still crashes.</t>
  </si>
  <si>
    <t>ZieIony-Carbon-130</t>
  </si>
  <si>
    <t>NPE in PagerTabStrip</t>
  </si>
  <si>
    <t>My crashlytics shows some fails with PagerTabStrip. They are rare, but pretty stable and deal with different devices. ll point the line in the file of master branch. (https: github.com ZieIony Carbon blob master carbon src main java carbon widget
private pageChangeListener new
public void onPageScrolled(int position, float positionOffset, int
position (int) Math.round(position positionOffset)
if (position selectedPage)
Here is full crash stack if interested:</t>
  </si>
  <si>
    <t>projectbuendia-client-2</t>
  </si>
  <si>
    <t>Crashes when opening any patient file</t>
  </si>
  <si>
    <t>When click on patient from the All Patients list, or from the Go To Patient by ID dialog, the app crashes.</t>
  </si>
  <si>
    <t>2015-08-20</t>
  </si>
  <si>
    <t>Fermat-ORG-fermat-framework-1306</t>
  </si>
  <si>
    <t>SUPER ISSUE: Solve all databases leaks</t>
  </si>
  <si>
    <t>Many databases are opened and never closed. This cause unexpected throwables to appear that shut down the app.
Some of the leaks can be identified when the app crashes but others can t. We need to inspect the code and close all databases after their use.</t>
  </si>
  <si>
    <t>saulmm-CoordinatorBehaviorExample-2</t>
  </si>
  <si>
    <t>Some issues...</t>
  </si>
  <si>
    <t>1. Importing via git (directly via Android-Studio) caused this issue to appear:
1. scrolling up too much causes crash:
2. scrolling is very weird and jumpy and can cause it to show weird things, like having the circular image above the title (really outside of it, not even touching it).</t>
  </si>
  <si>
    <t>2015-08-23</t>
  </si>
  <si>
    <t>1111</t>
  </si>
  <si>
    <t>cymcsg-UltimateRecyclerView-170</t>
  </si>
  <si>
    <t>SetEmptyView crash</t>
  </si>
  <si>
    <t>Try to implement NestFragment structure.
The View Strucuture
--&gt; View Pager
--&gt; Child Fragment
-&gt; Recycle List
SetEmptyView on child fragment will get this error.</t>
  </si>
  <si>
    <t>2015-08-24</t>
  </si>
  <si>
    <t>SandersForPresident-BernieAppAndroid-3</t>
  </si>
  <si>
    <t>[Crash] Can't see events in connect tab</t>
  </si>
  <si>
    <t>Entering my zip code and hitting enter in the connect tab causes crash</t>
  </si>
  <si>
    <t>2015-08-25</t>
  </si>
  <si>
    <t>Berlin-Vegan-berlin-vegan-guide-36</t>
  </si>
  <si>
    <t>Crash auf CM 12.1 bei Click auf Navigationsbutton</t>
  </si>
  <si>
    <t>wenn man auf den Navigationsbutton unter CM 12.1 klickt crashed to App. Es ist weder google maps noch ffi installiert. Daher wahrscheinlich keine Activity geo: vorhanden.</t>
  </si>
  <si>
    <t>2015-08-26</t>
  </si>
  <si>
    <t>itzikBraun-TutorialView-11</t>
  </si>
  <si>
    <t>Crash if no font is set</t>
  </si>
  <si>
    <t>If no font is set then the library crashes:
Process Sending signal. PID: 8443 SIG:</t>
  </si>
  <si>
    <t>unfoldingWord-dev-uw-android-110</t>
  </si>
  <si>
    <t>App Crash: Settings Menu</t>
  </si>
  <si>
    <t>On Samsung Tab A, when go to settings the app crashes.</t>
  </si>
  <si>
    <t>2015-08-27</t>
  </si>
  <si>
    <t>square-okhttp-1826</t>
  </si>
  <si>
    <t>Websocket enqueue with cache produces a crash when server refuses connection</t>
  </si>
  <si>
    <t>File cacheDirectory new network cache
Cache cache new CACHE MAX SIZE)
OkHttpClient okHttpClient new OkHttpClient()
Causes this exception with no possibility to be caught:
Removing the cache fixes the issue
OkHttpClient okHttpClient new OkHttpClient()
know this is an edge case but it would be nice to be able to catch this exception somewhere.
This happens with okhttp 2.5 and okhttp-ws 2.5. With okhttp 2.4 and okhttp-ws 2.4 we got crash with no stacktrace</t>
  </si>
  <si>
    <t>HWComputerScience-iHW-Android-19</t>
  </si>
  <si>
    <t>Redownload schedule crashes</t>
  </si>
  <si>
    <t>2015-08-28</t>
  </si>
  <si>
    <t>jMonkeyEngine-jmonkeyengine-322</t>
  </si>
  <si>
    <t>Blender Loader crashes for files created with Blender 2.75</t>
  </si>
  <si>
    <t>Unfortunately can provide minimal test case, as small Blender files tend to work perfectly. And the affected object meshes that crash the Loader seem to change randomly when saving the file after doing minor changes to it.
Here is stacktrace:
Caused by: toIndex 92
Affected revision: 5570</t>
  </si>
  <si>
    <t>erickok-transdroid-235</t>
  </si>
  <si>
    <t>Today's update crashes</t>
  </si>
  <si>
    <t>Unfortunately todays update crashes on search. Tried to remove data (reset) both transdroid and search addon, still no luck. On cm12.1 nightly, Nexus 2013.</t>
  </si>
  <si>
    <t>souliss-soulissapp-32</t>
  </si>
  <si>
    <t>User configurable UDP port crash the Network Option menu</t>
  </si>
  <si>
    <t>Changing the UDP port from the Network Option menu crash it until the app is removed.</t>
  </si>
  <si>
    <t>2015-08-29</t>
  </si>
  <si>
    <t>OneBusAway-onebusaway-android-289</t>
  </si>
  <si>
    <t>Jumping markers on Maps v2</t>
  </si>
  <si>
    <t>For develop branch
seeing markers jump around on the map on Android Maps API v2 even when nothing is happening in the app.
Here video of the behavior:
Markers should remain stationary at their originally added lat long.
What steps will reproduce the problem?
1a. Download the APK from:
1b. Build, install, and run the develop branch of OneBusAway:
b. git checkout develop
1. Browse to any supported city (e.g., Seattle or Tampa), and watch the green bus stop markers jump around on the map
should add that can always reproduce this. It seems like everything works fine for time, but then when the markers start jumping around they don stop.
Marker Implementation Details
The code that loads the icons used for the marker types (8 directions no direction) is here:
using this drawable:
...which is number of shapes this creates the main green circle with the white outline and the drop shadoes. Then, drawing the direction arrow on top of this drawable for each of the directions code for drawing directions is here:
In the code to load the icons, caching the BitmapDescriptor returned from for each of the icon types on first load, so this isn done each time marker is put on the map.
also saw the app crash to Unfortunately, OneBusAway has stopped. and saw this exception in Logcat after letting the app sit on the map screen for few minutes:
ve seen this on an LG G4 and Nexus 6. More details on LG device is below.
LG G4 LS991 with Android 5.1 (LS991ZV4)
Google Play Services version on the device Google Play Services 7.8.99 (2134222-440)
Android SDK Version: compileSdkVersion 21 buildToolsVersion 21.1.2</t>
  </si>
  <si>
    <t>2015-08-31</t>
  </si>
  <si>
    <t>marverenic-Jockey-22</t>
  </si>
  <si>
    <t>Bug playing songs</t>
  </si>
  <si>
    <t>downloaded the zip from github and set it up in my android studio. Had to comment out the crashlytics section because don have crashlytics key.
Now what is happening is that when click on song in the all songs tab, no song plays. There is no queue added to the now playing as well. But if click on the song from the artist or album page, it plays.
To try digging into the issue, simply added toast to register the onClick event. Turns out that the viewholder on the songs tab is not registering the click events as no toast is shown, whereas in the song list under artist or album page, clicking the song fires up the toast confirming the onClick call.
Do you have any clue what is wrong? Please look into it. trying to do the same</t>
  </si>
  <si>
    <t>boxme-SquareCamera-26</t>
  </si>
  <si>
    <t>takePicture failed / autoFocus failed</t>
  </si>
  <si>
    <t>Hi, im looking through my crashlogs of the app today, and some users are experiencing weird errors:
And the following:</t>
  </si>
  <si>
    <t>iBotPeaches-Apktool-1031</t>
  </si>
  <si>
    <t>Multiple ResTypeSpecs in a row, cannot be decoded.</t>
  </si>
  <si>
    <t>Apktool 2.0.1 crashes and produces no results with this apk https: play.google.com store apps details?id it.ingdirect.app
Exception in thread main</t>
  </si>
  <si>
    <t>2015-09-01</t>
  </si>
  <si>
    <t>Mishiranu-Dashchan-11</t>
  </si>
  <si>
    <t>Crashes when clicking a youtube thumbnail from an Opening Post</t>
  </si>
  <si>
    <t>If you spot thread where the Opening Post contains youtube thumbnail instead of conventional image, and click on it, the app will crash. This happens on 8ch. haven tried to reproduce this problem on other imageboards tho.</t>
  </si>
  <si>
    <t>unfoldingWord-dev-translationKeyboard-48</t>
  </si>
  <si>
    <t>crash report</t>
  </si>
  <si>
    <t>Environment Key Value
Android Release 5.0.2
Android SDK 21
... 10 more</t>
  </si>
  <si>
    <t>Fleker-CumulusTV-44</t>
  </si>
  <si>
    <t>[Investigate] Handle low memory</t>
  </si>
  <si>
    <t>large number of crashes occur when the device memory is low. This should be examined in more detail including way to prevent crashes from happening.</t>
  </si>
  <si>
    <t>2015-09-02</t>
  </si>
  <si>
    <t>k9mail-k-9-771</t>
  </si>
  <si>
    <t>Crash when modifying user for SMTP server</t>
  </si>
  <si>
    <t>### Expected behaviour
After having set up the first mail account server, wanted to set up the SMTP server, which is different from the incoming mail server and uses different user name and password.
### Actual behaviour
The SMTP server is changed (no unexpected behaviour), and then when modify the user name or start to modify the password the screen gets black or freezes and then gets black. The message that K-9 stopped appears.
### Steps to reproduce
1.Setup first incoming mail account
2.Trying to setup the SMTP server account K-9 Mail crashes.
K-9 Mail version: 5.006
Android version: 4.1.2 (no newer version provided by my ISP)
Account type (IMAP, POP3, WebDAV Exchange): IMAP</t>
  </si>
  <si>
    <t>2015-09-03</t>
  </si>
  <si>
    <t>square-okhttp-1838</t>
  </si>
  <si>
    <t>Websocket creates threads with url as name, which captures tokens in urls in crashlytics</t>
  </si>
  <si>
    <t>We use okhttp-ws to communicate with our server, and as an optimization step, we pass an oauth2 token in the websocket url to the server (to avoid making an extra auth request every time we connect), and since we use crashlytics as reporting tool for our exceptions, we noticed that oauth2 tokens are captured in the url as the name of thread that the websocket creates.</t>
  </si>
  <si>
    <t>2015-09-04</t>
  </si>
  <si>
    <t>daparker-checkvalve-3</t>
  </si>
  <si>
    <t>NumberFormatException causes app to crash</t>
  </si>
  <si>
    <t>Crash reported when an invalid integer was entered into the Port field of the **Add New Server** Activity. Stack trace:
The code for parsing port numbers and timeouts should be wrapped in try catch in each class which accepts these inputs.</t>
  </si>
  <si>
    <t>facebook-stetho-274</t>
  </si>
  <si>
    <t>Fixing NPE crash in ElementInfo.&lt;init&gt;() from Document.createDOMUpdate()</t>
  </si>
  <si>
    <t>fixing this by turning it into soft error. Descriptor shouldn emit null from their getChildren implementation, but it easy enough to recover from this and at least not crash the app. This is the only place where the children are funneled out of Descriptor and into Document</t>
  </si>
  <si>
    <t>facebook-stetho-272</t>
  </si>
  <si>
    <t>NPE crash in ElementInfo.&lt;init&gt;</t>
  </si>
  <si>
    <t>From inspecting the code, Descriptor is emitting null child which is why the ElementInfo constructor is unhappy. My bet is on because it doesn check if getDialog() returns null before handing it off to children.store()</t>
  </si>
  <si>
    <t>moneymanagerex-android-money-manager-ex-472</t>
  </si>
  <si>
    <t>Split transaction crashes the app</t>
  </si>
  <si>
    <t>jt19056-Notey-75</t>
  </si>
  <si>
    <t>AlarmActivity crash</t>
  </si>
  <si>
    <t>Cloudkibo-Android-56</t>
  </si>
  <si>
    <t>sometimes crashes when adding new contact</t>
  </si>
  <si>
    <t>was showing sumaira how have implemented contacts management in android, when added contact, it crashed for first time but worked for second time.</t>
  </si>
  <si>
    <t>2015-09-05</t>
  </si>
  <si>
    <t>Mishiranu-Dashchan-12</t>
  </si>
  <si>
    <t>App crashes if gallery opened before thread loaded</t>
  </si>
  <si>
    <t>4chan extension: 1.1</t>
  </si>
  <si>
    <t>fossasia-open-event-droidgen-80</t>
  </si>
  <si>
    <t>App crashes if trying to access data after refresh done while internet not available</t>
  </si>
  <si>
    <t>2015-09-06</t>
  </si>
  <si>
    <t>BitPrepared-prbm-mobile-1</t>
  </si>
  <si>
    <t>L'applicazione crasha quando si inserisce un decimale con la virgola</t>
  </si>
  <si>
    <t>Il problema si presenta quando si prova ad inserire un valore nei campi **metri, azimut minuti** inserendo un valore decimale con la **virgola**.
La maschera si precarica inserendo il valore **0.00**, se si cancella il punto centrale non pi possibile inserirlo successivamente applicazione si blocca.</t>
  </si>
  <si>
    <t>vanilla-music-vanilla-202</t>
  </si>
  <si>
    <t>Crash in DSLV</t>
  </si>
  <si>
    <t>Reported via play store: (4 out of crashes on Galaxy S6)</t>
  </si>
  <si>
    <t>2015-09-07</t>
  </si>
  <si>
    <t>umano-AndroidSlidingUpPanel-536</t>
  </si>
  <si>
    <t>Occasional NullPointerException in SavedState.writeToParcel</t>
  </si>
  <si>
    <t>We re seeing occasional crashes in the field (thanks Crashlytics) in writeToParcel(). don have local repro for this.
The line of code in question is:
Presumably mSlideState is null for some reason. Perhaps someone very familiar with the code might see how this could happen? not in good position to thought-debug it unfortunately.</t>
  </si>
  <si>
    <t>k9mail-k-9-783</t>
  </si>
  <si>
    <t>Crash in EmailProvider with unified inbox</t>
  </si>
  <si>
    <t>when select only one or more mails in the common inbox and click DELETE K9 crashes every time. When do that in single folder, e.g. the inbox, it works.
already tried to uninstall and reinstall K9 no change, same problem.
Can anyone help me or does have the same problem?
use K9 version 5.006, Android version 5.0 on LG G3.
Thanky you for your help, tips tricks.</t>
  </si>
  <si>
    <t>uPhyca-stetho-realm-7</t>
  </si>
  <si>
    <t>Crash when selecting certain tables in Realm 0.82.1</t>
  </si>
  <si>
    <t>ve added Stetho and this library as in the instructions. When selecting certain tables in the Chrome inspector, they display fine, but others cause crash with the stack trace below.
The tables that cause crash and the tables that don are pretty similar. Both have String IDs and have Realm relationships. It seems (not sure) that the tables that cause crash have field that is number or date.
FATAL EXCEPTION: StethoWorker40</t>
  </si>
  <si>
    <t>2015-09-08</t>
  </si>
  <si>
    <t>Cloudkibo-Android-59</t>
  </si>
  <si>
    <t>File transfer between two android crashes</t>
  </si>
  <si>
    <t>2015-09-09</t>
  </si>
  <si>
    <t>openbmap-radiocells-scanner-android-95</t>
  </si>
  <si>
    <t>Crash while uploading</t>
  </si>
  <si>
    <t>The application crashes when upload session and it ends when the application is in background.</t>
  </si>
  <si>
    <t>WycliffeAssociates-translationRecorder-54</t>
  </si>
  <si>
    <t>Nexus 9 - Bug Report</t>
  </si>
  <si>
    <t>## Reported Bugs
had the app crash after install using the following steps on my Nexus 9:
Go to Configuration Screen
Now it seems fine. Maybe timeout issue on pulling the JSON files?</t>
  </si>
  <si>
    <t>pushtorefresh-storio-509</t>
  </si>
  <si>
    <t>executeSQL(): crashes when executing no-args query</t>
  </si>
  <si>
    <t>Here is the setup:
.query( DROP TABLE IF EXISTS items
This fails with following exception:
Caused by: Empty bindArgs
also tried workaround:
.query( DROP TABLE IF EXISTS
This fails with the following exception:
guess, binding is supported for values only (not for table or column names). So, also doubt code in this README section (https: github.com pushtorefresh storio blob master docs works. Guys, please, take look.</t>
  </si>
  <si>
    <t>andybalaam-rabbit-escape-9</t>
  </si>
  <si>
    <t>When audio is on on the Linux version, Rabbit Escape sometimes freezes.</t>
  </si>
  <si>
    <t>OpenJDK Runtime Environment (IcedTea 2.5.6)
OpenJDK 64-Bit Server VM (build 24.79-b02, mixed mode)
Sometimes, the JVM actually crashes.
Disabling audio makes the problem go away.
When it freezes, one thread always has this stack trace in the debugger:
Daemon Thread (Suspended)
waiting for: (id 32)
Object.wait(long) line: not available native method
World, LevelWinListener, SwingSound) line: 82
LevelWinListener) line: 77
LevelWinListener) line: 52
Thread.run() line: 745</t>
  </si>
  <si>
    <t>unfoldingWord-dev-uw-android-122</t>
  </si>
  <si>
    <t>Changing Base URL Crashes App</t>
  </si>
  <si>
    <t>After changing the base URL to https: demo uw txt catalog.json hit the refresh download button, which then caused an app crash. Subsequently, going into the list of languages for OBS causes crash.</t>
  </si>
  <si>
    <t>2015-09-10</t>
  </si>
  <si>
    <t>AppLozic-Applozic-Android-SDK-25</t>
  </si>
  <si>
    <t>App is getting crash when we logout from app and messages coming from other app or web plugin.</t>
  </si>
  <si>
    <t>App is getting crash when we logout from app and messages coming from other app or web plugin.
Step to reproduce:
1)Login to app
2)Send message from other user
3)logout from the app while receiving the notification
4)click on notification then app is getting crash</t>
  </si>
  <si>
    <t>h6ah4i-android-tablayouthelper-5</t>
  </si>
  <si>
    <t>Need to add consumer Proguard settings</t>
  </si>
  <si>
    <t>App crashes if Proguard is enabled. Add the following line to proguard-rules.pro</t>
  </si>
  <si>
    <t>2015-09-11</t>
  </si>
  <si>
    <t>IFTTT-SparkleMotion-37</t>
  </si>
  <si>
    <t>Crash on adding unrelated Views to SparkleViewPagerLayout</t>
  </si>
  <si>
    <t>If Decor is presented, and has other views being added, it will crash in method.</t>
  </si>
  <si>
    <t>Neamar-KISS-237</t>
  </si>
  <si>
    <t>The option 'unistall ' appears in preinstalled apps</t>
  </si>
  <si>
    <t>When press and hold any app can remove them from the history, view the app info or uninstall, the third option appears in preinstall apps like phone, camera, calculator, settings, etc. If click the option the app begins the uninstallation and after some seconds the system crash or the system becomes lag for while. suggest that for this kind of apps the option uninstall shouldn appear, so we can avoid future problems or the auto destruction of our phone (just kidding :) ).</t>
  </si>
  <si>
    <t>2015-09-12</t>
  </si>
  <si>
    <t>EmergentOrganization-cell-rpg-52</t>
  </si>
  <si>
    <t>memory usage monitor on profiler inaccurate</t>
  </si>
  <si>
    <t>We need to use some other method to gauge memory usage, as just introduced major memory leak and watched the profiler label go unchanged until the app crashed with out-of-memory-err.</t>
  </si>
  <si>
    <t>madsbf-launcher-15</t>
  </si>
  <si>
    <t>NotifyItemInserted lags and crashes on some devices</t>
  </si>
  <si>
    <t>It can be replaced with if the recyclerview is then faded in instead.</t>
  </si>
  <si>
    <t>EmergentOrganization-cell-rpg-57</t>
  </si>
  <si>
    <t>loading map w/ overlapping entities crashes game</t>
  </si>
  <si>
    <t>bridge to custom map with two entities of the same type twoLargeTest causes the game to freeze up.
Unsure if this is problem with the mapLoader or if the scene cannot handle two building entities of the same class. The scene can have two bullets at the same time, but bullets don use the physics collider.</t>
  </si>
  <si>
    <t>2015-09-13</t>
  </si>
  <si>
    <t>mattford-scoutlink-8</t>
  </si>
  <si>
    <t>Channel list forces landscape and crashes app</t>
  </si>
  <si>
    <t>was trying out the app today on Toshiba tablet running Android 4.1.1. think the native orientation for this device is landscape and was using it in portrait. Once connected, the channel list popped up switching the display to landscape on me. As soon as picked channel to chat in, got the message that this app had unfortunately stopped.
not sure if its the age of the device or the OS that factor or thus us just bug.</t>
  </si>
  <si>
    <t>bumptech-glide-625</t>
  </si>
  <si>
    <t>Canvas: trying to use a recycled bitmap randomly when cycling through images</t>
  </si>
  <si>
    <t>ve got views that loading random images into on timer. trying to crossfade the new image with the currently displayed image. basically get random image from list of about 10 and call the method below times (with different views) every seconds.
This works most of the time, but sometimes it crashes due to the exception included below. When was using button click to do the update was able to have this exception happen pretty easily. wondering if there is some sort of race condition internally on the fetch and render between the previous call and the new call?
Is there better way to do this or should this work as currently using it?
Here the code:
mDownloadedSize is the max of the screen width or height using this so rotations have immediate cache hit image loading.
private void loadImage(ImageView view, String photoUrl)
Drawable oldImage view.getDrawable()</t>
  </si>
  <si>
    <t>2015-09-14</t>
  </si>
  <si>
    <t>mrmans0n-smart-location-lib-86</t>
  </si>
  <si>
    <t>Crashlytics reports NullPointerException in GeofencingGooglePlayServicesProvider line 246</t>
  </si>
  <si>
    <t>got the following crash report from Crashlytics (Android 2.3.4):</t>
  </si>
  <si>
    <t>mvysny-aedict-567</t>
  </si>
  <si>
    <t>After updating KanjiDIC2 self test fails</t>
  </si>
  <si>
    <t>Aedict is crashing in my tablet after updating dictionaries. Uninstalling and reinstalling makes no difference.
took my phone, run the self test and it was 100% ok, then updated dictionaries and it updated KanjiDIC2, run self test again and tests crashed:</t>
  </si>
  <si>
    <t>2015-09-15</t>
  </si>
  <si>
    <t>AppLozic-Applozic-Android-SDK-33</t>
  </si>
  <si>
    <t>App is getting crashed when we resend/Forward the file without downloading</t>
  </si>
  <si>
    <t>App is getting crashed when we Resend Forward the file without downloading.</t>
  </si>
  <si>
    <t>Fleker-CumulusTV-47</t>
  </si>
  <si>
    <t>Recognize invalid logos</t>
  </si>
  <si>
    <t>From this crash</t>
  </si>
  <si>
    <t>colegarien-SDDTermProject-28</t>
  </si>
  <si>
    <t>logging in as teacher</t>
  </si>
  <si>
    <t>Currently because of how the username is stored in shared preferences to be later referenced by the database, when logging in as teacher using different name from the one you used on your very first log in as teacher, the program crashes when clicking the user info button.</t>
  </si>
  <si>
    <t>2015-09-16</t>
  </si>
  <si>
    <t>evant-binding-collection-adapter-17</t>
  </si>
  <si>
    <t>Databinding rc2 causes crashes when using LayoutManager helpers</t>
  </si>
  <si>
    <t>Only change being the bump from rc1 -&gt; rc2</t>
  </si>
  <si>
    <t>Bathlamos-RTDC-84</t>
  </si>
  <si>
    <t>Exiting app with Back button makes app crash when reopening</t>
  </si>
  <si>
    <t>Neamar-KISS-251</t>
  </si>
  <si>
    <t>Play Store crash</t>
  </si>
  <si>
    <t>Reported on the Play Store for some Huawei devices:</t>
  </si>
  <si>
    <t>parse-community-ParseUI-Android-75</t>
  </si>
  <si>
    <t>ParseQueryAdapter crashed when local datastore is enabled</t>
  </si>
  <si>
    <t>changes made in commit (https: github.com ParsePlatform ParseUI-Android commit
in file: ParseQueryAdapter and line: 393 causes crash if local datastore is enabled.
think in this line is missing something like this:</t>
  </si>
  <si>
    <t>2015-09-17</t>
  </si>
  <si>
    <t>AppLozic-Applozic-Android-SDK-43</t>
  </si>
  <si>
    <t>App is crashing when scroll up message list page</t>
  </si>
  <si>
    <t>App is crashing when scroll up message list page.</t>
  </si>
  <si>
    <t>the-blue-alliance-the-blue-alliance-android-470</t>
  </si>
  <si>
    <t>Contributors Activity crashes app on appv3-datafeed branch</t>
  </si>
  <si>
    <t>Cloudkibo-Android-62</t>
  </si>
  <si>
    <t>Back button press in video call crashes application</t>
  </si>
  <si>
    <t>During the call when pressed the back button, it crashed the application and other peer on web did not know and was still in call.</t>
  </si>
  <si>
    <t>2015-09-18</t>
  </si>
  <si>
    <t>guilhermesgb-marqueeto-17</t>
  </si>
  <si>
    <t>App crashes when you dont set the "iconKey"</t>
  </si>
  <si>
    <t>OneBusAway-onebusaway-android-293</t>
  </si>
  <si>
    <t>android.content.res.Resources$NotFoundException: Resource ID #0x0</t>
  </si>
  <si>
    <t>For develop branch:
Occasionally when go back to the app and it resumes, it crashes and see this exception:
Looks like its caused by this code getting the drawable for the AlertList:
int drawableRight clickable R.drawable.ic navigation chevron right
int iconColor R.color.header text color
Drawable drawable ContextCompat
drawableRight) &lt;- This line throws the exception</t>
  </si>
  <si>
    <t>AppLozic-Applozic-Android-SDK-46</t>
  </si>
  <si>
    <t xml:space="preserve">while taking photo app crashes camera issue </t>
  </si>
  <si>
    <t>kontalk-androidclient-550</t>
  </si>
  <si>
    <t>App crashes after current update (3.0.5)</t>
  </si>
  <si>
    <t>After updating the application via f-droid to v.3.0.5 it crashes immediately after starting with the following message: Kontalk has ended.
Any suggestions what can do in this case? Until this update everything worked fine on my GT-I9195 with CM 12.1.
If you need more information, don hesitate to ask me (:</t>
  </si>
  <si>
    <t>2015-09-19</t>
  </si>
  <si>
    <t>JordanMoffat-KitchenPal-32</t>
  </si>
  <si>
    <t>App crashes when passing non-alphanumeric string to recipe</t>
  </si>
  <si>
    <t>Certain symbols like crash the app</t>
  </si>
  <si>
    <t>2015-09-20</t>
  </si>
  <si>
    <t>dhammikamare-OfferME-2</t>
  </si>
  <si>
    <t>Crash at about us</t>
  </si>
  <si>
    <t>Upon clicking about us, the app crashes after timeout of 30 seconds if no working internet connection is available</t>
  </si>
  <si>
    <t>Fachschaft07-fs-android-app-28</t>
  </si>
  <si>
    <t xml:space="preserve">Timetable crashes on course selection </t>
  </si>
  <si>
    <t>If download the timetable for the master (IG) and select course, the app crashes.
After restart, get popups with
already sent feedback via playstore.</t>
  </si>
  <si>
    <t>2015-09-21</t>
  </si>
  <si>
    <t>Abestanis-APython-10</t>
  </si>
  <si>
    <t>Crash on loading the Python libs for the second time</t>
  </si>
  <si>
    <t>When loading the Python libraries for the second time (e.g. starting the Interpreter for the second time), the following crash occurs:
The issue does not occurre if the interpreter is closed via exit()</t>
  </si>
  <si>
    <t>cSploit-android-254</t>
  </si>
  <si>
    <t>Crash and cant download ruby on LG G4</t>
  </si>
  <si>
    <t>Just downloaded csploit earlier today. Tried latest version, second,latest version and nightly.
Nightly wouldnt even start. The other versions it kept saying ruby failed to download. If press not to download and try any of the options from mitm it just crashes and resets my phone.
have theory that its my phone, because ive been trying to get Zanti to work with my phone and zanti also acts weird with my phone.
would like to upload log so you can figure it out better, but not sure how to do that.
Thanks for your time</t>
  </si>
  <si>
    <t>JordanMoffat-KitchenPal-36</t>
  </si>
  <si>
    <t>Replace CircularImageView library</t>
  </si>
  <si>
    <t>Current one using is crashing the app when loading images</t>
  </si>
  <si>
    <t>turing-tech-MaterialScrollBar-12</t>
  </si>
  <si>
    <t>setHandleColour bugs</t>
  </si>
  <si>
    <t>setHandleColour int or String version does try to set the indicator color even if there no indicator configured.
This leads to NPE crash
shoud test indicator for null.</t>
  </si>
  <si>
    <t>2015-09-22</t>
  </si>
  <si>
    <t>DigitalCampus-oppia-mobile-android-470</t>
  </si>
  <si>
    <t>NullPointer causes crash on start up</t>
  </si>
  <si>
    <t>projectbuendia-client-31</t>
  </si>
  <si>
    <t>Unexplained crash (bug report attached)</t>
  </si>
  <si>
    <t>This happened don know why.
Bug report: https: www.dropbox.com osa648gwmei8be0</t>
  </si>
  <si>
    <t>2015-09-24</t>
  </si>
  <si>
    <t>cgeo-cgeo-5204</t>
  </si>
  <si>
    <t>Crash when trying to navigate with MapsWithMe and waypoints without coordinates</t>
  </si>
  <si>
    <t>(Error scenario deduced from the following playstore crash report)
(Report from 2015 09 24, 13:01)</t>
  </si>
  <si>
    <t>AppLozic-Applozic-Android-SDK-48</t>
  </si>
  <si>
    <t>App is crashing when trying to delete user conversation</t>
  </si>
  <si>
    <t>App is crashing when trying to delete user conversation
Steps to reproduce:
1)Login to app
2)Navigate to message list page
3)click on add new userid icon( and put existing userid
4)click on more options then click on delete, app will crash</t>
  </si>
  <si>
    <t>OneBusAway-onebusaway-android-300</t>
  </si>
  <si>
    <t>v2.0.4 alpha is crashing</t>
  </si>
  <si>
    <t>For develop branch:
On starting the release app, this happens:</t>
  </si>
  <si>
    <t>CellularPrivacy-Android-IMSI-Catcher-Detector-620</t>
  </si>
  <si>
    <t>RuntimeException when downloading OpenCellID data with incorrect API key</t>
  </si>
  <si>
    <t>1. Install the app
2. Enter an incorrect OCID API key (i.e. typo)
3. Press Download BTS Data from the navigation drawer
4. The app and service crash.
The OCID server returns an 401 HTTP response code, and the app enters an error condition block that displays Toast. However, Toast cannot be displayed here because it is not currently executing on the main thread.
Occurs on tag v0.1.34-alpha-b00 (8dd3f7f) as well as latest development commit (a4b5bd4).</t>
  </si>
  <si>
    <t>2015-09-25</t>
  </si>
  <si>
    <t>EmergentOrganization-cell-rpg-68</t>
  </si>
  <si>
    <t>game crash on shield down</t>
  </si>
  <si>
    <t>ve noticed that the game will crash and throw rather strange error:
After some googling, the best can figure is that this error is the result of some improper disposal (http: stackoverflow.com questions 17005585
believe this error is fairly new, as did not notice it before cellRevamp.
To reproduce connect to arcade or story game and run into CA until the shield is fully depleted.</t>
  </si>
  <si>
    <t>2015-09-26</t>
  </si>
  <si>
    <t>dsaltares-libgdx-cookbook-10</t>
  </si>
  <si>
    <t>Eclipse 4.2/4.5 - samples-desktop - Run As - SwingCanvasSample</t>
  </si>
  <si>
    <t>checkout the cookbook-1.3.0 tag into Eclipse, gradle-build, and run using Run As Java Application SwingCanvasSample The sampler launches, but the individual sample programs are crashing, e.g. SpriteSample.
don encounter this problem neither with Main.java, not with environment wihch just work fine.
On Eclipse 4.2 Juno, get the error message
AL lib: (EE) DoReset: Failed to initialize audio client: 0x88890017
On Eclipse 4.5 Mars, get the error message
Exception in thread AWT-EventQueue-0
and on second execution the error message
Intel(R) HD Graphics 3000
3.1.0 Build 9.17.10.4229
Intel(R) HD Graphics 3000
3.1.0 Build 9.17.10.4229
... 25 more
Exception in thread AWT-EventQueue-0
Thanks for any hint to solve this issue,</t>
  </si>
  <si>
    <t>h6ah4i-android-advancedrecyclerview-115</t>
  </si>
  <si>
    <t>Exception on dragging outside [Grid layout]</t>
  </si>
  <si>
    <t>tried the drag and drop on Grid layout. It works nicely, except for this one issue
Lets say the activity contains the recycler view (grid) in 50% bottom region. And their are sufficient items, so that there are several (say 12) rows in the grid. Now grab an item from last row, and drag it up, fast. The finger should move into the top 50% region, which is outside the recycler view. Now the grabbed items floats above other items, but no swapping is happening. And if the item is released in this situation, the app crashes with this library exception
Moving out is perhaps leading to failed condition draggingItemId
And it would be great to have this feature While dragging an item from second last row to last row, we should be able to drag to empty columns in last row. This should move the very last item.</t>
  </si>
  <si>
    <t>Andrew67-DdrFinder-7</t>
  </si>
  <si>
    <t>Handle missing GPS permission</t>
  </si>
  <si>
    <t>In SDK 23, users can deny permissions during after application installation.
This means that existing code in the MapView that assumes access to the GPS API calls will throw an uncaught exception and crash the application.
Need to update code to detect and handle this situation, preferably presenting UI as well.</t>
  </si>
  <si>
    <t>Cloudkibo-Android-65</t>
  </si>
  <si>
    <t>Screen Sharing crashes</t>
  </si>
  <si>
    <t>tried to share screen from web to Android it crashed and application was closed.</t>
  </si>
  <si>
    <t>2015-09-29</t>
  </si>
  <si>
    <t>colegarien-SDDTermProject-53</t>
  </si>
  <si>
    <t>App crashes when an email address that is already used for another user is used to sign up a new user</t>
  </si>
  <si>
    <t>When signing up as new user, the user info for previous user shows up in the user info section if you have signed up as different user previously.</t>
  </si>
  <si>
    <t>cSploit-android-327</t>
  </si>
  <si>
    <t>Crash while searching for exploits</t>
  </si>
  <si>
    <t>Here is the log
Csploit crashes while searching for exploit</t>
  </si>
  <si>
    <t>OneBusAway-onebusaway-android-317</t>
  </si>
  <si>
    <t>NPE when choosing "Show trip details" for scheduled time</t>
  </si>
  <si>
    <t>When tapping on scheduled arrival and choosing Show trip details the app crashes with:</t>
  </si>
  <si>
    <t>tbruyelle-RxPermissions-3</t>
  </si>
  <si>
    <t>Crash on rotation</t>
  </si>
  <si>
    <t>First of all nice work. Sadly have to say that your solution currently does not work with rotation changes. Simply press Enable Camera rotate your device and press DENY on the popup. This will result in the following crash:
Caused by: invoked but didn find the corresponding permission request.
Do you have any ideas how to tackle this problem?</t>
  </si>
  <si>
    <t>2015-09-30</t>
  </si>
  <si>
    <t>dimagi-commcare-android-662</t>
  </si>
  <si>
    <t>Don't crash unregistering a receiver that wasn't previously registered</t>
  </si>
  <si>
    <t>Fix crash being seen on ACRA where, in onPause, unregistering the session expiration receiver that wasn previously registered causes force close. Not sure how this could ever happen, because it should always be registered in onResume, but might as well not fail hard when this happens.</t>
  </si>
  <si>
    <t>fesch-CanZE-50</t>
  </si>
  <si>
    <t>2015.09.27 build: Not connecting and crash on opening settings</t>
  </si>
  <si>
    <t>The latest build does not work on my LG Optimus 2X stock rom. There is no connection established and when enter settings the app crashes.
Running the 2015.09.20 build, settings and connection works. The Leafspy page crashes in this version, but the charging page works just fine.</t>
  </si>
  <si>
    <t>fesch-CanZE-54</t>
  </si>
  <si>
    <t>Version 2015.09.20 works fine, newer versions don't</t>
  </si>
  <si>
    <t>installed the version 2015.09.27 and 2015.10.01 on both my HTC One android 5.1.0 and tablet android 4.4.2
For both CanZe versions, the device displays not connected although the the bluetooth connects.
When pushing the key for settings, version 2015.09.27 crashes whereas the version 2015.10.01 displays: not allowed while driving. Not possible to enter the settings menu.
No way to make those versions work.
Version 2015.09.20 however, is working fine, except for the leafspy, then CanZe also crashes.
Any ideas how to solve the problem?</t>
  </si>
  <si>
    <t>2015-10-01</t>
  </si>
  <si>
    <t>segmentio-analytics-android-358</t>
  </si>
  <si>
    <t>NullPointerException in MoEngageIntegration</t>
  </si>
  <si>
    <t>In my Android Application class, have this
Analytics analytics new BuildConfig.SEGMENT WRITEKEY).build()
ActivityManager activityManager (ActivityManager) SERVICE)
long availableMegs mi.availMem 1048576L
app start new free mem ,availableMegs+ MB ))
This **works fine in Lollipop**, but got crash in Kitkat(4.4.4)
The crash log is as follows:</t>
  </si>
  <si>
    <t>souliss-soulissapp-77</t>
  </si>
  <si>
    <t>Opening T19 Detail, SoulissApp Crash</t>
  </si>
  <si>
    <t>Opening T19 detail to access slide for luminosity or music sync, the app crash.
Let me know if and what more detail needed.</t>
  </si>
  <si>
    <t>mvysny-aedict-572</t>
  </si>
  <si>
    <t>Special input may crash the glob search</t>
  </si>
  <si>
    <t>Caused by: value: blank
... 12 more</t>
  </si>
  <si>
    <t>2015-10-03</t>
  </si>
  <si>
    <t>zhanghai-MaterialProgressBar-7</t>
  </si>
  <si>
    <t>Caused by: java.lang.NumberFormatException: Invalid int: "48.0dip"</t>
  </si>
  <si>
    <t>My app crashed on one of my users.
Their version and device: Android 4.4 Galaxy A3 (a33g)
... 11 more
... 24 more
Caused by: Invalid int: 48.0dip
... 27 more
am using it like this:</t>
  </si>
  <si>
    <t>2015-10-04</t>
  </si>
  <si>
    <t>RSDT-joti-20</t>
  </si>
  <si>
    <t>crash</t>
  </si>
  <si>
    <t>2015-10-05</t>
  </si>
  <si>
    <t>orhanobut-hawk-92</t>
  </si>
  <si>
    <t>Strange ArrayIndexOutOfBoundsException</t>
  </si>
  <si>
    <t>am receiving some crash logs which suspect is related to Hawk. Here the log:
In all of the crashes src.length is 75 and length is 57. Maybe it the salt or some other key that is stored by Hawk? Crashes occurred on devices like: HUAWEI Y320-U30, HUAWEI Y511-U30.
also can tell that this crashes occurs on the startup of the application.
Any idea why this is happening?</t>
  </si>
  <si>
    <t>smarek-Simple-Dilbert-23</t>
  </si>
  <si>
    <t>Simple Dilbert null pointer exception crash</t>
  </si>
  <si>
    <t>have WiFi range extender installed where usually leave my Nexus tablet charging. have had Simple Dilbert crash twice now when go and get the tablet and take it near the WiFi router and start the app. The display times out and says it can connect to dilbert.com, select refresh from the menu and get an immediate Simple Dilbert has stopped crash. The first time it happened couldn find the traceback, this time got it. The extender has the same SSID and key as the router, but different mac address. Other apps use seem to cope with this. can see anything to do with networking in the traceback, so it might be red herring (https: en.wikipedia.org wiki Red herring). The app works fine when started again.</t>
  </si>
  <si>
    <t>syncthing-syncthing-android-464</t>
  </si>
  <si>
    <t>Syncthing binary crashed with error code 1</t>
  </si>
  <si>
    <t>try to use syncthing for android (0.6.6) from store.
but since my device is crashed one it stop working.
try to reinstall it but all has the same effect loading for ever.
the log says Syncthing binary crashed with error code</t>
  </si>
  <si>
    <t>2015-10-06</t>
  </si>
  <si>
    <t>fesch-CanZE-80</t>
  </si>
  <si>
    <t>2015-10-05 build does not work at all</t>
  </si>
  <si>
    <t>The application starts, but does not connect to my Konnwei. When going into the setting screen, the app crashes.</t>
  </si>
  <si>
    <t>ccrama-Slide-7</t>
  </si>
  <si>
    <t>Random crash when tapping on comments</t>
  </si>
  <si>
    <t>When tapping on comment sometimes for no reason Slide will crash. can find pattern.</t>
  </si>
  <si>
    <t>2015-10-07</t>
  </si>
  <si>
    <t>fesch-CanZE-89</t>
  </si>
  <si>
    <t>CanZE crashes while driving in Braking screen</t>
  </si>
  <si>
    <t>This happened today twice within some minutes of the start :-</t>
  </si>
  <si>
    <t>gre-gl-react-native-v2-16</t>
  </si>
  <si>
    <t>`null` texture crash</t>
  </si>
  <si>
    <t>null value for texture is supported since 1.1.0 (implemented as an empty texture), it works correctly in gl-react but crashes in gl-react-native.</t>
  </si>
  <si>
    <t>mvysny-aedict-574</t>
  </si>
  <si>
    <t>Crash at start</t>
  </si>
  <si>
    <t>Hello. Since the last updates or so get crash at startup. My version is v3.38.3, android 4.1.2.
got the following log:
It seems that there is an invalid search or something that gets executed every time try to start the program. Is there way to reset that so that it starts empty without having to lose all my information?</t>
  </si>
  <si>
    <t>projectbuendia-client-61</t>
  </si>
  <si>
    <t>Application crashes when 'Add Test Results' action menu is selected on Patient Chart</t>
  </si>
  <si>
    <t>Steps to reproduce this bug:
On login chart, select an user.
On locations chart, select location.
On patient list, select patient.
Then select Add Test Results on action Menu.
The application crashes and restarts on login chart.</t>
  </si>
  <si>
    <t>2015-10-08</t>
  </si>
  <si>
    <t>ccrama-Slide-18</t>
  </si>
  <si>
    <t>Refreshing when directly linked to a comment causes a crash</t>
  </si>
  <si>
    <t>ccrama-Slide-17</t>
  </si>
  <si>
    <t>Attempting to donate causes a crash</t>
  </si>
  <si>
    <t>The app appears to crash twice, first showing glimpse of the previous screen then crashing to launcher.</t>
  </si>
  <si>
    <t>ccrama-Slide-15</t>
  </si>
  <si>
    <t>View sidebar or view wiki in the 'all' tab results in a crash</t>
  </si>
  <si>
    <t>scottyab-secure-preferences-31</t>
  </si>
  <si>
    <t>SecureException in AesCbcWithIntegrity:installLinuxPRNGSecureRandom</t>
  </si>
  <si>
    <t>last release of library crash on HUAWEI G630 U10 with Android 4.3.</t>
  </si>
  <si>
    <t>cymcsg-UltimateRecyclerView-208</t>
  </si>
  <si>
    <t>Crash when swap</t>
  </si>
  <si>
    <t>when swap row item with Admod, app have crashed with exception</t>
  </si>
  <si>
    <t>ccrama-Slide-10</t>
  </si>
  <si>
    <t>force close on viewing user info</t>
  </si>
  <si>
    <t>when pressing the little info button in users profile, slide will crash.</t>
  </si>
  <si>
    <t>ccrama-Slide-9</t>
  </si>
  <si>
    <t>Landscape mode won't trigger while app is open, and crashes if triggered otherwise</t>
  </si>
  <si>
    <t>Opening the app with my phone horizontal makes it crash, and just rotating it with the app open does nothing. Tried messing around with column count, nothing.</t>
  </si>
  <si>
    <t>ccrama-Slide-24</t>
  </si>
  <si>
    <t>Attempting to view the sidebar of a subreddit without one causes a crash</t>
  </si>
  <si>
    <t>For instance slide (https: www.reddit.com slide)</t>
  </si>
  <si>
    <t>2015-10-09</t>
  </si>
  <si>
    <t>QuadFlask-colorpicker-37</t>
  </si>
  <si>
    <t>Crash without .initialColor(currentBackgroundColor)</t>
  </si>
  <si>
    <t>App crash if not use function with:</t>
  </si>
  <si>
    <t>mvysny-aedict-575</t>
  </si>
  <si>
    <t>"Export Notepad to CSV" freezes Aedict</t>
  </si>
  <si>
    <t>This feature crashes (in both options: send to disk or to apps). Version Aedict 3.38.6.</t>
  </si>
  <si>
    <t>2015-10-10</t>
  </si>
  <si>
    <t>ccrama-Slide-33</t>
  </si>
  <si>
    <t>Attempting to open the app without an internet connection causes a crash</t>
  </si>
  <si>
    <t>k9mail-k-9-839</t>
  </si>
  <si>
    <t>k9mail frequently crashes when deleting mail (bulk or individual) secure IMAP more than 1000 emails in inbox</t>
  </si>
  <si>
    <t>When set to sync IMAP with less than 100 emails, no problem.
But need to find older emails so sync with approx 2500 emails in the inbox.
using an SSL IMAP connection.
Frequently the app crashes.
running the latest version of k9mail on android 4.2.2 on Samsung Galaxy Note GT-N5100.
don have root, so logs are inaccessible due to permissions.
When have time ll connect to my Linux box and try to obtain logs for you.</t>
  </si>
  <si>
    <t>ccrama-Slide-42</t>
  </si>
  <si>
    <t>Shadowbox mode causes a crash if the subreddit hasn't loaded yet</t>
  </si>
  <si>
    <t>Particularly noticeable when reddit is having its tri daily server issues.</t>
  </si>
  <si>
    <t>2015-10-11</t>
  </si>
  <si>
    <t>fesch-CanZE-101</t>
  </si>
  <si>
    <t>CanZE crashes when opening the settings ...</t>
  </si>
  <si>
    <t>... an no other instance had ever before been installed on that tablet.
can now confirm this bug reproduced on my Terra Pad 701. friend uses the same with the same problem.</t>
  </si>
  <si>
    <t>2015-10-12</t>
  </si>
  <si>
    <t>square-okhttp-1921</t>
  </si>
  <si>
    <t>NPE When Reading Header</t>
  </si>
  <si>
    <t>We use OkHTTP as dependency for our Android SDK at Optimizely. We have been seeing this crash in the wild. It only happens for one customer. Any ideas?
Version Code: 66
Version Name: 2.1.1
Please let me know how can help debug and fix.</t>
  </si>
  <si>
    <t>ltGuillaume-DroidShows-4</t>
  </si>
  <si>
    <t>Crash after update</t>
  </si>
  <si>
    <t>On Android version of the app crashes before the interface even opens.</t>
  </si>
  <si>
    <t>ccrama-Slide-58</t>
  </si>
  <si>
    <t>High resolution image previews causes extreme slowdowns</t>
  </si>
  <si>
    <t>Demonstration, ends with an out of memory crash: https: vid.me l30v</t>
  </si>
  <si>
    <t>ccrama-Slide-52</t>
  </si>
  <si>
    <t>Issue/crash with opening profile</t>
  </si>
  <si>
    <t>Last few vesrions encountering this this issue where after log in and everything is synced cannot access my profile. When open it, after few seconds would get error Unfortunatelly Slide has stoped and app would log me out. After that would fully close app and when relaunched everything would go back to normal where loged in again. cannot submit crash report because its technically not crash? Also worth nothing is that can access inbox just fine.
Using Nexus on Android 6.</t>
  </si>
  <si>
    <t>ccrama-Slide-51</t>
  </si>
  <si>
    <t>Most actions without an internet connection causes a crash</t>
  </si>
  <si>
    <t>Very similar to #33, open the app with an internet connection, then activate aeroplane mode and swipe through to sub</t>
  </si>
  <si>
    <t>bumptech-glide-684</t>
  </si>
  <si>
    <t>Glide.get fails if PackageManager IPC fails</t>
  </si>
  <si>
    <t>PackageManager has failure mode where it throws RuntimeException with Package manager has died when IPC calls fail. We see this in the Dropbox app quite frequently. In our internal calls to PackageManager we are careful to catch this RuntimeException and handle it in cases where we can.
Unfortunately, adding Glide to our dependency list has started showing crashes with this stack:
Caused by: Package manager has died
For some reason not quite clear to me, we don see this on anything above 4.4.4.
The request here would be to have reasonable fallback when PackageManager is unavailable, or way for apps to opt out of manifest scanning to pick up custom modules, since we don use any.</t>
  </si>
  <si>
    <t>2015-10-13</t>
  </si>
  <si>
    <t>ccrama-Slide-67</t>
  </si>
  <si>
    <t>Slide doesn't restore from background correctly</t>
  </si>
  <si>
    <t>If Slide crashes and then restarts or if let Slide stay for long time in background, so that android kills it to free memory, then it just shows default screen like this (http: imgur.com ymtMf).
Slide won load any content even after one minute or so. Some buttons will crash the app again in this state (eg settings, info button in the action bar at the top)
LG g2, Android 5.0.2, v4.0.5 (this should be the newest)</t>
  </si>
  <si>
    <t>ccrama-Slide-64</t>
  </si>
  <si>
    <t>Sanitize the "search subreddit' input field</t>
  </si>
  <si>
    <t>Entering whitespace in the search subreddit field crashes the app</t>
  </si>
  <si>
    <t>ccrama-Slide-63</t>
  </si>
  <si>
    <t>Unfolding a comment crashes the app</t>
  </si>
  <si>
    <t>Android 5.0.2 LG G2 using v4.0.5</t>
  </si>
  <si>
    <t>elan-ev-StudIPAndroidApp-102</t>
  </si>
  <si>
    <t>ActionMenuView.java line 643</t>
  </si>
  <si>
    <t>Etar-Group-Etar-Calendar-12</t>
  </si>
  <si>
    <t>FC under Marshmallow when selecting "Home time zone" in General Settings</t>
  </si>
  <si>
    <t>get FC every time select Use Home time zone then Home time zone
Home time zone is defaulted to Eastern Daylight Time GMT-4 yet my:
Settings -&gt; Date Time -&gt; Automatic time zone
correctly defaults to GMT-05:00 Central Daylight Time
also seeing this on the AOSP Calendar that builds with AOSP-6.0.0, so it probably some change in Marshmallow.
attaching images and log data.
--------- beginning of crash</t>
  </si>
  <si>
    <t>2015-10-14</t>
  </si>
  <si>
    <t>saulmm-Avengers-7</t>
  </si>
  <si>
    <t>was trying to see how you solved RxAndroid Configuration changes but the app crashed when tilted my phone. (in both branches, master and fix load more characters issue)
Here the stacktrace</t>
  </si>
  <si>
    <t>ccrama-Slide-72</t>
  </si>
  <si>
    <t>Searching through comments before they are loaded causes a crash</t>
  </si>
  <si>
    <t>You have to input something into the search field to reproduce this, merely loading the search view isn enough. https: gist.github.com Alexendoo</t>
  </si>
  <si>
    <t>jMonkeyEngine-jmonkeyengine-367</t>
  </si>
  <si>
    <t>Native bullet crash when using ragdoll without bones</t>
  </si>
  <si>
    <t>Native stack trace:
const&amp;, btVector3 const*, int, btVector3 const&amp;)+0x31e
const&amp;, btVector3 const*, int, btVector3 const&amp;)+0x31e
const&amp;, btIDebugDraw*, bool)+0x35
const*, const*, btDispatcherInfo const&amp;,
btDispatcherInfo const&amp;, btDispatcher*)+0x5f
Java com jme3 bullet PhysicsSpace stepSimulation+0x7d
public class Main extends SimpleApplication
public static void main(String args)
Main app new Main()
AppSettings new AppSettings(true)
public void simpleInitApp()
BulletAppState new BulletAppState()
Bug 2: Node model Models Mr Chan onemesh.j3o The model doesn have the correct Ambient Color but didnt change it.
model.lookAt(new Vector3f(0,0,1), Vector3f.UNIT Y)
Bug two: model.getChild( python mr chan-suit01lres
DirectionalLight new DirectionalLight() needed because of faulty ambient color
d.setDirection(new Vector3f(0f, -1f, -1f))
Directly copied from GitHub
public static void rootNode, AssetManager assetManager, PhysicsSpace space)</t>
  </si>
  <si>
    <t>2015-10-15</t>
  </si>
  <si>
    <t>ccrama-Slide-115</t>
  </si>
  <si>
    <t>The information menu causes arrowburger to activate</t>
  </si>
  <si>
    <t>When sliding out the information bar, the arrowburger for the navigation bar will activate and very rarely crashes Slide.</t>
  </si>
  <si>
    <t>2015-10-16</t>
  </si>
  <si>
    <t>pylerSM-XInstaller-25</t>
  </si>
  <si>
    <t>Disabling user apps doesn't work on 4.1 TW. (I think)</t>
  </si>
  <si>
    <t>haven tested this on vanilla, but there isn any disable button, and additionally, it crashes with NoSuchMethodError when you click force stop. This also happens with Native Freezer.
suggest that you put long click listener on the Uninstall button, or add button itself.
Samsung Galaxy II Skyrocket (AT&amp;T)
Stock 4.1.2 TouchWiz rooted</t>
  </si>
  <si>
    <t>b2renger-PdDroidPublisher-34</t>
  </si>
  <si>
    <t>Samples crash sometime</t>
  </si>
  <si>
    <t>Error from Libc (LibPD) SIGSEGV
Happens often with Nexus devices as master. Ok with Asus device Asus as Master, BPM at 360 and two other devices with apps per device no crash during more than 30mn.
With Nexus as master, clock was not regular.</t>
  </si>
  <si>
    <t>opensensorhub-osh-android-2</t>
  </si>
  <si>
    <t>SensorHub not working on Android 4.4</t>
  </si>
  <si>
    <t>&lt;a href https: github.com sensiasoft &gt;&lt;img src https: 9446498?v align left width 96 height 96 hspace 10 &gt;&lt; img&gt;&lt; a&gt; **Issue by sensiasoft (https: github.com sensiasoft)**
Friday Aug 21, 2015 at 08:31 GMT
Originally opened as https: github.com sensiasoft sensorhub-core issues 29
The app crashes on startup. It seems the external .dex file cannot be properly loaded using the Dexter technique. It looks like references to the classes contained in the dex files are needed during DEX compile, before the dex file is actually loaded.</t>
  </si>
  <si>
    <t>2015-10-17</t>
  </si>
  <si>
    <t>ccrama-Slide-124</t>
  </si>
  <si>
    <t>Submitting a post causes a crash</t>
  </si>
  <si>
    <t>Submitting post appears to cause crash (however the post still appears correctly)</t>
  </si>
  <si>
    <t>dimagi-commcare-android-705</t>
  </si>
  <si>
    <t>Remove user facing ODK references</t>
  </si>
  <si>
    <t>Remove user-facing references to ODK
Remove references to Collect server preferences, that were never being shown.
Remove unused form entry settings and the code that makes use of them: form nav, form progress bar, help screen at form beginning, etc.
Fix bug where was running even if the form wasn done loading. This was causing the content provider query to crash the app.
**Release Notes**: Remove unused form setting entries</t>
  </si>
  <si>
    <t>b2renger-PdDroidPublisher-43</t>
  </si>
  <si>
    <t>Uncaught exception crash application</t>
  </si>
  <si>
    <t>For each thread, not catched exception cause application crash. This is not wanted sometimes (network error).
The idea is not to catch every exceptions from any thread because android provide diagnostics tools for that. The main idea is to catch exceptions that do not affect running application (for instance, on network error).</t>
  </si>
  <si>
    <t>pylerSM-XInstaller-26</t>
  </si>
  <si>
    <t>App reloads on rotation and crashes after onStop()</t>
  </si>
  <si>
    <t>There are few general easy-to-fix app flaws.
The rotation reloading the UI is easy, just add
to the XML tag of each Activity.
The crash is also simple one. All you have to do is check if whatever it is complaining about is null and recreate it if so.</t>
  </si>
  <si>
    <t>ccrama-Slide-159</t>
  </si>
  <si>
    <t>Disabled wikis cause a crash when attempting to view them</t>
  </si>
  <si>
    <t>For example, announcements (https: reddit.com announcements)</t>
  </si>
  <si>
    <t>2015-10-18</t>
  </si>
  <si>
    <t>Bathlamos-RTDC-109</t>
  </si>
  <si>
    <t>Application is crashing when accessing Communication Hub with no Asterisk connection</t>
  </si>
  <si>
    <t>When clicking on Communication Hub in the navigation drawer, the interface is drawn but the application also crashes.</t>
  </si>
  <si>
    <t>ccrama-Slide-153</t>
  </si>
  <si>
    <t>Clicked on a post when bottom is reached</t>
  </si>
  <si>
    <t>1. Quickly scroll to bottom of sub
2. Click the last post at bottom before new posts are loaded.
3. Post is loading and then slide crashes.</t>
  </si>
  <si>
    <t>ccrama-Slide-145</t>
  </si>
  <si>
    <t>Links to non existent subreddits cause a crash</t>
  </si>
  <si>
    <t>Causes an issue when people use for instance. The crash occurs after it appears to attempt loading the subreddit, rather than immediately clicking the link.</t>
  </si>
  <si>
    <t>chteuchteu-Munin-for-Android-28</t>
  </si>
  <si>
    <t>ViewDragHelper crashes</t>
  </si>
  <si>
    <t>MrMitch reported several crashes related to ViewDragHelper in Activity GraphView
They are actually related to chrisbanes PhotoView (https: github.com chrisbanes PhotoView) library and has been documented in Issues With ViewGroups (https: github.com chrisbanes
There are some ViewGroups (ones that utilize that throw exceptions when PhotoView is placed within them, most notably ViewPager and DrawerLayout. This is framework issue that has not been resolved.
Some exceptions are already caught by the HackyViewPager class, which covers the first component. It seems though that the DrawerLayout is now faulty for the remaining crashes.
Unfortunately, DrawerLayouts are automatically inflated by mikepenz MaterialDrawer (https: github.com mikepenz MaterialDrawer) library so we cannot replace those.
Project owner said though that this could be possible (https: github.com mikepenz MaterialDrawer issues
Theoretically it possible to pass your own DrawerLayout implementation to the DrawerBuilder and use this one. Note the provided layout must follow the same structure as the MaterialDrawer intern one.
Still waiting for an answer, but this seems to be the only way to go. We create HackyDrawerLayout (implements DrawerLayout) that would intercept the exceptions. Let wait see</t>
  </si>
  <si>
    <t>ccrama-Slide-140</t>
  </si>
  <si>
    <t>Clicking on a subreddit link before the comments finished loading crashes slide</t>
  </si>
  <si>
    <t>syncthing-syncthing-android-467</t>
  </si>
  <si>
    <t>Crash when adding new folder</t>
  </si>
  <si>
    <t>Application crashes on new folder creation.
Here is logcat:</t>
  </si>
  <si>
    <t>2015-10-19</t>
  </si>
  <si>
    <t>michael-rapp-AndroidMaterialPreferences-2</t>
  </si>
  <si>
    <t>Crash when restoring SeekBarPreference's saved state</t>
  </si>
  <si>
    <t>When using SeekBarPreference within Fragment, the app may crash when restoring the preference state. The issue seems to occur after the device display remained turned of for quite some time with the preference dialog opened. When turning the device on again, the Fragment state, including the state of the SeekBarPreference gets restored, resulting in crash. This bug seems not to happen after orientation changes. See attached stacktrace for further information.</t>
  </si>
  <si>
    <t>michael-rapp-AndroidMaterialPreferences-1</t>
  </si>
  <si>
    <t>Changing the default number of a NumberPickerPreference may cause a crash</t>
  </si>
  <si>
    <t>When the default number of is changed by using the setter method or XML attribute, this may cause the app to crash. The reason is, that the minimum and maximum number are not initialized yet and therefore are 0. Therefore the precondition, that the preference number must be between both values, may fail.</t>
  </si>
  <si>
    <t>zhanghai-MaterialProgressBar-8</t>
  </si>
  <si>
    <t>Crash on API 17 / Android 4.2</t>
  </si>
  <si>
    <t>When the Material Progress Bar is instantiated on API 17, this crash pops up (tested on API 17 emulator and older Samsung device):
Caused by: Invalid int: .0dip
... 11 more
debugged myself into the code but could not find the root source where this comes from. The value it apparently tries to parse is 0.0dip which is of course totally invalid for android:tintMode Any clues here?</t>
  </si>
  <si>
    <t>Bathlamos-RTDC-110</t>
  </si>
  <si>
    <t>Communication Hub Crashes On Load</t>
  </si>
  <si>
    <t>App crashes when user loads the Communication Hub.</t>
  </si>
  <si>
    <t>dimagi-commcare-android-713</t>
  </si>
  <si>
    <t>Show user XPathTypeMismatchExceptions</t>
  </si>
  <si>
    <t>Round II of https: github.com dimagi commcare-odk pull 687
Wrap and show to the user for the following crashes:</t>
  </si>
  <si>
    <t>2015-10-20</t>
  </si>
  <si>
    <t>andybalaam-rabbit-escape-116</t>
  </si>
  <si>
    <t>Bug: OutOfMemoryError on Android</t>
  </si>
  <si>
    <t>When playing K2 (v0.6.1) on Android consistently get crash with the following stacktrace:</t>
  </si>
  <si>
    <t>dimagi-commcare-android-728</t>
  </si>
  <si>
    <t>Save form load error and reshow dialog on orientation change</t>
  </si>
  <si>
    <t>Prevent app from crashing when form load error dialog is shown and the app is rotated.
Still need to figure out how to not make the app crash after pressing the OK button on that dialog after rotation...</t>
  </si>
  <si>
    <t>2015-10-22</t>
  </si>
  <si>
    <t>sromku-android-storage-11</t>
  </si>
  <si>
    <t>Encryption key changes after every new app start</t>
  </si>
  <si>
    <t>just tried your library and found the interface clean and intuitive. However also wanted to encrypt my data and thus providing an ivx and secret key. created and loaded data and closed the app. After reopening the app crashed due to BadPaddingException when decrypting the files. digged little into your application and found that the secret key keeps changing whenever restart the app. think this is due to the salt you add to the secret key. This seems to be broken. Maybe you should have look into that.</t>
  </si>
  <si>
    <t>dimagi-commcare-android-721</t>
  </si>
  <si>
    <t>prevent null pointer exception if getCurrentWidget() returns null</t>
  </si>
  <si>
    <t>It looks like getCurrentWidget() is sometimes returning null, which isn good, but is gonna be really hard to track down the cause of. For now, this will at least prevent the app from crashing when it does. In theory this means it possible that we will skip performing scaling of an image capture when we should be, but since it very minimally used feature right now, the chances of that are unlikely. More concerned about what wrong with the implementation of getCurrentWidget(), since it definitely shouldn be returning null in the place the stack trace is indicating -- if anyone has intuitions, let me know.</t>
  </si>
  <si>
    <t>ccrama-Slide-229</t>
  </si>
  <si>
    <t>Crashes on Comment without Data</t>
  </si>
  <si>
    <t>The app crashes after submitting comment when data wifi was disconnected while in-app.</t>
  </si>
  <si>
    <t>czlee-debatekeeper-22</t>
  </si>
  <si>
    <t>App crashes on screen rotation in any non-prep timer</t>
  </si>
  <si>
    <t>Workaround is to disable screen rotation (heh).</t>
  </si>
  <si>
    <t>OneBusAway-onebusaway-android-341</t>
  </si>
  <si>
    <t>Crash on Android 2.3.4 when changing to sorting by ETA</t>
  </si>
  <si>
    <t>For develop branch, on an HTC EVO Shift Android 2.3.4.
When changing to sorting by ETA in the arrivals list, it crashes and see this in Logcat:</t>
  </si>
  <si>
    <t>2015-10-23</t>
  </si>
  <si>
    <t>dimagi-commcare-android-733</t>
  </si>
  <si>
    <t>Prevent app from crashing when form load error dialog is shown and the app is rotated.
Fixed bug where the field wasn being setup correctly between orientation changes. The solution was to not have platform class field, but rather lookup the platform every time we need it. Not sure why platform was class field in the first place, so worth double checking didn break anything make anything slower. ctsims, thoughts?</t>
  </si>
  <si>
    <t>OpenTreeMap-otm-android-226</t>
  </si>
  <si>
    <t>OpenTreeMap Android crashes when unit is in Power Save mode</t>
  </si>
  <si>
    <t>have not reproduced this bug, but here is the account from the user:
believe the android app crashes when the unit is in Power Saver mode.
opened the app and tried to login. It crashed.
did it again. It crashed again.
plugged it in to charge it as noticed the power was low. Now it works.
Also each time opened the app it was asking me to login. Once it is working, it opens up already logged in to my account. suspect that some system call is failing when the Android device is in Power Saver or Battery Safe mode.</t>
  </si>
  <si>
    <t>robovm-robovm-store-app-22</t>
  </si>
  <si>
    <t>Android app crash when clicking product on first screen</t>
  </si>
  <si>
    <t>This happened once. Cannot always reproduce. If the image load is async it could be that we try to do something with it before it has been loaded? was on pretty slow cellular connection when this happened.</t>
  </si>
  <si>
    <t>robovm-robovm-store-app-20</t>
  </si>
  <si>
    <t>Deleting items in basket crashes Android app</t>
  </si>
  <si>
    <t>Put couple of items in basket. Go to basket. Delete last one. Crash with trace below.</t>
  </si>
  <si>
    <t>ccrama-Slide-244</t>
  </si>
  <si>
    <t>Pressing 'Your profile' causes a crash</t>
  </si>
  <si>
    <t>Crashes consistently every time right away, doesn try to load any other view</t>
  </si>
  <si>
    <t>2015-10-24</t>
  </si>
  <si>
    <t>rampage128-hombot-control-6</t>
  </si>
  <si>
    <t>App crashes when changing orientation after visiting schedule section</t>
  </si>
  <si>
    <t>When the schedule section is visited once and the device orientation changes after that the app crashes (usually only when the schedule section is not selected on orientation change)</t>
  </si>
  <si>
    <t>2015-10-25</t>
  </si>
  <si>
    <t>ccrama-Slide-270</t>
  </si>
  <si>
    <t>Changing the comment sorting crashes slide</t>
  </si>
  <si>
    <t>while browsing sub Reddit, changing the comments order from top to new crashes app.
OS API Level: 21
Model (and Product): HTC6525LVW (HTCOneM8vzw)</t>
  </si>
  <si>
    <t>ccrama-Slide-265</t>
  </si>
  <si>
    <t>Adding /r/all to a multireddit causes a crash</t>
  </si>
  <si>
    <t>It should not be possible to add all to multireddit (however frontpage **is** okay).</t>
  </si>
  <si>
    <t>stefan-niedermann-nextcloud-notes-34</t>
  </si>
  <si>
    <t>Notes app crashing on open</t>
  </si>
  <si>
    <t>The notes app is now continuously crashing for me on opening and can not do anything at the moment. This is what did last and what think might have caused it:
1. Create note
2. Add widget for it
3. Change note (including first line, title line)
4. Widget doesn get updated, clicking on it also leads to old note. But the list is updated
5. Then the app just starts crashing on opening.
stefan-niedermann any idea?</t>
  </si>
  <si>
    <t>Cloudkibo-Android-74</t>
  </si>
  <si>
    <t>SQLite Database Lock errors crash application</t>
  </si>
  <si>
    <t>These errors have started to occur from sync adapter and when sync adapter tries to access the database, application crashes and gives the error of lock database.
This is error is not vital to do current v2 enhancements. have closed the sync adapter for now to avoid crashing. We would fix it soon.</t>
  </si>
  <si>
    <t>ccrama-Slide-255</t>
  </si>
  <si>
    <t>2FA not supported by crash reporter</t>
  </si>
  <si>
    <t>Trying to log in to the crash reporter on an account that uses 2FA causes an error to be displayed.</t>
  </si>
  <si>
    <t>ccrama-Slide-246</t>
  </si>
  <si>
    <t>Deleting a subreddit from 'Subreddit Theme Settings' causes a crash</t>
  </si>
  <si>
    <t>It prompts if you wish to delete the sub then crashes when you confirm you do. It does however successfully delete the subreddit from the list when going back to check.</t>
  </si>
  <si>
    <t>syncthing-syncthing-android-471</t>
  </si>
  <si>
    <t>Syncthing-android crashes instantly</t>
  </si>
  <si>
    <t>installed 0.7.0-beta1 on my S5 and at first it worked just fine. But after while it started crashing every time. It starts, displays Loading... for some time and then crashes. By the time it crashes it usually suceeds in sending at least one file (I copy file to the synched folder and it shows on the PC). This is past of adb logcat -d -v time result after crash.</t>
  </si>
  <si>
    <t>2015-10-26</t>
  </si>
  <si>
    <t>dmfs-opentasks-171</t>
  </si>
  <si>
    <t>Saving a task without title, but a one line description leasds to a crash</t>
  </si>
  <si>
    <t>Apparently the app assumes there would always be new line character, which is not the case for one line description ...</t>
  </si>
  <si>
    <t>dimagi-commcare-android-744</t>
  </si>
  <si>
    <t>Use default title if refreshing breadcrumb title while updating app</t>
  </si>
  <si>
    <t>If you rotate the screen while applying an app update then the breadcrumb bar crashes while trying to localize an installed resource because it isn available. Wrap the offending line in try catch that returns default title when this happens.
Isn ideal, but is minimal change and suspect hunting down robust solution would take me hours.</t>
  </si>
  <si>
    <t>dimagi-commcare-android-743</t>
  </si>
  <si>
    <t>Don't try to get session before cc app is installed</t>
  </si>
  <si>
    <t>Pressing back on the install screen caused crash because the onResultActivity code path was trying to load the commcare session before an app was installed.</t>
  </si>
  <si>
    <t>dimagi-commcare-android-739</t>
  </si>
  <si>
    <t>Prevent crash when orientation changes after form load fails</t>
  </si>
  <si>
    <t>Prevent app from crashing when form load error dialog is shown and the app is rotated.
Better approach than the original proposed PR: https: github.com dimagi commcare-odk pull 733</t>
  </si>
  <si>
    <t>syncthing-syncthing-android-470</t>
  </si>
  <si>
    <t>Beta issues</t>
  </si>
  <si>
    <t>Ann servers shows though web ui shows (with only beind defined?)
Logs for android and syncthing are missing (needs root?)
Opening web ui, going back and opening settings crashes the app</t>
  </si>
  <si>
    <t>ccrama-Slide-283</t>
  </si>
  <si>
    <t>Crash on link to reddit search within a comment.</t>
  </si>
  <si>
    <t>Clicking on link to Reddit search from within comment causes an app crash. The link causing this for me:
OS API Level: 22
Model (and Product): Nexus (occam)</t>
  </si>
  <si>
    <t>unfoldingWord-dev-uw-android-143</t>
  </si>
  <si>
    <t>WiFi direct crashed app</t>
  </si>
  <si>
    <t>WiFi direct crashed app
Environment Key Value
Android Release 5.0
Android SDK 21</t>
  </si>
  <si>
    <t>2015-10-27</t>
  </si>
  <si>
    <t>dimagi-commcare-android-751</t>
  </si>
  <si>
    <t>Catch xpath mismatch exception in FormHierarchyBuilder</t>
  </si>
  <si>
    <t>Show the following text error instead of crashing when the form hierarchy view encounters xpath type mismatch error:</t>
  </si>
  <si>
    <t>OneBusAway-onebusaway-android-342</t>
  </si>
  <si>
    <t>Release builds crash with java.lang.IllegalStateException</t>
  </si>
  <si>
    <t>was just trying to do another alpha release, and upon packaging the APK and installing it get:
This doesn happen on debug builds, only releases, so assuming its an issue with Proguard, likely related to the change from using deprecated ActionBarActivity to AppCompatActivity</t>
  </si>
  <si>
    <t>TeamNewPipe-NewPipe-62</t>
  </si>
  <si>
    <t>MPDroid crashes when pressing the Headphones-Icon</t>
  </si>
  <si>
    <t>think the headphones icon is for streaming audio only, right?
When click it, only get the notification, that MPDroid crashed and then Im back at the search results page of NewPipe.
Why does it even want to use MPDroid?
Thanks and keep developing this great App :)
When install VLC and chose that it works</t>
  </si>
  <si>
    <t>2015-10-28</t>
  </si>
  <si>
    <t>projectbuendia-client-103</t>
  </si>
  <si>
    <t>Client Crash when no Profile Applied.</t>
  </si>
  <si>
    <t>This happens right after you setup new development server.
As there is no profile applied to the new server some of the information is missing and the client crashes.</t>
  </si>
  <si>
    <t>dimagi-commcare-android-756</t>
  </si>
  <si>
    <t xml:space="preserve">Don't crash when trying to remove attached videos on form discarding </t>
  </si>
  <si>
    <t>Deleting form media was using incorrect cursors and columns. This resulted in CommCare crashing, leaving media files around on the phone.</t>
  </si>
  <si>
    <t>k9mail-k-9-871</t>
  </si>
  <si>
    <t>Crash during reading of an email</t>
  </si>
  <si>
    <t>receive an email which crashes the app.
After some research, found that mBody for the file Version texte.txt is null (LocalBodyPart with minetype text plain and crashes with null value.
also tried new email with this file but mBody is not null.
So think the issue is located in the loading process.
You can find the mail here http: guillaume.smaha.net contrib k9mail TestCrashEmail.eml</t>
  </si>
  <si>
    <t>unfoldingWord-dev-ts-android-947</t>
  </si>
  <si>
    <t>Progress indicator erroneously includes non-translation files</t>
  </si>
  <si>
    <t>The progress indicator pie chart is based on directory listing that includes not just translated files, but also the .git directory. In all cases, this inflates the number of chunks counted. When the inflation is enough to cause the rounded total to exceed 100%, it will cause crash. And it will cause crash even on zero progress for short books like John.</t>
  </si>
  <si>
    <t>microg-GmsCore-51</t>
  </si>
  <si>
    <t>ADREQUEST Service ID not handled</t>
  </si>
  <si>
    <t>When using the some App, it crashed and was getting an
After some debugging, temporarily changed the ServiceId of to ID and rebuilt the apk.
Which fixed the Crash.
But assume, the proper way would be to add (rather than replace) the service id to the varargs super constructor. Or implement separate service for that ID.
But maybe the DummyService should handle this? Seems to be disabled since is throwing the Exception.
--------- beginning of crash</t>
  </si>
  <si>
    <t>2015-10-29</t>
  </si>
  <si>
    <t>OneBusAway-onebusaway-android-348</t>
  </si>
  <si>
    <t>Crash on startup viewing map with poor quality data connection</t>
  </si>
  <si>
    <t>saw crash yesterday on startup when viewing the map when in an area with poor quality data connection. reproduced it several times, but unfortunately didn have access to machine to capture the log. ll see if can reproduce again and grab the log.</t>
  </si>
  <si>
    <t>eclipsesource-J2V8-100</t>
  </si>
  <si>
    <t>Fatal crash when creating isolate</t>
  </si>
  <si>
    <t>We had random crash that we weren able to reproduce. Since it isn totally clear what caused the problem, can give any further details but at least wouldn expect the library to crash.
Experienced on Android device with j2v8 3.0.6.
DEBUG 181): *** *** *** *** *** *** *** *** *** *** *** *** *** *** *** ***
DEBUG 181): Build fingerprint: google razor flo:5.1.1 LMY48T 2237560:user release-keys
DEBUG 181): Revision:
DEBUG 181): ABI: arm
DEBUG 181): signal 11 (SIGSEGV), code (SEGV MAPERR), fault addr 0x0
DEBUG 181): r0 9fcf4268 r1 b6f85e30 r2 a1a97af8 r3 00000000
DEBUG 181): r4 9bade000 r5 9bade000 r6 9fcf4268 r7 bea54d6c
DEBUG 181): r8 bea54d7c r9 00000000 sl 9fc8d338 fp bea54dbc
DEBUG 181): ip 9f8eeeec sp bea54d30 lr 9f66b190 pc 9f66b208 cpsr 600f0010
DEBUG 181): backtrace:</t>
  </si>
  <si>
    <t>cSploit-android-480</t>
  </si>
  <si>
    <t>MITM not working on Nexus 4/w CM 12.1 -- might be arpspoof silently crashing?</t>
  </si>
  <si>
    <t>No MITM seems to work. Nothing bad in UI, just doesn do anything.
With ga assistance, think ve narrowed it down to arpspoof crashing:
strace arpspoof -i wlan0 target ip gw ip
trace arpspoof -i wlan0 target ip gw ip
execve( arpspoof arpspoof -i wlan0 target ip gw ip 23 vars
4096, PROT READ)
set tid address(0xb6f88bf4) 21914
set tls(0xb6f88e30, 0xb6f88e30, 0xb6f88e30, 0xb6f88c00, 0xb6f88bec)
mmap2(NULL, 8192, PROT READ PROT WRITE, MAP PRIVATE MAP ANONYMOUS, -1, 0) 0xb6f77000
madvise(0xb6f77000, 8192, MADV MERGEABLE)
sigaltstack( ss sp 0xb6f77000, ss flags 0, ss size 8192 NULL)
mmap2(NULL, 4096, PROT READ PROT WRITE, MAP PRIVATE MAP ANONYMOUS, -1, 0) 0xb6f76000
madvise(0xb6f76000, 4096, MADV MERGEABLE)
4096, PROT READ)
4096, PROT READ PROT WRITE)
4096, PROT READ)
4096, PROT READ PROT WRITE)
4096, PROT READ)
--- SIGSEGV si signo SIGSEGV, si code SEGV MAPERR, si addr 0x11 ---
+++ killed by SIGSEGV +++</t>
  </si>
  <si>
    <t>2015-10-30</t>
  </si>
  <si>
    <t>OneBusAway-onebusaway-android-351</t>
  </si>
  <si>
    <t>Clicking "Get google play services" crashes on devices with no market installed</t>
  </si>
  <si>
    <t>On the develop branch:
On devices that have no google play services, there is button to install them, but if you don even have market installed on the device, pressing the button crashes the application.
FATAL EXCEPTION: main</t>
  </si>
  <si>
    <t>OneBusAway-onebusaway-android-350</t>
  </si>
  <si>
    <t>Crash on Android 2.3.4 - java.lang.StackOverflowError on Style B view init</t>
  </si>
  <si>
    <t>For develop branch, on an HTC EVO Shift Android 2.3.4.
When tapping on bus stop and viewing arrivals sorted by Route in Style B, the app crashes and see:
FATAL EXCEPTION: main
Looks like this may be repeat of #275.</t>
  </si>
  <si>
    <t>Bathlamos-RTDC-116</t>
  </si>
  <si>
    <t>Application crashes if sending message to offline user</t>
  </si>
  <si>
    <t>When calling and the user to which the sipAddress belongs is not online, the application crashes with native error.</t>
  </si>
  <si>
    <t>Fleker-CumulusTV-68</t>
  </si>
  <si>
    <t>Crash on Android TV</t>
  </si>
  <si>
    <t>Upgrade from Alpha to 1.4.1, crash on app open.
Wiped App Data and it works now.</t>
  </si>
  <si>
    <t>Fleker-CumulusTV-66</t>
  </si>
  <si>
    <t>Crashes on M without Storage Permission</t>
  </si>
  <si>
    <t>It keeps crashing on me unless go into Settings and manually enable the Storage permission that the app is supposed to ask to enable.</t>
  </si>
  <si>
    <t>fesch-CanZE-157</t>
  </si>
  <si>
    <t>CanZE crashes on Battery section on HTC One Mini</t>
  </si>
  <si>
    <t>CanZE crashes when opening Battery section on HTC One Mini.
Other Sections are working.</t>
  </si>
  <si>
    <t>2015-10-31</t>
  </si>
  <si>
    <t>ccrama-Slide-328</t>
  </si>
  <si>
    <t>App crashed when exiting the in built browser.</t>
  </si>
  <si>
    <t>exited the in built browser and the all crashed.
OS API Level: 23
Model (and Product): Nexus (volantis)
SLIDE VERSION: 73
Caused by: Attempt to invoke virtual method java.lang.Object on null object reference</t>
  </si>
  <si>
    <t>2015-11-01</t>
  </si>
  <si>
    <t>Cloudkibo-Android-77</t>
  </si>
  <si>
    <t>conference android crashes when file size is large</t>
  </si>
  <si>
    <t>In conference, android crashes if sending or receiving file size is greater than 20 mb</t>
  </si>
  <si>
    <t>ccrama-Slide-322</t>
  </si>
  <si>
    <t>Crash in landscape mode with 'load more comments'</t>
  </si>
  <si>
    <t>all crashes when scrolling down in comments.
OS API Level: 23
Model (and Product): Nexus (volantis)
SLIDE VERSION: 72
... 77 more
... 82 more
Caused by: Failed to resolve attribute at index 13: TypedValue 0x2 0x7f01028f -1
... 84 more</t>
  </si>
  <si>
    <t>chennaione-sugar-413</t>
  </si>
  <si>
    <t>Crash on some Samsung devices</t>
  </si>
  <si>
    <t>have seen in certain devices (Samsung) that this keeps crashing everysingle time, do you have any idea of why this could happen</t>
  </si>
  <si>
    <t>haiwen-seadroid-437</t>
  </si>
  <si>
    <t>Long-pressing a library crashes seadroid</t>
  </si>
  <si>
    <t>Long-pressing any library in the libraries screen will crash the app.
App version 1.9.2</t>
  </si>
  <si>
    <t>itachi1706-SingBuses-29</t>
  </si>
  <si>
    <t>Handle crashes for bus stops with 0 bus services</t>
  </si>
  <si>
    <t>ccrama-Slide-320</t>
  </si>
  <si>
    <t xml:space="preserve">Various bugs </t>
  </si>
  <si>
    <t>Pull to refresh make the app crash.
Infinte scroll doesn work.
When try to sign in from the in-app GitHub report it crash.</t>
  </si>
  <si>
    <t>ccrama-Slide-316</t>
  </si>
  <si>
    <t>Crash after reloading Front Page</t>
  </si>
  <si>
    <t>Scrolled to the bottom of the Front Page, and when new posts wouldn load, decided to scroll back to the top and refresh the page. Loading bubble appeared and then Slide crashed.
OS API Level: 22
Model (and Product): SM-G925P (zeroltespr)
SLIDE VERSION: 72</t>
  </si>
  <si>
    <t>bumptech-glide-722</t>
  </si>
  <si>
    <t>NoSuchElementException from SupportRequestManagerFragment.onLowMemory</t>
  </si>
  <si>
    <t>Our crash monitoring facility had identified the above exception. It has been reported using Glide 3.5.2 and 3.5.0. It usually occurs in Android devices, though we have reports up to 5.1. We re not able to reproduce it in our testing. While it not frequent report, we have seen 300+ reports in the last 30 days.
It looks like it may be the same or related to #266. Here the stack trace in our case:</t>
  </si>
  <si>
    <t>2015-11-02</t>
  </si>
  <si>
    <t>ccrama-Slide-343</t>
  </si>
  <si>
    <t>(Un)subscribing crashes slide</t>
  </si>
  <si>
    <t>tried to unsubscribe from calvinandhobbes through the sidebar and slide just crashed
OS Version: 3.4.109-Resurrected
OS API Level: 22
Model (and Product): A0001 (bacon)
SLIDE VERSION: 73</t>
  </si>
  <si>
    <t>ccrama-Slide-341</t>
  </si>
  <si>
    <t>Crash after tapping FAB when there aren't any pins</t>
  </si>
  <si>
    <t>If there aren any pinned subreddits, tapping the FAB causes crash. using version 4.2.5.5
1. Tap Reorder your pins
2. Ensure there isn anything pinned
3. Tap the FAB to add
Seems to be similar to #245, except in this case, it when there aren any pinned subreddits.</t>
  </si>
  <si>
    <t>alexvasilkov-GestureViews-3</t>
  </si>
  <si>
    <t>Error inflating class com.alexvasilkov.gestures.views.GestureImageView</t>
  </si>
  <si>
    <t>Hi, firstly thanks for the library. have crash when trying to use GestureImageView in my layout. found the issue is the public void dr) called before is instantiated in the constructor. ve added this simple hack as this was the first thing that came to my head. Maybe you can come up with better solution.
public void dr)
Settings settings getSettings()
int oldW oldH
if (dr null)
else if -1 -1)
if (oldW oldH
private Settings getSettings()</t>
  </si>
  <si>
    <t>fesch-CanZE-168</t>
  </si>
  <si>
    <t>CanZE crashes when opening Alexander's Playground</t>
  </si>
  <si>
    <t>h6ah4i-android-advancedrecyclerview-142</t>
  </si>
  <si>
    <t>Recycler View crash on destroy</t>
  </si>
  <si>
    <t>occasionaly get on destroy:
--- End of managed exception stack trace ---
use Xamarin.Android but it the same as in Java (I have binded your library to C# by Xamarin Java Binding Generator).
Add null-checks on all methods at BaseWrapperAdapter.</t>
  </si>
  <si>
    <t>ccrama-Slide-339</t>
  </si>
  <si>
    <t>App crashed when loading image gallery.</t>
  </si>
  <si>
    <t>tapped to open an image gallery from post in movies and it showed black screen for seconds and the app crashed.
OS API Level: 23
Model (and Product): Nexus (volantis)
SLIDE VERSION: 73
... 66 more
... 71 more
Caused by: Failed to resolve attribute at index 13: TypedValue 0x2 0x7f01028f -1
... 73 more</t>
  </si>
  <si>
    <t>ccrama-Slide-338</t>
  </si>
  <si>
    <t xml:space="preserve">Crashed </t>
  </si>
  <si>
    <t>crashed when adding 2nd account
OS API Level: 21
Model (and Product): HTC One M8 (htc europe)
SLIDE VERSION: 73
Caused by: Could not execute the request: HttpRequest method GET url https: oauth.reddit.com api v1 me, expectedMediaType application json, headers User-Agent: (by ccrama)
Caused by: Unable to resolve host oauth.reddit.com No address associated with hostname
... 12 more</t>
  </si>
  <si>
    <t>microg-GmsCore-55</t>
  </si>
  <si>
    <t>App: Advanced Download Manager</t>
  </si>
  <si>
    <t>Advanced Download Manager (version 5.0.9)
https: play.google.com store apps d...m.dv.adm&amp;hl de
The App crashes at startup.</t>
  </si>
  <si>
    <t>2015-11-03</t>
  </si>
  <si>
    <t>ongakuer-CircleIndicator-36</t>
  </si>
  <si>
    <t>Crash on line 157 with empty ViewPager Adapter</t>
  </si>
  <si>
    <t>In usual samples, when you have your ViewPager already filled with items, CircleIndicator works correctly, but when Adapter has no items, (in case of loading something from web and populating later on), there is crash.
think you need to check if position is -1 before doing anything in onPageSelected method.</t>
  </si>
  <si>
    <t>Automattic-Automattic-Tracks-Android-23</t>
  </si>
  <si>
    <t>Fix crash while accessing BT on 4.x</t>
  </si>
  <si>
    <t>Fix #20 and bump version number to 1.1
Once this is merged we need to publish it on Sonatype.
roundhill This is the version you need to use in Simplenote.</t>
  </si>
  <si>
    <t>2015-11-04</t>
  </si>
  <si>
    <t>marverenic-Jockey-28</t>
  </si>
  <si>
    <t>Glitch?</t>
  </si>
  <si>
    <t>Found this glitch while playing music, downloaded the latest build from the play store. The app doesn crash when click on rewind button, but it sure is weird, removed the music details, but the rewind button is glitchy, its the same in the notifcations too. Reboot didn fix it, nor did clearing data.</t>
  </si>
  <si>
    <t>IBM-MIL-IBM-Ready-App-for-Telecommunications-9</t>
  </si>
  <si>
    <t>Crashes with java.lang.NumberFormatException</t>
  </si>
  <si>
    <t>**Steps to Reproduce**
1. Click on the Data tab.
2. For all the apps under the My Apps section, click Add
3. On top of Data tab lower the GB value as low as permitted
4. Click ACCEPT
5. App will crash with
This is due to dividing by zero when the GB limit goes down to zero. Proposed solution is to make the minimum data limit 1.</t>
  </si>
  <si>
    <t>2015-11-05</t>
  </si>
  <si>
    <t>orhanobut-hawk-103</t>
  </si>
  <si>
    <t>NPE in AesCbcWithIntegrity.decrypt()</t>
  </si>
  <si>
    <t>am working on NPE we have been reported. hopefully someone can give us some help understanding what is happening.
here is the stackTrace:
the crash refers to the version 1.18 and the NPE happens when is executed but secretKeys is null.
we are using
thanks for your help!</t>
  </si>
  <si>
    <t>moneymanagerex-android-money-manager-ex-608</t>
  </si>
  <si>
    <t>Crash after prompting for permissions on Android 6</t>
  </si>
  <si>
    <t>When prompting for the storage access permissions, the activity loses focus and saves the instance state. This happens during the initialization so no fragments are shown. After returning from the confirmation dialog, the app crashes when trying to display the fragments.
*********** APP DETAILS ************
*********** CAUSE OF ERROR ************
Caused by: Can not perform this action after onSaveInstanceState</t>
  </si>
  <si>
    <t>h6ah4i-android-advancedrecyclerview-145</t>
  </si>
  <si>
    <t>SwipeableItemWrapperAdapter.onViewRecycled crash</t>
  </si>
  <si>
    <t>My application logged another crash on activity destroy due to</t>
  </si>
  <si>
    <t>ccrama-Slide-364</t>
  </si>
  <si>
    <t>Crash after clicking URL in Welcome to reddit message</t>
  </si>
  <si>
    <t>Clicking on the hyperlink in the **Welcome to reddit** message that asks you to **Type in an interest** causes crash. In browser, the URL should bring you to page where you can subscribe to new subreddits (not sure how you want to handle that in an app&amp;mdash could see it getting ugly fast). ve included stack trace, since the GitHub reporter didn show up.
This is the relevant URL: https: www.reddit.com subreddits?ref welcomepm
--------- beginning of crash</t>
  </si>
  <si>
    <t>SubstanceMobile-GEM-20</t>
  </si>
  <si>
    <t>No art crash</t>
  </si>
  <si>
    <t>if an album doesn have an art then GEM will crash while opening album details
OS API Level: 22
Model (and Product): victara (victara tmo)
App Version: 0.2.1
App Version ID: 13</t>
  </si>
  <si>
    <t>2015-11-06</t>
  </si>
  <si>
    <t>ccrama-Slide-381</t>
  </si>
  <si>
    <t>Issues with 'load full thread'</t>
  </si>
  <si>
    <t>Clicking it doesn dismiss it.
It shows up even with (np) links to full posts without specific comment.
Clicking while the post is loading leads to crashes:</t>
  </si>
  <si>
    <t>dimagi-commcare-android-783</t>
  </si>
  <si>
    <t>Prevent swipe when repeat dialog is up</t>
  </si>
  <si>
    <t>If you try to quickly swipe twice when the next question launches repeat dialog, then clicking any entry in the dialog crashes the app. This is happening because the second swipe is being processed even when the dialog is present
Fixes this ACRA crash:</t>
  </si>
  <si>
    <t>SCCapstone-5chords-17</t>
  </si>
  <si>
    <t>Biggest Bug i've ever seen</t>
  </si>
  <si>
    <t>don know what causes this bug but sometime, when you pick chord and press check it will crash the apps. My spidey senses telling me that one of our many arrays might be causing this. However could not pinpoint the correct one. It is very random, can hardly replicate this bug. Unlockingcube zeagler zwaskins MissingPiece</t>
  </si>
  <si>
    <t>SubstanceMobile-GEM-19</t>
  </si>
  <si>
    <t>Can't click on song from album view &amp;&amp; Switching albums causes crash.</t>
  </si>
  <si>
    <t>Songs will not play from album view. There isn ripple either. using the FAB will play the album though. Song will play from the song tab.
Playing another album while one is already playing causes crash.
OS API Level: 23
Model (and Product): A0001 (aosp bacon)
App Version: 0.2.1
App Version ID: 13</t>
  </si>
  <si>
    <t>ccrama-Slide-423</t>
  </si>
  <si>
    <t>App crash: Reorder your pins view</t>
  </si>
  <si>
    <t>Slide crashes if you have no pinned subs to start with. Adding pinned subs first from the sidebar info fixes the issue.
Profile Reorder your pins
Tap the add button fab and the app will crash.
Also it is not obvious that you need to pin apps from the sidebar first in order to reorder them. It would be better to have the ability to reorder all subs even if they are not pinned.</t>
  </si>
  <si>
    <t>2015-11-07</t>
  </si>
  <si>
    <t>ccrama-Slide-422</t>
  </si>
  <si>
    <t>Crash when tapping on the username of a deleted comment</t>
  </si>
  <si>
    <t>Normally, tapping on the username in comment brings you to the profile of that user. However, if the comment has been deleted, tapping the deleted username will cause crash.</t>
  </si>
  <si>
    <t>ccrama-Slide-416</t>
  </si>
  <si>
    <t>App crash when changing Image mode.</t>
  </si>
  <si>
    <t>Whenever try to change the image mode to whataver different than None inside Settings-&gt;Default Layout or Layout, the app crashes.
Release 4.3 downloaded from Play Store.
Using Samsung Galaxy S6 (SM-G920F) on Android 5.1.1
Thanks for the workaround and keep up the good work</t>
  </si>
  <si>
    <t>ccrama-Slide-399</t>
  </si>
  <si>
    <t>Issues with (un)subscribing</t>
  </si>
  <si>
    <t>using the newest code for this
1. Unsubcribing simply does not work (still showing as subscribed on official website)
2. Subscribing to subreddit (that is existing!) crashes with the following log:</t>
  </si>
  <si>
    <t>square-okhttp-1978</t>
  </si>
  <si>
    <t>HttpLoggingInterceptor crashes on invalid charsets</t>
  </si>
  <si>
    <t>have encountered server that returns responses like this:
HTTP 1.1 200 OK
The charset value causes to fail, because it calls Charset.forName which throws an for the value Neither MediaType.charset() nor handle this exception, so the logging interceptor crashes.
see two possible methods of handling that:
MediaType.charset() could handle the exception but which charset should be assumed?
Maybe that not so wise. Instead, it should be pointed out that MediaType.charset() throws (and maybe other occurrences in the code) should handle this (see PR #1977).</t>
  </si>
  <si>
    <t>kentsay-Zurich-Velo-Challenge-21</t>
  </si>
  <si>
    <t>doInBackground cause RuntimeException</t>
  </si>
  <si>
    <t>The looper issues. It seems that the looper need end statement otherwise after loading few kml it will cause the app to crash.</t>
  </si>
  <si>
    <t>ccrama-Slide-392</t>
  </si>
  <si>
    <t>Posts no longer work</t>
  </si>
  <si>
    <t>Slide crashes when tapping on post.</t>
  </si>
  <si>
    <t>ccrama-Slide-390</t>
  </si>
  <si>
    <t>Restore takes a few tries</t>
  </si>
  <si>
    <t>Slide Version 4.3
On fresh install of slide, the first time restore is clicked, the app will crash then show the google account chooser dialog. The second time restore is clicked, it will show the progress bar which will stay at 0%. When the device back button is then pressed, the app will show the restoring settings loading dialog which does nothing. After closing that by pressing the device back button, one can restore their settings successfully.</t>
  </si>
  <si>
    <t>ccrama-Slide-389</t>
  </si>
  <si>
    <t>App dies when WiFi/Mobile Data is turned off while in app</t>
  </si>
  <si>
    <t>Slide Version: 4.3
If mobile data or wifi is turned off while in app, the app will crash and produce the restart app screen. When restart is clicked, the app will restart but will not go passed the initial splash screen that says, connecting to reddit, even when connected to internet. This also happens when the app is opened from the app drawer or by other means besides the restart button.
Once the app is stuck on the connecting to reddit and internet access is removed, the app will not produce the slide has crashed screen until the device native back button is pressed.
If the restart button is pressed while there is no internet access, the uh oh, you are not connected dialog will appear as normal, however, the app will still not progress past the connecting to reddit screen when internet access is recovered.
The only way to restore functionality to the app is to either wipe app data or uninstall and reinstall the app.</t>
  </si>
  <si>
    <t>Mnkai-PGPClipper-6</t>
  </si>
  <si>
    <t>Crash on 0.12 while copying PGP data to the clipboard</t>
  </si>
  <si>
    <t>Sorry to be killjoy here but every time copy PGP data to the clipboard the app crashes.</t>
  </si>
  <si>
    <t>2015-11-09</t>
  </si>
  <si>
    <t>ccrama-Slide-469</t>
  </si>
  <si>
    <t>On Multiple swipe in Shadowbox Mode, App crashes</t>
  </si>
  <si>
    <t>If swipe about 15 times in secession (quickly, but sometimes less, like 5), the app will crash and need to be restarted.
on Nexus 5x running 6.0, build MDB08I</t>
  </si>
  <si>
    <t>dimagi-commcare-android-807</t>
  </si>
  <si>
    <t>Fix crash when rotating form entry view w/ date/time pickers</t>
  </si>
  <si>
    <t>If you rotate the device while in form that has TimePicker or DateTimePicker widgets then it crashes with setSpan (2 ... 2) ends beyond length
was only able to trigger this crash on the registration form of the mLabour app (https: www.commcarehq.org mlabour apps view modules-1 forms-0 ). tried to rotate on other forms that had TimePickers without success.
This fix probably only works for devices running Android and up, but that is okay with me, since it seems hard to encounter.</t>
  </si>
  <si>
    <t>2015-11-10</t>
  </si>
  <si>
    <t>facebook-buck-501</t>
  </si>
  <si>
    <t>Empty jar committed to repository</t>
  </si>
  <si>
    <t>If you look at https: github.com facebook buck blob master test com facebook buck android testdata android instrumentation test integration test the jar file is empty. Is that intentional? It seems to be crashing my build. can look further into the build failure if the empty file is intentional, but it seemed iffy.</t>
  </si>
  <si>
    <t>mixpanel-mixpanel-android-284</t>
  </si>
  <si>
    <t>Crash when trying to display in-app as activity is stopped</t>
  </si>
  <si>
    <t>In this scenario, the user is trying to display an in-app notification (specifically mini version) and is experiencing crash. This exception is occurring because the Mixpanel SDK attempts to render an in-app notification as the app goes to the background.
Due to the way Android manages activities, the activity is actually stopped before the in-app attempts to render, resulting in an illegal state exception (http: 2013 08
To recreate this bug, you will need to target user with an in-app and background the app as soon as the in-app notification attempts to render. While rare, there should be check to prevent against the in-app rendering in this scenario.</t>
  </si>
  <si>
    <t>shortcutmedia-shortcut-android-sdk-1</t>
  </si>
  <si>
    <t>SDK crashes when Server not reachable</t>
  </si>
  <si>
    <t>Error should be handled gracefully.</t>
  </si>
  <si>
    <t>2015-11-11</t>
  </si>
  <si>
    <t>ngageoint-geopackage-android-16</t>
  </si>
  <si>
    <t>Importing GeoPackage as external link additional validation</t>
  </si>
  <si>
    <t>When importing GeoPackage database as an external link, some corrupt or non database files make it past early validation. This cause crashes attempting to operate on the file.
We need to validate that the external database files are valid. Integrity checks can sometimes take long time or loop till out of memory on corrupt non db files. We should first check the header to see if it is valid sqlite database file in addition to allowing integrity checks.
Header and integrity checks will be supported on imports and opens. Due to the extra time constraint these can cause, the only check on by default will be import header checks. The remaining can be enabled on the GeoPackage manager.
We should also allow validation, both header and integrity on an existing database file. In case something has corrupted the file after it was added.</t>
  </si>
  <si>
    <t>moneymanagerex-android-money-manager-ex-613</t>
  </si>
  <si>
    <t>App crashes after prompting for permissions on Android 6/M</t>
  </si>
  <si>
    <t>*********** FEEDBACK ************
An error occured when attempted to open the app.
*********** APP DETAILS ************
*********** CAUSE OF ERROR ************</t>
  </si>
  <si>
    <t>Mnkai-PGPClipper-8</t>
  </si>
  <si>
    <t>Crash on 0.2 when tapping the decrypted data result field</t>
  </si>
  <si>
    <t>finally could test version 0.2.
After processing successfully some data from the clipboard, the application crashes every time you tap the decrypted data result field.</t>
  </si>
  <si>
    <t>2015-11-12</t>
  </si>
  <si>
    <t>google-ExoPlayer-952</t>
  </si>
  <si>
    <t>Handling of invalid periods in DASH MPDs</t>
  </si>
  <si>
    <t>In in method it is possible that one or more periods are discarded ignored. This can lead to an empty list of Periods for the MPD. Example: live profile, and only one period element, which lacks the start attribute (I know this is an erroneous MPD).
In this case, the whole app will crash due to an uncaught when requesting the first period in line Period period
As there has to be at least one Period according to the spec anyway, would suggest doing something along the following lines at the end of in order to have graceful shutdown of the player.
throw new ParseException(
no valid periods present in media presentation description</t>
  </si>
  <si>
    <t>CellularPrivacy-Android-IMSI-Catcher-Detector-632</t>
  </si>
  <si>
    <t>I click the Antenna Map Viewer at the slide bar and crashed.</t>
  </si>
  <si>
    <t>FATAL EXCEPTION: AsyncTask #1</t>
  </si>
  <si>
    <t>bhwarren-PhotoCal-60</t>
  </si>
  <si>
    <t>events crashes b/c images too big?</t>
  </si>
  <si>
    <t>ashqal-NightOwl-2</t>
  </si>
  <si>
    <t>CardView setBackground crash on KitKat</t>
  </si>
  <si>
    <t>see this issue (https: code.google.com android issues detail?id 77843)</t>
  </si>
  <si>
    <t>HeadwayApp-How-To-Do-It--22</t>
  </si>
  <si>
    <t>Re open task</t>
  </si>
  <si>
    <t>The app crashes when an already existing task name is entered.</t>
  </si>
  <si>
    <t>2015-11-13</t>
  </si>
  <si>
    <t>square-okhttp-1998</t>
  </si>
  <si>
    <t>IllegalArgumentException in Headers$Builder.checkNameAndValue() for content-disposition filename response header</t>
  </si>
  <si>
    <t>The fix for https: github.com square okhttp issues 891 is causing to be thrown for non ASCII response headers. Most notably, and the filename part. This is basically causing filenames with all the best letters from all the best countries etc) to crash our app.
The failure mode for us is semi-rare for variety of reasons, but imagine this would be far worse for others.
The RFC on the filename parameter allows any ISO-8859-1 character: http: tools.ietf.org html rfc6266#page-5 so the current behaviour definitely seems to be incorrect.
It makes sense to check request headers. not convinced that it reasonable for response headers, given that there are plenty of occasions where you just don control the full stack. Actually, even the unit test that was added in the commit https: github.com square okhttp commit seems to imply that this is what was intended must just be bug.
It would be great if OkHttp could be little less strict in production situations, but that sort of unrelated.
Possible fix would be addLenient at https: github.com square okhttp blob master okhttp src main java com squareup okhttp internal http but don know the ins and outs of this code with enough confidence to make those changes.</t>
  </si>
  <si>
    <t>2015-11-14</t>
  </si>
  <si>
    <t>AnimeNeko-Atarashii-466</t>
  </si>
  <si>
    <t>AniList profile crash</t>
  </si>
  <si>
    <t>The aniList profile keeps crashing due the followers.
in line 199 in HTMLutil is emtpy</t>
  </si>
  <si>
    <t>syncthing-syncthing-android-499</t>
  </si>
  <si>
    <t xml:space="preserve">Menu-key crashes app </t>
  </si>
  <si>
    <t>When in the Home-Screen (just after starting the app) and hitting the Menu-key the app crashes. The crash-dialog-box with Unfortunately, Syncthing has stopped. appears.
Expected behaviour: Open the side menu</t>
  </si>
  <si>
    <t>2015-11-15</t>
  </si>
  <si>
    <t>syncthing-syncthing-android-498</t>
  </si>
  <si>
    <t>Android device disconnects, Web GUI unavailable</t>
  </si>
  <si>
    <t>ve been using Syncthing heavily and keep running into an issue where the Android client disconnects from the cluster. This occurs when have Always run in background enabled.
In the Syncthing Android app, all information in the left panel (Device ID, CPU usage, etc) is now blank. When try to open the Web GUI, Webpage not available screen appears. When try to view logs through the options menu, the app just displays Retrieving logs... and never loads.
So it seems Syncthing android app GUI is still running but Syncthing itself has crashed. Restarting the Android device corrects the problem, but it eventually happens again when Always run in background is enabled.
Running Syncthing 0.12.1 0.7.0 on device running Android 4.4.2
Other devices running 0.12.2 (Linux 64) and 0.12.2 (Linux ARM)
attaching log taken just after restarting the device and launching syncthing android</t>
  </si>
  <si>
    <t>ccrama-Slide-572</t>
  </si>
  <si>
    <t>crash when scroll down while refreshing subreddit</t>
  </si>
  <si>
    <t>2015-11-17</t>
  </si>
  <si>
    <t>jdamcd-android-crop-180</t>
  </si>
  <si>
    <t>Fix NPE at croppedImage.getWidth() if decodeRegion returns null</t>
  </si>
  <si>
    <t>My application has gotten crashes sometimes by NPE at of this line (https: github.com jdamcd android-crop blob master lib src main java com soundcloud android crop
And comments below.
return The decoded bitmap, or null if the image data could not be
hope in that case CropImageActivity will return RESULT ERROR.</t>
  </si>
  <si>
    <t>enviroCar-enviroCar-app-268</t>
  </si>
  <si>
    <t>IllegalStateException: No instantiated fragment for index #0</t>
  </si>
  <si>
    <t>This happened yesterday after creating some tracks. Might be related: something in the OBD connection went wrong (in new CarTrend components, but am fully up-to-date with cleanup and track without measurements was created (liked 15 minutes before this crash).
CPU ABI armeabi-v7a
CPU ABI2 armeabi
DISPLAY cm golden-userdebug 4.4.4 KTU84Q 4cf410a24d test-keys
IS DEBUGGABLE true
PRODUCT cm golden
VERSION.RESOURCES SDK INT 19
VERSION.SDK INT 19
BUILD TYPE debug
VERSION CODE 24
Caused by: No instantiated fragment for index #0
... 11 more
INITIAL CONFIGURATION 508
hardKeyboardHidden HARDKEYBOARDHIDDEN YES
keyboard KEYBOARD NOKEYS
keyboardHidden KEYBOARDHIDDEN NO
locale de DE
navigation NAVIGATION NONAV
navigationHidden NAVIGATIONHIDDEN YES
orientation ORIENTATION PORTRAIT</t>
  </si>
  <si>
    <t>ccrama-Slide-604</t>
  </si>
  <si>
    <t>Crash in multicolumn mode after hold-tapping on a comment to upvote/downvote/etc</t>
  </si>
  <si>
    <t>Nexus 9, Android 6.0, Slide 4.3.4.
quite like Slide and bought Pro for multi-column mode (and also to support it of course). It works well, but unfortunately it just crashes if you hold-tap on comment (to bring up the menu).</t>
  </si>
  <si>
    <t>2015-11-18</t>
  </si>
  <si>
    <t>daparker-checkvalve-7</t>
  </si>
  <si>
    <t>NullPointerException in RconActivity</t>
  </si>
  <si>
    <t>crash was reported in the RCON Activity. The stack trace is:
The offending code is:
Log.d(TAG, Message object string msg.obj.toString())
Clearly, null value check for msg.obj is required.</t>
  </si>
  <si>
    <t>ccrama-Slide-598</t>
  </si>
  <si>
    <t>Clicking 'Done' in notification settings causes app to crash [replication steps]</t>
  </si>
  <si>
    <t>1. Disable notifications in the app settings
2. Swipe the app out of the recents screen
3. Enable notifications in the app settings and click done
(better replication steps thanks to recalculated)</t>
  </si>
  <si>
    <t>k9mail-k-9-901</t>
  </si>
  <si>
    <t>k9mail frequently crashes when deleting mail (bulk or individual) IMAP Inbox: BUG</t>
  </si>
  <si>
    <t>K9 mail client crashes almost every time delete mail from my inbox.
Especially bulk delete.
ve done the basic things one would do to fix.
Reinstall, delete and recreate account.
There is plenty of disc space on my device.
ve enabled debugging.
don know what else to do.
Can you help please?</t>
  </si>
  <si>
    <t>2015-11-19</t>
  </si>
  <si>
    <t>chandevel-Clover-127</t>
  </si>
  <si>
    <t>App crashes when swiping partially loaded images</t>
  </si>
  <si>
    <t>ve noticed that if swipe while an image is loading, then swipe back to that image, itll fully load then the app will crash.</t>
  </si>
  <si>
    <t>2015-11-20</t>
  </si>
  <si>
    <t>danirod-rectball-58</t>
  </si>
  <si>
    <t>Android: Crash when press Back during loading screen</t>
  </si>
  <si>
    <t>ve seen this bug in Google Analytics being reported by the automatic crash reporter over and over.
&lt;img width 1036 alt captura de pantalla 2015-11-20 14 16 54 src https: assets 1568690 11300698
By looking at the source code probably know what is the source. The pointed line is the one that plays sound. It could be that if the user presses BACK on the Loading screen, the game will try to play the Back sound, but since we are in loading screen, the player isn actually ready yet. The fact that can reproduce this on my phone by opening Rectball and quickly pressing Back during the Loading screen makes this more suspicious.</t>
  </si>
  <si>
    <t>ccrama-Slide-622</t>
  </si>
  <si>
    <t>sidebar: buggy and crash when switching subs too fast</t>
  </si>
  <si>
    <t>When switching too fast and open sidebar in last sub it shows info of all the subs before.
When open wiki (must exist) while it still loading and go back it seems to crash soon after this</t>
  </si>
  <si>
    <t>square-okhttp-2016</t>
  </si>
  <si>
    <t>IllegalArgumentException: Unexpected char ... in header value: ... at com.squareup.okhttp.Headers$Builder.checkNameAndValue (Headers.java:295)</t>
  </si>
  <si>
    <t>get crash reports like that:
&lt;some 3rd library code don have access to&gt;
Seems to happen due to non-ASCII chars in header value.
Similar to #1998. But #1998 is about response header and my smacktrace is about request header.</t>
  </si>
  <si>
    <t>sriharshachilakapati-SilenceEngine-49</t>
  </si>
  <si>
    <t>Build script now includes logo_dark.png</t>
  </si>
  <si>
    <t>This fixes the ResourceLoader crash when running using compiled jar</t>
  </si>
  <si>
    <t>2015-11-21</t>
  </si>
  <si>
    <t>ccrama-Slide-640</t>
  </si>
  <si>
    <t>Selecting the light_green accent colour causes a crash</t>
  </si>
  <si>
    <t>If the light green accent colour is selected, Slide will crash, and will subsequently crash when attempting to restart the app.</t>
  </si>
  <si>
    <t>2015-11-22</t>
  </si>
  <si>
    <t>dimagi-commcare-android-848</t>
  </si>
  <si>
    <t>Escape case list early if session ended</t>
  </si>
  <si>
    <t>is session aware activity, but it tries to access session state in onCreate which is before the session management can close the activity, which happens in onResume
Similar crash to what https: github.com dimagi commcare-odk pull 803 was trying to address</t>
  </si>
  <si>
    <t>2015-11-23</t>
  </si>
  <si>
    <t>ccrama-Slide-655</t>
  </si>
  <si>
    <t>Voting on archived posts/comments crashes the app</t>
  </si>
  <si>
    <t>ccrama-Slide-654</t>
  </si>
  <si>
    <t>crash navigate in comments: next-button when comments = 0</t>
  </si>
  <si>
    <t>enviroCar-enviroCar-app-272</t>
  </si>
  <si>
    <t>IllegalStateException: "Already added!"</t>
  </si>
  <si>
    <t>app crash, see log: alreay-added.txt (https: github.com enviroCar enviroCar-app files 43079 alreay-added.txt)</t>
  </si>
  <si>
    <t>2015-11-24</t>
  </si>
  <si>
    <t>Karumi-Dexter-14</t>
  </si>
  <si>
    <t>Demo crashes when rotating.</t>
  </si>
  <si>
    <t>1. Request permission.
2. While the rationale is showing, rotate the device (the dialog will be dismissed).
3. Click the button request the permission again.
4. App crashes.</t>
  </si>
  <si>
    <t>Bernie-2016-fieldthebern-android-150</t>
  </si>
  <si>
    <t>ErrorToastService crash</t>
  </si>
  <si>
    <t>Error display crashes on:</t>
  </si>
  <si>
    <t>2015-11-25</t>
  </si>
  <si>
    <t>projectbuendia-client-156</t>
  </si>
  <si>
    <t>v0.6 crashes on patient chart activity</t>
  </si>
  <si>
    <t>Testing client release 0.6 on server 0.6 (running on Edison with buendia-demo configuration).
App installed from Jenkins client-master build http: job client-master 37
Steps to reproduce:
1. Uninstall other version of app
2. Install app
3. Set server in settings and hit Apply and clear local data
4. Log in as Guest User (the only user)
5. There are no patients. Add patient. First one tried entered Prefix, ID, Given Name, Family Name. Second one tried entered all the fields.
6. After the patient is added the toast Patient added came up
7. App crashed (presumably as it is loading the patient chart)
It also crashes when trying to open patient chart from the patient list.</t>
  </si>
  <si>
    <t>nerzhul-ncsms-android-73</t>
  </si>
  <si>
    <t>0.19 Costantly crashes on Android 5.0.1</t>
  </si>
  <si>
    <t>Hi, the app was great with 0.18.5.
Now with 0.19 receive owncloud sms has stopped working when loading the SMS app.
When forcing syncing, it hangs on sync in progress
push 1000 sms per sync.
No messages on OC server.</t>
  </si>
  <si>
    <t>ccrama-Slide-660</t>
  </si>
  <si>
    <t>Un-hiding post when scrolling causes a crash</t>
  </si>
  <si>
    <t>Unhiding post while scrolling causes crash.
Gfycat Link: http: giant.gfycat.com</t>
  </si>
  <si>
    <t>SASAbus-SASAbus-17</t>
  </si>
  <si>
    <t>App crashes when departures textview is empty</t>
  </si>
  <si>
    <t>Clicking on refresh in the bus stops fragment results in dialog when the Departures EditText is empty.
Clicking in Searching... afterwards crashes the app due to ClassCastException.</t>
  </si>
  <si>
    <t>2015-11-26</t>
  </si>
  <si>
    <t>Freeyourgadget-Gadgetbridge-175</t>
  </si>
  <si>
    <t>Gadgetbridge crashes when not having K-9 Mail's permissions and trying to get mail content</t>
  </si>
  <si>
    <t>am testing your very nice and usefull app. The possibillity to use pebble without vendor close source app was the reason to buy Pebble yesterday :)
But after installing K-9 Mail, Gadgetbridge suddenly looses connection to Pebble Classic completely after receiving one e-mail while phones screen off (so notification should be send to Pebble) and needed to be reconnected (in Gadgetbridge) and selected over menu -&gt; connect device -&gt; and tap on device. So no automated reconnect was possible anymore.
When selecting notification while screen on got Gadgetbridge forced close notification on main screen and have to restart Gadgetbridge and also reconnect Pebble manually.
also tried to use Blacklist Apps and there selected K-9 mail but phone was still loosing connection completely and needed manual reconnect to pebble if K-Mail Nofifications were still selected.
The only thing (but its more workaround) is to select K-Mail Nofifications to never and therefore let Other Notificaitons let inform you about incoming emails. This is also working flawless.
hope this log might help you, if you need more information or if should test other settings please feel free to contact me :)
am on latest Pebble Firmware (updated from vendors App yesterday evening) and on Android CM12.1 5.1.1 on Z1 compact. K-Mail version is 5.006
All other notifications are working flawless (also open apps remote etc.). Even reconnecting after coming home and switching bluetooth on on phone, pebble was connected automatically.</t>
  </si>
  <si>
    <t>zhuowei-MCPELauncher-319</t>
  </si>
  <si>
    <t>Adding custom blocks to the Creative inventory makes the game crash when the inventory is opened (BL 1.11 stable)</t>
  </si>
  <si>
    <t>tried adding custom block to the Creative inventory with in the latest Blocklauncher (1.11 stable) and this causes crash everytime try to open the Creative inventory.</t>
  </si>
  <si>
    <t>ibinti-bugvm-19</t>
  </si>
  <si>
    <t>1.0.5: sim64 crash on play</t>
  </si>
  <si>
    <t>PhotoBackup-client-android-11</t>
  </si>
  <si>
    <t>Crashes at start up</t>
  </si>
  <si>
    <t>The 0.7 version crashes at start up since the update.</t>
  </si>
  <si>
    <t>2015-11-27</t>
  </si>
  <si>
    <t>zhuowei-MCPELauncher-338</t>
  </si>
  <si>
    <t>Entity.rideAnimal() crashes Blocklauncher</t>
  </si>
  <si>
    <t>Tried to use Entity.rideAnimal() in the latest beta for 0.13 and it crashes Blocklauncher. used it with villager that would have ridden minecart.</t>
  </si>
  <si>
    <t>mvysny-aedict-595</t>
  </si>
  <si>
    <t>Aedict crash: invalid value syuunei: not adj-i</t>
  </si>
  <si>
    <t>sriharshachilakapati-SilenceEngine-53</t>
  </si>
  <si>
    <t>FilePath.calculateResourceSize() is crashing when called from IDE</t>
  </si>
  <si>
    <t>The exception being thrown is
Originally posted on the forum at http: forum newbie-questions</t>
  </si>
  <si>
    <t>k9mail-k-9-916</t>
  </si>
  <si>
    <t>S/MIME crashes app</t>
  </si>
  <si>
    <t>using the master branch and opening PGP MIME signed encrypted mail works fine, but when open MIME signed mail, the app crashes.</t>
  </si>
  <si>
    <t>2015-11-28</t>
  </si>
  <si>
    <t>greysonp-permiso-5</t>
  </si>
  <si>
    <t>Fix possible NPE in Permiso.onRequestPermissionResult()</t>
  </si>
  <si>
    <t>If is given request code that Permiso didn generate, it could throw null pointer exception. Users shouldn be giving it these request codes, but still. We should just add null check and log warning if that happens, not crash.</t>
  </si>
  <si>
    <t>zhuowei-MCPELauncher-355</t>
  </si>
  <si>
    <t>Crashes, when world is loaded</t>
  </si>
  <si>
    <t>Block launcher crashes when the world is loaded. There are lot of methods called (6000 lines of not stupid code) in my mod and it worked perfectly with 0.12.3. http: Macwv0D2 870548 Pokedroid My mod is installable with app, just hit play install mod</t>
  </si>
  <si>
    <t>2015-11-29</t>
  </si>
  <si>
    <t>dimagi-commcare-android-870</t>
  </si>
  <si>
    <t>Sync key creation; preventing premature usage</t>
  </si>
  <si>
    <t>Trying to address the ACRA crash below.
From what can deduce: The log submission task launch on login is trying to access the user session key before it has been setup. Thus wrapping in synchronized (lock) should hopefully address this.
might completely off as to when this crash is occurring. If it is happening at different time then this solution probably doesn really help.</t>
  </si>
  <si>
    <t>2015-11-30</t>
  </si>
  <si>
    <t>OneBusAway-onebusaway-android-389</t>
  </si>
  <si>
    <t>Tapping "Sort by" before arrivals load crashes the app</t>
  </si>
  <si>
    <t>If you tap on bus stop icon on the map (or pull up stop shortcut), and if you tap on the Sort by button in the action bar before the stops load, you ll get this stack trace:</t>
  </si>
  <si>
    <t>cgeo-cgeo-5296</t>
  </si>
  <si>
    <t>Crash when adding personal note from WP or Images tab</t>
  </si>
  <si>
    <t>Found this strange issue during Russian localization testing. Here is the test case:
1. Store cache for offline use.
2. Open Cache details
3. Slide to page with Waypoints or Images
4. Press button with dots
5. Press Personal notes
6. Enter some text
7. Press OK
Application will crash.
The case is not reproducible from Description or Details or Logbook pages, only from Images and WP
found that cannot add personal note to cache if it wasn stored. Button Personal notes just does nothing. assume this as separated FR to allow to write personal notes for non-stored caches (or add error message for such case)
My phone is Xperia Z3 Compact, Android 5.1.1</t>
  </si>
  <si>
    <t>arimorty-floatingsearchview-1</t>
  </si>
  <si>
    <t>Floating search view assumes that view is always called from activity</t>
  </si>
  <si>
    <t>Your lib looks great! want to use it in my upcoming project work.
However am not able to use your lib as of now as It crashes on me when try to inflate the view. When looked into your source code its accessing activity feel custom view should be activity fragment agnostic!
In my opinion if the custom view is doing more than view should do then that responsibility should be given back to caller of this custom view
Let me know your thoughts!</t>
  </si>
  <si>
    <t>ccrama-Slide-691</t>
  </si>
  <si>
    <t>Crash when spoiler link opened</t>
  </si>
  <si>
    <t>Subreddits that use spoiler tags creates link to nonexistent page in reddit. This causes the app to crash when opened.</t>
  </si>
  <si>
    <t>2015-12-01</t>
  </si>
  <si>
    <t>coupies-gmbh-android-sdk-18</t>
  </si>
  <si>
    <t>Crash without API key</t>
  </si>
  <si>
    <t>message saying that the API key is missing wrong is better than crash</t>
  </si>
  <si>
    <t>dhis2msg-DHISmessenger-12</t>
  </si>
  <si>
    <t>Application crashes when you open XMPP conference</t>
  </si>
  <si>
    <t>If you create conference and try to open it, you will get RuntimeException and the application will crash. It seems there is some problem with ButterKnife components.
Caused by: Required view send with ID 2131558622 for field send and method sendClicked was not found. If this view is optional add Nullable annotation.</t>
  </si>
  <si>
    <t>2015-12-02</t>
  </si>
  <si>
    <t>sriharshachilakapati-SilenceEngine-54</t>
  </si>
  <si>
    <t>ALDevice.destroy() does not exist in latest LWJGL 3 release nightlies</t>
  </si>
  <si>
    <t>In the latest LWJGL release nightlies ALDevice.destroy() has been changed to ALDevice.close().
using LWJGL 3.0.0 build
Due to this change the game crashes on exit.
Heres the log:
TRACE 12 03 2015 5:57:11 PM
AL lib: (EE) alc cleanup: device not closed</t>
  </si>
  <si>
    <t>2015-12-03</t>
  </si>
  <si>
    <t>SecUSo-privacy-friendly-pin-mnemonic-6</t>
  </si>
  <si>
    <t>App crashes when pressing "showing mnemonics" after pressing backbutton</t>
  </si>
  <si>
    <t>Back to Mnemonics
Back to Enter
Pressing Button again without entering new PIN</t>
  </si>
  <si>
    <t>Freeyourgadget-Gadgetbridge-179</t>
  </si>
  <si>
    <t>Gadgetbridge crashes when trying to access external data dir</t>
  </si>
  <si>
    <t>Gadgetbridge 0.6.6 works with my pebble (notifications, etc.), however when try to open the app manager, the application crashes Unfortunately Gadgetbridge has stopped ). Anything that can be done?</t>
  </si>
  <si>
    <t>2015-12-04</t>
  </si>
  <si>
    <t>wallabag-android-app-154</t>
  </si>
  <si>
    <t>java.lang.NullPointerException when trying to put website "In the Bag"</t>
  </si>
  <si>
    <t>Every time try to add website to wallabag, the app crashes.
The is reported for on line 38 (add method). am using package version 17 on Android 5.1.1.</t>
  </si>
  <si>
    <t>2015-12-05</t>
  </si>
  <si>
    <t>WOCHStudios-SoundBoard-9</t>
  </si>
  <si>
    <t>App looses ManageDocuments permission after reboot</t>
  </si>
  <si>
    <t>Once the app is installed and soundboards have been created, if the device is rebooted the app will crash when trying to play sound with permissions exception.</t>
  </si>
  <si>
    <t>gre-gl-react-native-v2-41</t>
  </si>
  <si>
    <t>iOS: make sure the shaders are ready (like in Android impl)</t>
  </si>
  <si>
    <t>crash can happen at runtime on app start.. especially on iPhone 6S simulator</t>
  </si>
  <si>
    <t>2015-12-06</t>
  </si>
  <si>
    <t>square-okhttp-2068</t>
  </si>
  <si>
    <t>Redirect 302 IllegalArgumentException without workaround java.lang.IllegalArgumentException: Unexpected char 0xf6 at 53 in header value</t>
  </si>
  <si>
    <t>So say looking for random reddit post via something like:
And get 302 redirect to something like:
Notice the umlaut. It causes the
So see that this was announced as part of the 2.5 release: OkHttp now rejects request headers that contain invalid characters And think that is good as default behavior but it would be nice to be able to sanitize the headers before the request chain is errored out completely.
can use network interceptor to solve this problem:
override fun intercept(chain: Response?
var req chain?.request()
The request headers are all valid
return BOOM!!! The crash happens in proceed
This is where we would fix the headers if we could
My stack trace looks like:</t>
  </si>
  <si>
    <t>Freeyourgadget-Gadgetbridge-182</t>
  </si>
  <si>
    <t>Incoming calls crash Gadgetbridge if permissions to access contacts are disabled on Android 6.0</t>
  </si>
  <si>
    <t>When click Demo -&gt; Incoming Call, the complete App crash.</t>
  </si>
  <si>
    <t>enviroCar-enviroCar-app-274</t>
  </si>
  <si>
    <t>IllegalStateException: ObjectGraph must be initialized before injecting objects</t>
  </si>
  <si>
    <t>got crash on resume after an 18h break (near end of attached log).</t>
  </si>
  <si>
    <t>OpenSeizureDetector-Android_Pebble_SD-6</t>
  </si>
  <si>
    <t>App crashes with a "...has stopped" error message when shutting down server.</t>
  </si>
  <si>
    <t>Shutdown server does not work nicely exits with an unfortunately openseizuredetector has stopped error message.</t>
  </si>
  <si>
    <t>2015-12-07</t>
  </si>
  <si>
    <t>dimagi-commcare-android-898</t>
  </si>
  <si>
    <t>Show error message when startNextSessionStep fails</t>
  </si>
  <si>
    <t>If you try to enter part of the app that needs fixtures but you are in demo mode, the app crashes. Instead, tell the user that that part of the app isn available and back up one step.
cross-requested with https: github.com dimagi commcare pull 216</t>
  </si>
  <si>
    <t>CellularPrivacy-Android-IMSI-Catcher-Detector-661</t>
  </si>
  <si>
    <t>Crashes when pressing Status-Icons and Debugging</t>
  </si>
  <si>
    <t>Hi larsgrefer, ve just played bit with our fresher app after you polished our design bit with #654.
Looks and feels great so far, but our app now crashes on the following events (which it didn do before):
Pressing the Status Icons in the About menu
Pressing Debugging in the Navigation Drawer
ve crafted logcat (https: defuse.ca ByxKkHqk) for you, hopefully it contains enough information to fix what is wrong. Thank you!</t>
  </si>
  <si>
    <t>ccrama-Slide-715</t>
  </si>
  <si>
    <t>Changing to white theme causes a crash</t>
  </si>
  <si>
    <t>use the black theme but now change to white theme vut it make the app crash and it is imposiible to use it now. Every time try to launch the app it crash.</t>
  </si>
  <si>
    <t>2015-12-08</t>
  </si>
  <si>
    <t>CellularPrivacy-Android-IMSI-Catcher-Detector-668</t>
  </si>
  <si>
    <t>Fix app-crash</t>
  </si>
  <si>
    <t>CellularPrivacy-Android-IMSI-Catcher-Detector-677</t>
  </si>
  <si>
    <t>Crash with new Pop Up system in SmsDetector.</t>
  </si>
  <si>
    <t>larsgrefer Hey mate there appears to be crash when an alert is detected in SmsDetector.
this problem too when trying to create dialog from Thread class and think that why did the popup on new activity.
needs something like runOnUiThread to avoid crash.</t>
  </si>
  <si>
    <t>2015-12-09</t>
  </si>
  <si>
    <t>geopaparazzi-geopaparazzi-301</t>
  </si>
  <si>
    <t>Substitute action bar</t>
  </si>
  <si>
    <t>This is to be done, since 98% of the crashes of geopap come from the current actionbar, which is historical relict.</t>
  </si>
  <si>
    <t>moravianlibrary-AndroidZoomifyViewer-33</t>
  </si>
  <si>
    <t>handle when TiledImageView was created but no loadImage called</t>
  </si>
  <si>
    <t>In this case the for example crashes app.</t>
  </si>
  <si>
    <t>moneymanagerex-android-money-manager-ex-626</t>
  </si>
  <si>
    <t>Exception when opening categories in recurring transaction</t>
  </si>
  <si>
    <t>APP crashed when tried to edit the categories after entering recurring transaction
*********** FEEDBACK ************
Please tell us what happened. Thank you!
*********** APP DETAILS ************
*********** CAUSE OF ERROR ************
*********** DEVICE INFORMATION ***********
*********** FIRMWARE ************</t>
  </si>
  <si>
    <t>h6ah4i-android-advancedrecyclerview-162</t>
  </si>
  <si>
    <t>Help understanding IllegalStateException</t>
  </si>
  <si>
    <t>have implemented swipe to reveal button interface and was playing around with the swipe gesture in my application. having trouble replicating the issue, but one time crashed the application while swiping. Unfortunately don think will be able to upload minimal failing example, but was hoping you might be able to point me in the right direction for fixing the problem.
get this traceback:</t>
  </si>
  <si>
    <t>2015-12-10</t>
  </si>
  <si>
    <t>dhis2msg-DHISmessenger-24</t>
  </si>
  <si>
    <t>Application sometimes crashes when XMPP message is sent</t>
  </si>
  <si>
    <t>When you send messages in group conversation, the application sometimes crashes. This bug might have been introduced by my last commit where ignored running some operations on UI thread.</t>
  </si>
  <si>
    <t>2015-12-11</t>
  </si>
  <si>
    <t>syncthing-syncthing-android-515</t>
  </si>
  <si>
    <t>Syncthing binary crashed with error code 11 after update to 0.7.5</t>
  </si>
  <si>
    <t>Since updated to Syncthing for Android 0.7.5 the app is stuck on loading
This is on an HTC One with Android 4.0.3
This is the log, when force close syncthing and it restarts itself:
It says Syncthing binary crashed with error code 11 but could not find anything about this that code.
Is there anything can do?</t>
  </si>
  <si>
    <t>2015-12-12</t>
  </si>
  <si>
    <t>NemProject-NEMAndroidApp-43</t>
  </si>
  <si>
    <t>Adding account via QR -&gt; no password entered -&gt; app crashes</t>
  </si>
  <si>
    <t>When add an account to my wallet via QR scan, it asks for the password. If don enter anything, the app crashes.</t>
  </si>
  <si>
    <t>chandevel-Clover-137</t>
  </si>
  <si>
    <t>App crash when viewing replies and refreshing</t>
  </si>
  <si>
    <t>noticed that every time pull down to refresh thread and then hit the Replies button underneath post to view its replies, the app will immediately crash.</t>
  </si>
  <si>
    <t>vickychijwani-udacity-p1-p2-popular-movies-20</t>
  </si>
  <si>
    <t>Crash on opening favorited movie while offline</t>
  </si>
  <si>
    <t>Steps to reproduce:
1. Go offline.
2. Kill app and launch again.
3. Sort by favorites.
4. Select favorited movie.
5. App crashes.</t>
  </si>
  <si>
    <t>2015-12-14</t>
  </si>
  <si>
    <t>vickychijwani-udacity-p1-p2-popular-movies-19</t>
  </si>
  <si>
    <t>Crash on pausing app during API call</t>
  </si>
  <si>
    <t>Steps to reproduce:
1. Go offline.
2. Kill the app and launch it again.
3. Sort by favorites you should see all favorites even though you re offline.
4. Sort by most popular, and quickly minimize the app.
5. App crashes.</t>
  </si>
  <si>
    <t>JoanZapata-android-iconify-145</t>
  </si>
  <si>
    <t xml:space="preserve">Crash  ParsingUtil.java line 32 </t>
  </si>
  <si>
    <t>getting crash in Crashlytics report and the impact is going high.</t>
  </si>
  <si>
    <t>Keidan-CellHistory-10</t>
  </si>
  <si>
    <t>Version 2.8</t>
  </si>
  <si>
    <t>List of features for the version 2.8:
Fix crash with the notifications, when the user restarts the recorder.
The version is not displayed the first time.
Change the color of the recorder icon (in green).
Add notification when the user moves the application in the background.
Improve the management of the GPS service.
Update the changelog.txt
Switch to version 2.8</t>
  </si>
  <si>
    <t>2015-12-15</t>
  </si>
  <si>
    <t>JoanZapata-android-iconify-146</t>
  </si>
  <si>
    <t>crash ParsingUtil.java:98</t>
  </si>
  <si>
    <t>Fatal Exception: length 10 regionStart 10 regionLength -11
u200F fa-user 16sp color hj color blue ad.getAuthorName())
Even if ad.getAuthorName() is null the complete string should never be null</t>
  </si>
  <si>
    <t>square-okhttp-2119</t>
  </si>
  <si>
    <t>Crash during journal file rename</t>
  </si>
  <si>
    <t>Get this crash from one of the users</t>
  </si>
  <si>
    <t>2015-12-16</t>
  </si>
  <si>
    <t>davidabrahams-Hi-Reddit-62</t>
  </si>
  <si>
    <t>uh. recognition error that crashed the app when I closed it (pressed the back button)</t>
  </si>
  <si>
    <t>tried to exit the app and this happened.</t>
  </si>
  <si>
    <t>2015-12-17</t>
  </si>
  <si>
    <t>NemProject-NEMAndroidApp-51</t>
  </si>
  <si>
    <t>Back button crashes the app in some cases</t>
  </si>
  <si>
    <t>When am in the Dashboard and then click on QR and very fast click back (maybe even before the page is fully loaded), the app crashes. This is also the case when do the same but with address book or more menu instead of QR, but you have to be even faster.</t>
  </si>
  <si>
    <t>NemProject-NEMAndroidApp-48</t>
  </si>
  <si>
    <t>Cross platform QR scan does not work</t>
  </si>
  <si>
    <t>QR from iOS doesnt work an Android and the other way round. Sometimes it crashes, sometimes other problems. Please look into it closely since this is very important.</t>
  </si>
  <si>
    <t>SandroMachado-openalpr-android-5</t>
  </si>
  <si>
    <t>[Sample Application] Crash on Invalid Submission</t>
  </si>
  <si>
    <t>When the user takes bad picture, no results are returned, resulting in crash.</t>
  </si>
  <si>
    <t>NemProject-NEMAndroidApp-60</t>
  </si>
  <si>
    <t>View switches from portrait to landscape mode if phone is rotated</t>
  </si>
  <si>
    <t>We agreed on disabling the view rotation completely, but the app still swiches from portrait to landscape mode if turn it.
If am inside QR scan view, the app even crashes in that case.</t>
  </si>
  <si>
    <t>2015-12-18</t>
  </si>
  <si>
    <t>mauron85-cordova-plugin-background-geolocation-21</t>
  </si>
  <si>
    <t>Crash on Android 6 Api 23</t>
  </si>
  <si>
    <t>When using the ionic application in Android API 23, crash and applicaiton stop, have you solution for this issue, thanks</t>
  </si>
  <si>
    <t>zhuowei-MCPELauncher-418</t>
  </si>
  <si>
    <t>With MCPE 0.13.1 creating a new mob render crashes BlockLauncher</t>
  </si>
  <si>
    <t>Creating render crashes the game during startup of BlockLauncher.
This only happens with the latest version of Minecraft PE 0.13.1. Before it worked correctly.
This is the code had to comment out to make it stop crashing:
var model renderer.getModel()
var head model.getPart( head
var body model.getPart( body
var rArm model.getPart( rightArm
var lArm model.getPart( leftArm
var rLeg model.getPart( rightLeg
var lLeg model.getPart( leftLeg
body.addBox(-1, 20, -1.5, 2, 4, 3)
body.addBox(-0.5, 20.5, 1.5, 1, 1, 1)
body.addBox(-1, 20, -1.5, 2, 4, 3)
body.addBox(-0.5, 20.5, 1.5, 1, 1, 1)</t>
  </si>
  <si>
    <t>maskarade-Android-Orma-79</t>
  </si>
  <si>
    <t>PowerAssert crashes</t>
  </si>
  <si>
    <t>2015-12-20</t>
  </si>
  <si>
    <t>gre-gl-react-native-v2-47</t>
  </si>
  <si>
    <t>[Android] Tests example crashes</t>
  </si>
  <si>
    <t>couldn find way to share context for all canvas like in iOS version. This might result of worse performance and potentially limited amount of view at the same time...</t>
  </si>
  <si>
    <t>popeen-Booksonic-App-9</t>
  </si>
  <si>
    <t>Crash when using large album art</t>
  </si>
  <si>
    <t>73f7e42 07bf2c0 introduced bug that makes the app crash when using large album art</t>
  </si>
  <si>
    <t>2015-12-21</t>
  </si>
  <si>
    <t>dimagi-commcare-android-925</t>
  </si>
  <si>
    <t>Signature widget crashing on Android 6</t>
  </si>
  <si>
    <t>Signature widget was crashing on my phone upon launch. Not sure what was causing it because it looks like it wasn crashing on 2.25. Regardless this PR addresses the crash.</t>
  </si>
  <si>
    <t>2015-12-22</t>
  </si>
  <si>
    <t>dimagi-commcare-android-924</t>
  </si>
  <si>
    <t>Move dialog fragment transition to onResumeFragments</t>
  </si>
  <si>
    <t>Hopefully fix another Can not perform this action after onSaveInstanceState crash by moving more dialog fragment code into onResumeFragments from out of onResume</t>
  </si>
  <si>
    <t>NemProject-NEMAndroidApp-62</t>
  </si>
  <si>
    <t>app sometimes crashes after start</t>
  </si>
  <si>
    <t>The app sometimes crashes immediately after start it.
You should see it in your logs. Example: 2015-12-22 10:30 am (UTC+1)</t>
  </si>
  <si>
    <t>android10-Android-CleanArchitecture-92</t>
  </si>
  <si>
    <t>NullPointerException on UserListActivity</t>
  </si>
  <si>
    <t>Had crash on first launch. After clicked on load sample data.</t>
  </si>
  <si>
    <t>2015-12-23</t>
  </si>
  <si>
    <t>zhuowei-MCPELauncher-440</t>
  </si>
  <si>
    <t>Addons with custom items with ID above 512+ crash</t>
  </si>
  <si>
    <t>Holding custom addon item with extended item id array id in Creative makes the game crash.
This is already known by Zhuowei. made the issue to be aware by GitHub notification of it being fixed without having to check Twitter.</t>
  </si>
  <si>
    <t>2015-12-25</t>
  </si>
  <si>
    <t>kontalk-androidclient-612</t>
  </si>
  <si>
    <t>Crash in background ping service</t>
  </si>
  <si>
    <t>Reported on Google Play by Galaxy Note running Android 4.4.
Caused by: XMPPConnection must not be null
... 10 more
Weird crash caused by null connection, but at that point connection should not be null and there shouldn be any race condition.</t>
  </si>
  <si>
    <t>2015-12-27</t>
  </si>
  <si>
    <t>dimagi-commcare-android-929</t>
  </si>
  <si>
    <t>Report exception on non-ui thread</t>
  </si>
  <si>
    <t>Exception reporting was happening in an AsyncTask but not using any ui elements. This was causing crash when we tried to report exceptions from our custom top-level uncaught exception handler which runs on non-ui thread.
This PR makes exception reporting use Runnable thread instead of AsyncTask</t>
  </si>
  <si>
    <t>2015-12-28</t>
  </si>
  <si>
    <t>pockethub-PocketHub-975</t>
  </si>
  <si>
    <t>Commenting on commits crashes</t>
  </si>
  <si>
    <t>2015-12-29</t>
  </si>
  <si>
    <t>fossilet-carmen-android-9</t>
  </si>
  <si>
    <t>crash日志代码有问题</t>
  </si>
  <si>
    <t>Originally reported by: **Yongzhi Pan (Bitbucket: fossilet (http: bitbucket.org fossilet), GitHub: fossilet (http: github.com fossilet))**
Bitbucket: https: bitbucket.org fossilet carmen issue</t>
  </si>
  <si>
    <t>CellularPrivacy-Android-IMSI-Catcher-Detector-718</t>
  </si>
  <si>
    <t>GUI force close/crash services keep running</t>
  </si>
  <si>
    <t>Tested new 0.1.37 WIP Alpha version and immediately upon opening, GUI force closed, but still received messages that services were starting. Icon continued to show on notification bar.
0.1.36 WIP Alpha is running fine.
LG Google Nexus 5X 16GB
Custom Android 6.0.1 (Rooted)</t>
  </si>
  <si>
    <t>jimgong3-SoCo-29</t>
  </si>
  <si>
    <t>app crash when click organizer icon on event card in "my events" screen</t>
  </si>
  <si>
    <t>my profile event event organizer crash</t>
  </si>
  <si>
    <t>nitaliano-react-native-mapbox-gl-215</t>
  </si>
  <si>
    <t>Clearing memory on component unmount</t>
  </si>
  <si>
    <t>When placing Mapbox component on page, and using navigational elements like SegmentedControlIOS or NavigatorIOS, it appears that the memory that was allocated for the element is not cleared. By repeatedly navigation between screens with the map, memory usage is constantly increasing until it hits the limit, and crashes the app. The problem is amplified when rendering multiple instances of the Mapbox component on page (such as in list).
Is there method that needs to be manually called to unmount the component, and free up memory. If so, would like to do so in the component lifecycle method Else, is would it be possible to have the component clean itself up when it is unmounting?
For my implementation, used the same format provided in the example that adds the mixins in the component, and am using custom styles (providing the access token and style url).
Any help would be greatly appreciated. Thanks in advance!</t>
  </si>
  <si>
    <t>2015-12-30</t>
  </si>
  <si>
    <t>futurice-vor-33</t>
  </si>
  <si>
    <t>If no WIFI on startup, clicking a card can crash the app</t>
  </si>
  <si>
    <t>futurice-vor-32</t>
  </si>
  <si>
    <t>App crashes when opening the ToiletMapFragment</t>
  </si>
  <si>
    <t>think the problem is when onCreateView() is called, the m7am Toilet object is already gone.</t>
  </si>
  <si>
    <t>CellularPrivacy-Android-IMSI-Catcher-Detector-737</t>
  </si>
  <si>
    <t>Crashing on Nexus 5 Android 6.0.1 version (1.37)</t>
  </si>
  <si>
    <t>Everytime location is on high accuracy it works but when in battery saving app crashes.</t>
  </si>
  <si>
    <t>2016-01-02</t>
  </si>
  <si>
    <t>domoticz-domoticz-android-10</t>
  </si>
  <si>
    <t>Weather info dialog crashes</t>
  </si>
  <si>
    <t>2016-01-04</t>
  </si>
  <si>
    <t>CellularPrivacy-Android-IMSI-Catcher-Detector-741</t>
  </si>
  <si>
    <t>Graphical glitch and potential crash in settings</t>
  </si>
  <si>
    <t>discovered, that there is graphical glitch when you go into the settings, then switch to androids recent apps overview and back to AIMSICD again. It looks like the textual elements of the settings activity get duplicated. Also the app once crashed for me after this happened.</t>
  </si>
  <si>
    <t>ccrama-Slide-743</t>
  </si>
  <si>
    <t xml:space="preserve">Phone reboots randomly while saving images </t>
  </si>
  <si>
    <t>This is happening for the first time on this device in last months. But today is happening after almost every third of fourth image try to download. downloaded images to repeat crashes and they happen!
Xiaomi Redmi Prime
MiUi 7.1 stable not rooted.
Every thing Stock
Internal memory available 4GB
RAM available 1.4GB</t>
  </si>
  <si>
    <t>2016-01-05</t>
  </si>
  <si>
    <t>theksmith-CarBusInterface-10</t>
  </si>
  <si>
    <t>not working reliably after upgrade to Lollipop 5.0.2 on Sony Xperia Z2 tablet</t>
  </si>
  <si>
    <t>upgraded my Sony Xperia Z2 tablet (Verizon model SGP561) from Kitkat 4.4.x to Lollipop 5.0.2 and now the app rarely works without first manually issuing command in the debug terminal. there are no errors or crashes, and no errors were noticed in logcat either. the app appears to connect OK, but never begins receiving bus data from the ELM adapter without the manual command.
some part of the service looks like it may be hanging during launch. sending any command form the debug terminal causes the startup commands to be issued again and everything begins to work. note that just using the menu option re-send startup commands in the terminal does not work though.
ve tried manually launching the app as well as using the automatic launch setting, neither makes difference.
am using version 1.0 of the app (car bus interface v1.0-debug.apk)</t>
  </si>
  <si>
    <t>futurice-vor-46</t>
  </si>
  <si>
    <t>SettingsActivity crashes with Android 4.4</t>
  </si>
  <si>
    <t>Some newer version crashed it as well, but don remember the version right now..</t>
  </si>
  <si>
    <t>ckmah-DangoReader-72</t>
  </si>
  <si>
    <t>Clicking add/remove bookmark in details crashes app</t>
  </si>
  <si>
    <t>Related to #67.</t>
  </si>
  <si>
    <t>2016-01-06</t>
  </si>
  <si>
    <t>dimagi-commcare-android-959</t>
  </si>
  <si>
    <t>Check for session expiration in home screen dispatch</t>
  </si>
  <si>
    <t>The DispatchActivity refactor left the home screen dispatch logic such that it was no longer checking for the case where the user has been logged out, which believe we still want to be doing. This PR fixes this by checking for session expiration in and just calling finish() if so. The specific case that noticed where this is necessary is clearing user data (the app was crashing whenever you did this because would try to set up the home screen after returning from the preference activity, when there was no longer any logged in user). But imagine there are other ways in which this could happen, and we would want to handle those smoothly as well, so went for catch-all fix.</t>
  </si>
  <si>
    <t>osmdroid-osmdroid-235</t>
  </si>
  <si>
    <t>google wrapper app crashes when switching between google maps v1 and v2</t>
  </si>
  <si>
    <t>Goto v1, then v2, then back to v1 (crash)
something about there only one map view allowed</t>
  </si>
  <si>
    <t>TeamNewPipe-NewPipe-148</t>
  </si>
  <si>
    <t>App Crashes On For Enable if Orbot not Installed</t>
  </si>
  <si>
    <t>Without Orbot installed, the app simply crashes without any reason to the user upon activating Tor downloading. We should check if Orbot is installed before performing whatever tasks are necessary to activate the feature, and present message to the user if it is not found on their device.</t>
  </si>
  <si>
    <t>2016-01-07</t>
  </si>
  <si>
    <t>dimagi-commcare-android-962</t>
  </si>
  <si>
    <t>Unify instances of restarting commcare</t>
  </si>
  <si>
    <t>We had few different places in the app where we performed restart of CommCare, and were doing it in slightly different (and in case very different) ways in each. This unifies those instances to use single helper method that does the restart in what (I think) is the most proper way.
phillipm Also (mostly) fixes http: manage.dimagi.com default.asp?186379, by performing the reboot after uninstall in way that actually clears the back stack. This fixes the crash that was happening when you press back after being redirected to the install screen, but does NOT fix the fact that you are redirected to the install screen rather than back to the app manager..at least not entirely. This was previously known shortcoming of the way had set up restarting after uninstall, in that restarting CommCare consistently brought the app back to normal CommCare rather than the app manager, and couldn find way around it. The odd thing is that after refactoring the way the restart is happening, it is now sometimes returning to the app manager, and sometimes returning to normal CommCare, and can really identify pattern that is causing the distinction... Electing not to go crazy over that for now because it not huge deal, but will revisit later.</t>
  </si>
  <si>
    <t>tlaukkan-zigbee4java-75</t>
  </si>
  <si>
    <t xml:space="preserve">sendSynchrouns(hwDriver, request, RESEND_TIMEOUT) = null  in windows 10 </t>
  </si>
  <si>
    <t>tried to run zig4java console with eclipse in windows 10 but the application crash even if all the other configurations are well dongle, firmware, args ).
the crash occur when the step of creation of zigbee network is begin the reason is request, RESEND TIMEOUT) null
whereas when run the same program in eclipse using ubuttu machines the program run well and the console of the application is running the value of request, RESEND TIMEOUT) in this case is
request, RESEND TIMEOUT) ZB WRITE CONFIGURATION RSP Status SUCCESS(0)
hope that helps someone :)</t>
  </si>
  <si>
    <t>koral---android-gif-drawable-240</t>
  </si>
  <si>
    <t>Crash when using GifTextureView in ListView</t>
  </si>
  <si>
    <t>using GifTextureView in ListView item.
The code segment in Adapter is following:
public View getView(int position, View convertView, ViewGroup parent)
if (convertView null)
convertView item, parent, false)
holder new ViewHolder()
public static class ViewHolder
When press back away off this activity. It crashes or show dialog ANR.</t>
  </si>
  <si>
    <t>hidroh-materialistic-329</t>
  </si>
  <si>
    <t>BaseListFragment.java line 111</t>
  </si>
  <si>
    <t>hidroh-materialistic-328</t>
  </si>
  <si>
    <t>DiskLruCache.java line 630</t>
  </si>
  <si>
    <t>jonasoreland-runnerup-359</t>
  </si>
  <si>
    <t>Crash after saving if auto upload disabled</t>
  </si>
  <si>
    <t>linked runtastic account and enabled automatic uploading. Used it for while, but the upload only works some of the time and sometimes has the wrong activity type set (running instead of biking), so disabled automatic upload. From there on, the app would always crash after saving an activity. Turning automatic uploads back on fixes the crashing.</t>
  </si>
  <si>
    <t>2016-01-09</t>
  </si>
  <si>
    <t>Bernie-2016-fieldthebern-android-328</t>
  </si>
  <si>
    <t>Make ErrorResponse getAllDetails() degrade gracefully</t>
  </si>
  <si>
    <t>If an exception is thrown, the error should be logged to crashlytics but string like unknown error should be returned</t>
  </si>
  <si>
    <t>2016-01-11</t>
  </si>
  <si>
    <t>alexvasilkov-GestureViews-15</t>
  </si>
  <si>
    <t>NullPointerException when using touch without ViewPager</t>
  </si>
  <si>
    <t>trying out your library in version 2.1.0 and created minimal (I think) example for it:
public class TestActivity extends AppCompatActivity
private GestureImageView gestureView
protected void onCreate(Bundle savedInstanceState)
String assetPath file: android asset my image.png
&lt;?xml version 1.0 encoding utf-8 ?&gt;
When touch the image in the emulator or on my phone, the app crashes with this exception:
Am using the library correctly?</t>
  </si>
  <si>
    <t>2016-01-12</t>
  </si>
  <si>
    <t>opensrp-opensrp-client-134</t>
  </si>
  <si>
    <t xml:space="preserve">Null pointer in the Repository class causes the App to crash </t>
  </si>
  <si>
    <t>ccrama-Slide-765</t>
  </si>
  <si>
    <t>Slide crashes when using the fab to hide read posts.</t>
  </si>
  <si>
    <t>made video with the issue. Hopefully this problem will be resolved because this is the only thing that keeps me from using slide.</t>
  </si>
  <si>
    <t>commons-app-apps-android-commons-41</t>
  </si>
  <si>
    <t>App crashes when not using English</t>
  </si>
  <si>
    <t>The app installs fine, can log in, first sync starts. The file counter stops at 500 and doesn proceed any further than that (I uploaded almost 1500 believe) and the info on top says Waiting for first synchronisation (translated from Polish, not sure what the English text says).
can then proceed to take photo, fill in the title and description (the text below reads The image will be shared under CCu00A0Uznanie autorstwa-Na tych samych warunkachu00A03.0 clearly it should be CC-Uznanie autorstwa-Na tych samych warunkach or something along those lines all the license available in settings have wrong names as well). But when click proceed, an error Wyst pi Commons. Commons error happened appears, with an option to send an email. Same thing happens when try to upload picture from the ones took before.
All in all, the app as it is now is unusable right now. be happy to help though, just let me know how.</t>
  </si>
  <si>
    <t>hidroh-materialistic-341</t>
  </si>
  <si>
    <t>WebFragment.java line 82</t>
  </si>
  <si>
    <t>Bernie-2016-fieldthebern-android-372</t>
  </si>
  <si>
    <t>Verify the user has an internet connection</t>
  </si>
  <si>
    <t>2016-01-13</t>
  </si>
  <si>
    <t>billthefarmer-tuner-4</t>
  </si>
  <si>
    <t>crash when enabling audio.lock</t>
  </si>
  <si>
    <t>The application crashes when click on the cents error:
running Tuner 1.0.7 from f-droid (cyanogenmod12 android5.0.2).
Let me know if can help with debugging in any way :)</t>
  </si>
  <si>
    <t>zhuowei-MCPELauncher-489</t>
  </si>
  <si>
    <t>Creative Inventory Crash??</t>
  </si>
  <si>
    <t>Yesterday it worked..today it crashes as soon as click to go into my creative inventory. Yes, it fresh copy of BL just Uninstaller and reinstalled yesterday while cleaning up my phone.</t>
  </si>
  <si>
    <t>2016-01-14</t>
  </si>
  <si>
    <t>ccrama-Slide-790</t>
  </si>
  <si>
    <t>Changing theme via 3 dot menu crashes the app</t>
  </si>
  <si>
    <t>guess it known, but changing theme, no matter if theme is light or dark makes the app crash, without restarting it. After launching it again theme is indeed changed though.</t>
  </si>
  <si>
    <t>projectbuendia-client-199</t>
  </si>
  <si>
    <t>Crashes when form has empty sections</t>
  </si>
  <si>
    <t>When am opening the Initial Physical Exam form of profile the app crashes as it is loading the form.
This is the profile that was loaded:
Here is bug report:
App build 900 (revision
Patient ABC 680 Chinasa Tremblay in location UNTI Soins Intensifs</t>
  </si>
  <si>
    <t>ccrama-Slide-808</t>
  </si>
  <si>
    <t>Currently need help with these features</t>
  </si>
  <si>
    <t>There were lot of requests from the thread on android yesterday, here the main things that think need to be done and would like help on if you are looking for something to contribute to!
Spoilers are not working properly
Option to remove crop on comment view
Option to color the navbar
Scrollbar in comments
Get rid of pinning system, create screen to re-order, remove, and add subreddits
Smaller image option for list mode
Loading comments with context doesn scroll to the context comment (the highlighted one)
Also, here are list of the biggest crash issues currently
If you would like to tackle something have done something in commit, please comment below!</t>
  </si>
  <si>
    <t>2016-01-15</t>
  </si>
  <si>
    <t>Bernie-2016-fieldthebern-android-398</t>
  </si>
  <si>
    <t>MapScreen.java line 145</t>
  </si>
  <si>
    <t>open-keychain-open-keychain-1688</t>
  </si>
  <si>
    <t>crash on FileNotFoundException in ImportKeysListLoader</t>
  </si>
  <si>
    <t>From quick glance, getInputData returns null on which simply isn handled</t>
  </si>
  <si>
    <t>JFMurphy-calculator-app-1</t>
  </si>
  <si>
    <t>App crashes when any non-numerical button is pressed.</t>
  </si>
  <si>
    <t>Will have to add method to the buttons onClick in xml file.</t>
  </si>
  <si>
    <t>koral---android-gif-drawable-243</t>
  </si>
  <si>
    <t>OutOfMemoryError with a small gif</t>
  </si>
  <si>
    <t>The sample always crashes when wanna display this gif file, even with GifTextureView or GifDrawable. The gif url is http: dl.file.zalo.zdn.vn 1165032654979416611
Here is the crash log. In HttpFragment
unnamed-14842-0 detachFromContext: abandoned GLConsumer
This gif file is resized down. The original file is big. debug and see that, width 188 height 103. But at some frames, left 26020 and top 28016. That causes the Ginfo-&gt;rasterBits size finally is so big -&gt; OutOfMemoryError.
Why did you do like that? just try modifying like this:
const uint fast16 requiredScreenWidth
const uint fast16
It works fine. All frame are displayed normally.</t>
  </si>
  <si>
    <t>SpartaHack-SpartaHack-Android-2016-16</t>
  </si>
  <si>
    <t>App crashes for logged-in users</t>
  </si>
  <si>
    <t>clear local data. launch app. go to Profile pane. type in valid credentials. app crashes every time.
2013 Moto with Android 5.1</t>
  </si>
  <si>
    <t>Bernie-2016-fieldthebern-android-390</t>
  </si>
  <si>
    <t>youtube thumbnail crash</t>
  </si>
  <si>
    <t>ccrama-Slide-791</t>
  </si>
  <si>
    <t>Selecting OK in the reorder pins menu crashes the app.</t>
  </si>
  <si>
    <t>No subreddits are pinned when reopening the app.</t>
  </si>
  <si>
    <t>dmfs-opentasks-192</t>
  </si>
  <si>
    <t>Crash when saving a task and going to home screen</t>
  </si>
  <si>
    <t>When you save task, the dialog box task created appears for about 1s. When you go to the homescreen or to the recent apps before this dialog closes, the app crashes but the task is saved.
Logcat from the crash:</t>
  </si>
  <si>
    <t>2016-01-16</t>
  </si>
  <si>
    <t>elman22-pocket-amc-reader-12</t>
  </si>
  <si>
    <t>Resume crash</t>
  </si>
  <si>
    <t>react-native-camera-react-native-camera-154</t>
  </si>
  <si>
    <t>Crash with: "AVCaptureSession can't startRunning between calls to beginConfiguration / commitConfiguration"</t>
  </si>
  <si>
    <t>My client has reported crash on iOS 9.2 (13C75) devices with the message AVCaptureSession can startRunning between calls to beginConfiguration commitConfiguration
It odd as can reproduce it on our own devices, including those running iOS 9.2
According to crashlytics, it strikes on 32- RCTCameraManager startSession block invoke 4295249440
Looks like other people have had this issue when trying to start the capture in background thread:</t>
  </si>
  <si>
    <t>Bernie-2016-fieldthebern-android-411</t>
  </si>
  <si>
    <t>PartyEvaluator.java line 41</t>
  </si>
  <si>
    <t>2016-01-17</t>
  </si>
  <si>
    <t>Bernie-2016-fieldthebern-android-410</t>
  </si>
  <si>
    <t>MapScreen.java line 327</t>
  </si>
  <si>
    <t>ankidroid-Anki-Android-4057</t>
  </si>
  <si>
    <t>Ankidroid crashed after first start</t>
  </si>
  <si>
    <t>After install and start Ankidroid the first time. Anki crashed immediately.
new clear install by delete App-Data and cache does not help
Anki Version: 2.5.4
Android Version: 5.1.1</t>
  </si>
  <si>
    <t>Bernie-2016-fieldthebern-android-407</t>
  </si>
  <si>
    <t>MapScreen.java line 338</t>
  </si>
  <si>
    <t>longdivision-hex-3</t>
  </si>
  <si>
    <t>Crashes when trying to open article with no network connection</t>
  </si>
  <si>
    <t>Steps to repo:
1. Open Hex from cold and fetch list of articles
2. Return to the Android Launcher (background Hex)
3. Put device into flight mode
4. Bring Hex to foreground
5. Select the same article
App will hard-crash.</t>
  </si>
  <si>
    <t>2016-01-18</t>
  </si>
  <si>
    <t>gitskarios-Gitskarios-336</t>
  </si>
  <si>
    <t>&lt;githubroot&gt;Hey guys. First, thanks for the awesome app you built. was using it and... It crashed, dunno why. So decided to post the backtrace
Here the backtrace:
Build version: 2.8.0</t>
  </si>
  <si>
    <t>NemProject-NEMAndroidApp-81</t>
  </si>
  <si>
    <t>App crahses when I access More -&gt; Multisig</t>
  </si>
  <si>
    <t>When am inside the Dashboard of an account (not set up as multisig) and go to More -&gt; Multisig the app crashes (you should see the report).</t>
  </si>
  <si>
    <t>2016-01-19</t>
  </si>
  <si>
    <t>moneymanagerex-android-money-manager-ex-652</t>
  </si>
  <si>
    <t>Exception on new recurring transaction</t>
  </si>
  <si>
    <t>Application crashed soon as you insert new recurring transaction (last update)
*********** APP DETAILS ************
*********** CAUSE OF ERROR ************
Caused by: Attempt to invoke virtual method double on null object reference
... 10 more</t>
  </si>
  <si>
    <t>dimagi-commcare-android-992</t>
  </si>
  <si>
    <t>Prevent home screen button loading on user data clearing</t>
  </si>
  <si>
    <t>Small bug where clearing user data causes app to crash due to changes in https: github.com dimagi commcare-odk pull 991</t>
  </si>
  <si>
    <t>2016-01-20</t>
  </si>
  <si>
    <t>zom-Zom-Android-XMPP-67</t>
  </si>
  <si>
    <t>Crash on playing audio sent from iOS</t>
  </si>
  <si>
    <t>When trying to playback an audio file transferred with OTR-Data on beta4 the application stops, unfortunately. ve sent crash reports when prompted.</t>
  </si>
  <si>
    <t>akexorcist-GoogleDirectionLibrary-10</t>
  </si>
  <si>
    <t>com.akexorcist.googledirection.sample E/AndroidRuntime: FATAL EXCEPTION: main</t>
  </si>
  <si>
    <t>am using Android Studio and emulator API version 23 haven modified application at all and it builds and runs ok, however when click any of buttons on main screen it crashes.
have tried adding breakpoints in onCreate method, it crashes on simple direction) line have checked and activity simple direction.xml is present in layouts.
Full stack trace looks like this:
**Has anyone seen this error before? Why is this failing?**</t>
  </si>
  <si>
    <t>prestosApps-adsbMonitor-1</t>
  </si>
  <si>
    <t>Incorrect IP entry gets stored in preferences</t>
  </si>
  <si>
    <t>On first use of the app, you are asked to enter your IP address. This is then stored and the app tries to load the aircraft list. If the IP address is incorrect then it crashes out, but the incorrect IP address is still in the preferences, so restarting the app just causes it to crash again.
This highlights several things, firstly, better error handling is needed, and secondly, remove the IP address from prefs if there is problem with it, and get the app to ask for it again.</t>
  </si>
  <si>
    <t>Bernie-2016-fieldthebern-android-455</t>
  </si>
  <si>
    <t>VisitRepo.java line 110</t>
  </si>
  <si>
    <t>Keidan-CellHistory-19</t>
  </si>
  <si>
    <t>Version 2.16</t>
  </si>
  <si>
    <t>List of features for the version 2.16:
Fix GPS status with degraded conditions.
Avoid crash if the telephony manager is not available.
Add Geolocation option.
Add filter context.
Do not save the entries if they are disabled and do not detect change if the entry is disabled.
Update the changelog.html.
Switch to version 2.16 (versionCode 26)</t>
  </si>
  <si>
    <t>cgeo-cgeo-5408</t>
  </si>
  <si>
    <t>Crash in PocketQueryListActivity</t>
  </si>
  <si>
    <t>addAll() has only been added in API 11, so the crash happens on Android 2.3.x.
This seems to have been introduced at</t>
  </si>
  <si>
    <t>android10-frodo-14</t>
  </si>
  <si>
    <t>@RxLogSubscriber NullPointerException</t>
  </si>
  <si>
    <t>There are few problems with library dude which will try to solve and send PR. found that if send an empty observable back or null value back then the RxLogSubscriber crashes with If removed it then the subscriber works normally.</t>
  </si>
  <si>
    <t>dimagi-commcare-android-998</t>
  </si>
  <si>
    <t>Fix clear user data crash</t>
  </si>
  <si>
    <t>The fix for refreshing home screen languages (https: github.com dimagi commcare-odk pull 991) makes CC crash when you clear user data, because that call to setupUI() requires logged-in user. Fix is to check before we make that call for if the user session has been closed, and finish return if so.</t>
  </si>
  <si>
    <t>2016-01-21</t>
  </si>
  <si>
    <t>bparmentier-WiFiKeyShare-1</t>
  </si>
  <si>
    <t>Wi-Fi tags written with NXP TagWriter cause a BufferUnderflowException</t>
  </si>
  <si>
    <t>NFC tags containing Wi-Fi configuration written with NXP TagWriter crash the app when read from
The exception is launched by</t>
  </si>
  <si>
    <t>Bernie-2016-fieldthebern-android-467</t>
  </si>
  <si>
    <t>GsonParceler.java line 81</t>
  </si>
  <si>
    <t>h6ah4i-android-advancedrecyclerview-173</t>
  </si>
  <si>
    <t xml:space="preserve">crash bugs </t>
  </si>
  <si>
    <t>public void onPause()
which is in got the error.</t>
  </si>
  <si>
    <t>markzhai-AndroidPerformanceMonitor-18</t>
  </si>
  <si>
    <t>读取log时，数组越界导致crash</t>
  </si>
  <si>
    <t>BlockCanaryContext log Block newInstance(File 299 block.timeStart crash</t>
  </si>
  <si>
    <t>cymcsg-UltimateRecyclerView-273</t>
  </si>
  <si>
    <t>when i swipe headview crashed</t>
  </si>
  <si>
    <t>Bernie-2016-fieldthebern-android-466</t>
  </si>
  <si>
    <t>DialogController.java line 76</t>
  </si>
  <si>
    <t>zhuowei-MCPELauncher-516</t>
  </si>
  <si>
    <t>Every texture pack crashes</t>
  </si>
  <si>
    <t>Bernie-2016-fieldthebern-android-465</t>
  </si>
  <si>
    <t>ViewDragHelper.java line 1014</t>
  </si>
  <si>
    <t>googlearchive-easygoogle-23</t>
  </si>
  <si>
    <t>R.string.gcm_permission when not using GCM?</t>
  </si>
  <si>
    <t>mainly wanting to use this library to implement Google+ Sign-in, but after setting everything up, it crashes saying haven declared R.string.gcm permission. Why do need to do this if not using GCM?</t>
  </si>
  <si>
    <t>2016-01-22</t>
  </si>
  <si>
    <t>haiwen-seadroid-474</t>
  </si>
  <si>
    <t>after upgrading to seadroid2, crashes on start</t>
  </si>
  <si>
    <t>opensrp-opensrp-client-142</t>
  </si>
  <si>
    <t>Prevent the app from crashing after session expiry</t>
  </si>
  <si>
    <t>Currently the method that checks whether the session is expired https: github.com OpenSRP opensrp-client blob master opensrp-app src main java org ei opensrp view activity
##### Indonesia apk</t>
  </si>
  <si>
    <t>dimagi-commcare-android-1002</t>
  </si>
  <si>
    <t>Make test framework use custom uncaught exception handler</t>
  </si>
  <si>
    <t>Sometimes running tests crashes my local machine because an uncaught exception triggers http log reporting, which somehow freezes my machine... hoping this addresses it.</t>
  </si>
  <si>
    <t>2016-01-23</t>
  </si>
  <si>
    <t>sriharshachilakapati-SilenceEngine-61</t>
  </si>
  <si>
    <t>Fix leading / being removed from jar paths</t>
  </si>
  <si>
    <t>Previously the missing caused crash because the jar files could not be located.
Without the leading slash, Java (at least on OS X) presumes the path is starting at or the run directory.</t>
  </si>
  <si>
    <t>TeamNewPipe-NewPipe-161</t>
  </si>
  <si>
    <t>version 0.7.3 crash on Android 4.0.3</t>
  </si>
  <si>
    <t>0.7.3 fails to launch, while 0.7.2 works fine, on tablet running Android 4.0.3.</t>
  </si>
  <si>
    <t>2016-01-24</t>
  </si>
  <si>
    <t>SufficientlySecure-html-textview-29</t>
  </si>
  <si>
    <t>Nested UL tags not working</t>
  </si>
  <si>
    <t>For some reason nested UL tags aren rendering correctly. When use WebView, they render perfectly. Now, ve tried using WebViews but the performance has been terrible and ve even encountered app crashes.
Here sample of my HTML.
&lt;li&gt;Blah blah blah blah blah&lt; li&gt;
&lt;li&gt;Blah blah blah blah blah&lt; li&gt;
&lt;li&gt;Blah blah blah blah blah&lt; li&gt;
&lt;li&gt;Blah blah blah blah blah&lt; sup&gt;
And what it should look like:
&lt;li&gt;Blah blah blah blah blah&lt; li&gt;
&lt;li&gt;Blah blah blah blah blah&lt; li&gt;
&lt;li&gt;Blah blah blah blah blah&lt; li&gt;
&lt;li&gt;Blah blah blah blah blah&lt; sup&gt;
Except getting this:
&lt;li&gt;No Compromise, Fully Capable&lt; li&gt;
&lt;li&gt;Seating for up to passengers&lt; li&gt;
&lt;li&gt;Significantly updated exterior and interior&lt; li&gt;
&lt;li&gt;New Platinum trim level&lt;sup&gt;1&lt; sup&gt;
Is there anything that can do to get this working properly with your library</t>
  </si>
  <si>
    <t>2016-01-25</t>
  </si>
  <si>
    <t>ZieIony-Carbon-182</t>
  </si>
  <si>
    <t>EditText crashes on LDPI devices</t>
  </si>
  <si>
    <t>hidroh-materialistic-359</t>
  </si>
  <si>
    <t>BaseListFragment.java line 108</t>
  </si>
  <si>
    <t>koral---android-gif-drawable-250</t>
  </si>
  <si>
    <t>[bug]crash on v1.1.12</t>
  </si>
  <si>
    <t>private static native long renderFrame(long gifFileInPtr, Bitmap frameBuffer)</t>
  </si>
  <si>
    <t>dimagi-commcare-android-1004</t>
  </si>
  <si>
    <t>Don't proguard Bypass markup lib</t>
  </si>
  <si>
    <t>Was getting crash during form entry of TDH app linked to methods missing in bypass markup lib.
Blindly telling proguard to keep all code in that lib.</t>
  </si>
  <si>
    <t>dimagi-commcare-android-1019</t>
  </si>
  <si>
    <t>Notification compat crash when pinned notification shown on pre-honeycomb</t>
  </si>
  <si>
    <t>Fix notification compatibility issue where on pre-honeycomb device commcare crashes when pinned progress notification is shown, like when form is submitted.
see https: code.google.com android issues detail?id 30495 for details on the</t>
  </si>
  <si>
    <t>2016-01-26</t>
  </si>
  <si>
    <t>bumptech-glide-928</t>
  </si>
  <si>
    <t xml:space="preserve">NPE: 'int com.bumptech.glide.gifdecoder.GifHeader.frameCount' </t>
  </si>
  <si>
    <t>It neither device nor Android version specific. can reproduce it, but it doesn seem rare when looking at crash numbers.
In this case it happened when returning from Activity to Activity and Activity contains the animation. It possible that the ImageViews visibility state is changed shortly after returning to Activity B.
public void setState(State state)
if (state State.WORKING)
android:id +id working overlay
.load(COFFEE ANIM ASSET)
android:id +id iv working animation
if (state State.INTRO)
else if (state State.NORESULTS)
else if (state State.GONE)</t>
  </si>
  <si>
    <t>mixpanel-mixpanel-android-308</t>
  </si>
  <si>
    <t>ImageStore.getImage(): OutOfMemoryError</t>
  </si>
  <si>
    <t>We have noticed OutOfMemoryError in our crash report tool for our app versions when we were using Mixpanel testing. Most of our errors are happening on 4.1.2, 4.4.2 and 5.0 devices.
tried to update an image in our app with images of size 175KB and 139KB from testing and was able to reproduce the error.
We are on</t>
  </si>
  <si>
    <t>k9mail-k-9-1039</t>
  </si>
  <si>
    <t>Opening e-mail caused crash that reset all data</t>
  </si>
  <si>
    <t>Today opened up mail in K-9 (a spam mail wanted to mark as spam, but there was nothing special about this mail, simple HTML mail) and it crashed while opening. Then started K-9 again and it presented the welcome screen all seetings for five configured accounts are no more available and seem to be completely deleted. Also restart of the phone didn change anything the data seems to be lost forever.
App Version: 5.007
Android Version: 6.0.1 (Security patch level 1st Jan 2016)</t>
  </si>
  <si>
    <t>8MinutesSolar-8MinutesAndroid-5</t>
  </si>
  <si>
    <t>Sign In: App get crash on Tap Facebook link</t>
  </si>
  <si>
    <t>On Click on Facebook application get crash</t>
  </si>
  <si>
    <t>avluis-Hentoid-82</t>
  </si>
  <si>
    <t>Launching the About activity causes the app to crash on some devices</t>
  </si>
  <si>
    <t>Affects version 1.1.5r5
Samsung Galaxy Young (Y)
230 432 ldpi
Steps to repro:
1. Launch app
2. Launch About activity through nav drawer.
Clearing data or reinstalling the app does not resolve the issue.
The same device updated to android 4.2 does not reproduce the issue.
No immediate condition pattern for issue reproduction.</t>
  </si>
  <si>
    <t>hidroh-materialistic-361</t>
  </si>
  <si>
    <t>SinglePageItemRecyclerViewAdapter.java line 146</t>
  </si>
  <si>
    <t>SCCapstone-diet-9</t>
  </si>
  <si>
    <t>Requesting Dangerous Permissions at Run Time</t>
  </si>
  <si>
    <t>The app crashes on devices with API level 23+ as it does not request proper permissions at run time.</t>
  </si>
  <si>
    <t>2016-01-27</t>
  </si>
  <si>
    <t>kontalk-androidclient-638</t>
  </si>
  <si>
    <t>Crash when opening a chat invitation</t>
  </si>
  <si>
    <t>With freshly installed app from Google Play store 3.1.2 (80), when receive chat invitation from new contact, the app crashes. cannot accept or reject the invitation as the app crashes as soon as click on the invitation to open it.
have stored the crash log: https: gist.github.com anonymous</t>
  </si>
  <si>
    <t>NemProject-NEMAndroidApp-107</t>
  </si>
  <si>
    <t>QR -&gt; Scan view -&gt; Invoice -&gt; Scan View camera frozen</t>
  </si>
  <si>
    <t>When go to QR -&gt; Scan see the camera capture image just fine. When then slide to Invoice and go back to Scan the camera capture image is frozen. If go all the way to My Info and back to Scan it works again.
For others the app crashes when they go to Invoice coming from Scan This just happened minute ago to friend of mine, please see your log.</t>
  </si>
  <si>
    <t>NemProject-NEMAndroidApp-105</t>
  </si>
  <si>
    <t>Going to scan mode and then back to invoice or hitting home button crashes the app</t>
  </si>
  <si>
    <t>When am in scan mode and hit home button or swipe to the left (to get to invoices) the app crashes</t>
  </si>
  <si>
    <t>NemProject-NEMAndroidApp-104</t>
  </si>
  <si>
    <t>Add Account -&gt; Scan QR -&gt; go back -&gt; Create -&gt; Crash</t>
  </si>
  <si>
    <t>friend of mine just expererienced this:
Fresh install of the app -&gt; Add Account -&gt; Scan QR -&gt; go back -&gt; Create -&gt; The app crashes.
This happened minute ago, you should be able to see the log.</t>
  </si>
  <si>
    <t>NemProject-NEMAndroidApp-102</t>
  </si>
  <si>
    <t>Clicking on "Share QR" freezes tablet for 5 seconds</t>
  </si>
  <si>
    <t>Sometimes the tablet complains that the NEM app is not responding. It doesn crash and carries on after bit.
Nexus 2013 running Android 6.0.1</t>
  </si>
  <si>
    <t>h6ah4i-android-advancedrecyclerview-176</t>
  </si>
  <si>
    <t>NullPointerException</t>
  </si>
  <si>
    <t>report crashes by buglly used.
and not every time crash
on PE-TL20(Huawei) Android 4.4.2,level 19 and no root
link is http: bugly.qq.com share KH1eSp</t>
  </si>
  <si>
    <t>NemProject-NEMAndroidApp-95</t>
  </si>
  <si>
    <t>Crash while changing password</t>
  </si>
  <si>
    <t>The app just crashed while was trying to change the app password.
This should be fixed, because it is sensible feature.</t>
  </si>
  <si>
    <t>hidroh-materialistic-365</t>
  </si>
  <si>
    <t>ItemRecyclerViewAdapter.java line 219</t>
  </si>
  <si>
    <t>2016-01-28</t>
  </si>
  <si>
    <t>NemProject-NEMAndroidApp-109</t>
  </si>
  <si>
    <t>Going to address book crashes app</t>
  </si>
  <si>
    <t>have huawei nexus 6p. Any time click on address book tab from any screen, the app crashes. This happens 100% of the time. don get any specific messages. It just informs me that the app has crashed, and then exits</t>
  </si>
  <si>
    <t>ccrama-Slide-908</t>
  </si>
  <si>
    <t>Subreddit order constantly getting reset</t>
  </si>
  <si>
    <t>Sorry if someone already reported this, searched for it but couldn find it.
The order for subreddits gets reset just about every time change settings, when switch users, or when slide crashes. This is the one bug stopping me from using the app full time.</t>
  </si>
  <si>
    <t>pinball83-Masked-Edittext-6</t>
  </si>
  <si>
    <t>IndexOutOfBoundsException</t>
  </si>
  <si>
    <t>How to reproduce: type some input, bacskpace, type backspace and so on. After couple of iterations there is crash
FATAL EXCEPTION: main
replace (15 ... 16) ends beyond length 15</t>
  </si>
  <si>
    <t>CellularPrivacy-Android-IMSI-Catcher-Detector-759</t>
  </si>
  <si>
    <t>GUI crashes upon application start</t>
  </si>
  <si>
    <t>The mobile is One+ (ONE A2001, so it the chinese hardware version, with the language set to English, 4GB RAM, 64GB internal storage, no external storage (it does not feature an SD card slot)) with both SIM card slots populated (slot with T-mobile SIM, slot with MEDIONmobile SIM). Android version is 5.1.1 with Android security patch level December 1, 2015. It is NOT rooted.
AIMSICD version is, 0.1.38-alpha (download and installation done on January 14th, 2016).
When tap the AIMSICD icon, it appears that black windows opens (quickly slides up from the bottom of the screen until it fill the whole screen (except the top status bar)) and then the black window immediately disappears, before anything appears on it. Looks like it crashes upon startup.
However, the notification area shows an Android IMSI-Catcher Detector ribbon, with two icons on the left hand side (one cell tower icon in regular size, plus miniature version of the cell tower icon to the lower right corner of the regular size icon). It could be that both are green (I have color blindness issue red and green are pretty much indistinguishable for me, even though have enabled the corresponding color enhancement option on the phone). It might be an option to enhance the red icon with black border, or to display numerical or roman-numerical Defcon Level on the icon...but that not in the scope of this report.
Note how nicely mix British and American English mobile cell ). Could even throw in bit of the German pseudo-English Handy ...nah. -)
The ribbon states Cell Tracking Active and time, which did not change within the minutes observed the display.
Double-tapping the ribbon yields teh same result as tapping the AIMSICD icon (window appears to launch, but then disappears before anything appears). After that, the time on the ribbon is updated to the current time.
AIMSICD does not appear in the list of running apps (which also states that 2.3GB of RAM are currently free...so RAM exhaustion appears not be an issue).
Also installed is GSM Spy Finder However, the described IMSICD behavior is identical regardless whether GSM Spy Finder is running concurrently or not running.
Being unable to enter the application, have no clue what to try next...
Want to back this issue? ** Post bounty on it! (https: issues campaign plugin&amp;utm content medium issues&amp;utm source github)** We accept bounties via Bountysource (https: ?utm campaign plugin&amp;utm content medium issues&amp;utm source github).</t>
  </si>
  <si>
    <t>MythTV-Clients-MythtvPlayerForAndroid-93</t>
  </si>
  <si>
    <t>Exception: ActivityNotFoundException</t>
  </si>
  <si>
    <t>Running on f503b3b. Go to Settings Video Settings or Recording Settings to reproduce.
--------- beginning of crash</t>
  </si>
  <si>
    <t>dimagi-commcare-android-1030</t>
  </si>
  <si>
    <t>Don't show both location disabled &amp; form load error dialogs</t>
  </si>
  <si>
    <t>If location services are off in form that needs them and the form also has loading errors, the result is that the load error dialog isn shown. Instead just the turn on location services dialog is shown. This puts the form in state where you can swipe forward and crash the app.
Fix is to show location service are disabled dialog only when the form successfully loads, not during form loading.</t>
  </si>
  <si>
    <t>2016-01-29</t>
  </si>
  <si>
    <t>8MinutesSolar-8MinutesAndroid-36</t>
  </si>
  <si>
    <t>Videos: On tap play icon of video app get crash</t>
  </si>
  <si>
    <t>On tap play icon of video app get crash</t>
  </si>
  <si>
    <t>cgeo-cgeo-5429</t>
  </si>
  <si>
    <t>Crash in CacheDetailActivity.onCreateContextMenu</t>
  </si>
  <si>
    <t>1) open gc4vchp
2) go to waypoints
3) long click on (D-A-E-C)
There is no crash if any other action is done. For example open another waypoint, close it and do long click on (D-A-E-C) -&gt; you ll get the menu.
tested this with the latest nightly 2016.01.30-NB3 and with some older development build.</t>
  </si>
  <si>
    <t>2016-01-30</t>
  </si>
  <si>
    <t>stefan-niedermann-nextcloud-notes-65</t>
  </si>
  <si>
    <t>NullPointer when trying to save</t>
  </si>
  <si>
    <t>keep encountering NullPointer after editing any note and trying to save on exit. After encountering the crash one time, the app always crashes on launch until you clear data.</t>
  </si>
  <si>
    <t>kabouzeid-Phonograph-68</t>
  </si>
  <si>
    <t>Glide hashCode() crash</t>
  </si>
  <si>
    <t>Can reproduce. This is affecting many users due to crashlytics.
Fatal Exception: Attempt to invoke virtual method int on null object reference</t>
  </si>
  <si>
    <t>Karumi-HeaderRecyclerView-14</t>
  </si>
  <si>
    <t>Example app crash on Nexus 5x Android 6.0.1</t>
  </si>
  <si>
    <t>FATAL EXCEPTION: main</t>
  </si>
  <si>
    <t>2016-01-31</t>
  </si>
  <si>
    <t>ccrama-Slide-937</t>
  </si>
  <si>
    <t>No more posts on reload</t>
  </si>
  <si>
    <t>When you come back to subreddit after crash or after viewing another subreddit, Slide will say no more posts at the bottom instead of loading more. This happens if you have show offline first enabled.</t>
  </si>
  <si>
    <t>pinball83-Masked-Edittext-7</t>
  </si>
  <si>
    <t>EditText removes mask symbols if a user input non-digit symbols and then are crashed</t>
  </si>
  <si>
    <t>On several devices the keyboard contains and symbols even if specify number input type.
When input this symbols then your EditText removes from mask one symbol. If repeat this procedure then the EditText removes all symbols from mask and then crashes.
There are my code example. think that presence of +7 is the root of problem:</t>
  </si>
  <si>
    <t>2016-02-01</t>
  </si>
  <si>
    <t>NemProject-NEMAndroidApp-119</t>
  </si>
  <si>
    <t>App crashes when I try to add new contact to Address Book</t>
  </si>
  <si>
    <t>How to reproduce:
Address Book -&gt; Add New Contact -&gt; enter address and click OK
am wondering where to put the label anyways?</t>
  </si>
  <si>
    <t>Harlber-Moose-22</t>
  </si>
  <si>
    <t>App crash</t>
  </si>
  <si>
    <t>Crashed in ArticleListAdapter line 129 to 132</t>
  </si>
  <si>
    <t>magnetsystems-message-samples-android-27</t>
  </si>
  <si>
    <t>Change password does not work</t>
  </si>
  <si>
    <t>1. go tothe Change Password screen
2. fill in current password and new password fields
3. press submit.
4. app crashes with following error</t>
  </si>
  <si>
    <t>2016-02-02</t>
  </si>
  <si>
    <t>inaturalist-iNaturalistAndroid-116</t>
  </si>
  <si>
    <t>Functional Bug Finds for #105</t>
  </si>
  <si>
    <t>Here are some small issues with work done according to #105. Please disregard anything you are still working on.
**Species Page Add Button:** Although, it was never specced out think we should remove the Add button on the taxon page that is reached from ob detail screen. It can confuse user, since they already see this ID associated with their ob. kueda loarie, any objections?
**Crashes:** ve experienced crashes, but assuming you re getting all those reports. Most of the crashes are when interact with new obs ve just created.
**Comment ID buttons:** The Comment ID buttons require bunch of scrolling to get to...! image (https: assets 11527994 12764569
**Agree Button:** Nothing happens when tap the Agree button
**Single Photo:** When there is only one photo, please remove the page controller. Here an example...
**Faving:** think you already know about the faves showing up in the Info tab, but also noticed when have faved something, the button is not in the faved state.
**Photo Viewer:** When tap the photo in an ob it opens this screen with no photos...
**Notes:** Notes are not showing up for me.
## Lower Priority
When tapping the Share button, please change view on iNat to View on iNaturalist.org for clarity.
budowski This is looking super cool!</t>
  </si>
  <si>
    <t>nitaliano-react-native-mapbox-gl-267</t>
  </si>
  <si>
    <t>Android: Crash on tablet running android 4.4.4</t>
  </si>
  <si>
    <t>don know how useful this is and not really sure what else can do to debug, but when run on genymotion tablet running android 4.4.4 (API 19 2560x1600) it crashes with: Unfortunately, maptest has stopped
Android index file:
Didn see anything interesting from adb logcat *:S ReactNative:V ReactNativeJS:V
The code works on genymotion Nexus running android 6.0.0 and an iPhones 5s simulator. Let me know if can provide any more information. What is the minimum android version supported?</t>
  </si>
  <si>
    <t>magnetsystems-message-samples-android-22</t>
  </si>
  <si>
    <t>Android crashes when a new chat is created from an iOS device user</t>
  </si>
  <si>
    <t>1. user1 user1 registered and logs into mMessage app on iOS device
2. user2 user2 registered and logs into mMessage app on Android device
3. user1 created new chat and adds user2 into the chat
----&gt; Android app crashes</t>
  </si>
  <si>
    <t>moneymanagerex-android-money-manager-ex-676</t>
  </si>
  <si>
    <t>Exception in Search</t>
  </si>
  <si>
    <t>When searching entre the payee and then when trying to pickup the date it crashes.
When searching amunt from it crash
*********** APP DETAILS ************
*********** CAUSE OF ERROR ************
*********** DEVICE INFORMATION ***********
*********** FIRMWARE ************</t>
  </si>
  <si>
    <t>k9mail-k-9-1065</t>
  </si>
  <si>
    <t>K9 crashes when 15+ folders exist</t>
  </si>
  <si>
    <t>have Samsung Galaxy Note 3, running Android 5.0 and K9 5.007. If set K9 to pull my IMAP folder list, just 1st class standard folders, everything is fine. If have it set to 1st and 2nd, which loads between. 15 and 20 folders, K9 always crashes. It not even downloading the folders contents, just the folder names themselves at that point.</t>
  </si>
  <si>
    <t>2016-02-03</t>
  </si>
  <si>
    <t>square-okhttp-2309</t>
  </si>
  <si>
    <t>MockWebserver fails for empty body requests with "Transfer-Encoding: chunked" header</t>
  </si>
  <si>
    <t>using an HTTP client that sends Transfer-Encoding: chunked HTTP request header for all requests, including with empty bodies. When testing that client with MockWebServer getting the following:
MockWebServer 54824 connection from 127.0.0.1 crashed
Why is this enforced?
Is there strong reason or something in the HTTP spec that qualifies those requests as invalid?
Could we relax that check if not necessary?</t>
  </si>
  <si>
    <t>NemProject-NEMAndroidApp-126</t>
  </si>
  <si>
    <t>App crahses when sending encrypted message to itself</t>
  </si>
  <si>
    <t>When you send message from an account to the same account and you encrypt the message, the app crashes.</t>
  </si>
  <si>
    <t>OneDrive-onedrive-sdk-android-38</t>
  </si>
  <si>
    <t>"Copy File" crashes App if file already exists in destination folder</t>
  </si>
  <si>
    <t>found another little bug.
When try to copy file to subfolder in which file with the same name already exists the whole app crashes. tried to catch the exception, but had no luck with that approach...
OneDriveSDK version 1.1.1</t>
  </si>
  <si>
    <t>kontalk-androidclient-643</t>
  </si>
  <si>
    <t>Opening Kontalk during mid-registration crashes</t>
  </si>
  <si>
    <t>If you make the first step in registration (request) and then kill the app, when you open it back it crashes because getContext() returns null in</t>
  </si>
  <si>
    <t>2016-02-04</t>
  </si>
  <si>
    <t>mixpanel-mixpanel-android-320</t>
  </si>
  <si>
    <t>Crash in ViewCrawler with Mixpanel 4.7.0 and StrictMode</t>
  </si>
  <si>
    <t>It look like have different behavior with different device
Sony Xperia Z3 with android 5.1 don crash
it crash on yotaphone with Android 5.0
it didn crash on Samsung S2 on Android 4.2
Mixpanel version: 4.7.0.</t>
  </si>
  <si>
    <t>2016-02-05</t>
  </si>
  <si>
    <t>oxoooo-pull-back-layout-4</t>
  </si>
  <si>
    <t>Crashes on zoomin and zoomout used with Touch Image View</t>
  </si>
  <si>
    <t>App crashes if zoomin then zoomout and again zoomin...</t>
  </si>
  <si>
    <t>square-okhttp-2318</t>
  </si>
  <si>
    <t>Cache crashed, failed to delete file</t>
  </si>
  <si>
    <t>starting to see lot of this exception in my app released with OkHttp 3.01 via Picasso 2.5.2 (using Jake adapter from 3.01 to 2.5.2)</t>
  </si>
  <si>
    <t>2016-02-06</t>
  </si>
  <si>
    <t>open-keychain-open-keychain-1714</t>
  </si>
  <si>
    <t>Crash when using a key over 1MB (edward-en@fsf.org)</t>
  </si>
  <si>
    <t>The app doesn crash with other contacts.
The contact is edward-en fsf.org aka Edward the GPG Bot (it public email service (https: en #section3) mentioned in FSF guide to GPG).
don know much about this but note that, unlike my other OpenKeychain contacts, this User ID of this key includes many international characters:</t>
  </si>
  <si>
    <t>2016-02-07</t>
  </si>
  <si>
    <t>square-okhttp-2323</t>
  </si>
  <si>
    <t>Unable to extract the trust manager</t>
  </si>
  <si>
    <t>after upgrading from OkHttp 3.0.1 to 3.1.0 get the following stack trace and crash after calling build() to create OkHttpClient.
This issue was not present in 3.0.1.
Here where the crash happens:
OkHttpClient client builder.build()</t>
  </si>
  <si>
    <t>OneDrive-onedrive-sdk-android-48</t>
  </si>
  <si>
    <t>java.lang.NullPointerException: Attempt to invoke virtual method 'com.onedrive.sdk.authentication.AccountType</t>
  </si>
  <si>
    <t>When using both MSAAuthenticator and ADALAuthenticator an account needs to be entered first. If the user leaves without entering an account (e.g. press back), the OneDriveClient crashes:
on null object reference
Since this is an asynchronous call, this can be caught and will crash the app. guess this would also happen if the user has more than one regular OneDrive account (not OneDrive Business).
If others have the same issue, here workaround:
Make copy of the DefaultClientConfig and the Use the in the new DefaultClientConfig instead of the one included with the SDK. Override the login method in the new
public synchronized IAccountInfo login(final String emailAddressHint) throws ClientException
catch (Exception ignore)</t>
  </si>
  <si>
    <t>2016-02-09</t>
  </si>
  <si>
    <t>konifar-droidkaigi2016-108</t>
  </si>
  <si>
    <t>Fix issue of don't keep activities</t>
  </si>
  <si>
    <t>## Related issue
When opened detail screen of talk and go back to the All Sessions screen with the back button, the app crashed and logged below stack trace.
Crash point is (https: github.com konifar droidkaigi2016 blob master app src main java io github droidkaigi confsched fragment
is unnecessary. FragmentActivity calls onActivityResult() of the child Fragment automatically. So, you should using the
044e13c Initialize fragment only when savedInstanceState of the Activity is null.
965a857 Use added the method for to ActivityNavigator.
e8b3245 Remove unnecessary codes.
Verified the following:
With Don keep activities on, opened session detail and added it to my schedule and return back to the All Sessions to see the session was checked
With Don keep activities off, opened session detail and added it to my schedule and return back to the All Sessions to see the session was checked</t>
  </si>
  <si>
    <t>shoutit-shoutit-android-60</t>
  </si>
  <si>
    <t xml:space="preserve">Crash during signup </t>
  </si>
  <si>
    <t>Sing up Log in with E-mail -&gt; Sign up -&gt; fill all the fields, the crash happens after typing the password</t>
  </si>
  <si>
    <t>k9mail-k-9-1079</t>
  </si>
  <si>
    <t>Opening no-more-existent mail crashes K9</t>
  </si>
  <si>
    <t>Did delete Mail from my IMAP account while my device running K9 had no internet connection. Then (once the device was connected to the internet again) tried to open this Mail Crash.
Might this be the root cause of Bug #814?
### Expected behaviour
If try to open no-more existing mail would expect to be returned to the current thread and, if the current thread does no more exist, as well, to the inbox.
### Actual behaviour
K9 sometimes (about 10% of the time) crashes
### Steps to reproduce
1. Use an IMAP account
2. Make sure that K9 cannot see immediately that an e-mail has been deleted
3. Delete an E-Mail from outside K9
4. Try to open this E-Mail using K9.
K-9 Mail version:
Account type (IMAP, POP3, WebDAV Exchange):
and kind regards,</t>
  </si>
  <si>
    <t>eclipse-californium-9</t>
  </si>
  <si>
    <t xml:space="preserve">Client Hello after Handshake crash </t>
  </si>
  <si>
    <t>It seems the issue (https: bugs.eclipse.org bugs show bug.cgi?id 483371) was not completely fixed.
On Leshan sandbox, regulary encounter this issue. Here is the log
When this happen, the device will not be able to connect to the server with the same host port...
suspect the issue was here (https: github.com eclipse californium blob master scandium-core src main java org eclipse californium scandium
think we should not test if we have an established session, mean if we get Client Hello with epoch we probably want to do fresh handshake.
The only case, we don want that is if this is retransmission but we have this code (https: github.com eclipse californium blob master scandium-core src main java org eclipse californium scandium to prevent this.</t>
  </si>
  <si>
    <t>konifar-droidkaigi2016-95</t>
  </si>
  <si>
    <t>IndexOutOfBoundsException occurs when open a detail screen and back to the home screen</t>
  </si>
  <si>
    <t>When opened detail screen of talk and go back to the All Sessions screen with the back button, the app crashed and logged below stack trace.
Caused by: Failure delivering result ResultInfo who null, request 1, result 0, data null to activity Invalid index 0, size is
... 10 more
Caused by: Invalid index 0, size is
... 11 more
Nexus 5X (Android 6.0), emulator
87acd0a Resolve conflict. #89
## Steps to reproduce
1. Turn on Don keep activities on Debug Setting
2. Launch the app
3. Tap any talk to open the detail screen of the session
4. Tap Back button to go back to the previous screen
## Expected result</t>
  </si>
  <si>
    <t>commons-app-apps-android-commons-56</t>
  </si>
  <si>
    <t>NullPointerException at MwVolleyApi$Query.toString</t>
  </si>
  <si>
    <t>misaochan is it related to the new code?
USER COMMENT when uploading photo application has been crashed .why this problem unistall and reinstall app but problems not solve ?please fix it.
ANDROID VERSION 5.1.1
APP VERSION NAME 1.8
PHONE MODEL SM-J200G</t>
  </si>
  <si>
    <t>ashqal-ChromeLikeSwipeLayout-7</t>
  </si>
  <si>
    <t>onNestedPreFling throws error for projects that have minSDK &lt; 21</t>
  </si>
  <si>
    <t>So was testing on an older phone (api 15) and used the library and unfortunately it crashes on fling with the following stacktrace:
Looks like we might need to do version check before call super for onNestedFling and onNestedPreFling</t>
  </si>
  <si>
    <t>hidroh-materialistic-373</t>
  </si>
  <si>
    <t>Preferences.java line 90</t>
  </si>
  <si>
    <t>2016-02-10</t>
  </si>
  <si>
    <t>brarcher-loyalty-card-locker-12</t>
  </si>
  <si>
    <t>6.01 - Crash when accessing camera</t>
  </si>
  <si>
    <t>The app must be given permission to use the camera in Settings -&gt; Apps -&gt; Loyalty Card -&gt; Permissions. If not the app crashes when scanning in new card via camera.
wasn sure if this was by design, but wanted to report it for others.</t>
  </si>
  <si>
    <t>Flaredown-FlaredownAndroid-11</t>
  </si>
  <si>
    <t>Null pointer crash when creating a new trackable</t>
  </si>
  <si>
    <t>When adding new trackable in the app, once trackable has been selected from the search null pointer error would occur, causing the application to crash.
Due to the EditEditables dialog returning the value to the incorrect function.</t>
  </si>
  <si>
    <t>2016-02-11</t>
  </si>
  <si>
    <t>ccrama-Slide-972</t>
  </si>
  <si>
    <t>Memory leak in new_offline_model</t>
  </si>
  <si>
    <t>If you go to the comments page for submission in subreddit with lots of images, continue to swipe right. The memory usage goes up and up until it crashes. Memory usage goes up in text heavy subreddits too.</t>
  </si>
  <si>
    <t>Instabug-Instabug-Android-2</t>
  </si>
  <si>
    <t>Application crashes after the onPause method</t>
  </si>
  <si>
    <t>On some devices (Samsung galaxy S4 for example), when close the app from screen have map, your SDK crashes with the following stack trace:</t>
  </si>
  <si>
    <t>2016-02-12</t>
  </si>
  <si>
    <t>NemProject-NEMAndroidApp-154</t>
  </si>
  <si>
    <t>Trying to create multisig crashes app</t>
  </si>
  <si>
    <t>konifar-droidkaigi2016-179</t>
  </si>
  <si>
    <t>App crashes just after launch if upgraded from  PlayStore 1.0.1 to DeployGate 13</t>
  </si>
  <si>
    <t>The app crashed with the below SQL error after upgrading from the current version on Google Play (1.0.1) to the build 13 on DeployGate.
SessionsFragment Sessions Load succeeded.
SQLiteLog (1) no such column: share url
Process: PID: 24146
## Steps to Reproduce
1. Install ver 1.0.1 of the app
2. Go to DeployGate site (https: deploygate.com distributions and install the app
During the installation, dialog asks the app is not under manged by DeployGate and do you want to manage it with DeployGate? Answer yes to the question
3. After the installation ends, dialog asks whether opening the app and answer Open to the question
4. Launch the app
## Expected result</t>
  </si>
  <si>
    <t>2016-02-13</t>
  </si>
  <si>
    <t>cgeo-cgeo-5445</t>
  </si>
  <si>
    <t>crash while opening / viewing images from GC1NBJH</t>
  </si>
  <si>
    <t>unable to open GC1NBJH in cgeo.
For me it not deterministic when the crash occurs. On one of my phones it crashes when try to open the cache. On the other after moving to the Images-tab.
NB 2016 02 05 NB 2428cb0 and
NB 2016.02.14 NB 11ae549</t>
  </si>
  <si>
    <t>2016-02-14</t>
  </si>
  <si>
    <t>OneBusAway-onebusaway-android-418</t>
  </si>
  <si>
    <t>Crash on viewing "About" activity on release builds</t>
  </si>
  <si>
    <t>On release builds, when going to Settings-&gt;About the app crashes with this stacktrace:
... 28 more
Caused by: Class not found using the boot class loader no stack trace available</t>
  </si>
  <si>
    <t>2016-02-15</t>
  </si>
  <si>
    <t>ccrama-Slide-996</t>
  </si>
  <si>
    <t>Slide freezing frequently on the latest update</t>
  </si>
  <si>
    <t>have no way to reproduce it consistently, but often when open the comments for post, slide will hang up (but not crash), and ll have to force it to quit and restart it</t>
  </si>
  <si>
    <t>cymcsg-UltimateRecyclerView-301</t>
  </si>
  <si>
    <t>if no header and not data(list is null) and enableLoadmore, it will crash</t>
  </si>
  <si>
    <t>if no header and not data(list is null), but enableLoadmore, offset in getItemCount(). It will call parent, int viewType) in RecyclerView class. the holder is null and crashes.
public final VH parent, int viewType)
CREATE VIEW TAG)
final VH holder viewType)
public int getItemCount()
if (hasHeaderView()) offset++
if (enableLoadMore()) offset++</t>
  </si>
  <si>
    <t>the-blue-alliance-the-blue-alliance-android-538</t>
  </si>
  <si>
    <t>Caused by: timeout</t>
  </si>
  <si>
    <t>bitstadium-HockeySDK-Android-130</t>
  </si>
  <si>
    <t>Throw IOException to prevent crash in LoginTask</t>
  </si>
  <si>
    <t>Crash was caused in LoginTask when signing in with mode email only when connected to wifi but no internet connectivity the exact details of why this is then throwing an IOException but the same login with mode email password does not will stay with the implementors of URLConnection.
The code is now just throwing the IOException to the next in the chain so they can handle it correctly.</t>
  </si>
  <si>
    <t>2016-02-16</t>
  </si>
  <si>
    <t>ucsdCSE110wi16-CSE110M240T12-11</t>
  </si>
  <si>
    <t>Fix my event page bug</t>
  </si>
  <si>
    <t>My event page does not show the current following number correctly. And if user unfollow the event in this page, the app crash.</t>
  </si>
  <si>
    <t>ccrama-Slide-1006</t>
  </si>
  <si>
    <t>Kanye West breaks slide</t>
  </si>
  <si>
    <t>This post (https: www.reddit.com cringepics comments 460c44 kanye west breaking down on twitter begs mark crashes slide when you view it in submission list (frontpage and cringepics crash).
get this error sometimes:
and sometime get this</t>
  </si>
  <si>
    <t>zhenghaoz-MaterialWeCenter-12</t>
  </si>
  <si>
    <t>点开某个没标题的帖子crash</t>
  </si>
  <si>
    <t>tonyshkurenko-DiCaprio-9</t>
  </si>
  <si>
    <t>Allocation bug.</t>
  </si>
  <si>
    <t>When you create an object on the same position as another one
fatal error has been detected by the Java Runtime Environment:
SIGSEGV (0xb) at pc 0x00007ff0167fc9eb, pid 12130, tid 140669361202944
JRE version: Java(TM) SE Runtime Environment (8.0 05-b13) (build 1.8.0 05-b13)
Java VM: Java HotSpot(TM) 64-Bit Server VM (25.5-b02 mixed mode linux-amd64 compressed oops)
Failed to write core dump. Core dumps have been disabled. To enable core dumping, try ulimit -c unlimited before starting Java again
An error report file with more information is saved as:
files Programming Android DiCaprio hs err pid12130.log
If you would like to submit bug report, please visit:
The crash happened outside the Java Virtual Machine in native code.
See problematic frame for where to report the bug.</t>
  </si>
  <si>
    <t>2016-02-17</t>
  </si>
  <si>
    <t>dimagi-commcare-android-1078</t>
  </si>
  <si>
    <t>Catch arity exceptions in form entry and hierarchy views</t>
  </si>
  <si>
    <t>esoergel was encountering xpath arity errors that were crashing commcare instead of showing the user the error, which is user addressable.
xpath arity checks caught in the form hierarchy activity show toast message because that activity doesn extend CommCareActivity (it needs to extend the non-Fragment compatible ListActivity ).</t>
  </si>
  <si>
    <t>Neamar-KISS-391</t>
  </si>
  <si>
    <t>Play store crash</t>
  </si>
  <si>
    <t>Caused by: length index</t>
  </si>
  <si>
    <t>aiueoH-twrb-23</t>
  </si>
  <si>
    <t>小A表示連點兩次刪除車票按鈕會crash</t>
  </si>
  <si>
    <t>zhuowei-MCPELauncher-636</t>
  </si>
  <si>
    <t>BL Scripts Crash (0.14)</t>
  </si>
  <si>
    <t>The new BL crash when enable scripts</t>
  </si>
  <si>
    <t>eneim-Attiq-18</t>
  </si>
  <si>
    <t>ItemDetailActivity crashed due to a bad practice</t>
  </si>
  <si>
    <t>martykan-forecastie-61</t>
  </si>
  <si>
    <t>Crash on first refresh</t>
  </si>
  <si>
    <t>The application crashes if you try to refresh for the first time without network connectivity.
Refreshes after the first run do display the No network connection snackbar successfully if there no network.
Running CM13 on OnePlus One with the F-Droid 0.9.1 version.</t>
  </si>
  <si>
    <t>k0shk0sh-PermissionHelper-7</t>
  </si>
  <si>
    <t>Displaying wrong PermissionModel</t>
  </si>
  <si>
    <t>Look at the screenshot.
My PermissionModel is defined like this for testing
permissions new ArrayList&lt;&gt;()
.withTitle( ACCESS FINE LOCATION
.withMessage( PermissionHelper also prevents your app getting crashed if the
requested permission never exists in your AndroidManifest
We need this permission to access to your location to
find nearby restaurants and places you like!
.withFontType( my font.ttf
.withTitle( GET ACCOUNTS
message get accounts)
.withFontType( my font.ttf
.withTitle( READ CONTACTS
.withTitle( READ CONTACTS
message get accounts)
.withFontType( my font.ttf
.withTitle( WRITE CONTACTS
.withTitle( WRITE CONTACTS
message get accounts)
.withFontType( my font.ttf</t>
  </si>
  <si>
    <t>2016-02-18</t>
  </si>
  <si>
    <t>twystin-twyst_ordering_app-48</t>
  </si>
  <si>
    <t>App Crash - Handle Back Press from Map when GPS is turned off/no last known location</t>
  </si>
  <si>
    <t>Turn off GPS
Say No when prompted for location
From Map press back
Resulting screen has no data
If the edit address icon is pressed in this state, App Crashes
Show null state screen No location found
Show in the Delivering To box
Pressing the Edit Address should go to Choose Location screen (Obviously app should not crash)</t>
  </si>
  <si>
    <t>2016-02-19</t>
  </si>
  <si>
    <t>MHSCSClub-FBLA_MobileApp_2016-12</t>
  </si>
  <si>
    <t>App crashes when no pictures left to display</t>
  </si>
  <si>
    <t>jakubkinst-Android-ViewModelBinding-8</t>
  </si>
  <si>
    <t>Sample app crash on rotation</t>
  </si>
  <si>
    <t>Steps to reproduce:
1. Run the app
2. Rotate device
Caused by: Attempt to invoke virtual method java.lang.Class on null object reference</t>
  </si>
  <si>
    <t>2016-02-21</t>
  </si>
  <si>
    <t>mvysny-aedict-622</t>
  </si>
  <si>
    <t>Dropbox sync crashes</t>
  </si>
  <si>
    <t>haiwen-seadroid-491</t>
  </si>
  <si>
    <t>cannot open settings since 2.0, problem persists in all 2.x</t>
  </si>
  <si>
    <t>since version 2.0 have the problem that cannot open the settings dialog anymore the app crashes without any further information than just that the app was terminated.
Currently use the version 2.03 from f-droid repository on Cyanogenmod 12.1 (Android 5.1). use HTTPS to connect to my own server.
Thanks for any help</t>
  </si>
  <si>
    <t>2016-02-22</t>
  </si>
  <si>
    <t>DarkNormal-ModernEventApp-23</t>
  </si>
  <si>
    <t>Volley Error Handling</t>
  </si>
  <si>
    <t>ve been testing turning the web service on and off to see if handle the different responses correctly and there are some major possible crash scenarios where use Volley.
switch statement on the status code is quite useful, but ll have to check if that is also null. Also maybe holding on to view references for displaying the snackbars but not 100% sure</t>
  </si>
  <si>
    <t>2016-02-23</t>
  </si>
  <si>
    <t>MHSCSClub-FBLA_MobileApp_2016-13</t>
  </si>
  <si>
    <t>App crashes if location turned off</t>
  </si>
  <si>
    <t>spacecowboy-NoNonsense-FilePicker-73</t>
  </si>
  <si>
    <t>Dropbox sample crash if multiple press on folder</t>
  </si>
  <si>
    <t>tried to use it as Dropbox folder picker. am able to browse and select folders using the from your sample. The only issue is if you press on folder it waits for the subfolders to loads and then changes the UI list. If the user presses the folder name multiple times crash occurs. The folder loading may take long time for some users due to unstable nature of mobile networks. Ideal behaviour would be to show Indeterminate progress bar in place of list when user chooses folder. When the sub folder list is loaded the progress bar should be hidden and sub list shown. Kind of like the progress bar as an empty view for the list and an empty list while subfolders are loading.
Other than that it nice library. It the most suitable folder picker when compared to any other library.</t>
  </si>
  <si>
    <t>aws-amplify-aws-sdk-android-103</t>
  </si>
  <si>
    <t>ConcurrentModificationException</t>
  </si>
  <si>
    <t>Sometimes my application crashes with this exception:
FATAL EXCEPTION: main
Probably this is due to the fact that in the onError call both</t>
  </si>
  <si>
    <t>Neraud-PADListener-101</t>
  </si>
  <si>
    <t>Crash when syncing too many monsters</t>
  </si>
  <si>
    <t>The app crashes without crash report (process restart) when syncing too many monsters at the same time.</t>
  </si>
  <si>
    <t>twystin-twyst_ordering_app-54</t>
  </si>
  <si>
    <t>Order History Bug (user reported)</t>
  </si>
  <si>
    <t>When clicked on My orders from the home screen after placing the order, the app crashed.</t>
  </si>
  <si>
    <t>Harlber-Moose-28</t>
  </si>
  <si>
    <t>App crash in comments</t>
  </si>
  <si>
    <t>&lt;img src https: assets 7955320 13240328 width 572 height 300 alt crash 2016-02-23-08-12-15 align center</t>
  </si>
  <si>
    <t>ccrama-Slide-1073</t>
  </si>
  <si>
    <t>Wiki hyperlink problems &amp; crashes</t>
  </si>
  <si>
    <t>Long pressing wiki link in the submission view to open externally will still open internally.
Trying to externally open hyperlink within the wiki well cause crash.
Trying to open that hyperlink internally does nothing (maybe after the page finishes loading things change?)
Loading symbol never seems to finish loading.
Link that start from in the video: https: reddit.com HFY comments 47cpc2 ocjverse the lost minstrel 12</t>
  </si>
  <si>
    <t>2016-02-24</t>
  </si>
  <si>
    <t>translation-cards-translation-cards-32</t>
  </si>
  <si>
    <t>App crashes if we do not finish recording before going to next step in RecordingActivity</t>
  </si>
  <si>
    <t>Steps to Recreate
1. Record audio for card creation
2. Navigate back to the card text input
3. Navigate to the recording screen
4. Press record or play
5. The app crashes</t>
  </si>
  <si>
    <t>dimagi-commcare-android-1091</t>
  </si>
  <si>
    <t>Fix case detail phone callout &amp; add localizations</t>
  </si>
  <si>
    <t>Stop case detail phone number callout from crashing when launched
Fix permission checking to all the Send SMS option to work. Sending an sms via the messenger doesn actually require permissions
Fix failure mode when permissions are denied.
Add localization texts to allow app builders to localize phone number callout text</t>
  </si>
  <si>
    <t>spacecowboy-NoNonsense-FilePicker-76</t>
  </si>
  <si>
    <t>Crash while creating folder in dropbox sample</t>
  </si>
  <si>
    <t>In the dropbox sample there is crash while creating new folder. Moving the refresh from doInBackground to onPostExecute fixes it.
private class FolderCreator extends AsyncTask&lt;String, Void, Void&gt;
protected Void String... paths)
for (String path paths)
mCurrentPath 1, null, false, null)
catch (DropboxException e)
R.string.nnf create folder error,
protected void onPostExecute(Void aVoid)</t>
  </si>
  <si>
    <t>spacecowboy-NoNonsense-FilePicker-75</t>
  </si>
  <si>
    <t>Dropbox sample can crash due to Inconsistent state in RecyclerView</t>
  </si>
  <si>
    <t>This issue crops up sometimes:</t>
  </si>
  <si>
    <t>javiersantos-AppUpdater-13</t>
  </si>
  <si>
    <t>Google Play returns "Varies by Device"</t>
  </si>
  <si>
    <t>Compare of versions crashes when Google Play store has old versions for old devices...</t>
  </si>
  <si>
    <t>2016-02-25</t>
  </si>
  <si>
    <t>popcorn-official-popcorn-android-9</t>
  </si>
  <si>
    <t>App crashes on Android TV</t>
  </si>
  <si>
    <t>App crashes in shield android tv running on Marshmallow. am using the latest stable build (armv8 1.2b65).</t>
  </si>
  <si>
    <t>ccrama-Slide-1077</t>
  </si>
  <si>
    <t>A crashed instance of Slide doesn't free up memory when relaunching</t>
  </si>
  <si>
    <t>After Slide has crash and it relaunches, normally an app would free up the memory of the previous instance. For some reason occasionally Slide doesn do this. This only happens in rare instances.</t>
  </si>
  <si>
    <t>dimagi-commcare-android-1098</t>
  </si>
  <si>
    <t>Schedule form relevancy update when DateWidget changes</t>
  </si>
  <si>
    <t>Changing the value of date picker question widget didn update the relevancy of form questions. Enabling relevancy updates normally crashes the app when you spin the date changer because it is adding and removing question views willy-nilly which causes crashes. To get around that, schedule change to be fired about second later.
Tested on Android 6, 4.4.2, and 2.3.7 devices</t>
  </si>
  <si>
    <t>2016-02-26</t>
  </si>
  <si>
    <t>nextcloud-news-android-493</t>
  </si>
  <si>
    <t>Some feeds do not load in the built-in browser and crash the app when attempting to open in external browser</t>
  </si>
  <si>
    <t>Some feeds do not load in the built-in browser and crash the app when attempting to open in external browser.
1. Make sure Use external browser to view articles setting is off
2. Add one of the following feeds (below)
3. Refresh the app
4. Select an article from one of the below feeds
5. Note that the articles does not load
6. Click the External browser button
7. Not that the app crashes
If have Use external browser to view articles set to on then the article loads correctly in the selected external browser.
This does not affect all the feeds that have but have noted it on these two. also fairly certain that these worked prior to 0.9.8</t>
  </si>
  <si>
    <t>libgdx-libgdx-3880</t>
  </si>
  <si>
    <t>Lwjgl3 multi window cursor crash</t>
  </si>
  <si>
    <t>#### Issue details
Setting cursor in multiwindow Lwjgl3 app will cause native crash when multiple windows are disposed. Clearing the map from after the cursors are disposed sounds like correct solution.
#### Reproduction steps code
#### Version of LibGDX and or relevant dependencies
#### Please select the affected platforms</t>
  </si>
  <si>
    <t>yasevich-endless-recycler-view-9</t>
  </si>
  <si>
    <t>EndlessRecyclerView crashed when using recycler view library 23.2.0</t>
  </si>
  <si>
    <t>google-ExoPlayer-1315</t>
  </si>
  <si>
    <t>java.lang.ArrayIndexOutOfBoundsException during MOV playback</t>
  </si>
  <si>
    <t>Playback of Big Buck Bunny.mov fails due to
This works in the DEMO app however due to the encoding of the movie on my end, the playback in integrated Exo Player fails.
Version is from git: (dev branch).
emailed the link to the G-Drive download to dev.exoplayer gmail.com, along with the adb bugreport output, right after the crash occurred.</t>
  </si>
  <si>
    <t>markzhai-AndroidPerformanceMonitor-31</t>
  </si>
  <si>
    <t>在没有开启BlockCanary的时候，启动DisplayBlockActivity会crash</t>
  </si>
  <si>
    <t>mariotaku-Pass-4</t>
  </si>
  <si>
    <t>Crash when "back" is pressed in generated password screen</t>
  </si>
  <si>
    <t>Running version 0.9.1. Android version 5.1.1.
After successfully generating password, the app crashes if press the left arrow(the one in the app, not the OS back button) to go back. Somehow the log shows Xposed is involved, so have tried disabling any Xposed module installed, which has no effect.</t>
  </si>
  <si>
    <t>2016-02-27</t>
  </si>
  <si>
    <t>jaagameister-learning-99</t>
  </si>
  <si>
    <t>Division Remainders crashes</t>
  </si>
  <si>
    <t>libgdx-libgdx-3883</t>
  </si>
  <si>
    <t>AtlasTileMapLoader crashes when using tile objects</t>
  </si>
  <si>
    <t>#### Issue details
When using AtlasTileMapLoader to load generated TiledMaps with atlas tilesets, the maps containing TileMapObjects fail to load. Removing all TileMapObjects and replacing them with generic Rectangle map objects work fine. The map is saved using single tileset with multiple tile layers and object layers. These maps are saved as base64 compressed maps.
Using the latest release of Tiled.
#### Reproduction steps code
-Create new map (no specific preferences)
-Add an object layer and place tile map object
-Save and generate the atlas and packed tileset with the Libgdx TiledMapPacker tool
-Load the .tmx using an AtlasTileMapLoader
Following the same steps without placing tile map objects loads without issues.
#### Version of LibGDX and or relevant dependencies
Latest version of LibGDX with Tools included
#### Please select the affected platforms</t>
  </si>
  <si>
    <t>CellularPrivacy-Android-IMSI-Catcher-Detector-805</t>
  </si>
  <si>
    <t>null-guard service before driving menu options</t>
  </si>
  <si>
    <t>**I have reviewed and accepted the guidelines for contributing (https: github.com SecUpwN blob development .github CONTRIBUTING.md) to this project.**
**I have reviewed and closely followed the Style Guide (https: github.com SecUpwN wiki Style-Guide) for this Android app.**
This PR fixes the app crashing on boot on fresh installs newly booted phones.
Pull request #798, solving #794, fails to account for fresh installs newly booted phones where the service is not instantiated running by the time the menu is created for the first time and NPE occurs.
If the service is null, simply choose false since without service there is no way tracking is happening.
Added implementation that will redraw the checkboxes depending on the latest truth every time the menu is open. Not sure if this is unnecessary!
Bugfix (non-breaking change which fixes an existing issue)
New feature (non-breaking change which adds functionality)
Breaking change (fix or feature that would cause existing functionality to not work as expected)
If your pull request is related to or solves any existing Issues, please link them here.
Resolves an oversight in #798 which fixed #794.</t>
  </si>
  <si>
    <t>2016-02-28</t>
  </si>
  <si>
    <t>deletescape-Control_Box_Android-2</t>
  </si>
  <si>
    <t>look and feel activity crashes on open</t>
  </si>
  <si>
    <t>k3b-APhotoManager-33</t>
  </si>
  <si>
    <t>crashes on media-scanner with a NPE</t>
  </si>
  <si>
    <t>this error is reproduceable and happens every time start the scanner:</t>
  </si>
  <si>
    <t>2016-02-29</t>
  </si>
  <si>
    <t>IvoGoman-Diabetes-App-8</t>
  </si>
  <si>
    <t>ActivityMeasurementFragment</t>
  </si>
  <si>
    <t>App crashes when inputting measurement.</t>
  </si>
  <si>
    <t>MarcProe-lp2go-11</t>
  </si>
  <si>
    <t>While not connected, app crashes on tap on "Altitude"</t>
  </si>
  <si>
    <t>cgeo-cgeo-5493</t>
  </si>
  <si>
    <t>Nightly build 2016.02.29 not starting</t>
  </si>
  <si>
    <t>###### Detailed steps causing the problem:
Users reported on support and FB report that the NB is installable but crashed immediately after starting.
Could be related to #5489
###### Version of c:geo used:
###### Is the problem reproducible for you:
To be checked
###### Attach system information if available (see c:geo menu -&gt; About c:geo -&gt; System):
Will attach log this evening (or someone can help out please)</t>
  </si>
  <si>
    <t>inaturalist-iNaturalistAndroid-133</t>
  </si>
  <si>
    <t>taxon chooser crash</t>
  </si>
  <si>
    <t>Unfortunately can replicate this, but experienced it this weekend while trying to search for the word incense in the taxon chooser from the obs edit screen. Seems like some kind of bad async image request.</t>
  </si>
  <si>
    <t>inaturalist-iNaturalistAndroid-132</t>
  </si>
  <si>
    <t>obs list / detail memory management issue</t>
  </si>
  <si>
    <t>To replicate, basically just make few observations and try editing them, particular going from list -&gt; detail -&gt; edit -&gt; taxon chooser, saving, backing out, and trying to do the same for several more. ve been getting this memory-related crash this weekend while trying to tap almost every other observation.
Using build 95.</t>
  </si>
  <si>
    <t>ac-pm-Inspeckage-1</t>
  </si>
  <si>
    <t>Crashes on "Launch App" for an app without a main/launcher activity</t>
  </si>
  <si>
    <t>Really amazing tool, truly awesome work!
working with widget-only app which doesn have defined main activity, Inspeckage should probably either check the manifest for valid activity to start or try catch the intent in case it crashes. It currently detects my configure widget activity which (I guessing) crashes because it expects to be launched from widget intent and requires additional data.</t>
  </si>
  <si>
    <t>2016-03-01</t>
  </si>
  <si>
    <t>eclipse-paho.mqtt.android-58</t>
  </si>
  <si>
    <t>mqtt android client -- If cleansession is set to true, app is crashed when try to connect to mqtt server</t>
  </si>
  <si>
    <t>migrated from Bugzilla #442758 (https: bugs.eclipse.org bugs show bug.cgi?id 442758)
status RESOLVED severity normal in component MQTT-Android for 1.1
Reported in version 1.0 on platform Other
Assigned to: Zhang Yang
Here is the exception message:
will fix it and push it to paho develop branch.
Have already committd and merged the fix in paho develop branch.
Have already committed and merged the fix in paho develop branch.</t>
  </si>
  <si>
    <t>eclipse-paho.mqtt.android-38</t>
  </si>
  <si>
    <t>Security issue: Paho Android Service is broadcasting all messages and events system wide</t>
  </si>
  <si>
    <t>migrated from Bugzilla #446379 (https: bugs.eclipse.org bugs show bug.cgi?id 446379)
status RESOLVED severity blocker in component MQTT-Android for 1.1
Reported in version 1.0 on platform All
Assigned to: Tang Zi Han
Original attachment names and IDs:
(https: bugs.eclipse.org bugs attachment.cgi?id 247735) (ID 247735)
Created attachment 247735
Use instead of system wide one
The MqttService is using broadcasts to deliver events and messages to the MqttAndroidClient. Those broadcasts are advertised system wide and any third party app also registering BroadcastReceiver with an action string as in TO ACTIVITY will receive those messages.
As quick fix, broadcasting should only be handled by the from Android support library.
Bonus issue: If user has two or more apps using Paho Android Service installed, those apps will deliver events messages to each other leading to undefined behavior and possibly crashes.
Attached patch is based on commit SHA:
Fixed at https: git.eclipse.org 37627</t>
  </si>
  <si>
    <t>eclipse-paho.mqtt.android-27</t>
  </si>
  <si>
    <t>MqttService crashes when isOnline is called because getSystemService is returning null</t>
  </si>
  <si>
    <t>migrated from Bugzilla #458689 (https: bugs.eclipse.org bugs show bug.cgi?id 458689)
status RESOLVED severity normal in component MQTT-Android for 1.1
Reported in version unspecified on platform Other
Assigned to: James Sutton
Original attachment names and IDs:
(https: bugs.eclipse.org bugs attachment.cgi?id 250327) (ID 250327)
Created attachment 250327
MqttService seems to be crashing when attempting reconnect. Service tries to check if the device isOnline but fails because the ConnectivityManager is null. Not sure why this would be happening. The stack trace is attached.
Reproduced it here as well.
It happening because of the following lines:
return whether the android service can be regarded as online
public boolean isOnline()
ConnectivityManager cm SERVICE)
The solution would be to assign the active network info object to temporary variable:
if (info null &amp;&amp; info.isAvailable() &amp;&amp; info.isConnected())
** Bug 473775 has been marked as duplicate of this bug. ***
Reproduced on my device (Nexus 5, Android 5.1.1) as well, with the Paho client 1.0.2.
Assigning to James
accidentally associated the gerrit change with the duplicate Bug 473775.
The change has been merged to develop.</t>
  </si>
  <si>
    <t>eclipse-paho.mqtt.android-3</t>
  </si>
  <si>
    <t>Attempt to release not held wakelock causes exception in AlarmPingSender when timeout</t>
  </si>
  <si>
    <t>migrated from Bugzilla #485871 (https: bugs.eclipse.org bugs show bug.cgi?id 485871)
status UNCONFIRMED severity critical in component MQTT-Android for 1.2
Reported in version 1.2 on platform Other
Assigned to: James Sutton
When connection fails due to
have found that AlarmPingSender onRecieve method enters into the following section of code:
The wakelock is not always held and without performing an isHeld() check beforehand, goes ahead and attempts to release the wakelock causing an app crashing exception.
triggered this error by:
connecting the android devices to WiFi
connecting succesfully to the MQTT broker
removing the internet connection of WiFi source whilst maintaining the WiFi signal so the android device is still connected to WiFi but not actually to the internet.
Unfortunately this error doesn seem to happen with the example application, but it does seem to come from the library and not from my code.
am using the following library version:
Please see the log below for details:
Caused by: WakeLock under-locked
downloaded the source code today to add the isHeld() check on the wakelock myself. The code section in question was nowhere to be found, and when ran the app with the android service as an imported module in source code had no issue.
The only place have seen the offending section of code was in Android Studio when looking at the decompiled</t>
  </si>
  <si>
    <t>eclipse-paho.mqtt.android-2</t>
  </si>
  <si>
    <t>MqttAndroidClient receives multiple simultaneous onFailure callbacks after calling connect more than once</t>
  </si>
  <si>
    <t>migrated from Bugzilla #486520 (https: bugs.eclipse.org bugs show bug.cgi?id 486520)
status UNCONFIRMED severity normal in component MQTT-Android for 1.2
Reported in version 1.2 on platform Other
Assigned to: James Sutton
have some code that attempts to connect to MQTT again in seconds if it fails to establish connection (this is designed for kiosk with no input devices attached so error handling options are kind of limited other than fully restarting the device). What seeing is that if pass an invalid MQTT URL, the number of times onFailure is called with the same IMqttToken instance starts increasing very quickly causing the application to crash. What would expect is onFailure to be called once for given connection attempt.
Here some of the code, you can call connect() after creating the MqttAndroidClient with an invalid MQTT url and using MemoryPersistence to see repro situation.
private void connect()
MqttConnectOptions connectOptions new
final int TWO SECONDS 2000
catch (MqttException e)
Timber.w(e, Failed to connect to mqtt with MqttException
private class MqttConnectRunnable implements Runnable
public void run()
catch (Throwable t)
Timber.e(t, Got exception during connect
private class implements IMqttActionListener
public void iMqttToken)
public void iMqttToken, Throwable throwable)
Timber.w(throwable, Failed to connect to mqtt
Hi, believe that this issue has been resolved in the develop branch.</t>
  </si>
  <si>
    <t>gabrielemariotti-changeloglib-29</t>
  </si>
  <si>
    <t>Incompatibility of appCompat</t>
  </si>
  <si>
    <t>When we upgrade AppCompat in app to 23.2.0 and we using MaterialDialogs (https: github.com afollestad material-dialogs) to wrap Changeloglib app crash.
It looks as incompatibility of this lib which uses older 22.2.0
Could you please upgrade appCompat libs?</t>
  </si>
  <si>
    <t>bumptech-glide-1016</t>
  </si>
  <si>
    <t>Catch IllegalStateException in onAttach</t>
  </si>
  <si>
    <t>There has already been fix for this crash but it does not look right to me the error thrown when the is attached at the wrong time is an not an</t>
  </si>
  <si>
    <t>dmfs-opentasks-221</t>
  </si>
  <si>
    <t>ClassNotFoundException when opening the Editor from the QuickEdit dialog.</t>
  </si>
  <si>
    <t>When there is another app that can handle the Edit Intent for Tasks, the Chooser will crash when the editor is opened from the Quickedit dialog. That because the extras Bundle contains custom Parcelable class (the ContentSet).</t>
  </si>
  <si>
    <t>2016-03-02</t>
  </si>
  <si>
    <t>learningtitans-paperclickers-4</t>
  </si>
  <si>
    <t>Application crashes when generating codes</t>
  </si>
  <si>
    <t>Using Android 6.0 application crashes when generating codes.</t>
  </si>
  <si>
    <t>moneymanagerex-android-money-manager-ex-708</t>
  </si>
  <si>
    <t>Exception when downloading quotes or currencies</t>
  </si>
  <si>
    <t>The app crashes when downloading quotes currencies from Yahoo.
Need to handle the error more gracefully.
*********** APP DETAILS ************
*********** CAUSE OF ERROR ************</t>
  </si>
  <si>
    <t>Simicart-Android-core-6</t>
  </si>
  <si>
    <t xml:space="preserve">Problem with permission Android 6 </t>
  </si>
  <si>
    <t>Store locator crash app in Android 6.0 and up.
Check permission before use.
Enable permission location</t>
  </si>
  <si>
    <t>Harlber-Moose-30</t>
  </si>
  <si>
    <t>Crash in Article List</t>
  </si>
  <si>
    <t>&lt;img src https: assets 7955320 13449957 width 572 height 300 alt crash 2016-02-23-08-12-15 align center</t>
  </si>
  <si>
    <t>ac-pm-Inspeckage-4</t>
  </si>
  <si>
    <t>Activity crash</t>
  </si>
  <si>
    <t>Steps to reproduce:
Click back button
Open navigation drawer and on Config item</t>
  </si>
  <si>
    <t>2016-03-03</t>
  </si>
  <si>
    <t>eclipse-paho.mqtt.android-61</t>
  </si>
  <si>
    <t>Mqtt Service crash when receive a message and can not cast MqttTokenAndroid to IMqttDeliveryToken</t>
  </si>
  <si>
    <t>&lt;b&gt;This happens not all the time, this is the log.&lt; b&gt;</t>
  </si>
  <si>
    <t>jonburney-KingsgateMediaPlayer-Android-14</t>
  </si>
  <si>
    <t>Video player crashes when device is rotated</t>
  </si>
  <si>
    <t>If the device is rotated when the video is playing the the video player crashes with the error Can play this video</t>
  </si>
  <si>
    <t>UweTrottmann-SeriesGuide-484</t>
  </si>
  <si>
    <t>List widget not updating</t>
  </si>
  <si>
    <t>It maybe not Android (one user on 5.1.1 LG V10)
2x 6.0 LG V4, 5.1.1 LG V10, my own 6.0 Moto Play
Reports since about version 28, 29-beta2 (which trigger widget updates also from within the app, not just through the update alarm)
Briefly caught ListWidgetProvider crashing, maybe this is cause?
Trying with context used to update widget set to app context. **released with 29-beta3**
App Standby not the issue: app can enter app standby if widget added to home screen (tested on emulator and device).
Doze mode? In theory setRepeating alarm should be delivered after leaving doze mode, works on my device. **Causes multiple alarms to be delivered at once, switched to using single alarm and re-setting it v40-beta6)**
Community feedback (https: plus.google.com +SeriesGuideApp posts FgTXrFNL2eC)</t>
  </si>
  <si>
    <t>arimorty-floatingsearchview-32</t>
  </si>
  <si>
    <t>SearchView crashes when the activity is restored</t>
  </si>
  <si>
    <t>1. Turn on the developer option don keep activities
2. Open the demo app
4. Press the home key to return to the home screen
5. Go back to the demo app
The app crashes:</t>
  </si>
  <si>
    <t>2016-03-04</t>
  </si>
  <si>
    <t>jMonkeyEngine-sdk-11</t>
  </si>
  <si>
    <t>crash in sdk when dev machine returning from sleep mode</t>
  </si>
  <si>
    <t>From ghost on March 24, 2014 19:35
Reference on googlecode: https: code.google.com jmonkeyengine issues detail?id 582
have noticed the SDK crashes when returning from sleep mode. believe this to be related to the openGL preview window that is available in the SDK.
Crash 1: returning from sleep mode, openGL preview is up already displaying model. crash throws many blank error boxes, must force quit application.
Crash 2: returning from sleep mode, openGL preview is not up. added model via import, when went to go preview it in the SDK then crashed the same as before. Major note: SDK then went on to delete the original model file from my disk luckily the model was still open in Blender, so simply resaved the file and re-wrote it to disk.
Windows 8, 64bit
Copied from original issue: jMonkeyEngine jmonkeyengine#93</t>
  </si>
  <si>
    <t>2016-03-05</t>
  </si>
  <si>
    <t>cgeo-cgeo-5505</t>
  </si>
  <si>
    <t>Crashes when opening cache description with image from dropbox</t>
  </si>
  <si>
    <t>###### Detailed steps causing the problem:
Search for and open GC5XBKZ, GC5NVYK or GC68R58 and many more with the partial name Bild af Pite
###### Actual behaviour after performing these steps:
After second the app crashes and sends you back to the start page.
It just happens with some caches, not all.
One common thing with the ones that causes the crash seems to be that they all have linked images from dropbox in the description using the short url format https: db.tt U7YqJqwN .Don know if it is coincident or not.
###### Version of c:geo used:
The bug has been present in the NB:s for maybe week by now.
###### Is the problem reproducible for you:</t>
  </si>
  <si>
    <t>gabrielemariotti-changeloglib-31</t>
  </si>
  <si>
    <t>NPE with 23.2.0 in android.support.v7.widget.RecyclerView$ItemAnimator$ItemHolderInfo.left</t>
  </si>
  <si>
    <t>As reported by Zeliret in #28:
For me there is another problem. have crash:</t>
  </si>
  <si>
    <t>thaliproject-Thali_CordovaPlugin_BtLibrary-49</t>
  </si>
  <si>
    <t>Crash with Thread problem BluetoothConnector.java new CountDownTimer</t>
  </si>
  <si>
    <t>If have an Android device ruing the NativeTestApp and start stop the App on other devices this crash happens:
do have auto-connect enabled on all the devices, and it does seem to be in the method call traces starting with
am curious about the logic here. We are inside the Engine processing onDisconnected which creates new thread. But the curious thing to me is why would onDisconnected method be doing If new thread is being spawned to process the onDisconnect, could it be more sensible to let that thread end (accomplishing only the disconnect) and then let the autoconnect logic start over and decide which peer should be targeted?</t>
  </si>
  <si>
    <t>2016-03-06</t>
  </si>
  <si>
    <t>indication-OpenRedmine-175</t>
  </si>
  <si>
    <t>App crash on android  2.2</t>
  </si>
  <si>
    <t>Something wrong with dependent android version.</t>
  </si>
  <si>
    <t>2016-03-07</t>
  </si>
  <si>
    <t>SCCapstone-FitLivin-46</t>
  </si>
  <si>
    <t>Click on Day 1 in Weight Loss Fitness Program crashes app.</t>
  </si>
  <si>
    <t>SCCapstone-FitLivin-43</t>
  </si>
  <si>
    <t>Crashes when Going to Goals page</t>
  </si>
  <si>
    <t>On new account, can go to Goals and set some goals, then go back home.
But, once have set Goals the app crashes every time try to go back to Goals.
&lt;img width 497 alt 5554 nexus api 22 src https: assets 228704 13578175</t>
  </si>
  <si>
    <t>SCCapstone-FitLivin-41</t>
  </si>
  <si>
    <t>Crashes on 6P emulator</t>
  </si>
  <si>
    <t>When try to (click on) go to Points on the emulator 6P it crashes.
But, on the emulated nexus it works. Also works on my real 6P phone. :confused: Maybe it is that horrible background image?</t>
  </si>
  <si>
    <t>SCCapstone-diet-33</t>
  </si>
  <si>
    <t>Crashes when Admin tries to edit patient's meal</t>
  </si>
  <si>
    <t>the crash is right after hit the Save button.</t>
  </si>
  <si>
    <t>SCCapstone-diet-24</t>
  </si>
  <si>
    <t>App does not run in the emulator. It crashes the whole OS!</t>
  </si>
  <si>
    <t>SCCapstone-diet-23</t>
  </si>
  <si>
    <t>App crashes after scanning a book</t>
  </si>
  <si>
    <t>bitstadium-HockeySDK-Android-139</t>
  </si>
  <si>
    <t>CrashManager uses wrong text resource for positive dialog button</t>
  </si>
  <si>
    <t>sets R.string.hockeyapp dialog positive button, instead
of R.string.hockeyapp crash dialog positive button, as the positive dialog button text resource.
This makes the crash dialog show OK for the positive button instead of Send.</t>
  </si>
  <si>
    <t>aws-amplify-aws-sdk-android-110</t>
  </si>
  <si>
    <t>AWS-Mobile Analytics</t>
  </si>
  <si>
    <t>EventStoreException while leading to app crash.
Caused by: XXX app sessions sessionFile: open failed: ENOENT (No such file or directory)
... 21 more
Caused by: open failed: ENOENT (No such file or directory)</t>
  </si>
  <si>
    <t>danikula-AndroidVideoCache-62</t>
  </si>
  <si>
    <t>Seeing this crash lot:</t>
  </si>
  <si>
    <t>vanilla-music-vanilla-298</t>
  </si>
  <si>
    <t>crash oneplus cm11 4.4.4 xposed several occasions memory leak and illegal expectation</t>
  </si>
  <si>
    <t>Cracker catches the debug
1. Out of memory
1. Illegal expectation
Thank you for wonderful app</t>
  </si>
  <si>
    <t>Rajawali-Rajawali-1600</t>
  </si>
  <si>
    <t>PR for #1504</t>
  </si>
  <si>
    <t>See commit message...
If the secondary check (for color bit sizes) is not useful as-is, ll be happy to remove modify it and retest.
ran all the examples on my S3 and noted anything unusual in the attached file:
issue-1504 example notes.txt (https: github.com Rajawali Rajawali files 163926
Of particular interest: ETC2 provides an appropriate message that ES is not supported, and Vuforia crash.
As an aside, libVuforia.so is getting (re)built every time even though it is under source control, and so shows up as modified. Is this intentional?
Let me know if there are any git branching issues ve missed.</t>
  </si>
  <si>
    <t>2016-03-08</t>
  </si>
  <si>
    <t>syncthing-syncthing-android-580</t>
  </si>
  <si>
    <t>Version 0.7.9 crash on open</t>
  </si>
  <si>
    <t>a-songac-MapX390-43</t>
  </si>
  <si>
    <t>PreferenceFragment crash with latest android support preference library (23.2.0)</t>
  </si>
  <si>
    <t>Temporary fix: do not update and keep 23.1.1
Error Message: Content has view with id attribute R.id.list container that is not ViewGroup class</t>
  </si>
  <si>
    <t>coomar2841-android-multipicker-library-7</t>
  </si>
  <si>
    <t>android.os.NetworkOnMainThreadException</t>
  </si>
  <si>
    <t>When load image from Picassa gallery on android 4.1.2 application crash wit error:</t>
  </si>
  <si>
    <t>2016-03-09</t>
  </si>
  <si>
    <t>commons-app-apps-android-commons-87</t>
  </si>
  <si>
    <t>App crashes when uploading from 'Share' in gallery (if not logged in)</t>
  </si>
  <si>
    <t>Only when using Share directly from an image in the gallery, and only if not logged in.
USER COMMENT uploading from share screen in gallery
ANDROID VERSION 5.0.1
APP VERSION NAME 1.12
PHONE MODEL GT-I9505</t>
  </si>
  <si>
    <t>Freeyourgadget-Gadgetbridge-249</t>
  </si>
  <si>
    <t>Mi Band stuck on Initializing</t>
  </si>
  <si>
    <t>But after work, went in GB, click on mi band to connect to it.. it started initializing and stuck that way.
can enter the data that was sync on morning, but cant sync it any more.
after quiting GB band connected but taping on it made app crash.
That was same for times, after setting debug log write in settings, quiting, reopening and taping it started to work.
Just to be sure this is Android 6.0 (CM13) Mi Band 1S
Is there is anyway could help with collecting data for this It would be great.</t>
  </si>
  <si>
    <t>2016-03-10</t>
  </si>
  <si>
    <t>stefan-niedermann-nextcloud-notes-102</t>
  </si>
  <si>
    <t>0.7.1 crashes on saving an edited note</t>
  </si>
  <si>
    <t>Harlber-Moose-34</t>
  </si>
  <si>
    <t xml:space="preserve">Crash in 'ArticleView' </t>
  </si>
  <si>
    <t>&lt;img src https: assets 7955320 13658079 width 572 height 300 alt crash articleview align center</t>
  </si>
  <si>
    <t>IgorGee-Carbonizr-29</t>
  </si>
  <si>
    <t>Application crashes when user authorizes their account.</t>
  </si>
  <si>
    <t>Every time user attempts to authorize, the app crashes, however they are signed in regardless the next time they open the application.</t>
  </si>
  <si>
    <t>2016-03-11</t>
  </si>
  <si>
    <t>OneDrive-onedrive-picker-android-12</t>
  </si>
  <si>
    <t>Business filepicker</t>
  </si>
  <si>
    <t>The Onedrive app crashes when im trying to use the filepicker for business. Works great on personal. Im using and isnt the sdk suppose to support that for business?</t>
  </si>
  <si>
    <t>dimagi-commcare-android-1127</t>
  </si>
  <si>
    <t>Move grid pref entry to main settings</t>
  </si>
  <si>
    <t>Addresses NPE crash that occurs when the main settings menu is entered.
Follow up to https: github.com dimagi commcare-odk pull 1120</t>
  </si>
  <si>
    <t>2016-03-12</t>
  </si>
  <si>
    <t>fossasia-open-event-droidgen-281</t>
  </si>
  <si>
    <t>App crashes on clicking of some sessions</t>
  </si>
  <si>
    <t>Go to Hardware and IoT ---&gt; The outstanding keynote at FOSSASIA.
App crashes. This could happen for other sessions under other tracks too think.
ll try fixing this. mananwason till when do you want this?</t>
  </si>
  <si>
    <t>2016-03-13</t>
  </si>
  <si>
    <t>dimagi-commcare-android-1134</t>
  </si>
  <si>
    <t>Broad Catch for Resource Scan Crash</t>
  </si>
  <si>
    <t>Fixes the crash when the app is loading resources in the middle of receiving an update.</t>
  </si>
  <si>
    <t>2016-03-14</t>
  </si>
  <si>
    <t>a-songac-MapX390-56</t>
  </si>
  <si>
    <t>Out of memory exception</t>
  </si>
  <si>
    <t>The application crashes after multiple notifications and image video viewing. When clicking back afterwards, it brings back the user to the map fragment but does not re-enable the drawer</t>
  </si>
  <si>
    <t>Karumi-Dexter-50</t>
  </si>
  <si>
    <t>Dexter.checkPermissionOnSameThread crashes when Looper has already been prepared</t>
  </si>
  <si>
    <t>### Expected behaviour
Calling shouldn crash if looper has already been prepared
### Actual behaviour
### Steps to reproduce
In background thread, call Looper.prepare() before calling
### Version of the library
According to stack overflow adding the following to WorkerThread.java should fix it (or at least this exception):
if (Looper.myLooper() null)
haven tested the fix but it should work. ll see about doing pull request soon but someone feel free to beat me to it.</t>
  </si>
  <si>
    <t>zhuowei-MCPELauncher-776</t>
  </si>
  <si>
    <t>Crashes every time I attack or break a block</t>
  </si>
  <si>
    <t>have moto g3(3rd generation)
Android 6.0 marshmallow. And it keeps crashing even though don have any mods or texture packs or anything at all. Please help me.</t>
  </si>
  <si>
    <t>ResearchStack-ResearchStack-66</t>
  </si>
  <si>
    <t>allow avoiding signature</t>
  </si>
  <si>
    <t>It seems like it is foreseen by the function, but when set it to false the app crashes with this exception:
(if set to true, then it doesn crash)</t>
  </si>
  <si>
    <t>k9mail-k-9-1176</t>
  </si>
  <si>
    <t>Select all is broken</t>
  </si>
  <si>
    <t>### Expected behaviour
Select all in inbox should mark all emails as selected
### Actual behaviour
K-9 mail crashes
### Steps to reproduce
1. Select all
K-9 Mail version:
Account type (IMAP, POP3, WebDAV Exchange):</t>
  </si>
  <si>
    <t>alhazmy13-HijriDatePicker-10</t>
  </si>
  <si>
    <t>App is crashing!</t>
  </si>
  <si>
    <t>If you click on the empty area where there is no date, the application got crashed with an error Unable to parse Integer. Following is the code line of HijriCalendarView class where application is crashing:
To fix this issues, correct the String empty check:</t>
  </si>
  <si>
    <t>google-blockly-android-122</t>
  </si>
  <si>
    <t>Crash after adding lots of blocks and dragging them around</t>
  </si>
  <si>
    <t>Did airstrike, carpet bomb, spaghetti, and airstrike again then dragged some blocks out of the spaghetting stack and it crashed.</t>
  </si>
  <si>
    <t>2016-03-15</t>
  </si>
  <si>
    <t>OneBusAway-onebusaway-android-441</t>
  </si>
  <si>
    <t>NPE - BaseMapFragment.OnFocusChangedListener.onFocusChanged()</t>
  </si>
  <si>
    <t>From Android developer console for v2.0.8 beta:
Nexus 5X (bullhead)
Android version Android 6.0
RAM (MB) 2048
Screen size 1080 1920
Screen density (dpi) 420
OpenGL ES version 3.1
Native platform armeabi-v7a
CPU make Qualcomm
CPU model MSM8992
Repeat clicked back and app crash prior to close.</t>
  </si>
  <si>
    <t>OneBusAway-onebusaway-android-440</t>
  </si>
  <si>
    <t>NPE - Attempt to invoke 'boolean java.io.File.mkdir()' on a null object reference</t>
  </si>
  <si>
    <t>From Android developer console, for v2.0.8 beta:
Caused by: Attempt to invoke virtual method boolean on null object reference
... 10 more
PURE XL (BLU PURE XL)
Manufacturer Symphony Teleca
Android version Android 5.1
RAM (MB) 3072
Screen size 1440 2560
Screen density (dpi) 640
OpenGL ES version 3.0
Native platform armeabi-v7a
CPU make Mediatek
CPU model MT6795
This is bug in Google Play Services more info at https: code.google.com gmaps-api-issues issues detail?id 9021.
Google has fixed the issue internally (Jan 20, 2016) but hasn rolled out the update to Google Play Services yet. This could actually halt our public rollout of v2.0, as according to the comments on the above gmaps-api-issue developers are seeing large number of crashes on devices via the Android developer console. We don want to roll out v2.0 to large number of users just to see ton of crashes due to this problem.</t>
  </si>
  <si>
    <t>inaturalist-iNaturalistAndroid-141</t>
  </si>
  <si>
    <t>pull-to-refresh crash</t>
  </si>
  <si>
    <t>nextcloud-news-android-502</t>
  </si>
  <si>
    <t>App crash when scrolling on empty list</t>
  </si>
  <si>
    <t>App crashes if feature mark as read while scrolling is enabled, the displayed list is empty and the users tries to scroll.</t>
  </si>
  <si>
    <t>hidroh-materialistic-394</t>
  </si>
  <si>
    <t>NPE when trying to set last updated time</t>
  </si>
  <si>
    <t>VoiSmart-pjsip-android-2</t>
  </si>
  <si>
    <t>Random crashes</t>
  </si>
  <si>
    <t>Sometimes random crashes occurs at startup. This is the log in LogCat:
Fatal signal (SIGABRT), code -6 in tid 13567 (Thread-14107)
It may be the same problem described here: http: stackoverflow.com questions 24877824 but some further investigation is required</t>
  </si>
  <si>
    <t>canelmas-let-5</t>
  </si>
  <si>
    <t>Let annotation crashes on Android N devices</t>
  </si>
  <si>
    <t>Thought you like to know about this crash on Android N:
Here the line of code where it crashed:
AskPermission( FINE LOCATION
Just thought give you heads up for when the full OS release actually comes out. Love the library!</t>
  </si>
  <si>
    <t>2016-03-16</t>
  </si>
  <si>
    <t>vector-im-riot-android-37</t>
  </si>
  <si>
    <t>searching for "oddvar" in people crashed the app</t>
  </si>
  <si>
    <t>aws-amplify-aws-sdk-android-113</t>
  </si>
  <si>
    <t>java.util.concurrent.RejectedExecutionException</t>
  </si>
  <si>
    <t>To whom it may concern,
use the SDK version 2.2.13
After long period of non-stop running (more than 48 hrs and the S3TransferUtility uploads photo per minute on average), the exception came out of nowhere. Apparently failed to catch this exception which caused the crash of the app (this following exception was shown by setting
What is this exception? How to fix it? Or at least where to catch this exception so that the app would not crash?</t>
  </si>
  <si>
    <t>gdg-x-frisbee-581</t>
  </si>
  <si>
    <t>Crash: java.lang.IllegalArgumentException: Comparison method violates its general contract!</t>
  </si>
  <si>
    <t>It happening currently whenever am trying to open Android study jams it might be happening due to the network fluctuation we are facing today but still it crash :)</t>
  </si>
  <si>
    <t>pedrovgs-Lynx-18</t>
  </si>
  <si>
    <t>Hello recently experienced crash with the app:</t>
  </si>
  <si>
    <t>2016-03-17</t>
  </si>
  <si>
    <t>gdg-x-frisbee-583</t>
  </si>
  <si>
    <t>Plus API crash on EventOverviewFragment</t>
  </si>
  <si>
    <t>first tries to get info about the Chapter by using Plus API.
Plus API is now available only when the user is login. don know what we ve changed here. don know if it was crashing before or not.
But it is crashing now if we are not logged in. Every event page is crashing for me. When login, they work fine.</t>
  </si>
  <si>
    <t>inaturalist-iNaturalistAndroid-145</t>
  </si>
  <si>
    <t>obs detail crashing for obs with obscured coordinates</t>
  </si>
  <si>
    <t>Caused by Attempt to invoke virtual method double on null object reference</t>
  </si>
  <si>
    <t>2016-03-18</t>
  </si>
  <si>
    <t>ZieIony-Carbon-215</t>
  </si>
  <si>
    <t>Button crashes when its background is set to something other than color/ColorStateList</t>
  </si>
  <si>
    <t>dimagi-commcare-android-1143</t>
  </si>
  <si>
    <t>Check if app installed before showing shortcut options</t>
  </si>
  <si>
    <t>If you try to use the CommCare Action widget before you have installed CommCare app, it crashes.</t>
  </si>
  <si>
    <t>dimagi-commcare-android-1142</t>
  </si>
  <si>
    <t>Fix NPE on multiple apps Multimedia Validation</t>
  </si>
  <si>
    <t>install an app multimedia via multiple apps
try to validate its multimedia
select skip when it fails
switch to the normal CommCare app
Then you get crash due to the intent passed to being null
Also make sure to call in few methods when no the result code isn processed in the current onActivityResult implementation. This isn necessary, but is the right thing to do.</t>
  </si>
  <si>
    <t>erickok-ratebeer-10</t>
  </si>
  <si>
    <t>Crashes when opened</t>
  </si>
  <si>
    <t>am still trying to duplicate the issue, but it seems that if you open the app, then do other things for while (use other apps, etc) then open the app again the app immediately crashes. The app opens perfectly fine when you open it again. Report has been sent from my mobile.</t>
  </si>
  <si>
    <t>dimagi-commcare-android-1140</t>
  </si>
  <si>
    <t>Fix crash logging NPE while gathering ccz app version</t>
  </si>
  <si>
    <t>When an error was found during an app install.
This fixes that</t>
  </si>
  <si>
    <t>nbossard-packlist-18</t>
  </si>
  <si>
    <t>Crash when no start date</t>
  </si>
  <si>
    <t>crash on trip list when trip is created without start date</t>
  </si>
  <si>
    <t>2016-03-19</t>
  </si>
  <si>
    <t>alter-ego-androidbound-8</t>
  </si>
  <si>
    <t>BindingSpecificationParser fails if the group is closed twice</t>
  </si>
  <si>
    <t>If the binding finishes with double the will call parseMode with null string, and it will then crash:
Caused by: Attempt to invoke virtual method boolean on null object reference</t>
  </si>
  <si>
    <t>SCCapstone-5chords-61</t>
  </si>
  <si>
    <t>App crashes after many activity changes</t>
  </si>
  <si>
    <t>When quickly move between activities the app will crash at some point with an inflation error.
Binary XML file line #105: Error inflating class &lt;unknown&gt;
To reproduce error: use navigation drawer to move between help about history activities. Click Done on new activity. Move through or activity changes until it crashes.</t>
  </si>
  <si>
    <t>gdg-x-frisbee-595</t>
  </si>
  <si>
    <t>Achievements crash when the user is not logged-in</t>
  </si>
  <si>
    <t>AchievementHandler should check if the provided GoogleApiClient has the necessary API.</t>
  </si>
  <si>
    <t>cgeo-cgeo-5551</t>
  </si>
  <si>
    <t>Crash when using OSM maps + rotation</t>
  </si>
  <si>
    <t>##### Detailed steps causing the problem:
Open C:geo with google -maps
Switch map-type to open-cycle-map
Turn the device rotate from portrait to landscape -view ...
C:geo crashes... do not respond, wait couple of minutes and must be restarted
Note If tell the device to not automatic turn picture from portrait to landscape the problem does not exist, so it is just the turn-thing that makes c:geo crash
##### Actual behavior after performing these steps:
Wait until android ask if want to close the hanging app.
##### Expected behavior after performing these steps:
##### Version of c:geo used:
2016.03.06 but this has been problem for several months maybe more than year.
##### Is the problem reproducible for you?
Yes, every time use cycle-map and forgets to turn off the auto-turn-picture the app crashes an have to wait for 2-5 minutes.
##### System information:
sony z1 compact, D5503
##### Other comments and remarks:</t>
  </si>
  <si>
    <t>2016-03-20</t>
  </si>
  <si>
    <t>Rajawali-Rajawali-1629</t>
  </si>
  <si>
    <t>Recent changes have inverted the ArcballCamera</t>
  </si>
  <si>
    <t>#### Rajawali Version or Branch
describe the precise release version or branch and commit id, feature requests can simply specify master
#### Device and Android Version
list at least one device and the version number that produced stace trace if applicable
describe the issue or feature
The Arcball example demonstrates this. Moving on the screen now moves the camera in the direction of finger motion, which is counter intuitive, but potentially useful. Rather than reverse the behavior, we should add flag that determines if the touch input is inverted or not.
#### Steps to Reproduce
Describe reproducable steps and sample code
#### Trace or Log Output
include stacktrace(s) if relevant to the issue. Engine crashes can not be debugged without stacktrace or at minimum reproduction code.</t>
  </si>
  <si>
    <t>cgeo-cgeo-5549</t>
  </si>
  <si>
    <t>Force close on image tab without network</t>
  </si>
  <si>
    <t>##### Detailed steps causing the problem:
Open cache with images
Go to the image tab
##### Actual behavior after performing these steps:
--------- beginning of crash
ActivityManager( 596): Force finishing activity cgeo.geocaching
##### Expected behavior after performing these steps:
##### Version of c:geo used:
##### Is the problem reproducible for you?</t>
  </si>
  <si>
    <t>dimagi-commcare-android-1149</t>
  </si>
  <si>
    <t>Fix check for finish() conditions in LoginActivity</t>
  </si>
  <si>
    <t>Fix crash that occurs when the following steps are performed (this used to work guessing the regression has been around since onResumeFragments() got added to LoginActivity):
1) User is on the login screen with app installed
2) User navigates to the app manager and uninstalls that app
3) User navigates back to the normal CommCare screen, at which point CommCare crashes for of reasons (when fixed the first the 2nd manifested itself):
--a) onCreate() tries to do something with the seated app (which is actually null) before reaching the code in onResume() that finishes the activity
--b) Since onResumeFragments() comes after onResume() in the activity lifecycle, it seemed like it was actually still getting called after onResume() called finish(), resulting in weird interstitial state with blank screen.</t>
  </si>
  <si>
    <t>2016-03-22</t>
  </si>
  <si>
    <t>google-blockly-android-142</t>
  </si>
  <si>
    <t>Zooming out with spaghetti causes a crash</t>
  </si>
  <si>
    <t>If you use spaghetti in the dev test app and then try to zoom out the app crashes.</t>
  </si>
  <si>
    <t>k9mail-k-9-1201</t>
  </si>
  <si>
    <t>NPE/Null object reference crash when attempting to decode certain messages</t>
  </si>
  <si>
    <t>### Expected behaviour
Email should be decoded and displayed properly
### Actual behaviour
K-9 mail crashes, due to an NPE
### Steps to reproduce
1. (Attached email in .eml format) Download attached message to K-9 mail
2. Attempt to view the message
K-9 Mail version: 5.108 (build from current master as of 2016-03-22)
Android version: 6.0.1
Account type (IMAP, POP3, WebDAV Exchange): IMAP
### Crash logs</t>
  </si>
  <si>
    <t>JakeLane-Toffeed-33</t>
  </si>
  <si>
    <t>Marshmallow Crash</t>
  </si>
  <si>
    <t>Trying to save an image or share an image crashes the app unless the user grants permission to write or read storage in Marshmallow manually. As suggestion to fix this crash suggest add runtime permissions.</t>
  </si>
  <si>
    <t>nextcloud-news-android-508</t>
  </si>
  <si>
    <t>read out + change app = crash</t>
  </si>
  <si>
    <t>When start read out in an article and then change the app (home button or task switcher or after tabbing on open in browser ), news app crashes.
News app 0.9.8.2</t>
  </si>
  <si>
    <t>2016-03-24</t>
  </si>
  <si>
    <t>turing-tech-MaterialScrollBar-33</t>
  </si>
  <si>
    <t>AdapterNotSetupForIndicatorException on fragment recreation</t>
  </si>
  <si>
    <t>Currently have to stop fragment recreation with to avoid crashing.</t>
  </si>
  <si>
    <t>OpenTreeMap-otm-android-258</t>
  </si>
  <si>
    <t>Invalid numbers cause search filter screen to crash</t>
  </si>
  <si>
    <t>Steps to reproduce:
Enter into numeric search field like Diameter
Hit the Search button</t>
  </si>
  <si>
    <t>forcedotcom-SalesforceMobileSDK-Android-1088</t>
  </si>
  <si>
    <t>App crash when launching app due to View race condition -- IllegalStateException</t>
  </si>
  <si>
    <t>don have reliable repro case for this -- but ve had my app crash enough times to know it wasn freak occurence
am upgrading my hybrid app (hosts Visualforce page) from MobileSDK to 4.1.1
currently running off of the unstable branch in git
When my app launches, sometimes it immediately crashes with
If relaunch the app, it generally comes up just fine.
It appears to be most reproducible when logging into the app the first time or if the app is resumed after being paused for long period -- presumable due to the redirection login dance through frontdoor</t>
  </si>
  <si>
    <t>deercoder-FitbitApp-4</t>
  </si>
  <si>
    <t>NullPointerException: When request the activity information using Json Libs</t>
  </si>
  <si>
    <t>When request some activity information like calorie, it seems that the callback function has null parameter, which cause the code crashing, as follows:
The code snippets are located here:(but should be caused anywhere else)
public void getUserInfo(Context context, final UserInfoCallback userInfoCallback)
GetWebRequest getWebRequest new GetWebRequest(new
public void line)
Log.e( EasySocialFitbit callback line line)
JSONObject jsonObject new JSONObject(line)
catch (JSONException e)</t>
  </si>
  <si>
    <t>2016-03-25</t>
  </si>
  <si>
    <t>bvolkmer-Markdown-Notes-41</t>
  </si>
  <si>
    <t>App crash on new note filename entered</t>
  </si>
  <si>
    <t>CellularPrivacy-Android-IMSI-Catcher-Detector-822</t>
  </si>
  <si>
    <t xml:space="preserve">App crashes when some settings are accessed, including </t>
  </si>
  <si>
    <t>Thank you for your feedback! Please add below details so that we can help you bit faster.
The options OpenCellID request API key Recognition pattern and delete SMS cause the app to crash. (default Android message).
Unfortunately this message does not let me submit crash report as it is sometimes possible when other apps crash.
Please check these boxes to ensure you ve actually read and understood these important rules!
**I have reviewed and accepted the guidelines for contributing (https: github.com CellularPrivacy blob development .github CONTRIBUTING.md) to this project.**
**I have searched the open Issues (https: github.com CellularPrivacy issues) and made sure am not filing duplicate.**
**I have read the notes on debugging (https: github.com CellularPrivacy blob development .github and will properly maintain this Issue.**
Please add short and easy to understand description of the Issue you ve experienced here.
AIMSICD version (see the About screen): 0.1.41-alpha-normal (downloaded from FDroid)
Phone and ROM running current release: Galaxy S4 (GT-I9505 jfltexx) (http: Jfltexx Info) with Cyanogenmod 13 (nightly: cm-13.0-20160325)
Link to logfile without identifyable data: coming soon is this which log is useful in this case?
XPrivacy, but ve read this (https: github.com CellularPrivacy wiki Permissions) and AIMSICD is not restricted
AFWall+, but everything for AIMSICD is allowed
Please tell us the detailed steps on how to reproduce your Issue here.
1. Go to the settings.
2. Tap on **either** OpenCellID request API key Recognition pattern or delete SMS
What happens: App crashes.
What should happen: Let me change this option.
If your Issue is related to any other existing Issues or pull requests, please link them here.
If you experienced visual glitches, please add screenshot without metadata here.</t>
  </si>
  <si>
    <t>bvolkmer-Markdown-Notes-40</t>
  </si>
  <si>
    <t>Settings make app crash</t>
  </si>
  <si>
    <t>tapping the settings in main activity makes the app crash</t>
  </si>
  <si>
    <t>IvoGoman-Diabetes-App-19</t>
  </si>
  <si>
    <t>App crashes when Insulin&amp;Bloodsugar are entered in Activity Measurement Fragment</t>
  </si>
  <si>
    <t>IvoGoman-Diabetes-App-18</t>
  </si>
  <si>
    <t>App crashes when Weight entered</t>
  </si>
  <si>
    <t>The app crashes every time try to enter Weight inside the Settings fragment. clean install of the App did not resolve the problem.</t>
  </si>
  <si>
    <t>andysworkshop-nanocounter-3</t>
  </si>
  <si>
    <t>Frequency decimal places input can crash the app</t>
  </si>
  <si>
    <t>When setting new value for Frequency Decimal Places typing in the first digit will actually clear the current digit without inputing it. If you aren looking and then hit enter, the app crashes due to the value being empty.</t>
  </si>
  <si>
    <t>hotchemi-Android-Rate-97</t>
  </si>
  <si>
    <t>App crashed if don't set OnClickButtonListener</t>
  </si>
  <si>
    <t>When user meet conditions app will throw if don set listener</t>
  </si>
  <si>
    <t>chizmw-whogoesfirst-8</t>
  </si>
  <si>
    <t>???</t>
  </si>
  <si>
    <t>2016-03-26</t>
  </si>
  <si>
    <t>syncthing-syncthing-android-595</t>
  </si>
  <si>
    <t>Crash with error code 9</t>
  </si>
  <si>
    <t>Android 5.1.1 0.7.12 got bunch of crashes:</t>
  </si>
  <si>
    <t>martykan-webTube-49</t>
  </si>
  <si>
    <t>App crashes when removing the current page from bookmarks and it's not fully loaded</t>
  </si>
  <si>
    <t>So when page is loading and remove it from bookmarks the app crashes.
Works fine if the page finished loading.
It not big problem but can be annoying.
Androis 4.1.2 and don know if the same with other versions of Android.</t>
  </si>
  <si>
    <t>square-okhttp-2440</t>
  </si>
  <si>
    <t>Fatal Exception: java.lang.IllegalStateException: Unable to take ownership of connection.</t>
  </si>
  <si>
    <t>This happen on version 3.2.0 with 300+ crashes in 30 days. Details:
Fatal Exception: Unable to take ownership of connection.
Please help me fix it.</t>
  </si>
  <si>
    <t>inaturalist-iNaturalistAndroid-151</t>
  </si>
  <si>
    <t>can't make observations without Internet</t>
  </si>
  <si>
    <t>As of build 103 you cannot make observations without an Internet connection. The app seems to crash while receiving coordinates or while reverse geocoding them. To replicate, just make new observation while in airplane mode.</t>
  </si>
  <si>
    <t>2016-03-27</t>
  </si>
  <si>
    <t>NemProject-NEMAndroidApp-186</t>
  </si>
  <si>
    <t>App crashing when re-opening the app.</t>
  </si>
  <si>
    <t>message keeps popping up saying that the app has crashed. only happens opening the app after having been minimized.</t>
  </si>
  <si>
    <t>dimagi-commcare-android-1166</t>
  </si>
  <si>
    <t>Fix for swipe crash on tiny form.</t>
  </si>
  <si>
    <t>Fix crash when user swipes next on screen which never had more than one question</t>
  </si>
  <si>
    <t>2016-03-28</t>
  </si>
  <si>
    <t>ccrama-Slide-1274</t>
  </si>
  <si>
    <t>Slide consistently crashes on certain image loads</t>
  </si>
  <si>
    <t>Slide version: 5.0.1
Android version: 5.0
ve found multiple images that are instant crashes. Click on the link and it crashes.
The OP has link Picture of aforementioned vent tube. which is http: imgur.com KxMrQ5j see that this link does not have filetype.
thought that had saved examples, however, the 2nd example is now working. ve seen others, but just saved few for reporting. ll have to find more examples if needed.</t>
  </si>
  <si>
    <t>openbmap-radiocells-scanner-android-140</t>
  </si>
  <si>
    <t>Crash when I start scanning  NoClassDefFoundError: android/telephony/CellIdentityCdma</t>
  </si>
  <si>
    <t>Provider Setting( 582): from settings cache name dropbox:data app crash value disabled
Provider Setting( 582): from settings cac
It happens when start new scanning session or open old one. Previous fdroid version worked fine.</t>
  </si>
  <si>
    <t>tbruyelle-RxPermissions-43</t>
  </si>
  <si>
    <t>CRASH: Fold the app up when dialog is showing (dnka off)</t>
  </si>
  <si>
    <t>Please note that the last version of the library (0.6.1) produces crash with the following steps (for the sample app):
0. Do not keep activities OFF
1. Open the sample app.
2. Press Enable camera
3. While the dialog is on the screen, fold the app up.
4. Retrieve the app from the recent apps.
5. Press Allow
Actual result: App crashes.
The log is as follows:
Caused by: invoked but didn find the corresponding permission request.</t>
  </si>
  <si>
    <t>2016-03-29</t>
  </si>
  <si>
    <t>k9mail-k-9-1227</t>
  </si>
  <si>
    <t>Crash on screen rotate with OpenPGP handled message</t>
  </si>
  <si>
    <t>### Expected behaviour
Message should be re-rendered in landscape.
### Actual behaviour
Application crashes with following exception.
Email available on request.
### Steps to reproduce
1. Receive message that has been signed
2. Open the message.
3. Rotate the phone to landscape
K-9 Mail version: commit 74c6e76 (current master)
OpenKeychain version: 3.9.4
Android version: 6.0.1
Account type (IMAP, POP3, WebDAV Exchange): IMAP</t>
  </si>
  <si>
    <t>QuantumBadger-RedReader-294</t>
  </si>
  <si>
    <t>RedReader Crashes / Not Responding without log</t>
  </si>
  <si>
    <t>Device Name: Galaxy S6
have had several crashes RedReader not responding, but after searching my external and internal storage, there is no redreader crash log (UUID).txt file. Also, have never gotten prompt to email the exception details directly. If there is any more information that could provide that may be of use, am happy to provide.</t>
  </si>
  <si>
    <t>2016-03-30</t>
  </si>
  <si>
    <t>aurelhubert-ahbottomnavigation-24</t>
  </si>
  <si>
    <t>setCurrentItem() crashes with 5 items and bottomLayout.setForceTitlesDisplay(true)</t>
  </si>
  <si>
    <t>Hi, have crash when use setCurrentItem with five and all is ok for three items ). The crash happens in setCurrentItem updateSmallItems
final View container navigation small container)
final TextView title (TextView) navigation small item title)
final ImageView icon (ImageView) navigation small item icon)
final TextView notification (TextView) navigation notification)
All these views are nulls for some reason. Here the full log</t>
  </si>
  <si>
    <t>IvoGoman-Diabetes-App-20</t>
  </si>
  <si>
    <t>App crashes when current activity is deleted</t>
  </si>
  <si>
    <t>If the current activity was deleted and one tries to restart the app it crashes. This is because there is no current running activity and the ScrollView wants to scroll to the current activity.
There are two possible solutions:
1. could do an if statement if(currentrunning null)
2. We could include an unknown activity like we discussed last time, that is inserted at the time period where we don know what the user did. think this would be the better solution, because otherwise the timeline on the left will interrupt at the point where the actual activity is missing which looks not very nice.</t>
  </si>
  <si>
    <t>timusus-RecyclerView-FastScroll-26</t>
  </si>
  <si>
    <t>NullPointerException if adapter not set</t>
  </si>
  <si>
    <t>If the adapter of the recycler view is not (yet) set, the recycler view crashes with on the first frame to draw (calling getItemCount() on the null adapter).
This is counter intuitive and annoying especially when working with loaders or even cursor loaders. You have to write the adapter null safe and instantiate and set an empty adapter with null cursor every time the loader is reset. This is an ugly workaround.</t>
  </si>
  <si>
    <t>2016-04-01</t>
  </si>
  <si>
    <t>marverenic-Jockey-40</t>
  </si>
  <si>
    <t>Too many SQL variables in code</t>
  </si>
  <si>
    <t>have copied your project in my Android studio (after it failed to forK) with changed package name and my own Fabric id. When run it it crashes with SQLite exception too many SQL variables in the Library method*</t>
  </si>
  <si>
    <t>ably-ably-java-124</t>
  </si>
  <si>
    <t>HTTP Version Not Supported</t>
  </si>
  <si>
    <t>When running https: github.com ably demo-mobile-android on physical Android device, it crashes with the following error.
suspect this is an ably-java issue as opposed to an Android Demo issue.</t>
  </si>
  <si>
    <t>k9mail-k-9-1245</t>
  </si>
  <si>
    <t>Application crash: no free notification ID</t>
  </si>
  <si>
    <t>### Expected behaviour
Can view folder having retrieved unread mail.
### Actual behaviour
Application crash (K-9 has stopped)
### Steps to reproduce
1. Find folder with mail server side that hasn yet been synced
2. Pull-refresh the folder
3. Application crash reported
--------- beginning of crash
K-9 Mail version:
Android version: 6.0.1
Account type (IMAP, POP3, WebDAV Exchange): IMAP</t>
  </si>
  <si>
    <t>aws-amplify-aws-sdk-android-117</t>
  </si>
  <si>
    <t>NetworkInfoReceiver.isNetworkConnected() on a null object reference</t>
  </si>
  <si>
    <t>Hi, am not entirely sure if this problem is in the SDK or my code? upgraded to 2.2.14.
Could you help make judgement?
do want to point out though this problem doesn occur under stable WiFi network (I have already tested it under WiFi for more than 24 hrs taking tens of thousands photos without glitch).
It happens frequently under 4G network (the single is weak, on and off from time to time). The crash hit me at least four times over the past 24hrs.</t>
  </si>
  <si>
    <t>2016-04-03</t>
  </si>
  <si>
    <t>k9mail-k-9-1251</t>
  </si>
  <si>
    <t>App crashed by typing address in the address field when composing a message</t>
  </si>
  <si>
    <t>### Expected behaviour
Should be possible typing addresses into the address field.
### Actual behaviour
App crashed by typing address in the address field
### Steps to reproduce
1. Click the compose icon
2. Try to type address into the To: field
K-9 Mail version:
5.108 (current alpha)
Account type (IMAP, POP3, WebDAV Exchange):</t>
  </si>
  <si>
    <t>SCCapstone-diet-40</t>
  </si>
  <si>
    <t>App crashes if bar code scan is canceled by pressing the hard back button.</t>
  </si>
  <si>
    <t>nilsbraden-ttrss-reader-fork-314</t>
  </si>
  <si>
    <t>Frequent force close on mark all read</t>
  </si>
  <si>
    <t>run latest version of this great app on Android 6.0.1 on nexus 6.
App crashes very frequently when do mark all read This happens also on sony xperia z4 tablet running Android 6.0.1. This problem was present also on previous versions of Android on both devices.
How can help to debug this further?
Thanks in advance.</t>
  </si>
  <si>
    <t>2016-04-04</t>
  </si>
  <si>
    <t>mixpanel-mixpanel-android-343</t>
  </si>
  <si>
    <t>Stackoverflow when the database becomes corrupted</t>
  </si>
  <si>
    <t>have no idea how but one user database became corrupted which led to this crash:
Here the relevant data:
Samsung GT-I8730 (Samsung Galaxy Express)</t>
  </si>
  <si>
    <t>sky-map-team-stardroid-92</t>
  </si>
  <si>
    <t>Occasional crashes on the touch screen on Galaxy phones</t>
  </si>
  <si>
    <t>Scaronthesky-UK-Gebaerden_Muensterland-19</t>
  </si>
  <si>
    <t>App crashes when resumed from background</t>
  </si>
  <si>
    <t>The same instance of an AsyncTask in SignBrowser, SignTrainer and SignSearch was being called twice.</t>
  </si>
  <si>
    <t>2016-04-05</t>
  </si>
  <si>
    <t>inaturalist-iNaturalistAndroid-153</t>
  </si>
  <si>
    <t>crash on ObservationViewerActivity</t>
  </si>
  <si>
    <t>When viewing any of your own observations. Here the relevant log output:
Caused by: Attempt to invoke virtual method java.lang.String on null object reference
Looks like id is not getting set on the observation, but can quite tell why.</t>
  </si>
  <si>
    <t>davideas-FlipView-9</t>
  </si>
  <si>
    <t>Demo app crashes only with API 23 while flipping entire layouts only on real devices</t>
  </si>
  <si>
    <t>Experimented that, only with API 23, only flipping entire layouts, demo app:
On real devices, is killed with no message and it logs: OpenGLRenderer: resultIndex is -1, the polygon must be invalid!
On emulator, doesn crash but it logs: OpenGLRenderer: Outline has area, no spot shadow!
If you know why, please let me know.</t>
  </si>
  <si>
    <t>2016-04-06</t>
  </si>
  <si>
    <t>translation-cards-translation-cards-119</t>
  </si>
  <si>
    <t>IllegalStateException When Trying To Play Audio During Card Creation</t>
  </si>
  <si>
    <t>**Steps to reproduce:**
1. During the translation card creation process navigate to the Record Audio step and record audio
4. Press the Play button
The app will crash with following exception:
&lt;img width 1247 alt screen shot 2016-04-06 at 11 18 54 am src https: assets 8908668 14324337
**Steps to reproduce:**
1. Create new translation card (Enter phrase, record audio)
2. During the Review and Save step of the card creation process click the card to hear the audio
3. When the audio finishes playing you will get the following error, but the app will not crash:
&lt;img width 808 alt screen shot 2016-04-06 at 11 29 59 am src https: assets 8908668 14324747</t>
  </si>
  <si>
    <t>erickok-transdroid-296</t>
  </si>
  <si>
    <t>App crashes if leading space in SCGI mount point field</t>
  </si>
  <si>
    <t>sky-map-team-stardroid-93</t>
  </si>
  <si>
    <t>The new dialog fragments are causing crashes.</t>
  </si>
  <si>
    <t>Caused by: Fragment already added: EulaDialogFragment 3a6b5321 #0 Eula Dialog</t>
  </si>
  <si>
    <t>darsh2-MultipleImageSelect-12</t>
  </si>
  <si>
    <t>NullPointerException on fast tapping</t>
  </si>
  <si>
    <t>Hello. We hope you still provide support for
We ve met some issues while using your image picker, which you can reproduce as follows:
1) Open Gallery
2) Perform fast tap on the Photos folder
3) Perform fast tap on an image which thumbnail wasn yet loaded
4) Perform fast tap on Add button
As the result, the activity reloads, and then, when you try to choose any of available images and hit the Add button, you ll get crash with the following stack trace:
We have suceeded to reproduce this on following devices:
Dalvik 2.1.0 (Linux Android 6.0 Nexus 5X Build MDA89E)
Dalvik 2.1.0 (Linux Android 5.0 K016 Build LRX21V)</t>
  </si>
  <si>
    <t>unfoldingWord-dev-ts-android-1422</t>
  </si>
  <si>
    <t>App was crashing when starting up without any target translations</t>
  </si>
  <si>
    <t>if no target translations existed then the list of files would be null when performing updates. This would cause null pointer exception and crash the app.</t>
  </si>
  <si>
    <t>SCCapstone-diet-43</t>
  </si>
  <si>
    <t>App crashes when turning on device Wifi while on the new account screen</t>
  </si>
  <si>
    <t>turned on wifi while on the NewAccountFragment and the app crashed with this Exception:</t>
  </si>
  <si>
    <t>2016-04-07</t>
  </si>
  <si>
    <t>Freeyourgadget-Gadgetbridge-277</t>
  </si>
  <si>
    <t>Pebble - Gadgetbridge crashes on my activity</t>
  </si>
  <si>
    <t>using Gadgetbridge with Pebble Classic with fw 2.9.1 and with Misfit 3.2.
In the last days noticed that sometime Gadgetbridge crashes when open the activity menu.
Apart this also noticed that Misfit doesn sync the data with Gadgetbridge when in background but as soon open the watchapp it starts sync with Gadgetbridge, is this normal?
Before posting factory resetted the smartwatch and uninstalled Gadgetbridge, then tested the two problem on cm11 and cm13 and on Gadgetbridge 0.8.2 and 0.9.3.
Here log about the crash taken on cm13 with gadgetbridge 0.9.3:</t>
  </si>
  <si>
    <t>kontalk-androidclient-672</t>
  </si>
  <si>
    <t>Kontalk v3.1.4 crashes when I click on contact in my contact list</t>
  </si>
  <si>
    <t>have upgraded my Kontalk from 3.1.3 to 3.1.4 using F-Droid app on my Android 4.0.4 phone. It work, but if click on contact in my contact list then Kontalk crashes.</t>
  </si>
  <si>
    <t>kontalk-androidclient-671</t>
  </si>
  <si>
    <t>Contact picture API broken for older Android versions</t>
  </si>
  <si>
    <t>Hi everybody. Thanks for working in Kontalk and congratulations for the 3.1.4 release.
upgraded my Kontalk from 3.1.3 to 3.1.4 using F-Droid in my Android 2.3.7 phone (Cyanogen 7.2) and it worked fine.
But now, obtain crash when opening Kontalk. suspect it contact sync issue, because see all the time the spinning circle of contact sync in the notification bar, and if go to Settings -&gt; Account and sync and manually syncronize the Kontalk account, get crash too.
attaching both logs.
ve tried to think if did something unusual in my contacts that triggered this problem and the only thing that comes to mind is that edited one of my Kontalk contacts to add an email address. edited the contact again to remove the email, but the crashes remain (I suppose, because it the sync what is causing problems). But maybe wrong and the problem has nothing to do with adding an email or with contacts.
not sure what to do, if uninstalling and reinstalling, or downgrade... can wait some days for your answer, maybe it something easy to fix or if you need that do some test, just tell.</t>
  </si>
  <si>
    <t>davideas-FlexibleAdapter-64</t>
  </si>
  <si>
    <t>[Dev Branch] - Demo app doesn't work on 23+ devices</t>
  </si>
  <si>
    <t>First off, gotta say, this seems like quite the library. ve been looking around for something like what you re putting together for 5.0 and quite excited to play around with it! Unfortunately, not able to actually run what up on the current dev branch. The app immediately crashes on open.
sitting at commit right now, and testing on **Nexus 4** running **5.1.1** On fresh install, get this exception:
FATAL EXCEPTION: main
&lt;..... Standard zygote activity stuff .....
&lt;..... Standard fragment lifecycle stuff .....
Looks like the current lifecycle flow doesn set mListener on Commenting that out, then get:
FATAL EXCEPTION: main
Which makes sense, as there nice big block of code commented out where mAdapter (seems to be) set. Commenting **that** out, can get the app to open up and scroll around (looks awesome love the slide in animations!), but beyond that, can navigate around to get to the different samples.
Any idea what commit might be able to pull to test out your latest and greatest? Also, be interested to help you test some samples out as you make them have number of devices from API 19 through to 23 (no 24 yet), and know it can be painful to test the Recycler support library across the different versions. Also also, let me know if can help provide any more info about the above errors, device stats, etc.
Anyway, thanks much for your time, and look forward to your next commits!</t>
  </si>
  <si>
    <t>kontalk-androidclient-674</t>
  </si>
  <si>
    <t>Kontalk 3.1.5 in Android 2.x not sending messages, reports "Network not available, pleasy try again later".</t>
  </si>
  <si>
    <t>Thanks for the fix for #672 and quick release of version 3.1.5.
With this version now have no crashes, but Kontalk is still not working, afraid.
If go to settings and try to update the servers list, the program reports there is no network connection (attached log).
When send message, it remains with the symbol of the clock, unsent.
not sure if this is bug or problem in my contact list, or problem in my phone. If can do any other test, please tell.
using Android 2.3.7 (Cyanogenmod 7.2) and Kontalk 3.1.5 installed from F-Droid. My phone is rooted.</t>
  </si>
  <si>
    <t>2016-04-08</t>
  </si>
  <si>
    <t>mvysny-aedict-656</t>
  </si>
  <si>
    <t>Aedict crashes when query contains ja/じゃ</t>
  </si>
  <si>
    <t>Caused by: Failed to analyze
... 12 more
Caused by: Parameter deinflectedVerbs: invalid value must not be empty
... 21 more</t>
  </si>
  <si>
    <t>ankidroid-Anki-Android-4200</t>
  </si>
  <si>
    <t>Edit Note confirmation crash</t>
  </si>
  <si>
    <t>AnkiDroid 2.5.4 (Android 6.0.1).
1. Check Don keep activities in the system Developer options
2. Click on any deck Edit Note make any change click Tick to accept
3. Observe: an error has occurred
This happens for any note in any deck. There is no error when editing note selected via the Card Browser.</t>
  </si>
  <si>
    <t>k3b-APhotoManager-36</t>
  </si>
  <si>
    <t>Support for ".nomedia" folder. Avoid bloated mediadb and crash when adding to mediadb</t>
  </si>
  <si>
    <t>APhotoManager ver 0.4.6 and below does not obeye .nomedia folder so it adds photos from .nomedia folder to database.
Crash in ver 0.4.6 ist reproducable this way: When opening photo by file-path APhotoManager translates the path to content-uri
If the photo is not in found in the media database APhotoManager starts the media scanner to add the unknown file(s). After scan has finished the photo is opend without checks.
If the photo is in .nomedia folder (or in bluetooth download) the scanner does not add the photo so after scanner has finished the photo is not in the media database.</t>
  </si>
  <si>
    <t>commons-app-apps-android-commons-94</t>
  </si>
  <si>
    <t>Crash when showing user's (big) uploads</t>
  </si>
  <si>
    <t>The user has uploaded about 3000 files, recently one of them being 58 MB.
USER COMMENT it crashed while loading showing my uploads. guess that the problem is that have too many and too big already uploaded files.
ANDROID VERSION 4.4.2
APP VERSION NAME 1.12
PHONE MODEL GT-I9195</t>
  </si>
  <si>
    <t>Crash-Test-Buddies-WiFi-Buddy-30</t>
  </si>
  <si>
    <t>App crashing when backgrounded</t>
  </si>
  <si>
    <t>If you open the app switcher you will get notification that the app has stopped working.</t>
  </si>
  <si>
    <t>2016-04-09</t>
  </si>
  <si>
    <t>jonasoreland-runnerup-381</t>
  </si>
  <si>
    <t>Crash on first repetition</t>
  </si>
  <si>
    <t>When create workout, for example
only the first activity and the first rest will work. As soon as the repetition should begin, the app crashes.
(Samsung Galaxy S5 Neo, Android 5.1.1)</t>
  </si>
  <si>
    <t>3meters-patchr-android-234</t>
  </si>
  <si>
    <t>Crash launching Patchr after install from branch link via SMS</t>
  </si>
  <si>
    <t>This has been noted twice. Once when sent an sms patch invite (to Toulouse Petit) to friend with an Android phone. App crash when launching after install. Same was reported by George after sending an sms patch invite to Jason. Not sure what device platforms are involved.
have tried to repro this without luck so far. Sent sms patch invites for Petit from an iPhone and Nexus 5. Both work correctly installing 1.1.3 from app store and opening to Petit patch.</t>
  </si>
  <si>
    <t>iomodo-Wally-5</t>
  </si>
  <si>
    <t>NullpointerException on MapsActivity</t>
  </si>
  <si>
    <t>When entered MapsActivity it crashed.
Attempt to invoke virtual method</t>
  </si>
  <si>
    <t>mvysny-aedict-658</t>
  </si>
  <si>
    <t>Aedict query parser crashes when the query contains NBSP character</t>
  </si>
  <si>
    <t>Caused by: Parameter query: invalid value iPhone Xperia SIM SIM contains whitespaces
... 12 more</t>
  </si>
  <si>
    <t>chandevel-Clover-181</t>
  </si>
  <si>
    <t>Using some filters with double quotes will crash Clover</t>
  </si>
  <si>
    <t>noticed clover was crashing while trying to add the text What you re referring to as Linux, is in fact, GNU Linux, or as ve recently taken to calling it, GNU plus Linux. to filter. The crash happens when adding the second quotation mark at the end.</t>
  </si>
  <si>
    <t>2016-04-10</t>
  </si>
  <si>
    <t>dasmikko-facepunchdroid-44</t>
  </si>
  <si>
    <t>Email tag crashs app</t>
  </si>
  <si>
    <t>Not sure if it really used but will crash the app
email j.doe example.com Click Here to crash the app email</t>
  </si>
  <si>
    <t>mozilla-MozStumbler-1757</t>
  </si>
  <si>
    <t>Stumbler 1.8 - FxAccounts not working</t>
  </si>
  <si>
    <t>using the 1.8.0 APK installed from Github. When clicking on the Firefox Accounts option in the settings only get back dialog: Unfortunately, Mozilla Stumbler has stopped.
did enable crash reporting inside the app and tried again. have Nexus 4.
mozstumbler-1 8-crash (https: assets 483109 14438713</t>
  </si>
  <si>
    <t>2016-04-11</t>
  </si>
  <si>
    <t>zhanghai-MaterialProgressBar-21</t>
  </si>
  <si>
    <t>Android Studio 2.0 Preview render exception</t>
  </si>
  <si>
    <t>Since Android Studio 2.0, the progress bar throws an exception during rendering and blocks ALL of the views from showing in the preview (because of the exception).
(I think it has something to do with the animation code in the progress bar.)
Use the following example layout (really pretty much any layout that includes the ProgressBar will throw the exception) and view the Preview tab in Android Studio 2.0+:
&lt;?xml version 1.0 encoding utf-8 ?&gt;
Invalidating caches and restarting does not fix the problem.
When running the code on device or emulator, the progress bar shows correctly and animates correctly. This is only problem when rendering the Preview. The annoying thing is that not only does it not render, but it keeps all the other views from rendering in the preview. Hiding the view with tools:visibility gone won stop it from crashing the whole preview render.</t>
  </si>
  <si>
    <t>k9mail-k-9-1271</t>
  </si>
  <si>
    <t>Crash viewing an application/pgp message</t>
  </si>
  <si>
    <t>as discussed on the mailing list, here crash log. To repeat: have message with
where opening the message consistenly crashes K9, version 5.108
Hope the log helps, let me know if you need any testing.</t>
  </si>
  <si>
    <t>mozilla-MozStumbler-1763</t>
  </si>
  <si>
    <t>Saving a blank displayname in the stumbler client causes a crash</t>
  </si>
  <si>
    <t>2016-04-12</t>
  </si>
  <si>
    <t>google-blockly-android-187</t>
  </si>
  <si>
    <t>Missing 'item' variable crash after load.</t>
  </si>
  <si>
    <t>Load does not call so loading workspace that does not contain variable block with reference to item will crash when viewing the Toolbox Variables category (which has item as its default variable).</t>
  </si>
  <si>
    <t>DigitalCampus-oppia-mobile-android-531</t>
  </si>
  <si>
    <t>Permissions management in Android M</t>
  </si>
  <si>
    <t>Tested in Samsung Galaxy S7, but probably happening in every phone with Android sdkversion&gt;23.
Beginning in Android 6.0 (API level 23), users grant permissions to apps while the app is running, not when they install the app. According to the docs:
Note: Beginning with Android 6.0 (API level 23), users can revoke permissions from any app at any time, even if the app targets lower API level. You should test your app to verify that it behaves properly when it missing needed permission, regardless of what API level your app targets.
So the app can crash if user revoke any needed permission that it needs to work. In this example, was the READ PHONE STATE one, used in the login task to send device info to the server:</t>
  </si>
  <si>
    <t>kontalk-androidclient-680</t>
  </si>
  <si>
    <t>Kontalk v3.1.5 crashes when I launch it.</t>
  </si>
  <si>
    <t>have reported about bug in Kontalk v3.1.4 (https: github.com kontalk androidclient issues 672). Unfortunately, recent Kontalk v3.1.5 crashes when launch it. attaching log below.
have upgraded Kontalk from 3.1.4 to 3.1.5 using F-Droid app.
Thanks lot for the nice application!</t>
  </si>
  <si>
    <t>ccrama-Slide-1388</t>
  </si>
  <si>
    <t>Issue when reopening the app and very quickly clicking Multireddits/Moderation in the sidebar</t>
  </si>
  <si>
    <t>Slide version: 5.1.5
Android version: 6.0.1
When reopening the app and very quickly clicking Multireddits in the sidebar, it brings up this dialog: http: i.imgur.com qbRkMik.jpg (even if you already have some Multireddits). Pretty minor issue, but ran into it and sure others will too as well.
Similarly, quickly clicking Moderation after reopening the app only shows the Mod Mail Unread and Mod Mail, the rest are missing (and Slide crashes few seconds later).</t>
  </si>
  <si>
    <t>nbossard-packlist-26</t>
  </si>
  <si>
    <t>crash : modifying an item... null pointer</t>
  </si>
  <si>
    <t>Tablet only (seen on Nexus Android 6)</t>
  </si>
  <si>
    <t>2016-04-13</t>
  </si>
  <si>
    <t>SCCapstone-diet-56</t>
  </si>
  <si>
    <t xml:space="preserve">App crashed after adding snack </t>
  </si>
  <si>
    <t>This occurred when tried to add new snack on my dietitian account. had scanned the barcode (of real food item this time) and it displayed as nul (see image).
When saved the snack, the progress circle just looped endlessly, and when rotated the screen after few minutes of this the app crashed.
Wifi was enabled.</t>
  </si>
  <si>
    <t>SCCapstone-diet-53</t>
  </si>
  <si>
    <t>App crashes when typing message in the chat page with wifi disabled</t>
  </si>
  <si>
    <t>was typing message on the chat page and the app crashed after few moments. Wifi was disabled.</t>
  </si>
  <si>
    <t>SCCapstone-diet-50</t>
  </si>
  <si>
    <t>App crashes on startup, when connecting to database is displayed, and the screen is rotated</t>
  </si>
  <si>
    <t>opened the app with wifi disabled, and rotated the screen while the connecting to database text was shown. It took few rotations (or maybe until the connecting to database text finished) for the crash to occur.</t>
  </si>
  <si>
    <t>SCCapstone-5chords-86</t>
  </si>
  <si>
    <t>App crashed after several screen rotations</t>
  </si>
  <si>
    <t>Here the exception stack trace:</t>
  </si>
  <si>
    <t>SCCapstone-diet-47</t>
  </si>
  <si>
    <t>App crashes when after creating account (wifi off) and rotating screen</t>
  </si>
  <si>
    <t>went to the create new account screen (with device wifi disabled) and rotated the screen few times and the app crashed with this exception:</t>
  </si>
  <si>
    <t>SCCapstone-diet-45</t>
  </si>
  <si>
    <t>App crashes after logging out and opening the navigation drawer.</t>
  </si>
  <si>
    <t>logged out and opened the navigation drawer, with wifi turned off (don know whether that is important), and the app crashed with the following exception:</t>
  </si>
  <si>
    <t>google-blockly-android-190</t>
  </si>
  <si>
    <t>Dev Tests Activity uses non-existent blocks</t>
  </si>
  <si>
    <t>This can cause crash whenever things get reloaded by the system, such as changing accessibility settings or using the fancy new fast reload in Android Studio.</t>
  </si>
  <si>
    <t>Crash-Test-Buddies-WiFi-Buddy-53</t>
  </si>
  <si>
    <t>App crash when service discovered when not in available services fragment</t>
  </si>
  <si>
    <t>If the services fragment is detached when an service discovery record is found then the app will crash. This seems to be related to the broadcast receiver not being unregistered.</t>
  </si>
  <si>
    <t>2016-04-14</t>
  </si>
  <si>
    <t>stefan-niedermann-nextcloud-notes-111</t>
  </si>
  <si>
    <t>App crashes when editing and delete the note or its modifications</t>
  </si>
  <si>
    <t>stuartsoft-PingIT-51</t>
  </si>
  <si>
    <t>Fix crash when a ping is sent to an email that isn't in Parse</t>
  </si>
  <si>
    <t>2016-04-15</t>
  </si>
  <si>
    <t>EdwardvanRaak-MaterialBarcodeScanner-1</t>
  </si>
  <si>
    <t>App Crash (Force Closed) When Opening Scan Layout Activity</t>
  </si>
  <si>
    <t>have been tested your sample with little modification on class path and variable based on my needs. But crashed when get into scan layout that consist scan button.
This log is what get when running into my device (Mito A72 Lolipop 5.1):
Unable to open system theme apps base No such file or directory
Unable to open system theme apps base No such file or directory</t>
  </si>
  <si>
    <t>mendhak-gpslogger-430</t>
  </si>
  <si>
    <t>OpenGTS - too many requests results in "unable to create application data" crash</t>
  </si>
  <si>
    <t>have my gpslogger version 75 configured to log to GPX, KML, and OpenGTS (HTTPS)
currently travelling and the app seems to almost always crash close when logging the second or third point of data.
checked the log view but didn see anything unusual, even just before the app crashed.
didn run into any problems if it successfully logged the first few points.
When was testing at home (logging was started while wifi was connected), didn experience any crashes. The main difference here is that not connected to wifi when starting.
Enabling airplane mode and waiting for few points of data seems to prevent the crash.
Is there any easy way to get crash logs to diagnose the actual problem?</t>
  </si>
  <si>
    <t>2016-04-16</t>
  </si>
  <si>
    <t>k9mail-k-9-1293</t>
  </si>
  <si>
    <t>Application crash on trying to open message</t>
  </si>
  <si>
    <t>### Expected behaviour
From the MessageView, clicking on message should the message. Note that there only one it not threaded message.
### Actual behaviour
Unfortunately K-9 Mail has stopped
SELECT m.id AS id,uid,a.internal date AS internal date,subject,a.date AS date,sender list,to list,cc list,a.read AS read,a.flagged AS flagged,a.answered AS AS count AS attachment count,folder id,preview count
SELECT t.root AS thread root,MAX(internal date) AS internal date,MAX(date) AS date,MIN(read) AS read,MAX(flagged) AS AS AS count) AS attachment count,COUNT(t.root) AS thread count
JOIN threads ON (t.message id m.id)
JOIN folders ON (m.folder id f.id)
WHERE (t.root IN
SELECT DISTINCT t.root
FROM messages mf
JOIN threads tf ON (tf.message id mf.id)
JOIN threads ON (tf.root t.root)
JOIN messages ON (m.id t.message id)
WHERE mf.empty AND mf.deleted AND m.empty
AND m.deleted AND (uid AND name ?) OR (mf.folder id ?))
AND deleted AND empty 0)
GROUP BY t.root
JOIN threads ON (t.root a.thread root)
JOIN messages ON (m.id t.message id AND m.empty AND m.deleted AND m.date a.date)</t>
  </si>
  <si>
    <t>ongakuer-CircleIndicator-54</t>
  </si>
  <si>
    <t>After ViewPager setAdapter(), call Indicator's setViewPager() method twice will crash.</t>
  </si>
  <si>
    <t>Observer 53a1573 is already registered.</t>
  </si>
  <si>
    <t>ladybirdweb-faveo-helpdesk-android-app-11</t>
  </si>
  <si>
    <t>Ticket open fails</t>
  </si>
  <si>
    <t>In the inbox page, as soon as open the ticket, app crashes</t>
  </si>
  <si>
    <t>koral---android-gif-drawable-277</t>
  </si>
  <si>
    <t>Native crash when using GifTexImage2D.renderFrame</t>
  </si>
  <si>
    <t>am currently looping GIF manually in my GL thread using the renderFrame call, have 72 frames gif, first full loop works ok, second loop stops at 3rd frame with the following trace:
libc Fatal signal 11 (SIGSEGV), code 1, fault addr 0x98c07f6974bdc0 in tid 22260 (GLThread 20584)</t>
  </si>
  <si>
    <t>2016-04-18</t>
  </si>
  <si>
    <t>syncthing-syncthing-android-620</t>
  </si>
  <si>
    <t>Crash opening WiFi whitelist</t>
  </si>
  <si>
    <t>After upgrading to Android 6, selecting Restrict to certain WiFi networks crashes the app:
1. Open the SyncThing Android application
2. Open application settings
3. Enable Background syncing
4. Enable WiFi Only syncing
5. Click Restrict to certain WiFi networks
tried deleting ST data, and re-importing the config. Still same crush...
Android wrapper v.0.7.11 (latest f-droid release...)
--------- beginning of main</t>
  </si>
  <si>
    <t>Crash-Test-Buddies-WiFi-Buddy-58</t>
  </si>
  <si>
    <t>Issues with on Pause</t>
  </si>
  <si>
    <t>App does not handle onPause properly. Sometimes it opens fragments at once then crashes, sometimes it goes back to the main fragment and won move to the next fragment</t>
  </si>
  <si>
    <t>Crash-Test-Buddies-WiFi-Buddy-60</t>
  </si>
  <si>
    <t>Toggling service while wifi off causes crash</t>
  </si>
  <si>
    <t>2016-04-19</t>
  </si>
  <si>
    <t>dimagi-commcare-android-1211</t>
  </si>
  <si>
    <t>Prevent crash when an add-repeat dialog is the first thing shown in a form</t>
  </si>
  <si>
    <t>Fix for this crash, which was showing up in the ICDS force close logs:
Seems fine to me to resolve this by just checking if view is null, now that know what causing it.</t>
  </si>
  <si>
    <t>geopaparazzi-geopaparazzi-314</t>
  </si>
  <si>
    <t>Directory browser crash</t>
  </si>
  <si>
    <t>APP VERSION CODE 73
APP VERSION NAME 5.0.0
ANDROID VERSION 5.0.1
PHONE MODEL ALE-L02
Caused by: Attempt to get length of null array
... 10 more</t>
  </si>
  <si>
    <t>dimagi-commcare-android-1214</t>
  </si>
  <si>
    <t>prevent OOM error when processing image capture</t>
  </si>
  <si>
    <t>Addresses this crash from the ICDS force-close logs:
Did not reproduce the specific crash, but definitely just looks like processing an image capture is sometimes causing an OOM error because the original captured image is too large. The only question have here is whether it proper to just downsize the user captured image without telling them we did so. guess the alternative would be to show non-crashing error message to the user that tells them their image capture can be processed due to memory constraints. personally inclined toward downsizing the image, because the alternative leaves the user without any real path forward to fix the issue. But wanted to acknowledge that this solution does something potentially odd.
(I did test out going through some image capture widgets with this change to make sure it still worked soundly).</t>
  </si>
  <si>
    <t>2016-04-20</t>
  </si>
  <si>
    <t>ZieIony-Carbon-239</t>
  </si>
  <si>
    <t>EdgeEffectCompat incompatible</t>
  </si>
  <si>
    <t>OK, know this has been resolved at least two times (#217, #233), but am stuck.
Below is the dependency tree of my project. For reasons do not understand gradle chooses to replace references to the support library version 23.1.1 with version 23.2.0.
If leave the testing libraries in it the refuses to compile. Otherwise it crashes
Are you planing to provide permanent fix, that won break every time Google changes the signature of EdgeEffectCompat?
Can you estimate when you will release Carbon version 0.12.1 or 0.13.0 that will have this fixed?
The published version of my app has bug need to fix. But can publish new version that contains this crash. tried using Carbon version 0.11 and support library version 23.1.1 but to no avail. Can you suggest workaround?
This is my build.gradle (cleaned up little). Notice supportLibVersion 23.1.1
maven url https: jitpack.io
limited working time release
debug java.srcDirs src debug java
test java.srcDirs src test java
Or, if you prefer, you can continue to check for errors in release builds,
but continue the build even when errors are found:
compile fileTree(include: *.jar dir: libs
This is the dependency tree. Notice the replacement of 23.1.1 by 23.2.0
Incremental java compilation is an incubating feature.
debugAndroidTestApk ## Internal use, do not manually configure ##
## Internal use, do not manually configure ##
debugApk ## Internal use, do not manually configure ##
debugCompile ## Internal use, do not manually configure ##</t>
  </si>
  <si>
    <t>ccrama-Slide-1486</t>
  </si>
  <si>
    <t xml:space="preserve">Resuming the app with the icon returns to frontpage </t>
  </si>
  <si>
    <t>Slide version: 5.2.5
Android version: 6.0.1
When browsing and press the home button and launch the app with the icon, the app resets back to the frontpage instead of resuming.
It isn crash because using the overview button can resume the app.</t>
  </si>
  <si>
    <t>k-hatano-tapchord-25</t>
  </si>
  <si>
    <t>たまに落ちる</t>
  </si>
  <si>
    <t>App sometimes crashes</t>
  </si>
  <si>
    <t>mpiannucci-HackWinds-Android-105</t>
  </si>
  <si>
    <t>Fix launching from saved states</t>
  </si>
  <si>
    <t>If the app is frozen and relaunched with saved state it crashes</t>
  </si>
  <si>
    <t>2016-04-21</t>
  </si>
  <si>
    <t>AnimeNeko-Atarashii-484</t>
  </si>
  <si>
    <t>Crash on Settings Scroll when language is "Portuguese Portugal"</t>
  </si>
  <si>
    <t>ve found that the app crashes while scrolling in the settings app after the Auto Sync option (Auto Sincroniza o, in portuguese).
It happens both in the Beta and regular android app.
using Android 5.0.2 MIUI 7.
Here the error report:
length index 11</t>
  </si>
  <si>
    <t>eurofurence-ef-app_android-21</t>
  </si>
  <si>
    <t>App crashes on force close and reopen</t>
  </si>
  <si>
    <t>App crashes and will need local file clearing to fix
Go to app switcher
Remove con Navigator app
pls fix. issue is in the database</t>
  </si>
  <si>
    <t>neuralcubes-musephero-35</t>
  </si>
  <si>
    <t>Tidy up buttons and fix crasher</t>
  </si>
  <si>
    <t>Sphero connection callbacks are always on the UI thread.</t>
  </si>
  <si>
    <t>2016-04-22</t>
  </si>
  <si>
    <t>Intelehealth-Android-Mobile-Client-44</t>
  </si>
  <si>
    <t>Patient Lookup crashing since DatePicker change</t>
  </si>
  <si>
    <t>Helper method parsing through date string incorrectly</t>
  </si>
  <si>
    <t>2016-04-23</t>
  </si>
  <si>
    <t>Phantast-smartnavi-10</t>
  </si>
  <si>
    <t>app crashes on moto defy</t>
  </si>
  <si>
    <t>use the version of f-droid. Version 2.1.2f as well as Version 2.2.1f crashes after showing the welcome screen. Version 2.0.4 worked for me.
use motorola defy with cyanogenmod 11</t>
  </si>
  <si>
    <t>crazyhitty-Munch-24</t>
  </si>
  <si>
    <t>Crash after "Sync" option was selected</t>
  </si>
  <si>
    <t>App crashes after Sync option was selected in the menu of feeds list screen</t>
  </si>
  <si>
    <t>2016-04-24</t>
  </si>
  <si>
    <t>deib-polimi-PigeonMessanger-2</t>
  </si>
  <si>
    <t>Getting NullPointerException while connecting to another Wi-Fi Direct device</t>
  </si>
  <si>
    <t>tried to connect to another device logcat follows the following exception (attached).
Please help me resolve the issue.
The devices were discovering each other and the GO icon came. As soon as selected the device the application crashed with the aforementioned exception.
Yu Yuphoria (CM 12.1) Android 5.1.1 API 22
Lenovo A7000 API 21</t>
  </si>
  <si>
    <t>ma1co-OpenMemories-Tweak-5</t>
  </si>
  <si>
    <t>Doesn't work on NEX-6</t>
  </si>
  <si>
    <t>Users report an app crash</t>
  </si>
  <si>
    <t>2016-04-25</t>
  </si>
  <si>
    <t>ladybirdweb-faveo-helpdesk-android-app-46</t>
  </si>
  <si>
    <t>Internet not working Exception handling</t>
  </si>
  <si>
    <t>When the internet is not working on the mobile either the app gets stuck on welcome screen or if its inside it crashes sometimes
There has to be an exception handling and proper messages to be displayed to users without app crashing.</t>
  </si>
  <si>
    <t>syncthing-syncthing-android-632</t>
  </si>
  <si>
    <t>Adding a device causes a crash</t>
  </si>
  <si>
    <t>think since the last update, clicking to add new device causes unfortunately syncthing has stopped
Sorry don know how to get trace.</t>
  </si>
  <si>
    <t>2016-04-26</t>
  </si>
  <si>
    <t>google-ExoPlayer-1474</t>
  </si>
  <si>
    <t>HlsChunkSource cannot detect subtitle tracks without file extensions</t>
  </si>
  <si>
    <t>The default HlsChunkSource uses the chunk file extension to detect which extractor to use inside getChunkOperation.
This causes problems when the subtitle playlist is dynamic URL and does not have an extension (e.g. *.webvtt) ...the subtitle track slips to the last condition(ts chunk) and crashes due to incorrect extraction.
have implemented hack to get around this issue: if(format.codecs null &amp;&amp; FILE EXTENSION) &amp;&amp; format.language! null) ...but obviously this is not great. Do you have any thoughts on this? Is there another way can detect the variant type?</t>
  </si>
  <si>
    <t>ltGuillaume-DroidShows-16</t>
  </si>
  <si>
    <t>App crash due to network exceptions</t>
  </si>
  <si>
    <t>DroidShows 7.0.4, this bug affects all Android versions
**Serie sToUpdate theTVDB getSerie(serieId, langCode) **
If the network connection breaks at this time point, the XMLParser in getSerie would return null Serie object, and cause subsequent null pointer exception crash.</t>
  </si>
  <si>
    <t>evernote-android-job-29</t>
  </si>
  <si>
    <t xml:space="preserve">WakeLock under-locked in android job </t>
  </si>
  <si>
    <t>The Play store is reporting the following crash</t>
  </si>
  <si>
    <t>eurofurence-ef-app_android-26</t>
  </si>
  <si>
    <t>App crashes on boot due to jodatime</t>
  </si>
  <si>
    <t>Android version: 4.4
Boot the app with the above specs</t>
  </si>
  <si>
    <t>2016-04-27</t>
  </si>
  <si>
    <t>Sloy-SeviBus-9</t>
  </si>
  <si>
    <t>Avoids crash when parada asociada is not present</t>
  </si>
  <si>
    <t>Apparently this can happen sometimes. We just handle that case and ignore the bus stop.
Maybe will improve it in the future.</t>
  </si>
  <si>
    <t>UnevenSoftware-LeafPic-143</t>
  </si>
  <si>
    <t>Crash immediately after starting</t>
  </si>
  <si>
    <t>LeafPic crashes exit just after showing the splash image LEAFPIC while starting via the app icon.
Tested on Acer A3-A30 (Intel Atom CUP, Android 5.0.2, not rooted)</t>
  </si>
  <si>
    <t>syncthing-syncthing-android-634</t>
  </si>
  <si>
    <t xml:space="preserve"> Sync on Wifi not working correctly #625  not fixed really</t>
  </si>
  <si>
    <t>#625 fix still does not work for me in 0.7.16.
It works the first time but if start it again (because it crashed) when the wifi off the next time it still brings that do you want to change your preferences window, which makes no sense whatsoever
This is an Android 4.2 device.</t>
  </si>
  <si>
    <t>2016-04-28</t>
  </si>
  <si>
    <t>OneBusAway-onebusaway-android-473</t>
  </si>
  <si>
    <t>Crash when restoring old backup in new version of app database</t>
  </si>
  <si>
    <t>The app crashes when trying to restore backup created with an older version of the app database:
**Steps to reproduce:**
1. Install an old version of the app with an old version of the database
2. Star stop
3. Go to Settings-&gt;Save to storage
4. Update to the app to new version that includes new version of the database
5. Go to Settings-&gt;Restore from storage
Successfully restore the old data and operate as normal.
App crashes on startup and is no longer usable.
**Device and Android version:**
Stock LG G4 Android 6.0</t>
  </si>
  <si>
    <t>ganfra-MaterialSpinner-68</t>
  </si>
  <si>
    <t>Crash on empty array data set</t>
  </si>
  <si>
    <t>Hello, on empty array set got that crash:</t>
  </si>
  <si>
    <t>syncthing-syncthing-android-637</t>
  </si>
  <si>
    <t>Can't changes settings to enable Syncthing now.</t>
  </si>
  <si>
    <t>Usually Syncthing is set up to run only if it is Wi-fi and the device is charging.
The device is now connected to Wi-Fi, but not charging.
got this sequence:
1. start Syncthing from home
2. It shows message about Syncthin being disabled with button to open Syncthing settings
3. press the button. Settings open
4. uncheck the Only when charging checkbox
5. press back
6. get to home screen (expected: to Syncthing interface)
7. start Syncthing again from home screen
8. Syncthing shows the same message as in 2.
9. press button to go to settings
10. Checkbox about only-charging is already disabled.
After 3-4 of such attempts, Syncthing crashed (or maybe it because of orientation change when displaying that message?) and after restarting it got to the UI and started backing up.
In the 2. message also want to know why does Syncthing not run: because of Wi-Fi required, because of charging required or because of both.</t>
  </si>
  <si>
    <t>2016-04-29</t>
  </si>
  <si>
    <t>Sloy-SeviBus-14</t>
  </si>
  <si>
    <t>Implemented all missing onError</t>
  </si>
  <si>
    <t>Better log the exception and show an error message than crashing the app.
This should fix http: crashes.to d159732c1f7</t>
  </si>
  <si>
    <t>kontalk-androidclient-703</t>
  </si>
  <si>
    <t>Out of memory issues</t>
  </si>
  <si>
    <t>Happening regularly in emulated Gingerbread (2.3.7) for Bitmap allocations.
Recently reported on Crashlytics on Odyssey Plus (?) running Android 4.3:
Some memory analysis would be nice.
noticed how almost all crashes happen on ldpi devices. Support library has no ldpi resources, so the system is forced to scale down mdpi files. Could this be major cause for this OOM errors?</t>
  </si>
  <si>
    <t>ankidroid-Anki-Android-4254</t>
  </si>
  <si>
    <t xml:space="preserve">Sound recording does not stop </t>
  </si>
  <si>
    <t>When recording sound, if you validate the card by pressing the tick upper right without stopping the recording first, the record does not stop, it is not kept and it crash the recording. Ideal, when record, any key should stop the record and save the recording on the card.</t>
  </si>
  <si>
    <t>SecUSo-privacy-friendly-boardgame-clock-12</t>
  </si>
  <si>
    <t>App crashes when game is saved without a player selected</t>
  </si>
  <si>
    <t>-&gt; New Game (put name and confirm)
-&gt; select main menu via naviagation drawer and click yes when it prompts to save the game.
-&gt; Then the game crashes with</t>
  </si>
  <si>
    <t>2016-05-02</t>
  </si>
  <si>
    <t>ladybirdweb-faveo-helpdesk-android-app-48</t>
  </si>
  <si>
    <t>App crashing - Exception Handling</t>
  </si>
  <si>
    <t>Even if the API is bad or bad data is supplied the app should not crash and handle exceptions well
Display proper, user understandable messages to user for any exceptions</t>
  </si>
  <si>
    <t>CellularPrivacy-Android-IMSI-Catcher-Detector-870</t>
  </si>
  <si>
    <t>Crash after OCID DB is downloaded v0.1.43-alpha</t>
  </si>
  <si>
    <t>Thank you for your feedback! Please add below details so that we can help you bit faster.
Please check these boxes to ensure you ve actually read and understood these important rules!
**I have reviewed and accepted the guidelines for contributing (https: github.com CellularPrivacy blob development .github CONTRIBUTING.md) to this project.**
**I have searched the open Issues (https: github.com CellularPrivacy issues) and made sure am not filing duplicate.**
**I have read the notes on debugging (https: github.com CellularPrivacy blob development .github and will properly maintain this Issue.**
Please add short and easy to understand description of the Issue you ve experienced here.
Sony experia lt25i CM lollipop.
AIMSICD WIP TEST RELEASE v0.1.43-alpha
AIMSICD crash whatever you do in db view if you minimize reopen it.
Made 20 crashes in 20 minutes.. All imported ocid cells having PSC 666 can be the clue...
See also issue 831
Same as above
If you experienced visual glitches, please add screenshot without metadata here.
screenshot from 2016-05-02 02 07 56 (https: assets 17292772 14945351</t>
  </si>
  <si>
    <t>wallabag-android-app-237</t>
  </si>
  <si>
    <t>TtsFragment.onPause causes RuntimeException: Unable to pause activity {ReadArticleActivity}: IllegalArgumentException: setShowActionsInCompactView: action 0 out of bounds (max -1)</t>
  </si>
  <si>
    <t>Steps to repoduce:
1. fresh new install of tyndare 0fd00db branch https: github.com tyndare android-app tree tts-fix-issue-234
2. start app, enter wallabag data save settings
4. open first article in list
5. click on article settings and check the box for TTS
6. now hit the Back button of your smartphone
7. crash, see following stack trace
you can reproduce this issue with the following steps, too:
1. open article
2. open settings and check the box for TTS
3. open settings again and uncheck the box for TTS
4. same exception for crash, see following log
--------- beginning of crash
Caused by: action out of bounds (max -1)
was about to test https: github.com wallabag android-app issues provided by tyndare</t>
  </si>
  <si>
    <t>2016-05-03</t>
  </si>
  <si>
    <t>konradrenner-kolabnotes-android-127</t>
  </si>
  <si>
    <t>Crash on back if Rich Text is disabled</t>
  </si>
  <si>
    <t>Kolab Notes crashes for me when quitting from an empty note. click on the New note icon, type nothing and press back instead and it says Kolab Notes has stopped.
Addition to the above: It crashes when have Rich Text disabled. No crash if it is enabled.</t>
  </si>
  <si>
    <t>2016-05-04</t>
  </si>
  <si>
    <t>MythTV-Clients-MythtvPlayerForAndroid-147</t>
  </si>
  <si>
    <t>NPE,  Attempt to invoke interface method</t>
  </si>
  <si>
    <t>Just left Watch Recordings and was back at Home Encoders then
pressed Refresh when this fired:
--------- beginning of crash</t>
  </si>
  <si>
    <t>user-don-MyRuns-13</t>
  </si>
  <si>
    <t>Edge case: Saving GPS entry with no datapoints</t>
  </si>
  <si>
    <t>This is crashing. Fix it.</t>
  </si>
  <si>
    <t>2016-05-05</t>
  </si>
  <si>
    <t>OneBusAway-onebusaway-android-480</t>
  </si>
  <si>
    <t>Route favorite dialog crashes upon orientation change</t>
  </si>
  <si>
    <t>Reported via Android Developer Console:
**Steps to reproduce:**
was able to reproduce by doing the following:
1. Open any stop
2. Tap on any arrival
3. Select Add star to route
4. Rotate the screen
5. Tap on Save
The app should complete the rotation and allow the user to save the favorite route.
The app crashes with the above stacktrace.
**Device and Android version:**
reproduced this on stock LG G4 with Android 6.0</t>
  </si>
  <si>
    <t>mendhak-gpslogger-438</t>
  </si>
  <si>
    <t>CustomURLJob HTTPS Crash - Failed to read sufficient bytes from /dev/urandom</t>
  </si>
  <si>
    <t>just experienced crash using HTTPS OpenGTS.
10 points were logged before crashing. have not yet tested your build with the background request limit.
It looks like this might be an issue with OkHttp. It doesn look like there are any reported issues on their GitHub (https: github.com square okhttp issues?utf8 %E2%9C%93&amp;q urandom), but there is at least one result on Google (https: www.google.com search?q (Direct link to related result: https: github.com intercom intercom-android issues 127)
Are there any other HTTP clients available that might work better, or would it be easy to try catch CustomURLJobs?
Is the app supposed to be constantly sending requests? In the total period of 638 seconds from starting until the end of the log, DEBUG Sending to URL: https: SNIP :443 gprmc Data? SNIP occurs 505 times (sometimes twice in one second) and there are 496 responses.</t>
  </si>
  <si>
    <t>microg-GmsCore-127</t>
  </si>
  <si>
    <t>Google Maps crashes</t>
  </si>
  <si>
    <t>Signature patching via Xposed
Google Maps crashes immediately after start:</t>
  </si>
  <si>
    <t>2016-05-06</t>
  </si>
  <si>
    <t>vanilla-music-vanilla-336</t>
  </si>
  <si>
    <t>Fastscroll crash</t>
  </si>
  <si>
    <t>Reported in playstore console:
Seems to cause crash at startup (!)</t>
  </si>
  <si>
    <t>UMKCTeamSeven-OmniChessRandD-11</t>
  </si>
  <si>
    <t>Rooks and Queens that can move horizontally into a portal cause crash when selected</t>
  </si>
  <si>
    <t>2016-05-08</t>
  </si>
  <si>
    <t>medyo-Fancybuttons-59</t>
  </si>
  <si>
    <t>Fix Custom Fonts issue</t>
  </si>
  <si>
    <t>When using custom fonts, the main app crashes for versions 1.7 and 1.8</t>
  </si>
  <si>
    <t>vickychijwani-quill-121</t>
  </si>
  <si>
    <t>With Ghost 0.7.9, app crashes on login</t>
  </si>
  <si>
    <t>The response to the configuration endpoint appears to have changed between 0.6.4 and 0.7.9. Note, we re only looking at the fileStorage entry in this entire response.
Old response array of entries:
New response dictionary style:</t>
  </si>
  <si>
    <t>Phantast-smartnavi-11</t>
  </si>
  <si>
    <t>app crashes when launching</t>
  </si>
  <si>
    <t>on CM 13 and using the latest f-droid version.
Version 2.0.4 (free) seems to work.</t>
  </si>
  <si>
    <t>davideas-FlexibleAdapter-78</t>
  </si>
  <si>
    <t>[5.0.0-b6] Crash during animation (with sticky headers)</t>
  </si>
  <si>
    <t>tried to integrate FlexibleAdapter because of support for sticky headers and my app start crashing on this error, sometimes when enter to the screen with RecyclerView. Before used own adapter implementation without sticky headers and it works correctly. not using any animation for RecyclerVIew. So don understand why it happen.</t>
  </si>
  <si>
    <t>2016-05-09</t>
  </si>
  <si>
    <t>zhuowei-MCPELauncher-983</t>
  </si>
  <si>
    <t>intent filter for shaders</t>
  </si>
  <si>
    <t>Make intent filter for textures to not stack the textures. Make new intent filter for shaders with stacking. When kids try more and more texture packs at one point BL just crashes constantly and they cant handle clearing the cache and stuff like that. Make it so they are not stacking. Also make it so when they install BL for fist time and then use import activity, texture would be active when they fire up BL for the first time. Im the owner of texture pack app that gave you over 1M downloads. You are posting bullshit on your twitter instead of reading it. The implementation of the things that im asking for should be really quick.</t>
  </si>
  <si>
    <t>kontalk-androidclient-723</t>
  </si>
  <si>
    <t>Blocking while offline throws IllegalStateException</t>
  </si>
  <si>
    <t>Don want to be annoying but in special cases blocking contact results in an app crash:
open chat and block the user
go back to conversation list and go online again
wait some seconds... bamm!
(and if this is caught the next NPE is thrown by Toast.makeText()
get the problem: the broadcast receiver gets the intent after the ui view was already changed, i.e. the fragment isn added to the activity anymore.
But what is the best solution? Quickfix is
if (mPrivacyListener null)
in onPause() But when going online and immediately going back to the conversation the view is not updated.</t>
  </si>
  <si>
    <t>2016-05-10</t>
  </si>
  <si>
    <t>tbruyelle-RxPermissions-46</t>
  </si>
  <si>
    <t>java.lang.IllegalStateException: RxPermissions.onRequestPermissionsResult invoked but didn't find the corresponding permission request.</t>
  </si>
  <si>
    <t>One of my activities asks for camera permission on trigger (button click)
After following steps, exception is thrown:
1. user presses button and shadow activity with dialog that asks for permission is shown
2. user goes to settings and revoke some other permission
3. user reopens app shadow activity with dialog is still there
4. user allows denies permission and app crashes with exception
from what saw in code:
() where mSubjects is filled is called before permission is revoked by user
After user revoked permission app is recreated in **new process** and mSubjects is empty therefore exception is thrown in
Can you please fix this or suggest workaround?</t>
  </si>
  <si>
    <t>morenoh149-react-native-contacts-59</t>
  </si>
  <si>
    <t>Search crashes after more than a few text changes.  Exception if loaded as bundle.</t>
  </si>
  <si>
    <t>ve modeled the Movies example for my implementation, and am using modified version of it search functionality. In addition to the example code, ve added function that will filter contacts by the search query text, as well as function that sorts by givenName (first name) alphabetically.
When loading js code from URL, if type more than few letters into the search, or delete and add, the app will crash and XCode will lose connection. This happens every time.
If loading js as bundle, when type and then hit the delete key the app will throw an exception.
Communications error: &lt;OS xpc error: &lt;error: 0x19bbe0af0&gt; count 1, contents
XPCErrorDescription &lt;string: 0x19bbe0e50&gt; length 22, contents Connection interrupted</t>
  </si>
  <si>
    <t>consp1racy-android-support-preference-31</t>
  </si>
  <si>
    <t>java.lang.NullPointerException</t>
  </si>
  <si>
    <t>got few crash reports like this, using 0.6.2 and 0.8.0. Can you please take look at it? Do you happen to have any idea how can avoid it?</t>
  </si>
  <si>
    <t>consp1racy-android-support-preference-30</t>
  </si>
  <si>
    <t>java.lang.IllegalStateException: No cursor that can return names</t>
  </si>
  <si>
    <t>Can you please take look at this? using RingtonePreference and get this crash from time to time.
can reproduce it on my own. Using 0.8.0, but got this with 0.6.2 as well.
Fatal Exception: No cursor that can return names</t>
  </si>
  <si>
    <t>IvoGoman-Diabetes-App-30</t>
  </si>
  <si>
    <t>SettingsFragment: Data Collection Checkbox</t>
  </si>
  <si>
    <t>If checkbox is checked at the start of the app and the user selects the checkbox, the apps crashes.</t>
  </si>
  <si>
    <t>evernote-android-job-36</t>
  </si>
  <si>
    <t>Check for orphaned scheduled jobs</t>
  </si>
  <si>
    <t>have encountered (at least once) that if my phone crashes (Nexus 5) during rescheduling of job, am able to find the old job as scheduled by calling but the job with matching id is already deleted from android-job database.
am suggesting that after initialization of JobManager you could run async operation which would check if there is any JobInfo with service matching PlatformJobService but it id is missing from database and cancel them as orphaned.</t>
  </si>
  <si>
    <t>auth0-react-native-lock-39</t>
  </si>
  <si>
    <t>A0LockReact.m delegationWithOptions passes null dictionary when attempting to obtain firebase token, crashing app</t>
  </si>
  <si>
    <t>If attempt to obtain firebase token through the Auth0 delegation API as such, my application crashes in native code.
console.log( delegation callback ,a,b,c)
The crash see in the XCode console is as follows:
*** First throw call stack:
CoreFoundation 0x0000000112077d85 exceptionPreprocess 165
libobjc.A.dylib 0x000000011126cdeb objc exception throw 48
CoreFoundation 0x0000000111f7423e 318
CoreFoundation 0x0000000111f865bb NSDictionary 59
TodoApp 0x000000010e57e584 A0LockReact 1556
TodoApp 0x000000010e580fe4 41- A0LockReactModule block invoke 84
libdispatch.dylib 0x0000000113a0fd9d dispatch call block and release 12
libdispatch.dylib 0x0000000113a303eb dispatch client callout
libdispatch.dylib 0x0000000113a181ef dispatch main queue callback 4CF 1738
CoreFoundation 0x0000000111fd10f9 CFRUNLOOP IS SERVICING THE MAIN DISPATCH QUEUE
10 CoreFoundation 0x0000000111f92b99 CFRunLoopRun 2073
11 CoreFoundation 0x0000000111f920f8 488
12 GraphicsServices 0x000000011512cad2 GSEventRunModal 161
13 UIKit 0x000000010f6f2f09 UIApplicationMain 171
14 TodoApp 0x000000010e331daf main 111
15 libdyld.dylib 0x0000000113a6492d start</t>
  </si>
  <si>
    <t>koral---android-gif-drawable-297</t>
  </si>
  <si>
    <t>Fatal Error!  Gif drawable crashes all the time .</t>
  </si>
  <si>
    <t>Hi, thanks for your gif-drawable project. Now, need your help. meet gif-drawable that crashes all the time when using gif-drawable. Get the native crash log below:
SIGSEGV SEGV MAPERR 0x7fffffffffffffff
libpl droidsonroids gif.so 0x89bbab4c (Missing)
This is the gif resource url
Hope your reguards, It very urgent.</t>
  </si>
  <si>
    <t>ankidroid-Anki-Android-4279</t>
  </si>
  <si>
    <t>2.6beta1 crashes on Android 2.3.7 when changing deck options</t>
  </si>
  <si>
    <t>2.6beta1 crashes on Android 2.3.7 when changing deck options.
The change will be applied, but the app crashes.
P.s. hope this is the right place for beta bugs. searched around and it seems to be, but sorry if it is not!</t>
  </si>
  <si>
    <t>2016-05-11</t>
  </si>
  <si>
    <t>UMKCTeamSeven-OmniChessRandD-18</t>
  </si>
  <si>
    <t xml:space="preserve">Moving diagonally right down out of a portal on the right edge of the board causes crash </t>
  </si>
  <si>
    <t>Other portal edge cases seem to be unaffected but more testing is necessary</t>
  </si>
  <si>
    <t>2016-05-12</t>
  </si>
  <si>
    <t>forcedotcom-SalesforceMobileSDK-CordovaPlugin-191</t>
  </si>
  <si>
    <t>Custom login host not listed in login hosts settings</t>
  </si>
  <si>
    <t>have problem with the custom login host in my hybrid app on iOS. In my plist file ve defined custom login host
**Behaviour in unstable branch 4.2.0**
If install and start the app for the first time, the correct login of my custom host is show. If now click on the settings icon to open the host choose connection setting without selecting e.g. the Production server, just open the the settings view, the app crashes with this stacktrace
*** First throw call stack:
CoreFoundation 0x00928494 exceptionPreprocess 180
libobjc.A.dylib 0x04527e02 objc exception throw 50
UIKit 0x00ea6385 UIViewController 5682
UIKit 0x00ea946f 62- UIViewController block invoke 88
UIKit 0x00d84db2 UIView(Animation) 82
UIKit 0x00d84dfb UIView(Animation) 40
UIKit 0x00ea9379 62- UIViewController block invoke 247
UIKit 0x00ea9768 65- UIViewController block invoke 18
UIKit 0x0183a2d2 292
UIKit 0x01835f86 147
10 UIKit 0x01835c71 completeTransition: 136
11 UIKit 0x01860b34 74
12 UIKit 0x00e5848a UITransitionView 280
13 UIKit 0x00e58176 UITransitionView 1550
14 UIKit 0x00e5adb1 UITransitionView 121
15 UIKit 0x00d5f08f 247</t>
  </si>
  <si>
    <t>2016-05-13</t>
  </si>
  <si>
    <t>dimagi-commcare-android-1254</t>
  </si>
  <si>
    <t>Fix NotificationMessage parcel logic</t>
  </si>
  <si>
    <t>Add test coverage to NotificationMessage parcel code and fix crash associated with that code.
Caused by: bad array lengths</t>
  </si>
  <si>
    <t>2016-05-15</t>
  </si>
  <si>
    <t>PhilJay-MPAndroidChart-1777</t>
  </si>
  <si>
    <t>HorizontalBarChart: IndexOutOfBoundsException when plotting BarData without entries</t>
  </si>
  <si>
    <t>When you set the data of bar chart, but the data is actually empty, containing no data, in particular no xVals the application will crash with:
instead of showing no data or something... not difficult to work around but ...
To reproduce, use something along the lines:
ArrayList&lt;BarEntry&gt; yVals1 new ArrayList&lt;&gt;()
ArrayList&lt;String&gt; xVals new ArrayList&lt;&gt;()
BarDataSet set1 new BarDataSet(yVals1, DataSet
chart.setData(new BarData(xVals, dataSets))
let the chart know it data changed</t>
  </si>
  <si>
    <t>dariuszseweryn-RxAndroidBle-21</t>
  </si>
  <si>
    <t>Encountering MissingBackPressureException with lots of characteristic changes</t>
  </si>
  <si>
    <t>First of all thank you for this library. You guys have done seriously awesome job.
Occasionally am encountering when create an observable that establishes connection and listens for characteristic changes
In my use case there are lots of characteristic changes that we use to read data from the device but occasionally when there are more than normal it will crash with
Have you guys encountered this known behavior? Is there specific way you recommend dealing with this on the app side to avoid changes to the lib? Thanks again.</t>
  </si>
  <si>
    <t>2016-05-16</t>
  </si>
  <si>
    <t>VictorAlbertos-RxCache-24</t>
  </si>
  <si>
    <t>Usage with Dagger 2.4</t>
  </si>
  <si>
    <t>When try to use RxCache in project that uses the latest version of Dagger (2.4 at this point of time), it crashes with Didn find class on path: DexPathList because Google introduced some breaking changes in 2.3 (everything works with 2.2).
It is easily reproducible by including Dagger 2.4 into project that uses RxCache.
The easy solution is to update your Dagger version to 2.4, but new Dagger releases can potentially break it again. The ideal solution for me as user would be to remove Dagger dependency from the library, but guess that not an option.</t>
  </si>
  <si>
    <t>lgallard-qBittorrent-Controller-82</t>
  </si>
  <si>
    <t>Long list of files crashes the app</t>
  </si>
  <si>
    <t>When entering to some torrents with lot of files (Content list of files) the app is not responding and crashes.
Reported by Aviad via email.</t>
  </si>
  <si>
    <t>2016-05-17</t>
  </si>
  <si>
    <t>0lumide-Insta-Translate-2</t>
  </si>
  <si>
    <t>'{Square brackets}' crashes InstaTranslate</t>
  </si>
  <si>
    <t>InstaTranslate crashes if text to be translated contains curly brackets. Root cause is old version of okhttp used by retrofit2 beta.</t>
  </si>
  <si>
    <t>andybalaam-rabbit-escape-451</t>
  </si>
  <si>
    <t>Crash on Android when rotating phone as level starts</t>
  </si>
  <si>
    <t>tried this on 0.8 and it did not crash.
With the latest snapshot
Navigate the menus and chose Start Game, Easy.
Select Level and immediately rotate the screen.
The screen goes black and eventually message appears saying rabbit escape has stopped.
FATAL EXCEPTION: main</t>
  </si>
  <si>
    <t>2016-05-18</t>
  </si>
  <si>
    <t>kontalk-androidclient-739</t>
  </si>
  <si>
    <t>Query completed but context already null</t>
  </si>
  <si>
    <t>Calling after query has completed but activity instance has been destroyed (or fragment has been detached) crashes:
Consider passing Context to the method itself (or refactor the thing).
Very borderline case, but it can happen.</t>
  </si>
  <si>
    <t>dimagi-commcare-android-1267</t>
  </si>
  <si>
    <t>Checking if detail callout is null before using</t>
  </si>
  <si>
    <t>Fix null pointers introduced by https: github.com dimagi commcare-odk pull 1119.
phillipm gonna have someone merge this now because need master to not be crashing in order to work on consumer apps stuff, but want to make sure with you that this is an OK resolution of this.</t>
  </si>
  <si>
    <t>DigitalCampus-oppia-mobile-android-564</t>
  </si>
  <si>
    <t>App shuts down when having installed a course by copying onto the sd card</t>
  </si>
  <si>
    <t>The process went through:
In the app have the location set to being the removable SD card
open up the app and the course appears to be auto installed
However the course zip file is not removed from the download directory and the folder for the course is not generated on in the modules directory
The course appears on the homepage (so has been loaded into the app db)
But when trying to open, the app crashes (stack trace below)
It seems like this course install process is using different reference for the location of the course files xml.
In any case there seem to be mismatch in the directories used for installing the course depending on whether installed by downloading from the server and into the app, or when installing directly by copying onto the phone (either sdcard or internal) although the video files are being stored in the sdcard.</t>
  </si>
  <si>
    <t>k9mail-k-9-1394</t>
  </si>
  <si>
    <t>K9 crash try attaching files</t>
  </si>
  <si>
    <t>### Expected behaviour
Adding attachment and browising files whit Amaze or other files manager would like to attach file
### Actual behaviour
Downgrading K9 to v5.008 everything works fine
### Steps to reproduce
1.Create new email
3.Select file whit Amaze or any other files manager
K-9 Mail version:
Account type (IMAP, POP3, WebDAV Exchange):</t>
  </si>
  <si>
    <t>2016-05-19</t>
  </si>
  <si>
    <t>Cloudkibo-Android-86</t>
  </si>
  <si>
    <t xml:space="preserve">Application crashed </t>
  </si>
  <si>
    <t>Application crashed Dump sent to Android
sojharo Please pick the dump and attach it to this bug</t>
  </si>
  <si>
    <t>jacob-g-cleveland-rta-next-bus-train-7</t>
  </si>
  <si>
    <t>App crashes when hitting back button from favorites pop-up</t>
  </si>
  <si>
    <t>Steps to trigger:
1. Open the next bus train page
2. Click the bookmarks icon
3. When on the bookmarks page, hit the back button</t>
  </si>
  <si>
    <t>vickychijwani-quill-124</t>
  </si>
  <si>
    <t>User image is null</t>
  </si>
  <si>
    <t>pazaan-600SeriesAndroidUploader-37</t>
  </si>
  <si>
    <t>App crashes if "REST API Upload" is switched on, but "Nightscout URL" is invalid.</t>
  </si>
  <si>
    <t>2016-05-21</t>
  </si>
  <si>
    <t>requery-sqlite-android-20</t>
  </si>
  <si>
    <t>"JNI FatalError called: RegisterNatives failed.."</t>
  </si>
  <si>
    <t>My app accesses an SQLite Database as soon as it opened, but as of version 3.13.0-1 it crashes at launch with very large stacktrace (linked me.sebj.times.beta is my app ID) (http: pastebin.com raw TgLAg2aS), which includes the message:
JNI FatalError called: RegisterNatives failed for io requery android database sqlite SQLiteConnection aborting...
My app is being built for release (with ProGuard enabled) and crashes both in an Android Emulator on 5.0, and on my own 5.1.1 device (probably others).
Downgrading to 3.12.2-2 in my Gradle file, building, and running instantly fixes the problem the app runs perfectly.</t>
  </si>
  <si>
    <t>translation-cards-translation-cards-196</t>
  </si>
  <si>
    <t>App crashes if user denies microphone permission</t>
  </si>
  <si>
    <t>When user tries to record new audio and is prompted for microphone permissions, if they deny the access the app crashes.</t>
  </si>
  <si>
    <t>2016-05-22</t>
  </si>
  <si>
    <t>translation-cards-translation-cards-195</t>
  </si>
  <si>
    <t>Quickly press record button several times</t>
  </si>
  <si>
    <t>When the user tries to record an audio for translation card (either by creating new one or editing it), if the user quickly presses the record button many times, the app crashes.</t>
  </si>
  <si>
    <t>translation-cards-translation-cards-192</t>
  </si>
  <si>
    <t>Microphone permissions app crash on edit</t>
  </si>
  <si>
    <t>When assets are loaded and you try to edit an existing translation card when trying to record audio, the app crashes because permissions to access the microphone are not asked.
Cause of this: the GetStartedActivity logic to check the proper permissions is not executed because of the assets bypasses the logic.</t>
  </si>
  <si>
    <t>wallabag-android-app-260</t>
  </si>
  <si>
    <t>RuntimeException: An error occured while executing doInBackground() Caused by: ExceptionInInitializerError WallabagConnection.getClient()</t>
  </si>
  <si>
    <t>already reported times in Gplay:
... 12 more
vor 47 Minuten
Aquaris E10 (Aquaris E10)
fallo cuando sincronizo
Galaxy Tab Pro 8.4 (mondrianwifiue)
it crashes while syncing</t>
  </si>
  <si>
    <t>gitskarios-Gitskarios-424</t>
  </si>
  <si>
    <t>App crashing on Login Activity</t>
  </si>
  <si>
    <t>Git build hash from settings:
Steps to reproduce:
Start the App for the first time in widescreen landscape without beeing logged in.
Build version: 2.13.1
... 10 more
... 15 more</t>
  </si>
  <si>
    <t>2016-05-23</t>
  </si>
  <si>
    <t>geopaparazzi-geopaparazzi-322</t>
  </si>
  <si>
    <t>error from ACRA - https - should be solved already</t>
  </si>
  <si>
    <t>APP VERSION CODE 74
APP VERSION NAME 5.0.1
ANDROID VERSION 6.0
PHONE MODEL MotoG3
LOGCAT --------- beginning of system
--------- beginning of main
More information for wms import crash</t>
  </si>
  <si>
    <t>2016-05-25</t>
  </si>
  <si>
    <t>EyeSeeTea-malariapp-1034</t>
  </si>
  <si>
    <t>Application crash adding registers in Scoreregister from survey session</t>
  </si>
  <si>
    <t>The Application crash when tries to add registers in the scoreRegisters from the Survey saved in session.
This problem appears when the user open one survey feedback and some surveys are pushing in backgraund at the same time.</t>
  </si>
  <si>
    <t>EyeSeeTea-EDSApp-48</t>
  </si>
  <si>
    <t>Crash: Clinical Observation Results (resolved?)</t>
  </si>
  <si>
    <t>The application crashed when tried to open the clinical observation results.
It crashed and then showed the settings page.
When went back in after the crash, it opened, then crashed again.
After this, tried opening new Clinical Obs module and it crashed. but after the initial crash was able to re-open the new one and create another new one without crash.
could not replicate this crash.</t>
  </si>
  <si>
    <t>2016-05-26</t>
  </si>
  <si>
    <t>EyeSeeTea-EDSApp-47</t>
  </si>
  <si>
    <t>Crash: Clinical Observation 1</t>
  </si>
  <si>
    <t>Clincial Observation always crashes when you answer No to
Or when you uncheck Yes for the same question
and then it brings up the settings screen</t>
  </si>
  <si>
    <t>EyeSeeTea-EDSApp-44</t>
  </si>
  <si>
    <t>Crash: General OTSS tab crashed when exiting</t>
  </si>
  <si>
    <t>Could not replicate. App crashed when exiting Gen OTSS survey though. had answered few questions and tried to go back to the landing page. It crashed before the landing page loaded.
cant replicate but it happened and am reporting</t>
  </si>
  <si>
    <t>EyeSeeTea-EDSApp-42</t>
  </si>
  <si>
    <t>Crash: return to landing page from feedback</t>
  </si>
  <si>
    <t>Application crashes consistently when you return to the landing page from the feedback section if the feedback section has not yet fully loaded See video below.</t>
  </si>
  <si>
    <t>OneBusAway-onebusaway-android-518</t>
  </si>
  <si>
    <t>NPE when changing screen orientations in HomeActivity in route mode w/ interruption</t>
  </si>
  <si>
    <t>NPE when changing screen orientations in HomeActivity, showing the route, after received an incoming phone call and returned to the app:
**Steps to reproduce:**
saw this while trying to grab screenshots for https: github.com OneBusAway onebusaway-android issues 517.
Steps were something along the lines of:
1. Tap on stop on the map in portrait orientation
2. Tap on an arrival time, and choose Show route on map
3. Close the sliding panel by hitting the Back button
4. Rotate the device to landscape orientation
then got an incoming phone call and answered it, and then returned to OBA. At this point it crashed and grabbed the above stack trace via Android Studio.
Show me the route on the map.
**Device and Android version:**
Stock LG G4 Android 6.0 and Google Play Services v9.0.83 on the device.</t>
  </si>
  <si>
    <t>itachi1706-SingBuses-47</t>
  </si>
  <si>
    <t>Sanitize all DB queries</t>
  </si>
  <si>
    <t>While the web API has sanitized all db transactions, there are some cases not properly sanitized in the Android app when querying with the internal SQLite DB on the device and crashes the app. Example here.</t>
  </si>
  <si>
    <t>vector-im-riot-android-155</t>
  </si>
  <si>
    <t>The call seems crashing on some devices (galaxy Note 3)</t>
  </si>
  <si>
    <t>hidroh-materialistic-484</t>
  </si>
  <si>
    <t xml:space="preserve">Saved article issue's </t>
  </si>
  <si>
    <t>Tested saved articles in aeroplane mode. Seems to be problem parsing many of them in Readability Downloading Comments and Articles doesn seem to be working either. App has crashed several times in aeroplane mode also.</t>
  </si>
  <si>
    <t>mycelium-com-wallet-android-272</t>
  </si>
  <si>
    <t>trying to enter an amount to send crashes the app</t>
  </si>
  <si>
    <t>1. tap send
2. tap Scan QR Code
3. scan QR code
4. tap the Keyboard Icon
5. watch the app crash into oblivion..... :(
this is horrible, all my bitcoins are stuck within the app and can release them
please fix this!! the whole point of wallet is to send and receive funds!!
same crash when scan QR code that has an amount associated with it</t>
  </si>
  <si>
    <t>IvoGoman-Diabetes-App-33</t>
  </si>
  <si>
    <t>App sometimes crashes when editing daily routine</t>
  </si>
  <si>
    <t>2016-05-27</t>
  </si>
  <si>
    <t>zhanhui913-Budget-37</t>
  </si>
  <si>
    <t>Reset data crashes</t>
  </si>
  <si>
    <t>Need to find all references of realm and close it before deleting.</t>
  </si>
  <si>
    <t>IvoGoman-Diabetes-App-32</t>
  </si>
  <si>
    <t>App crashes when deleting Default Activity</t>
  </si>
  <si>
    <t>kontalk-androidclient-750</t>
  </si>
  <si>
    <t>Disable focus for message list header</t>
  </si>
  <si>
    <t>Only the button should be focusable (and most importantly clickable). Otherwise, bad things happen:
App crashes only when the item is manually focused (via d-pad or keyboard)</t>
  </si>
  <si>
    <t>gitskarios-Gitskarios-429</t>
  </si>
  <si>
    <t>Crash at first launch in landscape tablet mode</t>
  </si>
  <si>
    <t>Starting up the app in landscape mode on my Pixel got soft crash.</t>
  </si>
  <si>
    <t>2016-05-28</t>
  </si>
  <si>
    <t>user-don-Caregiver-14</t>
  </si>
  <si>
    <t>Crash on hitting help button</t>
  </si>
  <si>
    <t>Got crash when hitting the help button just now. Here is the stacktrace:
Make new caregiver account, input patient name, go to main dashboard
Log onto patient account on separate device and press help button</t>
  </si>
  <si>
    <t>2016-05-29</t>
  </si>
  <si>
    <t>VinkasHQ-reminders-android-4</t>
  </si>
  <si>
    <t>Reminder notification onclick error</t>
  </si>
  <si>
    <t>App crashing while opening the app by clicking the reminder notification</t>
  </si>
  <si>
    <t>2016-05-30</t>
  </si>
  <si>
    <t>arimorty-floatingsearchview-58</t>
  </si>
  <si>
    <t>Array index out of bounds exception</t>
  </si>
  <si>
    <t>Hi! ve implemented your library in my proj and when click somewhere outside of search box, it crashes with in MenuView. Here is the stacktrace:</t>
  </si>
  <si>
    <t>popcorn-official-popcorn-android-36</t>
  </si>
  <si>
    <t>Internal player crash</t>
  </si>
  <si>
    <t>Download date: 05.30.2016
Android version: 5.0 Lollipop:
#### Expected Behaviour
Video player is going to play the whole video.
#### Actual Behaviour
Player stops reproduction up to 10s from start when watching shows. This is not happening with movies. When going back the whole app goes black and crash.
#### Steps to repoduce the behaviour
1. Open app
2. Navigate to shows
3. Play show (I chose Game of Thrones)
4. Play on internal player
5. Wait up to 10s
6. Player freezes
7. Try going back
8. App crashes</t>
  </si>
  <si>
    <t>2016-05-31</t>
  </si>
  <si>
    <t>AnySoftKeyboard-AnySoftKeyboard-660</t>
  </si>
  <si>
    <t>NPE @ SetupSupport</t>
  </si>
  <si>
    <t>Reported in Fabric: http: crashes.to 0ca2bc7820a</t>
  </si>
  <si>
    <t>2016-06-01</t>
  </si>
  <si>
    <t>LeafSWE-clips-31</t>
  </si>
  <si>
    <t>Rotazione schermo fallita</t>
  </si>
  <si>
    <t>applicazione attualmente non supporta la modalit landscape del display, tentare il passaggio provoca un brusco crash.</t>
  </si>
  <si>
    <t>davideas-FlexibleAdapter-92</t>
  </si>
  <si>
    <t>[5.0.0-b6 &amp; May 29th Snapshot] Crash after top sticky header collapse-&gt;expand-&gt;collapse</t>
  </si>
  <si>
    <t>Hi! The lib is great, but ve found bug in it.
use expandable sections and sticky headers similar to Expandable Sections in example app.
All sections are expanded at startup.
Collapse the topmost section, then expand it.
Then, when you collapse it again, the app crashes with fatal exception.
both 5.0.0-b6 and May 29th SNAPSHOT have this bug.
BTW Found the same exact bug in Expandable Sections in the latest Example App from this repo (cloned the latest version of this repo).
FATAL EXCEPTION: main</t>
  </si>
  <si>
    <t>requery-requery-170</t>
  </si>
  <si>
    <t>ClassCastException when using primitive data type in CompoundKey</t>
  </si>
  <si>
    <t>One of my models has the following primary keys:
public abstract class Measure
and wanted to fetch one using findByKey() the key being constructed via the following
private makeKey(Measure m)
Object&gt; map new HashMap&lt;&gt;()
return new CompositeKey&lt;&gt;(map)
getNumber() returns an int
When run findByKey, get the following crash:
Caused by: java.lang.Integer cannot be cast to int
Somewhere in there, there is problem with the un boxing of Java primitive types, it seems.</t>
  </si>
  <si>
    <t>2016-06-02</t>
  </si>
  <si>
    <t>davideas-FlexibleAdapter-95</t>
  </si>
  <si>
    <t>[5.0.0-b6] Duplicate SubItems when starting with expanded Headers</t>
  </si>
  <si>
    <t>ve encountered an interesting bug:
if Header is set to be Expanded in constructor or at any time before it passed to Adapter,
its SubItems are duplicated (and sometimes tripled) when displayed.
ve checked the list that pass to updateDataSet() it has no duplicates
If you collapse this header and expand it again, duplicates disappear.
But if it is the last header in the list, the app crashes when you try to collapse it
with following exception
FATAL EXCEPTION: main
And if you set the Header to be Collapsed in constructor or at any time before it passed to Adapter,
there are no duplicate SubItems and everything is OK.
(I wonder why example app doesn have this issue)</t>
  </si>
  <si>
    <t>popeen-Booksonic-App-42</t>
  </si>
  <si>
    <t>Android app crashes on connect to server</t>
  </si>
  <si>
    <t>The android app crashes on connect to the booksonic server:
**Booksonic Server (docker-version):**
Version 1.1.beta1 February 7, 2016
Server Apache Tomcat 8.5.0, java 1.8.0 72-internal, Linux (57.2 MB 196.0 MB)
The booksonic server itself and the web-interface work without issues (library, media-scanning, playback) and is accessible externally.
access the server externally through squid reverse proxy with ssl, but the app also crashes by accessing the server internally, bypassing the reverse proxy.
The docker-server publishes the web-interface on port 8080, so my URL would be
https: &lt;host&gt;:8080 booksonic
The app connects successfully on Test connection (external and internal), so general connectivity exists. But as soon as is try to browse the library with the app it crashes without any error-message.
testet this with:
Sony Xperia Z3 Tablet Compact, Android 6.0.1
also run similar setup (external access through reverse proxy) with my Subsonic server DSub App without any issues
also testet this with the **windows-version** of the booksonic server, which **works without crash**. Apparently the docker linux-version of the server causes the app to crash</t>
  </si>
  <si>
    <t>F1rst-Unicorn-stocks-9</t>
  </si>
  <si>
    <t>Fix crash on first database usage</t>
  </si>
  <si>
    <t>google-ExoPlayer-1567</t>
  </si>
  <si>
    <t>IllegalArgumentException in extractor.mp4.AtomParsers.parseStbl when playing a video</t>
  </si>
  <si>
    <t>Most of video source is played finely except http: 122.96.25.242:8088 trafficserver 386.mp4.
The detail crashed log can get from https: github.com google ExoPlayer issues</t>
  </si>
  <si>
    <t>commons-app-apps-android-commons-109</t>
  </si>
  <si>
    <t>NullPointerException in ShareActivity</t>
  </si>
  <si>
    <t>Reported by andrea as on 15 Apr
USER COMMENT null
ANDROID VERSION 6.0.1
APP VERSION NAME 1.6
PHONE MODEL Nexus
ll add null check to prevent this crash, but still unsure as to why the mediaUri is returning null.</t>
  </si>
  <si>
    <t>nbossard-packlist-34</t>
  </si>
  <si>
    <t>Crashes and toggling not working</t>
  </si>
  <si>
    <t>It crashing lot mainly while toggling an item Tick untick(toggling) doesn work if press back key after that(Tried it with different times between toggling and it just doesn work)</t>
  </si>
  <si>
    <t>EmergentOrganization-cell-rpg-101</t>
  </si>
  <si>
    <t>0.3.5 crash on start arcade mode</t>
  </si>
  <si>
    <t>Reported by japtar (https: www.reddit.com gamedev comments 4lzqy9 wip wednesday unlimited budgets d3tt7o5)
downloaded the jar file, and managed to run the menu, but the game crashed after clicking the Arcade mode. Am doing something wrong?
System info: Windows 10 with JRE 8.0.91</t>
  </si>
  <si>
    <t>2016-06-03</t>
  </si>
  <si>
    <t>Flaredown-FlaredownAndroid-41</t>
  </si>
  <si>
    <t>Realm migration not handled.</t>
  </si>
  <si>
    <t>If realm migration needs to take place currently the app will crash forcing the user to reinstall the application (with no message just Flaredown has stopped working).</t>
  </si>
  <si>
    <t>EmergentOrganization-cell-rpg-104</t>
  </si>
  <si>
    <t>Box2D Crash in Arcade mode</t>
  </si>
  <si>
    <t>When was wandering around the area in Arcade, few times have crashed to desktop with the following stack trace:
haven pinned down where it goes wrong, but it seems to occur when changing regions?</t>
  </si>
  <si>
    <t>2016-06-04</t>
  </si>
  <si>
    <t>Cloudkibo-Android-108</t>
  </si>
  <si>
    <t>kiboApp crashed after install</t>
  </si>
  <si>
    <t>kiboApp crashed on install on new iphone device.</t>
  </si>
  <si>
    <t>k9mail-k-9-1434</t>
  </si>
  <si>
    <t>crash when trying to create new mail (marshmallow)</t>
  </si>
  <si>
    <t>### Expected behaviour
would expect to see the new mail dialogue.
### Actual behaviour
The app crashes.
### Steps to reproduce
1. start k-9 mail
2. select new mail icon
K-9 Mail version: 5.109
Android version: Android 6.0 marshmallow, huawei style (EMUI)
Account type (IMAP, POP3, WebDAV Exchange): IMAP
### Thoughts on this:
Could this result from permission problem? K-9 requests access rights for contacts and storage which are granted. Four additional permissions show up in subfolder (read email attachments, read emails, delete emails, k-9 remote control). Everytime manually grant those, the slider is back to off when revisit this tab...
Does k-9 fail in requesting those rights at installation time?
### logcat: generated as described in HOWTO:
int logctl get(): open dev hwlog switch fail -1, 13. Permission denied
--------- beginning of main</t>
  </si>
  <si>
    <t>2016-06-05</t>
  </si>
  <si>
    <t>Crash-Test-Buddies-WiFi-Buddy-111</t>
  </si>
  <si>
    <t>App crashes if you discover, go back, discover, go back</t>
  </si>
  <si>
    <t>1. Launch app
2. Discover services
3. Go back
4. Discover services
5. Go back
6. App crashes
It adding deviceInfoFragment when it already added.</t>
  </si>
  <si>
    <t>Crash-Test-Buddies-WiFi-Buddy-110</t>
  </si>
  <si>
    <t>App crashes when paused with Wi-Fi off</t>
  </si>
  <si>
    <t>The app crashes if you pause it with Wi-Fi toggled off.
It calling cancelConnect on null object.</t>
  </si>
  <si>
    <t>dimagi-commcare-android-1303</t>
  </si>
  <si>
    <t>Synchronize Persisted's Field.setField calls</t>
  </si>
  <si>
    <t>Fixes serialization crashes of the following nature that seem to be caused by object serialization synchronization issues when multiple threads are involved. Specifically, since we cache class fields that we do reflection on, issues arise if one thread sets field to accessible, and before it can access the field another thread sets it to inaccessible.
... 11 more
... 19 more
Caused by: access to field not allowed
... 20 more
Since this is timing issue, it is hard to test. But before hotfixing we should verify that the following work fine:
Opening forms while old form purging is running in the background
Opening form while form submission is happening in the background
No noticeable slow-down loading hundred saved forms.</t>
  </si>
  <si>
    <t>2016-06-06</t>
  </si>
  <si>
    <t>qtmdev-AndroidInference-18</t>
  </si>
  <si>
    <t>Uninstall deadline notification back button</t>
  </si>
  <si>
    <t>On receiving the uninstall deadline notification, the back button takes the user to transparent activity screen, where it appears that the phone has crashed (this is not the case... it is just that interaction does nothing. The user must hit the back button one more time).
Override the back button to fix this.</t>
  </si>
  <si>
    <t>dimagi-commcare-android-1300</t>
  </si>
  <si>
    <t>Fixes serialization crashes of the following nature that seem to be caused by object serialization synchronization issues when multiple threads are involved. Specifically, since we cache class fields that we do reflection on, issues arise if one thread sets field to accessible, and before it can access the field another thread sets it to inaccessible.
... 11 more
... 19 more
Caused by: access to field not allowed
... 20 more
Since this is timing issue, it is hard to test. But before hotfixing we should verify that the following work fine:
Opening forms while old form purging is running in the background
Opening form while form submission is happening in the background</t>
  </si>
  <si>
    <t>square-okhttp-2606</t>
  </si>
  <si>
    <t>[Bug][WebSocket] Crash when use 'ws' for websocket</t>
  </si>
  <si>
    <t>use okhttp-ws:2.6 for websocket support. When use wss to create websocket, there nothing bad happend, but when change to use ws to create websocket, there are quite lot of crashes.
The stack info is below:
Fatal Exception: state:
cannot figure out why HttpConnection state change to STATE OPEN RESPONSE BODY(value 4) and how the crash is happened.
Here is the crash device infos:</t>
  </si>
  <si>
    <t>google-ExoPlayer-1573</t>
  </si>
  <si>
    <t>Yt-dash-mse-test sample media doesn't play in ExoPlayer</t>
  </si>
  <si>
    <t>need to test EXO player on platform which is still under develop but the network is not ready.
So just copy the MPD as well as the corresponding files from Google standard test URL
Also have added an instance in samples.jave to indicate the path of MPD.
The path file: storage sdcard0 links to USB device have checked the MPD parser indeed could find the MPD do parse well.
After then can see few seconds the movie is played well but it crashed suddenly.
am not sure if EXO player allows the media segments (files) to be played locates locally instead of on the network (so HTTP connection is in need).
Could use EXO player to play MPEG DASH as this case?
Why the crash happens (but still can playback about while)
Thanks in advance.</t>
  </si>
  <si>
    <t>davideas-FlexibleAdapter-103</t>
  </si>
  <si>
    <t>NPE crash when removing filter</t>
  </si>
  <si>
    <t>When using with not initialized sub item list, after setting empty filter and call we have got this crash.
had work around it setting empty list of subitems after creating expandable item.</t>
  </si>
  <si>
    <t>commons-app-apps-android-commons-117</t>
  </si>
  <si>
    <t>Uploading from SD card does not work with API 23+ permissions</t>
  </si>
  <si>
    <t>Can seem to replicate it on the emulator, only my actual phone.
App crashes if you try to upload file by selecting the gallery option and then choose an image that is saved on the SD card. don know why it doesn occur with emulator as have tested simulating SD card on it.
Also thinking about it this should also apply to ACCESS FINE LOCATION too
Need to implement this:
ANDROID VERSION 6.0.1
APP VERSION NAME 1.13
PHONE MODEL SM-G920F
... 10 more</t>
  </si>
  <si>
    <t>dimagi-commcare-android-1306</t>
  </si>
  <si>
    <t>Fix session unavailable crash after uninstall</t>
  </si>
  <si>
    <t>phillipm Embarrassed that it took me so long to figure this out, but here goes: the problem was that the getting registered by the app uninstall was getting wiped out by the call to System.exit() in restartCommCare played around bit and realized that it was fine to remove this in the case of uninstalling, as long as also made sure that the app that being uninstalled gets unseated first, if it is the currently seated app.</t>
  </si>
  <si>
    <t>2016-06-07</t>
  </si>
  <si>
    <t>AdguardTeam-ContentBlocker-19</t>
  </si>
  <si>
    <t>App crash on Android v4.4.2</t>
  </si>
  <si>
    <t>Flaredown-FlaredownAndroid-42</t>
  </si>
  <si>
    <t>App crashes if activity rotated during mid web request.</t>
  </si>
  <si>
    <t>Application crashes stating that volley has executed code after the onSaveInstanceState method has been called. Looking around about the issue this site describes the problem and how to resolve http: 2013 04</t>
  </si>
  <si>
    <t>wasdennnoch-AndroidN-ify-412</t>
  </si>
  <si>
    <t>QS not working</t>
  </si>
  <si>
    <t>Hi. have LG Flex2 H955 International version with Android 5.1.1, v15e software. don have QS in status bar, only EDIT button, but system UI crashes when click it. Here video when tried to extend QS and click EDIT button: https: youtu.be oeiHUdpGPiQ</t>
  </si>
  <si>
    <t>wasdennnoch-AndroidN-ify-411</t>
  </si>
  <si>
    <t>Edit button crash on Candy 3.0</t>
  </si>
  <si>
    <t>using the very lastest version of CandySiX and the lastest version of AndroidN-Ify.
As soon as press the back button to exit the EDIT mode in Notifications, the UI crashes..
Thank you :)</t>
  </si>
  <si>
    <t>translation-cards-translation-cards-216</t>
  </si>
  <si>
    <t>Export Bugs</t>
  </si>
  <si>
    <t>Alert Dialog crashes when an export exception write error occurs during deck export
write error occurs during deck export when exporting translations with no audio</t>
  </si>
  <si>
    <t>2016-06-08</t>
  </si>
  <si>
    <t>erickok-transdroid-315</t>
  </si>
  <si>
    <t>Crash when loading main page</t>
  </si>
  <si>
    <t>As soon as set up my Dediseedbox and return to the main page, it starts loading then crashes.
This isnt the full logcat, more of filtered version since Im not sure if there is any personal info in there.</t>
  </si>
  <si>
    <t>mvysny-aedict-686</t>
  </si>
  <si>
    <t>dirutils crashes</t>
  </si>
  <si>
    <t>Build fingerprint: samsung hero2qltetmo hero2qltetmo:6.0.1 MMB29M G935TUVS3APD8:user release-keys
signal 11 (SIGSEGV), code (SEGV MAPERR), fault addr 0xffffff8636f348
x0 ffffffff8636f348 x1 ffffffff8636f348 x2 0000000000000000 x3 0000000000000057
x4 0000000000000000 x5 0000000000000000 x6 0000007f827ba000 x7 0000007f827bc9a0
x8 0000000000000000 x9 0000007f826de000 x10 0000007f827bc9a0 x11 0000000000000001
x12 0000000000000000 x13 0000000000000000 x14 0000000000000036 x15 0000007f8286fbb0
x16 0000000000570000 x17 0000000000000000 x18 0000000000430000 x19 0000007f8286fa00
x20 0000007f8286fa00 x21 ffffffff8636f348 x22 0000007fdea9113c x23 0000007f827d8050
x24 0000007f826dd660 x25 0000007f826dd5a8 x26 0000007f826de9b0 x27 0000007f827ba000
x28 0000007fdea91140 x29 0000007fdea91080 x30 0000007f82519558
sp 0000007fdea91080 pc 0000007f82611ec8 pstate 0000000060000000</t>
  </si>
  <si>
    <t>bumptech-glide-1259</t>
  </si>
  <si>
    <t>App crash if loading image is gif</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</si>
  <si>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&lt;!-- What version of Glide you re running, for example: 3.7.1 3.8.0-SNAPSHOT 4.0.0-SNAPSHOT
It essentially the version number from your build.gradle: dependencies compile ...:x.y.z --&gt;
**Glide Version**: 3.7.0
&lt;!-- Do you use any integration library, like OkHttp3 or Volley? For example:
Fails to display with stock networking, but works with okhttp3-1.4.0 --&gt;
**Integration libraries**: no
&lt;!-- What devices you managed to get the issue to come up on? For example:
fails on Galaxy S4 GT-I9500 4.4.2, works fine on Nexus 6P 5.1 and Genymotion Nexus 5.0.1 --&gt;
**Device Android Version**: Xiaomi OPPO 4.4.4
&lt;!-- Share the details of your issue in prose, detailing actual and expected behavior. It also helps if you give some info **why** you are trying to do something as opposed to **what** is not working. --&gt;
**Issue details Repro steps Use case background**:
&lt;!-- How do you use Glide?
Make sure you include everything as is in your app code:
Changing single method parameter can yield totally different results.
Please clarify any magic variables that appear in the code, for example: this is Fragment
**Glide load line GlideModule (if any) list Adapter code (if any)**:</t>
  </si>
  <si>
    <t>dimagi-commcare-android-1311</t>
  </si>
  <si>
    <t>Fix saved form crash when app has sync-request</t>
  </si>
  <si>
    <t>If you install an app that has sync-request entry in the suite.xml file, CommCare crashes when you open the saved forms view.
Also update mockEasiestRoute with the same fix. mockEasiestRoute is only debug method used to load saved forms onto device manually</t>
  </si>
  <si>
    <t>2016-06-09</t>
  </si>
  <si>
    <t>OneBusAway-onebusaway-android-530</t>
  </si>
  <si>
    <t>NPE when getting Location in Send Feedback flow</t>
  </si>
  <si>
    <t>From Android Developer Console for staged rollout v2.0.12:
Upgrade is terrible. No improvements, more confusing, can turn off hints help, crashes. Appears there was no testing by actual users.
**Steps to reproduce:**
**Device and Android version:**
Galaxy S4 (jfltevzw)
Android version Android 4.2
RAM (MB) 2048
Screen size 1080 1920
Screen density (dpi) 480
OpenGL ES version 2.0
Native platform armeabi-v7a
CPU make Qualcomm
CPU model APQ8064
cagryInside Could you please take look? Thanks!</t>
  </si>
  <si>
    <t>OneBusAway-onebusaway-android-529</t>
  </si>
  <si>
    <t>From Android Developer Console for staged rollout v2.0.12:
There is also similar stacktrace from crash in April for the production v1.7.9 not sure if this is related to the same problem, but both stack traces including the flow for trip problem reporting:
**Steps to reproduce:**
**Device and Android version:**
For v2.0.12 crash:
Nexus 6P (angler)
Android version Android 6.0
RAM (MB) 3072
Screen size 1440 2560
Screen density (dpi) 560
OpenGL ES version 3.1
Native platform armeabi-v7a
CPU make Qualcomm
CPU model MSM8994
for v1.7.9 crash:
Galaxy S5 (k3g)
Android version Android 4.4
RAM (MB) 2048
Screen size 1080 1920
Screen density (dpi) 480</t>
  </si>
  <si>
    <t>k9mail-k-9-1452</t>
  </si>
  <si>
    <t>Crashes on startup and then corrupts/loses accounts and settings</t>
  </si>
  <si>
    <t>### Expected behaviour
get my inbox
### Actual behaviour
get crash, and on trying again to open K-9 e-mail get the welcome screen asking me whether want to import my settings from somewhere.
### Steps to reproduce
Sadly don know, but it happened to me twice now. First time don have backtrace of, but this time caught it in time. There is some similarity with #1272 but that one doesn happen at startup nor do see mention of settings getting lost.
This is the stacktrace, including the second attempt going straight to the welcome screen instead:
K-9 Mail version: Version from Play Store which is currently 5.010.
Android version: 6.0.1
Account type (IMAP, POP3, WebDAV Exchange): IMAP</t>
  </si>
  <si>
    <t>OneBusAway-onebusaway-android-538</t>
  </si>
  <si>
    <t>NPE - Invoke virtual method 'java.lang.String edu.usf.cutr.open311client.Open311.getJurisdiction()'</t>
  </si>
  <si>
    <t>happened to see this crash today on my device:
Caused by: Attempt to invoke virtual method java.lang.String on null object reference
**Steps to reproduce:**
think the steps were the following:
1. Tap Send Feedback
2. Tap on Stop Problem Report
3. Scroll map to PSTA stop and tap on stop
4. Switch to PSTA Arrival info schedule category
5. Put app in the background and browse other apps
6. Return to OBA
Crash with above stack trace.
**Device and Android version:**
Stock LG G4 Android 6.0
This is the last screen saw before putting app in the background hadn selected any category yet:</t>
  </si>
  <si>
    <t>2016-06-10</t>
  </si>
  <si>
    <t>mvysny-aedict-687</t>
  </si>
  <si>
    <t>Deleting an item from RecentlyViewed crashes Aedict</t>
  </si>
  <si>
    <t>zxing-zxing-607</t>
  </si>
  <si>
    <t>ArrayIndexOutOfBoundsException on files with only 1 pixel</t>
  </si>
  <si>
    <t>When running on file like https: wiki File:Pix.gif which has only pixel, zxing throws an error:
Exception in thread main
Obviously barcodes will never exist in files that have pixel, but zxing should not crash for it. (I running it on lot of files, and this happened to be one of them)
The issue is that localLuminance in (https: github.com zxing zxing blob core src main java com google zxing common directly accesses the 2nd element (which does not exist).</t>
  </si>
  <si>
    <t>andpor-react-native-sqlite-storage-58</t>
  </si>
  <si>
    <t>crash when reloading in simulator "pointerValue"</t>
  </si>
  <si>
    <t>With the latest commit, reloading the simulator with an already-loaded DB causes crash. The stack trace hints that the error is in dealloc (in SQLite.m) and has to do with pointerValue being unrecognized.
This seems to fix it:
NSArray *keys openDBs allKeys
close db the user forgot
for (i i&lt; keys count i++)
key keys objectAtIndex:i
dbInfo openDBs objectForKey:key
db ((NSValue *) dbInfo dbPointer pointerValue
sqlite3 close (db)
#if has feature(objc arc)</t>
  </si>
  <si>
    <t>AEFeinstein-mtg-familiar-129</t>
  </si>
  <si>
    <t>App Crash, resource leaks?</t>
  </si>
  <si>
    <t>Found on Android 6.0.1 with Hardware Version G900V.05 and MTG Familiar 3.3.1
found another crash when my phone screen keep rotate too many times while viewing the card image.
Another crash bug is if am continuously using the magnify glass search icon to search another specific card while being on the phone screen with card image, the app crashed after searched around 15-20 different cards.</t>
  </si>
  <si>
    <t>autyzm-pg-friendly-plans-26</t>
  </si>
  <si>
    <t>Return to previous plan activity in slide mode error</t>
  </si>
  <si>
    <t>### **Stan obecny:**
1. Wy wietlanie trybie slajd
2. Przechodzenie po aktywno ciach.
3. Powr do aktywno ci typu galeria aktywno ci poprzez wybranie strza ki powrotu powoduje aplikacji (crash)
### **Stan oczekiwany:**.
Powr do poprzedniej aktywno ci.</t>
  </si>
  <si>
    <t>2016-06-11</t>
  </si>
  <si>
    <t>zettaapi-zetta-sdk-android-12</t>
  </si>
  <si>
    <t>Crash when attempting to stream bangalore porch light</t>
  </si>
  <si>
    <t>get this crash on 5.0.0 device, register for stream updates to the bangalore porch light. (doesn happen for the thermometer, which the test is for)</t>
  </si>
  <si>
    <t>autyzm-pg-friendly-plans-22</t>
  </si>
  <si>
    <t>Some methods are not bound with a view</t>
  </si>
  <si>
    <t>### **Stan obecny:**
Podczas ywania aplikacji (g wnie Manager) wybranie niekt rych akcji (np. przyci ni ciu przycisku) powoduje crash wyj tek informuje braku odpowiedniej metody kodzie logiki widoku. Metoda znajduje si tej klasie, jednak posiada dn nazw (r ni si od tej wskazanej pliku widoku).
### **Stan oczekiwany:**
Wszystkie metody powi zane poprawnie widokiem ywanie aplikacji nie powoduje crashy.</t>
  </si>
  <si>
    <t>MythTV-Clients-MythtvPlayerForAndroid-184</t>
  </si>
  <si>
    <t>AndroidTV Search Crash</t>
  </si>
  <si>
    <t>Crash when rendering search result list on AndroidTV
--------- beginning of crash
reported by dekarl</t>
  </si>
  <si>
    <t>2016-06-12</t>
  </si>
  <si>
    <t>processing-processing-android-225</t>
  </si>
  <si>
    <t>Permissions are not working</t>
  </si>
  <si>
    <t>This sketch (https: github.com codeanticode blob master location permissions gps example gps example.pde) uses GPS location, but even after enabling both the ACCESS COARSE LOCATION and ACCESS FINE LOCATION permissions from the mode, it crashes with the following error:
VIBRATE permission also crashes watch face with the following error:
although it was set in the manifest file.</t>
  </si>
  <si>
    <t>autyzm-pg-friendly-plans-28</t>
  </si>
  <si>
    <t>Editing action in Manager causes crash</t>
  </si>
  <si>
    <t>### **Stan obecny:**
1. Aplikacja Manager
2. Tworzenie nowej aktywno ci lub edycja istniej cej
3. Zarz dzanie czynno ciami po dodaniu nowej czynno ci, nast pnie wej ciu edycj istniej cej aplikacja crashuje si
### **Stan oczekiwany:**.
Wy wietlenie okna edycji wybranej czynno ci</t>
  </si>
  <si>
    <t>wasdennnoch-AndroidN-ify-447</t>
  </si>
  <si>
    <t>Resurrection ROM issues</t>
  </si>
  <si>
    <t>Thanks for your exceptional work
have following issues on RR ROM 5.6.9 (10th June)
1. No QS animation. Tiles just run to left.
2. Doesn show all RR tiles most importantly Power Menu, Application picker tiles (would love to get all RR tiles if possible)
3. Tapping DONE crashes SystemUI
4. Tap to add tile was much more comfortable. Can drag lowest tile to top.
Xposed log is attached.
Thank you once again</t>
  </si>
  <si>
    <t>2016-06-13</t>
  </si>
  <si>
    <t>commons-app-apps-android-commons-124</t>
  </si>
  <si>
    <t>File extension not added to filename of audio files</t>
  </si>
  <si>
    <t>ve made couple of uploads of audio files (https: index.php?title incategory%3A +incategory%3A
When don add .ogg to de title of the file, the upload fails.
Since the end of May the app crashes after ve put in title and description. This wasn the case back in April, when was still able to add categories through the app.</t>
  </si>
  <si>
    <t>mauron85-cordova-plugin-background-geolocation-89</t>
  </si>
  <si>
    <t>Android crash on start</t>
  </si>
  <si>
    <t>am experiencing crash on app start issue on the following android version: 6.0.1, 4.3.2, 4.2.2. basically, it crash whenever app is open. tried both locationService ANDROID DISTANCE FILTER and ANDROID FUSED LOCATION. still crashes. Please advise. thanks
here the config of the bg location
interval: 60000, &lt;!-- poll for position every minute on ANDROID FUSED LOCATION only
fastestInterval: 120000, on ANDROID FUSED LOCATION only
stopTimeout: 5, Wait miutes to turn off location system after stop-detection</t>
  </si>
  <si>
    <t>google-ExoPlayer-1593</t>
  </si>
  <si>
    <t>SmoothStreaming Playready Live stream crashes if audio/video elements change order</t>
  </si>
  <si>
    <t>ve this blocking issue with isml Manifest for live content (SmoothStreaming with Playready License), these are the logs starting with the demo app. The device that use is with AndroidTV 5.1.1 platform.
int32 node 99
int32 event 2130706434
int32 data1 1920
int32 data2 1088
unhandled in root state.
int32 node 99
int32 event 2130706439
int32 data1 1920
unhandled in root state.
int32 node 99
int32 event 2130706438
int32 data1 1088
unhandled in root state.
Caused by: Top bit not zero: -1751225774
Caused by: Top bit not zero: -870374048
Caused by: Top bit not zero: -1982918044
Caused by: Top bit not zero: -920745276</t>
  </si>
  <si>
    <t>2016-06-14</t>
  </si>
  <si>
    <t>hesa-tranarappen-80</t>
  </si>
  <si>
    <t>flipping the screen when syncing crashes the app</t>
  </si>
  <si>
    <t>kontalk-androidclient-758</t>
  </si>
  <si>
    <t>Intent sent with no phone number available in Kontalk sync data</t>
  </si>
  <si>
    <t>Code executing query from contacts here:
May result in crash because mUserJID is never set. This is due to the given contact not having been synchronized yet. Despite the Intent should come directly from Kontalk contact type (from Android Contacts app), it may have been deleted in the meantime or it maybe just be an odd firmware. Take the information somewhere else.
Caused by key null</t>
  </si>
  <si>
    <t>bumptech-glide-1267</t>
  </si>
  <si>
    <t>Vector drawable can't be used as error drawable</t>
  </si>
  <si>
    <t>1. Create vector drawable in xml
2. Refer the drawable id in the error method
3. Run the app on Android 5.0
4. Make sure main image is not loaded and the error drawable is displayed
5. The app crashes with:
The problem is that GenericRequest gets resources from the application context, not the provided context. All the AppCompat classes (like AppCompatActivity can return the class, which supports vector drawable. Unfortunately, there no so the Application class always returns just plain Resources class which doesn support vector drawables before Android 5.0.
**Device Android Version**:
GT-P5210 Android 4.4.2</t>
  </si>
  <si>
    <t>Flaredown-FlaredownAndroid-44</t>
  </si>
  <si>
    <t>Check in Activity crashes if open and closed rapidly</t>
  </si>
  <si>
    <t>If the check in activity is closed before the popular tags has loaded the app crashes...</t>
  </si>
  <si>
    <t>2016-06-15</t>
  </si>
  <si>
    <t>OpenTreeMap-otm-android-266</t>
  </si>
  <si>
    <t>Setting species field during add tree process sometimes causes app to crash</t>
  </si>
  <si>
    <t>Appears to be related to UDF collections fields somehow.</t>
  </si>
  <si>
    <t>zom-Zom-Android-XMPP-108</t>
  </si>
  <si>
    <t>Zom Crashes when verifying contact</t>
  </si>
  <si>
    <t>In friend Me page, when clicked on Verify Contact from top right menu, Zom crashed.</t>
  </si>
  <si>
    <t>duniter-duniter-android-app-53</t>
  </si>
  <si>
    <t>App crash when adding a new wallet from another node</t>
  </si>
  <si>
    <t>have tried with
metab.ucoin.fr:9201 le mesage est pas coh rent si on sait que le noeud est pas joignable, il faudrait etre plus explicite.
Par exemple noeud non joignable.</t>
  </si>
  <si>
    <t>duniter-duniter-android-app-50</t>
  </si>
  <si>
    <t>Add a contact : hide "add" button when added</t>
  </si>
  <si>
    <t>When add user as contact, must not see the add button after added.
use the button again, the app crashes</t>
  </si>
  <si>
    <t>square-okhttp-2628</t>
  </si>
  <si>
    <t>Reading cache headers crashes when header contains utf-8 chars</t>
  </si>
  <si>
    <t>When Cache is set on okhttp3 instance and connection to server is created that uses utf-8 chars in its header response the library crashes with the following exception:
The problem can be experienced on 3.3.1 as well as an 3.4.0-SNAPSHOT
think an attempt to fix similar issues has been made in the pull request https: github.com square okhttp pull 2587 by swankjesse.</t>
  </si>
  <si>
    <t>balthazar-react-native-zeroconf-12</t>
  </si>
  <si>
    <t>crash when network status changes</t>
  </si>
  <si>
    <t>find that when toggle wifi on off while scanning, my app crash.
For some reason, this causes the service to become nil and crashes when it tries to set nil key in dictionary
screen shot 2016-06-15 at 12 45 38 (https: assets 1440796 16077115</t>
  </si>
  <si>
    <t>wasdennnoch-AndroidN-ify-469</t>
  </si>
  <si>
    <t>Tiles not working on my device</t>
  </si>
  <si>
    <t>In previous updates when press edit button in qs,system UI always crashes in latest build nothing is happen overall issue is edit tile doesn working</t>
  </si>
  <si>
    <t>jMonkeyEngine-sdk-78</t>
  </si>
  <si>
    <t>Changing loopMode in the scene explorer causes the scene to crash</t>
  </si>
  <si>
    <t>If you change the loop mode in the playback parameters to dontLoop then play the animation the scene will crash at the end of the animation.
error message exception in control scene content removed java stack overflow</t>
  </si>
  <si>
    <t>2016-06-17</t>
  </si>
  <si>
    <t>zom-Zom-Android-XMPP-110</t>
  </si>
  <si>
    <t>Zom Crashes when opening chat with contact with Username in Tibetan</t>
  </si>
  <si>
    <t>Where am now, invited someone using LG Pad 7.0 LTE OS 5.0.2 to Zom. He downloaded from Playstore and created user name in Tibetan.
In the contact, his initial appears as question mark.
Each time we (myself and another person who added him) clicked on the message he sent, Zom crashes.</t>
  </si>
  <si>
    <t>MythTV-Clients-MythtvPlayerForAndroid-186</t>
  </si>
  <si>
    <t>Amazon FireTV does not support Google Voice Search</t>
  </si>
  <si>
    <t>Reported by dekarl
tried with the APK from github releases with the following result
when trying to search in the recordings screen.
But even that app is not available in my country, yet.
Looks like the missing speech to text activity is not handled, yet?
action, so you should make sure to catch
hashcode for eventType crash.
art 746): PreZygoteFork called when we already have zygote space.</t>
  </si>
  <si>
    <t>yigit-android-priority-jobqueue-187</t>
  </si>
  <si>
    <t>JobQueue went crazy on some device.</t>
  </si>
  <si>
    <t>Thanks for the awesome library.
have one problem on the JobQueue on specific device.
JobQueue went crazy and resulting in the **phone** to crash and restart.
ve tested with phones, and the one that having this problem is OnePlus One on CM13.1s.
Attached trimmed log (https: github.com malvinstn test jobqueue blob master queue log.txt)
When count the log, there 3,000 lines printed in space of 1s.
ve created test repo here.
test repo (github.com malvinstn test jobqueue)</t>
  </si>
  <si>
    <t>square-okhttp-2634</t>
  </si>
  <si>
    <t>Handshake's localPrincipal causes NPE.</t>
  </si>
  <si>
    <t>Hello! got strange crash report from Crashlytics today.
Fatal Exception: Attempt to invoke interface method boolean on null object reference
OkHttp https: ***.com ***.apsx
wondering what causes this problem.
using Retrofit2(v2.0.2) with okhttp(v3.2.0) and the device is sm a700l and OS version is 5.0.2.</t>
  </si>
  <si>
    <t>ankidroid-Anki-Android-4330</t>
  </si>
  <si>
    <t>Android 2.3.x crash :: android.os.BadParcelableException: ClassNotFoundException when unmarshalling</t>
  </si>
  <si>
    <t>It appears to have been fixed with v24 of the support library (https: code.google.com android issues detail?id 196430) :-</t>
  </si>
  <si>
    <t>k9mail-k-9-1468</t>
  </si>
  <si>
    <t>K9 crash on delete when full message was not downloaded</t>
  </si>
  <si>
    <t>### Expected behavior
When press delete, even if the message was not full downloaded, the message get deleted and the program does not crash. Small messages got deleted without crash. Large messages (when there is the option to download it full) crashes k9.
### Actual behavior
The message get deleted on the server but K9 crashes.
### Steps to reproduce
1. open large email that is not full downloaded
2. press delete
4. k9 crashes
K-9 Mail version: 5.010
Android version: 6.0.1
Account type (IMAP, POP3, WebDAV Exchange): IMAP</t>
  </si>
  <si>
    <t>2016-06-20</t>
  </si>
  <si>
    <t>react-native-camera-react-native-camera-326</t>
  </si>
  <si>
    <t>App crashes on Code Reload when permission for Microphone is not set</t>
  </si>
  <si>
    <t>### Steps to reproduce
1. Edit permissions: Allow Camera but disallow Microphone usage
2. Run react-native app via Xcode on physical device (including node server)
3. Open Screen with camera embedded
4. Shuffle iOS device and Reload or if Live Reload is enabled, just save the code
5. App tries to reload JavaScript code
### Expected behaviour
Reload app and continue developing
### Actual behaviour
App crashes, needs to be stopped and rerun via Xcode.
If microphone permission is given, everything is fine. (BTW: is it possible to disable microphone usage completely?)
bildschirmfoto 2016-06-20 um 16 37 11 (https: assets 6025496 16199652
*** First throw call stack:
(0x184b80f5c 0x19945bf80 0x1830d15b8 0x1001d5154 0x10098dd70 0x10098dd30 0x10099a7f0 0x100991a20 0x10098dd30 0x10099cf38 0x10099c600 0x199e5d478 0x199e5d028)
**Node.js version**: v6.2.1
**React Native version**: 0.27.2
**React Native platform platform version**: iOS 9.0.2 on iPad Mini Retina</t>
  </si>
  <si>
    <t>jawg-osm-contributor-28</t>
  </si>
  <si>
    <t>Cancel deletion of POI doesn't work, application crash</t>
  </si>
  <si>
    <t>fossasia-open-event-droidgen-428</t>
  </si>
  <si>
    <t xml:space="preserve">App crashes when share tracks fab pressed </t>
  </si>
  <si>
    <t>This is the stacktrace. This happens when we open bookmarked tracked and then go back to the tracks list and share the tracks list.</t>
  </si>
  <si>
    <t>2016-06-21</t>
  </si>
  <si>
    <t>stephanenicolas-toothpick-94</t>
  </si>
  <si>
    <t>Discard @Singleton annotated methods</t>
  </si>
  <si>
    <t>TP crashes on Singleton annotated methods (when migrating from Dagger for instance).
The methods should not crash and the annotation processor should simply return an error.</t>
  </si>
  <si>
    <t>PhilJay-MPAndroidChart-1895</t>
  </si>
  <si>
    <t>Canvas.clipPath(...) crash when too many filled Entries</t>
  </si>
  <si>
    <t>In Line chart when increase first seekBar and when it reaches to approx value 350 app restarts it self.
have attached zip file containing video of problem.
tested this thing on Nexus 6. But not able to reproduc on nexus 4.
MPAndroidChart Problem.zip (https: github.com PhilJay MPAndroidChart files 324989</t>
  </si>
  <si>
    <t>mattstraehl-AmgiNori-1</t>
  </si>
  <si>
    <t>Crash loading apkg</t>
  </si>
  <si>
    <t>tried twice to load the apkg you linked on Reddit and the app crashed both times. Let me know if can provide more information</t>
  </si>
  <si>
    <t>duniter-duniter-android-app-62</t>
  </si>
  <si>
    <t>La dernière MAJ a rendu mon téléphone fou !</t>
  </si>
  <si>
    <t>Donc voici le sc nario.
1) Je fais la MAJ de DuniterApp, je viens de la version publi aux RML7
2) ouvre application, je vois les menus Inscription et Connexion Je cide de cliquer sur Connexion
3) application me demande un code PIN. Je rentre le me que la derni re fois, celui qui prot ge mon compte sur cette application
4) application me demande mes identifiants salt password. Je les rentre et je valide
5) application plante
6) Et part en freestyle
7) Android me dit que application plant et me propose envoyer un rapport erreur aux veloppeurs
8) Je dis non, je dis oui, est pareil sauf qu Android tente ouvrir une popup criture de mail avant de me forcer aller tape 9) si je dis oui
9) Android relance application
10) application recrash imm diatement de la me fa on sans que ai aucune action faire
11) Retour tape 7)
Donc boucle infinie entre tape 7) et 11). Certes Android fait clairement un traitement inappropri et devrait finitivement stopper DuniterApp vu qu elle crash au lancement, mais un autre DuniterApp crash au lancement et est un vrai probl me.
sole je ai aucun rapport erreur envoyer, du coup.</t>
  </si>
  <si>
    <t>2016-06-22</t>
  </si>
  <si>
    <t>Z3r0byte-Magis-4</t>
  </si>
  <si>
    <t>Bug on rotation while loading</t>
  </si>
  <si>
    <t>App crashes when user rotates the screen while the app is logging in loading appointments.</t>
  </si>
  <si>
    <t>duniter-duniter-android-app-61</t>
  </si>
  <si>
    <t>App crash when transfert without source wallet</t>
  </si>
  <si>
    <t>app plante si on tente de payer sans portefeuille source.
Il faudrait qu un portefeuille soit lectionn par faut.
est le cas pour les envoi de mail, par exemple.
Disons au moins si on configur qu un seul portefeuille.
Et si plus un portefeuille choisir le portefeuille par faut</t>
  </si>
  <si>
    <t>btkelly-gnag-93</t>
  </si>
  <si>
    <t>Exception while parsing Android lint output</t>
  </si>
  <si>
    <t>**Gnag version:** 1.1
repoName redacted redacted
**Stack trace** (recorded output when running gradlew clean gnagCheck ):
Error reading line number from Android Lint violations.
**Lint output** (check the errors of type InvalidPackage they are missing line column numbers):
&lt;?xml version 1.0 encoding UTF-8 ?&gt;
&lt;issues format by lint 25.1.7
summary Using inlined constants on older versions
explanation This check scans through all the Android API field references in the application and flags certain constants, such as static final integers and Strings, which were introduced in later versions. These will actually be copied into the class files rather than being referenced, which means that the value is available even when running on older devices. In some cases that&amp;apos fine, and in other cases it can result in runtime crash or incorrect behavior. It depends on the context, so consider the code carefully and device whether it&amp;apos safe and can be suppressed or whether the code needs tbe guarded.
If you really want to use this API and don&amp;apos need to support older devices just set the minSdkVersion in your build.gradle or AndroidManifest.xml files.
If your code is *deliberately* accessing newer APIs, and you have ensured (e.g. with conditional execution) that this code will only ever be called on supported platform, then you can annotate your class or method with the TargetApi annotation specifying the local minimum SDK to apply, such as TargetApi(11) such that this check considers 11 rather than your manifest file&amp;apos minimum SDK as the required API level.
file Users stkent dev detroit labs apps redacted app src main java com detroitlabs redacted BaseActivity.java
message Invalid package reference in library not included in Android: java.nio.file Referenced from okio.Okio
summary Package not included in Android
explanation This check scans through libraries looking for calls to APIs that are not included in Android.
When you create Android projects, the classpath is set up such that you can only access classes in the API packages that are included in Android. However, if you add other projects to your libs folder, there is no guarantee that those .jar files were built with an Android specific classpath, and in particular, they could be accessing unsupported APIs such as java.applet.
This check scans through library jars and looks for references to API packages that are not included in Android and flags these. This is only an error if your code calls one of the library classes which wind up referencing the unsupported package.
message Invalid package reference in library not included in Android: java.lang.invoke Referenced from
summary Package not included in Android
explanation This check scans through libraries looking for calls to APIs that are not included in Android.</t>
  </si>
  <si>
    <t>2016-06-23</t>
  </si>
  <si>
    <t>Devlight-NavigationTabStrip-9</t>
  </si>
  <si>
    <t>ClassNotFoundException on activity creation</t>
  </si>
  <si>
    <t>imported the library by using Gralde Maven Central. got no problem when sync the projet and when build the app but when run it on my second activity (where the NavigationTabStrip is used) it crashes.
Here is the stacktrace</t>
  </si>
  <si>
    <t>fossasia-open-event-droidgen-439</t>
  </si>
  <si>
    <t xml:space="preserve">App crashes when a bad API URL is entered </t>
  </si>
  <si>
    <t>2016-06-24</t>
  </si>
  <si>
    <t>ttocsneb-qubed-1</t>
  </si>
  <si>
    <t>re-open error</t>
  </si>
  <si>
    <t>after closing the app with the back button, then re-opening the app causes the game to crash.</t>
  </si>
  <si>
    <t>AnaelMobilia-NextINpact-Unofficial-202</t>
  </si>
  <si>
    <t>2.0.9 si new crash</t>
  </si>
  <si>
    <t>FATAL EXCEPTION: main
Caused by: Attempt to read from null array
... 10 more</t>
  </si>
  <si>
    <t>labexp-osmtracker-android-70</t>
  </si>
  <si>
    <t>Applocation crash when UI language is Hebrew</t>
  </si>
  <si>
    <t>If any translation is missing, be happy to provide it.</t>
  </si>
  <si>
    <t>2016-06-25</t>
  </si>
  <si>
    <t>AnaelMobilia-NextINpact-Unofficial-203</t>
  </si>
  <si>
    <t>crash 2.1.0 / Drawable null</t>
  </si>
  <si>
    <t>Crash de mani re al atoire dans tests google
FATAL EXCEPTION: main</t>
  </si>
  <si>
    <t>k9mail-k-9-1473</t>
  </si>
  <si>
    <t>[Bug: Regression] Upgrading from K-9 Mail 5.008 to 5.010 breaks its Share functionality under AlienDalvik (AOSP 4.1.2): K-9 always crashes</t>
  </si>
  <si>
    <t>Upgrading from K-9 Mail 5.008 to 5.010 breaks its Share functionality when attaching file to an email under AlienDalvik (based on AOSP 4.1.2) in Jolla SailfishOS 2.0.1.11
checked the following:
Using the Share functionality between other applications works: tested between Amaze, OpenKeychain, TurboEditor and few native SailfishOS applications.
Using the Share functionality in other Android applications in order to send file to K-9 Mail always crashes K-9 in exactly the same way (as described above), no matter if K-9 was running or not.
Sharing data (not file) does not crash K-9 Mail, but seems to exhibit another bug: handle (?) is inserted into the mail body, not the data sent, e.g. with data sent from BarcodeScanner:
Subject Barcode Scanner Plain text
will file separate bug report, when sufficiently tested to write up something more comprehensive.
It also makes no difference, which Android application is picked, when using the Share functionality from within K-9 Mail for attaching file to an email: K-9 always crashes. Tested with Amaze file manager and TurboEditor.
Only when pick SailfishOS native Gallery application (which is the third application offered besides Amaze and TurboEditor when attaching file in K-9 Mail on my Jolla Phone), K-9 does not crash and the file is indeed attached. But it is not Android internal Share mechanism being used here, instead the still somewhat fragile Share functionality between Android and SailfishOS applications provided by Jolla SailfishOS is utilised. In this specific case (attaching file to an email in K-9) it even works consistently stable, but unfortunately SailfishOS native Gallery app allows to select picture file formats (e.g. jpg, png), only.
After downgrading from K-9 Mail 5.010 to 5.008, the Share functionality works fine, again.
am sure willing to make further tests, checks and balances, when provided with instructions how to.
Please do try to fix that, as the inability to attach arbitrary files to emails in K-9 Mail renders the beautiful and feature laden K-9 useless as generic email client.
Cheers and Kudos for maintaining and enhancing the best mobile email client am aware of. And am really looking forward to the progress on PGP MIME.
Improved MIME type handling when other apps share files to K-9 Mail</t>
  </si>
  <si>
    <t>nextcloud-android-78</t>
  </si>
  <si>
    <t>App crashes regularly (connecting to ownCloud 9.0.2 )</t>
  </si>
  <si>
    <t>### Actual behaviour
App crashes regularly
### Expected behaviour
App doesn crash regularly
### Steps to reproduce
Unfortunately, haven found consistent pattern for reproducing the problem yet. The last time it happened was switching between detail to grid view.
### Environment data
Galaxy Grand Prime
Stock or customized system:
Nextcloud app version:
Nextcloud server version:
Actually it interfacing with ownCloud 9.0.2
*********** CAUSE OF ERROR ************
*********** DEVICE INFORMATION ***********
*********** FIRMWARE ************</t>
  </si>
  <si>
    <t>2016-06-26</t>
  </si>
  <si>
    <t>fossasia-open-event-droidgen-441</t>
  </si>
  <si>
    <t>Fixed crash on bookmark section</t>
  </si>
  <si>
    <t>mananwason Please review.</t>
  </si>
  <si>
    <t>IvoGoman-Diabetes-App-42</t>
  </si>
  <si>
    <t>Possibility to have an incomplete daily routine</t>
  </si>
  <si>
    <t>When there is no activity at the current time, the app will crash.
**Solution 1:** avoid the crash by catching null pointer
**Solution 2:** avoid having an incomplete daily routine
**Solution 3:** both</t>
  </si>
  <si>
    <t>2016-06-27</t>
  </si>
  <si>
    <t>IvoGoman-Diabetes-App-37</t>
  </si>
  <si>
    <t>App crashes when inputting blood sugar level in settings</t>
  </si>
  <si>
    <t>Scaronthesky-UK-Gebaerden_Muensterland-65</t>
  </si>
  <si>
    <t xml:space="preserve">Videos can't be played on Samsung Galaxy S3 mini I8190 with Android 4.1.2 </t>
  </si>
  <si>
    <t>Videos won play Video konnte nicht geladen werden.
No crash report.
Alpha version works, but not the beta!</t>
  </si>
  <si>
    <t>pulkit4tech-Udacity_P3_stockhawk-6</t>
  </si>
  <si>
    <t>corrected crashing while adding invalid stock</t>
  </si>
  <si>
    <t>ZieIony-Carbon-247</t>
  </si>
  <si>
    <t>Sample app crash when opening CheckBox sample</t>
  </si>
  <si>
    <t>Title says it. Android 6.0.1 (RR), latest sample app as of now.
Caused by: Attempt to invoke virtual method java.lang.Class on null object reference</t>
  </si>
  <si>
    <t>2016-06-28</t>
  </si>
  <si>
    <t>OneBusAway-onebusaway-android-563</t>
  </si>
  <si>
    <t>NPE when showing route search results on map</t>
  </si>
  <si>
    <t>was searching for route link in Puget Sound region), and when tapped on the search result and selected Show on map the app crashed and got this stack trace:
believe this is an unintended side effect of https: github.com OneBusAway onebusaway-android pull 543 files, which restores the zoom level and map location on orientation changes for route mode.
**Steps to reproduce:**
1. Search for route number
2. Tap on route search result
3. Select Show on map
Show the route on the map
**Device and Android version:**
LG G4 Android 6.0</t>
  </si>
  <si>
    <t>Dimezis-BlurView-15</t>
  </si>
  <si>
    <t>Drawing not stopped when used in RecyclerView</t>
  </si>
  <si>
    <t>adding multiple BlurViews in RecyclerView.
When scroll to the point that BlurView is outside the screen area and then scroll back to see that view, it crashes because the functions are called on null objects.
Maybe can manage this outside the library, from the RecyclerView but how could stop the draw calls on the BlurViews when they re not rendered and start them back when they are?
tried adding conditions checks in the library but it does not start blurring back when the views are displayed again.</t>
  </si>
  <si>
    <t>commons-app-apps-android-commons-146</t>
  </si>
  <si>
    <t>CursorIndexOutOfBoundsException: Index 0 requested, with a size of 0</t>
  </si>
  <si>
    <t>Crash report sent by Vera de Kok on 26 Jun:
USER COMMENT Batch upload fail to categorize
ANDROID VERSION 6.0.1
APP VERSION NAME 1.15
PHONE MODEL XT1572
USER COMMENT Okayed categories, then crash
ANDROID VERSION 6.0.1
APP VERSION NAME 1.15
PHONE MODEL XT1572</t>
  </si>
  <si>
    <t>nextcloud-android-81</t>
  </si>
  <si>
    <t>Grid view &gt; back while folder is loading crashes app</t>
  </si>
  <si>
    <t>### Actual behaviour
If Show grid view and then the back arrow in the top left corner are clicked, while folders contents are still loading, the nextcloud app crashes.
### Expected behaviour
The app should just go back to the previous folder without crashing.
### Steps to reproduce
1. Open folder with many files (I used my instant upload folder, and tested with others)
2. While it loading, click the three dot menu in the top right
3. Click Grid view (going the opposite direction and choosing List view won crash the app)
4. Click the left back arrow in the top, left corner of the app
Works every time.
### Environment data
Samsung galaxy prime
Stock or customized system:
Stock for Samsung
Nextcloud app version:
Nextcloud server version:</t>
  </si>
  <si>
    <t>gearvrf-GearVRf-Demos-219</t>
  </si>
  <si>
    <t>gvr-immersivepedia crash on pause</t>
  </si>
  <si>
    <t>2016-06-29</t>
  </si>
  <si>
    <t>square-okhttp-2679</t>
  </si>
  <si>
    <t>(ssl_parse_serverhello_tlsext+262) native crash on KitKat and lower</t>
  </si>
  <si>
    <t>using RxJava Retrofit 2.1.0 (i.e OkHttp 3.3.0) to interact with Google Places Service API.
Sometimes getting app crashes on SSL handshake layer on Android 4.4 and lower. Not able to reproduce on Android and higher. Issue is easier to reproduce on devices with smaller RAM 1GB.
The issue is mostly happening when doing lot of request at the same time and coming from one of threads used to communicate with places service.
checked all similar issues listed in okhttp repo, but most of them are very old and suggesting to update OkHttpClient version.
Android 4.4.2 Galaxy S4 mini:
Similar crash on Android 4.1.2 Galaxy S3:
using default Retrofit OkHTTPClient with no interceptors and also do not pass custom ssl context:
Retrofit retrofit new Retrofit.Builder()
Accessing the following https server: https: maps.googleapis.com maps api place</t>
  </si>
  <si>
    <t>syncthing-syncthing-android-690</t>
  </si>
  <si>
    <t>Nexus 6p: App crashes on adding new device</t>
  </si>
  <si>
    <t>Nexus 6P, stock image, up-to-date. On fresh install, hitting the sign in device tab causes it to crash every time. Does not happen on Nexus 10, stock, up to date. (Only two devices tried it on so far)</t>
  </si>
  <si>
    <t>2016-06-30</t>
  </si>
  <si>
    <t>wequick-Small-189</t>
  </si>
  <si>
    <t>crash with moto x 2014 when launch sample app.</t>
  </si>
  <si>
    <t>OpenGL ES Shader Compiler Version: E031.28.00.02
Build Date: 10 09 15 Fri
Local Branch: mybranch15039904
Remote Branch: quic LA.BF.1.1.3 rb1.2
Local Patches: NONE
Reconstruct Branch: NOTHING
my phone has installed xposed. android version 6.0.1</t>
  </si>
  <si>
    <t>2016-07-01</t>
  </si>
  <si>
    <t>bitstadium-HockeySDK-Android-165</t>
  </si>
  <si>
    <t>PaintActivity Crash</t>
  </si>
  <si>
    <t>have lots of crashes from an device which is called Full Android on Emulator with the PaintActivity. think this device is monkeyrunner from Google. The monkeyrunner starts all activities and the PaintActivity expects an extra which isn given.
**Here is crashlog:**
Version Code: 5284
Version Name: 5.284
Android Build: full-eng 4.1.1 JRO03R test-keys
... 11 more</t>
  </si>
  <si>
    <t>nextcloud-android-90</t>
  </si>
  <si>
    <t>Crash on deleting three local+remote files with latestF-Droid beta release(20160621)</t>
  </si>
  <si>
    <t>### Actual behaviour
-Crash on deleting three local+remote files
### Expected behaviour
-Remove files without crash rather than only two with crash
### Environment data
Android version: 6.0.1
Device model: 1+1
Stock or customized system: official cyanogen
Nextcloud app version: 20160621 (beta)
Nextcloud server version: unsure (owncloud external provider)
#### Web server error log
Insert your webserver log here
#### Nextcloud log (data nextcloud.log)
Lost it when toggling between Firefox and the app on mobile.
What about adding automatically the log to that shortcut?
could reproduce the crash, here is the log:
************ CAUSE OF ERROR ************
************ DEVICE INFORMATION ***********
************ FIRMWARE ************</t>
  </si>
  <si>
    <t>2016-07-02</t>
  </si>
  <si>
    <t>nextcloud-android-88</t>
  </si>
  <si>
    <t>Fix settings</t>
  </si>
  <si>
    <t>ManageSpaceActivty must be named explicitly, otherwise settings is crashing</t>
  </si>
  <si>
    <t>irccloud-android-137</t>
  </si>
  <si>
    <t>IRCCloud Enterprise won't connect after upgrade to 3.0 (crash)</t>
  </si>
  <si>
    <t>Now using 3.1, didn fix the problem.
get push notifications, but when try to connect to actually read reply, It says Connecting then Loading and after the bar gets all the way across, it goes to Reconnecting in 0:30 and starts counting down. It then loops like that forever.
Hooking up USB debugging, see the following stack trace get dumped in the log at the point it switches to Reconnecting</t>
  </si>
  <si>
    <t>jroal-a2dpvolume-216</t>
  </si>
  <si>
    <t>App crashes if permissions are not granted in Marshmallow</t>
  </si>
  <si>
    <t>2016-07-03</t>
  </si>
  <si>
    <t>haiwen-seadroid-550</t>
  </si>
  <si>
    <t>Sadroid crashes on file upload</t>
  </si>
  <si>
    <t>am using seadroid 2.1.1 on Android 6.0.1 (CM13) and upon trying to upload file via the android share dialogue to an encrypted library, seadroid crashes. This does not happen when do the same to an unencrypted library nor does it happen when try to upload file directly via the app to an encrypted library.
Also my flatmate has the same problem. (Android 6.0.1 stock)</t>
  </si>
  <si>
    <t>2016-07-04</t>
  </si>
  <si>
    <t>dimagi-commcare-android-1357</t>
  </si>
  <si>
    <t>Don't setup sandbox on app update</t>
  </si>
  <si>
    <t>Remove unnecessary sandbox setup in app update task code. Hoping to prevent the following crash:
Totally Unexpected Error during form</t>
  </si>
  <si>
    <t>Z3r0byte-Magis-18</t>
  </si>
  <si>
    <t>Unresponsive interface</t>
  </si>
  <si>
    <t>As of version 0.6.0 the app becomes completely unresponsive and ends up crashing the device.
It looks like severe memory leak
HTC One M8</t>
  </si>
  <si>
    <t>rapidpro-surveyor-9</t>
  </si>
  <si>
    <t>Incomplete submissions fail to submit</t>
  </si>
  <si>
    <t>When users fail to acquire location and cause crash the resulting incomplete submissions fail to post and hang around forever.</t>
  </si>
  <si>
    <t>2016-07-05</t>
  </si>
  <si>
    <t>rapidpro-surveyor-8</t>
  </si>
  <si>
    <t>Google API Client causes crash</t>
  </si>
  <si>
    <t>Failure to connection GoogleApiClient causes crash. This is for location fetching flows on only handful of devices accounts
GoogleApiClient is not connected yet.</t>
  </si>
  <si>
    <t>dimagi-commcare-android-1359</t>
  </si>
  <si>
    <t>XspeedPL-XSharedLibrary-1</t>
  </si>
  <si>
    <t>Improper reference to API 23 in a common method causes crash on API &lt; 23</t>
  </si>
  <si>
    <t>XSharedLibrary src xeed library view TextSeekBar.java has the following:
public final void int resId)
if (Build.VERSION.SDK INT 22)
This method is intended to provide backwards compatibility with API 23 (6.0 Marshmallow) but does it incorrectly. As written, for instance, when trying to edit an entry in Physical Button Music Control, there is an instant crash which begins with:
This happens because the API 23 new method, is called right there, and the class loader is trying to link to that when executes. This fails because older devices don have that method
The correct way to provide this compatibility is set of two methods, one for the basic functionality, and one as trampoline to the newer API method. To do this:
remove the TargetApi(23) from
create new, private method which calls and is set to TargetApi(23)
replace the call in the if -statement to call to this method.
This removes the link time dependency and allows the class to link properly on pre-6.0 devices. For example:
public final void int resId)
if (Build.VERSION.SDK INT 22)
private void int resId)</t>
  </si>
  <si>
    <t>dimagi-commcare-android-1358</t>
  </si>
  <si>
    <t>Test coverage for ManageKeyRecordTask</t>
  </si>
  <si>
    <t>Addresses the following crash that happens when user key record expires on HQ and HQ sends down new one.</t>
  </si>
  <si>
    <t>arimorty-floatingsearchview-87</t>
  </si>
  <si>
    <t>Edittext longClickable setSpan crash</t>
  </si>
  <si>
    <t>On Samsung devices when the edittext contains character with accents like ,etc) when the user performs longClick on it the app crashes with an setSpan () ends beyond length 0. http: crashes.to 84f0064bf89
ve just forked and added longClickable false to the floatingsearhview edittext and it doesn crash anymore.
Here is the PR https: github.com arimorty floatingsearchview pull 86</t>
  </si>
  <si>
    <t>moneymanagerex-android-money-manager-ex-856</t>
  </si>
  <si>
    <t>Unhandled Exception when no network present</t>
  </si>
  <si>
    <t>*********** FEEDBACK ************
Mmex beta crashes if network is not available.
*********** APP DETAILS ************
*********** FIRMWARE ************
*********** CAUSE OF ERROR ************
Caused by: Unable to resolve host No address associated with hostname</t>
  </si>
  <si>
    <t>2016-07-06</t>
  </si>
  <si>
    <t>delorenzo-HitTheGym-9</t>
  </si>
  <si>
    <t>crash on creating exercise with no name</t>
  </si>
  <si>
    <t>2016-07-07</t>
  </si>
  <si>
    <t>dimagi-commcare-android-1364</t>
  </si>
  <si>
    <t>Add migration stragety to InstanceProvider.insert</t>
  </si>
  <si>
    <t>2.28 version of https: github.com dimagi commcare-android pull 1358 with minimal changes and no tests (since they require more changes, even though all those changes are to test files...)
Should be viewed with ?w
Addresses the following crash that happens when user key record expires on HQ and HQ sends down new one.
The underlying issue was that while ago moved bunch of instance save logic into the InstanceProvider where it should be, but didn realize that instances were migrated in very specific way when key records expired. Hence, the instance migration code was handling all its form record upkeep, but the instance insert code was also trying to manage form records by linking it to the session form record (which in this case doesn exist).</t>
  </si>
  <si>
    <t>BrimeNotes-android-23</t>
  </si>
  <si>
    <t>App crash when onSignupSuccess is called</t>
  </si>
  <si>
    <t>Suraj, your onSignupSuccess function crashes the app, fix it.</t>
  </si>
  <si>
    <t>Beamanator-Ulti-Mate-16</t>
  </si>
  <si>
    <t>Fix Crash: App crash when clicking menu item "change field setup" on view / edit game display</t>
  </si>
  <si>
    <t>Most likely should get rid of Change Field Setup menu item when on</t>
  </si>
  <si>
    <t>leancloud-LeanCloudChatKit-Android-12</t>
  </si>
  <si>
    <t>LCChatProfileProvider 提供的 UserProfile 如果 avatar 为 空，会 crash</t>
  </si>
  <si>
    <t>k9mail-k-9-1494</t>
  </si>
  <si>
    <t>Crash when deleting all messages in threaded view</t>
  </si>
  <si>
    <t>### Expected behavior
K9-mail should not crash when deleting all messages in thread.
### Actual behavior
K9-mail crashes when deleting all messages in thread. If you delete all but one and then the last one then it goes fine.
### Steps to reproduce
1. Enable threaded view
2. Enter thread with bunch (10 or so) of messages
3. Select all messages and delete them
K-9 Mail version:5.010
Account type (IMAP, POP3, WebDAV Exchange):</t>
  </si>
  <si>
    <t>2016-07-08</t>
  </si>
  <si>
    <t>EyeSeeTea-malariapp-1112</t>
  </si>
  <si>
    <t>the progressactivity still listening SyncProgressStatus after pull</t>
  </si>
  <si>
    <t>the first pull is not closing the progressactivity propertly(or something similar). And the first push crashes.
The progressactivity still listening next step in Subscribe onProgressChange method, and it shouldn t.
introduce temporal fix in #1110</t>
  </si>
  <si>
    <t>openbmap-radiocells-nlp-android-25</t>
  </si>
  <si>
    <t>openbmap is very crashy</t>
  </si>
  <si>
    <t>Every time my phone starts, get dialogue telling me it has crashed. Also again at other points when am using the phone.
used alogcat to check logs and get errors about no database.
So, go to settings to download nz database. The icon for downloading files appears in the top-left corner, but nothing happens. can download the file from my web browser OK, but not from within openbmap settings. have tried killing and restarting the download, but the same thing happens, no progress.
The download folder exists on my phone and there is enough space to store it.
This is on Replicant 4.2, downloaded via f-droid.</t>
  </si>
  <si>
    <t>Devlight-NavigationTabBar-37</t>
  </si>
  <si>
    <t>random crash</t>
  </si>
  <si>
    <t>do not understand why the random error could happen when use the Fragment on ViewPager. and use Bitmap that have downloaded the library ImageRequest of Volley then converted to Drawable, sometimes can sometimes error as above, even when replace the existing image on fixed Drawable error sometimes occurs and sometimes succeed</t>
  </si>
  <si>
    <t>2016-07-09</t>
  </si>
  <si>
    <t>nextcloud-android-117</t>
  </si>
  <si>
    <t>Crash when last account is deleted</t>
  </si>
  <si>
    <t>### Actual behaviour
App crashes when last account is removed
### Expected behaviour
Account setup dialog should appear
### Steps to reproduce
1. Setup only account
2. Delete account
3. Press back
### Environment data
Stock or customized system:
Nextcloud app version:
Nextcloud server version:
#### Web server error log
Insert your webserver log here
#### Nextcloud log (data nextcloud.log)
Insert your Nextcloud log here</t>
  </si>
  <si>
    <t>2016-07-10</t>
  </si>
  <si>
    <t>BrimeNotes-android-34</t>
  </si>
  <si>
    <t>App Crashes on clicking Signout from menu</t>
  </si>
  <si>
    <t>Though signout function works and it erase user session but it crashes and after that open SigninActivity</t>
  </si>
  <si>
    <t>Beamanator-Ulti-Mate-32</t>
  </si>
  <si>
    <t>App Crash: Saving template right after opening template crashes app.</t>
  </si>
  <si>
    <t>Crashes no matter if teams are populated or not</t>
  </si>
  <si>
    <t>2016-07-11</t>
  </si>
  <si>
    <t>gearvrf-GearVRf-Demos-233</t>
  </si>
  <si>
    <t>gvr-pckandmove demo crashes</t>
  </si>
  <si>
    <t>2016-07-12</t>
  </si>
  <si>
    <t>ccm-innovation-react-native-twilio-ip-messaging-15</t>
  </si>
  <si>
    <t>App crashes on client.initialize when constructed with the optional synchronizationStrategy and initialCount options</t>
  </si>
  <si>
    <t>cohenadair-anglers-log-79</t>
  </si>
  <si>
    <t>Instabug crash</t>
  </si>
  <si>
    <t>From cohenadair on May 16, 2016 0:36
Need to update Instabug API
Copied from original issue: cohenadair AnglersLog-iOS#22</t>
  </si>
  <si>
    <t>cohenadair-anglers-log-73</t>
  </si>
  <si>
    <t>UIImagePickerContoller force (3D) touch crash</t>
  </si>
  <si>
    <t>From cohenadair on March 6, 2016 17:56
This is an Apple bug that am unable to reproduce without an iPhone 6s. The force touch is not supported in the iOS Simulator.
Actual crash report can be viewed here (https: app.crittercism.com developers crash-details
Copied from original issue: cohenadair AnglersLog-iOS#17</t>
  </si>
  <si>
    <t>mpcjanssen-simpletask-android-476</t>
  </si>
  <si>
    <t>Crash on widget/filter creation (ClassNotFoundException: FilterScriptFragment).</t>
  </si>
  <si>
    <t>Upon attempting to create widget on the home screen, the application crashes. The following stack trace is printed to the log:
My hardware is an LG Nexus 5X running the updated Developer Preview (build NPD56N). Please let me know if you need more information or have experiments you like me to try.</t>
  </si>
  <si>
    <t>ZorgeR-datFM-1</t>
  </si>
  <si>
    <t>Can't open /data on Android 2.3</t>
  </si>
  <si>
    <t>If open data on my XT862 (GB) with enabled ROOT then datFM crashes.
sent you bugreport from my device (July, 9th).</t>
  </si>
  <si>
    <t>BrimeNotes-android-51</t>
  </si>
  <si>
    <t xml:space="preserve">App crashes : if the user had signed in and he restarts the app without internet </t>
  </si>
  <si>
    <t>this may have something to do with the relogin feature</t>
  </si>
  <si>
    <t>cohenadair-anglers-log-13</t>
  </si>
  <si>
    <t>Crash selecting items MainActivity.onMyListItemSelected</t>
  </si>
  <si>
    <t>From cohenadair on May 16, 2016 0:12
This is rare crash and am unable to reproduce it. It has something to do with restoring the Activity from the background. Requires investigation.
Copied from original issue: cohenadair</t>
  </si>
  <si>
    <t>cohenadair-anglers-log-11</t>
  </si>
  <si>
    <t>Crash while selecting photos to attach</t>
  </si>
  <si>
    <t>From cohenadair on May 16, 2016 0:8
Not sure how to reproduce need to investigate, but there have been crash reports when attaching single photo and multiple photos.
Related Instabug issue (https: instabug.com applications anglers-log-android live issues 37)
Copied from original issue: cohenadair</t>
  </si>
  <si>
    <t>cohenadair-anglers-log-9</t>
  </si>
  <si>
    <t>Crash accepting "Storage &amp; File" permissions</t>
  </si>
  <si>
    <t>From cohenadair on May 16, 2016 0:6
The crash occurs when accepting permissions for the first time.
Uninstall Anglers Log from device
Install Anglers Log
Attempt to take photo for Bait and or Catch
Copied from original issue: cohenadair</t>
  </si>
  <si>
    <t>cohenadair-anglers-log-3</t>
  </si>
  <si>
    <t>Issue creating fishing spots</t>
  </si>
  <si>
    <t>From cohenadair on May 5, 2016 15:57
App is crashing when trying to add fishing spots.
Instabug issue #29 here (https: instabug.com applications anglers-log-android live issues 29) has useful stacktrace.
Copied from original issue: cohenadair</t>
  </si>
  <si>
    <t>dbaldwin-DronePan-Android-2</t>
  </si>
  <si>
    <t>Landscape mode crashes in emulator and device</t>
  </si>
  <si>
    <t>When running DronePan in landscape mode the app will crash with the following error:
Attached is screen of the emulator crash. The same thing happens on my Nexus tablet.
&lt;img width 1272 alt screenshot 2016-07-11 20 20 29 src https: assets 38339 16752243
Everything runs just fine in portrait mode, but majority of users will be running landscape.</t>
  </si>
  <si>
    <t>OneBusAway-onebusaway-android-594</t>
  </si>
  <si>
    <t>SecurityException when trying to access location when user has denied permission</t>
  </si>
  <si>
    <t>On newer versions of Android, users can choose to disable certain permissions via the system settings. Because we re still using install-time permissions, this results in crash, like:
The permanent fix is to move to the Android 6.0 runtime permissions, which is ticketed in https: github.com OneBusAway onebusaway-android issues 330.
In the mean time, though, we can try to just catch and ignore these security exception.
**Steps to reproduce:**
Install the app, and then revoke the location permissions via system settings.
**Device and Android version:**
Any Android device 6.0 and higher</t>
  </si>
  <si>
    <t>2016-07-13</t>
  </si>
  <si>
    <t>IvoGoman-Diabetes-App-59</t>
  </si>
  <si>
    <t>[Measurment Input] Avoid same time/Override last measurment input</t>
  </si>
  <si>
    <t>The timestamp has to be unique. So if you input the bloodsugar twice at the same time the app will crash.
avoid when inputting by the user
override old measurement when user inputs the value at the same time
make the timestamp not unique</t>
  </si>
  <si>
    <t>Intelehealth-Android-Mobile-Client-116</t>
  </si>
  <si>
    <t>[Physical Exam Activity] Back button crashes application</t>
  </si>
  <si>
    <t>2016-07-14</t>
  </si>
  <si>
    <t>gearvrf-GearVRf-Demos-248</t>
  </si>
  <si>
    <t>GVR-Opacityanigallery App crash</t>
  </si>
  <si>
    <t>gearvrf-GearVRf-Demos-247</t>
  </si>
  <si>
    <t>GVR-Nonglthreadupdate App crash</t>
  </si>
  <si>
    <t>gearvrf-GearVRf-Demos-246</t>
  </si>
  <si>
    <t>GVR-Collision App crash</t>
  </si>
  <si>
    <t>gearvrf-GearVRf-Demos-245</t>
  </si>
  <si>
    <t>GVR-Accessibility App crash</t>
  </si>
  <si>
    <t>Here is the log</t>
  </si>
  <si>
    <t>commons-app-apps-android-commons-187</t>
  </si>
  <si>
    <t>Gallery crashes when selected after manually revoking storage permission</t>
  </si>
  <si>
    <t>The counterpart to the camera permission issue selecting image from gallery to upload also causes crash if user has manually revoked storage perm (API 23). Will implement check for permissions if user taps upload from gallery button.</t>
  </si>
  <si>
    <t>couchbaselabs-couchbase-lite-java-forestdb-72</t>
  </si>
  <si>
    <t>ForestDB crash in fdb_log() method (32-bit only)</t>
  </si>
  <si>
    <t>gearvrf-GearVRf-Demos-254</t>
  </si>
  <si>
    <t>gvr-pick and move app crash</t>
  </si>
  <si>
    <t>2016-07-15</t>
  </si>
  <si>
    <t>eclipse-californium-73</t>
  </si>
  <si>
    <t>Small possibility of Exchange leak when receiving non-piggybacked responses</t>
  </si>
  <si>
    <t>1) Client sends CON request
2) Server calls but then never sends response, either due to bug, or because server crashed.
3) The exchange on the client side never times out.
This has two undersired effects:
If client used CoapClient.(put get delete post) variant with CoapHandler, then neither onLoad() nor onError() methods are ever called. Furthermore, the offending exchange is never removed from Matcher tracking maps.
Potential solution: have one of CoapStack layers add task that will fire after EXCHANGE LIFETIME and call Exchange.timeout() if Exchange is still incomplete.</t>
  </si>
  <si>
    <t>2016-07-17</t>
  </si>
  <si>
    <t>translation-cards-translation-cards-247</t>
  </si>
  <si>
    <t>On upgrade attempt to open an old deck results in app crash</t>
  </si>
  <si>
    <t>1. create deck in the old version of the app
2. upgrade the app to the latest version 1.1.0
3. Try to open the deck that was created with the old version
4. App crashes because the old version saves the dictionary name with space in front</t>
  </si>
  <si>
    <t>2016-07-18</t>
  </si>
  <si>
    <t>Devsoc-BPGC-DoJMA-19</t>
  </si>
  <si>
    <t>ANR on scroll when search results are null</t>
  </si>
  <si>
    <t>If search query in Herald is such that there are no results, then if material scroll bar is used then app will crash every single time and can only be used again if it is reset</t>
  </si>
  <si>
    <t>eclipse-paho.mqtt.android-101</t>
  </si>
  <si>
    <t>NPE on CONNECTIVITY_CHANGE event</t>
  </si>
  <si>
    <t>Please fill out the form below before submitting, thank you!
Bug exists Release Version 1.1.0 (Java Repository Master Branch)
Bug exists in Snapshot Version 1.1.1-SNAPSHOT (Android Service Repository Master Branch)
Bug is just in the Sample Application.
**Android API Version Bug Seen on:**
**Android Version Bug Seen on:**
Android 4, 5,
## Description of Bug:
## Console Log output (if available):
This is crashes reported on Fabric: http: crashes.to 4b5e49649ff</t>
  </si>
  <si>
    <t>gearvrf-GearVRf-Demos-256</t>
  </si>
  <si>
    <t>gvr-events app crash</t>
  </si>
  <si>
    <t>After update my repositories with new GVRf, gvr-events app crashed.</t>
  </si>
  <si>
    <t>nextcloud-android-138</t>
  </si>
  <si>
    <t>Fix crash when adding a saml account</t>
  </si>
  <si>
    <t>merge from oC, fix for 1719 which crashes when adding SAML login based account
please review and merge nextcloud android</t>
  </si>
  <si>
    <t>2016-07-19</t>
  </si>
  <si>
    <t>Gericop-Android-Support-Preference-V7-Fix-29</t>
  </si>
  <si>
    <t>Crash on 24.1.0.0</t>
  </si>
  <si>
    <t>seeing crash on user. It Note with Android 4.4.2. It seems it because of the reflection not finding the fields? can reproduce this on my Nexus 5.
Here the stacktrace:</t>
  </si>
  <si>
    <t>2016-07-20</t>
  </si>
  <si>
    <t>h6ah4i-android-tablayouthelper-8</t>
  </si>
  <si>
    <t>Attempt to invoke virtual method 'void android.view.View.setSelected(boolean)' on a null object reference</t>
  </si>
  <si>
    <t>Hi, updated sdk version to 24, and appcompat to v7:24:0:0 and design:24:0:0 and launched app, and app crashed:
100. TabLayoutHelper mTabLayoutHelper new
If change sdk version to 23 and AppCompat to v7:23:7:0: and design to 23:7:0 all works</t>
  </si>
  <si>
    <t>omkarmoghe-Pokemap-7</t>
  </si>
  <si>
    <t>Permission request code can only use lower 8 bits (MapWrapperFragment)</t>
  </si>
  <si>
    <t>The error is on
The int should be from to 255, otherwise it will crash with</t>
  </si>
  <si>
    <t>omkarmoghe-Pokemap-1</t>
  </si>
  <si>
    <t>App is crashing, getting null response from server</t>
  </si>
  <si>
    <t>Application is crashing, response object is null. Check at line 150 in MainActivity.java.</t>
  </si>
  <si>
    <t>commons-app-apps-android-commons-197</t>
  </si>
  <si>
    <t>Failure delivering result ResultInfo{who=null, request=65538, result=0, data=null} to activity {fr.free.nrw.commons/fr.free.nrw.commons.contributions.ContributionsActivity}: java.lang.NullPointerException</t>
  </si>
  <si>
    <t>By on 20th July:
USER COMMENT pressed photo icon at top right, then back button and app crashed
ANDROID VERSION 4.2.2
APP VERSION NAME 1.19
PHONE MODEL Lenovo A859
... 11 more
By Don Hamza on 20th July:
ANDROID VERSION 4.4.2
APP VERSION NAME 1.19
PHONE MODEL Lenovo A319
... 11 more</t>
  </si>
  <si>
    <t>Devsoc-BPGC-DoJMA-22</t>
  </si>
  <si>
    <t xml:space="preserve">Google now on tab doesn't works on chrome custom tab </t>
  </si>
  <si>
    <t>If you use Google now on tap (on marshmallow devices only) chrome custom tab will crash</t>
  </si>
  <si>
    <t>samarthd-FutureMessengerApp-20</t>
  </si>
  <si>
    <t>Crash: If MainActivity is open when text message is sent, view is still there. Attempt to edit the deleted view will crash the app.</t>
  </si>
  <si>
    <t>2016-07-21</t>
  </si>
  <si>
    <t>nbossard-packlist-42</t>
  </si>
  <si>
    <t>crash at start on fresh install of v0.10 (empty trip name)</t>
  </si>
  <si>
    <t>Reported by Olalla, on brand new install
STACK TRACE Attempt to invoke virtual method java.lang.String int) on null object reference
This is because the trip name is empty, don know it is possible.</t>
  </si>
  <si>
    <t>2016-07-22</t>
  </si>
  <si>
    <t>ac-pm-Inspeckage-35</t>
  </si>
  <si>
    <t>Application crashes on start when targeted by Inspeckage on LG G4 MM</t>
  </si>
  <si>
    <t>When target an application (eg. Firefox, FM radio, any app) with Inspeckage and try to launch it (through Inspeckage or directly from native android launcher) the application immediately crashes with system error message The application has stop working
Mobile: LG G4 (H815)
Android version: 6.0
Kernel version: 3.10.84
Software version: V20e-208-01
Xposed framework installed in version 86 for arm64
Inspeckage version: 1.4.1
Here are logcat with crash of Firefox</t>
  </si>
  <si>
    <t>commons-app-apps-android-commons-204</t>
  </si>
  <si>
    <t>Send crash reports to a developers-only mailing list (until an open anonymized solution is found)</t>
  </si>
  <si>
    <t>Crash reports contain people email addresses.
They should be sent to separated Google Group to which only developers have access (for instance, people who have committed at least once).
(until we get an ACRA server #203)</t>
  </si>
  <si>
    <t>3meters-patchr-android-242</t>
  </si>
  <si>
    <t>Crash after Android tries to restore crashed activity</t>
  </si>
  <si>
    <t>Android tries to restart crashed activities and restore the back stack. We don like that because our state is usually inconsistent. When image editor crashes, the restart escapes our guards and we get another crash:</t>
  </si>
  <si>
    <t>2016-07-24</t>
  </si>
  <si>
    <t>omkarmoghe-Pokemap-100</t>
  </si>
  <si>
    <t>App crashes after attempt to sign in</t>
  </si>
  <si>
    <t>The app stops running after try and log in. have tried multiple versions and many re-installs and nothing seems to be working.</t>
  </si>
  <si>
    <t>requery-requery-232</t>
  </si>
  <si>
    <t>Repeated @Embedded fields conflict</t>
  </si>
  <si>
    <t>When specifying two fields in the same class with the same Embeddable reference, the generated embedded fields conflict (and the code generator errors).
public abstract class Bike
public static abstract class Builder
public abstract Builder setSeat(Seat seat)
public abstract Builder setSecondSeat(Seat secondSeat)
public abstract Bike build()
public static Builder builder()
return new AutoValue Bike.Builder()
public abstract Seat getSeat()
public abstract Seat getSecondSeat()
public abstract class Seat
public static abstract class Builder
public abstract Builder setMake(String name)
public abstract Builder setYear(int year)
public abstract Seat build()
public static Builder builder()
return new AutoValue Seat.Builder()
public abstract String getMake()
public abstract int getYear()
When attempting to build this, it attempts to recreate the BikeType SeatType generated class (crashes). Further, the fields make and year are not namespaced, leading to conflict.</t>
  </si>
  <si>
    <t>2016-07-25</t>
  </si>
  <si>
    <t>square-okhttp-2749</t>
  </si>
  <si>
    <t>okhttp 3.4.1, Android 4.2.2 HttpUrl.java canonicalize crash</t>
  </si>
  <si>
    <t>On Android 4.2 okhttp 3.4.1, as soon as hit button to start with the post request to the server, get this error:
and it leads to this line:
The logcat shows the following dump:
The strange thing is it works perfectly with Android 4.4+ but fails on Android 4.2.
am using the example from the website itself. Nothing fancy.</t>
  </si>
  <si>
    <t>omkarmoghe-Pokemap-131</t>
  </si>
  <si>
    <t>FATAL EXCEPTION: Niantic Manager Thread</t>
  </si>
  <si>
    <t>Run the app
Long click on the map
suggestion change Thread to RxJava observable with backgroundThread to avoid crashes
FATAL EXCEPTION: Niantic Manager Thread
Caused by: getId</t>
  </si>
  <si>
    <t>barteksc-AndroidPdfViewer-43</t>
  </si>
  <si>
    <t>sometimes crash with:An error occured while executing doInBackground</t>
  </si>
  <si>
    <t>FATAL EXCEPTION: AsyncTask #7</t>
  </si>
  <si>
    <t>Freeyourgadget-Gadgetbridge-364</t>
  </si>
  <si>
    <t>Mi Band 1A recognized as 1S during firmware update</t>
  </si>
  <si>
    <t>recently bought Mi Band 1A and it came with firmware version 5.15.11.19 installed according to Gadgetbridge 0.11.2. Wiki recommends firmware version 5.15.7.14 so tried installing the matching Mili 1a.fw and it crashes Gadgetbridge every time try it. looked around the issues and the wiki but couldn find solution.
Checking the logs it seems to me like my 1A was detected as 1S:
think it might be caused by wrong detection of heart rate support:</t>
  </si>
  <si>
    <t>2016-07-26</t>
  </si>
  <si>
    <t>marverenic-Jockey-102</t>
  </si>
  <si>
    <t>android kitkat</t>
  </si>
  <si>
    <t>Not working on kitkat it keeps crashing on the splash screen</t>
  </si>
  <si>
    <t>ludomuse-Ludomuse-19</t>
  </si>
  <si>
    <t>Crash lors de passages trop rapides sur les jeux</t>
  </si>
  <si>
    <t>Si on passe trop rapidement la sc ne suivante sur un jeu avec des fade in out (avant la fin des animations) le jeu crash</t>
  </si>
  <si>
    <t>commons-app-apps-android-commons-211</t>
  </si>
  <si>
    <t>NullPointerException: Attempt to invoke virtual method 'java.lang.String java.lang.String.replaceFirst(java.lang.String, java.lang.String)' on a null object reference</t>
  </si>
  <si>
    <t>Reported by me on 27 Jul (I was doing random stuff to test the crash report being sent to the right mailing list, but this crash is unrelated to the crash report change):
USER COMMENT testing crash report
ANDROID VERSION 5.0.1
APP VERSION NAME 1.22
PHONE MODEL GT-I9505</t>
  </si>
  <si>
    <t>2016-07-27</t>
  </si>
  <si>
    <t>aws-amplify-aws-sdk-android-182</t>
  </si>
  <si>
    <t>Infinite Loop in AbstractKinesisRecorder.nextBatch(..)</t>
  </si>
  <si>
    <t>found this loop after my Kinesis cache file was corrupted after my application stopped unexpectedly (crash or shut down). The next time called it get stuck in this infinite loop where it calls iterator.peek(), tries to parse the data, catches an exception, calls continue, calls iterator.peek(), etc.
while (iterator.hasNext() &amp;&amp; count maxCount &amp;&amp; size maxSize)
String line iterator.peek()
if (line null line.isEmpty())
parse line. Skip in case of corrupted data
catch (Exception e)
Log.w(TAG, Failed to read line. Skip. e)</t>
  </si>
  <si>
    <t>2016-07-28</t>
  </si>
  <si>
    <t>omkarmoghe-Pokemap-300</t>
  </si>
  <si>
    <t>App crashes on launch</t>
  </si>
  <si>
    <t>Have just pulled latest changes and app crashes on launch.
Caused by: Attempt to invoke virtual method boolean on null object reference</t>
  </si>
  <si>
    <t>QuantumBadger-RedReader-360</t>
  </si>
  <si>
    <t>Crashes when phone language is set to Arabic</t>
  </si>
  <si>
    <t>always used my phone with English language, for some reason needed to change my language to Arabic to test something on another app, then launched Redreader and had problem. Whenever click subreddit it crashes (I tried to choose from pinned subreddits, think it the same if search or choose from subscribed subreddits but not sure). Now using English again but thought would share so you check out and other people who are using their phones in Arabic (and probably other -RTL- languages) won miss this awesome app :-)
And sure, the specs: Android 6.0, phone: LG G4 not rooted.</t>
  </si>
  <si>
    <t>2016-08-01</t>
  </si>
  <si>
    <t>kartaview-android-10</t>
  </si>
  <si>
    <t>Can't upload an interrupted sequence</t>
  </si>
  <si>
    <t>have sequence that can upload. When open the sequence there are no photos and if try to upload the aplication crashes.
How can attach more information to help the debug? There is any log?</t>
  </si>
  <si>
    <t>yigit-android-priority-jobqueue-220</t>
  </si>
  <si>
    <t>Crash related to DB version</t>
  </si>
  <si>
    <t>We are facing crashes in our android application related to this library. The play-store version of the app used the older path job-queue library (1.1.2) We upgraded the version to use yirgit job-queue (2.0.0-alpha5) But sometimes when we try to upgrade the app from playstore-version to latest one we see this crash. This is device independent.Could it be something wrong with our usage of this library</t>
  </si>
  <si>
    <t>kartaview-android-9</t>
  </si>
  <si>
    <t>Android App Crashes</t>
  </si>
  <si>
    <t>From MikeTho16 on July 27, 2016 17:14
have had about six cases where the Android app crashes. have Samsung S3 with Android version 4.4.2. This happened twice on my way to work this morning which is about hour, 15 mile drive. The app shut down after about five to 10 minutes of recording. It also happened couple of times while walking with the app after only few photos were taken.
Copied from original issue: openstreetview</t>
  </si>
  <si>
    <t>fenimore-DemocracyDroid-7</t>
  </si>
  <si>
    <t>IndexOutOfBounds error</t>
  </si>
  <si>
    <t>Seemingly random crashes happen. think it has something to do with the way tabs positions are sent around. Hard to reproduce, but it ll crash if you mess around enough (switching between tabs frantically).</t>
  </si>
  <si>
    <t>coomar2841-android-multipicker-library-44</t>
  </si>
  <si>
    <t xml:space="preserve">I get resource not found while it tries to fetch App Name </t>
  </si>
  <si>
    <t>get Resource not found after picking the pic from gallery!!!
on further debugging found the library was crashing on very simple thing which was when it was trying to fetch app name from ApplicationInfo
funny part was ur sample app works seamlessly on my phone and blue stacks
but ur library integrated crashes...!!
wat is the best solution propose ..!!</t>
  </si>
  <si>
    <t>2016-08-02</t>
  </si>
  <si>
    <t>Beamanator-Ulti-Mate-68</t>
  </si>
  <si>
    <t>Game Crash: Game created from scratch and started (with time caps) then exited</t>
  </si>
  <si>
    <t>Game crashes when game has future time caps (CountDownTimer starts), then game started, then:
1. Up button pressed
2. Back button pressed
3. Game Ended</t>
  </si>
  <si>
    <t>nitaliano-react-native-mapbox-gl-394</t>
  </si>
  <si>
    <t>Crash when adding large polyline annotations</t>
  </si>
  <si>
    <t>am creating an app where need to draw driving directions over road networks. ve been using annotations to draw the routes, but am experiencing crash without an error message if my route annotation is too large (typically occurs at over 3000 points). ve solved my particular problem by splitting the points up into smaller chunks and drawing many smaller annotations instead of one large annotation, but performance is still less than ideal (the component hangs while drawing the annotations). wonder if there better way of drawing driving directions (or any large polylines) on the map? How is it done in the Java SDK itself (https: www.mapbox.com directions )? Should some directions interface be implemented in this library?
ve put up repo where you can reproduce the problem: https: github.com RagnarHal</t>
  </si>
  <si>
    <t>tera-insights-2Q2R-android-5</t>
  </si>
  <si>
    <t>Refer to issue #4 for tested devices.
On both phones, register and sometimes authenticate crashed the app, displaying the default android app has crashed message
do not have any error messages because the problem seems to no longer happen, however, look out for it.</t>
  </si>
  <si>
    <t>Dimezis-BlurView-22</t>
  </si>
  <si>
    <t>Crash, Fatal Exception: java.lang.ArrayIndexOutOfBoundsException</t>
  </si>
  <si>
    <t>Hi Dmitriy! Now got crash in blur view. can reproduce it on my devices, but it happens several time. It happened only on Samsung SM-G900F. This is crashlytics log:
Fatal Exception: length 1024 index 1064
Please look at it, maybe you have some ideas.</t>
  </si>
  <si>
    <t>react-native-camera-react-native-camera-357</t>
  </si>
  <si>
    <t>Caused by: java.lang.RuntimeException: Camera is being used after Camera.release() was called</t>
  </si>
  <si>
    <t>### Steps to reproduce
1. AView push to BView then pop to AView with Navigator, and BView has Camera
2. Repeated step several times, It will crash with log:
**Node.js version**: 3.8.3
**React Native version**: 0.30
**React Native platform platform version**: Android 5.0</t>
  </si>
  <si>
    <t>lingochamp-FileDownloader-243</t>
  </si>
  <si>
    <t>The exception 'SQLite error: disk is full'  is not submitted to `FileDownloadListener#error`</t>
  </si>
  <si>
    <t>this is stacktrace of an error got from crash reports of firebase. It hurts some of my users. Different Android version (17-23), different devices.
see that error themes that user is out of free space. But is that internal system partition, where application data is stored(data data &lt;app package name&gt;), or some other partition? And also how can this be fixed, or at least how can get called back about this error to show some message to user?</t>
  </si>
  <si>
    <t>OneBusAway-onebusaway-android-649</t>
  </si>
  <si>
    <t>OBA App crashes when using custom api url</t>
  </si>
  <si>
    <t>The app crashes if the settings are accessed after setting custom api url.
**Steps to reproduce:**
1. Reinstall app
2. Go to settings, enter in custom api url
3. Exit settings and go to map
4. Find and click stop to see arrival times
5. Go back to the menu and tap settings &lt;-- app crashes here
Should go back into settings menu without crashing.
**Device and Android version:**
Android version: 6.0</t>
  </si>
  <si>
    <t>2016-08-03</t>
  </si>
  <si>
    <t>3meters-patchr-android-244</t>
  </si>
  <si>
    <t>Crash trying to use Adobe login</t>
  </si>
  <si>
    <t>When trying to use additional Adobe content packs that require login using adobe account, we crash.</t>
  </si>
  <si>
    <t>cgeo-cgeo-5874</t>
  </si>
  <si>
    <t>Intermittent crash when switching to Locus</t>
  </si>
  <si>
    <t>With current master may have switched to another application in the meantime, and then switched back to cgeo. not certain.</t>
  </si>
  <si>
    <t>mozilla-magnet-magnet-client-200</t>
  </si>
  <si>
    <t>Crash: 'Unfortunately, project magnet has stopped'</t>
  </si>
  <si>
    <t>There is something that causes this crash. can reproduce it 100% with the automated tests (please see video: https: youtu.be sMK65BxEtLs) but not manually, although got to see it.
With the automated tests it happens just when disabling bt and opening the app, but manually it is not reproducible following the same steps. It seems to happen when disabling bluetooth and leaving the app in background for while but so far see it randomly.
was wondering if there was something wrong with the automated tests, but once saw it at least once manually there is something that is causing this.
will investigate further to try to get some clear steps.</t>
  </si>
  <si>
    <t>UWICompSociety-FSTApp-4</t>
  </si>
  <si>
    <t>Video Player Acitivity Crash</t>
  </si>
  <si>
    <t>App crashes when you click on one of the videos to play it.</t>
  </si>
  <si>
    <t>2016-08-04</t>
  </si>
  <si>
    <t>UWICompSociety-FSTApp-3</t>
  </si>
  <si>
    <t>SettingsActivity Crash</t>
  </si>
  <si>
    <t>On pre lolipop devices app crashes when you go to settings.
This Activity already has an action bar supplied by the window decor. Do not request Window.FEATURE SUPPORT ACTION BAR and set windowActionBar to false in your theme to use Toolbar instead.</t>
  </si>
  <si>
    <t>UWICompSociety-FSTApp-2</t>
  </si>
  <si>
    <t>SASLoginActivity Crash</t>
  </si>
  <si>
    <t>On pre lolipop devices the app crashes when you go to the login activity to sas, debug message mentions something about textinputlayout and something to do with the theme</t>
  </si>
  <si>
    <t>Ereza-CustomActivityOnCrash-26</t>
  </si>
  <si>
    <t>custom theme</t>
  </si>
  <si>
    <t>hi, awesome stuff you made.
not an expert on Android, but trying to use this to style the crash activity, mainly its action bar colors but with no success
&lt;?xml version 1.0 encoding utf-8 ?&gt;
&lt;style name AppTheme parent
&lt;item name colorPrimary color primary&lt; item&gt;
&lt;item name colorPrimaryDark color primary dark&lt; item&gt;
&lt;item name colorAccent color accent&lt; item&gt;
&lt;style name parent AppTheme
my app activity action bar is styled in red colors, whoever the crash activity action bar is in blue</t>
  </si>
  <si>
    <t>google-ExoPlayer-1716</t>
  </si>
  <si>
    <t>[DASH] Crash when receiving empty SegmentTimeline</t>
  </si>
  <si>
    <t>When the player receives the following MPD it crashes:
&lt;?xml version 1.0 encoding utf-8 ?&gt;
&lt;MPD xmlns:xsi http: www.w3.org 2001 XMLSchema-instance
&lt;Period start PT0.0S
&lt;AdaptationSet contentType audio segmentAlignment true bitstreamSwitching true
&lt;Representation id mimeType audio mp4 codecs mp4a.40.2 bandwidth 128000 audioSamplingRate 22050
schemeIdUri channel configuration:2011 value
&lt;SegmentTemplate timescale 22050 initialization media startNumber
The exception is:
originally thought that the crash was related to something else and opened another issue (#1715), but after some investigation it turned out that the crash is not related.</t>
  </si>
  <si>
    <t>square-flow-198</t>
  </si>
  <si>
    <t>Links created by Linkify crash because InternalContextWrapper is not activity</t>
  </si>
  <si>
    <t>However adding this to internal context wrapper fixes it
public void intent)
public void intent, Bundle options)
public void intents)
public void intents, Bundle options)
public void intent, Intent fillInIntent, int flagsMask, int flagsValues, int extraFlags)
fillInIntent, flagsMask, flagsValues, extraFlags)
public void intent, Intent fillInIntent, int flagsMask, int flagsValues, int extraFlags, Bundle options)
fillInIntent, flagsMask, flagsValues, extraFlags, options)
public void setTheme(int resid)
public Resources.Theme getTheme()</t>
  </si>
  <si>
    <t>fossasia-open-event-droidgen-536</t>
  </si>
  <si>
    <t>App crashing on API level 19 and below</t>
  </si>
  <si>
    <t>Seems like problem with the newer support library.</t>
  </si>
  <si>
    <t>2016-08-05</t>
  </si>
  <si>
    <t>ukanth-afwall-555</t>
  </si>
  <si>
    <t xml:space="preserve"> A/libc: Fatal signal 13 (SIGPIPE)</t>
  </si>
  <si>
    <t>#551 reopening as got this when close afwall window
6807-6807 art: System.exit called, status:
763-1003 GraphicsStats: Buffer count:
763-1003 WindowState: WIN DEATH: Window 7e6602 u0
763-778 libprocessgroup: Killing pid 6840 in uid 10068 as part of process group 6807
763-778 libprocessgroup: Killing pid 7566 in uid 10068 as part of process group 6807
763-778 ActivityManager: Process (pid 6807) has died
763-778 ActivityManager: Scheduling restart of crashed service .service.RootShell in 1000ms
763-778 ActivityManager: Scheduling restart of crashed service .log.LogService in 11000ms
763-1003 Got RemoteException sending setActive(false) notification to pid 6807 uid 10068
10060-10060 libc: Fatal signal 13 (SIGPIPE), code in tid 10060 (dmesg)
333-333 DEBUG: property debug.db.uid not set NOT waiting for gdb.
333-333 DEBUG: HINT: adb shell setprop debug.db.uid 100000
333-333 DEBUG: HINT: adb forward tcp:5039 tcp:5039
333-333 DEBUG: *** *** *** *** *** *** *** *** *** *** *** *** *** *** *** ***
333-333 DEBUG: CM Version:
333-333 DEBUG: Build fingerprint: samsung hltexx hlte:5.0 LRX21V N9005XXUGBOK6:user release-keys
333-333 DEBUG: Revision:
333-333 DEBUG: ABI: arm
333-333 DEBUG: pid: 10060, tid: 10060, name: dmesg &gt;&gt;&gt; dmesg &lt;&lt;&lt;</t>
  </si>
  <si>
    <t>lgallard-qBittorrent-Controller-101</t>
  </si>
  <si>
    <t>Label crashes the app</t>
  </si>
  <si>
    <t>Labels still crashes (times out) the app. It seems that my labels with only few torrents in them work fine, but my labels with lot of torrents in them cause the app to crash.
Reported by Chris via email</t>
  </si>
  <si>
    <t>codinguser-gnucash-android-532</t>
  </si>
  <si>
    <t>Selecting custom date range in reports causes the app to crash</t>
  </si>
  <si>
    <t>Open (any) reports section and select the spinner for custom date range.
The app crashes.</t>
  </si>
  <si>
    <t>coolerfall-LunarLite-6</t>
  </si>
  <si>
    <t>系统语言为英语时，crash！</t>
  </si>
  <si>
    <t>2016-08-06</t>
  </si>
  <si>
    <t>translation-cards-translation-cards-278</t>
  </si>
  <si>
    <t>App Crashes When User Clicks on 'Add New Card' Button</t>
  </si>
  <si>
    <t>When user opens deck and clicks the ADD NEW CARD button to enter the card creation flow, the application crashes and message appears informing the user Unfortunately, Translation Cards has stopped.
**Steps to Reproduce:**
1. Open the App
2. From the My Decks view, click on one of the available decks
3. In the Deck, scroll down to the ADD NEW CARD button that appears at the bottom of the list of cards
4. Click on ADD NEW CARD
FATAL EXCEPTION: main</t>
  </si>
  <si>
    <t>the-blue-alliance-the-blue-alliance-android-768</t>
  </si>
  <si>
    <t>Crashes on launch for lack of a client id in tba.properties</t>
  </si>
  <si>
    <t>Sync to master at 19acc7d.
Do the Firebase auth setup and add android src debug file.
Launch on Android or emulator.
Scroll horizontally to read this --------------&gt;
--------- beginning of crash
Caused by: Given String is empty or null</t>
  </si>
  <si>
    <t>2016-08-07</t>
  </si>
  <si>
    <t>vexelon-dot-net-currencybg.app-13</t>
  </si>
  <si>
    <t>Не работи свалянето на валути</t>
  </si>
  <si>
    <t>crash- hot fix.</t>
  </si>
  <si>
    <t>fossasia-open-event-droidgen-544</t>
  </si>
  <si>
    <t>Sample app crashes at start up on Galaxy Nexus Omnirom 4.4.4.</t>
  </si>
  <si>
    <t>Cannot start app generated with FOSSASIA zip.</t>
  </si>
  <si>
    <t>OneBusAway-onebusaway-android-653</t>
  </si>
  <si>
    <t>Trip plan activity is potentially referenced outside its lifecycle</t>
  </si>
  <si>
    <t>found this when fixing https: github.com OneBusAway onebusaway-android issues 652.
When user plans trip, we poll the server for period to check if there are any real-time changes that might impact the trip (see https: github.com OneBusAway onebusaway-android issues for details). If there are changes, we notify the user.
In mActivity is referenced to get the Class to register with the notification, so when the user taps on the notification they are brought to the trip planning activity.
The issue here is that showNotification() is called from the within RealtimeServiceImpl which continues to poll the server after trip is planned. So, the activity may have been killed by the time the BroadcastReceiver attempts to notify the user. This would then result in an NPE when trying to access mActivity
There is no other use of mActivity in RealtimeServiceImpl so believe an easy fix for this is to pass in the Class instead of the Activity in the RealtimeServiceImpl constructor. ll put together PR for this.
**Steps to reproduce:**
haven actually produced an NPE, but looking at the code this should do it:
1. Plan trip
2. Kill the TripPlanActivity
3. Have the BroadcastReceiver generate notification for trip that no longer recommended
It would crash.
**Device and Android version:**</t>
  </si>
  <si>
    <t>2016-08-08</t>
  </si>
  <si>
    <t>OneBusAway-onebusaway-android-652</t>
  </si>
  <si>
    <t>NPE on trip plan notifications</t>
  </si>
  <si>
    <t>When planning trip using the current master branch, saw this crash on my device:
It looks like introduced this when refactoring via https: github.com OneBusAway onebusaway-android commit
**Steps to reproduce:**
1. Plan trip
2. Have the service try to issue notification if the trip plan was no longer recommended
**Device and Android version:**
Stock LG G4 Android 6.0</t>
  </si>
  <si>
    <t>nextcloud-android-198</t>
  </si>
  <si>
    <t>IllegalArgumentException: Comparison method violates its general contract!</t>
  </si>
  <si>
    <t>### Actual behaviour
-Uploads view crashes
### Expected behaviour
-Uploads view shouldn crash
### Steps to reproduce
1. Open the Uploads view in the drawer
This bug has been reported several times on the Play developer console.
This bug is present in oC and Nc.
Research shows it is likely related to wrongly implemented comparator and Android swicth to JDK which leads to Array.sort using different algorithm: https: dertompson.com 2012 11 23
### Environment data
Android version: 5,6,etc.
Device model: Nexus5X amoung others
Stock or customized system: stock
Nextcloud app version: 1.2.0
#### Nextcloud log (data nextcloud.log)
Caused by: Comparison method violates its general contract!</t>
  </si>
  <si>
    <t>PhilJay-MPAndroidChart-2115</t>
  </si>
  <si>
    <t>setCircleRadius(0) not working on v3.0.0</t>
  </si>
  <si>
    <t>setCircleRadius(0) for lineCharts throws an error and crash the app.
Edit Found that there is the setDrawCircles method</t>
  </si>
  <si>
    <t>JoaquimLey-avenging-2</t>
  </si>
  <si>
    <t>mobile: Character fragment on configuration change</t>
  </si>
  <si>
    <t>ANR on configuration change in Character detail screen
App should not crash on the Character details screen rotation
On the list screen click on any character
On character details screen make the screen rotate
Application sometimes crashes
## Expected result
Should be able to rotate screen without loosing any info or causing ANRs
## Current result
Application sometimes crashes on configuration change
## Possible Fix
Handle the save instance state and retrieve required data on resume.</t>
  </si>
  <si>
    <t>2016-08-09</t>
  </si>
  <si>
    <t>JoaquimLey-avenging-1</t>
  </si>
  <si>
    <t>mobile: List fragment on configuration change</t>
  </si>
  <si>
    <t>ANR on configuration change in List screen
App should not crash on the List screen rotation
On List screen make the screen rotate
Application sometimes crashes
## Expected result
Should be able to rotate screen without loosing any info or causing ANRs
## Current result
Application sometimes crashes on configuration change
## Possible Fix
Handle the save instance state and retrieve required data on resume.</t>
  </si>
  <si>
    <t>square-okhttp-2781</t>
  </si>
  <si>
    <t>Getting crash issue in on Cache</t>
  </si>
  <si>
    <t>Could you pls check and help me on this
below code am using for offline caching
public class implements Interceptor
final ConnectivityHelper mConnectivityHelper
public Response intercept(Chain chain) throws IOException
Request request chain.request()
tolerate 4-weeks stale
int maxStale 60 60 24 28
.header( Cache-Control public, only-if-cached, max-stale maxStale)</t>
  </si>
  <si>
    <t>pedrovgs-EffectiveAndroidUI-23</t>
  </si>
  <si>
    <t>Crashed in Smartisan T1</t>
  </si>
  <si>
    <t>when click item in the main view, it crashed. this is the error:
Error occurred in the line 61 of the this is the code:
Override protected View layoutInflater, ViewGroup viewGroup)
return chapter, viewGroup, false)
don know why such error occurred.</t>
  </si>
  <si>
    <t>niclabs-adkintunmobile-androidclient-125</t>
  </si>
  <si>
    <t>HttpMultipartRequest.java line 168</t>
  </si>
  <si>
    <t>2016-08-10</t>
  </si>
  <si>
    <t>davideas-FlexibleAdapter-161</t>
  </si>
  <si>
    <t>android:theme tag is not allowed in layout file.</t>
  </si>
  <si>
    <t>-&gt; integrated FlexibleAdapter library for Sticky List in my project. And have to define android:theme tag on my layout. But when added android:theme tag, my project is crash because of sticky header enabled. can create the header with section view. But when will enable sticky header using Then App will be crashed.
Actual behavior App crash when call If have android:theme tag in layout file.
Expected behavior: App shouldn crash. App should support the android:theme tag in layout file.
**Example design xml:**
&lt;!--We have to include this for sticky header--&gt;
&lt;include layout layout sticky header layout
will crash when will call this.
FATAL EXCEPTION: main</t>
  </si>
  <si>
    <t>react-native-camera-react-native-camera-367</t>
  </si>
  <si>
    <t>Camera does not appear to work with Android 6 (Marshmellow)</t>
  </si>
  <si>
    <t>### Steps to reproduce
1. Emulator works under android
2. Emulator and actual android device does NOT WORK, crashes on the render with &lt;Camera&gt;
### Expected behaviour
Camera should open up in my app.
### Actual behaviour
Camera crashes the application. Works in Genymotion 4.0 Android emulator, crashes in any 6.0 emulator or LG G4 (running android 6).
**React Native version**: 0.31.0
**React Native platform platform version**: Android 6.0
Also IN any version the following occurs but may not be related:
My camera no longer works as well.
React Native 0.31.0
Android does NOT WORK either in the emulator or on an actual device. The &lt;Camera&gt; crashes the app with no explaination.
Android (Emulator) still DOES work.
This is perplexing.
Also this code snippit says that the module is undefined:</t>
  </si>
  <si>
    <t>2016-08-11</t>
  </si>
  <si>
    <t>niclabs-adkintunmobile-androidclient-126</t>
  </si>
  <si>
    <t>DonutchartViewFragment.java line 3042</t>
  </si>
  <si>
    <t>kontalk-androidclient-780</t>
  </si>
  <si>
    <t>Crash on key exporting</t>
  </si>
  <si>
    <t>Can use Kontalk on other device because can export zip archive with key. After entering the correct password application crashes!
Ask me for logs you are interested in and ll attach them.</t>
  </si>
  <si>
    <t>NemProject-NEMAndroidApp-242</t>
  </si>
  <si>
    <t>"NEM client crashed, sending report..." Namespaces &amp; Subdomains+Mosaics</t>
  </si>
  <si>
    <t>It seems there is bug with multi-sig Namespaces Subdomains+Mosaics. don really know what happened but now the mob app keeps crashing every time start it. was playing with Subdomains+Mosaics. When went to the mob. app to confirm m-sig tx it just started crashing.
These are the addresses involved:</t>
  </si>
  <si>
    <t>2016-08-12</t>
  </si>
  <si>
    <t>EyeSeeTea-pictureapp-380</t>
  </si>
  <si>
    <t>reloadAnswered survey from Session crash on restart.</t>
  </si>
  <si>
    <t>Is necessary get the survey from db not from session.</t>
  </si>
  <si>
    <t>ably-demo-mobile-android-6</t>
  </si>
  <si>
    <t>Crash on sending message</t>
  </si>
  <si>
    <t>Can login to the app, send message, but right after send message, the app crashes:</t>
  </si>
  <si>
    <t>k9mail-k-9-1561</t>
  </si>
  <si>
    <t>K9 Mail consistently crashing on email delete</t>
  </si>
  <si>
    <t>### Expected behaviour
Email should be deleted and the next email in the list should be displayed
### Actual behaviour
have K9 Mail installed on Android Tablet Samsung Tab and Smartphone Moto 1. remember having problems with crashes while back that stopped when cleaned my trash folder.
Now, around the same day, K9 Mail crashes every time delete an Email. can see parts of the next email in the list sometimes, but not always. cleaned the trash folder (now empty) and restarted the IMAP server. (No other program accessing the server has any trouble). found consistent error logging from K9 Mail when deleting emails:
WifiStateMachine( 827): WifiStateMachine CMD START SCAN source -2 txSuccessRate 7,84 rxSuccessRate 7,34 targetRoamBSSID any RSSI -69
WifiStateMachine( 827): startDelayedScan send -&gt; 22742 milli 20000
WifiStateMachine( 827): WifiStateMachine CMD START SCAN with age 20003 interval 151875 maxinterval 300000
WifiStateMachine( 827): WifiStateMachine CMD START SCAN full false
WifiStateMachine( 827): WifiStateMachine starting scan for WLAN-001C4AA14D4E WPA PSK with 2437
WifiStateMachine( 827): 1.471.092.449.031 ms noteScanstart no scan source uid -2
WifiStateMachine( 827): 1.471.092.449.093 ms noteScanEnd no scan source onTime
FastThread( 290): did not receive expected priority boost
### Steps to reproduce
1. Hmm, good question. Have lots of emails in various folders and start deleting?
K-9 Mail version:
Account type (IMAP, POP3, WebDAV Exchange):</t>
  </si>
  <si>
    <t>2016-08-13</t>
  </si>
  <si>
    <t>rosenpin-always-on-amoled-217</t>
  </si>
  <si>
    <t>System UI crashed after plugin installed</t>
  </si>
  <si>
    <t>Not running custom ROM, phone is rooted. Currently running 5.0.2.
managed to fix the issue, but this is pretty crucial problem that might cause some people inconvenience.
am using Galaxy S6 (SM G920A).
insralled the Always On AMOLED apk and started the service and installed the hardware button disable plugin for the app. After installing, the Always On AMOLED app process crashed and my screen shut off. Since the plugin was also installed, couldn turn on the screen or enter recovery mode. My phone was pretty much in bricked state, but the notification LED would still blink.
After calling myself from different phone, the screen finally lit up, showing that the System UI stopped, and from there could disable the Always On AMOLED service.
just wanted to let you know about this issue. Sorry for the inconvenience.
## Device info:
&lt;tr&gt;&lt;td&gt;App version&lt; td&gt;&lt;td&gt;0.9.1.97&lt; td&gt;&lt; tr&gt;
&lt;tr&gt;&lt;td&gt;App version code&lt; td&gt;&lt;td&gt;147&lt; td&gt;&lt; tr&gt;
&lt;tr&gt;&lt;td&gt;Android build version&lt; td&gt;&lt; tr&gt;
&lt;tr&gt;&lt;td&gt;Android release version&lt; td&gt;&lt;td&gt;5.0.2&lt; td&gt;&lt; tr&gt;
&lt;tr&gt;&lt;td&gt;Android SDK version&lt; td&gt;&lt;td&gt;21&lt; td&gt;&lt; tr&gt;
&lt;tr&gt;&lt;td&gt;Android build ID&lt; td&gt;&lt; tr&gt;
&lt;tr&gt;&lt;td&gt;Device brand&lt; td&gt;&lt;td&gt;samsung&lt; td&gt;&lt; tr&gt;
&lt;tr&gt;&lt;td&gt;Device manufacturer&lt; td&gt;&lt;td&gt;samsung&lt; td&gt;&lt; tr&gt;
&lt;tr&gt;&lt;td&gt;Device name&lt; td&gt;&lt;td&gt;zeroflteatt&lt; td&gt;&lt; tr&gt;
&lt;tr&gt;&lt;td&gt;Device model&lt; td&gt;&lt; tr&gt;
&lt;tr&gt;&lt;td&gt;Device product name&lt; td&gt;&lt;td&gt;zeroflteuc&lt; td&gt;&lt; tr&gt;
&lt;tr&gt;&lt;td&gt;Device hardware name&lt; td&gt;&lt; tr&gt;
&lt;tr&gt;&lt;td&gt;ABIs&lt; td&gt;&lt;td&gt; arm64-v8a, armeabi-v7a, armeabi td&gt;&lt; tr&gt;</t>
  </si>
  <si>
    <t>2016-08-14</t>
  </si>
  <si>
    <t>fossasia-open-event-droidgen-589</t>
  </si>
  <si>
    <t>App crashing due to unregistering the Event Bus in Schedule Fragment</t>
  </si>
  <si>
    <t>barteksc-AndroidPdfViewer-66</t>
  </si>
  <si>
    <t>RuntimeException: Unable to destroy activity NullPointerException: Attempt to invoke virtual method 'void android.view.View.dispatchDetachedFromWindow()' on a null object reference</t>
  </si>
  <si>
    <t>Updated to 2.0 and getting this error when hitting the back button from the PDF activity. Everything else loads up fine and the PDF view works great just when try to exit that activity it crashes. didn change anything else besides remove the scroll bar. Thanks for the help and awesome library!</t>
  </si>
  <si>
    <t>2016-08-16</t>
  </si>
  <si>
    <t>gsantner-dandelion-52</t>
  </si>
  <si>
    <t>Rare crashes when bringing app back from background</t>
  </si>
  <si>
    <t>#### General information
**Android Version:** CopperheadOS
**Pod:** doesn matter
**Diaspora pod version:** doesn matter
**App source:** self build (latest HEAD)
**App version:** eg 0.1.5
searched open and closed issues for duplicates
read &lt;https: github.com diaspora-android blob master CONTRIBUTING.md&gt;
not submitted translations see Crowdin (https: crowdin.com project invite)
#### Steps to reproduce
1. Open Diaspora and follow link (open with eg. Firefox)
2. Do something in other app
3. Switch back to Diaspora
#### Expected result
What is the expected output?
Works as intended
What do you see instead?
experience rare crashes (Diaspora has been stopped)
ll try to reproduce it while logcat is running. think log once got suggested that the webview has had sigsev. on CopperheadOS, which uses Chromium as WebView, so this might only happen on CopperheadOS devices.</t>
  </si>
  <si>
    <t>marzika-Snapprefs-155</t>
  </si>
  <si>
    <t>Latest commit break support for colour and text editor (Build #19)</t>
  </si>
  <si>
    <t>From the Jenkins build #19 is affected with the bug and #18 is good.
Snapchat would instantly crash on attempting to use either function. no logs in aLogcat from what saw.
As of right now this can be solved by downgraded to build #18 because there was clean up of unused functions for build #19 and it seems someone were mistakenly removed.
Sorry was not able to get any logs. will check if there were any produced from the crashes
Commit (https: github.com marzika Snapprefs commit seems to be the culprit</t>
  </si>
  <si>
    <t>2016-08-17</t>
  </si>
  <si>
    <t>OneBusAway-onebusaway-android-669</t>
  </si>
  <si>
    <t>NPE when adding/updating stop in database</t>
  </si>
  <si>
    <t>This is long-standing but infrequently occurring bug that ve seen since v1.x, and has occurred most recently in v2.1.2 (staged rollout):
**Steps to reproduce:**
Unknown user comments:
adding star to route from list of routes at stop crashes it
it radumbly stopped working
app crashed when trying to filter route info at stop
**Device and Android version:**
variety of devices, including:
Galaxy S5 (kltetmo)
Galaxy J1 (j1xlteaio)
Galaxy S7 (heroqltetfnvzw)
HTC One (m7)
Moto Pure Edition (clark)
...and variety of Android versions, including 5.0, 5.1, and 6.0.</t>
  </si>
  <si>
    <t>vector-im-riot-android-387</t>
  </si>
  <si>
    <t>[VoIP] Caller crash if callee does not answer</t>
  </si>
  <si>
    <t>2. does not answser
3. terminate the call
Note: fix is available</t>
  </si>
  <si>
    <t>fossasia-phimpme-android-11</t>
  </si>
  <si>
    <t xml:space="preserve">App crashed while mounting images from different accounts </t>
  </si>
  <si>
    <t>There is security exception as per the crash report.</t>
  </si>
  <si>
    <t>anyaudio-anyaudio-android-app-19</t>
  </si>
  <si>
    <t>App Crash Due to BroadcastReceiver</t>
  </si>
  <si>
    <t>App get crashed due to **Broadcast Receiver**.
... 11 more
Caused by: Class not found using the boot class loader no stack available
There is no need of receivers as per current requirements</t>
  </si>
  <si>
    <t>auth0-Lock.Android-331</t>
  </si>
  <si>
    <t>IllegalStateException in GoogleIdentityProvider.onPermissionsRequireExplanation</t>
  </si>
  <si>
    <t>We upgraded to 1.17.0 and are having major problem with the native Google authentication. We thought we were using the textbook integration
setup Auth0 and the native Google integration
String scope OFFLINE ACCESS email
Map&lt;String, Object&gt; parameters
When user uses the Google authentication button, the native integration correctly asks for permission to access the contacts, then if the user cancels that request, all future use of the Google auth button will crash the app with this stacktrace
Caused by: You need to use Theme.AppCompat theme (or descendant) with this activity.
This is on Nexus 5, Android 6.0.1, in an app with these settings
Debugging little bit this issue, as the AppCompat dialog builder is using the context from the application, it true that there is no theme. But the issue should not be there, as we got the code from the Auth0 sample code which also uses the application instance to build the
Happy to provide more info if needed. Thanks.</t>
  </si>
  <si>
    <t>2016-08-18</t>
  </si>
  <si>
    <t>marzika-Snapprefs-158</t>
  </si>
  <si>
    <t>Snapprefs app crashes if you rotate the device</t>
  </si>
  <si>
    <t>found small bug in the snapprefs app itself. If you rotate the phone while you re in one of the settings tabs it force closes.
Log http: pastebin.com fXi8Z287</t>
  </si>
  <si>
    <t>javiersantos-BottomDialogs-16</t>
  </si>
  <si>
    <t>Crash when showing the same builder two times</t>
  </si>
  <si>
    <t>built the Sheet and show it, then want to update the title so set the new title and rebuilt but show for the second time get crash:
private void address, LatLng latLng)
if (mEventDialog null)
new GeoModel(mRadius, latLng.latitude, latLng.longitude, address).save()</t>
  </si>
  <si>
    <t>iomodo-Wally-42</t>
  </si>
  <si>
    <t>Pause while adding new content</t>
  </si>
  <si>
    <t>When paused while fitting app crashed.</t>
  </si>
  <si>
    <t>yigit-android-priority-jobqueue-233</t>
  </si>
  <si>
    <t>App crashes on first launch after update from 2.0.0-beta2 to 2.0.0</t>
  </si>
  <si>
    <t>If update JobQueue in my app from 2.0.0-beta2 to 2.0.0 then the app crashes on first launch of the updated version. The next launch the error does not occur. Seems like there is some SQLite migration issue.
private void initJobQueue()
Configuration configuration new
private static final String TAG JOBS
public boolean isDebugEnabled()
public void d(String text, Object... args)
TAG String.format(text, args))
public void e(Throwable t, String text, Object... args)
TAG String.format(text, args), t)
public void e(String text, Object... args)
TAG String.format(text, args))
public void v(String text, Object... args)
TAG String.format(text, args))</t>
  </si>
  <si>
    <t>codinguser-gnucash-android-548</t>
  </si>
  <si>
    <t>Selecting custom date range in reports causes crash</t>
  </si>
  <si>
    <t>nextcloud-android-221</t>
  </si>
  <si>
    <t>Upload activity crashes in empty folder</t>
  </si>
  <si>
    <t>### Steps to reproduce
1. Create an empty folder on your phone (Not via the nextcloud app)
2. Open nextcloud app
4. Upload (top icon in the menu)
5. Navigate to the empty folder
6. Go inside the empty folder
### Actual behaviour
### Expected behaviour
Should not crash but show empty list
### Environment data
Android version: 6.0
Device model: Huawei P8 lite
Stock or customized system: stock
Nextcloud app version: 1.2
Nextcloud server version: 9.0.53</t>
  </si>
  <si>
    <t>cforlando-PetAdoption-Android-41</t>
  </si>
  <si>
    <t>Tapping on Email from Details Fragment causes app to crash</t>
  </si>
  <si>
    <t>Since only have access to the Android emulator to test this, this may be non-issue. When on the Details Fragment for pet, tapped the Email button (?) and the app crashed.</t>
  </si>
  <si>
    <t>2016-08-19</t>
  </si>
  <si>
    <t>longdivision-hex-9</t>
  </si>
  <si>
    <t>Hex crashes when device is rotated</t>
  </si>
  <si>
    <t>If rotate my Nexus while am viewing an article or the comments, Hex crashes. Unfortunately, Hex has stopped.
Rotating the device is not problem if am viewing the first page.
Steps to reproduce:
When the article has loaded, rotate the device.
It also crashes if you are viewing the comments.
It also crashes if you are viewing the front page in landscape orientation, choose an article, and the rotate the device to portrait orientation.
My device is Nexus 5.</t>
  </si>
  <si>
    <t>praneetloke-AzureStorageExplorerAndroid-14</t>
  </si>
  <si>
    <t>trying to add blob container URL crashes (user reported)</t>
  </si>
  <si>
    <t>2016-08-20</t>
  </si>
  <si>
    <t>erickok-transdroid-325</t>
  </si>
  <si>
    <t>Crash deleting rss feed</t>
  </si>
  <si>
    <t>When try to remove an rss feed the app crash and don remove rss.
using Nexus with last android patch
this is the log of the app
rTorrent settings: http: peppe url
Connection and error log:</t>
  </si>
  <si>
    <t>clockbyte-admobadapter-20</t>
  </si>
  <si>
    <t>My application crash when exit the app. Please see attached image
screenshot (https: assets 10971659 17829106</t>
  </si>
  <si>
    <t>farkam135-GoIV-135</t>
  </si>
  <si>
    <t>Gastly crashes GoIV</t>
  </si>
  <si>
    <t>1. Start service
2. Try to scan Gastly, out of times the IV button just disappears.
3. Go back to GoIV screen, click STOP button, the application closes with Unfortunately, GoIV has stopped.
Samsung Note 5, 6.0.1, GoIV 2.1.0. It didn happen with the last version from the Play Store, it would just fail to recognize the CP when the smoke covered it.</t>
  </si>
  <si>
    <t>2016-08-22</t>
  </si>
  <si>
    <t>codinguser-gnucash-android-553</t>
  </si>
  <si>
    <t>Widget creation crashes opening accounts list</t>
  </si>
  <si>
    <t>already sent report couple of days ago. Everytime try to add widget and opening the accounts list to select one the app crashes.
Also the app is too slow on opening and navigating after the latest upgrade.</t>
  </si>
  <si>
    <t>fossasia-phimpme-android-15</t>
  </si>
  <si>
    <t>Front camera not working in every phone.</t>
  </si>
  <si>
    <t>App is crashing when setting parameters.</t>
  </si>
  <si>
    <t>alibaba-freeline-8</t>
  </si>
  <si>
    <t>一加手机存在增量资源导致crash的兼容性问题</t>
  </si>
  <si>
    <t>xml TextView text python freeline.py xml</t>
  </si>
  <si>
    <t>fossasia-open-event-droidgen-638</t>
  </si>
  <si>
    <t>[Fdroid]App crashing on schedules.</t>
  </si>
  <si>
    <t>App is crashing on schedules mananwason the-dagger.
steps to reproduce crash:
1. open schedule.
2. turn internet OFF.
3. turn internet ON.
Caused by: Invalid index 0, size is
Android version: 4.4.4, API 19</t>
  </si>
  <si>
    <t>2016-08-23</t>
  </si>
  <si>
    <t>cgeo-cgeo-5919</t>
  </si>
  <si>
    <t>Livemap crash</t>
  </si>
  <si>
    <t>In rare cases starting the (live) map freezes or crashes c:geo permanently. This is rare problem we were not yet able to debug.
If this happens to you please send us log (as described in this FAQ).
##### Detailed steps causing the problem:
Start c:geo on my xperia Z3 compact
Enable live-map google-map
-Zooming in or zooming out even occours when turn the device from portrait to landscape
##### Actual behavior after performing these steps:
c:geo hangs. Must wait for c:geo has stopped answering, do you want to close application or have to restart the device
##### Expected behavior after performing these steps:
##### Version of c:geo used:
Version 2016-08-16 got much much worse after last upgrade
##### Is the problem reproducible for you?
Will it happens times out of 10, geocaching is not so fun anymore... just getting frustrated over all device-restarts...
##### System information:
Attach system information here if available (see c:geo menu -&gt; About c:geo -&gt; System)
-- System information ---
Android version: 5.1.1
Android build: 14.6.A.1.236
Cgeo version: 2016.08.16
Google Play services: enabled</t>
  </si>
  <si>
    <t>moneymanagerex-android-money-manager-ex-978</t>
  </si>
  <si>
    <t>Unhandled Exception: array ouf of bounds</t>
  </si>
  <si>
    <t>Add logging to trace the steps or the location where the exception happens? See here (https: docs.fabric.io android crashlytics
However, this is not caught and will probably need some feedback or test case.
Fatal Exception: Invalid index 1, size is</t>
  </si>
  <si>
    <t>barteksc-AndroidPdfViewer-77</t>
  </si>
  <si>
    <t>Problem with crash of AndroidPdfViewer when reloanching activity after closing using finish()</t>
  </si>
  <si>
    <t>am having problem where if have app that displays multiple PDFs using different icons.
So you have one activity with some icons that each launch an activity that displays PDF activity that gets the name of the pdf from the Bundle extras It then displays the pdf
You then can close out of the pdf by clicking close button that calls finish()
Now if you click the same pdf again it with then crash the app and sometimes the activity. With this error
This is on android 4.1.1
pdf size is 266 KB</t>
  </si>
  <si>
    <t>2016-08-24</t>
  </si>
  <si>
    <t>translation-cards-translation-cards-285</t>
  </si>
  <si>
    <t>App crashes on deck import</t>
  </si>
  <si>
    <t>When importing deck that is downloaded from the web that has previously been imported, the originally downloaded deck will be imported rather than the newly downloaded deck. This is because we fetch the deck from downloads by name -- if the user has not cleared their downloads it will fetch the original file because the new file is renamed with number appended to it.</t>
  </si>
  <si>
    <t>farkam135-GoIV-171</t>
  </si>
  <si>
    <t>GoIV crashes when deleting CP/HP</t>
  </si>
  <si>
    <t>Reported by https: www.reddit.com GoIV comments 4zarig bug if you click the iv button while the pokemon d6urlno.
To just fix the crash, we need try..catch here, and show, say, Toast to report the error:
But it be good to have some nicer validation UX.</t>
  </si>
  <si>
    <t>nbsp-team-MaterialFilePicker-34</t>
  </si>
  <si>
    <t>Can't use ARG_FILE_FILTER as documented</t>
  </si>
  <si>
    <t>The ARG FILE FILTER shown in the readme doesn exist. Apparently it was replaced by ARG FILTER But it doesn work.
FILTER, Pattern.compile( .* .txt$ ))
...results in this crash:
FATAL EXCEPTION: main</t>
  </si>
  <si>
    <t>dimagi-commcare-android-1469</t>
  </si>
  <si>
    <t>Catch another session expiration crash in home button logic</t>
  </si>
  <si>
    <t>Yet another crash due to home screen button setup code not handling session expiration correctly.</t>
  </si>
  <si>
    <t>2016-08-25</t>
  </si>
  <si>
    <t>dimagi-commcare-android-1468</t>
  </si>
  <si>
    <t>Try/catch around FormEntryActivity unregisterReceiver</t>
  </si>
  <si>
    <t>Seeing some of the following crashes on ACRA for 2.29.1
In practice, the receiver in question should always be registered, so have no idea how this is coming up. Figured it is better to not crash the app though.
... 12 more</t>
  </si>
  <si>
    <t>farkam135-GoIV-183</t>
  </si>
  <si>
    <t>Possible race condition at startup</t>
  </si>
  <si>
    <t>have just seen GoIV crash at startup when pressing Start Stop fast enough.
While reviewing other code, sets up handler for the launch button before the rest of the setup is finished. Should probably be avoided (by changing order) to make sure this does not cause trouble.</t>
  </si>
  <si>
    <t>ArtiomCX75-WeatherForecast-18</t>
  </si>
  <si>
    <t>specify the fix libraries version</t>
  </si>
  <si>
    <t>crash because of version like 22.+</t>
  </si>
  <si>
    <t>grpc-grpc-java-2207</t>
  </si>
  <si>
    <t>Android HelloWorld example release build is broken</t>
  </si>
  <si>
    <t>When trying to send the RPC it crashes with:
After fixing the NPE (caused by calling shutdown() on null ManagedChannel ), then it gracefully fails with:
okhttp is not included after ProGuard. However, doesn suffer from the same issue, and don understand how. For do see in mapping.txt, but don see Maybe it is being inlined. But don know why it would be included for one application but not for the other. do know that includes cast to but it seems like the provider should still break. The only reference to in Class.forName() in</t>
  </si>
  <si>
    <t>2016-08-26</t>
  </si>
  <si>
    <t>bitstadium-HockeySDK-Android-172</t>
  </si>
  <si>
    <t>Util.isConnectedToNetwork crashes if ACCESS_NETWORK_STATE is revoked / not granted</t>
  </si>
  <si>
    <t>Since Android arshmallow the user can revoke previously granted permission groups, such as network state access. The method handles many obstacles gracefully, however this one causes SecurityException with the following trace:
There is no clean way to bypass this check and retry blindly (which is perfectly legitimate scenario) other than intercept the SecurityException and call directly.</t>
  </si>
  <si>
    <t>farkam135-GoIV-234</t>
  </si>
  <si>
    <t>[3.0.1] Killing the application makes it unusable thereafter</t>
  </si>
  <si>
    <t>Coming from #217 4):
Start GoIV (with Launch Pokemon Go disabled to make it faster), kill it. Restart it, kill it again and it will crash.
It seems the crash itself is fixed. However, it would look as if GoIV stops working if you kill it just once: the IV button won do anything and battery saver mode won trigger detection. Only way to get it working again (from what tried) was reinstalling.</t>
  </si>
  <si>
    <t>2016-08-27</t>
  </si>
  <si>
    <t>fossasia-open-event-droidgen-667</t>
  </si>
  <si>
    <t>App crashes on refreshing if no API link was provided</t>
  </si>
  <si>
    <t>If the app was created from zip file, the app crashes when any of the fragment is refreshed.
We need to display dialogue instead when this happen.</t>
  </si>
  <si>
    <t>bgogetap-StickyHeaders-18</t>
  </si>
  <si>
    <t xml:space="preserve">Crash when use scrollToPosition </t>
  </si>
  <si>
    <t>(Sorry for my English skill
Yes as title, get crash when use scrollToPosition
Have any solution for fix it? Thank you so much.
Here my log</t>
  </si>
  <si>
    <t>marzika-Snapprefs-185</t>
  </si>
  <si>
    <t>Plethora of crash logs</t>
  </si>
  <si>
    <t>have droid turbo running on the latest version of Snapprefs compatible snapchat and also latest version of cyanogenmod.
Sorry haven kept what did before the crash but hopefully the logs speak for them self. If not, let me know,</t>
  </si>
  <si>
    <t>2016-08-28</t>
  </si>
  <si>
    <t>praneetloke-AzureStorageExplorerAndroid-15</t>
  </si>
  <si>
    <t>Storage accounts with any blob containers causes a crash</t>
  </si>
  <si>
    <t>farkam135-GoIV-256</t>
  </si>
  <si>
    <t>Application can reach a state where IV button does nothing</t>
  </si>
  <si>
    <t>and another one: https: www.reddit.com GoIV comments 4zvnvh version 301 hotfix released d6zyu9x
Ive managed to get the bug once on my own S7, and did not get any crashlog. do not know how to reproduce the issue.</t>
  </si>
  <si>
    <t>iomodo-Wally-53</t>
  </si>
  <si>
    <t>Filtering of Friends list Doesn't works</t>
  </si>
  <si>
    <t>Filtering friends when sharing with friends, doesn work. And crash.</t>
  </si>
  <si>
    <t>ELynx-pokemon-go-xposed-mitm-9</t>
  </si>
  <si>
    <t>PoGo randomly crashed after enabling module</t>
  </si>
  <si>
    <t>Xiaomi Redmi note 2, AOSP 5.0.2. Tested on 0.33 and 0.35. PoGo randomly crashed without any notice.
In the module IV check is off, Lure time is on.
Just for information</t>
  </si>
  <si>
    <t>farkam135-GoIV-284</t>
  </si>
  <si>
    <t>`scanPokemon` might hang the application</t>
  </si>
  <si>
    <t>This is regression introduced (I think) in https: github.com farkam135 GoIV commit from #262.
sarav #248 changed the code, but we have still Pokefly sending an intent to itself, and flags not getting changed if that doesn happen.
not 100% sure there bug, but if there is no bug it by luck, not by design. And luck isn reliable. We should refactor this.
To fix this bug, we could send again an empty intent when the OCR isn initialized.
But the new logic uses default values (which find worse), so an empty intent is not something we re handling.
Moreover, those default values end up in the dialog instead of having something actually missing there.
Alternatively, now that sarav fixed the root cause for the OCR being not initialized, we could drop that code for ocr null. Recent releases have shown that handling problematic conditions badly is more painful than crashing crashing resets the app to working state, hiding the problem makes it harder to reset the app, with users claiming they need to reboot their phone (though still don believe that necessary).</t>
  </si>
  <si>
    <t>2016-08-29</t>
  </si>
  <si>
    <t>itachi1706-CheesecakeAppUpdater-2</t>
  </si>
  <si>
    <t>DownloadLatestUpdate.java line 170</t>
  </si>
  <si>
    <t>Number of crashes:
There lot more information about this crash on crashlytics.com:
Referenced from https: github.com itachi1706 CheesecakeUtilities issues 20</t>
  </si>
  <si>
    <t>mauron85-react-native-background-geolocation-10</t>
  </si>
  <si>
    <t>[Android] GPS crash and shutdown after first location update received</t>
  </si>
  <si>
    <t>After first location update received, GPS shut down and stop working
Plugin version: 0.2.0-alpha.1
OS version: 5.0.2
Device manufacturer and model: LG G2
React Native version: 0.32
Plugin configuration options:
## Expected Behavior
GPS still active receiving updates
## Actual Behavior
GPS stop working after first update
## Steps to Reproduce
1. Configure plugin in componentWillMount</t>
  </si>
  <si>
    <t>2016-08-30</t>
  </si>
  <si>
    <t>TodorGinchev-ThePRECIOUSprojectAPP-3</t>
  </si>
  <si>
    <t>Sign In with non-numeric/empty group Id</t>
  </si>
  <si>
    <t>Signing in with non-numeric or empty group id results in an app crash.</t>
  </si>
  <si>
    <t>k9mail-k-9-1582</t>
  </si>
  <si>
    <t>Crash while moving message</t>
  </si>
  <si>
    <t>Reported via Google Play:
Caused by: got an activity result that wasn meant for us. this is bug!
... 11 more
moved message that was opened to different folder.
Crash on moving opened email to another IMAP folder. Crash after selecting target folder.
crash at moving message to different folder. is consistent problem
tried to move message to another folder, crash. happens wavy time select move and folder in the refile menu.</t>
  </si>
  <si>
    <t>osmdroid-osmdroid-393</t>
  </si>
  <si>
    <t>Sql Tile Cache can crash the app if storage is not writable</t>
  </si>
  <si>
    <t>found in some emulator configurations, the sample app can crash due to the storage being read only. This mod should fix the error conditions and reduce the log output for this case</t>
  </si>
  <si>
    <t>2016-08-31</t>
  </si>
  <si>
    <t>stefan-niedermann-nextcloud-notes-130</t>
  </si>
  <si>
    <t>Bugfixes for 0.9.0</t>
  </si>
  <si>
    <t>Select more then one file in the listview and bulk delete them crashes the app (but deletes successfully) Not reproducable
On first initial setup network error is shown (since there is no server configured in this state, sync error is odd)
in settings activity is misaligned -&gt; caused by using support library 24.2.0, bug is fixed in 24.2.1 (https: code.google.com android issues detail?id 220728&amp;can 1&amp;q
Test: Login has to fail if server side notes app is not installed (#131)
korelstar your help is very welcome if you have some time :)</t>
  </si>
  <si>
    <t>aws-amplify-aws-sdk-android-191</t>
  </si>
  <si>
    <t>AmazonClientException on CognitoIdentityProvider/CognitoUser.confirmPasswordInBackground</t>
  </si>
  <si>
    <t>Hello, experienced crash implementing forgot password feature.
Looks like that on the second step, where have to enter confirmation code with new password
lead to that at the moment
In my case got (so it crashes inside SDK). The way got this: switch-off internet before second step and continue.
Unable to execute HTTP request: Unable to resolve host No address associated with hostname</t>
  </si>
  <si>
    <t>requery-requery-267</t>
  </si>
  <si>
    <t>What is the proper way to define Parent-Child relationships?</t>
  </si>
  <si>
    <t>What is the proper way to define foreign model relationship? Given the following models:
interface Parent Persistable
var primaryId: String
var children: MutableList&lt;Child&gt;
interface Child: Persistable
var primaryId: String
var name: String
## The following methods seem to be the possible ways to define the children relationship, yet each has an issue that prevents use.
Causes stack overflow
var children: MutableList&lt;Child&gt;
var parent: Parent
var children: MutableList&lt;Child&gt;
does not crash, but inserts the following into the database, which is not sustainable
INSERT INTO Parent VALUES( Child
Example project here: https: github.com nlefler requery test</t>
  </si>
  <si>
    <t>KeepSafe-ReLinker-27</t>
  </si>
  <si>
    <t>Can't catch MissingLibraryException</t>
  </si>
  <si>
    <t>Hey, guys. have imported your library to my project. Recently found the following crash log. It means that the library doesn exist in apk for some unknown reason. But the Exception is thrown from thread, thus can catch it myself. Could you protect app from crash in this special case.</t>
  </si>
  <si>
    <t>2016-09-01</t>
  </si>
  <si>
    <t>farkam135-GoIV-357</t>
  </si>
  <si>
    <t>".../".split("/")[1] crashes</t>
  </si>
  <si>
    <t>This looks impossible pokemonHPStr contains but splitting on produces 1-element array. WTF? don know what the string in question is.
Stacktrace at http: crashes.to ad8a16ae9c1.</t>
  </si>
  <si>
    <t>2016-09-03</t>
  </si>
  <si>
    <t>fennifith-Status-16</t>
  </si>
  <si>
    <t>Random crash on permissions request.</t>
  </si>
  <si>
    <t>2016-09-04</t>
  </si>
  <si>
    <t>hidroh-materialistic-654</t>
  </si>
  <si>
    <t>Comment load crash</t>
  </si>
  <si>
    <t>can consistently reproduce crash
1. Open app
2. Press the comment shortcut on post
3. Wait for load
4. Go back
5. Press the comment shortcut on the same post (or any others)
Let me know if there anything else can do to further help.</t>
  </si>
  <si>
    <t>getodk-collect-190</t>
  </si>
  <si>
    <t>Video capture crashes video app on Android 6.0 on Nvidia Shield K1 Tablet</t>
  </si>
  <si>
    <t>&lt;a href https: github.com ni-ka &gt;&lt;img src https: 1225776?v align left width 96 height 96 hspace 10 &gt;&lt; img&gt;&lt; a&gt; **Issue by ni-ka (https: github.com ni-ka)**
Wednesday Jan 13, 2016 at 13:30 GMT
Originally opened as https: github.com opendatakit opendatakit issues 1189 (1 comment(s))
colleague of mine is trying to use ODK collect (4.3) on an Nvidia Shield 8-Inch Tablet K1.
The device was running on Android and after recording video it gave java Exception An error occurred while attaching the media: Recording the video seemed to work correctly but it was not added to the form.
Before filing bug, recommended to install pending Android update. Under Android 6.0 after recording the video black screeen is displayed with Play, Check (ok) and Cross (cancel) icon. None of the icons can be pressed and after while the message Shield Camera isn responding. Do you want to close it? is displayed.</t>
  </si>
  <si>
    <t>2016-09-05</t>
  </si>
  <si>
    <t>getodk-collect-188</t>
  </si>
  <si>
    <t>Collect: Cascading select demo forms cause crash</t>
  </si>
  <si>
    <t>&lt;a href https: github.com yanokwa &gt;&lt;img src https: 32369?v align left width 96 height 96 hspace 10 &gt;&lt; img&gt;&lt; a&gt; **Issue by yanokwa (https: github.com yanokwa)**
Saturday Nov 21, 2015 at 11:26 GMT
Originally opened as https: github.com opendatakit opendatakit issues 1179 (1 comment(s))
Both Cascading Select and Cascading Triple Select demo forms seem to cause crashes and weird behavior on Collect. Seems to happen on second open.</t>
  </si>
  <si>
    <t>getodk-collect-175</t>
  </si>
  <si>
    <t>WebUtils.createOpenRosaHttpHead can throw uncaught IllegalArgumentException</t>
  </si>
  <si>
    <t>&lt;a href https: github.com mitchellsundt &gt;&lt;img src https: 2281171?v align left width 96 height 96 hspace 10 &gt;&lt; img&gt;&lt; a&gt; **Issue by mitchellsundt (https: github.com mitchellsundt)**
Thursday Jul 09, 2015 at 19:46 GMT
Originally opened as https: github.com opendatakit opendatakit issues 1147 (0 comment(s))
Originally reported on Google Code with ID 1146
What steps will reproduce the problem?
1. Enter an ODK Collect URL with leading space (e.g. https: foobar.com
2. Attempt to submit form
What is the expected output? What do you see instead?
Expected outcome: ODK Collect should indicate that the URL is invalid
Actual outcome: ODK Collect crashes
Please provide any additional information below.
uses java.net.URI.create without catching the thrown
This only manifests itself when forms are uploaded. This
bit us during training exercise when half our users were unable to upload forms from
the field with ODK crashing when they tried. When got the devices back, found
this in the logfile:
in scheme at index 0: https: &lt;URI removed&gt;
Fix is simple:
1) trim() the URI string before attempting to create URI, to make this more robust
2) Delcare that the method throws and catch it in</t>
  </si>
  <si>
    <t>getodk-collect-156</t>
  </si>
  <si>
    <t>ODK Crashes when itemsets.csv is empty</t>
  </si>
  <si>
    <t>&lt;a href https: github.com mitchellsundt &gt;&lt;img src https: 2281171?v align left width 96 height 96 hspace 10 &gt;&lt; img&gt;&lt; a&gt; **Issue by mitchellsundt (https: github.com mitchellsundt)**
Thursday Jul 09, 2015 at 19:45 GMT
Originally opened as https: github.com opendatakit opendatakit issues 1090 (0 comment(s))
Originally reported on Google Code with ID 1089
What steps will reproduce the problem?
1. Provide an xform together with an empty itemset.csv
2. Choose Fill Blank form
What is the expected output? What do you see instead?
Should start the survey. Instead ODK crashes:
this operation because there is no current transaction.
What version of the product are you using? On what operating system?
Please provide any additional information below.
We always include itemsets.csv file in the manifest because we generate xforms on
demand and so don know ahead of time if survey will require itemsets. For those
that do not, we were serving an empty itemsets.csv. We have worked around the problem
by adding dummy itemset with one item that is never referenced, but it took awhile
to figure out :-)</t>
  </si>
  <si>
    <t>getodk-collect-155</t>
  </si>
  <si>
    <t>Manually deleting group instances can cause crashes</t>
  </si>
  <si>
    <t>&lt;a href https: github.com mitchellsundt &gt;&lt;img src https: 2281171?v align left width 96 height 96 hspace 10 &gt;&lt; img&gt;&lt; a&gt; **Issue by mitchellsundt (https: github.com mitchellsundt)**
Thursday Jul 09, 2015 at 19:45 GMT
Originally opened as https: github.com opendatakit opendatakit issues 1084 (0 comment(s))
Originally reported on Google Code with ID 1083
What steps will reproduce the problem?
1. Put calculate field that calls position(..) into repeat group.
2. Create three instances of the repeat group in Collect.
3. Long-click and delete instance 1.
What is the expected output? What do you see instead?
You expect things to work fine, but you get null pointer exception instead.
Please use labels and text to provide additional information.
The problem has to do with cached (but newly invalid) TreeElements. The proposed fix
This has been tested briefly in SurveyCTO Collect. We ll test it more and then plan
to release as part of 1.30.</t>
  </si>
  <si>
    <t>getodk-collect-149</t>
  </si>
  <si>
    <t>blank columns in csv cause crash</t>
  </si>
  <si>
    <t>&lt;a href https: github.com mitchellsundt &gt;&lt;img src https: 2281171?v align left width 96 height 96 hspace 10 &gt;&lt; img&gt;&lt; a&gt; **Issue by mitchellsundt (https: github.com mitchellsundt)**
Thursday Jul 09, 2015 at 19:44 GMT
Originally opened as https: github.com opendatakit opendatakit issues 1061 (0 comment(s))
Originally reported on Google Code with ID 1060
If the itemsets.csv has empty columns, Collect 1.4.4 will crash.
id integer primary key autoincrement list name text name text label
text AI01 text AI02 text AS02 text AI05 text text text
Attachment: itemsets.csv (https: opendatakit issue-1060 comment-0 itemsets.csv)
Attachment: Selection2.csv (https: opendatakit issue-1060 comment-0 Selection2.csv)
Attachment: Testing.xlsx (https: opendatakit issue-1060 comment-0 Testing.xlsx)
Attachment: Testing.xml (https: opendatakit issue-1060 comment-0 Testing.xml)</t>
  </si>
  <si>
    <t>getodk-collect-145</t>
  </si>
  <si>
    <t>Date May 01 1990 crashed ODK</t>
  </si>
  <si>
    <t>&lt;a href https: github.com mitchellsundt &gt;&lt;img src https: 2281171?v align left width 96 height 96 hspace 10 &gt;&lt; img&gt;&lt; a&gt; **Issue by mitchellsundt (https: github.com mitchellsundt)**
Thursday Jul 09, 2015 at 19:43 GMT
Originally opened as https: github.com opendatakit opendatakit issues 1049 (2 comment(s))
Originally reported on Google Code with ID 1048
What steps will reproduce the problem?
1. Open the attached XLSForm in ODK
2. Enter the date May 01 1990
3. Go the next page
What is the expected output? What do you see instead?
It should be able to move to the next page. Instead, ODK crashes.
What version of the product are you using? On what operating system?
4.4.4, build number KTU84P. The language locale is English (United States).
Please provide any additional information below.
Yaw Anokwa tested this on Nexus 4, and he faced no issues.
Attachment: test-date.xlsx (https: opendatakit issue-1048 comment-0 test-date.xlsx)
Attachment: logfile.txt (https: opendatakit issue-1048 comment-0 logfile.txt)</t>
  </si>
  <si>
    <t>getodk-collect-137</t>
  </si>
  <si>
    <t>repeat_count not working for embedded repeats</t>
  </si>
  <si>
    <t>&lt;a href https: github.com mitchellsundt &gt;&lt;img src https: 2281171?v align left width 96 height 96 hspace 10 &gt;&lt; img&gt;&lt; a&gt; **Issue by mitchellsundt (https: github.com mitchellsundt)**
Thursday Jul 09, 2015 at 19:41 GMT
Originally opened as https: github.com opendatakit opendatakit issues 1021 (0 comment(s))
Originally reported on Google Code with ID 1020
working on form which has two repeat groups. The first one records the information
about all household members and another one recording the education of the household
member. Problem is that want to limit the occurrence of the second group based on
the number of household members recorded in the first group. It seems that repeat count
should be used for the job but it makes ODK collect crash. If remove the corresponding
syntax, it works fine.</t>
  </si>
  <si>
    <t>getodk-collect-132</t>
  </si>
  <si>
    <t>Show error message when trying to use GPS but Play Services isn't installed</t>
  </si>
  <si>
    <t>&lt;a href https: github.com mitchellsundt &gt;&lt;img src https: 2281171?v align left width 96 height 96 hspace 10 &gt;&lt; img&gt;&lt; a&gt; **Issue by mitchellsundt (https: github.com mitchellsundt)**
Thursday Jul 09, 2015 at 19:40 GMT
Originally opened as https: github.com opendatakit opendatakit issues 1009 (1 comment(s))
Originally reported on Google Code with ID 1008
The issue we encountered with ODK Collect is the following
When am filling the form and want to change the location using the GPS, we got
message error Unfortunately, ODK Collect has stopped. Then thought the GPS doesn
work, therefore tried an apps using the GPS and it seems to work perfectly.
you need to run Google Services, otherwise ODK Collect will crash instantaneously when
you try to get the location.
The tablet are Acer Iconia B1-710, running with Android 4.1.2
You will find the log file and the form attached
Attachment: logfile.txt (https: opendatakit issue-1008 comment-0 logfile.txt)
Attachment: RCA Suivi des prix 1.xml (https: opendatakit issue-1008 comment-0 RCA Suivi des prix 1.xml)</t>
  </si>
  <si>
    <t>getodk-collect-126</t>
  </si>
  <si>
    <t>regex causes ODK to crash</t>
  </si>
  <si>
    <t>&lt;a href https: github.com mitchellsundt &gt;&lt;img src https: 2281171?v align left width 96 height 96 hspace 10 &gt;&lt; img&gt;&lt; a&gt; **Issue by mitchellsundt (https: github.com mitchellsundt)**
Thursday Jul 09, 2015 at 19:38 GMT
Originally opened as https: github.com opendatakit opendatakit issues 984 (4 comment(s))
Originally reported on Google Code with ID 983
The help at http: opendatakit.org help form-design binding warns that complex regex
patterns may cause stack overflow crashes. But think encountering different
problem with similar symptoms. have form that has repeat to solicit any number
of 10 digit ID numbers (mwid). want to check that the ID numbers are not duplicated.
Which am doing by (a) having calculated field outside the repeat (mwids) for which
the calculation is:
join( ,$ mwid
and (b) required question inside the loop with relevant condition:
regex($ mwids ,concat($ mwid .*? ,$ mwid ))
and constraint false().
This all works, as long as don enter more than ID numbers. If enter or more
ID numbers, it all seems to work until the form is saved. At which point, ODK Collect
stopped unexpectedly. Please try again. But before it crashes, it has written (in
the .cache folder) an .xml.save file containing all the data from the current instance.
If enter or numbers, ODK sometimes crashes and sometimes doesn t. If make the
ID number digits instead of 10 digits, can enter more ID numbers before the crash</t>
  </si>
  <si>
    <t>getodk-collect-118</t>
  </si>
  <si>
    <t>ODK crashing on question - No error in excel coding</t>
  </si>
  <si>
    <t>&lt;a href https: github.com mitchellsundt &gt;&lt;img src https: 2281171?v align left width 96 height 96 hspace 10 &gt;&lt; img&gt;&lt; a&gt; **Issue by mitchellsundt (https: github.com mitchellsundt)**
Thursday Jul 09, 2015 at 19:36 GMT
Originally opened as https: github.com opendatakit opendatakit issues 955 (1 comment(s))
Originally reported on Google Code with ID 954
What steps will reproduce the problem?
1.Run the form
2.Arriving to L4 question
What is the expected output? What do you see instead?
The form should continue normally to the end
What version of the product are you using? On what operating system?
Please provide any additional information below.
Attached Log Error Form in Excel
Attachment: device info.zip (https: opendatakit issue-954 comment-0 device info.zip)</t>
  </si>
  <si>
    <t>getodk-collect-113</t>
  </si>
  <si>
    <t>jr:repeat-count crashes after going back and changing values that specify a new count limit.</t>
  </si>
  <si>
    <t>&lt;a href https: github.com mitchellsundt &gt;&lt;img src https: 2281171?v align left width 96 height 96 hspace 10 &gt;&lt; img&gt;&lt; a&gt; **Issue by mitchellsundt (https: github.com mitchellsundt)**
Thursday Jul 09, 2015 at 19:33 GMT
Originally opened as https: github.com opendatakit opendatakit issues 914 (2 comment(s))
Originally reported on Google Code with ID 913
Dear Sirs Madam,
am currently working on form which does:
1. Ask if there are mosquito nets in the household (select1 question, YES NO)
2. Ask for the number of mosquito nets (int) (relevant if answer to above is YES)
3. Loop for each mosquito net (using the above answer to inform jr:count)
Ask mosquito net specific questions.
If the fieldworker goes through the process in linear fashion (no going back to amend
previous answers) there is no problem. However if the user goes from step 1-3, then
suddenly goes back to step and change the response from YES to NO (rendering step
two irrelevant), there is crash, stack trace below:
believe this is because the jr:count value for the question loop changes because
question is no longer relevant. Does anyone have suggestion how this could be implemented?
was trying to do an
If(selected(qtn1, NO then currentNode 0, else currentNode userInput)
&lt;bind nodeset form agepassed q23 calculate if(selected( form agepassed q22,
0, form agepassed q23) ...</t>
  </si>
  <si>
    <t>getodk-collect-94</t>
  </si>
  <si>
    <t>Invalid form crashes odk collect</t>
  </si>
  <si>
    <t>&lt;a href https: github.com mitchellsundt &gt;&lt;img src https: 2281171?v align left width 96 height 96 hspace 10 &gt;&lt; img&gt;&lt; a&gt; **Issue by mitchellsundt (https: github.com mitchellsundt)**
Thursday Jul 09, 2015 at 19:17 GMT
Originally opened as https: github.com opendatakit opendatakit issues 790 (2 comment(s))
Originally reported on Google Code with ID 789
What steps will reproduce the problem?
1. Use form with nested groups, both having appearance field-list
What is the expected output? What do you see instead?
When moving to the invalid group ODK collect crashes, and by reading the crash report
found out that group with appearance field-list can only contain questions and
no groups. Not really sure if the validator allowed this, will check that later.
What version of the product are you using? On what operating system?
Please provide any additional information below.
will attach small sample form later.</t>
  </si>
  <si>
    <t>getodk-collect-51</t>
  </si>
  <si>
    <t>empty group crashes ODK Collect</t>
  </si>
  <si>
    <t>&lt;a href https: github.com mitchellsundt &gt;&lt;img src https: 2281171?v align left width 96 height 96 hspace 10 &gt;&lt; img&gt;&lt; a&gt; **Issue by mitchellsundt (https: github.com mitchellsundt)**
Thursday Jul 09, 2015 at 18:30 GMT
Originally opened as https: github.com opendatakit opendatakit issues 438 (4 comment(s))
Originally reported on Google Code with ID 437
What steps will reproduce the problem?
1. install the attached form (.xml file) on device
2. open Collect and start new form, choose JavaRosa-Test
3. browse past the first page
What is the expected output? What do you see instead?
expect to see the last page. Instead, Collect crashes.
What version of the product are you using? On what operating system?
Collect 1.1.7-RC2 on Samsung Galaxy Tab P1000
Please provide any additional information below.
Attachment: odk collect crash empty group.xls (https: opendatakit issue-437 comment-0 odk collect crash empty group.xls)
Attachment: odk collect crash empty group.xml (https: opendatakit issue-437 comment-0 odk collect crash empty group.xml)</t>
  </si>
  <si>
    <t>getodk-collect-43</t>
  </si>
  <si>
    <t>odk collect 1.1.7 crashes getting formlist</t>
  </si>
  <si>
    <t>&lt;a href https: github.com mitchellsundt &gt;&lt;img src https: 2281171?v align left width 96 height 96 hspace 10 &gt;&lt; img&gt;&lt; a&gt; **Issue by mitchellsundt (https: github.com mitchellsundt)**
Thursday Jul 09, 2015 at 18:13 GMT
Originally opened as https: github.com opendatakit opendatakit issues 336 (7 comment(s))
Originally reported on Google Code with ID 335
trying to implement custom server, so there almost surely an issue on the server
side however, even in the case of wrong or even malicious response from the server,
ODK collect should never crash.
It looks like it crashes when retrieving the formList over https if the server doesn
have valid certificate (I only guessing)
What steps will reproduce the problem?
1. get the form list from server with https without certificate
What is the expected output? What do you see instead?
Expected is some meaningful error message to the user saying that the identity of the
server cannot be verified
Observed is that ODK Collect crashes
think this is the relevant part of the log:
external 0K 0K, paused 1ms+1ms
while executing doInBackground()</t>
  </si>
  <si>
    <t>getodk-collect-32</t>
  </si>
  <si>
    <t>Memory Issues with Images</t>
  </si>
  <si>
    <t>&lt;a href https: github.com mitchellsundt &gt;&lt;img src https: 2281171?v align left width 96 height 96 hspace 10 &gt;&lt; img&gt;&lt; a&gt; **Issue by mitchellsundt (https: github.com mitchellsundt)**
Wednesday Jul 08, 2015 at 22:55 GMT
Originally opened as https: github.com opendatakit opendatakit issues 106 (3 comment(s))
Originally reported on Google Code with ID 105
What steps will reproduce the problem?
1. Use the widget form from the ODK repo
2. Take photo in the image question
3. Retake the photo after it displays
4. It should crash
What is the expected output? What do you see instead?
get this error from the log (http: dpaste.com 223770
What version of the product are you using? On what operating system?
v1.1.4 on Cyanogenmod 5.0.8
Please provide any additional information below.</t>
  </si>
  <si>
    <t>getodk-collect-31</t>
  </si>
  <si>
    <t>crash when changing to landscape mode during form entry</t>
  </si>
  <si>
    <t>&lt;a href https: github.com mitchellsundt &gt;&lt;img src https: 2281171?v align left width 96 height 96 hspace 10 &gt;&lt; img&gt;&lt; a&gt; **Issue by mitchellsundt (https: github.com mitchellsundt)**
Wednesday Jul 08, 2015 at 22:47 GMT
Originally opened as https: github.com opendatakit opendatakit issues 75 (7 comment(s))
Originally reported on Google Code with ID 74
Steps to reproduce:
1.Open form in ODK Collect v1.1.4 while running Android 2.2
The form should go into landscape mode, but instead the form crashes with
popup window saying The application ODK Collect (process
am running Android 2.2 on Nexus One with the latest ODK Collect from
the svn repository (which says v1.1.4). have tested this out on the
Android 2.2 emulator with an identical result. Here is the log from the
phone from the point of switching to landscape while form is open:
imsi 310 260 loc en US touch keys nav orien layout 34
uiMode 17 seq 92
uncaught exception (group 0x4001d7e8)
Unable to start activity
objects 67320 bytes in 113ms
161320 bytes in 101ms
632496 bytes in 58ms
giving up wake lock!</t>
  </si>
  <si>
    <t>Karumi-Dexter-86</t>
  </si>
  <si>
    <t>java.lang.RuntimeException: Unknown exception code: 1 msg null</t>
  </si>
  <si>
    <t>don have that many users but have few occurrences of this exception. Not many for the number of users but still it annoying that it crashes for some people.
Caused by Unknown exception code: msg null
AFAIK, this is the same issue as hotchemi and Appboy
have PR for this in this works (credits to original fix developers) which ll post in few minutes...</t>
  </si>
  <si>
    <t>GregHilston-rsi-companion-2</t>
  </si>
  <si>
    <t>App crashes when switching to next or previous exercise before timer has been started</t>
  </si>
  <si>
    <t>Gericop-Android-Support-Preference-V7-Fix-44</t>
  </si>
  <si>
    <t>Crashes in SwitchPreferencesCompat</t>
  </si>
  <si>
    <t>Got some crashes from
This came from developer console and can reproduce it from my test devices. Could it be the animation when switching state?</t>
  </si>
  <si>
    <t>2016-09-06</t>
  </si>
  <si>
    <t>Cloudkibo-Android-183</t>
  </si>
  <si>
    <t>Video call crashed on Android 6.0</t>
  </si>
  <si>
    <t>had been testing video calls between 5.0 and 5.0 and it has alway worked. Today, tested between 5.0 and 6.0 and app on 6.0 got crashed. Then after reading understood that on Android 6.0 we have to explicitly ask permission of user for such access due to increased security reasons. Here is the acra trace of crash:
&lt;img width 1162 alt screen shot 2016-09-06 at 11 32 05 pm src https: assets 5811465 18286369</t>
  </si>
  <si>
    <t>fossasia-phimpme-android-20</t>
  </si>
  <si>
    <t>Settings features not working, app crash on click.</t>
  </si>
  <si>
    <t>Most of the features in settings activity are not working.
On click app crashed.</t>
  </si>
  <si>
    <t>alter-ego-androidbound-56</t>
  </si>
  <si>
    <t>Parsing null specs shouldn't crash</t>
  </si>
  <si>
    <t>when parsing binding strings like binding SourceUri 70, 1.0, png, 80, fill that extraneous at the end will confuse the parser and he will try to parse the spec which is null
here the (incomplete) stacktrace:</t>
  </si>
  <si>
    <t>SufficientlySecure-document-viewer-211</t>
  </si>
  <si>
    <t>Crash on x86 API 10 (Google APIs) emulator</t>
  </si>
  <si>
    <t>Open PDF, and DV crashes.</t>
  </si>
  <si>
    <t>Flaredown-FlaredownAndroid-61</t>
  </si>
  <si>
    <t>App Crashes When Browsed Quickly</t>
  </si>
  <si>
    <t>If you change dates and browse the check in (not summary view) the following error occurs and the application crashes. (If it doesn happen first time keep changing dates and rapidly changing the page).</t>
  </si>
  <si>
    <t>2016-09-07</t>
  </si>
  <si>
    <t>bitstadium-HockeySDK-Android-174</t>
  </si>
  <si>
    <t>SendFeedbackTask crashes if no Internet available</t>
  </si>
  <si>
    <t>throws an uncaught exception if no Internet is available because it seems (https: github.com bitstadium HockeySDK-Android blob develop hockeysdk src main java net hockeyapp android tasks throws RuntimeException if no address for the given host is available:</t>
  </si>
  <si>
    <t>alter-ego-androidbound-57</t>
  </si>
  <si>
    <t>BindableRecyclerView shouldn't crash for unknown objects</t>
  </si>
  <si>
    <t>when the is looking for templates for objects, it shouldn crash if the object is not present.</t>
  </si>
  <si>
    <t>translation-cards-translation-cards-291</t>
  </si>
  <si>
    <t>Crash when duplicate audio files</t>
  </si>
  <si>
    <t>1. Import: Austin Test Deck 2.zip (https: github.com translation-cards translation-cards files 458165 (github won let you upload it unless it .zip)
2. Go to Farsi tab
The farsi language in this deck has two translations with the same audio file. assume this is the cause for the crash, but the deck also does not have the same translations across all three languages so it could be related to that.
don think it should be expected that decks from the txcmaker will be set up in this manner, but wanted to document the crash.</t>
  </si>
  <si>
    <t>gsantner-dandelion-65</t>
  </si>
  <si>
    <t>Splashscreen images consume massive memory</t>
  </si>
  <si>
    <t>#### General information
**Device:** especially devices with low memory
**Android Version:** doesn matter
**Pod:** doesn matter
**Diaspora pod version:** doesn matter
**App source:** doesn matter
**App version:** HEAD
searched open and closed issues for duplicates
read &lt;https: github.com diaspora-android blob master CONTRIBUTING.md&gt;
not submitted translations see Crowdin (https: crowdin.com project invite)
#### Steps to reproduce
1. Open app
2. See logcat for evidence :D
#### Expected result
What is the expected output?
DfA consumes little memory resources
What do you see instead?
Rendering the Splash Screen image costs lot of memory. Its so bad, that emulators with default configuration crash when starting the app. Logcat suggests, that background apps are killed to free memory for DfA.
#### Debug output</t>
  </si>
  <si>
    <t>2016-09-08</t>
  </si>
  <si>
    <t>GEANT-CAT-Android-4</t>
  </si>
  <si>
    <t>Null pointer crash on WifiController.checkEduroamSSID</t>
  </si>
  <si>
    <t>GEANT-CAT-Android-3</t>
  </si>
  <si>
    <t>null pointer crash for WifiController.checkSSID</t>
  </si>
  <si>
    <t>GEANT-CAT-Android-2</t>
  </si>
  <si>
    <t>crash report on WifiController.checkEduroamAnon</t>
  </si>
  <si>
    <t>Caused by: Attempt to invoke interface method java.util.Iterator on null object reference</t>
  </si>
  <si>
    <t>krtkush-MarsExplorer-1</t>
  </si>
  <si>
    <t>Manage App's memory consumption</t>
  </si>
  <si>
    <t>3. https: stackoverflow.com questions 8177802
5. http: doublenegative.com
Loading multiple tabs makes the app stutre and ultimately crash with</t>
  </si>
  <si>
    <t>k9mail-k-9-1607</t>
  </si>
  <si>
    <t xml:space="preserve">Composer crashes when an invalid mail address is about to be shown in recipient selector </t>
  </si>
  <si>
    <t>### Steps to reproduce
1. create contact with name and an invalid mail address, e. g. (none)
2. click to compose new message
3. type first letters of the contact name until it should be shown
K-9 Mail version: 5.111 (master)</t>
  </si>
  <si>
    <t>2016-09-09</t>
  </si>
  <si>
    <t>alhazmy13-MediaPicker-10</t>
  </si>
  <si>
    <t>Crash on Android 7.0</t>
  </si>
  <si>
    <t>Duo to behavior change on Android 7.0, library start to produce following crash when trying to capture image from Camera:
In Android 7.0, file: is not allowed anymore to pass with Intent and should be replaced with content: while declaring file provider in the manifest file.</t>
  </si>
  <si>
    <t>IvoGoman-Diabetes-App-69</t>
  </si>
  <si>
    <t>[FileChooser] Ask for storage permission</t>
  </si>
  <si>
    <t>For Android the user can manually assign permissions to the app. Since the user is not asked for permission to access the storage the FileChooser will crash because by default the permission is not granted. There is standard way to ask for permissions on runtime for Android 6, please include this. If the user does not grant the permission, just make the file chooser not to open. Otherwise the app will crash.</t>
  </si>
  <si>
    <t>QuantumBadger-RedReader-383</t>
  </si>
  <si>
    <t>red reader crash</t>
  </si>
  <si>
    <t>Today Evert time open the front page red reader try to update the post list and crash. can see the list appear for moment before crashing</t>
  </si>
  <si>
    <t>leancloud-LeanCloudChatKit-Android-25</t>
  </si>
  <si>
    <t>Android LCIMConversationItemCache.getInstance().deleteConversation(id) crash</t>
  </si>
  <si>
    <t>google-cameraview-1</t>
  </si>
  <si>
    <t>Camera2 always crashes after Permission Dialog</t>
  </si>
  <si>
    <t>1) Build and run the Demo app
2) When the Permission dialog pops up, just accept it
3) Demo app crashes immediately
--- or ---
1) Revoke the Permission from Setting and re-enter the app,
2) after the Permission Rationale dialog is shown, just accept the Permission Dialog
3) watch it crash again.</t>
  </si>
  <si>
    <t>2016-09-10</t>
  </si>
  <si>
    <t>Z3r0byte-Magis-35</t>
  </si>
  <si>
    <t>App crashes while loading 'Cijfers' page</t>
  </si>
  <si>
    <t>Build version: 1.1.4
For few milliseconds the app shows geen cijfers but then it crashes and shows the following:</t>
  </si>
  <si>
    <t>d4rken-reddit-android-appstore-42</t>
  </si>
  <si>
    <t>App crashes when server is unavailable.</t>
  </si>
  <si>
    <t>When the server is unavailable (like blocked in my country) the app will crash rather than displaying an error message.</t>
  </si>
  <si>
    <t>2016-09-11</t>
  </si>
  <si>
    <t>cgeo-cgeo-5948</t>
  </si>
  <si>
    <t>Live map crashing</t>
  </si>
  <si>
    <t>Sine this morning we get complaints about freezing crashing live map.
can reproduce this after short usage of the live map.
As it wasnt the case last days assume we have server issue one again (or still) where cgeo crashes instead of catching the error and giving proper error message.
Maybe someone can reproduce and provide log.
IMHO we should urgently fix this because people blame cgeo for this.</t>
  </si>
  <si>
    <t>Intelehealth-Android-Mobile-Client-163</t>
  </si>
  <si>
    <t>App crashes if you click BMI before filling out weight</t>
  </si>
  <si>
    <t>In Table Exam, clicked BMI before filled out weight. got an Unfortunately Intelehealth Client has Stopped message. Afterwards, the app reopened to second level question screens, where had to re-input all the data.</t>
  </si>
  <si>
    <t>RFO-BASIC-Basic-216</t>
  </si>
  <si>
    <t>RUN "" crashes BASIC!</t>
  </si>
  <si>
    <t>Calling RUN with empty string as parameter crashes BASIC! with null pointer exception on called from
See related post in the forum (http:
have very simple fix (1 line), in Run.executeRun() that will try to release with the new RUN enhancement (which is restarting the current program if called without parameter, goes along with the new PROGRAM.PATH &lt;runningBas svar&gt; command).</t>
  </si>
  <si>
    <t>lostzen-lost-107</t>
  </si>
  <si>
    <t>Location listener demo crashes on first launch</t>
  </si>
  <si>
    <t>After installing demo app and launching for the first time if you navigate to the LocationListener demo activity the app crashes. User is never prompted to agree to location permissions.
### Steps to Reproduce
1. Uninstall demo app (if installed)
2. Install demo app
3. Launch and navigate to FusedLocationApi LocationListener example
4. Runtime permission dialog will not be displayed and app will force quit
### Lost Android Version
Lost 1.1.2-SNAPSHOT (local build on master)</t>
  </si>
  <si>
    <t>2016-09-12</t>
  </si>
  <si>
    <t>wasdennnoch-AndroidN-ify-830</t>
  </si>
  <si>
    <t>SystemUI crash when changing to landscape</t>
  </si>
  <si>
    <t>To reproduce the error have to pull down quick settings.</t>
  </si>
  <si>
    <t>OneBusAway-onebusaway-android-691</t>
  </si>
  <si>
    <t>NPE when loading arrivals for trips with null headsigns</t>
  </si>
  <si>
    <t>If you tap on stop to show arrivals and one of the trips has null headsign, you get crash with this stack trace:
FATAL EXCEPTION: main
This happens after https: github.com OneBusAway onebusaway-android issues 690 is fixed.
It rare for trip headsigns to be null but it apparently happens in Puget Sound and RVTD occasionally this trip seems to be the problem at RVTD stop code 610030 (http: oba.rvtd.org:8080 api where 1739 65&amp;app ver 70&amp;version 2&amp;key v1
**Steps to reproduce:**
1. Go to Rogue Valley (RVTD)
2. Go to stop code 610030 (via search or map) and show arrivals for that stop
Not crash and show arrivals
**Device and Android version:**
Reproduced on LG G4 Android 6.0</t>
  </si>
  <si>
    <t>OneBusAway-onebusaway-android-690</t>
  </si>
  <si>
    <t>IllegalArgumentException when loading arrivals for trips with null headsigns</t>
  </si>
  <si>
    <t>If you tap on stop that has trip with null headsign, you get crash with below stack trace:
It rare for trip headsigns to be null but it apparently happens in Puget Sound and RVTD occasionally this trip seems to be the problem at RVTD stop code 610030 (http: oba.rvtd.org:8080 api where 1739 65&amp;app ver 70&amp;version 2&amp;key v1
**Steps to reproduce:**
1. Go to Rogue Valley (RVTD)
2. Go to stop code 610030 (via search or map) and show arrivals for that stop
Not crash and show arrivals
**Device and Android version:**
Reproduced on LG G4 Android 6.0</t>
  </si>
  <si>
    <t>moneymanagerex-android-money-manager-ex-1005</t>
  </si>
  <si>
    <t>IncomeVsExpense Reports crashing the app</t>
  </si>
  <si>
    <t>Clicking on any of the lines crashes the app in my Android in Samsung Note 3.</t>
  </si>
  <si>
    <t>michael-rapp-AndroidPreferenceActivity-18</t>
  </si>
  <si>
    <t>Fix Orientation change crash on Tablets.</t>
  </si>
  <si>
    <t>On Tablets greater then on the second orientation change the fragment would not be null however would not be added to the fragment manager causing crash.</t>
  </si>
  <si>
    <t>forrestguice-SuntimesWidget-58</t>
  </si>
  <si>
    <t>app crash Settings-&gt;General-&gt;DataSource api10</t>
  </si>
  <si>
    <t>The app crashes has stopped unexpectedly when trying to bring up the data source preference from General Settings Tapping the pref causes the crash (list of choices isn displayed).
Tested using v0.2.1 api10 (emulator).</t>
  </si>
  <si>
    <t>2016-09-13</t>
  </si>
  <si>
    <t>alhazmy13-MediaPicker-13</t>
  </si>
  <si>
    <t>Crash when return back from Gallery</t>
  </si>
  <si>
    <t>When return back from Image Gallery without selecting any image, following crash happen:</t>
  </si>
  <si>
    <t>forrestguice-SuntimesWidget-55</t>
  </si>
  <si>
    <t>app crash on SettingsActivity</t>
  </si>
  <si>
    <t>On ActionBar -&gt; Settings the app is crashing the Unfortunately, Suntimes has stopped dialog is displayed.
Tested using v0.2.1 on Toshiba AT270 (7 tablet) (Android version 4.0.3 (api 15).
Tested on phone running Android 4.4.2 (api 19).. crash doesn occur.
Tested on emulator running Android 4.1.1 (api 16) .. crash doesn occur.</t>
  </si>
  <si>
    <t>aviadmini-quickimagepick-3</t>
  </si>
  <si>
    <t>Camera on pre lollipop devices fails/crashes permission error.</t>
  </si>
  <si>
    <t>fixed it by added camera permission code in this commit.
Grant camera permissions so that pre lollipop devices can access the camera and return an image.
param camIntent the intent to grant permissions to
private void camIntent, Uri uri)
List&lt;ResolveInfo&gt; resInfoList DEFAULT ONLY)
for (ResolveInfo resolveInfo resInfoList)
uri, Intent.FLAG GRANT WRITE URI PERMISSION Intent.FLAG GRANT READ URI PERMISSION)</t>
  </si>
  <si>
    <t>mixpanel-mixpanel-android-395</t>
  </si>
  <si>
    <t>ConcurrentModificationException when using addOnMixpanelUpdatesReceivedListener</t>
  </si>
  <si>
    <t>Unregistering consumed listener from callback sometimes causes There is no easy way for the client to unregister listener without risking crash. Reson: MixpanelAPI:2111 (4.9.2) notifying listeners on the loop that directly stores registered listeners.</t>
  </si>
  <si>
    <t>zom-Zom-Android-XMPP-142</t>
  </si>
  <si>
    <t>Zom crashing on using none xmpp-style username</t>
  </si>
  <si>
    <t>Signing into an existing account without username matching the XMPP username pattern causes the app to crash and stays in not usable state. Zom needs to be restarted afterwards. The login needs pattern matcher for usernames and disabled login button as long as the username is not valid.
Crash on split:
Should be checked here:</t>
  </si>
  <si>
    <t>2016-09-14</t>
  </si>
  <si>
    <t>niclabs-adkintunmobile-androidclient-131</t>
  </si>
  <si>
    <t>ActiveConnectionMapBottomSheetDialogFragment.java line 208</t>
  </si>
  <si>
    <t>CodelightStudios-Android-Smart-Login-29</t>
  </si>
  <si>
    <t>Can't log out</t>
  </si>
  <si>
    <t>When try to sign out my superUser, application crashes. Log says that transaction is too large. Below is part of the logcat. the only one with this issue?</t>
  </si>
  <si>
    <t>vector-im-riot-android-501</t>
  </si>
  <si>
    <t>[VoIP] crash in caller side when a started video call is stopped asap</t>
  </si>
  <si>
    <t>The caller side crash on video call, when right after starting the call, the hang up button press is pressed asap..
1. Start video call
2. Immediatley press the hang up button to cancel the call
3. crash (libc: Fatal signal 11 (SIGSEGV)) is triggered</t>
  </si>
  <si>
    <t>vector-im-riot-android-499</t>
  </si>
  <si>
    <t>[VoIP] crash in callee side when a started call is stoped asap</t>
  </si>
  <si>
    <t>The callee side crash when the calling side hangs up right after the call was started.
So far, this crash was only detected on the Galaxy S6
1. caller: Start call
2. caller: Hang up immediately
3. callee: crash</t>
  </si>
  <si>
    <t>harrij15-SquareMeals-35</t>
  </si>
  <si>
    <t>Login keyboard bug fix</t>
  </si>
  <si>
    <t>When the ENTER key is pressed after user inputs login information, the app either goes to the SignUpActivity, or it crashes</t>
  </si>
  <si>
    <t>evernote-android-job-77</t>
  </si>
  <si>
    <t>proguard use -repackageclasses maybe crash</t>
  </si>
  <si>
    <t>proguard set by:
JobManager will throw RuntimeException from this:
private static final String PACKAGE
check the source,I find getPackage() maybe return null object
public Package getPackage()
TODO This might be hack, but the runtime doesn have the necessary info.
ClassLoader loader getClassLoader()
if (loader null)
String packageName getPackageName$()
return packageName null null
add proguard rule:
think solve it, may not be good way.</t>
  </si>
  <si>
    <t>portexe-CompTIA-Aplus-Study-Practice-8</t>
  </si>
  <si>
    <t>java.lang.IllegalStateException: attempt to re-open an already-closed object: SQLiteDatabase: /data/data/com.freeparking.zack.a_plus_practice/databases/Struggling</t>
  </si>
  <si>
    <t>The application has been up for two weeks and we ve only had single crash reported. Here are the full contents of the crash log:
... 11 more</t>
  </si>
  <si>
    <t>2016-09-15</t>
  </si>
  <si>
    <t>Intelehealth-Android-Mobile-Client-164</t>
  </si>
  <si>
    <t>App crashes if you hit OK in the Age entry dialog box when its left blank - Add New Patient screen</t>
  </si>
  <si>
    <t>Sequence of steps:
Add New Patient Screen Age Dialog box opens with Please enter age in years If hit OK without entering anything here, it crashes.
(It doesn matter what else have entered on the screen, whether ve entered the age using the DOB date picker dialog before doing this or not).</t>
  </si>
  <si>
    <t>zom-Zom-Android-XMPP-145</t>
  </si>
  <si>
    <t>on verify contact, handle no OTR session crash</t>
  </si>
  <si>
    <t>cgeo-cgeo-5965</t>
  </si>
  <si>
    <t>java.lang.SecurityException accessing location through gms</t>
  </si>
  <si>
    <t>We regularly get such crashes fro Android 6.0 and 7.0 devices. could reproduce it by denying location access for c:geo in the app settings.
Perhaps we should try to expect this, capture it and inform the user accordingly.</t>
  </si>
  <si>
    <t>fennifith-Status-30</t>
  </si>
  <si>
    <t>Random crash</t>
  </si>
  <si>
    <t>cgeo-cgeo-5963</t>
  </si>
  <si>
    <t>Gradle build daemon crash (or kill)</t>
  </si>
  <si>
    <t>This also seem to make builds fail as tests are interrupted and no results are gathered.
Gradle build daemon disappeared unexpectedly (it may have been killed or may have crashed)
Bananeweizen Any idea of what might be wrong?
Would there be timeout somewhere in the Jenkins configuration that would kill the gradle daemon process?</t>
  </si>
  <si>
    <t>MattiaPrimavera-PieSender-21</t>
  </si>
  <si>
    <t>crash on orientation change</t>
  </si>
  <si>
    <t>k3b-APhotoManager-71</t>
  </si>
  <si>
    <t>APM crashes when attempting to view details of whatsapp image</t>
  </si>
  <si>
    <t>in Whatsapp, open picture sb sent you view in gallery
choose APM if not the standard to view the image
tap the overflow menu, tap more, tap Details and APM will crash</t>
  </si>
  <si>
    <t>2016-09-16</t>
  </si>
  <si>
    <t>IvoGoman-Diabetes-App-76</t>
  </si>
  <si>
    <t>Return of GetDay false</t>
  </si>
  <si>
    <t>As mentioned in #74 there are too many cursors open.
The GetDay Method in the DatabaseHandler class does not work as it is supposed to.
For example if you try to retrieve the Items for July 6th it will return 172 Items and crash.
Another time it will return 86 items and don crash.
If am copying the Database to my laptop and run the exact same query then will get the correct result.
have the same problem for the Method, which was working fine until Tuesday and now it does not return any values in the app, while running the query on the database on my laptop works fine.
assigned everybody who did changes to the database in the last days maybe you know what could be the issue at hand.</t>
  </si>
  <si>
    <t>IvoGoman-Diabetes-App-73</t>
  </si>
  <si>
    <t>Food Recommendation</t>
  </si>
  <si>
    <t>App crashes after fresh install and beeing granted all permissions
Caused by: length index -1</t>
  </si>
  <si>
    <t>IvoGoman-Diabetes-App-72</t>
  </si>
  <si>
    <t>[HistoryFragment/DataBaseHandler] App crashes when showing history</t>
  </si>
  <si>
    <t>Cloudkibo-Android-189</t>
  </si>
  <si>
    <t>App crashing on opening of application</t>
  </si>
  <si>
    <t>It was also experienced by Sir Jawaid that sometimes app did crash on start. found the logs in acra for this.
&lt;img width 1218 alt screen shot 2016-09-16 at 57 33 am src https: assets 5811465 18575710</t>
  </si>
  <si>
    <t>farkam135-GoIV-420</t>
  </si>
  <si>
    <t>Better bound-checking when cutting images</t>
  </si>
  <si>
    <t>Somehow, sometimes, we go out-of-bounds when extracting the name from bitmap: http: crashes.to c9a025fd5e9.</t>
  </si>
  <si>
    <t>2016-09-17</t>
  </si>
  <si>
    <t>redsolution-xabber-android-663</t>
  </si>
  <si>
    <t>Crashes when receiving message in MUC</t>
  </si>
  <si>
    <t>When receive new message in multi-user-chat, Xabber is crashing with exception below. Only happens when have the MUC chat window open.
Affects Xabber Beta 1.0.74</t>
  </si>
  <si>
    <t>lgallard-qBittorrent-Controller-109</t>
  </si>
  <si>
    <t>Not working with Nexus 5X with Android 7</t>
  </si>
  <si>
    <t>App no longer works when updated my Nexus 5X to Android 7.0. The app will open but as soon as tap on torrent that is downloading the app crashes. Maybe some testing with Android is needed and an update to Fix the bug.
Reported by Nathan (Google Play Console)</t>
  </si>
  <si>
    <t>2016-09-18</t>
  </si>
  <si>
    <t>mvysny-aedict-700</t>
  </si>
  <si>
    <t>Crash on Kanji search (BlackBerry 10)</t>
  </si>
  <si>
    <t>When using the Kanji search feature the app will crash and give an Unfortunately, Aedict has stopped This happens specifically when the kanji icons are tapped. ran the self check and 15 tests passed, failed and crashed. have included screen shot of which crashed.
understand that BlackBerry is most likely not large seller, but it would be greatly appreciated if fix were possible as Aedict is really useful.</t>
  </si>
  <si>
    <t>2016-09-19</t>
  </si>
  <si>
    <t>Cloudkibo-Android-198</t>
  </si>
  <si>
    <t>Version 54 crashes and cannot be opened</t>
  </si>
  <si>
    <t>installed the latest version and cannot open Kibochat. It crashes all the time.</t>
  </si>
  <si>
    <t>2016-09-20</t>
  </si>
  <si>
    <t>fullstackreact-react-native-firestack-32</t>
  </si>
  <si>
    <t>runtime crash: Symbol not found: _OBJC_CLASS_$_AppDelegate</t>
  </si>
  <si>
    <t>Hey there, starting with this commit: d737b3697d11e unable to run my project. get the following error right after the app launches:
Referenced from: Users michaelsurowiec Library Developer Xcode DerivedData Build Products libFirestack.a
Expected in: flat namespace
in Users michaelsurowiec Library Developer Xcode DerivedData Build Products libFirestack.a</t>
  </si>
  <si>
    <t>nextcloud-android-279</t>
  </si>
  <si>
    <t>dismiss(DialogFragment) after pause/resume crashes</t>
  </si>
  <si>
    <t>### Steps to reproduce
1. Enable the app passcode
2. Open the share view and share file folder by link
3. Minimize the app using the device main button with the share view in foreground
4. Open again to the app
### Actual behaviour
Passcode view is displayed and app crashes
### Expected behaviour
Passcode view is displayed
### Stack Trace</t>
  </si>
  <si>
    <t>processing-processing-android-253</t>
  </si>
  <si>
    <t>Application randomly (mostly) crashed at start.</t>
  </si>
  <si>
    <t>When building sketch with Processing IDE 3.2.1 in Android Mode on PC, installed APK fails to start on mobile phone, randomly crashing at start. After hitting the icon several times it might run well. Same sketch compiled with APDE on the phone itself runs perfectly.
My phone is: Philips Xenium I908 (with FullHD display 1920x1080 and GB RAM)
My pc runs: Windows 8.1 Pro x64 and Processing 3.2.1 (x64) Android Mode 3.0.1
Processing IDE gives me this when app crashes:
FATAL EXCEPTION: Animation Thread
Process: 160921a, PID: 5683</t>
  </si>
  <si>
    <t>2016-09-21</t>
  </si>
  <si>
    <t>k9mail-k-9-1627</t>
  </si>
  <si>
    <t>App crashes after tapping the compose email button</t>
  </si>
  <si>
    <t>**I am having the same issue as the one listed here: https: github.com k9mail k-9 issues 1112**
### Expected behavior
After tapping the compose button compose window should appear, so can type an email to someone.
### Actual behavior
After tapping the compose button the app crashes and messages pops up saying that K-9 Mail has crashed.
### Steps to reproduce
1. Open K-9 Mail
2. Tap the compose button (plus sign on top of letter icon)
K-9 Mail version: **5.111 (Current Alpha)**
Android version: **Droid Bionic (targa) 4.1.2**
Account type (IMAP, POP3, WebDAV Exchange): **IMAP**</t>
  </si>
  <si>
    <t>osmdroid-osmdroid-424</t>
  </si>
  <si>
    <t>MyLocationNewOverlay memory leak</t>
  </si>
  <si>
    <t>am getting this exception every time leave and reenter the Fragment that contains the map:
tried this on my onDestroyView method:
public void onDestroyView()
if mapEventOverlay null)
if myLocationOverlay null)
am in hurry and cannot fix this problem. Any suggestion?
It is also happening on the demo app. If you try to enter exit several times it crashes with the same Exception.
Thanks in advance.</t>
  </si>
  <si>
    <t>koelleChristian-trickytripper-21</t>
  </si>
  <si>
    <t>ExtraTranslation error</t>
  </si>
  <si>
    <t>get some ExtraTranslation lint errors. Please either fix them or disable them with android lintOptions disable ExtraTranslation in your build.gradle:
Explanation for issues of type ExtraTranslation
If string appears in specific language translation file, but there is
no corresponding string in the default locale, then this string is probably
unused. (It technically possible that your application is only intended
to run in specific locale, but it still good idea to provide
Note that these strings can lead to crashes if the string is looked up on
any locale not providing translation, so it important to clean them</t>
  </si>
  <si>
    <t>eleme-Amigo-73</t>
  </si>
  <si>
    <t>Apply a new patch APK based on the working patch apk would crash</t>
  </si>
  <si>
    <t>Running host apk and apply patch apk. Now running on the patch apk. And when apply newer patch apk, release process crashes.</t>
  </si>
  <si>
    <t>Intelehealth-Android-Mobile-Client-184</t>
  </si>
  <si>
    <t>App crashes when starting new visit</t>
  </si>
  <si>
    <t>Can move past the patient summary screen, app crashes on clicking Start New Visit
Android version 4.4.4</t>
  </si>
  <si>
    <t>2016-09-22</t>
  </si>
  <si>
    <t>mauron85-cordova-plugin-background-geolocation-173</t>
  </si>
  <si>
    <t>Geolocation does not stop after closing and reopening the app</t>
  </si>
  <si>
    <t>Plugin version: 2.2.1
OS version: 6.0.1
Device manufacturer and model: LG Nexus 5, same problem with Nexus 5x
Cordova version: built with phonegap build cli-6.3.0
Cordova platform version: 5.2.1
Plugin configuration options:
Tracking starts normally and all locations are sent to the server,
even if the app is closed by the user.
The problem is that when the app is started again, stoping tracking
does not work the background service does not close.
If try to close the app afterwards android crashes.
Leave app running or pause it and resume it.
Tracking terminates normally.
Close app and open it again.
Tracking does not terminate and there is android error after closing the app.
Close app and open it again.
Tracking does not terminate.
Tracking terminates and no errors after closing app.
Log for the java error
Is there way to prevent this from happening or am just using the plugin wrong?</t>
  </si>
  <si>
    <t>k9mail-k-9-1628</t>
  </si>
  <si>
    <t>Problems opening an email</t>
  </si>
  <si>
    <t>### Expected behavior
Able to read an email
### Actual behavior
It showas up as download entire message enabled but clicking on it shows nothing, no matter how big make the message size. Can forward it or reply to it either, k9 mail crashes
### Steps to reproduce
1.open this email
K-9 Mail version:
Account type (IMAP, POP3, WebDAV Exchange):</t>
  </si>
  <si>
    <t>Odoo-mobile-framework-228</t>
  </si>
  <si>
    <t>Crash app when create a new customer with photo in the example app</t>
  </si>
  <si>
    <t>Steps to produce:
1. Go to customers and create new one
2. Take picture to attach to customer data
3. Save and crash app</t>
  </si>
  <si>
    <t>farkam135-GoIV-463</t>
  </si>
  <si>
    <t>Crash when scanning screenshot from another Android/iPhone phone</t>
  </si>
  <si>
    <t>friend of mind send me screenshot from an Iphone to check IV, open the text message, clicked on share then GoIV, GoIV crashed.
Took same screenshot, took screenshot of the screenshot using google now, sent to GoIV, calculated successfully.
Could this be bug #420
have galaxy S7 edge, stock, not rooted.
Example screenshot that fails
also, in order to scan must enable powersave mode, even if share the screenshot using the android share button. is this bug?</t>
  </si>
  <si>
    <t>koral---android-gif-drawable-343</t>
  </si>
  <si>
    <t xml:space="preserve">crashed on devices with cpu-x86  </t>
  </si>
  <si>
    <t>receive crash that just occurs on devices that cpu-x86. Below is the logs
#05 pc 61a40118 &lt;unknown&gt;</t>
  </si>
  <si>
    <t>davideas-FlexibleAdapter-173</t>
  </si>
  <si>
    <t>Inconsistency detected on beta8 with asynchronous item update</t>
  </si>
  <si>
    <t>started using your library with beta7, and it worked very well. Since the update to beta8, am having crashes like this one
Inconsistency detected. Invalid view holder adapter positionViewHolder dd3598b position id -1, oldPos 0, pLpos:0 scrap attachedScrap tmpDetached no parent
After some debugging, think found the cause of the problem. use updateDataSet function with animations enabled, which internally calls animateTo function of the FlexibleAdapter, which does this
List&lt;T&gt; tempItems new ArrayList&lt;&gt;(mItems)
The problem is that the notifications created with all the applyAndAnimate functions are executed asynchronously some time after mItems is set. If layout pass occurs after mItems tempItems and before the notifications are executed, the exception will be thrown.
This is because the RecycleView checks for the itemCount in the adapter during its layout, and prepare the views.
For example, in an adapter without items, if you want to add items
You change mItems
The layout pass occurs the recycler view checks the itemCount and think they are items, so it prepares view holders.
The adapter makes the notify calls the recycler view is notified of pending adds.
The next layout pass occurs the recycler thinks it has items pending items, so 10 items. The exception is thrown.
activated the debug mode of the FlexibleAdapter, which makes it appear.
When it works
FlexibleAdapter: Performing notifications
FlexibleAdapter: Mapped viewType 2130903232 from
FlexibleAdapter: onViewBound&gt;Holder ViewHolder position itemId -1 layoutPosition
FlexibleAdapter: Mapped viewType 2130903173 from
FlexibleAdapter: onViewBound&gt;Holder ViewHolder position itemId -1 layoutPosition
FlexibleAdapter: onViewBound&gt;Holder ViewHolder position itemId -1 layoutPosition
FlexibleAdapter: onViewBound&gt;Holder ViewHolder position itemId -1 layoutPosition</t>
  </si>
  <si>
    <t>2016-09-23</t>
  </si>
  <si>
    <t>permissions-dispatcher-PermissionsDispatcher-203</t>
  </si>
  <si>
    <t>When Switch to another app, your demo crashed. In my app, it restarted while normal situation just resume</t>
  </si>
  <si>
    <t>And my phone is moto new app sdk 23 Android version:6.0</t>
  </si>
  <si>
    <t>farkam135-GoIV-465</t>
  </si>
  <si>
    <t>OcrHelper: Prevent crash if hpStr = "/"</t>
  </si>
  <si>
    <t>Just got an exception here, when sharing through Now on Tap PoGo
screen without pokemons. assume this would be triggered by having
as string ve confirmed that .split( gives indeed an array of
FATAL EXCEPTION: main</t>
  </si>
  <si>
    <t>k9mail-k-9-1629</t>
  </si>
  <si>
    <t>Attempting to save an attachment causes K-9 to enter a download loop</t>
  </si>
  <si>
    <t>### Expected behavior
Tell us what should happen
### Actual behavior
modal for Downloading attachment comes on screen, the background activity darkens, then the dialog closes, the screen goes white, then the dialog reappears, etc:
Eventually the app crashed with:
When the application was opened again, the attachment was saved successfully.
### Steps to reproduce
1. Receive an email with an attachment
2. Try to save it
K-9 Mail version: master
Android version: 7.0.0
Account type (IMAP, POP3, WebDAV Exchange): IMAP</t>
  </si>
  <si>
    <t>farkam135-GoIV-477</t>
  </si>
  <si>
    <t>Unknown crash due to view being null</t>
  </si>
  <si>
    <t>Not sure what is causing the crash. Could not reproduce, but seems like many are facing this.
Caused by view must not be null</t>
  </si>
  <si>
    <t>2016-09-24</t>
  </si>
  <si>
    <t>wasdennnoch-AndroidN-ify-953</t>
  </si>
  <si>
    <t>N-settings drawer and statusbar overlap</t>
  </si>
  <si>
    <t>With the new n-setting drawer my settings overlap with statusbar and looks like this.
-&gt; Settings crashes in some submenus and in some menus the header with some extra information and settings is missing.
All in all my settings app looks really weird.
HTC 10 with Android 6.0.1</t>
  </si>
  <si>
    <t>farkam135-GoIV-475</t>
  </si>
  <si>
    <t>Appraisal Refining in screenshot mode crash on Android 4.4</t>
  </si>
  <si>
    <t>Clicking Appraisal Refining instantly crashes GoIV 3.2 showing the Unfortunately GoIV has stopped. dialog.
This happens on my tablet (cm11 android 4.4) but not on my phone (android 6).</t>
  </si>
  <si>
    <t>wasdennnoch-AndroidN-ify-951</t>
  </si>
  <si>
    <t>Settings app crashes on build 168</t>
  </si>
  <si>
    <t>Xposed Logs: https: docs.google.com uc?id 0B5 download
System Logs: https: docs.google.com uc?id 0B5 download</t>
  </si>
  <si>
    <t>farkam135-GoIV-472</t>
  </si>
  <si>
    <t>Updater crashes on Android 7.0 or N preview (?)</t>
  </si>
  <si>
    <t>This was reported on fabric. 268 crashes.</t>
  </si>
  <si>
    <t>microg-RemoteDroidGuard-1</t>
  </si>
  <si>
    <t>crashes by testing with "SafetyNet Helper" app</t>
  </si>
  <si>
    <t>First want to thank you for your amazing work.
just saw the DroidGuard Helper coming up and wanted to give it try.
Samsung Galaxy S2 (gt-i9100)
got the SafetyNet Helper app from the PlayStore and started the test, but DroidGuard helper crashed and the test failed.
saved the log via Catlog, maybe it is helpfull for you.</t>
  </si>
  <si>
    <t>2016-09-25</t>
  </si>
  <si>
    <t>nextcloud-android-290</t>
  </si>
  <si>
    <t>Fix NPE in ExpandableUploadListAdapter...setText</t>
  </si>
  <si>
    <t>corresponding issue: #201
tobiasKaminsky please review (and merge in case you approve the changes) since this fixes some crashes reported in the Play console.</t>
  </si>
  <si>
    <t>2016-09-26</t>
  </si>
  <si>
    <t>google-ExoPlayer-1865</t>
  </si>
  <si>
    <t>ExoPlayer2 crashes when fetching a Dash manifest with no SegmentTimeline items (yet)</t>
  </si>
  <si>
    <t>When doing live broadcast, and the transmission just started, the Dash manifest may have an empty SegmentTimeline (while the first chunk is getting filled). ExoPlayer2 crashes on that moment.
This is the manifest testing:
&lt;?xml version 1.0 encoding utf-8 ?&gt;
&lt;MPD xmlns:xsi http: www.w3.org 2001 XMLSchema-instance
&lt;Period start PT0.0S
&lt;AdaptationSet contentType video segmentAlignment true bitstreamSwitching true frameRate 90000
&lt;Representation id mimeType video mp4 codecs avc1.640034 bandwidth 1000000 width 1280 height 720 frameRate 90000
&lt;SegmentTemplate timescale 90000 initialization media startNumber
&lt;AdaptationSet contentType audio segmentAlignment true bitstreamSwitching true
&lt;Representation id mimeType audio mp4 codecs mp4a.40.2 bandwidth 128000 audioSamplingRate 44100
schemeIdUri channel configuration:2011 value
&lt;SegmentTemplate timescale 44100 initialization media startNumber
And here is an example of the stack trace getting:</t>
  </si>
  <si>
    <t>2016-09-27</t>
  </si>
  <si>
    <t>ikurek-PWr-App-30</t>
  </si>
  <si>
    <t>Crash aplikacji w budynkach</t>
  </si>
  <si>
    <t>Przy wej ciu budynki od B-5 do B-11 cznie aplikacja si crashuje.</t>
  </si>
  <si>
    <t>nitaliano-react-native-mapbox-gl-428</t>
  </si>
  <si>
    <t>[Android] Error while updating property 'contentInset' of a view managed by RCTMapboxGL</t>
  </si>
  <si>
    <t>get this on device running Android 4:
tested on another device running Android 5, and the map was working but contentInset wasn being applied.
On the simulator my app just crashes.
contentInset 100, 0, 0,</t>
  </si>
  <si>
    <t>inaturalist-iNaturalistAndroid-249</t>
  </si>
  <si>
    <t>Settings crash in Android 4</t>
  </si>
  <si>
    <t>Definitely doesn happen in Android 5, 6, or 7.</t>
  </si>
  <si>
    <t>2016-09-28</t>
  </si>
  <si>
    <t>Rajawali-Rajawali-1781</t>
  </si>
  <si>
    <t>Error when using vertex colors</t>
  </si>
  <si>
    <t>#### Rajawali Version or Branch
current master branch
#### Device and Android Version
line 869 of Geometry3D.java
public void setColors(float colors)
should be changed to -&gt; setColors(colors, false)
#### Steps to Reproduce
Describe reproducable steps and sample code
#### Trace or Log Output
include stacktrace(s) if relevant to the issue. Engine crashes can not be debugged without stacktrace or at minimum reproduction code.</t>
  </si>
  <si>
    <t>OneBusAway-onebusaway-android-703</t>
  </si>
  <si>
    <t>NPE when refreshing arrival data during fragment transition</t>
  </si>
  <si>
    <t>Using current master branch (https: github.com OneBusAway onebusaway-android commit had the app open on my phone on my desk to the Nearby screen with stop selected (Tampa, stop id 6497). starred the stop, and then tapped on the menu and tapped on Starred Stops and the app crashed with this stack trace:
**Steps to reproduce:**
Appears to be related to switching fragments in HomeActivity right when the arrival time is refreshed in (steps under which it occurred are above)
**Device and Android version:**
LG G5 Android 6.0.1 Google Play Services 9.6.83</t>
  </si>
  <si>
    <t>RestComm-restcomm-android-sdk-412</t>
  </si>
  <si>
    <t>Inter-App integration issues with Olympus</t>
  </si>
  <si>
    <t>leftyb reported the following issues:
When going to Android default Message App and going to the overflow button, you have the option to make call. If you tap on that you get presented with Restcomm Olympus as choice to make call. If you select that Olympus crashes
Would be nice if we have the same option when going to Android default Contacts App, to be able to call via Restcomm Olympus</t>
  </si>
  <si>
    <t>daneren2005-Subsonic-738</t>
  </si>
  <si>
    <t>Internet Radio stations do not play</t>
  </si>
  <si>
    <t>was excited to see this new functionality in the latest release. Unfortunately it doesn seem to be working for me. ve tested with number of streams, all of which are verified to work on desktop, in iTunes, and in the Subsonic web client. They are all fairy conventional.
http: wxyc.org files streams wxyc-mp3.m3u
The specific behavior in Dsub is one of the following:
In jukebox mode, it sits at 0:00, doesn begin playback, shows pause symbol
In normal mode, it flashes Buffering and the play pauses symbols continuously
On my first attempt, with another track already playing, in jukebox mode, it actually crashed my Subsonic server and had to restart the app.
Subsonic is running on Mac Mini, macOS Sierra installed.
Dsub is running on Nexus 7, on the latest Android release.</t>
  </si>
  <si>
    <t>2016-09-29</t>
  </si>
  <si>
    <t>RestComm-restcomm-android-sdk-417</t>
  </si>
  <si>
    <t>Fix Olympus crash</t>
  </si>
  <si>
    <t>Here the session:
And here the stacktrace:</t>
  </si>
  <si>
    <t>RestComm-restcomm-android-sdk-415</t>
  </si>
  <si>
    <t>Fix crash on SDK</t>
  </si>
  <si>
    <t>desipepova got this crash:
Here the associated session:</t>
  </si>
  <si>
    <t>pwittchen-ReactiveNetwork-87</t>
  </si>
  <si>
    <t>Unregister receiver crash for Pre-Lollipop devices</t>
  </si>
  <si>
    <t>Got crash on an Asus Transformer (API 16) when rotating the device. unsubscribe in onPause and subscribe in onResume but think there problem unregistering the receiver if it not attached.
have subscription from it to BehaviourSubject and multiple subscriptions from the BehaviourSubject to other subscribers.</t>
  </si>
  <si>
    <t>google-ExoPlayer-1882</t>
  </si>
  <si>
    <t>Problems Side Loading Subtitles in ExoPlayer v2.0.1</t>
  </si>
  <si>
    <t>We use SmoothStreaming Playready and depend on Side Loading independent TTML Subtitles.
Found two problems trying to Side Load TTML Subtitles using MergingMediaSource containing and SsMediaSource:
correctly receives the TTML track, but it never gets it selected.
Hint adjusting the score check in subclass to be if (trackScore selectedTrackScore) ... Solved it and got it selected.
Caused by: Attempt to get length of null array
Examining this crash we found that it is checking length of before it ever gets initialized or assigned.</t>
  </si>
  <si>
    <t>2016-09-30</t>
  </si>
  <si>
    <t>couchbaselabs-couchbase-lite-java-forestdb-89</t>
  </si>
  <si>
    <t>Android crash - Forestdb Handle is being used by another thread (-39)</t>
  </si>
  <si>
    <t>keep trying to migrate to use Forest in my client Android App but seem to keep coming across threading crashes. My latest attempt upgraded to v1.3.1 of and But now intermittently get the following error in the adb log which crashes the app.
(Not sure how to log any more info on the source cause)</t>
  </si>
  <si>
    <t>ludomuse-Ludomuse-22</t>
  </si>
  <si>
    <t>Ajouter la possibilité de personnaliser son écran d'attente</t>
  </si>
  <si>
    <t>Pour le moment impossible de personnaliser cran attente. Le fichier image qui sera affich est hardcod
Cause un crash dans diteur lorsque on clique sur suivant avant une sc ne synchronis car la ressource est pas trouv e.</t>
  </si>
  <si>
    <t>AnaelMobilia-NextINpact-Unofficial-214</t>
  </si>
  <si>
    <t>Téléchargement images crash</t>
  </si>
  <si>
    <t>2016-10-01</t>
  </si>
  <si>
    <t>mozilla-Jisort-222</t>
  </si>
  <si>
    <t>App crashes when you're in a topic view and rotate screen</t>
  </si>
  <si>
    <t>This is because my patch for #199 holds reference to dead fragment because the fragments get destroyed and recreated on screen rotate, it was being used to reference the view and reset the scrolling position but instead throws after screen rotation.
acknowledged this wasn the best solution when it was implemented, Android doesn appear to have any straightforward native way to do this to my knowledge.
One possible solution would be to reference the fragment from its tag (ViewPager tags it), but wanted to reset the scroll off-screen and not sure if this behavior is supported by this function. Destroying and recreating the fragments solves this problem, but feel it an excessive measure.</t>
  </si>
  <si>
    <t>2016-10-03</t>
  </si>
  <si>
    <t>k9mail-k-9-1658</t>
  </si>
  <si>
    <t>Cannot configure an email account</t>
  </si>
  <si>
    <t>### Expected behavior
should be able to enter my username+password and access my emails
### Actual behavior
K9 was installed and working fine. just emptied the application data to save some space.
Now, K9 starts as if it were freshly installed and asks agains for account configuration. Entering username and password results in application crash.
Even when cleaning data again, removing totally the app and reinstalling it, it still crashes.
Entering false username password tuple results in message cannot contact server with dialog showing options continue modify configuration Both options results in app crash...
### Steps to reproduce
1. clear app data from the android OS menus
2. try to configure an email account
K-9 Mail version: latest from PlayStore as of today (2016 10 03)
Android version: 4.4.2
Account type (IMAP, POP3, WebDAV Exchange):</t>
  </si>
  <si>
    <t>aaronjwood-PortAuthority-56</t>
  </si>
  <si>
    <t>Non RR types cause a crash</t>
  </si>
  <si>
    <t>wasdennnoch-AndroidN-ify-1016</t>
  </si>
  <si>
    <t xml:space="preserve">Quick reply stops working on some apps. </t>
  </si>
  <si>
    <t>Build 696(6), Nexus 5, stock 6.0.1.
After installing Android N-ify for the first time, things seems to work just fine, but after while the quick reply button disappears in some apps, Textra and Gmail in my case. At the time writing this, Textra and Gmail notifications do not have the quick reply option, but whatsapp does. think only saw quick reply in Gmail notifications once and then never again.
The first time this happened had enabled System UI tuner in Android settings and got system UI freeze and crash when trying to edit them (inside Android settings, not Android N-ify), along with weird boot up (dark screen and only back and home buttons in navbar showing, then system UI restart). wiped the phone after that and reinstalled everything. then enabled again System UI tuner in Android settings and it all happened again (system UI freeze crash and QR buttons disappearing) but this time disabling System UI tuner brought the quick reply buttons back. However, shortly after they disappeared again. also tried disabling, uninstalling and reinstalling the module but QR buttons are still not showing.
didn get logs the first time, but here one took while ago.</t>
  </si>
  <si>
    <t>iomodo-Wally-74</t>
  </si>
  <si>
    <t>TangoUX bug</t>
  </si>
  <si>
    <t>2016-10-05</t>
  </si>
  <si>
    <t>Z3r0byte-Magis-47</t>
  </si>
  <si>
    <t>Crash on boot</t>
  </si>
  <si>
    <t>Due to typo, magis crashes at boot :( Will fix it tomorrow.</t>
  </si>
  <si>
    <t>google-ExoPlayer-1899</t>
  </si>
  <si>
    <t>Crash after trying to play FLV on r2.0.1</t>
  </si>
  <si>
    <t>Example stream: http: webtv.net.ua:8080 stream.flv
This stream cannot be played by r1.5.11 either (got error Audio format not supported: but at least it doesn crash.</t>
  </si>
  <si>
    <t>ludomuse-Ludomuse-23</t>
  </si>
  <si>
    <t>crash au démarrage</t>
  </si>
  <si>
    <t>crash al atoire au marrage sur Android -&gt; situ dans le code du wifi direct.</t>
  </si>
  <si>
    <t>chandevel-Clover-239</t>
  </si>
  <si>
    <t>Changing the save location crashes.</t>
  </si>
  <si>
    <t>Changing the save location crashes the app.
Install fresh copy of Clover, go to the settings and change the save directory to reproduce the issue.
Android version: 7.0
Phone model: Nexus 5X
Clover version: v2.2.0</t>
  </si>
  <si>
    <t>ftctechnh-ftc_app-224</t>
  </si>
  <si>
    <t>Robot Controller app crashes when trying to load a resource config file that no longer exists</t>
  </si>
  <si>
    <t>This has become extremely annoying in our workflow, in which we often download from feature-testing branch with an additional resource config file to phone, and then later want to download from our master branch. Steps to reproduce:
1. Download the app with an included resource config file
2. Select the config file on the phone
3. Quit the app
4. Remove the resource config file from the Android Studio project
5. Redownload the app
6. Watch the app crash on launch with the following error:</t>
  </si>
  <si>
    <t>innoveit-react-native-ble-manager-64</t>
  </si>
  <si>
    <t>BleManager.enableBluetooth() crashes on Android</t>
  </si>
  <si>
    <t>Hey there, am trying to use enableBluetooth() on Android on real device and it always crashes.
screen shot 2016-10-06 at 16 51 15 (https: assets 7880624 19157290
Any hints on this how to fix it?</t>
  </si>
  <si>
    <t>2016-10-06</t>
  </si>
  <si>
    <t>philliphsu-ClockPlus-8</t>
  </si>
  <si>
    <t>Alarms and timers crashing on Android 7.0</t>
  </si>
  <si>
    <t>2016-10-07</t>
  </si>
  <si>
    <t>davideas-FlexibleAdapter-191</t>
  </si>
  <si>
    <t>AsyncFilter fatal error</t>
  </si>
  <si>
    <t>Your work is incredible! ve found error in async filter, hope that it not hard to repair it.
The app crash when try to write space in the SearchView
lots of greetings</t>
  </si>
  <si>
    <t>iomodo-Wally-76</t>
  </si>
  <si>
    <t>Power button behaves strangely</t>
  </si>
  <si>
    <t>When press power button the app continues working. Calls onPause and onResume.
If have Map opened when press power button then we have crash:
--------- beginning of crash</t>
  </si>
  <si>
    <t>cgeo-cgeo-6025</t>
  </si>
  <si>
    <t>"Make list unique" menu makes cgeo crash in nearest cache list</t>
  </si>
  <si>
    <t>Hello Cgeo team !!
##### Detailed steps causing the problem:
Launch the app
Click on Nearest cache list
Click on menu (top right)
Click on Make list unique
##### Actual behavior after performing these steps:
##### Expected behavior after performing these steps:
CGeo doesn crash
##### Version of c:geo used:
##### Is the problem reproducible for you?
##### System information:
Android version 6.0
Android build: sdk google phone x86-userdebug 6.0 MASTER 3287151 test-keys
Cgeo version: 2016.10.08-14bbb90 developer build
##### Other comments and remarks:
Many thanks in advance</t>
  </si>
  <si>
    <t>2016-10-08</t>
  </si>
  <si>
    <t>7LPdWcaW-GrowTracker-Android-34</t>
  </si>
  <si>
    <t>[Crash] crash report (do not change)</t>
  </si>
  <si>
    <t>2016-10-09</t>
  </si>
  <si>
    <t>PuffOpenSource-Puff-Android-3</t>
  </si>
  <si>
    <t>Gesture lock crash when changed master password</t>
  </si>
  <si>
    <t>Can reproduce every time.</t>
  </si>
  <si>
    <t>marzika-Snapprefs-261</t>
  </si>
  <si>
    <t>[Bug] Snapprefs crashing after cancelling pic share via button above camera button on SC</t>
  </si>
  <si>
    <t>Sometimes, when trying to take pic, press the share button above the circle button on SC, and when back out of it via the back button or Cancel SP crashes, and SC freezes until SP is force closed. This doesn stop SP from working when SC comes to its senses.
Not sure how to obtain Logcat for the issue. Downloaded aLogcat and left it open while replicating the issue but nothing is logged.</t>
  </si>
  <si>
    <t>igoticecream-Snorlax-20</t>
  </si>
  <si>
    <t>[BUG] Snorlax settings crashes/freeze if phone is locked.</t>
  </si>
  <si>
    <t>While making these issues on github my phone locked after checking the current settings in the module.</t>
  </si>
  <si>
    <t>2016-10-11</t>
  </si>
  <si>
    <t>alter-ego-androidbound-63</t>
  </si>
  <si>
    <t>viewresolver shouldn't crash for unknown classes</t>
  </si>
  <si>
    <t>wrong package name made ViewBinder crash.</t>
  </si>
  <si>
    <t>dmfs-opentasks-286</t>
  </si>
  <si>
    <t>Crashes when attempting to display a task with a given content</t>
  </si>
  <si>
    <t>Opentasks will crash everytime it reaches certain task in list of tasks, if the task starts with the following:
Basically, something very similar to the format used for checklists but without the space between the square brackets.
Adding the space back in makes the task readable by OpenTasks again.
Hope this helps.</t>
  </si>
  <si>
    <t>barbeau-gpstest-61</t>
  </si>
  <si>
    <t>NPE crash on startup on Android N</t>
  </si>
  <si>
    <t>When starting master branch or v2.1.4 on Android device, it crashes with following stack trace:
FATAL EXCEPTION: main
**Steps to reproduce:**
Start app on Android device
Start up as normal
**Device and Android version:**
Nexus 5X with Android</t>
  </si>
  <si>
    <t>2016-10-12</t>
  </si>
  <si>
    <t>open-keychain-open-keychain-1936</t>
  </si>
  <si>
    <t>OutOfMemory with Nitrokey Pro</t>
  </si>
  <si>
    <t>Application crashes when insert Nitrokey Pro and try to use it as security token to generate key. Same was after clearing the stick with factory reset command (done using Nitrokey App).
Please let me know how can create extract the logs.
Android 6.0.1, Galaxy S6
Nitrokey Pro v0.7 (OTG USB)
1. Insert Pro stick
2. Open application
3. Tap Manage my keys
4. Tap USE SECURITY TOKEN
4a. Red led on device flashes times
5. Application crashes</t>
  </si>
  <si>
    <t>google-ExoPlayer-1943</t>
  </si>
  <si>
    <t>Memory leak with ExoPlayer2 (r2.0.2)</t>
  </si>
  <si>
    <t>ve been using ExoPlayer r1.5.6 but upgraded week ago to r2.0.2 to try and fix crash occasionally get due to using several instances at once (another issue).
currently use ExoPlayer in with few instances running, and when user swipes between pages local mp4 on the device they play pause.
use my own TextureView due to aspect ratio issues that ve already discussed here with ojw28.
Since upgrading to ExoPlayer2, ve noticed memory leak that ve spent several days to solve, and have no idea where to go from now.
Before open my activity with the ViewPager, using around 30MB.
This is me swiping through my ViewPager:
mem ok (https: assets 1142713 19367588
This is after ve exited, and initiated GC (memory returns to baseline).
mem ok sweep (https: assets 1142713 19367591
This is after upgrading to r2.0.2 and swiping through my ViewPager:
mem bad (https: assets 1142713 19367596
After exit my activity and initiate GC (memory remains at +20MB)
mem bad sweep (https: assets 1142713 19367606
The problem is each time enter, swipe around 10 times, and exit, my baseline memory grows by 20MB and stays there even after initiating GC. Enter and exit few times and my app crashes with MemoryException.
ve tried everything can think of to free this memory. made everything global so can try and remove any references in onDestroyView
if (mVideoTextureView null)
if (mTrackSelector null)
My releasePlayer function looks like this:
private void releasePlayer()
Release mExoPlayer and record mExoPlayerPosition</t>
  </si>
  <si>
    <t>2016-10-13</t>
  </si>
  <si>
    <t>bumptech-glide-1523</t>
  </si>
  <si>
    <t>Native crash on Nexus 5x with October patches (NBD90W)</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</si>
  <si>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&lt;!-- What version of Glide you re running, for example: 3.7.1 3.8.0-SNAPSHOT 4.0.0-SNAPSHOT
It essentially the version number from your build.gradle: dependencies compile ...:x.y.z --&gt;
**Glide Version**: 3.7.0
&lt;!-- Do you use any integration library, like OkHttp3 or Volley? For example:
Fails to display with stock networking, but works with okhttp3-1.4.0 --&gt;
&lt;!-- What devices you managed to get the issue to come up on? For example:
fails on Galaxy S4 GT-I9500 4.4.2, works fine on Nexus 6P 5.1 and Genymotion Nexus 5.0.1 --&gt;
**Device Android Version**: Nexus 5x, Android 7.0, Android build NBD90W (October 2016 security patches)
&lt;!-- Share the details of your issue in prose, detailing actual and expected behavior. It also helps if you give some info **why** you are trying to do something as opposed to **what** is not working. --&gt;
**Issue details Repro steps Use case background**: After upgrading from September security patches (also on Android 7.0) to October security patches, we started seeing lots of native android crashes in our app. Specifically, after closing the app, within about seconds the app would crash from its background state.
The crash text was extremely vague, stating Leaked GPU objects! (full log at the bottom of this bug). bisected our app commits until found one commit that didn crash and one that did... the culprit was when we added the Glide library to our app and used it to display couple of images.
For what it worth, the crash doesn seem to be happening on the Nexus 6p with the same security patches applied. So it might only be affecting the 5x, but unsure.
&lt;!-- How do you use Glide?
Make sure you include everything as is in your app code:
Changing single method parameter can yield totally different results.
Please clarify any magic variables that appear in the code, for example: this is Fragment</t>
  </si>
  <si>
    <t>2016-10-14</t>
  </si>
  <si>
    <t>mapzen-android-201</t>
  </si>
  <si>
    <t>SDK Routing Sample Crash</t>
  </si>
  <si>
    <t>SDK Sample App crashes when backing out of Routing example</t>
  </si>
  <si>
    <t>twilio-video-quickstart-android-31</t>
  </si>
  <si>
    <t>Emulated web cam causes a crash in com.twilio:video-android:1.0.0-beta1</t>
  </si>
  <si>
    <t>Using the camera on an emulator will result in native crash.
Connected to process 2704 on device emulator-5554</t>
  </si>
  <si>
    <t>wasdennnoch-AndroidN-ify-1049</t>
  </si>
  <si>
    <t>Settings App</t>
  </si>
  <si>
    <t>Android N-ify crash when try to open the main app.</t>
  </si>
  <si>
    <t>gitskarios-Gitskarios-592</t>
  </si>
  <si>
    <t>Crash on profile click</t>
  </si>
  <si>
    <t>quite new to GitSkarios so not really sure this is the right way to post this kind of issues.
Basically, the application crashed and went to the bug view after pressing on any profile picture from the main view.
Not quite sure this is known issue, but thought could post it anyway.
Btw, posting this from GitSkarios, so this is no fatal bug IMO.
Here the stack trace produced by GitSkarios:
Build version: 4.4.4</t>
  </si>
  <si>
    <t>nextcloud-android-336</t>
  </si>
  <si>
    <t>android app crashes when trying to sort a directory of photos to upload</t>
  </si>
  <si>
    <t>### Actual behaviour
When trying to sort folder of photos on my android device while in the upload screen of the nextcloud app, the app crashes.
### Expected behaviour
It should sort the folder without crashing
### Steps to reproduce
1. Click upload in app
2. Find the DCIM folder on phone to get to camera photos
3. Click sort in the app
### Environment data
Android version: 6.0.1
Device model: Nexus
Stock or customized system: stock
Nextcloud app version: 1.3.1
Nextcloud server version: 10.0.1
Don have time to upload logs right now. Hopefully can add later.
#### Web server error log
Insert your webserver log here
#### Nextcloud log (data nextcloud.log)
Insert your Nextcloud log here</t>
  </si>
  <si>
    <t>2016-10-15</t>
  </si>
  <si>
    <t>BaseballCardTracker-bbct-android-401</t>
  </si>
  <si>
    <t>BaseballCardProvider.java line 209</t>
  </si>
  <si>
    <t>barbeau-gpstest-64</t>
  </si>
  <si>
    <t>Android N crash - ArrayIndexOutOfBoundsException, CalledFromWrongThreadException</t>
  </si>
  <si>
    <t>When the app starts receiving GnssStatus updates on Android N, the app crashes with:
**Steps to reproduce:**
Start app and wait for sat status update
Not crash and show sat status
**Device and Android version:**
Nexus 5X with Android 7.0</t>
  </si>
  <si>
    <t>BrimeNotes-android-66</t>
  </si>
  <si>
    <t>When we try to add a private note, app crashes</t>
  </si>
  <si>
    <t>2016-10-16</t>
  </si>
  <si>
    <t>nextcloud-android-346</t>
  </si>
  <si>
    <t>Use correct array of options</t>
  </si>
  <si>
    <t>android app crashes when trying to sort directory of photos to upload
tobiasKaminsky please review This is work in progress since imho the implementation is broken for simply reason. OCFIleList and LocalFileList both use the same preference for the sorting choice. So if you choose BySize in the main screen and then open upload via the FAB it ll load by Size and will try to sort this way. Unfortunately the local file sorting by size also sorts folders, by recursively calculating their size which takes around one minute on my phone... So imho we either need to
remove folders from the local file sorting as in sort by size with folders on top sorted alphabetically or
split the sorting choice into two preferences and don offer sorting by size at all.
What do you think tobiasKaminsky vote for ignore folders during size sorting (locally)</t>
  </si>
  <si>
    <t>2016-10-17</t>
  </si>
  <si>
    <t>vector-im-riot-android-634</t>
  </si>
  <si>
    <t>Crash on searching for a room</t>
  </si>
  <si>
    <t>1. Log-in Riot
2. Hit the search button
3. Enter text test don press enter
4. Touch Browse directory
5. Riot crash
Version 0.5.3-dev (8f034c8)</t>
  </si>
  <si>
    <t>SkyTubeTeam-SkyTube-34</t>
  </si>
  <si>
    <t>Crash when clicking too quickly on screen when launched from external app</t>
  </si>
  <si>
    <t>When you choose SkyTube as the app to open YouTube video from an external app, if you click on the screen too quickly, the app crashes, due to it trying to get the title for the video before the video info is loaded. This only happens when is launched with an url instead of YouTubeVideo object. Here is the stack trace(from the master branch):
FATAL EXCEPTION: main
can fix this, but should it just not show the hud when youTubeVideo is null (line 237), or should it not try to show the video title in the hud (line 248)?</t>
  </si>
  <si>
    <t>2016-10-18</t>
  </si>
  <si>
    <t>flowupio-FlowUpAndroidSDK-91</t>
  </si>
  <si>
    <t>Release 0.0.6 crashes</t>
  </si>
  <si>
    <t>The app crashes during the activity lifecycle because one of the timers used in the is null :S</t>
  </si>
  <si>
    <t>d4rken-reddit-android-appstore-74</t>
  </si>
  <si>
    <t>.screens.details.AppDetailsActivity has crash when try to send email</t>
  </si>
  <si>
    <t>Build Label: Android aosp flo flo:6.0.1 MOB30P test-keys
Build Time: 1475571199000
When it comes to AppDetailsActivity and you click email logo that tries to send e-mail, it will show this crash. Mybe my android os doesn have this activity to send e-mail, but think it should have checked if the activity SENDTO exists or catch this exception.</t>
  </si>
  <si>
    <t>nilsbraden-ttrss-reader-fork-331</t>
  </si>
  <si>
    <t xml:space="preserve">Crash  with 436eae89982c25efe3c6bd8e2850752c6b17251a and above </t>
  </si>
  <si>
    <t>While 1.90.1 is working fine, build and installed 436eae8, but it seems that mdewilde PR makes ttrss-reader crash on with my Replicant 4.2 0004 Samsung (I9000). Same goes for the current HEAD.
logcat does not seem to show anything useful:</t>
  </si>
  <si>
    <t>JakeWharton-butterknife-782</t>
  </si>
  <si>
    <t>@OnTextChanged crashes on string</t>
  </si>
  <si>
    <t>This crashes when the generated code attempts to cast the CharSequence to String, but the CharSequence isn actually String.
Either Butterknife should complain about String as type here, or it should call toString() on the CharSequence.</t>
  </si>
  <si>
    <t>2016-10-19</t>
  </si>
  <si>
    <t>dasmikko-facepunchdroid-78</t>
  </si>
  <si>
    <t>App crashes when saving image from long press menu</t>
  </si>
  <si>
    <t>**Not from the image viewer!**</t>
  </si>
  <si>
    <t>AnnaForAndroid-ANNA-6</t>
  </si>
  <si>
    <t>Whatsapp notifications crash application</t>
  </si>
  <si>
    <t>syncthing-syncthing-android-767</t>
  </si>
  <si>
    <t>0.8.6 continually crashes / freezes</t>
  </si>
  <si>
    <t>Since install of 0.8.6, all of my Android devices are crashing or freezing repeatedly.
Many times have crashed entire device leading to reboot.
Have been using ST year and never happened before.
Android v4.2.2, v4.2.3</t>
  </si>
  <si>
    <t>2016-10-20</t>
  </si>
  <si>
    <t>gateship-one-odyssey-3</t>
  </si>
  <si>
    <t>Null pointer crash in GenericViewAdapter</t>
  </si>
  <si>
    <t>F-Droid build on Xperia 5.1.1 (root+Xposed) and Samsung 5.0.2 (no root)
The devices have SD card support, that would be mounted on sdcard1 if present, but they don currently have such card inserted.
This error was seen in other apps too, but should not be fatal.</t>
  </si>
  <si>
    <t>dariuszseweryn-RxAndroidBle-83</t>
  </si>
  <si>
    <t>Can't establish connection on Android 7.1.1</t>
  </si>
  <si>
    <t>Establish connection with autoconnect true connection crashes with reflection exception.
#### Steps to reproduce actual result
1. Try to establish connection with autoconnect true
#### Actual result
#### Expected result
Connection got established</t>
  </si>
  <si>
    <t>lostzen-lost-132</t>
  </si>
  <si>
    <t>Verify service is bound before attempting to disconnect</t>
  </si>
  <si>
    <t>Calling can result in fatal crash if service is not bound.
### Steps to Reproduce
Attempt to disconnect client before fully connected.
### Lost Android Version</t>
  </si>
  <si>
    <t>2016-10-21</t>
  </si>
  <si>
    <t>grpc-grpc-java-2363</t>
  </si>
  <si>
    <t>Handle java.lang.IllegalStateException properly</t>
  </si>
  <si>
    <t>currently using gRPC on Android, and it crashes due to the following exceptions:
Fatal Exception: activeTransport still points to the delayedTransport. Seems transportShutdown() was not called.
Is there any way to handle these exceptions before crashing?
Thanks in advance.</t>
  </si>
  <si>
    <t>square-okhttp-2934</t>
  </si>
  <si>
    <t>Replace IllegalStateException by IOException, SecurityException etc. where possible</t>
  </si>
  <si>
    <t>okhttp seems to throw quite often, for instance when unexpected data is received (see
Please consider replacing all by
IOException when unexpected network traffic occurs (for instance, HTTP2 frame errors etc)
SecurityException for TLS errors etc.
The cause apps using okhttp to crash unexpectedly and as far as know, should only be thrown when an API is called incorrectly (for instance, sending request before it was specified or something like that).</t>
  </si>
  <si>
    <t>2016-10-22</t>
  </si>
  <si>
    <t>alexstyl-Memento-Calendar-65</t>
  </si>
  <si>
    <t>Support-TransitionManager crash fix and check for permission before use</t>
  </si>
  <si>
    <t>This PR fixes the crash on pre-Lollipop devices when trying to use the TransitionManager. Instead of using the the root view of the activity has been extracted and used instead.
Additionally, PeopleEventsUpdater now checks if we have the required permission before updating contacts
##### Test(s) added
Nope. Just bug fixing</t>
  </si>
  <si>
    <t>appteam-nith-Hillffair-118</t>
  </si>
  <si>
    <t>App Crashing When Trying to send code in forgot password</t>
  </si>
  <si>
    <t>tried to send myself code on my email but the app crashed. Make sure its solved asap</t>
  </si>
  <si>
    <t>Yalantis-uCrop-212</t>
  </si>
  <si>
    <t>SecurityException in Version 2.2.0 when trying to display the image from the Gallery</t>
  </si>
  <si>
    <t>**Do you want to request feature or report bug ?**
**What is the current behavior?**
When selecting picture from the Gallery and opening it with uCrop, via the returned Uri from the onActivityResult intent, the app will crash:
**What is the expected behavior?**
To not crash and nonetheless display the chosen picture as it was done in version 1.5.0 of the library.
**If the current behavior is bug, please provide the steps to reproduce and if possible minimal demo of the problem.**
1. Let the user choose picture from the gallery
2. Take the Uri from the onActivityResult callback and open uCrop with it
3. App will crash
**Which versions of uCrop, and which Android API versions are affected by this issue? Did this work in previous versions of uCrop?**
Android versions affected: Marshmallow
Version 2.2.0 of uCrop is affected.</t>
  </si>
  <si>
    <t>2016-10-24</t>
  </si>
  <si>
    <t>dimagi-commcare-android-1524</t>
  </si>
  <si>
    <t>Clear fixture before wiping wiping user db on 'clear user data'</t>
  </si>
  <si>
    <t>Without this change, clear user data crashes.
As described here (https: github.com dimagi commcare-android pull 1500 files
Since the user db was being cleared before this was called don think it was doing anything, because the file paths were cleared before this code could remove the files. Hence leaving dangling fixture data (for fixtures over 1mb). Moving it here ensures that files are deleted before the db is cleared.
Here is the stacktrace of the crash:
FATAL EXCEPTION: main</t>
  </si>
  <si>
    <t>gsantner-dandelion-97</t>
  </si>
  <si>
    <t>WebView crashes on Copperhead OS Nougat</t>
  </si>
  <si>
    <t>#### General information
**Device:** Nexus 6p
**Android Version:** 7.0.0 CopperheadOS
**Diaspora pod version:** eg 0.5.99.0-p9bd2337c (can be found on the bottom)
**App source:** F-Droid, self build (latest HEAD)
**App version:** HEAD
searched open and closed issues for duplicates
read &lt;https: github.com diaspora-android blob master CONTRIBUTING.md&gt;
not submitted translations see Crowdin (https: crowdin.com project invite)
#### Steps to reproduce
1. Open app and let stream load
#### Expected result
**What is the expected output?**
**What do you see instead?**
App crashes sometimes after 4-5 secs. If the crash once happened, it will happen most starts afterwards. This can be fixed by deleting all app data.
#### Debug output</t>
  </si>
  <si>
    <t>2016-10-25</t>
  </si>
  <si>
    <t>appdockProject-appDockApp-2</t>
  </si>
  <si>
    <t>Survey page crashes if permissions aren't allowed</t>
  </si>
  <si>
    <t>It continues to crash until permissions are granted.</t>
  </si>
  <si>
    <t>commons-app-apps-android-commons-307</t>
  </si>
  <si>
    <t xml:space="preserve">App crashes 5 sec after start </t>
  </si>
  <si>
    <t>No difference whether had time to open upload dialog or not.
logged in from devices with Android 4.0.4 and 4.4.2. The same on both.
Where the problem can be, what do you think?</t>
  </si>
  <si>
    <t>Ereza-CustomActivityOnCrash-28</t>
  </si>
  <si>
    <t>Does not work with Firebase</t>
  </si>
  <si>
    <t>as per the title says, the library does not catch the crash when using Firebase crash reporting.
maybe this could be helpful</t>
  </si>
  <si>
    <t>WishCanTaiwan-VocabuLazy-Android-55</t>
  </si>
  <si>
    <t>Rotation causes crash</t>
  </si>
  <si>
    <t>Rotation causes crash and should be disable.</t>
  </si>
  <si>
    <t>gsantner-dandelion-99</t>
  </si>
  <si>
    <t>App crashes on API 17 on startup (Related to vector graphics)</t>
  </si>
  <si>
    <t>#### General information
**Device:** AndroidStudio Emulator with API 17
**Android Version:** Api 17 emulator
**Pod:** eg pod.geraspora.de
**Diaspora pod version:** eg 0.5.99.0-p9bd2337c (can be found on the bottom)
**App source:** F-Droid, self build (latest HEAD)
**App version:** HEAD
searched open and closed issues for duplicates
read &lt;https: github.com diaspora-android blob master CONTRIBUTING.md&gt;
not submitted translations see Crowdin (https: crowdin.com project invite)
#### Steps to reproduce
1. Open app
#### Expected result
**What is the expected output?**
App starts normal
**What do you see instead?**
App crashes directly
guess it has to do with the way icon drawables are set on toolbar entries.
gsantner ll assign you to this issue, since don have clue about vector drawables :D
#### Debug output</t>
  </si>
  <si>
    <t>2016-10-26</t>
  </si>
  <si>
    <t>OneBusAway-onebusaway-android-711</t>
  </si>
  <si>
    <t>java.io.FileNotFoundException for resource icon on OnePlus One devices</t>
  </si>
  <si>
    <t>We ve seen spike in crashes (87 over last week, 126 total over weeks) mostly for OnePlus One devices (111 crashes on OnePlusOne, on Droid Turbo, and on Galaxy S5) with this stack trace:
... 36 more
This doesn seem to be related to any change by us, as it happened times on app version 70 and 126 times on version 71.
This StackOverflow issue (http: stackoverflow.com questions 40109898 points to this CyanogenMod issue (https: browse BACON-5169). From that issue:
Changing from the Hexo theme to any other CyanogenMod theme fixes the issue.
going to mark this as Won fix as it seems to be an issue with CyanogenMod.
**Steps to reproduce:**
Start app on OnePlus One with Hexo theme active
Crash with above stacktrace
**Device and Android version:**
111 crashes on:
OnePlus One (A0001)
Manufacturer Symphony Teleca
Android version Android 4.3
RAM (MB) 3072
Screen size 1080 1920
Screen density (dpi) 480
OpenGL ES version 3.0
Native platform armeabi-v7a
CPU make Qualcomm</t>
  </si>
  <si>
    <t>nextcloud-android-361</t>
  </si>
  <si>
    <t>Newest F-Droid beta crashes app when opening instant upload</t>
  </si>
  <si>
    <t>### Actual behaviour
After upgrading to the latest beta, message pops up stating instant uploads has been revamped. After clicking the open button, the app crashes. Selecting instant uploads from the slide-out menu continues to crash the app.
### Expected behaviour
After selecting open button, the user should be taken to the new instant uploads menu.
### Steps to reproduce
1. Open the latest F-droid beta.
2. Select instant uploads from the slide out menu.
3. App crashes
### Environment data
Android version: 7.0
Device model: Nexus 6p angler
Stock or customized system: customized, Copperhead OS
Nextcloud app version: F-droid Nextcloud beta 20161026
Nextcloud server version: 10.0.1 (stable)
#### Web server error log
** CAUSE OF ERROR **
** DEVICE INFORMATION
** FIRMWARE **</t>
  </si>
  <si>
    <t>2016-10-27</t>
  </si>
  <si>
    <t>KeepSafe-TapTargetView-55</t>
  </si>
  <si>
    <t>NPE</t>
  </si>
  <si>
    <t>im facing an NPE in fabrics crash dashboard, but dont know how to solve this. can you give me hint please?
have sequence of two items. first is toolbar action item second is spinner view. it works correctly on my phone but crashes lot on my users phones.
Fatal Exception: Attempt to read from null array</t>
  </si>
  <si>
    <t>jacob-g-cleveland-rta-next-bus-train-30</t>
  </si>
  <si>
    <t>Make app not crash on network connection state change</t>
  </si>
  <si>
    <t>2016-10-28</t>
  </si>
  <si>
    <t>koelleChristian-trickytripper-24</t>
  </si>
  <si>
    <t>Deleting active journey leads to crash</t>
  </si>
  <si>
    <t>Deleting the currently active journey leads to unintended Programm shutdown</t>
  </si>
  <si>
    <t>2016-10-29</t>
  </si>
  <si>
    <t>haiwen-seadroid-592</t>
  </si>
  <si>
    <t>app crash when trying to view or download any text file</t>
  </si>
  <si>
    <t>If either tap on on text file or try to download it, the app crashes. ve tried deleting all appdata, uninstalling, different text files but still am getting the same thing. tried creating text file on my phone, uploading it, and it looks like if it is already cached am able to open it just fine.
get this in the log:</t>
  </si>
  <si>
    <t>tlenclos-react-native-audio-streaming-33</t>
  </si>
  <si>
    <t>App crashes on Android when Notifications set to false</t>
  </si>
  <si>
    <t>Everything seems to work fine with Notifications enabled, but as soon as turn them off, the app crashes on play() Here is the error log:
--------- beginning of crash
did simple true, false</t>
  </si>
  <si>
    <t>2016-10-31</t>
  </si>
  <si>
    <t>nerzhul-ncsms-android-113</t>
  </si>
  <si>
    <t>App crashes on incoming SMS</t>
  </si>
  <si>
    <t>### Steps to reproduce
Not sure about it. Probably: receive new SMS when there are no messages.
### Expected behaviour
The app should not crash.
### Actual behaviour
The app crashes.
### Client configuration
**Android version:** 4.4.4 (CM11)
**ownCloud SMS app version:** 0.22.1 (from F-Droid)
skipped some details from the issue template that seemed to be unrelated. can provide this info if it really matters.</t>
  </si>
  <si>
    <t>2016-11-01</t>
  </si>
  <si>
    <t>NikitaKozlov-Pury-26</t>
  </si>
  <si>
    <t>Crash when I was not careful with stageOrder numbering</t>
  </si>
  <si>
    <t>have tested the profiling with our app as we spoke about it on droidconUK, it seems useful especially for people, who don want to dig in systrace too much. However ve found an issue which causes crash when had few method profiling annotations in one class with nested method calls. have attached my setup and stacktrace.
Article open runsCounter 3, stageName setParagraph stageOrder 4)
public void method1()...
Article open runsCounter 3, stageName stageOrder 5)
public void method2()... this one is called from method1</t>
  </si>
  <si>
    <t>lipangit-JiaoZiVideoPlayer-462</t>
  </si>
  <si>
    <t>crash on 7.0</t>
  </si>
  <si>
    <t>vickychijwani-quill-147</t>
  </si>
  <si>
    <t>Quill crash on creating a new post (2 drafts created)</t>
  </si>
  <si>
    <t>App version: 1.3.5 on Android 6.0
Hi, it me again. After previous issue has been resolved, now, actually since the last update, ve got Quill crashes everytime create new post. The symptom is when tap on floating button right below to create new post, it crashes few seconds later. And it creates Untitled post drafts after open it again.
FYI, always submit the error logs via Google Playstore bug reporter.</t>
  </si>
  <si>
    <t>2016-11-02</t>
  </si>
  <si>
    <t>pcuco-eSettings-2</t>
  </si>
  <si>
    <t>[Crash] App crash on Android 6</t>
  </si>
  <si>
    <t>User opens app</t>
  </si>
  <si>
    <t>iamMehedi-Secured-Preference-Store-5</t>
  </si>
  <si>
    <t>App crashes when the users changes the lock screen pattern</t>
  </si>
  <si>
    <t>testing on 4.4.4 device where the screen lock was set to None. changed it to PIN and after that getting crash. Are you experiencing the same? It one of the problematic cases pointed on The Forgetful Keystore where the keys are lost.
debugged the code and the keys are not generated again, the key store contains the alias but it crashes when it trying to load the key on the RSADecrypt method
while ((nextByte -1)
Caused by: error:0407106B:rsa routines:RSA padding check PKCS1 type 2:block type is not 02</t>
  </si>
  <si>
    <t>2016-11-03</t>
  </si>
  <si>
    <t>SimoUmbMos-TL_Project-2</t>
  </si>
  <si>
    <t>Bug skd23+</t>
  </si>
  <si>
    <t>Game crash on map Activity on android 6+</t>
  </si>
  <si>
    <t>kiall-android-tvheadend-84</t>
  </si>
  <si>
    <t xml:space="preserve">Crashing with Sony Android 6 </t>
  </si>
  <si>
    <t>Tried to run the app on Android sony zd9 the program guide is crashing instantly when the app configures everything. As well on every app start in loop.
This is the TVH version running on my synology NAS HTS Tvheadend 4.1.2247. Tell me please how to provide logs from AndroidTV.</t>
  </si>
  <si>
    <t>dividiti-crowdsource-video-experiments-on-android-27</t>
  </si>
  <si>
    <t>Urgent: can't pre-load new scenarios or app crashes</t>
  </si>
  <si>
    <t>have added more scenarios to this app (they may not work due to classification quite hardwired to AlexNet with mean file, but we need to at least make app not fail).
Here have two major problems:
When pressing on Update, actually new scenarios are not loaded. When checking out app (the behavior of pipeline is now becoming quite complex and not very clear, while think it can be quite simple), noticed that in fact, whenever we get new scenarios for the first time, they will never be updated. That wrong. When we press Update we should simply go through the original process or testing CK server, detecting features, saving them, getting scenarios, recording them, and showing them (WITHOUT pre-loading or running any default scenario!).
When manually cleaned scenarios, managed to get all scenarios. Now, when run any scenario, including the original one, see files being downloaded, but then app simply crashes. Even after files are preloaded, app not still crashes even on the original scenario ...
Therefore, may ask to slightly simplify up, so that can get all scenarios from the web and update platform features, each time press Update and then confirm and check that app now crashes on all scenarios...</t>
  </si>
  <si>
    <t>Diolor-Swipecards-165</t>
  </si>
  <si>
    <t>Handle null layout params.</t>
  </si>
  <si>
    <t>The child view may have been created in custom adapter without assigning layout params to it. In this case the app will crash with runtime exception:
think this patch is preferable to crash scenario.</t>
  </si>
  <si>
    <t>2016-11-04</t>
  </si>
  <si>
    <t>infinum-MjolnirRecyclerView-16</t>
  </si>
  <si>
    <t>Wrong item removed from list in UI</t>
  </si>
  <si>
    <t>The library doesn seem to take headers into account when removing items.
It will remove the item before that if have header, and if remove the very first item, it crashes with the following stacktrace:</t>
  </si>
  <si>
    <t>Diolor-Swipecards-166</t>
  </si>
  <si>
    <t>Support Adapters with null child params</t>
  </si>
  <si>
    <t>If view in the adapter has no layout parameters the app will crash.
default layout parameters should be created.</t>
  </si>
  <si>
    <t>2016-11-05</t>
  </si>
  <si>
    <t>nextcloud-android-372</t>
  </si>
  <si>
    <t>fix crash during log sending when exposing URI on Android 7+</t>
  </si>
  <si>
    <t>as reported in https: github.com nextcloud android pull and reproduced by me, sending the log file crashes the app since from Android on exposing file: URIs is prohibited.
This PR fixes the issue.
tobiasKaminsky please review and merge since the master is already targeting Android :smiley:</t>
  </si>
  <si>
    <t>2016-11-06</t>
  </si>
  <si>
    <t>openid-AppAuth-Android-124</t>
  </si>
  <si>
    <t>0.4.0 version App crashing when I set default browser as Samsung Internet</t>
  </si>
  <si>
    <t>upgraded library to version 0.4.0, and created object as below.
BrowserDescriptor browserDescriptor new
Nullable BrowserDescriptor browser)
if (browser null)
Then used this authService object to call method. Once it goes to method in class It is throwing activity not found exception.
Note When change the default browser to Chrome, everything works fine.
Any changes to library log properties set setprop log.tag.AppAuth VERBOSE in adb shell, but could not find any logs.</t>
  </si>
  <si>
    <t>2016-11-07</t>
  </si>
  <si>
    <t>requery-requery-329</t>
  </si>
  <si>
    <t>Example Android App crash</t>
  </si>
  <si>
    <t>the example Android App crashes immediately after installation. Tested on the emulator with Android API 22 and the latest source code.</t>
  </si>
  <si>
    <t>2016-11-08</t>
  </si>
  <si>
    <t>hossain-khan-android-daily-headlines-124</t>
  </si>
  <si>
    <t>App crashes because of malformed background URL</t>
  </si>
  <si>
    <t>Here is stacktrace received from Play Store.
... 17 more
Caused by: Path must not be empty.
... 21 more</t>
  </si>
  <si>
    <t>2016-11-09</t>
  </si>
  <si>
    <t>requery-requery-332</t>
  </si>
  <si>
    <t>Relationships not working with Java 8 Android Jack compiler</t>
  </si>
  <si>
    <t>If enable jackOptions and add some relations to entities app it was crashed during build</t>
  </si>
  <si>
    <t>WishCanTaiwan-VocabuLazy-Android-85</t>
  </si>
  <si>
    <t>播放期間，新增清單，造成crash</t>
  </si>
  <si>
    <t>8. Crash, Caused by: Invalid index 7, size is</t>
  </si>
  <si>
    <t>gateship-one-odyssey-29</t>
  </si>
  <si>
    <t>App crash on my music tab switching</t>
  </si>
  <si>
    <t>Xperia 5.1.1, 1.0.11 from F-Droid
Tested with FLAC files
Had this lot for while, but after clean data, can repro them:</t>
  </si>
  <si>
    <t>smartdevicelink-sdl_java_suite-364</t>
  </si>
  <si>
    <t>Fix NPE crash in TransportBroker</t>
  </si>
  <si>
    <t>Added return statement after null check in TransportBroker</t>
  </si>
  <si>
    <t>2016-11-10</t>
  </si>
  <si>
    <t>smartdevicelink-sdl_java_suite-363</t>
  </si>
  <si>
    <t>When disconnecting SDL Core, SDL Router sometimes crashes in TransportBroker</t>
  </si>
  <si>
    <t>WeakReference is kept to the TransportBroker instance in the ClientHandler in TransportBroker class. The checks for null but only logs an error message, later resulting in crash of SDL Router. This can happen when stopping the SDL Core connection (power-off HU).
The exception is happening here: https: github.com smartdevicelink sdl android blob develop sdl android lib src com smartdevicelink transport
Here is the log messages and stack trace that getting:</t>
  </si>
  <si>
    <t>kennanmell-Handoff-4</t>
  </si>
  <si>
    <t>Facebook crashes the App if it doesn't exist</t>
  </si>
  <si>
    <t>If the phone doesn have Facebook installed (might only be an issue on emulators), pressing the login with facebook button makes the app crash.</t>
  </si>
  <si>
    <t>CSE403FindersKeepers-finders-keepers-14</t>
  </si>
  <si>
    <t>findViewById currently returning null in the AddItemWindowActivity activity.</t>
  </si>
  <si>
    <t>currently crashes the app when opened.</t>
  </si>
  <si>
    <t>2016-11-11</t>
  </si>
  <si>
    <t>flowupio-FlowUpAndroidSDK-124</t>
  </si>
  <si>
    <t>Support initialization from a background thread.</t>
  </si>
  <si>
    <t>Some of our customers are initializing the library from background thread and the app is crashing. We should check if we can support it.</t>
  </si>
  <si>
    <t>avluis-Hentoid-131</t>
  </si>
  <si>
    <t>Storage Full: Queue Crash</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</si>
  <si>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If an issue does not have the following template filled out, it will be closed without discussion.
&lt;!-- What version of Hentoid you re running, for example: 1.2.0r3 1.2.1r1 1.2.1r2
It essentially the version number from the About Screen --&gt;
**Hentoid Version**: 1.2.1r2
&lt;!-- What devices you managed to get the issue to come up on? For example:
fails on Galaxy S4 GT-I9500 4.4.2, works fine on Nexus 6P 5.1 and Genymotion Nexus 5.0.1 --&gt;
**Device Android Version**:Huawei P9 lite
Android 6.0 EMUI 4.1.1
&lt;!-- Share the details of your issue in prose, detailing actual and expected behavior. --&gt;
**Issue details Repro steps**: Crashes when going to Queue. have queued alot of doujins. Sorry can remember the quantity. But if download another doujin it would start the download and finish it. The problem is that the queues can be resumed because it crashes before seeing it.
&lt;!-- What is the error message that you got in the log? --&gt;
**Stack trace LogCat**:don know where to find this sorry
paste stack trace and or log here
&lt;!-- Bonus points if you attach relevant screenshot or screen recording --&gt;</t>
  </si>
  <si>
    <t>funplus-sdk-android-sdk-core-1</t>
  </si>
  <si>
    <t>App crashes after running for a while.</t>
  </si>
  <si>
    <t>Fatal Exception: Failed to allocate 294342 byte allocation with 228368 free bytes and 223KB until OOM</t>
  </si>
  <si>
    <t>google-ExoPlayer-2059</t>
  </si>
  <si>
    <t xml:space="preserve"> The dev-v2 lastest code HLS Live crash java.lang.ArrayIndexOutOfBoundsException</t>
  </si>
  <si>
    <t>length 12 index -1</t>
  </si>
  <si>
    <t>nextcloud-android-380</t>
  </si>
  <si>
    <t>IllegalStateException</t>
  </si>
  <si>
    <t>### Actual behaviour
nextCloud Beta crashes in the background or with the app open. The app appears to be updating the files but never stops. This does not occur in the non-beta app.
### Expected behaviour
Files update and the app goes into passive state.
### Steps to reproduce
Not positive of steps but believe this to be it.
1. Share folder with content with another owncloud user.
2. This folder is synced with desktop client.
3. Delete the folder from the desktop client without unsharing first.
4. Open the Beta app and go to the directory where the deleted folder is.
5. Wait 3-5 minutes and crash.
### Environment data
Android version: 7.0
Device model: Nexus 6P Angler
Stock or customized system: Customized CopperheadOS
Nextcloud app version: F-Droid Beta 20161111
Nextcloud server version: 10.0.1 (stable)
#### Nextcloud log (data nextcloud.log)
************ CAUSE OF ERROR ************
************ DEVICE INFORMATION ***********</t>
  </si>
  <si>
    <t>2016-11-12</t>
  </si>
  <si>
    <t>cgeo-cgeo-6114</t>
  </si>
  <si>
    <t xml:space="preserve">Live map handling became massively instable with latest nightlies </t>
  </si>
  <si>
    <t>More reminder to myself to take closer look later
Either its the server once again or something within cgeo.
E.g. the following makes cgeo crash in high percentage of cases:
Open live map
While map is still loading click on saved cache
Click to open details from popup
Using mapsforge beta with nightly 2016.11.12</t>
  </si>
  <si>
    <t>CSE403FindersKeepers-finders-keepers-23</t>
  </si>
  <si>
    <t>Entering an invalid zip crashes the application.</t>
  </si>
  <si>
    <t>Invalid zip codes crash the application.</t>
  </si>
  <si>
    <t>kennanmell-Handoff-8</t>
  </si>
  <si>
    <t>App may crash without internet</t>
  </si>
  <si>
    <t>It seems that when trying to access the request feed without internet, the app may crash</t>
  </si>
  <si>
    <t>dxl360-Student_Portal-6</t>
  </si>
  <si>
    <t>Homepage - fragments</t>
  </si>
  <si>
    <t>fragments not loading properly on start of app, causes app to crash</t>
  </si>
  <si>
    <t>2016-11-13</t>
  </si>
  <si>
    <t>dimamo5-movimento1euro-android-22</t>
  </si>
  <si>
    <t>Back button crashes app on app restart</t>
  </si>
  <si>
    <t>Quando se est com sess iniciada se fecha app manualmente, depois ao voltar iniciar ao carregar no bot Back, app crasha</t>
  </si>
  <si>
    <t>2016-11-14</t>
  </si>
  <si>
    <t>flowupio-FlowUpAndroidSDK-127</t>
  </si>
  <si>
    <t>Release 0.1.3 crashes</t>
  </si>
  <si>
    <t>One of our users reported us two crashes reproduced two times each one. These are the traces:</t>
  </si>
  <si>
    <t>testica-text-scanner-1</t>
  </si>
  <si>
    <t>App get crash in some devices when upload an image from camera</t>
  </si>
  <si>
    <t>debug the app and the problem occurs here:
line number 126 contains:
So, it means that selectedImageUri is **null**.</t>
  </si>
  <si>
    <t>2016-11-15</t>
  </si>
  <si>
    <t>rodrif-RecorridasZOTP-87</t>
  </si>
  <si>
    <t>No recibe notificaciones al cerrar la app completamente</t>
  </si>
  <si>
    <t>Tampoco despues de un crash</t>
  </si>
  <si>
    <t>2016-11-16</t>
  </si>
  <si>
    <t>ParanoidAndroid3-Journey-7</t>
  </si>
  <si>
    <t>Prevent crashing when Google Play services are not installed on device</t>
  </si>
  <si>
    <t>Handle the case when Google Play services are not installed.</t>
  </si>
  <si>
    <t>flowupio-FlowUpAndroidSDK-135</t>
  </si>
  <si>
    <t>Move realm version to one not crashing</t>
  </si>
  <si>
    <t>As the version 2.X of realm is crashing we should move the version used to the last stable version which is the 0.1.2.</t>
  </si>
  <si>
    <t>azb-SE195A_SeniorProject-16</t>
  </si>
  <si>
    <t>Short Password Causes Crash in Account Creation</t>
  </si>
  <si>
    <t>Found while testing around with application preparing for the demo, if too short of password is used in the signup page it causes crash when clicking on the button, and no account is created.
May just be restriction from Firebase on the minimum required length for passwords, and Firebase returns some exception if that length is not met, and we might not be handling that so it causes crash?
Something to look into later.</t>
  </si>
  <si>
    <t>2016-11-17</t>
  </si>
  <si>
    <t>commons-app-apps-android-commons-326</t>
  </si>
  <si>
    <t>Resources$NotFoundException - issues with Korean translation?</t>
  </si>
  <si>
    <t>Received this crash report from Teemeah (from the Community Wishlist survey):
USER COMMENT right after logging in it stopped
ANDROID VERSION 6.0
APP VERSION NAME 1.38
PHONE MODEL PLK-L01
She sent me an accompanying screenshot. It seems the issue might be with the Korean translations? How do we fix the issue if we can read write Korean? (The stack trace doesn seem to point to the exact string causing the issues)</t>
  </si>
  <si>
    <t>bumptech-glide-1592</t>
  </si>
  <si>
    <t>java.lang.IllegalStateException: Activity has been destroyed on Nested Fragment (Demo Project Inside)</t>
  </si>
  <si>
    <t>**Glide Version**: 3.7.0
**Issue details Repro steps Use case background**:
Use Case: Master Detail view with choices on the left, and nested detail fragments on the right (many different kinds). All of our detail fragments work fine, except the one that uses Glide to load images.
Details of Simple Demo: Master Detail view with Master fragment being retained, and nested Detail fragment being replaced anytime after rotation. Calling in the new replacement fragment will crash.
ve created project to demonstrate: https: github.com jt-gilkeson GlideCrash
Steps to reproduce:
Launch App, Press Show Details Fragment. Notice nested fragment displays.
Rotate, Notice Details Fragment is still there.
Click Show Details Fragment (creates new fragment to replace the existing one) crash:
FATAL EXCEPTION: main
Using other image libraries this way does not crash it glide-specific.
Glide.with(this) (fragment) crashes when you create new Details fragment and replace.
crashes on rotation.
crashes on rotation.
works (and appears to be the only way to get this to work)
This may be related to or dupe of issues:
https: github.com bumptech glide issues 795
https: github.com bumptech glide issues 850</t>
  </si>
  <si>
    <t>smartdevicelink-sdl_java_suite-366</t>
  </si>
  <si>
    <t>Hotfix - NPE crash in RouterServiceProvider</t>
  </si>
  <si>
    <t>Also fixed few other obvious issues along the same line in the SdlRouterService.</t>
  </si>
  <si>
    <t>2016-11-18</t>
  </si>
  <si>
    <t>JRempel-HKBU-Map-33</t>
  </si>
  <si>
    <t>RecyclerView OOM</t>
  </si>
  <si>
    <t>Application crashes on the RecyclerView Tab with an OutOfMemory error, likely due to image loading.</t>
  </si>
  <si>
    <t>nextcloud-android-388</t>
  </si>
  <si>
    <t>1.4.0 RC2 - App crashing after taking a photo on Android &lt; 7</t>
  </si>
  <si>
    <t>From Google Play Developer Console:
APP crash after making photo
im rc2 ist jetzt photoupload wieder vorhanden. nachdem das aktiviert wurde und ein Photo gemacht wird st rzt die nextcloud App ab
Caused by: Attempt to invoke virtual method int on null object reference
Caused by: Attempt to invoke virtual method int on null object reference</t>
  </si>
  <si>
    <t>vijai1996-screenrecorder-9</t>
  </si>
  <si>
    <t>App crashes</t>
  </si>
  <si>
    <t>Hey bro, thanks lot for this useful app, and thanks even more for having it on f-droid! Unfortunately the app crashes very frequently on my phone. It an Android 6.0.1. It seems to be problem with switch to and from the app with the recent apps menu. After switching back to screenrecorder the rec button shows the stop symbol and the app crashes when press it. also get notified that the app crashed if swipe it away in the recent apps menu.
attached log, hope it can help...</t>
  </si>
  <si>
    <t>2016-11-20</t>
  </si>
  <si>
    <t>Cloudkibo-Android-306</t>
  </si>
  <si>
    <t xml:space="preserve">Release 77 is crashing </t>
  </si>
  <si>
    <t>haiwen-seadroid-598</t>
  </si>
  <si>
    <t>Uploading 2gb video</t>
  </si>
  <si>
    <t>Files videos upload fine but just down to this one 2.14GB mp4 video and Seafile instantly crashes with the unfortunately, seafile has stopped message. (I have to move this file outside of the instant camera upload directory so the crashing stops).
Seafile android client 2.1.6
Seafile Server Version: 5.1.3
Apache 2.4.10 (Debian)
mysql Ver 15.1 Distrib 10.1.14-MariaDB
Linux debian 3.16.0-4-amd64 #1 SMP Debian 3.16.7-ckt25-2 (2016-04-08) x86 64</t>
  </si>
  <si>
    <t>kontalk-androidclient-863</t>
  </si>
  <si>
    <t>Kontalk crashes when accepting untrusted personal key</t>
  </si>
  <si>
    <t>### Expected behavior
The key will be accepted
### Actual behavior
### Steps to reproduce
1. Turn encryption off
2. Start new chat with XMPP contact elaon.de)
3. Warning message appears
4. Click on Details
5. Click on Accept
Kontalk version: 4.0.0-alpha8
Android version: 6.0.1
Device model: Galaxy S7
It does not happen when you click on **Identity** first an THEN **Accept**
Some screenshots documenting the behavior.
&lt;img src https: assets 3693437 20503874 width 180
&lt;img src https: assets 3693437 20503875 width 180
&lt;img src https: assets 3693437 20503876 width 180</t>
  </si>
  <si>
    <t>2016-11-21</t>
  </si>
  <si>
    <t>kontalk-androidclient-862</t>
  </si>
  <si>
    <t>Crash when clicking back arrow in group member view</t>
  </si>
  <si>
    <t>### Expected behavior
### Actual behavior
### Steps to reproduce
1. Open group chat with people, including yourself. One person is not authorized and Kontalk shows fade-in notification prompting user to verify that person in private chat.
2. Give the group chat name.
4. Type draft and then remember that not all people are verified (it not possible to send the message).
3. Go to the group member view.
4. Click the back arrow in the upper left corner.
5. Kontalk crashes and cannot be restarted, not eben after trying to reinstall it. fear that ll have to clear data (clearing cache of the app doesn do the trick).
Kontalk version: Kontalk Alpha8 Basic.
Android version: Android 4.4.2
Device model: Fairphone
ll try to catch log. just received private message and could open that chat via the notification that was shown in the status bar. Also in the PM view Kontalk crashes when click the back arrow.</t>
  </si>
  <si>
    <t>RiccardoMoro-RMSwitch-5</t>
  </si>
  <si>
    <t>Bug: in sample, crash when pressing home button</t>
  </si>
  <si>
    <t>This is the log:</t>
  </si>
  <si>
    <t>ParanoidAndroid3-Journey-17</t>
  </si>
  <si>
    <t>MyJourneysActivity crash on v19 and lower</t>
  </si>
  <si>
    <t>Caused by TextView doesn support drawableStart with vector images.</t>
  </si>
  <si>
    <t>2016-11-22</t>
  </si>
  <si>
    <t>google-physical-web-856</t>
  </si>
  <si>
    <t>Crash on first startup</t>
  </si>
  <si>
    <t>Installing build from master, the first startup crashes for me on Android. Second startup seems to work fine.</t>
  </si>
  <si>
    <t>CSE403FindersKeepers-finders-keepers-29</t>
  </si>
  <si>
    <t>Accessing a trade holding a deleted item crashes the app</t>
  </si>
  <si>
    <t>The application needs proper error handling to handle this case without crashing, which we hope to have in place in time for the release candidate.</t>
  </si>
  <si>
    <t>zhanhui913-Budget-112</t>
  </si>
  <si>
    <t>Adding new category when there is no category crashes</t>
  </si>
  <si>
    <t>Mauin-RxFingerprint-20</t>
  </si>
  <si>
    <t>Lib crashes on minimize</t>
  </si>
  <si>
    <t>2016-11-23</t>
  </si>
  <si>
    <t>aricneto-TwistyTimer-68</t>
  </si>
  <si>
    <t>Example format for text import correct</t>
  </si>
  <si>
    <t>The example format shown in the dialog when importing .txt format is incorrect. The pop-up shows:
But it should be:
Importing file just the first sample line leads to crashing application. Importing the correct format works without problem. found the correct format by exporting some results and opening it with text editor.</t>
  </si>
  <si>
    <t>cgeo-cgeo-6159</t>
  </si>
  <si>
    <t>New Map: NullPointerException</t>
  </si>
  <si>
    <t>From Google Play with beta version 2016.11.21-RC:
ust crash while selection fom C:Geo app.</t>
  </si>
  <si>
    <t>2016-11-24</t>
  </si>
  <si>
    <t>Cloudkibo-Android-313</t>
  </si>
  <si>
    <t>Android version 79 crashes</t>
  </si>
  <si>
    <t>Assadbintahir dayemsiddiqui The following crash is due to the way we are handling the database upgrade. Let discuss on how do we securely make changes in database which doesn crash the application on app update. The current workaround for this is to uninstall the app and install it again.
&lt;img width 880 alt screen shot 2016-11-24 at 52 14 pm src https: assets 5811465 20606098</t>
  </si>
  <si>
    <t>vector-im-riot-android-754</t>
  </si>
  <si>
    <t>Memory leak when opening a room</t>
  </si>
  <si>
    <t>Opening room from the recents list causes Riot memory footprint to permanently increase by small amount. Going back to the recents list does not release the memory, and opening the *same* room again causes another increase. Repeatedly opening the same room will quickly run up the memory, until the app crashes.
To demonstrate, this is what happens when repeatedly tap on Matrix HQ -&gt; back -&gt; Matrix HQ -&gt; back -&gt; Matrix HQ -&gt; back -&gt; Matrix HQ -&gt; back -&gt; Matrix HQ -&gt; back -&gt; ...
As you can see by the blue line, it took me about four minutes to get Riot close to the point of crashing. (It usually crashes at about 30% of memory on my phone.)
For contrast, this is me using Riot normally:
realize my phone has limited memory. However, having studies the app behavour, believe it should be able to run Riot well and indefinitely if all leaks like these are fixed.</t>
  </si>
  <si>
    <t>2016-11-25</t>
  </si>
  <si>
    <t>elimu-ai-appstore-38</t>
  </si>
  <si>
    <t>Fix NullPointerException [1-2h]</t>
  </si>
  <si>
    <t>2016-11-26</t>
  </si>
  <si>
    <t>mvysny-aedict-711</t>
  </si>
  <si>
    <t>Reading settings crashes Aedict</t>
  </si>
  <si>
    <t>Caused by: java.lang.Integer cannot be cast to java.lang.String</t>
  </si>
  <si>
    <t>flowupio-FlowUpAndroidSDK-147</t>
  </si>
  <si>
    <t>SQLiteLockedException</t>
  </si>
  <si>
    <t>Even when we are using handling concurrency for our DB access we still have some errors related to the DB.
This is the crash:
Organization: Nero Angelo Projects
Application: El Rubius Videos
Issue #: 34
OS Version: 5.1
RAM Free: 22.9%
Disk Free: 5.9%
#0. Crashed: gcm-task#1: 0x0000000000000000
#0. Crashed: gcm-task#1: 0x0000000000000000
#1. Crashlytics Exception Handler1
#3. metrics-FlowUp Reporter-1-thread-1
#6. Okio Watchdog
#15. OkHttp ConnectionPool
#16. NR TaskQueue-1
#19. Answers Events Handler1
#21. NR AppStateMon-1
#22. OkHttp ConnectionPool
#23. NR Harvester-1</t>
  </si>
  <si>
    <t>2016-11-28</t>
  </si>
  <si>
    <t>ParanoidAndroid3-Journey-30</t>
  </si>
  <si>
    <t xml:space="preserve">FIx map FAB and crashing when changing days </t>
  </si>
  <si>
    <t>The map zoom FAB is incorrectly staying in zoom out state when user navigates to different leg from the view pager and the map is zoomed in.
Also in certain cases the app may crash when swiping to another day due to incorrect registration of map markers.</t>
  </si>
  <si>
    <t>ParanoidAndroid3-Journey-28</t>
  </si>
  <si>
    <t>Vector Drawables compatibility issue</t>
  </si>
  <si>
    <t>On API 21 devices, the app is crashing in the Planner and Recommendations activities due to vector drawables not being supported.
Make app support vector drawables throughout all activities.</t>
  </si>
  <si>
    <t>teamOSC-DigitalOceanApp-34</t>
  </si>
  <si>
    <t>App crashes on every launch (except the first launch)
FATAL EXCEPTION: main
Caused by: Attempt to invoke virtual method java.lang.Object on null object reference</t>
  </si>
  <si>
    <t>inaturalist-iNaturalistAndroid-266</t>
  </si>
  <si>
    <t>back arrow closes the app (sometimes)</t>
  </si>
  <si>
    <t>Worst kind of bug report, know: sometimes ll open the app and it will be on an obs detail view because that was the last thing was looking at. Then tap the back arrow in the upper left and instead of returning to my obs list or Explore and the app just closes and looking at my home screen. don think the app is crashing since not seeing any request to file bug report or any alert that iNat crashed, but maybe. When open the app again it shows my obs list, as if it was really starting again and not just coming out of the background.
This only seems to happen if haven used the app in while, e.g. when use it for the first time in the morning, so maybe it has something to do with data not being available when brought out of the background.
If there no history, tapping the back arrow should always return to the obs list.</t>
  </si>
  <si>
    <t>2016-11-29</t>
  </si>
  <si>
    <t>honza-kasik-OlomouckyBazen-27</t>
  </si>
  <si>
    <t>Fixed crash when pool was closed</t>
  </si>
  <si>
    <t>unfoldingWord-dev-uw-android-181</t>
  </si>
  <si>
    <t>Assamese ULB Causing Crash</t>
  </si>
  <si>
    <t>We are aware of an issue that causes the unfoldingWord Android app to crash when opening the Assamese ULB NT.</t>
  </si>
  <si>
    <t>2016-11-30</t>
  </si>
  <si>
    <t>frc2052-FRC-Krawler-15</t>
  </si>
  <si>
    <t>Unique crashes export</t>
  </si>
  <si>
    <t>Unique operator crashes export on
MatchData matchData metric.getId(), matchNumber, null, eventId, null).unique() in CompilerManager
The type of data isn provided, so it crashes. This is because the user added practice match data that was had the same parameters as regular match data. Query for the type of match data, either practice match data, or regular match data.</t>
  </si>
  <si>
    <t>praekeltfoundation-gem-bbb-indo-155</t>
  </si>
  <si>
    <t>Tip Favourite Internal Server Error</t>
  </si>
  <si>
    <t>Favourite and unfavourite endpoiitns crashing when Tips are deleted.</t>
  </si>
  <si>
    <t>nextcloud-android-413</t>
  </si>
  <si>
    <t>Crash on openning app on Android 7.1 (android.app.RemoteServiceException: can't deliver broadcast)</t>
  </si>
  <si>
    <t>### Actual behaviour
-App crashes after logging in
### Expected behaviour
-It should open the root of the cloud
### Steps to reproduce
1. Be on my ROM (Android 7.1, RR)
2. Enter credentials and server name
### Environment data
Android version: 7.1
Device model: kenzo
Stock or customized system: custom rom (Resurrection Remix)
#### Nextcloud log (data nextcloud.log)
************ CAUSE OF ERROR ************
************ DEVICE INFORMATION ***********
************ FIRMWARE ************
What is weird is that can tell that app is somewhat working uploaded this log just fine. But cant open it it results in instant crash and this log being displayed.</t>
  </si>
  <si>
    <t>syncthing-syncthing-android-798</t>
  </si>
  <si>
    <t>Add folder crash on selecting keep version</t>
  </si>
  <si>
    <t>0.9.0 from Google Play store
You can just leave it at off and edit it after creation</t>
  </si>
  <si>
    <t>2016-12-01</t>
  </si>
  <si>
    <t>flowupio-FlowUpAndroidSDK-155</t>
  </si>
  <si>
    <t>SQLiteDatabaseLockedException</t>
  </si>
  <si>
    <t>This is the crash trace:
Organization: Nero Angelo Projects
Application: El Rubius Videos
Issue #: 34
OS Version: 4.4.2
RAM Free: 14.9%
Disk Free: 4.5%
#0. Crashed: gcm-task#1: 0x0000000000000000
#0. Crashed: gcm-task#1: 0x0000000000000000
#2. OkHttp ConnectionPool
#6. Okio Watchdog
#10. OkHttp ConnectionPool
#13. NR TaskQueue-1
#16. Answers Events Handler1
#22. metrics-FlowUp Reporter-1-thread-1
#24. Crashlytics Exception Handler1
#25. NR Harvester-1
#27. NR AppStateMon-1
#31. Signal Catcher
#35. OkHttp ConnectionPool</t>
  </si>
  <si>
    <t>k9mail-k-9-1826</t>
  </si>
  <si>
    <t>K-9 mail crashes when trying to download an attachment</t>
  </si>
  <si>
    <t>searched for message containing train ticket. entered it and tried to save it. Then the app crashed.
The mail account used here was the same as in #1794
K-9 Mail version: 5.115
Android version: CM13
Account type (IMAP, POP3, WebDAV Exchange): IMAP</t>
  </si>
  <si>
    <t>WhatAKitty-react-native-bottom-sheet-4</t>
  </si>
  <si>
    <t>React Native &gt;= 0.33</t>
  </si>
  <si>
    <t>The usage of this package with React Native 0.33 causes crashes whenever this or any other package invokes onActivityResult (due to RN 0.33 breaking change of interface).
WhatAKitty there fork fixing this problem, are you planning to integrate ask for PR?
It really annoying issue, and it would be great to keep the distribution of your package consistent, avoiding the spreading of forks for such simple update.
Thanks for this package btw!</t>
  </si>
  <si>
    <t>BandUp-band-up-android-6</t>
  </si>
  <si>
    <t>Crashes when searching by name with no results</t>
  </si>
  <si>
    <t>In Search by name:
Search for someone that isn in the database. The app crashes.</t>
  </si>
  <si>
    <t>2016-12-02</t>
  </si>
  <si>
    <t>BandUp-band-up-android-1</t>
  </si>
  <si>
    <t>SoundCloud Player crash in User Details</t>
  </si>
  <si>
    <t>screen shot 2016-12-02 at 02 34 12 (https: assets 5691158 20835925
How to reproduce:
1. Open details for user in the user list
2. Go to Edit Profile
3. Go back to Near Me
4. Swipe to the next user in the list
5. Click on Details.
6. BOOM! Crash.</t>
  </si>
  <si>
    <t>tanrabad-survey-2</t>
  </si>
  <si>
    <t>Fabric Integration Test</t>
  </si>
  <si>
    <t>#### in some crashed method
Number of crashes:
There lot more information about this crash on crashlytics.com:</t>
  </si>
  <si>
    <t>Cloudkibo-Android-330</t>
  </si>
  <si>
    <t>Android crashing on sending images or documents</t>
  </si>
  <si>
    <t>2016-12-03</t>
  </si>
  <si>
    <t>danimahardhika-candybar-library-10</t>
  </si>
  <si>
    <t>Wrong requested icon count results in App crash</t>
  </si>
  <si>
    <t>When you select few Apps, which you want to request and then spam(click very rapidly) one this may sometimes resolve in wrong selected apps count in the toolbar(count is one to high). If you then click the FAB to send the request the app crashes. tried this in the Sample App and in the Delta-Icon Pack, it worked on both.</t>
  </si>
  <si>
    <t>2016-12-04</t>
  </si>
  <si>
    <t>tanrabad-survey-5</t>
  </si>
  <si>
    <t>tanrabad-survey-4</t>
  </si>
  <si>
    <t>tanrabad-survey-3</t>
  </si>
  <si>
    <t>maximova136-EffectiveTravel-client-12</t>
  </si>
  <si>
    <t>Fix TransportStatActivity (App crashes when starting it)</t>
  </si>
  <si>
    <t>uncomment lines before CAN UNDERSTAND WHY APP IS BEING STOPPED HERE in MenuActivity class and try to press Transport Statistics button</t>
  </si>
  <si>
    <t>2016-12-05</t>
  </si>
  <si>
    <t>nextcloud-android-425</t>
  </si>
  <si>
    <t>SQLiteDatabase.updateWithOnConflict: IllegalArgumentException: Empty values</t>
  </si>
  <si>
    <t>Via Google Play, 1.4.0 RC only (any of them RC1-RC4)!
1.4.0 RC4: Opening one folder crashes the app
1.4.0 RC2: Nextcloud app beendet sich sobald ich einen Ordner ffnen der geshared ist</t>
  </si>
  <si>
    <t>Fleker-CumulusTV-199</t>
  </si>
  <si>
    <t>Cumulus crashes alot on Mi Box</t>
  </si>
  <si>
    <t>have Mi Box (international) with Android TV 6.0.1. Using latest Live channels app and 1.6.7 Cumulus TV.
have .m3u file containing 120 channels which open via ES File Explorer and open with Cumulus TV. This works. But when go to the Live channels app it will freeze up when load the channels, the parsing channels will lock up and be black screen.
Eventually can restart Live channels and in 10 times am able to watch channel, but it almost always crashes with the result that Android asks me if want to close Cumulus TV.
also get an error about loading screen not showing but its loading in the background anyway.</t>
  </si>
  <si>
    <t>ozelevrim-EvrimNews-4</t>
  </si>
  <si>
    <t>Immediate Crash</t>
  </si>
  <si>
    <t>Because of bug, the app will immediately crash on launch.</t>
  </si>
  <si>
    <t>ozelevrim-EvrimNews-1</t>
  </si>
  <si>
    <t>Because of an OnClick request, the app would crash immediately</t>
  </si>
  <si>
    <t>Because of an OnClick request, the app would crash immediately.</t>
  </si>
  <si>
    <t>k9mail-k-9-1836</t>
  </si>
  <si>
    <t>Properly handle multipart/digest content type</t>
  </si>
  <si>
    <t>As per rfc1341 (https: tools.ietf.org html rfc1341), the default content-type for sub parts of multipart digest part is message rfc822 rather than text plain as usual. The mime4j parser handles this correctly and we get structure of MimeMessage sub-parts, however those don have an explicit content-type (they have no headers) so they return text plain This leads to crash because the text extractor tries to extract the text from body that considers itself multipart.
The immediate fix is simple: If part parent is multipart digest return different default mime type. Though think we re still dos able from malformed messages.
This fixes #1794, see the debian digest mail linked there for real-world test case.</t>
  </si>
  <si>
    <t>2016-12-06</t>
  </si>
  <si>
    <t>elimu-ai-ml-authentication-230</t>
  </si>
  <si>
    <t>Copy deer.jpg to SD card [1h]</t>
  </si>
  <si>
    <t>Application crashes due to missing animal template image:
... 10 more</t>
  </si>
  <si>
    <t>HugoGresse-Anecdote-19</t>
  </si>
  <si>
    <t>Crashes after selecting website</t>
  </si>
  <si>
    <t>When start the app, select website and click on save, the app crashes. This happens with all website have tested
F-Droid version on Android 6.0.1</t>
  </si>
  <si>
    <t>mudounet-TranslatorGame-4</t>
  </si>
  <si>
    <t>Application is crashing when selecting lesson</t>
  </si>
  <si>
    <t>When selection lesson, application is exiting abruptly.</t>
  </si>
  <si>
    <t>Cloudkibo-Android-337</t>
  </si>
  <si>
    <t>Urgent: When I open KiboChat I am getting a blank page</t>
  </si>
  <si>
    <t>One time it crashed and since then am getting this</t>
  </si>
  <si>
    <t>inaturalist-iNaturalistAndroid-275</t>
  </si>
  <si>
    <t>OutOfMemoryError when importing photos on a Moto G</t>
  </si>
  <si>
    <t>Like any good memory error this is hard to replicate, but on my old Moto (running Android 6.0) it happens pretty consistently when import more than one photo at time using the new stock photo chooser with multiselect. Sometimes it happens with just one photo. The crash definitely happens after the chooser is dismissed at the obs edit screen appears, and think it happens after the loading modal goes away. It results in observations that appear to have photos but when you upload them the photos don get uploaded, just the observations. FWIW, can import as many as like on my Nexus 5X, but maybe it has tons more memory.
IMO, this is release blocker. think we ve got lot of people on older phones like this.</t>
  </si>
  <si>
    <t>Cloudkibo-Android-339</t>
  </si>
  <si>
    <t>Out of Memory Error when showing group profile image in chat list</t>
  </si>
  <si>
    <t>Assadbintahir you had implemented the logic to display the group profile image in the following issue:
It displays the icons of group correctly in the chat list but however when there are more than groups with icons. The application is crashing and log says memory exceeded the allocated limit.
Here is the crash report:
&lt;img width 1196 alt screen shot 2016-12-07 at 38 35 pm src https: assets 5811465 20968064
This is where error is happening in code
&lt;img width 890 alt screen shot 2016-12-07 at 41 10 pm src https: assets 5811465 20968078
dayemsiddiqui is using very good library to load images. Please sit with him and see how he is loading images. We should load images in such way that they are not stored in memory forever.
dayemsiddiqui please discuss the library you used with Assadbintahir</t>
  </si>
  <si>
    <t>2016-12-07</t>
  </si>
  <si>
    <t>AppsFlyerSDK-appsflyer-react-native-plugin-5</t>
  </si>
  <si>
    <t>trackEvent crashes when empty properties passed</t>
  </si>
  <si>
    <t>When calling login or login it fails with NPE.
In order to make it work, the properties have to contain at least one value.</t>
  </si>
  <si>
    <t>AppsFlyerSDK-appsflyer-react-native-plugin-4</t>
  </si>
  <si>
    <t>App crashed because AndroidManifest.xml contains Google Analytics receiver, which is not on classpath</t>
  </si>
  <si>
    <t>experiencing crash, when receiving INSTALL REFERRER intent.
The SDK AndroidManifest.xml contains two receivers:
One of them is not part of my app dependencies, this causes the crash.
Do you need those receivers? Can they be removed?</t>
  </si>
  <si>
    <t>AdevintaSpain-Parallax-Layer-Layout-12</t>
  </si>
  <si>
    <t>Avoid registering the sensor if it's null</t>
  </si>
  <si>
    <t>For some reason, some phones return null sensor when getting the default one. So, we will check for it before registering the sensort to avoid crashes like http: crashes.to 2fd03a11431
BTW, sorry for the last line. edited the file using the website so don have any idea about why it has changed</t>
  </si>
  <si>
    <t>getodk-collect-289</t>
  </si>
  <si>
    <t>Browsing Google Drive on a fresh Gmail account causes crash</t>
  </si>
  <si>
    <t>#### Software and hardware versions
ODK Collect v1.4.12, Android v6.0.1, Nexus
#### Problem description
ODK Collect crashes when trying to load My Drive
#### Steps to reproduce the problem
1. Create totally new Gmail account.
1. Add the Gmail account to the device
1. Change settings in Collect to Google Drive Sheets platform and add the Gmail account as Google account
1. In the Main Menu, tap Get Blank Form, tap My Drive.
1. Collect crashes with
#### Expected behavior
Collect should not crash. You should get pop-up dialog asking for OAuth permissions.
#### Other information
In my tests, if instead of My Drive, you use the magnifying glass and try to search for form, then the application shows the pop-up dialog asking for OAuth. You can deny that dialog, and the My Drive works.
If this is not reproducible, it might be because you are not using new account, or this bug is caused my something server-side.</t>
  </si>
  <si>
    <t>2016-12-08</t>
  </si>
  <si>
    <t>lingochamp-FileDownloader-420</t>
  </si>
  <si>
    <t>Crash: Unable to create application com.myapp.MyApplication: java.lang.IllegalStateException: the DownloadMgrInitialParams is only can be touched in the process which the download service settles on</t>
  </si>
  <si>
    <t>experiencing crash with following stack trace:
Caused by the is only can be touched in the process which the download service settles on
Here is the main code from my Application class:
public class MyApplication extends MultiDexApplication implements
public void onCreate()
some code before....
some code after...
new is not has to provide.
public OkHttpClient customMake()
final builder new
Just for cache Application Context, and :filedownloader progress will NOT be launched
by below code, so please do not worry about performance.
get this crash reported from Crashlytics, in production. It occurs with very low frequency, and can reproduce the wrong behavior in development environment. So, would like some help about what is the expected behavior of the Library in my Application, and what could went wrong.</t>
  </si>
  <si>
    <t>2016-12-09</t>
  </si>
  <si>
    <t>syncthing-syncthing-android-806</t>
  </si>
  <si>
    <t>Crash on device rotation</t>
  </si>
  <si>
    <t>When perform this sequence of events, the app crashes
1. Open Side Drawer
2. Click on Settings
optional. Click on any settings item
3. Orientation Change</t>
  </si>
  <si>
    <t>2016-12-10</t>
  </si>
  <si>
    <t>popcorn-official-popcorn-android-106</t>
  </si>
  <si>
    <t>Crashes on Android TV</t>
  </si>
  <si>
    <t>Download date: 11-Dec-2016
Android version: Android TV 6.0
#### Expected Behaviour
&lt;!-- What did you think the app was going to do? --&gt;
The App should have played the movie
#### Actual Behaviour
&lt;!-- What does the app do instead? --&gt;
Crashed with error unfortunatly Popcorntime crashed
#### Steps to repoduce the behaviour
&lt;!-- What steps do we need to take to find the same bug that you found? --&gt;
1. Install the apk
2. open the app and select movie
3. Click on play EN</t>
  </si>
  <si>
    <t>yydcdut-RxMarkdown-8</t>
  </si>
  <si>
    <t>Some style issues</t>
  </si>
  <si>
    <t>first of all: thanks for this great lib! am planning to use it in the Nextcloud Notes (https: github.com stefan-niedermann OwnCloud-Notes tree RxMarkdown)-app.
Currently am struggling with some style issues (https: github.com stefan-niedermann OwnCloud-Notes issues we experienced while testing.
Maybe these style issues could be fixed or at least configuration option could be provided by you for these?
**1.) Headings in TextView have padding or margin on the left side:** (fixed in #10)
Expected behavior: There is no padding or margin or there is configuration to disable it or set it to zero.
**2.) Very long quotes Text that do not fit into single line crash on the grey border (TextView &amp;&amp; EditView)**
Expected behavior: Even if the line breaks because it does not fit into single row the padding margin on the left side should be equal to the first line.</t>
  </si>
  <si>
    <t>maximova136-EffectiveTravel-client-25</t>
  </si>
  <si>
    <t>Bug in PersonalStatsActivity</t>
  </si>
  <si>
    <t>App is crashed when you re trying to open this activity</t>
  </si>
  <si>
    <t>2016-12-11</t>
  </si>
  <si>
    <t>nextcloud-android-442</t>
  </si>
  <si>
    <t>Instant upload crashes client</t>
  </si>
  <si>
    <t>### Actual behaviour
Take photo using factory camera app with instant upload enabled, client crashes (message Unfortunately, Nextcloud has stopped.
Upload doesn happen even when restart client.
External SD card selected for storage path in settings.
### Expected behaviour
Photos uploaded automatically after being taken using factory camera app.
### Steps to reproduce
### Environment data
Stock or customized system:
Nextcloud app version:
Nextcloud server version:
#### Web server error log
Insert your webserver log here
#### Nextcloud log (data nextcloud.log)
Insert your Nextcloud log here</t>
  </si>
  <si>
    <t>wasdennnoch-AndroidN-ify-1259</t>
  </si>
  <si>
    <t>PIN not providing</t>
  </si>
  <si>
    <t>Hey there! You found problem with the module and found your way here to report it? Great! But there are some things you have to keep in mind before submitting new issue:
First, CHECK FOR DUPLICATES. Use the search function to search for keywords matching your issue. If there already is one which sounds similar to your one, please reply there instead of opening new issue. Only exception are SystemUI crashes as they can be caused by various reasons. If any contributor finds duplicate (or the same crash) he will close it.
Second, ALWAYS ATTACH YOUR XPOSED LOG. If an app crashes though you ll have to add logcat. Use Google to learn how to capture logcat.
Third, if you are using stable version from the Xposed repository, INSTALL SNAPSHOT BUILD to see if the issue is already fixed. You can find these snapshot in the readme.
If the issue is new and not yet fixed in the snapshot builds go ahead and DESCRIBE YOUR ISSUE AS PRECISE AS POSSIBLE, add screenshots or videos if necessary.
Note that there is no time limit in which the issue will be adressed. Some get fixed quickly, others take some time. Don open new issue because you think we forgot about the old one we don forget issues.
Now that you ve read all of this (and hopefully followed the instructions... you can add the description and logs. Do with this text what you want, it won appear in the issue anyways.
When AndroidN-ify is enabled. can provide PIN for SIM Card.
When click on number, its not writing to textbox.
**Module version (build version)**
**Xposed log logcat**
There is nothing in xposed log and logcat.</t>
  </si>
  <si>
    <t>niclabs-adkintunmobile-androidclient-142</t>
  </si>
  <si>
    <t>TimelineViewFragment.java line 30</t>
  </si>
  <si>
    <t>2016-12-12</t>
  </si>
  <si>
    <t>Cloudkibo-Android-351</t>
  </si>
  <si>
    <t>chat in group crashes the app</t>
  </si>
  <si>
    <t>had just merged the latest pull request and after this, am having some troubles with the group related features of application. created group and added on person in the group. After this, on the other mobile the group appeared in chat list. When tried to open it, application crashed with following problem:
&lt;img width 718 alt screen shot 2016-12-13 at 30 31 pm src https: assets 5811465 21144016</t>
  </si>
  <si>
    <t>2016-12-13</t>
  </si>
  <si>
    <t>wasdennnoch-AndroidN-ify-1267</t>
  </si>
  <si>
    <t>Progress bar issue</t>
  </si>
  <si>
    <t>Hey there! You found problem with the module and found your way here to report it? Great! But there are some things you have to keep in mind before submitting new issue:
First, CHECK FOR DUPLICATES. Use the search function to search for keywords matching your issue. If there already is one which sounds similar to your one, please reply there instead of opening new issue. Only exception are SystemUI crashes as they can be caused by various reasons. If any contributor finds duplicate (or the same crash) he will close it.
Second, ALWAYS ATTACH YOUR XPOSED LOG. If an app crashes though you ll have to add logcat. Use Google to learn how to capture logcat.
Third, if you are using stable version from the Xposed repository, INSTALL SNAPSHOT BUILD to see if the issue is already fixed. You can find these snapshot in the readme.
If the issue is new and not yet fixed in the snapshot builds go ahead and DESCRIBE YOUR ISSUE AS PRECISE AS POSSIBLE, add screenshots or videos if necessary.
Note that there is no time limit in which the issue will be adressed. Some get fixed quickly, others take some time. Don open new issue because you think we forgot about the old one we don forget issues.
Now that you ve read all of this (and hopefully followed the instructions... you can add the description and logs. Do with this text what you want, it won appear in the issue anyways.
know this issue was fixed. But my progress bar is still short.
**Module version (build version)**
Latest build 792.
**Xposed log logcat**</t>
  </si>
  <si>
    <t>praekeltfoundation-gem-bbb-indo-262</t>
  </si>
  <si>
    <t>Freeform challenge crashes when image URL is null</t>
  </si>
  <si>
    <t>Check for null image URL before calling methods.</t>
  </si>
  <si>
    <t>nextcloud-android-448</t>
  </si>
  <si>
    <t>FolderPicker - App crashes while rotating device</t>
  </si>
  <si>
    <t>### Current behaviour
App stops when the orientation is changed from portrait to landscape
### Expected behaviour
App rotates to landscape mode properly, showing the appropriate view.
1. Select files folders.
2. Select copy or move in contextual menu.
3. Rotate screen.
### Environment data
Android version: 7.1.1
Device model: Nexus5X
Stock or customized system: stock
Nextcloud app version: 1.4.0
Nextcloud server version: 10.0.2
#### Android client log</t>
  </si>
  <si>
    <t>julian-klode-dns66-51</t>
  </si>
  <si>
    <t>Regression 0.2.0: Service crash on MainActivity.config == null</t>
  </si>
  <si>
    <t>The service accidentally accesses the config when the config may be null, causing it to crash when the service is restarted without the app running.</t>
  </si>
  <si>
    <t>2016-12-14</t>
  </si>
  <si>
    <t>praekeltfoundation-gem-bbb-indo-265</t>
  </si>
  <si>
    <t>Challenge Fragment: Can not perform this action after onSaveInstanceState</t>
  </si>
  <si>
    <t>rjacobs31 started up the app, logged in, and immediately scrolled to tips. While waiting for tip article to load, it crashed with the below exception. think it async code in the Challenges fragment thats trying to handle destroyed fragments activities.
on the latest develop
Caused by: Can not perform this action after onSaveInstanceState
Caused by: Can not perform this action after onSaveInstanceState</t>
  </si>
  <si>
    <t>OneBusAway-onebusaway-android-730</t>
  </si>
  <si>
    <t>OutOfMemoryError when choosing gallery photo in issue report</t>
  </si>
  <si>
    <t>Reported by HART, and via Android Developer Console:
&gt;When report trash at stop from OBA and try to submit photo via the gallery, the app crashes. However it responds will by taking picture.
Device was Samsung Galaxy S5.
can reproduce this on LG G5 Android 7.0, LG G3 Android 5.0.1, an Amazon Fire Phone (I believe Android 4.4.4), or Nexus 4G Android 4.1.2.
**Steps to reproduce:**
On an affected device:
1. Tap on Send feedback-&gt;Report stop problem
1. Tap on stop
1. Choose any issue category
1. Scroll down and tap on Add Image button, and then Gallery
1. Choose photo
Add the photo to the issue report
App crashes with OutOfMemoryError
**Device and Android version:**
Galaxy S5 (kltevzw)
Android version Android 4.4
RAM (MB) 2048
Screen size 1080 1920
Screen density (dpi) 480
OpenGL ES version 3.0</t>
  </si>
  <si>
    <t>2016-12-15</t>
  </si>
  <si>
    <t>kontalk-androidclient-901</t>
  </si>
  <si>
    <t>Unable to start message center due to crash</t>
  </si>
  <si>
    <t>Android 6.0 from Crashlytics.
Caused by no encryption methods specified</t>
  </si>
  <si>
    <t>googlesamples-easypermissions-65</t>
  </si>
  <si>
    <t>Crash when requesting permissions</t>
  </si>
  <si>
    <t>Using version 0.2.1 am sometimes seeing this crash in production:
Caused by Can not perform this action after onSaveInstanceState</t>
  </si>
  <si>
    <t>OpenArchive-Save-app-android-51</t>
  </si>
  <si>
    <t>Crash after using camera</t>
  </si>
  <si>
    <t>Taking still picture and then accepting (blue checkmark button) is resulting in crash every time (Nexus 5x Android N). Video does not cause this problem. Crash report has been submitted. Thanks for your work!
--------- beginning of crash
Caused by: url</t>
  </si>
  <si>
    <t>HRVBand-hrv-band-76</t>
  </si>
  <si>
    <t>The app crashes in the first minute of measurements.</t>
  </si>
  <si>
    <t>User reports that app crashes in first minute of measurement:
RAM (MB): 2048
Bildschirmgr e: 1920 1080
Bildschirmdichte (dpi): 480
OpenGL ES-Version: 2.0
Native Plattform: armeabi-v7a</t>
  </si>
  <si>
    <t>Gear61-Random-Number-Generator-9</t>
  </si>
  <si>
    <t>Fix crashes on non-numeric inputs</t>
  </si>
  <si>
    <t>schotten-totten-company-schotten-totten-8</t>
  </si>
  <si>
    <t>crash lors d'une reclamation de borne</t>
  </si>
  <si>
    <t>cf capture cran, crash lorsque utilisateur essai de reclamer la borne 888 (qui gagne contre le 222 en face)</t>
  </si>
  <si>
    <t>praekeltfoundation-gem-bbb-indo-268</t>
  </si>
  <si>
    <t>Profile Image upload crash</t>
  </si>
  <si>
    <t>Crash when selecting profile picture from the camera or gallery. On ProfileActivity, sometime on or after Activity result.
Android version: 6.0.1
API Version: 23
Possible cause is null profile image url when parsing the url (https: github.com praekeltfoundation gem-bbb-indo blob develop app src main java org gem indo dooit views profile</t>
  </si>
  <si>
    <t>projectwife-mtesitoo-android-59</t>
  </si>
  <si>
    <t>Fatal Crash in Prod: Null Pointer Exception</t>
  </si>
  <si>
    <t>No message returning on error response?
Can currently see which user is attached to the crash. Will look at adding this in future update so we can correlate to specific user.
Fatal Exception: println needs message</t>
  </si>
  <si>
    <t>2016-12-16</t>
  </si>
  <si>
    <t>veritrans-veritrans-android-194</t>
  </si>
  <si>
    <t>Fix expiry details on UI</t>
  </si>
  <si>
    <t>also fix crash on instruction</t>
  </si>
  <si>
    <t>tvbarthel-IntentShare-46</t>
  </si>
  <si>
    <t>IndexOutOfBoundsException when using back button</t>
  </si>
  <si>
    <t>first thanks for creating this libary! Sharing is by far not that easy on Android as it should, so IntentShare comes in very handy.
Now to my issue: Selecting an app to share to from the works as expected. But going back to my app using Android back button or application switcher causes crash of my app with the following stacktrace:
For me it seems that the RecyclerView in is causing the issue as don have one in my layout of my activity.
Looking forward to fix keep up the good work!</t>
  </si>
  <si>
    <t>2016-12-17</t>
  </si>
  <si>
    <t>vanilla-music-vanilla-490</t>
  </si>
  <si>
    <t>'Enqueue genre' in full playback activity crashes</t>
  </si>
  <si>
    <t>Note that this only happens in the MDB branch</t>
  </si>
  <si>
    <t>kontalk-androidclient-908</t>
  </si>
  <si>
    <t>Crash: no encryption methods specified</t>
  </si>
  <si>
    <t>### Expected behavior
### Actual behavior
Within seconds of starting the app Kontalk crashes.
### Steps to reproduce
1. Start Kontalk.
2. Count to or 3.
3. Kontalk crashes
Kontalk version: beta4-basic.apk
Android version: Lollipop 5.1
Device model: Fairphone
ll send it immediately after creating this issue.
Happens to two Fairphone users (I only have log of one of them), but not to the third. All of them are using the same beta4-basic.apk.</t>
  </si>
  <si>
    <t>2016-12-19</t>
  </si>
  <si>
    <t>danikula-AndroidVideoCache-105</t>
  </si>
  <si>
    <t>Fatal Exception: java.lang.ArrayIndexOutOfBoundsException</t>
  </si>
  <si>
    <t>am getting crash from method, only Android 5.x devices Crashlytics says.
Crash stack trace is below:
How can resolve this issue am using version 2.6.4.
Also am getting your Exception description:
Wait... but why? WTF!? Really shouldn happen any more after fixing https: github.com danikula AndroidVideoCache issues 43. If you read it on your device log, please, notify me danikula gmail.com or create issue here https: github.com danikula AndroidVideoCache issues</t>
  </si>
  <si>
    <t>dimamo5-movimento1euro-android-55</t>
  </si>
  <si>
    <t>App crashes when opening same menu multiple times</t>
  </si>
  <si>
    <t>schedjoules-android-event-discovery-sdk-48</t>
  </si>
  <si>
    <t>Crash when rotating event list after error</t>
  </si>
  <si>
    <t>when loaded the page initially had no network connection, and the error was shown. After rotating the device, it crashed</t>
  </si>
  <si>
    <t>2016-12-20</t>
  </si>
  <si>
    <t>kontalk-androidclient-911</t>
  </si>
  <si>
    <t>Crash: user leaves group</t>
  </si>
  <si>
    <t>### Expected behavior
### Actual behavior
Kontalk crashes after clicking the group.
### Steps to reproduce
1.create group with at least members
2.admin owner leaves the group
3.entering the chat again crashes Kontalk (for owner and member)
Kontalk version: build from scratch, basic flavor
Android version: CyanogenMod 14.1
Device model: iyokan Sony Ericsson Xperia Pro</t>
  </si>
  <si>
    <t>2016-12-21</t>
  </si>
  <si>
    <t>WatchFriends-Android-161</t>
  </si>
  <si>
    <t>App crasht na uitloggen</t>
  </si>
  <si>
    <t>flowupio-FlowUpAndroidSDK-172</t>
  </si>
  <si>
    <t>SQLiteDatabaseLockedException in io.flowup.config</t>
  </si>
  <si>
    <t>We get the following crash:</t>
  </si>
  <si>
    <t>flowupio-FlowUpAndroidSDK-171</t>
  </si>
  <si>
    <t>NullPointerException io.flowup.reporter</t>
  </si>
  <si>
    <t>veritrans-veritrans-android-202</t>
  </si>
  <si>
    <t>Fix crash after payment result because different context after reinitialize SDK</t>
  </si>
  <si>
    <t>6peterlu-Breathalyzer-11</t>
  </si>
  <si>
    <t>Tilting phone to landscape crashes app</t>
  </si>
  <si>
    <t>the perennial android struggle</t>
  </si>
  <si>
    <t>2016-12-22</t>
  </si>
  <si>
    <t>syncthing-syncthing-android-822</t>
  </si>
  <si>
    <t>Open folder crash app</t>
  </si>
  <si>
    <t>There is problem with this new feature.
When click folder icon from the app then it immediately crash.
App Version: 0.9.3
Syncthing Version: v0.4.16
Android Version: Android 6.0.1 (Nexus5, root)</t>
  </si>
  <si>
    <t>2016-12-23</t>
  </si>
  <si>
    <t>SecUSo-privacy-friendly-pedometer-28</t>
  </si>
  <si>
    <t>Android 4.4.2/ Samsung GT-N7100: Crashes on start.</t>
  </si>
  <si>
    <t>Android 4.4.2 Samsung GT-N7100: This app gives notice: of steps walked and crashes on start, every time. Have rebooted device and no change.</t>
  </si>
  <si>
    <t>amosyuen-FFmpegVideoRecorder-3</t>
  </si>
  <si>
    <t>xiao mi 4LTE 6.0.1  crash</t>
  </si>
  <si>
    <t>2016-12-24</t>
  </si>
  <si>
    <t>Cloudkibo-Android-380</t>
  </si>
  <si>
    <t>App crash after receiving the message version 95</t>
  </si>
  <si>
    <t>The app is crashing after the receiving the message</t>
  </si>
  <si>
    <t>2016-12-25</t>
  </si>
  <si>
    <t>morenoh149-react-native-contacts-136</t>
  </si>
  <si>
    <t>getPhotoForId crash on iOS</t>
  </si>
  <si>
    <t>In the mean time we were trying to use the getPhotoForId function on iOS.
We added the following code:
.recordID, (err, result)
if (result console.log( PATH RESULT ,result)
It does display path but on real device with 3000 contacts, it often endup with crash and the following error:
SELECT ROWID, Name, ExternalIdentifier, Type, ConstraintsPath, ExternalSyncTag, AccountID, Enabled, SyncData, MeIdentifier, Capabilities FROM ABStore WHERE Enabled</t>
  </si>
  <si>
    <t>2016-12-26</t>
  </si>
  <si>
    <t>innoveit-react-native-ble-manager-90</t>
  </si>
  <si>
    <t>[Android] App crashes when trying to enable Bluetooth when running in HeadlessJS mode</t>
  </si>
  <si>
    <t>When the app is running in the background the getCurrent method returns null and thus this error is thrown:
Not sure if it is possible to enable Bluetooth in the background. If not maybe one should display warning instead of throwing the error.</t>
  </si>
  <si>
    <t>nextcloud-android-477</t>
  </si>
  <si>
    <t>Client 20161224 crashes</t>
  </si>
  <si>
    <t>### Actual behaviour
Client crashes every now and then
### Expected behaviour
-no crashes of course
### Steps to reproduce
1. Don know, mostly while listing directories (fast scrolling larger directories
### Environment data
Stock or customized system:
Nextcloud app version:
Nextcloud server version:
************ CAUSE OF ERROR ************
************ DEVICE INFORMATION ***********
************ FIRMWARE ************
#### Web server error log
Insert your webserver log here
#### Nextcloud log (data nextcloud.log)
Insert your Nextcloud log here</t>
  </si>
  <si>
    <t>2016-12-27</t>
  </si>
  <si>
    <t>dimagi-commcare-android-1608</t>
  </si>
  <si>
    <t>Stop audio button animation on question validation issue</t>
  </si>
  <si>
    <t>If you swipe forward while audio is playing and hit validation condition issue, the animation continues but the audio stops. Then if you try to resume playback CC crashes.
This PR fixes these issues by stopping the playback and animation.
Fix for http: manage.dimagi.com default.asp?244503</t>
  </si>
  <si>
    <t>google-ExoPlayer-2264</t>
  </si>
  <si>
    <t>NPE in HlsMediaSource.releaseSource()</t>
  </si>
  <si>
    <t>Sometimes have crash with this stacktrace.
Probably it happens when non prepared Source is goes to be released.
Could you, please, add check playlistTracker for null when releaseSource() is called?
Lib version is 2.1.1
public void releaseSource()</t>
  </si>
  <si>
    <t>romandanylyk-PageIndicatorView-13</t>
  </si>
  <si>
    <t>Caused by java.lang.IllegalStateException</t>
  </si>
  <si>
    <t>am getting this error reports for my app after integrated your library in my app.
However am not able to recreate the error myself but am getting this error in my crashlytics dashboard.</t>
  </si>
  <si>
    <t>cachapa-AerialDream-4</t>
  </si>
  <si>
    <t>Loads new aerials quickly until it crashes or freezes</t>
  </si>
  <si>
    <t>It worked for week or two before it started doing this, assume it related to when there was an update to the app, but didn keep track of when it started (sorry!)
ve manually started it to show what going on and it worked much better than usual (but still failed). It goes to the daydream menu at the end because it only managed to crash itself this time instead of my entire TV.
believe our TV is Sony Bravia 4K Android TV, could probably find more details if needed.</t>
  </si>
  <si>
    <t>2016-12-28</t>
  </si>
  <si>
    <t>nextcloud-android-483</t>
  </si>
  <si>
    <t>Crash for email-shared folders/files</t>
  </si>
  <si>
    <t>This came in via the Google Play review:
The app provides some, but the sharing of folders or files with external (ie an email address instead of LDAP) unfortunately leads reliably the app to crash. Once you delete the items in question, the app works perfectly again. Please fix. have found in the app also no way to know from whom got assigned to file. Otherwise, keep it up!
Galaxy S7 (herolte)</t>
  </si>
  <si>
    <t>inaturalist-iNaturalistAndroid-287</t>
  </si>
  <si>
    <t>OutOfMemory errors on species and identification lists</t>
  </si>
  <si>
    <t>Build 185. released despite this but think this is the highest priority bug at the moment. Easy to replicate if you have lot of species or identifications, just scroll for while on either list and the app will crash. Happens lot sooner if you re in grid view so assume this is related to image loading. Also more pronounced on low-memory device than the Moto than on Nexus 5X, but it affects both.
Here log excerpt:</t>
  </si>
  <si>
    <t>2016-12-29</t>
  </si>
  <si>
    <t>niclabs-adkintunmobile-androidclient-149</t>
  </si>
  <si>
    <t>MediaTestDialog.java line 119</t>
  </si>
  <si>
    <t>eclipse-californium-187</t>
  </si>
  <si>
    <t>Crash inside API CoapObserveRelation.reactiveCancel()</t>
  </si>
  <si>
    <t>found an crash inside API when we tried to cancel observer relation. Please check and provide your input.
Caused by: MID must not be 16 bit unsigned int</t>
  </si>
  <si>
    <t>tpb1908-AndroidProjectsClient-24</t>
  </si>
  <si>
    <t>Dropping a card into a header crashes the app</t>
  </si>
  <si>
    <t>2016-12-30</t>
  </si>
  <si>
    <t>elimu-ai-ml-authentication-308</t>
  </si>
  <si>
    <t>AuthenticationActivity crashes if it starts while the screen is turned off and then turned on</t>
  </si>
  <si>
    <t>Turn the screen off and wait for the to start
The starts but pauses until the screen is turned on (or maybe we shouldn even start it?)
The app crashes (see log)
Caused by: Thread already started</t>
  </si>
  <si>
    <t>nextcloud-android-492</t>
  </si>
  <si>
    <t>proper email sharee handling</t>
  </si>
  <si>
    <t>This issue makes up for &gt;80% of all 1.4.0 related crash reports on the Google developer console!</t>
  </si>
  <si>
    <t>nextcloud-android-491</t>
  </si>
  <si>
    <t>Upload view crash when playing with flight mode</t>
  </si>
  <si>
    <t>Steps to reproduce:
1. set auto upload for Camera wifi only upload
2. activate flight mode
3. take pictures
4. open clients upload view
5. deactivate flight mode (leadign to wifi reconnect)
6. right when activated go back to the Nc client uploads view</t>
  </si>
  <si>
    <t>elimu-ai-ml-authentication-301</t>
  </si>
  <si>
    <t>MediaPlayer IllegalStateException</t>
  </si>
  <si>
    <t>Training already executed for the person testing
Wait until the recognition has recognized you
The closes and sends broadcast to the UI app
The crashes (but still sends the broadcast) with an
The MediaPlayer shouldn start in the OnCameraFrame after the finished</t>
  </si>
  <si>
    <t>niclabs-adkintunmobile-androidclient-152</t>
  </si>
  <si>
    <t>NotificationManager.java line 41</t>
  </si>
  <si>
    <t>2016-12-31</t>
  </si>
  <si>
    <t>codinguser-gnucash-android-633</t>
  </si>
  <si>
    <t>App crashes when changing orientation while viewing reports</t>
  </si>
  <si>
    <t>#### Steps to reproduce the behaviour
1. Open one of the reports (pie chart, line chart, bar chart or sheet).
2. Turn the phone to change the screen orientation.
#### Expected behaviour
Report shows in the new screen orientation.
#### Actual behaviour
#### Software specifications
GnuCash Android version: 2.1.3
System Android version: Android 6.0.1, CyanogenMod 13.0
Device type: Nexus</t>
  </si>
  <si>
    <t>Neamar-KISS-597</t>
  </si>
  <si>
    <t>crash on opening protected apps (cyanogenmod/lineageos)</t>
  </si>
  <si>
    <t>With CM Lineage you can protect apps with secure pattern in Settings -&gt; privacy (Cyanogenmod Settings) -&gt; protected apps.
KISS (2.29.0) always crashes upon attempting to open any of the protected apps.</t>
  </si>
  <si>
    <t>2017-01-01</t>
  </si>
  <si>
    <t>k9mail-k-9-1908</t>
  </si>
  <si>
    <t>Cannot zoom HTML messages properly if at all</t>
  </si>
  <si>
    <t>### Expected behavior
HTML mail should pinch zoom as it always has
### Actual behavior
In 5.201 tried zooming few HTML emails. Nether would pinch zoom (though double tapping made them tiny bit bigger). At least once this led to crash of the app.
reverted to 5.010 and zoom works just fine with the same mail in fact, it never had any such issue so not upgrading until this is fixed.
### Steps to reproduce
Open html email e.g. from Xbox.com
Either nothing happens, it moves tiny bit, or it ends up crashing.
K-9 Mail version:
5.201 is broken for this. Works fine in 5.010
7.0 on Nexus</t>
  </si>
  <si>
    <t>niclabs-adkintunmobile-androidclient-153</t>
  </si>
  <si>
    <t>ActiveServersDialog.java line 41</t>
  </si>
  <si>
    <t>2017-01-02</t>
  </si>
  <si>
    <t>schedjoules-android-event-discovery-sdk-66</t>
  </si>
  <si>
    <t>App crash when home is pressed while details screen is loading</t>
  </si>
  <si>
    <t>Doesn happen always, but the app can crash if the home button is pressed while the details screen is loading.</t>
  </si>
  <si>
    <t>k9mail-k-9-1910</t>
  </si>
  <si>
    <t>After recent update, email doesn't download or delete</t>
  </si>
  <si>
    <t>### Expected behavior
### Actual behavior
Nothing happens, sometimes the app crashes
### Steps to reproduce
1. Click on folder icon next to account
2. Expand menu
3. Click empty trash
K-9 Mail version:
Account type (IMAP, POP3, WebDAV Exchange):</t>
  </si>
  <si>
    <t>BaseballCardTracker-bbct-android-410</t>
  </si>
  <si>
    <t>BaseballCardDetails.java line 284</t>
  </si>
  <si>
    <t>2017-01-03</t>
  </si>
  <si>
    <t>reloZid-android-anuto-61</t>
  </si>
  <si>
    <t>[Bug] App crashes after selecting level for the second time</t>
  </si>
  <si>
    <t>Steps to reproduce: start app, select level, place tower, open tower info, close tower info, start next round, press back, after **select level** app crashes.
This bug was introduced with #50. The app crashes with the following exception:
FATAL EXCEPTION: main
Process: PID: 10769
Fragment TowerInfoFragment eb96976 not attached to Activity</t>
  </si>
  <si>
    <t>StoryMaker-storymaker-181</t>
  </si>
  <si>
    <t>youtube upload crashes when cyrillic text in description/title</t>
  </si>
  <si>
    <t>When user attempts to upload video with cyrillic characters in the title or decription, the upload will not complete, and storymaker crashes.
user can upload same video without difficulty, by removing the cyrillic characters.</t>
  </si>
  <si>
    <t>k9mail-k-9-1940</t>
  </si>
  <si>
    <t>K9 5.201 crashing...</t>
  </si>
  <si>
    <t>### Expected behavior
nice and stable app is going real unstable and bad. It start crashing, and response slow.
-Update of db is ok with success.
-Normal day use it crash some time when it receive mail.
K-9 Mail version:
Account type (IMAP, POP3, WebDAV Exchange):
-Start crashing after latest update, have runned for years!</t>
  </si>
  <si>
    <t>liferay-liferay-screens-376</t>
  </si>
  <si>
    <t>LSR-944 Invalid credentials stored in SharedPreferences cause a crash</t>
  </si>
  <si>
    <t>MrZeRo2000-violetnote-android-69</t>
  </si>
  <si>
    <t>Rotation during load from dropbox crashes app</t>
  </si>
  <si>
    <t>2017-01-04</t>
  </si>
  <si>
    <t>davcpas1234-MaterialSettings-17</t>
  </si>
  <si>
    <t>ClassCastException with LG Devices</t>
  </si>
  <si>
    <t>**My firebase crash reporting reports this error:**
**This code makes this error only in LG G5 and LG V20 on api level 24:**
if (Build.VERSION.SDK INT Build.VERSION CODES.N)
appBar (AppBarLayout) settings, root, false)
**I tested on Nexus 5X api level 24 and 25 it works fine and don know why makes this error on LG devices**</t>
  </si>
  <si>
    <t>niclabs-adkintunmobile-androidclient-154</t>
  </si>
  <si>
    <t>GraphView.java line 286</t>
  </si>
  <si>
    <t>grmpl-StepandHeightcounter-6</t>
  </si>
  <si>
    <t>Application crash when changing AutoClean settings</t>
  </si>
  <si>
    <t>Application will crash if changing AutoClean-settings when no directory was created yet. (Fresh install)
This is due to the immediate call of the delete function which does not check for existence of the directory.</t>
  </si>
  <si>
    <t>2017-01-05</t>
  </si>
  <si>
    <t>niclabs-adkintunmobile-androidclient-157</t>
  </si>
  <si>
    <t>sriharshachilakapati-SilenceEngine-86</t>
  </si>
  <si>
    <t>Android backend crashes on relaunch</t>
  </si>
  <si>
    <t>Android backend crashes on relaunch for two reasons:
If there are pending IO tasks
Game loop events are being started before init
The IO tasks are problem because they are designed as AsyncTask but without cancellation support. All pending tasks need to be cancelled on relaunch.
The second issue is the same one we experienced while back in the case of LWJGL backend. Since we call the game.init() only after SilenceEngine initializes, we have to stop calling gameloop until this happens.</t>
  </si>
  <si>
    <t>2017-01-07</t>
  </si>
  <si>
    <t>niclabs-adkintunmobile-androidclient-158</t>
  </si>
  <si>
    <t>ActiveMeasurementsActivity.java line 183</t>
  </si>
  <si>
    <t>2017-01-08</t>
  </si>
  <si>
    <t>syncthing-syncthing-android-829</t>
  </si>
  <si>
    <t>Crash on startup. NumberFormatException on minDiskFreePct</t>
  </si>
  <si>
    <t>Syncthing is crashing on startup for me. Looks like ve set minimum free space to 0.5% in 0.8.x version, and now can change it. It would help if minDiskFreePct was set to float.
### Version Information
App Version: 0.9.3
Android Version: Android 6.0</t>
  </si>
  <si>
    <t>elimu-ai-ml-authentication-327</t>
  </si>
  <si>
    <t>StudentImageCollectionActivity has no animalOverlay and crashes because of the MediaPlayer</t>
  </si>
  <si>
    <t>At least one *other* student must be already trained
Start the by restarting the tablet
If you are not the same student which is already trained, the authentication should fail times and then start the
starts without animalOverlay
crashes on exit (MediaPlayer)</t>
  </si>
  <si>
    <t>elimu-ai-ml-authentication-326</t>
  </si>
  <si>
    <t>TrainingThread crashes if model file is missing</t>
  </si>
  <si>
    <t>forrestguice-SuntimesWidget-74</t>
  </si>
  <si>
    <t>app crash (latitude edge case)</t>
  </si>
  <si>
    <t>the app crashes unfortunately has stopped on far northern southern latitudes on specific dates where rise set transition occurs i.e. rise set event occurs one day, but doesn occur on the next.
tested using v0.2.3 on api19..
start with clean app installation
set location to 83.124, 23.1592
set date to Feb 19. 2017
--&gt; crashes on apply date</t>
  </si>
  <si>
    <t>2017-01-09</t>
  </si>
  <si>
    <t>syncthing-syncthing-android-831</t>
  </si>
  <si>
    <t>Open folder crashes on Android 7</t>
  </si>
  <si>
    <t>The same problem as here: http: stackoverflow.com 38200282
The suggested solution is to use FileProvider, but not sure if that makes sense in our case (opening file manager). Alternatively, we can set the vm policy to not crash when we share the path: http: stackoverflow.com 40674771</t>
  </si>
  <si>
    <t>cgeo-cgeo-6240</t>
  </si>
  <si>
    <t>NegativeArraySizeException when opening map</t>
  </si>
  <si>
    <t>From Google Play Beta crash reports for version 2017.01.08-RC2 and one beta earlier as well:
User coments like:
Crash when opening map for cache</t>
  </si>
  <si>
    <t>2017-01-10</t>
  </si>
  <si>
    <t>tanrabad-survey-6</t>
  </si>
  <si>
    <t>:com.google.android.gms line 1227</t>
  </si>
  <si>
    <t>#### in kie.a
Number of crashes:
There lot more information about this crash on crashlytics.com:</t>
  </si>
  <si>
    <t>SteamGifts-SteamGifts-44</t>
  </si>
  <si>
    <t>Crashes when opening the sidebar</t>
  </si>
  <si>
    <t>Some issue with the latest beta update, where the update to the new material drawer dependencies seems to cause crash only when you re logged in.
Happens both on my phone and the emulator.</t>
  </si>
  <si>
    <t>2017-01-11</t>
  </si>
  <si>
    <t>userid451-HiddenEye-30</t>
  </si>
  <si>
    <t>modifying the firebase database</t>
  </si>
  <si>
    <t>when Adding markers within the application, then removing of the points from the firebase console the application will crash in the begging throwing</t>
  </si>
  <si>
    <t>danimahardhika-candybar-library-13</t>
  </si>
  <si>
    <t>App crash when trying to apply icon pack on some device</t>
  </si>
  <si>
    <t>This is happened only for launcher that doesn support direct apply</t>
  </si>
  <si>
    <t>danimahardhika-candybar-library-12</t>
  </si>
  <si>
    <t>App crash when trying to open downloaded wallpaper</t>
  </si>
  <si>
    <t>This is only happened on Android Nougat</t>
  </si>
  <si>
    <t>kontalk-androidclient-930</t>
  </si>
  <si>
    <t>Missing plurals</t>
  </si>
  <si>
    <t>Bad plural translations will cause crashes in some cases (unknown language):
Fill in (and mark with *need review*) strings in all language until lint clears of all the errors.</t>
  </si>
  <si>
    <t>2017-01-12</t>
  </si>
  <si>
    <t>jehy-rutracker-free-28</t>
  </si>
  <si>
    <t>DownloadUpdateService.java line 64</t>
  </si>
  <si>
    <t>#### in ru.jehy.rutracker
Number of crashes:
There lot more information about this crash on crashlytics.com:</t>
  </si>
  <si>
    <t>rubensousa-BottomSheetBuilder-12</t>
  </si>
  <si>
    <t>Steps to reproduce
1. Enable this option on your device: Settings -&gt; Developer Options -&gt; Don keep Activities.
1. open bottomsheet, then click on any item which causes new activity to launch.
The old activity is removed, and causes the crash.</t>
  </si>
  <si>
    <t>koral---android-gif-drawable-379</t>
  </si>
  <si>
    <t>there is a crash...</t>
  </si>
  <si>
    <t>Android OS 4.1.2
the cpu of phone is A5 architecture but...
To meet the many libraries compatible and reduce the size of my Apk,i use blew
How can solve this problem</t>
  </si>
  <si>
    <t>maks-MGit-102</t>
  </si>
  <si>
    <t>Editing file and then saving (.md) causes random crash</t>
  </si>
  <si>
    <t>When editing markdown file, saving, then hitting the back button: MGit crashes maybe 50% of the time. The file doesn appear to be saved when it crashes, despite the message
Just in case: LG L90 and Moto G, both on CM 13 root, Android 6.0.1</t>
  </si>
  <si>
    <t>Fleker-CumulusTV-234</t>
  </si>
  <si>
    <t>epgUrl parameter triggers CumulusTV crash</t>
  </si>
  <si>
    <t>Hi, ve added the following XMLTV url to channel in my json
this triggers crash of CumulusTV when importing the channels in Live channels and when opening the CumulusTV.
ve submitted my crash reports</t>
  </si>
  <si>
    <t>amirarcane-recent-images-20</t>
  </si>
  <si>
    <t>Sample App Crashes When No Image Returned</t>
  </si>
  <si>
    <t>*Sample App crashes when user opens gallery and then returns to app without selecting an image.</t>
  </si>
  <si>
    <t>ashqal-MD360Player4Android-145</t>
  </si>
  <si>
    <t>提一个比较重要的bug</t>
  </si>
  <si>
    <t>destroy prev main plugin
if( mMainPlugin null)
factory factory null factory
for (int i++)
GLThread ProjectionMode mMainPlugin new -&gt; destroy -&gt; init crash</t>
  </si>
  <si>
    <t>2017-01-13</t>
  </si>
  <si>
    <t>pulkit4tech-Privy-37</t>
  </si>
  <si>
    <t>App crashing at API 17</t>
  </si>
  <si>
    <t>praekeltfoundation-gem-bbb-indo-420</t>
  </si>
  <si>
    <t>Goal: Saving or adding goal crashed app</t>
  </si>
  <si>
    <t>From the testers:
Hitting the save or add this goal button with the coach causes the app to crash all the time, reproduced this bug times</t>
  </si>
  <si>
    <t>forrestguice-SuntimesWidget-75</t>
  </si>
  <si>
    <t>app crash on "Set Date" api10</t>
  </si>
  <si>
    <t>tested on emulator api10.
Set Date -&gt; the dialog fails to appear, instead the app crashes.
values are -1 -1 -1 (init called before values are initialized)
tested on api19 no crash.</t>
  </si>
  <si>
    <t>androidlover5842-OtaUpdater-6</t>
  </si>
  <si>
    <t>Bug: downloader crashes in android M</t>
  </si>
  <si>
    <t>needs to enable permission in app setting</t>
  </si>
  <si>
    <t>2017-01-14</t>
  </si>
  <si>
    <t>TeamNewPipe-NewPipe-412</t>
  </si>
  <si>
    <t>[Bug] access external sdcard failes</t>
  </si>
  <si>
    <t>In lollipop and higher when you set default download location to folder on an external SD card an app needs to invoke certain intents to request read write permissions on that folder the following link contains brief explanation of the new API. Please ensure that this is properly implemented since new pipe currently crashes when attempting to download files to an external SD card</t>
  </si>
  <si>
    <t>cgeo-cgeo-6258</t>
  </si>
  <si>
    <t>c: geo crashes when opening offline map with routing</t>
  </si>
  <si>
    <t>##### Detailed steps causing the problem:
Routing enabled and set to Car
Offline map is selected
Go to the waypoints page
Choose certain waypoint
Show map including routing for that waypoint
##### Actual behavior after performing these steps:
It does not crash on Google Maps (GM). guess because routing seems to be disabled with GM.
Not sure why some waypoints trigger this. But they do that reproducible.
##### Version of c:geo used:
See System Information.
##### Is the problem reproducible for you?
Yes, for certain waypoints.
As the problem is routing related the current GPS position might be also relevant for reproducing the crash.
##### System information:
--- System information ---
Android version: 5.1.1
Android build: 14.6.A.1.236
Google Play services: disabled 10.0.84 (236-137749526)
Low power mode: inactive</t>
  </si>
  <si>
    <t>2017-01-15</t>
  </si>
  <si>
    <t>jehy-rutracker-free-29</t>
  </si>
  <si>
    <t>TorProgressTask.java line 66</t>
  </si>
  <si>
    <t>justdave-MCStatus-10</t>
  </si>
  <si>
    <t>Crash if user enters an invalid port number for a server</t>
  </si>
  <si>
    <t>This is obviously user error, but should trap for it and tell them nicely instead of crashing.</t>
  </si>
  <si>
    <t>Cloudkibo-Android-424</t>
  </si>
  <si>
    <t>Version 100 Keeps crashing</t>
  </si>
  <si>
    <t>Once reinstall version 100 it keeps crashing. have tried everything.
1) Remove the App and installed it again.
2) Went to Andriod setup and removed the storage also.
3) The App comes up and it crashed soon
4) First time after the install it say last version was 96
5) It never asked me about phone number verification
6) See the error below from the crash report</t>
  </si>
  <si>
    <t>h6ah4i-android-advancedrecyclerview-339</t>
  </si>
  <si>
    <t>illegalStateException: Cannot call this method while RecyclerView is computing a layout or scrolling</t>
  </si>
  <si>
    <t>Seeing lot of these in crashlytics.
Fatal Exception: Cannot call this method while RecyclerView is computing layout or scrolling</t>
  </si>
  <si>
    <t>2017-01-16</t>
  </si>
  <si>
    <t>gsantner-dandelion-139</t>
  </si>
  <si>
    <t>Dandelion crashes when uploading image to post</t>
  </si>
  <si>
    <t>#### General information
**Device:** Samsung Galaxy J1
**Android Version:** 5.1.1
**App version:** 0.2.2
**App source:** F-Droid
**Diaspora pod version:** 0.6.2.0
At least version 0.2.0 installed, see About-&gt; Debug. If it is not visible you have an very old version, and
your issue will be closed.
searched open and closed issues for duplicates
read &lt;https: github.com diaspora-android blob master CONTRIBUTING.md&gt;
not submitted translations see Crowdin (https: crowdin.com project invite)
#### Steps to reproduce
1. Write post
2. Press the little camera button for uploading photo
3. Exit out of the photo selector
4. Press the camera button again
#### Expected result
**What is the expected output?**
The photo selector to reappear
**What do you see instead?**</t>
  </si>
  <si>
    <t>cgeo-cgeo-6261</t>
  </si>
  <si>
    <t>Crash when decoding JPEG image</t>
  </si>
  <si>
    <t>Reported on support for cgeo 2017-01-12-RC1.
Bug: if open up GC15NP2 (not saved), swipe right to the finders tab, and then right again, get crash. Please let me know if you want debug log.
--- System information ---
Android version: 6.0.1
Android build: MOB31K test-keys
Cgeo version: 2017.01.12-RC1
Google Play services: enabled 10.0.84 (438-137749526)
Low power mode: inactive
Compass capabilities: yes
Rotation vector sensor: present
Orientation sensor: present
Magnetometer Accelerometer sensor: present
Direction sensor used: rotation vector
Hide own found: false
Map strategy: auto
HW acceleration: enabled (default state)
System language: en US
Log date format: 15 17
Debug mode active: no
Fine location permission: granted</t>
  </si>
  <si>
    <t>ataulm-talkback-toggle-tile-2</t>
  </si>
  <si>
    <t>Tile crashes on first use (permission already granted)</t>
  </si>
  <si>
    <t>Create new Genymotion device, 7.0.0
Install TalkBack 5.1.0
Install TalkBack Toggle Tile
try to use tile -&gt; crashes (expected: talkback enables, starts tutorial)
try to use tile -&gt; nothing happens (expected: talkback turn off)
try to use tile -&gt; works as expected :boom:</t>
  </si>
  <si>
    <t>opensrp-opensrp-client-369</t>
  </si>
  <si>
    <t>App crashes on resume</t>
  </si>
  <si>
    <t>How to reproduce:
1. Set screen timeout to After minute of inactivity in device display settings
2. Login to the app.
3. Wait for minutes.
4. Unlock the screen to go back to the app.</t>
  </si>
  <si>
    <t>tanrabad-survey-7</t>
  </si>
  <si>
    <t>Thread.java</t>
  </si>
  <si>
    <t>Karumi-Dexter-107</t>
  </si>
  <si>
    <t>Caused by java.lang.NullPointerException: Attempt to invoke virtual method 'void com.karumi.dexter.DexterInstance.onActivityReady(android.app.Activity)' on a null object reference</t>
  </si>
  <si>
    <t>### Expected behaviour
To work without crashing.
### Actual behaviour
Received crash reports from several users with the folosing stacktrace:
### Steps to reproduce
didn have any crashes on my device but this is how the library is used. In an Activity:
protected void onCreate(Bundle savedInstanceState)
### Version of the library</t>
  </si>
  <si>
    <t>nextgis-android_nextgis_mobile-16</t>
  </si>
  <si>
    <t>Line layer crashes NGM</t>
  </si>
  <si>
    <t>Calsign-APDE-24</t>
  </si>
  <si>
    <t>Code on external storage deleted in certain situations</t>
  </si>
  <si>
    <t>(As of 0.4.0) really don know what happened here but lucky to have tested on an older copy of sketch first. The compilation process seemed to go okay without throwing any errors, but when trying to launch the app it crashes (the code was fully working in 0.3.3, besides do lot of my own exception handling in it). When it crashed back to APDE was greeted with no code at all. It not scrolled off screen, does not return after fully restarting the app. have also checked the sketchbook in file explorer and that file is zero bytes in size. consider this to be critical bug, although not sure if it triggers every time (and am not really willing to find out as have no backups). If it is relevant, the app would have been locked to landscape orientation, so APDE would have been loading and changing orientation at the same time.
Note: now using the account 1icri, so please mention contact that account instead of Techy4198.</t>
  </si>
  <si>
    <t>niclabs-adkintunmobile-androidclient-159</t>
  </si>
  <si>
    <t>ActiveMeasurementsActivity.java line 168</t>
  </si>
  <si>
    <t>2017-01-17</t>
  </si>
  <si>
    <t>jehy-rutracker-free-30</t>
  </si>
  <si>
    <t>ViewRootImpl.java line 894</t>
  </si>
  <si>
    <t>tanrabad-survey-10</t>
  </si>
  <si>
    <t>tanrabad-survey-9</t>
  </si>
  <si>
    <t>syncthing-syncthing-android-834</t>
  </si>
  <si>
    <t>Crash (NullPointerException) when adding new device</t>
  </si>
  <si>
    <t>### Version Information
App Version: 0.9.3
Syncthing Version: v0.14.16
Android Version: 6.0.1 Android patch level: Dec 1, 2016 (OnePlus Two)
This was happening since started fresh install of Syncthing on my phone and other devices. Simply adding new device causes the GUI to crash. At times the remote Syncthing instance will notify that trying to add it (and appear on my phone after Syncthing is restarted), but most of the time the GUI just silently crashes. had to pull the log from adb logcat:</t>
  </si>
  <si>
    <t>openbmap-radiocells-scanner-android-179</t>
  </si>
  <si>
    <t>App crashes trying to download maps when there is no internet connection</t>
  </si>
  <si>
    <t>What steps will reproduce the problem? Disconnect wifi and cellular network. Try to download offline maps.
What is the expected output? What do you see instead? The app should gives an error that there is no active internet connection. Instead, it crashes.
What version are you using? On what operating system?
Latest version downloaded from Github, running on Nexus (Doze disabled)
Please provide any additional information below.</t>
  </si>
  <si>
    <t>tanrabad-survey-8</t>
  </si>
  <si>
    <t>praekeltfoundation-gem-bbb-indo-440</t>
  </si>
  <si>
    <t>Crash on Profile Image Activity</t>
  </si>
  <si>
    <t>There is case where the can crash.
The stacktrace does not indicate which reference is null. It is either the user or imageUri that is unexpectedly null.
See line 109 of (https: github.com praekeltfoundation gem-bbb-indo blob develop app src main java org gem indo dooit views onboarding</t>
  </si>
  <si>
    <t>2017-01-18</t>
  </si>
  <si>
    <t>MythTV-Clients-MythtvPlayerForAndroid-212</t>
  </si>
  <si>
    <t>Fatal Exception: java.lang.RuntimeException: Unable to start activity</t>
  </si>
  <si>
    <t>Running on updated develop branch f15eaa1
--------- beginning of crash
Caused by: Unexpected number of IObjectWrapper declared fields:</t>
  </si>
  <si>
    <t>inaturalist-iNaturalistAndroid-292</t>
  </si>
  <si>
    <t>crash on sign in on galaxy s4</t>
  </si>
  <si>
    <t>Signed in as user with almost no data and the app crashed on the observations list. Build 187 on Samsung Galaxy S4 running Android 4.4.2.
OpenGL ES Shader Compiler Version: 17.01.11.SPL
Build Date: 01 17 14 Fri
this is an updated description
&lt;td width 50% style vertical-align:top
&lt;a href http: wildoakland.org title Wild Oakland &gt;&lt;img src http: wildoakland.org wp-content uploads 2012 03 wildoakland 1-1.jpg style width:100% height:auto margin-bottom:10px &gt;&lt; a&gt;
&lt;a href http: nerdsfornature.org title Nerds for Nature &gt;&lt;img src http: www.inaturalist.org attachments project assets style width:100% height:auto &gt;&lt; a&gt;
&lt;td width 50% style vertical-align:top
&lt;a href http: museumca.org title Oakland Museum of California &gt;&lt;img src http: www.inaturalist.org attachments project assets 462-OMCA logo only.jpg?1391387794 style width:52% height:auto vertical-align:top &gt;&lt; a&gt;
&lt;a href http: calacademy.org title California Academy of Sciences &gt;&lt;img src http: www.inaturalist.org attachments project assets style width:38% height:auto &gt;&lt; a&gt;
&lt;table border cellspacing cellpadding
&lt;td width 33% style vertical-align:top
&lt;img src http: www.inaturalist.org attachments project assets 425-2123813550 87fe9fa9df o-mod.jpg style width:100% height:auto
&lt;p style text-align:center font-weight:bold margin-top: 1.5em &gt;LEARN YOUR BIRDS&lt; p&gt;
&lt;p style margin-bottom:0 &gt;Experience the lake wide array of winter migrants before they leave for the arctic. There are few better places than Lake Merritt to get close-up views!&lt; p&gt;
&lt;td width 33% style vertical-align:top
&lt;img src http: www.inaturalist.org attachments project assets 426-8737964714 52d8787c6c style width:100% height:auto
&lt;p style text-align:center font-weight:bold margin-top: 1.5em &gt;EXPLORE THE MUD FLATS&lt; p&gt;
&lt;p style margin-bottom:0 &gt;Roll up your sleeves, get dirty, and meet some of the weird and wonderful creepy crawlies that live in Lake Merritt mudflats as we sift through some mud.&lt; p&gt;
&lt;td width 33% style vertical-align:top</t>
  </si>
  <si>
    <t>2017-01-19</t>
  </si>
  <si>
    <t>FindItPS-findit-4</t>
  </si>
  <si>
    <t>[App Crash] App Closes on Offline Tech Search</t>
  </si>
  <si>
    <t>When an offline tech search is conducted the app crashes. This does not occur when another type of search is carried out offline.</t>
  </si>
  <si>
    <t>mvysny-aedict-723</t>
  </si>
  <si>
    <t>Export to Anki causing crash</t>
  </si>
  <si>
    <t>have used aedict many times to record words in srs that want to memorise. It always worked flawlessly and been one of the best features for me.
hadn used this function in while but when tried today, it caused an unfortunately, aedict has stopped error It repeats the error every time. ve tried different words too.
Running on Nexus 5, Android 6.0.1.
Is this known bug or is it just me having an issue?</t>
  </si>
  <si>
    <t>tanrabad-survey-11</t>
  </si>
  <si>
    <t>consp1racy-android-support-preference-59</t>
  </si>
  <si>
    <t>Version 1.2.3 crashes Proguard build</t>
  </si>
  <si>
    <t>just updated to version 1.2.3 and this sadly crashes Proguard and NewClassShrinker builds.
The error is:
Thanks in advance for having look.</t>
  </si>
  <si>
    <t>2017-01-20</t>
  </si>
  <si>
    <t>lingochamp-FileDownloader-462</t>
  </si>
  <si>
    <t>App crashing when try to pause</t>
  </si>
  <si>
    <t>danvim-Procal-29</t>
  </si>
  <si>
    <t>Bugs known after putting Procal and ProcalParsing together</t>
  </si>
  <si>
    <t>1. sin(&amp;pi) 0E-15
2. sin(&amp;pi&amp;pi) 0.430301217-
3. If 1:Then 2:Else 3: IfEnd &gt;&gt;&gt; Procal wholly crashes Colon recognised after Suffix Function (lbp)
n. 5-6 sec wait to launch</t>
  </si>
  <si>
    <t>praekeltfoundation-gem-bbb-indo-469</t>
  </si>
  <si>
    <t>Out of Memory error on TilingDrawable.draw</t>
  </si>
  <si>
    <t>praekeltfoundation-gem-bbb-indo-468</t>
  </si>
  <si>
    <t>Out of Memory error on Animated Welcome screens</t>
  </si>
  <si>
    <t>wasdennnoch-Scoop-3</t>
  </si>
  <si>
    <t>Crashes From Google Newsstand Going Unnoticed</t>
  </si>
  <si>
    <t>experiencing crashes in Google Newsstand. have attached log of the crash which Scoop doesn notice. It appears to be when it fails to get an ad or something it really wants for offline reading. Once it crashes it usually restarts the application but not always. Am mistaken that, with nothing blacklisted and the option to ignore Thread Death turned off, it should be catching these?</t>
  </si>
  <si>
    <t>praekeltfoundation-gem-bbb-indo-457</t>
  </si>
  <si>
    <t>Crash on weeks left, Goal date is null</t>
  </si>
  <si>
    <t>Goal date was null when Bot requested weeks left.
There lot more information about this crash on crashlytics.com:</t>
  </si>
  <si>
    <t>tanrabad-survey-12</t>
  </si>
  <si>
    <t>inaturalist-iNaturalistAndroid-295</t>
  </si>
  <si>
    <t>crash on upload after upgrade</t>
  </si>
  <si>
    <t>Here report of crash during upload:
using Samsung Galaxy S6 Android version 6.0.1. ve been away from iNat for several weeks, so there was an app update and it has crashed ever since. of observations or photos doesn matter either. ve tried one obsv with no photos, too. It happens every time without fail, both on wifi and cell data. Crash always happens at Syncing Observation Fields.
Example User-Agent iNaturalist 1.5.1 (Build 187 Android 3.10.61-8352520 G920VVRS4CPL3 SDK 23 zerofltevzw SM-G920V zerofltevzw) They sent log file after this happened that included the following (file is huge, can forward if you want it):</t>
  </si>
  <si>
    <t>jklmnn-ParkenDD-38</t>
  </si>
  <si>
    <t>Crash on search.</t>
  </si>
  <si>
    <t>App crashed on search string Dresden Zentrum</t>
  </si>
  <si>
    <t>2017-01-21</t>
  </si>
  <si>
    <t>alexstyl-Memento-Calendar-83</t>
  </si>
  <si>
    <t>Birthday on February 29,2017 is not displayed</t>
  </si>
  <si>
    <t>#### Short Description
App currently in Play Store crashes on Marshmallow, custom rom
##### Steps to reproduce
1. Open app from home screen icon
##### Resulted in
More details in case that could matter: My XPeria was acting fishy and especially gave lot of bluetooth problems. That much that my bluetooth headset stopped working. Before buying another phone, decided to unlock the bootloader and flash another rom. chose StryFlex an AOSP Marshmallow based ROM, based on the original Sony rom for the XPeria ZX. The phone is working smoothly now and have no more issues.
Except for Memento
checked out the most recent code, build and installed that one to see whether could solve the problem myself. But that build works smoothly, **except for the fact that the contact isn displayed**
So sent the crash report anyway. Maybe you can find the cause... Since it obfuscated, can read the stacktrace :-)
For now, going to install your all events create event branch on my phone, for which very grateful :-)
If you re using proguard, you can fix this issue by adding the following to your proguard configuration:
-keep class **.R$*
If you re not using proguard, or if your proguard configuration already contains the directive above, you can add the following to your AndroidManifest.xml file to explicitly point the Mixpanel library to the appropriate library for your resources class:
where YOUR PACKAGE NAME is the same string you use for the package attribute in your &lt;manifest&gt; tag.
--------- beginning of crash
Caused by: 29 2017 is invalid</t>
  </si>
  <si>
    <t>tanrabad-survey-13</t>
  </si>
  <si>
    <t>peng8350-JPTabBar-8</t>
  </si>
  <si>
    <t>NullPointerException when declare/initialize JPTabbar in Lollipop 5.1.0</t>
  </si>
  <si>
    <t>Thanks for your awesome library, it works in almost all device. but have problem when it run on Asus Fonepad (Lollipop 5.1.0) it crash and said at all of tabbar initialize</t>
  </si>
  <si>
    <t>kontalk-androidclient-935</t>
  </si>
  <si>
    <t xml:space="preserve">Crash by try to share a link via Browser </t>
  </si>
  <si>
    <t>### Expected behavior
It should be possible to share link via Firefox browser
### Actual behavior
Kontalk crashed if try that
### Steps to reproduce
1. Open website in Firefox (or other Browser?)
2. Click the share sign
3. Choose Kontalk
4. Choose contact
5. Kontalk will closed
Kontalk version: 4.0.0 beta6 Play store version
Android version: 6.0.1
Device model: Sony Xperia M4 Aqua
In few minutes will send log</t>
  </si>
  <si>
    <t>2017-01-22</t>
  </si>
  <si>
    <t>elimu-ai-ml-authentication-350</t>
  </si>
  <si>
    <t>Authentication crashes after reboot (when the tablet is charging)</t>
  </si>
  <si>
    <t>Cloudkibo-Android-438</t>
  </si>
  <si>
    <t>URGENT: Chat List Empty</t>
  </si>
  <si>
    <t>This needs URGENT attention so you have captured the data.
have been testing with 425-435-4422 and now all of sudden have empty chat list.
Prior to this was testing receiving contacts, locations, etc...
do not know if this crash is related but we cannot lose data.</t>
  </si>
  <si>
    <t>Cloudkibo-Android-437</t>
  </si>
  <si>
    <t>KiboChat crash when sending document</t>
  </si>
  <si>
    <t>KiboChat crash when sending document
sojharo Do we have this test case covered in our testing.</t>
  </si>
  <si>
    <t>dermalikmann-burning-series-4</t>
  </si>
  <si>
    <t>App crash on hoster selection</t>
  </si>
  <si>
    <t>If hoster returns an error code app crashes while trying to display snackbar.</t>
  </si>
  <si>
    <t>2017-01-23</t>
  </si>
  <si>
    <t>Cloudkibo-Android-441</t>
  </si>
  <si>
    <t>App crashes when pending group messages are synced to server</t>
  </si>
  <si>
    <t>When messages in group are sent by turning internet off, app crashes when we reconnect the internet and app tries to sync the group messages.
1- Turn off internet in device A.
2- Open group chat window.
3- Send some messages.
4- Reconnect the internet.
5- App crashes.
6- Relaunch the app and messages are synced.
First two logs in attachment are the logs for this error.
screenshot from 2017-01-23 21-51-59 (https: assets 16760128 22217548</t>
  </si>
  <si>
    <t>dermalikmann-burning-series-3</t>
  </si>
  <si>
    <t>Randomly occuring NullPointerException</t>
  </si>
  <si>
    <t>See screenshot for details, the app crashes without any error popup (I guess there should be one from the system normally?! :confused:)</t>
  </si>
  <si>
    <t>tanrabad-survey-14</t>
  </si>
  <si>
    <t>praekeltfoundation-gem-bbb-indo-470</t>
  </si>
  <si>
    <t>ChallengePictureFragment got null from data.getData()</t>
  </si>
  <si>
    <t>Possibly fixed by Picture Challenge now using ImageActivity
Number of crashes:
There lot more information about this crash on crashlytics.com:</t>
  </si>
  <si>
    <t>quaap-LaunchTime-4</t>
  </si>
  <si>
    <t>Crash on widget deny premission</t>
  </si>
  <si>
    <t>If you create widget which asks for permission and you deny it, you may receive crash like the one below. If you receive crash like this, please let me know which widget you were adding.</t>
  </si>
  <si>
    <t>2017-01-24</t>
  </si>
  <si>
    <t>getodk-collect-356</t>
  </si>
  <si>
    <t>ODK crashes after entering "1 Jan 1960" in Nairobi time zone</t>
  </si>
  <si>
    <t>#### Software and hardware versions
Discovered on Collect v1.4.12, Android v5.0.1, Samsung Galaxy S4
#### Problem description
ODK crashes after entering Jan 1960 in Nairobi time zone
#### Steps to reproduce the problem
1. Change time zone to Nairobi (East Africa Time Zone (GMT+03:00))
2. Use DateWidget or DateTimeWidget (if you use DateTimeWidget you have to set time to 00:00)
3. Enter Jan 1960
#### Actual behavior
#### Other information
This has also been reproduced with:
the Sao Paulo time zone and 16 Oct 2016 as the date here (https: github.com opendatakit collect issues note also the crazy calendar issues which may or may not be related)
an unspecified time zone and May 01 1990 in issue #145
the Peru time zone and Jan 1990 1994 1986 1987 in #217</t>
  </si>
  <si>
    <t>square-okhttp-3135</t>
  </si>
  <si>
    <t>SecurityException: Failed to read sufficient bytes from /dev/urandom</t>
  </si>
  <si>
    <t>In our app we are using OkHttp WebSockets from ReactNative. And sometimes okhttp.ws. method crash with SecurityException: Failed to read sufficient bytes from dev urandom. Expected: 1024, actual:
The crash happens only on Android 5.x.x. After some source codes research found out that in Android 5.x.x other Security Provider OpenSSL than is used in Android 4.x and Android 6+
OpenSSL uses RAND load file function (https: github.com openssl openssl blob crypto rand randfile.c) to read entropy stored in file dev urandom in order to initialize pseudo-random number generator with truly random seed. Apparently in some cases either file can be opened for read or only bytes are read.
Unfortunately can understand the root cause why only bytes are read or file fails to be opened.
However, think that in WebSocketCall you should use not default SecureRandom constructor, but rather instantiate SecureRandom with more reliable Security Provider like those used in Android or Android (need to derive from SecureRandom and override protected constructor).
**The problem reproduces on range of Android 5.x.x devices. Here top:**
8% Redmi Note
6% Lenovo A6020a40
69% 40 other machines
**Here the complete exception stacktrace:**</t>
  </si>
  <si>
    <t>Fleker-CumulusTV-241</t>
  </si>
  <si>
    <t>m3u import, google drive crash latest beta</t>
  </si>
  <si>
    <t>using cumulus 1.7.2 beta and android tv 6.0.1 (Mibox) when trying to import m3u standard format
cumulus is crashing while
is working. maybe because some fields are empty
also google drive is not working anymore, it crash when you try to use it, have tried to reset app datas already
will try to send bugreports next time that will use the app,</t>
  </si>
  <si>
    <t>osmdroid-osmdroid-550</t>
  </si>
  <si>
    <t xml:space="preserve">On Location changed error </t>
  </si>
  <si>
    <t>get this error which is making my app crash and its really drawback in our app as it happens at critical moments:
Please help me resolve it</t>
  </si>
  <si>
    <t>quaap-LaunchTime-7</t>
  </si>
  <si>
    <t>Crash on drag/removing from recent list</t>
  </si>
  <si>
    <t>An inconsistent crash like the below when dragging to remove something fro the recent list. Not reproduced yet. If anyone reproduces, leave note here with the exact circumstances.</t>
  </si>
  <si>
    <t>2017-01-25</t>
  </si>
  <si>
    <t>RestComm-restcomm-android-sdk-502</t>
  </si>
  <si>
    <t>Sporadic crash if registration with Restcomm-Connect times out</t>
  </si>
  <si>
    <t>Steps to reproduce:
Open Olympus with Wifi enabled
Turn of Wifi
Re-enable it and make sure that the REGISTER response comes back after it times out locally
If that happens the state machine messes up because the timed out job is not deleted, and we get crash</t>
  </si>
  <si>
    <t>romandanylyk-PageIndicatorView-17</t>
  </si>
  <si>
    <t>Invisible pageIndicator issue</t>
  </si>
  <si>
    <t>Hi again romandanylyk. Referring to an earlier case https: github.com romandanylyk PageIndicatorView issues
If upgrade to version or higher, get invisible indicator in my views. get no crashes or exceptions. All properties are set, get proper page count as well. ViewPager works fine. can also see that the pageIndicator instance has parent view. But still, nothing is shown.
Do you perhaps have any idea what this might be? should say that my views layouts are defined in code only, no xml. Does pageIndicator only work with RelativeLayout or can we use anything?
Version and earlier works without issues.</t>
  </si>
  <si>
    <t>BenGoBlue05-UdacityAlumni-40</t>
  </si>
  <si>
    <t>App crashes on first load with IllegalArgumentException</t>
  </si>
  <si>
    <t>### Steps to reproduce
Open the application. Shortly after loading the home page, the application will crash with the following LogCat message:
### Other Information
The problem appears to be caused on this line in AlumIntentService
JSONArray tags TAGS)
int ind new
If tags has length of zero, then the application crashes as the nextInt() method in Random cannot accept zero as an argument.
Checking the JSON file at http: api v1 articles shows what likely causing the problem (note the empty tags array):</t>
  </si>
  <si>
    <t>tanrabad-survey-15</t>
  </si>
  <si>
    <t>praekeltfoundation-gem-bbb-indo-501</t>
  </si>
  <si>
    <t>Context null in TargetFragment</t>
  </si>
  <si>
    <t>An asynchronous callback attempted to use the null context
Number of crashes:
There lot more information about this crash on crashlytics.com:</t>
  </si>
  <si>
    <t>2017-01-26</t>
  </si>
  <si>
    <t>WycliffeAssociates-translationRecorder-800</t>
  </si>
  <si>
    <t>BUG -  alien files or folders that reside in the translationRecoder directories should not crash the app</t>
  </si>
  <si>
    <t>Introduction of folders that do not follow the expected folder structure will cause the app to crash when the parent directory is asked to expand in the TR app</t>
  </si>
  <si>
    <t>danimahardhika-candybar-library-14</t>
  </si>
  <si>
    <t>Random crash when trying to show inapp billing product</t>
  </si>
  <si>
    <t>This is happened when trying to display inapp product price and name
String product mInAppBillings position .getPrice()
mInAppBillings position .getProductName()</t>
  </si>
  <si>
    <t>quaap-LaunchTime-10</t>
  </si>
  <si>
    <t>Categories can be dragged to paces they shouldn't</t>
  </si>
  <si>
    <t>You can accidentally drag category onto the icon screen or the quickbar, sometimes resulting in crash.</t>
  </si>
  <si>
    <t>2017-01-27</t>
  </si>
  <si>
    <t>wallabag-android-app-410</t>
  </si>
  <si>
    <t>wallabag app crashes when "Cache in article embedded images" enabled</t>
  </si>
  <si>
    <t>using the latest version of the Android app with wallabag.it.
This morning, saw the update and went in my settings to enable Cache in article embedded images Immediately after that the application crashes with wallabag has stopped
Now the application crashes when try to synchronise with the reload button in the menu and sometimes crashes when open it.
If disable the Cache in article embedded images settings, everything is working fine again.</t>
  </si>
  <si>
    <t>2017-01-29</t>
  </si>
  <si>
    <t>quaap-LaunchTime-19</t>
  </si>
  <si>
    <t>Dropping a widget gives crash</t>
  </si>
  <si>
    <t>Reproduce by going from portrait to landscape and dragging larger appwidget to category.</t>
  </si>
  <si>
    <t>DigitalCampus-oppia-mobile-android-607</t>
  </si>
  <si>
    <t>App crashing on login</t>
  </si>
  <si>
    <t>2017-01-30</t>
  </si>
  <si>
    <t>Mishiranu-Dashchan-112</t>
  </si>
  <si>
    <t>Highlighting the bottom post of a threads crashes the app</t>
  </si>
  <si>
    <t>If try to double tap the bottom last post of thread to select its text, the app crashes sometimes.</t>
  </si>
  <si>
    <t>aws-amplify-aws-sdk-android-249</t>
  </si>
  <si>
    <t>NullPointerException in KinesisRecorder.submitAllRecords()</t>
  </si>
  <si>
    <t>am investigating crash caused by coming from SDK version is 2.3.3, we are using core and Kinesis libraries, devices: from 4.x to 6.x (maybe 7.x too).
Here the stack trace:
It inconsistent, but some projects also have call to in different thread.
was unable to reproduce this issue, so don know if updating to 2.3.8 would fix the problem. However, ve been able to crash application with the following code in SDK 2.3.3 and 2.3.8:
kinesis new somedir 0), region, cognito)
for (int 10 i++)
new writer-%d i))
public void run()
byte bytes new byte 1024
This is under assumption that KinesisRecorder does not properly synchronize calls. don know if it is the same problem. This code crashes when device is offline. Stack trace is missing though...</t>
  </si>
  <si>
    <t>2017-01-31</t>
  </si>
  <si>
    <t>Freeyourgadget-Gadgetbridge-533</t>
  </si>
  <si>
    <t>VLC makes Gadgetbridge crash</t>
  </si>
  <si>
    <t>#### Your issue is:
When playing any music on VLC, Gadgetbridge (0.17.3) crashes. After restarting GB and setting the default music player to another value, the problem seems to disappear, but then it happens again after some time.
#### Your wearable device is:
Mi Band 2, FW: 1.0.1.34. It happened with previous versions.
#### Your android version is:
LineageOS 14.1 (Android 7.1.1) on Xiaomi Redmi Note Pro
#### Your Gadgetbridge version is:
If anything else is needed, feel free to ask! Thank you very much for your hard work!</t>
  </si>
  <si>
    <t>OneBusAway-onebusaway-android-749</t>
  </si>
  <si>
    <t>NPE when trying to get updated trip plan in the background</t>
  </si>
  <si>
    <t>For current master branch and v2.1.6 (73) crash after planning trip, when the app attempts to check for changes in the itinerary:
Very likely caused by https: github.com OneBusAway onebusaway-android pull 678, which was manually merged due to conflicts in https: github.com OneBusAway onebusaway-android commit
not sure this is consistently reproducible for all trips. produced it back to-back on the same trip plan, but later couldn repro it, although couldn find trip with real-time info.
sdjacobs Would you be able to take look at this? halting the public rollout of v2.1.6 until we can figure this out so everyone doesn encounter this during trip planning in Tampa.
**Steps to reproduce:**
1. Plan trip with real-time info, and wait for the update on the same screen
NPE and crash
**Device and Android version:**
LG G5 with Android 7.0</t>
  </si>
  <si>
    <t>2017-02-01</t>
  </si>
  <si>
    <t>niclabs-adkintunmobile-androidclient-160</t>
  </si>
  <si>
    <t>DailyConnectionTypeInformation.java line 158</t>
  </si>
  <si>
    <t>DigitalCampus-oppia-mobile-android-610</t>
  </si>
  <si>
    <t>App crashing issues on password reset and video download</t>
  </si>
  <si>
    <t>On both these tasks, the app crashes. Very similar to the login carshing we had the other day so suspect that it may be the same cause issue</t>
  </si>
  <si>
    <t>alexkats-Space-Arcade-22</t>
  </si>
  <si>
    <t>[SA-13] There is no asteroid crash sound</t>
  </si>
  <si>
    <t>**Steps to reproduce**
1. Start the game
2. Try to destroy any asteroid with your laser
Some sound effect immediately after asteroid crash
There isn any sound at all</t>
  </si>
  <si>
    <t>praekeltfoundation-gem-bbb-indo-515</t>
  </si>
  <si>
    <t>Null reference exception in GoalAddController</t>
  </si>
  <si>
    <t>GoalAddController threw null reference exception on line 128.
This has since been removed in 0.1.2
Number of crashes:
There lot more information about this crash on crashlytics.com:</t>
  </si>
  <si>
    <t>praekeltfoundation-gem-bbb-indo-513</t>
  </si>
  <si>
    <t>Null reference Exception in TargetFragment</t>
  </si>
  <si>
    <t>Fleker-CumulusTV-253</t>
  </si>
  <si>
    <t>Better file handling through Google Drive</t>
  </si>
  <si>
    <t>Multiple users have been trying to import M3u playlists using the Google Drive option. Of course, this is not intended, causing the file to be interpreted as JSON and causing the app to constantly crash. This should be mitigated by either giving up-front warnings about the import or allowing users to import other types of files.</t>
  </si>
  <si>
    <t>2017-02-02</t>
  </si>
  <si>
    <t>h6ah4i-android-advancedrecyclerview-345</t>
  </si>
  <si>
    <t>Fatal crash found in Fabric</t>
  </si>
  <si>
    <t>Ever since put the new limits on the Group Child IDs, ve been seeing dozens of the following errors popup in Fabric. Sadly, ve tripple checked and certain using unique, stable IDs everywhere. The stack trace also doesn help as it doesn tell me which recycler is complaining (there are many within the app). The id however looks suspicious since that looks like one of those transformed IDs that advanced recycler uses to identify groups and children uniquely. Any idea what should do?
Fatal Exception: Two different ViewHolders have the same stable ID. Stable IDs in your adapter MUST BE unique and SHOULD NOT change.
ViewHolder 1:ViewHolder 183764a position id 536870919, oldPos -1, pLpos:-1 not recyclable(1)
View Holder 2:ViewHolder 4866e76 position id 536870919, oldPos -1, pLpos:-1</t>
  </si>
  <si>
    <t>HRVBand-hrv-band-116</t>
  </si>
  <si>
    <t>NullPointerException in hrv.band.app.storage.SQLite.SQLController.saveData</t>
  </si>
  <si>
    <t>User reports that if he enters no note after measurement the app crashes:
... 11 more
... 14 more</t>
  </si>
  <si>
    <t>b0wter-ETA-81</t>
  </si>
  <si>
    <t>Prematurely finishing a trip crashes app.</t>
  </si>
  <si>
    <t>No final SMS is sent!</t>
  </si>
  <si>
    <t>2017-02-03</t>
  </si>
  <si>
    <t>tpb1908-AndroidProjectsClient-85</t>
  </si>
  <si>
    <t>Resolved #84. The number of weeks is now the ceiling of days/7.</t>
  </si>
  <si>
    <t>Also fixed crash when access level was returned after the fragments has been destroyed.</t>
  </si>
  <si>
    <t>Criptext-Monkey-Chat-Android-93</t>
  </si>
  <si>
    <t xml:space="preserve">Random crash when reopening app after a while </t>
  </si>
  <si>
    <t>If you open the sample app use it little, then let the screen stay off for while, the app may crash when you come back. This bug is not easy to reproduce but it seems to be happening after we changed the service to not stop itself during rotation.</t>
  </si>
  <si>
    <t>niclabs-adkintunmobile-androidclient-161</t>
  </si>
  <si>
    <t>MainActivity.java line 58</t>
  </si>
  <si>
    <t>scottyab-rootbeer-35</t>
  </si>
  <si>
    <t>UnsatisfiedLinkError</t>
  </si>
  <si>
    <t>Time to time receive crash reported in Fabric that library crashed.
**Devices and values provided by Fabric:**
ASUS T00J 4.4.2 No rooted
K6000 Pro 6.0 No rooted
GT-I9300 4.3 No rooted
B1-810 4.4.4 No rooted
P400 4.1.2 Rooted</t>
  </si>
  <si>
    <t>nextcloud-android-617</t>
  </si>
  <si>
    <t>Nextcloud beta 20170130 unrecoverable crash</t>
  </si>
  <si>
    <t>### Actual behaviour
-Tell us what happens
Trying to get access to Settings caused the dispplay to turn black, but some of the phone overlay such as network, time and others were still visible.
Nextcloud app would then return to the passcode page.
Once passcode entered, the error log would appear and upon deleting the log, the app would crash again.
was able to send the log with my normal Nextcloud app version 1.4.1 which works concurrently on my phone.
couldn get pass the error log under Nextcloud Beta. My only option was to unsintall it from the phone.
During this issue, several things seemed to have happen so this makes troubleshooting more difficult:
It seems there was Google update in the process.
lost connection to the Nextcloud 11 server due to Brute force attack prevention. don know the cause of it, but one of my account, was causing the issue. Maybe one of the Nextcloud app had the wrong account password causing the loss of server connection. know which account triggered the attack defense, as logged to my Nextcloud server from different IP address.
installed the newer 20170202 Beta version and will be monitoring its behavior.
### Expected behaviour
-Tell us what should happen
### Steps to reproduce
1. Cannot reproduce
### Environment data
Stock or customized system:
Nextcloud app version:
Nextcloud server version:
#### Web server error log</t>
  </si>
  <si>
    <t>5calls-android-25</t>
  </si>
  <si>
    <t>Crash when returning to the LocationActivity from a permissions request</t>
  </si>
  <si>
    <t>Description of the issue and brute force fix from #18.
also fixed crash encountered multiple times, when returning to the LocationActivity from permissions request. When onBackPressed() was called, was getting an because had already been called. It kind of awkward, since we re not doing which is the normal reason this crash happens. Instead, AppCompatActivity inherits from FragmentActivity, which accesses the fragment manager in onBackPressed(), in case there fragment showing. So, the normal fixes don work. looked for an elegant solution for while and couldn find one, so brute forced the solution by getting rid of the optimization to call onBackPressed(). think this is fine because, with the current UX, we wouldn expect people to be going back and forth between the MainActivity and LocationActivity frequently.</t>
  </si>
  <si>
    <t>niclabs-adkintunmobile-androidclient-163</t>
  </si>
  <si>
    <t>PriorityBlockingQueue.java line 264</t>
  </si>
  <si>
    <t>2017-02-04</t>
  </si>
  <si>
    <t>niclabs-adkintunmobile-androidclient-162</t>
  </si>
  <si>
    <t>danimahardhika-candybar-library-21</t>
  </si>
  <si>
    <t>Random crash when opening icons search</t>
  </si>
  <si>
    <t>tpb1908-AndroidProjectsClient-94</t>
  </si>
  <si>
    <t>Search- Implemented search in IssuesActivity, improved searching and fixed some crashes.</t>
  </si>
  <si>
    <t>2017-02-05</t>
  </si>
  <si>
    <t>jaychang0917-SimpleRecyclerView-1</t>
  </si>
  <si>
    <t>Crash on swipe to dismiss sample</t>
  </si>
  <si>
    <t>Quite hard to reproduce, but played with it little, and it crashed. Here the log:</t>
  </si>
  <si>
    <t>deltachat-deltachat-android-26</t>
  </si>
  <si>
    <t>Delta crashes with mail-account by strato</t>
  </si>
  <si>
    <t>Trying to use delta with my account by strato.de delta crashes immediately.
GMX.de and autistici.org are working fine.</t>
  </si>
  <si>
    <t>Cloudkibo-Android-490</t>
  </si>
  <si>
    <t>group member leave feature not working when done offline</t>
  </si>
  <si>
    <t>1- Add device and to same group.
2- Turn off the internet on device B.
3- Leave the group on device B.
4- after sometime, connect device to internet.
5- Push notification log not received on device A.
6- While UI on device is updated according to when we leave the group.
7- Now send message from device A.
8- App crashes on device
9- Message is received on device and UI is again updated as if member never left the group.</t>
  </si>
  <si>
    <t>2017-02-06</t>
  </si>
  <si>
    <t>Cloudkibo-Android-489</t>
  </si>
  <si>
    <t>app crashes upon receiving group message when app is closed</t>
  </si>
  <si>
    <t>1- add device and to same group
2- Send message from to while app is closed on
3- the Toast for app crash appears on device
4- Some logs are also sent to the acralyzer.</t>
  </si>
  <si>
    <t>cgeo-cgeo-6301</t>
  </si>
  <si>
    <t>Index Out Of Bounds in Mapsforge map (old)</t>
  </si>
  <si>
    <t>From Google Play (partly discussed in #5690 already):
This is the most frequent crash report on Google Play (but only reports per week) currently:
Wasn there protection introduced recently to avoid this?</t>
  </si>
  <si>
    <t>react-native-camera-react-native-camera-588</t>
  </si>
  <si>
    <t>Video recording not working from android</t>
  </si>
  <si>
    <t>have install your component and its working perfectly by camera....
but was try to video recording from android emulator, but every time crash. video inserted on library but not data transfer...
like default video recording. Is it possible to default video recording screen open on my android react native app with your component.
default video recording (https: assets 542535 22649957
react-native video recording (https: assets 542535 22649959
&lt;View style styles.container
&lt;Text style styles.capture onPress Video start Record Text&gt;
&lt;Text style styles.capture onPress Video stop Record Text&gt;
Please help me.... how to default video recording screen open by your component.</t>
  </si>
  <si>
    <t>missioncommand-emp3-android-3</t>
  </si>
  <si>
    <t>Setting Camera near North Pole crashes WorldWindow (EMP-3061)</t>
  </si>
  <si>
    <t>found this during zoom testing on Capability Tester. am reporting it to NASA
public WorldWindow createWorldWindow()
Let the super class do the creation
Override the default look at gesture behavior with camera centric gesture controller
Create camera position above KOXR airport, Oxnard, CA
Camera camera new Camera()
90, Looking east
70, Lookup up from nadir
0) No roll
0, Looking east
0, Lookup up from nadir
0) No roll
Apply the new camera position
Globe globe wwd.getGlobe()</t>
  </si>
  <si>
    <t>flowupio-FlowUpAndroidSDK-182</t>
  </si>
  <si>
    <t>Fatal error on reboot</t>
  </si>
  <si>
    <t>On Aquaris 4.5 device during the phone reboot stage the library is crashing. This is the trace:
Fatal Exception: metric named already exists</t>
  </si>
  <si>
    <t>TedaLIEz-ParsingPlayer-2</t>
  </si>
  <si>
    <t>Crash when I click back key several times</t>
  </si>
  <si>
    <t>The sample will crash when click back key several times.One back key means exiting the app.So exiting and starting app for several times ,there is crash.</t>
  </si>
  <si>
    <t>DSpotDevelopers-declex-58</t>
  </si>
  <si>
    <t>Crash calling fragment in Actions</t>
  </si>
  <si>
    <t>If fragment is invoked in an Action, and the context is not valid anymore (the fragment was detached from the activity) the application with crash, cause the transaction object will be null. When replacing or adding the fragment, it would be useful to check if the transaction object is not null in the Fragment Action Holder.</t>
  </si>
  <si>
    <t>2017-02-07</t>
  </si>
  <si>
    <t>DSpotDevelopers-declex-57</t>
  </si>
  <si>
    <t>In the adapters (for AdapterViews and RecyclerView) it is important to check if the position is valid</t>
  </si>
  <si>
    <t>Lists can change externally, if this is done during updating the ListView, the application will crash for trying to get method in different position (or nonexistent one). It is necessary to check if the position is valid one in the adapters.</t>
  </si>
  <si>
    <t>open-keychain-open-keychain-2042</t>
  </si>
  <si>
    <t>4.2.3 crash: IllegalStateException: Couldn't read row 0, col 0 from CursorWindow</t>
  </si>
  <si>
    <t>After upgrading to 4.2.3, Valodim and other users got crash with the stack trace:
Afterwards all keys were marked as insecure.
This means that the upgrade worked, but consolidate crashed.
We are currently not sure why this happens, but it shouldn be directly related to the marking of keys as insecure.
For now deployed workaround in https: github.com open-keychain open-keychain commit and pushed to Google Play with 4.2.4
https: code.google.com android issues detail?id 32472
https: 2014 03 02
Looks like there is maximum of data cursor can hold around 2MB</t>
  </si>
  <si>
    <t>SteamGifts-SteamGifts-52</t>
  </si>
  <si>
    <t>Quickly double-clicking the Quick Enter button crashes the app</t>
  </si>
  <si>
    <t>**sg version:** 1.5.4 (googleplay)
**Android version:** 6.0.1</t>
  </si>
  <si>
    <t>ForstaLabs-relay-12</t>
  </si>
  <si>
    <t>App crashes when attempting to attach image to message.</t>
  </si>
  <si>
    <t>On Sawyer phone, the app crashes when in Clicking the attach icon opens the gallery app, but Forsta crashes when trying to return after the selection.</t>
  </si>
  <si>
    <t>2017-02-08</t>
  </si>
  <si>
    <t>Karumi-Rosie-84</t>
  </si>
  <si>
    <t>New list in UseCaseHandler to retain error adapters in a non-weak reference</t>
  </si>
  <si>
    <t>This change solves in that was happening when the error adapter was cleared of memory, because the adapter was only saved in WeakReference in RosieUseCase
Also, am modifying to save the constructor parameters in weak references
am using Rosie in an app available in Google Play, everything is working fine except for few crashes caused by this error. have solved this issue temporally replacing UseCaseHandler with my own class with these changes.
Thanks for this amazing framework</t>
  </si>
  <si>
    <t>mvysny-aedict-727</t>
  </si>
  <si>
    <t>Notepad with embedded database: crash when launching quiz</t>
  </si>
  <si>
    <t>After switching to the new embedded database and syncing with aedict-online, the app crashes on both my devices when try to launch quiz for notepad category by tapping the quiz button (the three question marks) in the notepad screen. It worked before with the old file format.
It is possible to launch the quiz from the JLPT quiz menu entry by selecting the notepad category, this works well also with the new format.</t>
  </si>
  <si>
    <t>open-keychain-open-keychain-2044</t>
  </si>
  <si>
    <t>Crash in MultiUserIdsFragment on empty name?</t>
  </si>
  <si>
    <t>From Google Play dev console.
But suspect this crash happens on empty name or empty email address. Should be easy to fix!</t>
  </si>
  <si>
    <t>tanrabad-survey-16</t>
  </si>
  <si>
    <t>2017-02-09</t>
  </si>
  <si>
    <t>andresth-Kandroid-2</t>
  </si>
  <si>
    <t>Crash if project description is empty</t>
  </si>
  <si>
    <t>**Please, do not create duplicate issues**
### Actual behaviour
Kandroid stop works when logged in Kanboard.
### Expected behaviour
Just see the tasks!
### Steps to reproduce
installed 0.4 and 0.4.1 but Kandroid crash on start, can uninstall the application, configure the url but when Kandroid makes the loggin the application has unexpected close.
Kandroid version: 0.4.1
Android Mod version: Android 6.0, EMUI 4.0
Theme (if you use one): Spectrum
Device type, name and manufacturer: Huawei Mate
Kanboard version: 1.0.38</t>
  </si>
  <si>
    <t>2017-02-10</t>
  </si>
  <si>
    <t>requery-requery-429</t>
  </si>
  <si>
    <t>Adding a foreign key column on non-SQLite platform may fail</t>
  </si>
  <si>
    <t>public &lt;T&gt; void ?&gt; attribute)
create the column first then the constraint
createColumn(qb, attribute) We prepare column creating statement.
executeSql(qb) We create column.
attribute, true) We prepare statement that
creates column with foreign key contraint.
executeSql(qb) We create column with for-
Nope, column with such name already exists, cannot create, crash!
expect something like instead of
haven tested what actually happens if you try executing this code so please correct me if creating column that already exists is OK.</t>
  </si>
  <si>
    <t>Ereza-CustomActivityOnCrash-29</t>
  </si>
  <si>
    <t>restartApplicationWithIntent() more than Home key</t>
  </si>
  <si>
    <t>me App crash,according to sample,do method.
Then, press Home key,perhaps repeat this operation.
App Stack no clean
if in LAUNCHER Activity onCreate() add following code,would not produce.
But don know why.</t>
  </si>
  <si>
    <t>k9mail-k-9-2225</t>
  </si>
  <si>
    <t>IndexOutOfBoundsException on opening multipart/signed object with stripped signature</t>
  </si>
  <si>
    <t>sent multipart signed message to mailing list. The mailing list decided to strip out the MIME part containing the signature. On opening the message in K9, get crash with the following backtrace:
The message should obviously not be reported as signed, but it shouldn crash the program either.
The MIME structure of the final message is as follows. The content-type of the message as whole is multipart mixed. This outer MIME layer has two parts, which will call parts and 2. Part is of content-type multipart signed. Part MIME content has one part, which will call part 1.1. Part 1.1. is of content-type text plain and contains my original message. Part is of content-type text plain and contains small signature tacked on by the mailing list. All the boundary strings are properly formatted as far as can tell.
K-9 Mail version: 5.203
Android version: 6.0.1
Account type (IMAP, POP3, WebDAV Exchange): IMAP</t>
  </si>
  <si>
    <t>username115-FRCScouting-159</t>
  </si>
  <si>
    <t>Pilot scouting crashes if no team numbers entered</t>
  </si>
  <si>
    <t>2017-02-11</t>
  </si>
  <si>
    <t>stefan-niedermann-nextcloud-notes-177</t>
  </si>
  <si>
    <t>API Compatibility Issues</t>
  </si>
  <si>
    <t>We have recently developed state-of-the-art static analysis tool for uncovering API compatibility issues in Android apps. Applying this tool to open source apps on F-droid, we have exposed few instances of compatibility issues and submitting them to development teams for fix.
For your app, we have found that this project has accessed the following APIs which are available only on an API level higher than the declared minSdkVersion and which are accessed without proper protection. In other words, if those APIs get called at runtime, it will trigger NoSuchMethodError and thus result in crash of the running application.
Note that, because of the nature of the static analysis, we cannot confirm whether the flagged APIs would actually be called at runtime (e.g., unreachable code). However, we still believe that those APIs, which may cause compatibility issues, should not be accessed or at least be accessed with proper protections.
In addition to the aforementioned APIs (i.e., which could cause app crashes if accessed, we have also identified that this project has also accessed some APIs that have been removed from the latest public SDK, making the app possibly suffer from issues.
We would be very much appreciated if you can acknowledge to us that those reported APIs are indeed problematic for the project long-term stability. please let us know if you need any more information relating to this issue report.</t>
  </si>
  <si>
    <t>ScreamingHawk-android-slideshow-18</t>
  </si>
  <si>
    <t>Handle Image Too Large error</t>
  </si>
  <si>
    <t>This exception is causing the application to crash:</t>
  </si>
  <si>
    <t>2017-02-12</t>
  </si>
  <si>
    <t>tpb1908-AndroidProjectsClient-103</t>
  </si>
  <si>
    <t>There is a bug in HtmlTextView which can crash on list items without parents.</t>
  </si>
  <si>
    <t>&lt;li&gt;Some text li&gt; Will crash
as will &lt;ul&gt;Some text&lt; ul&gt;
This is an issue on HtmlTextView and is caused by popping from an empty list stack.</t>
  </si>
  <si>
    <t>cgeo-cgeo-6318</t>
  </si>
  <si>
    <t xml:space="preserve">Crash when adding a waypoint </t>
  </si>
  <si>
    <t>##### Detailed steps causing the problem:
Swipe tp waypoint tab
Click Add waypoint
Click on coordinates field
##### Actual behavior after performing these steps:
Picture of Stacktrace:
##### Expected behavior after performing these steps:
Coordinates can be edited without crash
##### Version of c:geo used:
##### Is the problem reproducible for you?
Yes (on the mentioned cache)
##### Other comments and remarks:
pstorch guess this is side effect of your latest waypoint handling changes?</t>
  </si>
  <si>
    <t>BelooS-ChipsLayoutManager-30</t>
  </si>
  <si>
    <t>TopGravityModifier checks improper values</t>
  </si>
  <si>
    <t>have app ve been playing with and had this library on 0.2.3, just attempted to update to the latest 0.3.7, and receive crash.
experience this when set:
public int getItemGravity(int position)
Using other Gravitys work fine (BOTTOM, CENTER)
From looking in the source see that the TopGravityModifier class was modified to check the left right edges of the rect against the minStart and minEnd, whereas the BOTTOM layout checks the top and bottom, and do not experience the issue using BOTTOM.
class TopGravityModifier implements IGravityModifier
public Rect modifyChildRect(int minStart, int maxEnd, Rect childRect)
throw new top point of input rect can be lower than minTop
throw new bottom point of input rect can be bigger than maxTop
childRect new Rect(childRect)
childRect.bottom childRect.top minStart
class implements IGravityModifier
public Rect modifyChildRect(int minStart, int maxEnd, Rect childRect)
throw new top point of input rect can be lower than minTop
throw new bottom point of input rect can be bigger than maxTop
Rect modified new Rect(childRect)
modified.top maxEnd modified.bottom
not certain that this is mistake, but it looks fishy. Eitherway something changed and can seem to figure out how to use Gravity.TOP again.
The crash see when using Gravity.TOP is as follows:
FATAL EXCEPTION: main</t>
  </si>
  <si>
    <t>2017-02-13</t>
  </si>
  <si>
    <t>syncthing-syncthing-android-847</t>
  </si>
  <si>
    <t>Syncthing crashes on Android TV (SATV)</t>
  </si>
  <si>
    <t>attempting to get Syncthing running on my Shield Android TV, but can seem to make it more than day without Syncthing crashing and failing to restart.
am syncing large folder (811 items, 111 subfolders, 882 GB data)
This is what see in the log file after crash:
The crashes seem to happen without any pattern, without any other log activity before or after crash
App Version: 0.9.6
Syncthing Version: v0.14.22
Android Version: Shield Experience 5.0.1 (Android Nougat) for SHIELD 2017</t>
  </si>
  <si>
    <t>dariuszseweryn-RxAndroidBle-135</t>
  </si>
  <si>
    <t>Long write operations does not seem to work correctly</t>
  </si>
  <si>
    <t>tested the new long write operation commit that has been pushed recently. Tried it in my application and it crashes after the second long write operation.
Let me explain little more my use case. currently sending rather big file to BLE device. The file is firmware in Intel HEX forma (https: en.wikipedia.org wiki Intel HEX). From the defined application exchange protocol, iterating through each line, wrap the line in application packet format (starts and ends with predefined byte value), chunk that into multiple packets (20 bytes) and write them one by one to the device by using writeCharacteristic The callback is then used to trigger the next packet once line has been fully written, start sending the next one.
wanted to test the new long operation as it greatly reduce amount of operation on the queue since full line using long write operation would used single operation on the radio queue.
tried it with the following code:
TYPE NO RESPONSE)
Where the onLineWritten simply triggers the next line writing operation.
#### Steps to reproduce actual result
Not clear, but here what think.
1. Send multiple lines of data to device. Each line taking more than 20 bytes.
2. Use the above code to trigger the line sending one by one and let RxAndroidBLE chunk them as needed.
3. Run the upload operation.
#### Actual result
There is crash happening, here the log part, the characteristic being written to is the one starting with b4520104 and the b4520107 is some kind of ACK channel that we don really use.
The second line operation is hanging until timeout occurs.
#### Expected result
think this code should work. Since write the next line only on the onComplete callback, there is no reason the next line can not be written correctly and that timeout occurs.
Note that similar code without using long write operation does work correctly:
bytes, delay, -&gt;
Where mPacketWriter is custom chunker that creates all the chunks to write and then concatMap them using the observable as the synchronization point.</t>
  </si>
  <si>
    <t>danimahardhika-wallpaperboard-3</t>
  </si>
  <si>
    <t>Random crash when selecting wallpaper as favorite</t>
  </si>
  <si>
    <t>BaseballCardTracker-bbct-android-411</t>
  </si>
  <si>
    <t>kontalk-androidclient-954</t>
  </si>
  <si>
    <t>Crash after reaching PTT time limit</t>
  </si>
  <si>
    <t>Try to record voice message from the PTT button until the limit of minute is reached. Recording is stopped and as soon as you lift your finger, the app will incur in native crash.</t>
  </si>
  <si>
    <t>2017-02-14</t>
  </si>
  <si>
    <t>ForstaLabs-relay-18</t>
  </si>
  <si>
    <t>Figure out why the version on the App store is not working for Art</t>
  </si>
  <si>
    <t>We were unable to get Art using the version of Relay from the App store because it would crash at the stage that it starts sending an SMS verification. (the section where is checks off the tasks once you click the link in your email.</t>
  </si>
  <si>
    <t>florent37-CameraFragment-12</t>
  </si>
  <si>
    <t>Nexus 7 crash</t>
  </si>
  <si>
    <t>got crash on first nexus device. it has no back camera only front camera</t>
  </si>
  <si>
    <t>scottwainstock-pbm-android-146</t>
  </si>
  <si>
    <t>If the region you're on gets deleted, the app crashes</t>
  </si>
  <si>
    <t>Open Android app to region that about to delete.
Close Android app.
Open Android app.
App crashes. Have to reinstall to get past it.
think we need something similar to the iOS app, where the app checks if the current region exists, and if it doesn t, you get sent to the region select screen.</t>
  </si>
  <si>
    <t>fr3ts0n-AndrOBD-27</t>
  </si>
  <si>
    <t>ConcurrentModificationException when displaying OBD data screen</t>
  </si>
  <si>
    <t>am not sure it relevant to this issue but for completeness sake: the car have this issue on is 2009 Hyundai Sonata GLS. The engine is started before plug in the adapter. This adapter (a Bluetooth ELM, clone suppose though don know) has been used successfully with this car as well as 2003 Pontiac Grand Am with another app that only retrieves trouble codes.
After connecting to the ECU, can access the OBD Vehicle Info screen. It loads and is populated with the correct information (the VIN is correct, etc.). If select OBD Data the application crashes. In logcat, see this:</t>
  </si>
  <si>
    <t>2017-02-15</t>
  </si>
  <si>
    <t>crazyhitty-Capstone-Project-9</t>
  </si>
  <si>
    <t>Application crashes on pre-nougat devices when sharing a post from post details screen.</t>
  </si>
  <si>
    <t>Application crashes whenever user shares any post from its details screen.
The crash indicates that the application is starting the sharing intent without FLAG ACTIVITY NEW TASK flag. But the code already has it implemented. Weird bug, guess. Will try to move sharing functionality from Presenter logic to Activity itself.</t>
  </si>
  <si>
    <t>Cloudkibo-Android-499</t>
  </si>
  <si>
    <t>App crashes on new install</t>
  </si>
  <si>
    <t>1- Uninstall the current version of kibochat.
2- Download and install app from playstore.
3- Login with your number.
4- App crashes after you click continue after entering facebook login code.
Following are the acra logs for this error.</t>
  </si>
  <si>
    <t>michael-rapp-AndroidPreferenceActivity-20</t>
  </si>
  <si>
    <t>java.lang.IllegalStateException: Fragment AppearancePreferenceFragment not attached to Activity</t>
  </si>
  <si>
    <t>there is problem with the restore defaults button. it works for the first time. if you keep pushing restore press ok in the dialog it will crash in both appearance and behavior. you don need to change any value in preferences just press restore defaults for few times and hit ok.
the error is different for appearance and behavior. and if you press restore defaults for 2nd time in appearance and press ok. the dialog comes again without needing to press restore this time.
here is the error for behavior:
here is the error for appearance:</t>
  </si>
  <si>
    <t>2017-02-16</t>
  </si>
  <si>
    <t>nextcloud-android-665</t>
  </si>
  <si>
    <t>20170216 Cachesize</t>
  </si>
  <si>
    <t>### Actual behaviour
Just small thing:
enter 100 as cachesize: cachesize will be set to 100 MB
enter 0100 as cachesize: cachesize will be set to 64 mb
enter 0700 as cachesize: cachesize will be set to 448 MB
enter 018 as cachesize: app crashes
enter 008 as cachesize: app crashes
### Expected behaviour
Also cachesizes with leading should be handled correct
### Steps to reproduce
### Environment data
Stock or customized system:
Nextcloud app version:
Nextcloud server version:
#### Web server error log
#### Nextcloud log (data nextcloud.log)</t>
  </si>
  <si>
    <t>requery-sqlite-android-35</t>
  </si>
  <si>
    <t>Native crashes</t>
  </si>
  <si>
    <t>am encountering some native crashes in my application. don know if this is problem in the library, SQLite itself, or my own application, so any advice on narrowing this down would be appreciated. am on release 3.16.0.
In both cases below, data is inserted into the database which is then **closed** and then **opened** again shortly after. The crashes occur when trying to open the DB. ve logged two crashes and can figure out any pattern to which one end up with (my reproduction steps are not deterministic).</t>
  </si>
  <si>
    <t>codinguser-gnucash-android-654</t>
  </si>
  <si>
    <t>App crashes when trying modify account if default transaction account no longer exist.</t>
  </si>
  <si>
    <t>#### Steps to reproduce the behaviour
1. Use double entry mode.
2. Create account and B.
3. Set default transaction account to A.
4. Remove account A.
5. Modify account B, crash occurred.
#### Expected behaviour
Open account modifying interface.
#### Actual behaviour
#### Software specifications
GnuCash Android version: 2.1.4
System Android version: Nougat 7.1.1
Device type: Google Pixel</t>
  </si>
  <si>
    <t>google-conscrypt-97</t>
  </si>
  <si>
    <t>Check for errors correctly</t>
  </si>
  <si>
    <t>Filing this here so someone remembers to deal with it:
Conscrypt needs to make the equivalent change in error-handling to this CL:
isn the right pattern for these APIs. It very easy to leave stuff in the error queue and, if there is anything left there, Conscrypt will incorrectly think function failed. We ve seen Conscrypt crashes in Chrome when we call to the X.509 code due to this.</t>
  </si>
  <si>
    <t>2017-02-17</t>
  </si>
  <si>
    <t>react-native-svg-react-native-svg-258</t>
  </si>
  <si>
    <t>Crash: removedChildren count (0)  was not what we expected (56)</t>
  </si>
  <si>
    <t>get the error above which results in crash.
This error happens when try to remove the view that contains lot of lines rendered like so:
for (let 0, lineCnt lineCnt 1)
top left pivot
x1 (props.strokeWidth 2.83333333)
x2 (i (props.strokeWidth 2.83333333)) ((props.width props.height) props.width)
which are later rendered like so:
see the error in react-native red box, but the error originates from this react-native (https: github.com facebook react-native blob master React Modules line of code.
assume that the number 56 is the number of my lines.
Could it be that react-native-svg makes it hard for react-native to remove it children and deallocate their memory?</t>
  </si>
  <si>
    <t>rodrif-RecorridasZOTP-90</t>
  </si>
  <si>
    <t>Crash app sin internet</t>
  </si>
  <si>
    <t>Al abrir la app sin internet hacer click en nueva persona crashea la app en la version 1.8.9-prod</t>
  </si>
  <si>
    <t>Devsoc-BPGC-DoJMA-52</t>
  </si>
  <si>
    <t>Fav deselect causes ANR</t>
  </si>
  <si>
    <t>In new branch, on deselecting fav, app crashes</t>
  </si>
  <si>
    <t>nextcloud-android-669</t>
  </si>
  <si>
    <t>Beta 20170218 crash after moving directories for autoupload</t>
  </si>
  <si>
    <t>### Actual behaviour
From the server move the autoupload directory somewhere else
From the app open autoupload settings to change
App hangs while refreshing new content list
App won reopen
### Expected behaviour
Allow the change with no fuss.
### Steps to reproduce
See above. Also video:
Just to add it corrected itself and opens again fine, now but it shouldn have crashed in the first place. No logs available within the app.
### Environment data
Android version: 6.0
Device model: VFD 700
Stock or customized system: Stock
Nextcloud app version: 20170218
Nextcloud server version: 11.0.1</t>
  </si>
  <si>
    <t>2017-02-18</t>
  </si>
  <si>
    <t>AoDispor-AoDispor-Android-66</t>
  </si>
  <si>
    <t>Fazer upload de uma foto de perfil faz crashar a app</t>
  </si>
  <si>
    <t>Isto aquele problema que nunca ficou resolvido no meu telem vel. meu medo que aconte em mais modelos.</t>
  </si>
  <si>
    <t>niclabs-adkintunmobile-androidclient-164</t>
  </si>
  <si>
    <t>ConnectivityTestFragment.java line 38</t>
  </si>
  <si>
    <t>ably-ably-java-309</t>
  </si>
  <si>
    <t>Crash inside a library</t>
  </si>
  <si>
    <t>received this crash twice:
Attempt to invoke interface method void on null object reference</t>
  </si>
  <si>
    <t>2017-02-20</t>
  </si>
  <si>
    <t>mvysny-aedict-731</t>
  </si>
  <si>
    <t>Crash on Anki Export while in dictionary</t>
  </si>
  <si>
    <t>Aedict v3.39.29 seems to crash when trying to do an export to Anki (CSV or direct) while having selection inside dictionary. It seems to work fine with normal search results selected, but inside created dictionary in the notepad the app crashes after few seconds instead of showing the export screen. ve attached log.</t>
  </si>
  <si>
    <t>square-okhttp-3171</t>
  </si>
  <si>
    <t>java.lang.IllegalArgumentException: Unexpected code point: d83d</t>
  </si>
  <si>
    <t>The app crashes while calling execute method of Call.
am using okhttp 3.5.0 and okio 1.11.0. It bug or incorrect use of api? Better to handle it by catch
Most problem devices are HTC ONE, HTC Desire 626G, HTC Desire 820G, but there are another manufactures.</t>
  </si>
  <si>
    <t>Etar-Group-Etar-Calendar-176</t>
  </si>
  <si>
    <t>Etar is crashing.</t>
  </si>
  <si>
    <t>Yesterday everything was fine with etar, today it crashing instantly. don know what could be the problem, didn changed anything major on my phone. Android 7.1.1
deisntalled the app and installed it again, but the app is crashing instantly, after asking for calender access, with im allowing.</t>
  </si>
  <si>
    <t>2017-02-21</t>
  </si>
  <si>
    <t>GluuFederation-android-super-gluu-13</t>
  </si>
  <si>
    <t>Super Gluu crashes on Android 7</t>
  </si>
  <si>
    <t>After getting my software update, can start Super Gluu
Android Version: 7.0
Security Patch Feb 17
Kernel Version: 3.18.31-10376601 Feb 17
SE for Android: Enforcing</t>
  </si>
  <si>
    <t>twilio-video-quickstart-android-61</t>
  </si>
  <si>
    <t>Crash attempting to use a USB Camera</t>
  </si>
  <si>
    <t>am trying to run the sample on an Nvidia Shield with logitech USB camera. Android version 7.0.
The app crash with the following logs:</t>
  </si>
  <si>
    <t>2017-02-22</t>
  </si>
  <si>
    <t>twilio-video-quickstart-android-60</t>
  </si>
  <si>
    <t>The app crashes with beta8/9</t>
  </si>
  <si>
    <t>&lt;img width 1022 alt screen shot 2017-02-22 at 15 51 pm src https: assets 12425853 23220563
couldn get any crash report on firebase or crashlytics, but in one of the tries the log kept there for second</t>
  </si>
  <si>
    <t>h6ah4i-android-advancedrecyclerview-360</t>
  </si>
  <si>
    <t>fixed crash during dragging items and device rotation</t>
  </si>
  <si>
    <t>5calls-android-53</t>
  </si>
  <si>
    <t>DB crashes trying to insert TX-BetoO'Rourke</t>
  </si>
  <si>
    <t>We should escape that character on the DB side.</t>
  </si>
  <si>
    <t>twilio-video-quickstart-android-59</t>
  </si>
  <si>
    <t>onPause causes the app to crash with the first participant leaves the room</t>
  </si>
  <si>
    <t>am using the beta7 and did the following:
a- create room
b- participant joined
c- participant joined
d- participant left
e- pause the activity by going to any other activity or going to the the home page of the phone
d- app crashes
will try to get the log and add it here later today</t>
  </si>
  <si>
    <t>Fleker-CumulusTV-272</t>
  </si>
  <si>
    <t>Sony Bravia running Android TV 6.0.1, constant crashes upon TV boot</t>
  </si>
  <si>
    <t>My TV got updated from 5.1.1 to 6.0.1. Upon load, it still uses Sony own Streaming Channels app, however, the issue is that Cumulus TV keeps FC ing upon the TV being booted up.
Reporting the issue is hard as it constantly comes up with the FC.
managed to get two reports through around mins ago.
Unsure what is causing it to crash though. even Factory Data Reset my TV in hope that would fix it, but to no avail.</t>
  </si>
  <si>
    <t>lostzen-lost-164</t>
  </si>
  <si>
    <t>Connection callbacks not stored if fused location service is already connected</t>
  </si>
  <si>
    <t>While debugging https: github.com mapzen lost issues 162 found that we are not properly handling ConnectionCallbacks when the fused location service is already connected.
When new LostApiClient is connected we check if the service is already running. If it is, then the is invoked but the callbacks are not stored in the
Override public void connect()
This is potentially problematic if the service is suspended by the system and fires these clients will never be notified via nor will be invoked when the service is reconnected.
Called when connection to the Service has been lost. This typically happens when the process hosting the service has crashed or been killed. This does not remove the ServiceConnection itself -- this binding to the service will remain active, and you will receive call to onServiceConnected when the Service is next running.
### Steps to Reproduce
1. Connect one instance of LostApiClient
2. In the ConnectionCallbacks instance for the first client create and connect new LostApiClient instance with new instance of ConnectionCallbacks
3. Using the debugger you can see that only contains the original set of ConnectionCallbacks as the second set has not been added.
should be called for all connection callbacks even if the FusedLocationApi is already connected.
### Lost Android Version</t>
  </si>
  <si>
    <t>2017-02-23</t>
  </si>
  <si>
    <t>google-ExoPlayer-2497</t>
  </si>
  <si>
    <t xml:space="preserve">Crash: java.lang.IllegalArgumentException: Layout: -317 &lt; 0 </t>
  </si>
  <si>
    <t>Yesterday used ExoPlayer to play live stream, also turned Closed caption ON.
My app is using ExoPlayer r2.2.0.
After while, got crash. This is my crash log from Hockey App:
Layout.java, line 199
My question is:
Is this error from subtitle content?
How can avoid the crash from this?</t>
  </si>
  <si>
    <t>twilio-video-quickstart-android-64</t>
  </si>
  <si>
    <t>Tokens with purely numeric identities results in a crash</t>
  </si>
  <si>
    <t>regression was introduced in 1.0.0-beta8 which causes crash when access tokens are created with numeric identities. The issue currently affects 1.0.0-beta9 and will be resolved with 1.0.0-beta10 release. First reported and identified in #60</t>
  </si>
  <si>
    <t>mauron85-cordova-plugin-background-geolocation-268</t>
  </si>
  <si>
    <t>app crashes on first start after install (java.lang.NullPointerException: Attempt to invoke virtual method 'java.lang.String org.json.JSONObject.toString()' on a null object reference)</t>
  </si>
  <si>
    <t>after fresh install the app crashes immediately as the plugin gets started. It runs fine from second start.
from the adb.logcat
Plugin version: 2.2.4
OS version: 5.1
Device manufacturer and model: HTC One
Plugin configuration options:</t>
  </si>
  <si>
    <t>danimahardhika-candybar-library-26</t>
  </si>
  <si>
    <t>Random crash when opening icons section</t>
  </si>
  <si>
    <t>The case is very rare, this is just minor bug</t>
  </si>
  <si>
    <t>frostwire-frostwire-355</t>
  </si>
  <si>
    <t>[desktop] Testing Options &gt; BitTorrent &gt; Advanced &gt; VPN-Drop-Protecction - Fails when connecting/disconnecting</t>
  </si>
  <si>
    <t>Tested from git pre-release FrostWire 6.4.5 build 222
screen shot 2017-02-22 at 33 40 pm (https: assets 1534723 23239566
**Resume** of Downloading files is not getting the Torrent again. cannot reproduce the files ending in Error but the **Seeds and Speed remain and KB s**
**Clear Inactive** is erasing the info of Files that were Seeding or Downloading too.
FW crashes after trying to search and download files again on Windows. Log file already shared on Slack.</t>
  </si>
  <si>
    <t>SecUSo-privacy-friendly-netmonitor-17</t>
  </si>
  <si>
    <t>System-UI crash with version 1.1.1</t>
  </si>
  <si>
    <t>When NetMonitor 1.1.1 (from f-droid) is running and use the pull down menu then crash the system-ui.
And in few connections the certificate is displayed. The most connections displays: PENDING in version 1.1.1
downgraded to version 1.0 and it works perfectly!</t>
  </si>
  <si>
    <t>2017-02-24</t>
  </si>
  <si>
    <t>hzi-braunschweig-SORMAS-Project-130</t>
  </si>
  <si>
    <t>person data bug when creating new case (app)</t>
  </si>
  <si>
    <t>create new case, enter all person data, save
-&gt; data disappears crashes if you hit save again</t>
  </si>
  <si>
    <t>Fleker-CumulusTV-273</t>
  </si>
  <si>
    <t>Problem opening edit dialog</t>
  </si>
  <si>
    <t>Getting this crash in the beta.
Fatal Exception: You need to use Theme.AppCompat theme (or descendant) with this activity.</t>
  </si>
  <si>
    <t>2017-02-25</t>
  </si>
  <si>
    <t>smarek-httpclient-android-15</t>
  </si>
  <si>
    <t>Locale.ROOT doesn't exist in Android APIs prior to 9</t>
  </si>
  <si>
    <t>Using the library will crash on Android 2.2 and earlier due to
The best fix is likely to patch the original code to use Locale.US for API versions prior to 9.</t>
  </si>
  <si>
    <t>2017-02-26</t>
  </si>
  <si>
    <t>esoxjem-MovieGuide-20</t>
  </si>
  <si>
    <t>App crashes when I switch to airplane mode and trying to open any movie details</t>
  </si>
  <si>
    <t>couple of last log lines when app crashes:
SecWifiDisplayUtil: Metadata value SecSettings2
OkHttp: --&gt; GET http: api.themoviedb.org movie 341174 videos?api key my key http 1.1
OkHttp: Accept: application json
OkHttp: --&gt; END GET
OkHttp: --&gt; GET http: api.themoviedb.org movie 341174 reviews?api key my key http 1.1
OkHttp: Accept: application json
OkHttp: --&gt; END GET
OkHttp: &lt;-- HTTP FAILED: Unable to resolve host api.themoviedb.org No address associated with hostname
OkHttp: &lt;-- HTTP FAILED: Unable to resolve host api.themoviedb.org No address associated with hostname</t>
  </si>
  <si>
    <t>k9mail-k-9-2282</t>
  </si>
  <si>
    <t>Crash in 5.205: Bug in ParcelableUtil.unmarshall()?</t>
  </si>
  <si>
    <t>Crash reported via Google Play.
crash when opening from 1x1 widget
using inbox icon to start k9 results in crash
force closes on start from widget
Caused by: Attempt to get length of null array</t>
  </si>
  <si>
    <t>getodk-collect-466</t>
  </si>
  <si>
    <t>java Null Pointer Exception on getVersionedAppName() method thus causing app to crash</t>
  </si>
  <si>
    <t>Thank you for taking the time to report an ODK Collect issue!
This space is for submitting problems and feature requests. For general usage or form design questions, please email opendatakit googlegroups.com or for ODK Collect source code questions, please email googlegroups.com
Before filling this form, visit https: github.com opendatakit collect issues?q is%3Aissue and search to see whether your issue was already reported or fixed. If you find match, comment on it or add +1 rather than posting new issue. If you find problem you know how to fix, submit pull request.
For all problem reports, please use the template below. Also include any relevant stack traces or error messages.
For feature requests, please include the problem description (what problem do you have that can currently be solved?) and proposed solution if you have one in mind (optional). You can delete the template.
#### Software and hardware versions
Collect v1.x.x, Android v5.1.1, device used...
#### Problem description
App Crashes as soon as it installs.
#### Steps to reproduce the problem
#### Expected behavior
#### Other information
Things you tried, stack traces, related issues, suggestions on how to fix it...</t>
  </si>
  <si>
    <t>2017-02-27</t>
  </si>
  <si>
    <t>connectbot-connectbot-493</t>
  </si>
  <si>
    <t>StringIndexOutOfBoundsException when generating public keys under Traditional Chinese locale</t>
  </si>
  <si>
    <t>Steps to reprduce:
1. Use Traditional Chinese locale. On my phone it displayed as
2. Manage Pubkeys
3. Type random name and hit Generate
Then the generation dialog crashes: (I add two Log.e() to see what wrong)
Everything works fine with English locale.
Tested with the latest git master</t>
  </si>
  <si>
    <t>Tencent-tinker-374</t>
  </si>
  <si>
    <t>补丁加载成功后WebView获取资源失败android.content.res.Resources$NotFoundException: Resource ID #0x0</t>
  </si>
  <si>
    <t>5s(Android 7.1.1) 3T(Android7.0) ZUK Z2(Android 7.0)
--------- beginning of crash</t>
  </si>
  <si>
    <t>SecUSo-privacy-friendly-shopping-list-33</t>
  </si>
  <si>
    <t>Present quantity field to 1</t>
  </si>
  <si>
    <t>1. Add new item to the list
2. Press press in quantity before pressing or entering number
3. App crashes</t>
  </si>
  <si>
    <t>2017-02-28</t>
  </si>
  <si>
    <t>SecUSo-privacy-friendly-notes-56</t>
  </si>
  <si>
    <t>Editing reminder crashes app</t>
  </si>
  <si>
    <t>Reported on Android 4.4</t>
  </si>
  <si>
    <t>getodk-collect-488</t>
  </si>
  <si>
    <t>Crash when trying to get GDrive contents in API 16 emulator</t>
  </si>
  <si>
    <t>#### Software and hardware versions
Collect Android 4.1.2 emulator, Google Play Services 9256030
#### Problem description
Collect crashes when trying to list contents of GDrive.
#### Steps to reproduce the problem
1. Set Platform to Google Drive, Google Sheets in General Settings
1. Tap Get Blank Form
1. Tap My Drive
#### Expected behavior
This seems to be due to the Play Services version. The user should be told that their Play Services is out of date and must be updated to use this feature. They should be given the option to cancel fetching new forms so the app doesn crash. Perhaps they can be linked to update Play Services.
#### Other information
can run the same code in an API 22 emulator with no problems.
This is related to #132.</t>
  </si>
  <si>
    <t>2017-03-01</t>
  </si>
  <si>
    <t>timusus-Shuttle-46</t>
  </si>
  <si>
    <t>Bug: Shuttle Crashes when re-ordering a playlist</t>
  </si>
  <si>
    <t>It is possible to drag song in playlist above the album preview. As soon as dragging it back down, Shuttle crashes.
1. Go to playlist and drag track above the album preview
2. Drag it below the album preview
3. Shuttle should crash
using Shuttle 1.6.4 (upgraded) on my LG G3 (d855) running Android 6.0</t>
  </si>
  <si>
    <t>fossasia-phimpme-android-59</t>
  </si>
  <si>
    <t>Runtime permission error in API 23+</t>
  </si>
  <si>
    <t>App crashes while opening in Marshmallow above devices. Needs to get Runtime permission for READ EXTERNAL STORAGE.</t>
  </si>
  <si>
    <t>2017-03-02</t>
  </si>
  <si>
    <t>facebook-stetho-505</t>
  </si>
  <si>
    <t>Missing support-compat Dependency</t>
  </si>
  <si>
    <t>The attached project can be used to reproduce the problem. At the moment, support-compat is commented out in app build.gradle If you run the project, and you start navigating the view hierarchy using the Elements view, after few layers, you eventually crash with:
... 17 more
Caused by: Class not found using the boot class loader no stack trace available
Let me know if you need additional information &amp;mdash thanks!</t>
  </si>
  <si>
    <t>Z3r0byte-Magis-53</t>
  </si>
  <si>
    <t>Assertion error causes app to crash.</t>
  </si>
  <si>
    <t>square-okhttp-3200</t>
  </si>
  <si>
    <t>Attempt to invoke virtual method 'okio.Timeout okio.Timeout.clearDeadline()' on a null object reference</t>
  </si>
  <si>
    <t>use OKhttp 3.5.0, often crashes.
The above is the error log</t>
  </si>
  <si>
    <t>geopaparazzi-geopaparazzi-393</t>
  </si>
  <si>
    <t>Crash after enabling editing</t>
  </si>
  <si>
    <t>Geopaparazzi allows enabling the editing mode on layer that is no longer available (because the Spatialite database has been removed from Geopaparazzi in the Spatialite Data List). This produces Geopaparazzi crash when new geometry is created and saved.
Steps to reproduce:
1- Load Spatialite DB, make some layer visible, select this layer as the EditLayer and finally start edition
2- Finish edition and remove the Spatialite DB from Geopaparazzi
3- Start edition again. It should not be allowed, but it is, because the (non-existing) layer is still set as EditLayer
4- Add new geometry and save
It can be solved in different ways:
In we could set the EditLayer (on EditManager) to null if it is backed by the map we are removing. think this is cleaner, but we don have way to know the table backing the ILayer (unless we cast to Maybe we need new method (getTable, getSource or similar) on ILayer??
Another approach: checking if the layer is available before enabling editing. But we still lack the method on ILayer</t>
  </si>
  <si>
    <t>2017-03-03</t>
  </si>
  <si>
    <t>shymmq-librus-client-104</t>
  </si>
  <si>
    <t xml:space="preserve">Parent account crashing </t>
  </si>
  <si>
    <t>Crashing on 83%</t>
  </si>
  <si>
    <t>2017-03-04</t>
  </si>
  <si>
    <t>midhunhk-trip-o-meter-11</t>
  </si>
  <si>
    <t>App crashes due to permission issue.</t>
  </si>
  <si>
    <t>App crashes after clicking on Expenses tab.This is after the new update.
Tried fresh install too.
Error Log from logcat:
FATAL EXCEPTION: main</t>
  </si>
  <si>
    <t>akexorcist-GoogleDirectionLibrary-28</t>
  </si>
  <si>
    <t>NPE on DirectionConverter class</t>
  </si>
  <si>
    <t>use you library in my application and my application crashes on your
class in method dptopx in line **130** causes
if you like can help you in this Issue or other Issues
our user have android client</t>
  </si>
  <si>
    <t>jacob-g-cleveland-rta-next-bus-train-49</t>
  </si>
  <si>
    <t>Make list of nearby stations fail gracefully on network failure</t>
  </si>
  <si>
    <t>In the event that loading the arrival times doesn work for the list of nearby stations on the Near me page, don crash the app and instead just don update anything.</t>
  </si>
  <si>
    <t>2017-03-05</t>
  </si>
  <si>
    <t>nextcloud-android-718</t>
  </si>
  <si>
    <t>Fix crashes</t>
  </si>
  <si>
    <t>This fixes two crashes one with regular, and one with local search (that we didn touch for this release). It also releases 1.4.2 RC3 :D</t>
  </si>
  <si>
    <t>midhunhk-trip-o-meter-12</t>
  </si>
  <si>
    <t>Fixing Permission related issue. Fixes #11</t>
  </si>
  <si>
    <t>Support for Android above.
**Summary of Changes Requested:**
Rename String values to str permission contacts reason and such to allow multiple values.
On entering to the expenses fragment if permission is already granted paint the normal view.If permission is to be requested paint empty view.
PERMISSION GRANTED -&gt; trips list, container, false) and add to view we could cache the inflator
PERMISSION DENIED -&gt; view.add(new TextView()) add to empty view already created
Two important tasks remain before merging related to transition of fragments for user.
In we need to handle both probable cases (allow deny).
Now the app won crash but on denying allowing it would remain in the same fragment and there would be no possible action for user to do as the view was rendered without being binded to action.
will need help on implementing this as the options tried did not work perfectly.
Updated Screenshots: Android</t>
  </si>
  <si>
    <t>nextcloud-android-717</t>
  </si>
  <si>
    <t>Changing Auto-Upload folder kill the app</t>
  </si>
  <si>
    <t>### Actual behaviour
App was killed after selecting new autoupload folder. My folder has the following specs
Subfolder Pics AutoUpload with 4,2GB all Pcis
pictures under Pics
Empty folder or folders with less files in it can be selected. But folder with round about 400Mb ebooks (50-100 files) also let crash the app
### Expected behaviour
No dead app
### Steps to reproduce
2. Menu--&gt; Server folder
3. Select full folder
### Environment data
Android version: 6.0
Device model: LG G4
Stock or customized system: Stock
Nextcloud app version: 1.4.2 RC2
Nextcloud server version: 11.0.2</t>
  </si>
  <si>
    <t>airbnb-DeepLinkDispatch-163</t>
  </si>
  <si>
    <t>TaskStackBuilder not created</t>
  </si>
  <si>
    <t>Currently trying to use the TaskStackBuilder method, but getting class cast exception:
Digging into the crash:
taskStackBuilder (TaskStackBuilder) method.invoke(c, activity)
return false, uri, Could not deep link to method: entry.getMethod() intents length
newIntent (Intent) method.invoke(c, activity)
It seems that the TaskStackBuilder has to be from the support library. Is it possible to relax this check or add different error message?</t>
  </si>
  <si>
    <t>2017-03-06</t>
  </si>
  <si>
    <t>kgehmlich-soen341-group2-79</t>
  </si>
  <si>
    <t>Documents Activity throws exception</t>
  </si>
  <si>
    <t>The following exception is thrown when clicking on UPLOAD DOCUMENT button, causing the app to crash:</t>
  </si>
  <si>
    <t>maks-MGit-119</t>
  </si>
  <si>
    <t>MGit crashes when rotating the screen while viewing a file</t>
  </si>
  <si>
    <t>ll add some more information later</t>
  </si>
  <si>
    <t>nextcloud-android-729</t>
  </si>
  <si>
    <t>Nextcloud beta 20170223: app crashes when open settings</t>
  </si>
  <si>
    <t>### Actual behaviour
The App crashes when open the settings in Nextcloud app.
### Expected behaviour
It should open whitout crash
### Steps to reproduce
1. Set the storage path to SD card on Android
2. Open settings in Nextcloud
### Environment data
Android version: 7.0
Device model: Samsung Galaxy S7 Edge
Stock or customized system: Stock
Nextcloud app version: 20170223
Nextcloud server version: 11.0.2
#### Nextcloud log (data nextcloud.log)
unfortunately there is no log file</t>
  </si>
  <si>
    <t>2017-03-08</t>
  </si>
  <si>
    <t>seanleavy-WiimmFiinndus-6</t>
  </si>
  <si>
    <t>crash on app resume</t>
  </si>
  <si>
    <t>null pointer exception on preferencesmanager:</t>
  </si>
  <si>
    <t>fossasia-phimpme-android-102</t>
  </si>
  <si>
    <t>Error in inflating layout due to adview in main.layout</t>
  </si>
  <si>
    <t>The app is crashing in tablet due to incorrect xmls:ads in main.xml(layout)
should be replaced with
Comment adviews in main layout
**Steps to reproduce it**
Try to run this app in the tablet (large- screen devices). Open
**LogCat for the issue**
**Would you like to work on the issue?**</t>
  </si>
  <si>
    <t>SCCapstone-Treepo-28</t>
  </si>
  <si>
    <t>App crashed when I try to add a tree</t>
  </si>
  <si>
    <t>am logged in with</t>
  </si>
  <si>
    <t>timusus-Shuttle-67</t>
  </si>
  <si>
    <t>Crash when inverting notifications on SDK &lt; 21</t>
  </si>
  <si>
    <t>OS running Android 21
**Description of bug:**
After choosing invert notifications from the settings, the app will crash when attempting to display the notification.
There is no notification template base inverse and notification template big base inverse so the MusicService crashes when referencing it</t>
  </si>
  <si>
    <t>koral---android-gif-drawable-391</t>
  </si>
  <si>
    <t>JNI DETECTED ERROR IN APPLICATION</t>
  </si>
  <si>
    <t>try to get latest source code from github and run on Samsumg S5 android version 7.1 and get error when scroll to tap **GifTextureView placeholder** with crash log. Please help me check it, thanks!!!
--------- beginning of crash</t>
  </si>
  <si>
    <t>2017-03-09</t>
  </si>
  <si>
    <t>OCSInventory-NG-AndroidAgent-17</t>
  </si>
  <si>
    <t>When permissions is not accorded, app crash when send inventory</t>
  </si>
  <si>
    <t>### General informations
Android version 6,
### OCS Inventory informations
Android agent version 2.3.0
### Problem description
When android permissions is not accorded, app crash when send inventory.
Verified in debug crash report on android studio.</t>
  </si>
  <si>
    <t>vector-im-riot-android-1007</t>
  </si>
  <si>
    <t>Room settings: crash when navigating quickly between tabs</t>
  </si>
  <si>
    <t>1. Open room, then go in room settings
2. Navigate quickly several times between tabs, especially between files and settings
sent bug report.
My device is Samsung S3.</t>
  </si>
  <si>
    <t>Ekalips-ExpandableCardViewList-1</t>
  </si>
  <si>
    <t>Clicking on a card to expand it causes it to crash</t>
  </si>
  <si>
    <t>When tried to expand one of the cards...the app crashed.
Android Studio 2.3
Android 7.1.1, Nexus 6P emulator
&lt;img width 1824 alt screen shot 2017-03-10 at 24 24 pm src https: assets 13317009 23815475</t>
  </si>
  <si>
    <t>2017-03-10</t>
  </si>
  <si>
    <t>arunkumar9t2-lynket-browser-17</t>
  </si>
  <si>
    <t>Improve Draw over other apps permission handling for M+</t>
  </si>
  <si>
    <t>Seeing crash reports thrown when trying to open web heads and it crashes due to missing permission.</t>
  </si>
  <si>
    <t>2017-03-11</t>
  </si>
  <si>
    <t>arunkumar9t2-lynket-browser-16</t>
  </si>
  <si>
    <t xml:space="preserve">/system/lib/libhwui.so Crash. </t>
  </si>
  <si>
    <t>Seeing this crash reported from people trying to use web heads. Based on cursory check its thrown from JNI and can be caused when switching view layer type. This stack overflow answer says to try switching layers by posting runnable to view handler.</t>
  </si>
  <si>
    <t>commons-app-apps-android-commons-429</t>
  </si>
  <si>
    <t>Attempt to invoke virtual method setShareIntent on a null object reference</t>
  </si>
  <si>
    <t>Am able to see quite few crashes with this error (https: groups.google.com msg oHJ8biLgNgU yxj4cu-SBAAJ). Can we pick this up on top priority.
ANDROID VERSION 6.0.1
APP VERSION NAME 2.0
PHONE MODEL Wileyfox Swift</t>
  </si>
  <si>
    <t>2017-03-12</t>
  </si>
  <si>
    <t>czyzby-gdx-lml-53</t>
  </si>
  <si>
    <t>Application crash on VisLml with Turkish locale</t>
  </si>
  <si>
    <t>#### Issue details
Application crashes completely if your Locale.getDefault() is tr
#### Reproduction steps code
#### Version of LibGDX and or relevant dependencies
Due implementation of the parser, the real problematic line might SLIGHTLY vary from the given line number(s), but exception message should be clear enough to find the actual error.
Currently parsed template part:
28 VALID vistable&gt;
29 VALID vistable&gt;
31 ERROR &lt;vistable width 0.50% height 1.00% tablealign right
32 &lt;myvistable id main-coins-cont onclick visible false width 400 height 60 pad 10 tablealign right
33 &lt;visimage size 60 style image-coin
#### Please select the affected platforms</t>
  </si>
  <si>
    <t>2017-03-13</t>
  </si>
  <si>
    <t>nextcloud-android-738</t>
  </si>
  <si>
    <t>ViewGroup.dispatchCollectViewAttributes NPE</t>
  </si>
  <si>
    <t>Running monkey got this crash, it appeared that mChildren null which is supposed never happened. Or is there any posibility cause that?</t>
  </si>
  <si>
    <t>emoncms-AndroidApp-19</t>
  </si>
  <si>
    <t xml:space="preserve">App crashes if no value is entered for currency cost </t>
  </si>
  <si>
    <t>2017-03-14</t>
  </si>
  <si>
    <t>emoncms-AndroidApp-18</t>
  </si>
  <si>
    <t>App crashes when page settings are open and device is rotated</t>
  </si>
  <si>
    <t>cross-border-bridge-data-bus-android-2</t>
  </si>
  <si>
    <t>bugfix: crash in MultiplexDataBus</t>
  </si>
  <si>
    <t>App crashes when sending or receiving the JSONArray data that contains null in MultiplexDataBus.</t>
  </si>
  <si>
    <t>twilio-video-quickstart-android-80</t>
  </si>
  <si>
    <t>Participant disconnect event is fired too late</t>
  </si>
  <si>
    <t>We developed video call app with Twilio. In call, assume has participants B. When device of be crashed or lost network, after minutes and 13 seconds later, Twilio (on device) threw disconnect event. How can make it faster, because our service charge over call duration?</t>
  </si>
  <si>
    <t>KeepSafe-TapTargetView-146</t>
  </si>
  <si>
    <t>java.lang.IllegalArgumentException: Layout: -230 &lt; 0</t>
  </si>
  <si>
    <t>the tap target view is not running inside fragments in devices with api level 23 vr 6.0.1 (OxygenOS version 3.5.6)
showing the above issues
As call the the code crashes
&lt;?xml version 1.0 encoding utf-8 ?&gt;
**Inside fragment **
header (ViewGroup) home header, lvStories, false)
**the view am passing is the header**
public void showTapTour(View view)
search), Tap and make search on go! Surf through thousands of smartphones and know everything from stories, to reviews and videos.
compare), Comparing smartphones now made easy Compare any two smartphones head to head and then decide for yourself with the help of very simplified layout
public void onSequenceFinish()
public void lastTarget)
public void lastTarget)</t>
  </si>
  <si>
    <t>tanrabad-survey-17</t>
  </si>
  <si>
    <t>2017-03-15</t>
  </si>
  <si>
    <t>getodk-collect-651</t>
  </si>
  <si>
    <t>Double clicking on folder in Google Drive listing results in crash</t>
  </si>
  <si>
    <t>#### Software and hardware versions
#### Problem description
Double clicking on folder in Get Blank Form when protocol is Google Sheets, Google Drive results in crash.
#### Steps to reproduce the problem
1. Set protocol to Google Sheets, Google Drive
1. Select Google account that has at least one folder in its GDrive
1. Tap on Get Blank Form
1. Tap My Drive
1. Double tap on folder in the drive
#### Expected behavior
The app should not crash.
#### Other information
think this is happening because listing directory is time-consuming action and shouldn be triggered again before completion. This should be fixable by disabling tapping on items in the list until the operation requested completes.</t>
  </si>
  <si>
    <t>2017-03-16</t>
  </si>
  <si>
    <t>twilio-video-quickstart-android-82</t>
  </si>
  <si>
    <t>AdvancedCameraCapturer crashes on Note 10.1</t>
  </si>
  <si>
    <t>tried to run the on Samsung Note 10.1 with lollipop it stops.
**Here is my log:**</t>
  </si>
  <si>
    <t>evernote-android-job-153</t>
  </si>
  <si>
    <t>Intent is null in JobRescheduleService.java</t>
  </si>
  <si>
    <t>using this library for retry api call
these days checked crashlytics report then found crash issue
so now fork and add null check code
if(intent null) add null check</t>
  </si>
  <si>
    <t>Cloudkibo-Android-543</t>
  </si>
  <si>
    <t>Chat screen is always empty</t>
  </si>
  <si>
    <t>After fresh installation, ChatList goes and remains empty after sometime. This behavior also occures if app crashes for even once. Chatlist will then remain empty. Chat window can be opened from Contacts.
Install latest version from play store
Once the application is opened.
send someone some message
Go back to chat
It is empty
ChatList is still empty
(https: assets 16760128 23976756</t>
  </si>
  <si>
    <t>UNFPAInnovation-GetIn_Mobile-57</t>
  </si>
  <si>
    <t>Android 6.0 crash</t>
  </si>
  <si>
    <t>There is change in at least API 23 that is causing null pointer reference to the database in the</t>
  </si>
  <si>
    <t>2017-03-17</t>
  </si>
  <si>
    <t>react-native-camera-react-native-camera-632</t>
  </si>
  <si>
    <t>help with buddybuild android crash</t>
  </si>
  <si>
    <t>don know exactly how this happens. Can someone help me in spotting where the issue could be?
https: github.com lwansbrough react-native-camera blob master android src main java com lwansbrough RCTCamera
AsyncTask.java Line 309
java .util .concurrent
FutureTask.java Line 354
java .util .concurrent
FutureTask.java Line 223
java .util .concurrent
FutureTask.java Line 242
AsyncTask.java Line 234
java .util .concurrent
java .util .concurrent
Thread.java Line 818
Camera.java Line 1996
com .lwansbrough .RCTCamera
com .lwansbrough .RCTCamera
AsyncTask.java Line 295
java .util .concurrent
FutureTask.java Line 237
AsyncTask.java Line 234</t>
  </si>
  <si>
    <t>ubergeek42-weechat-android-345</t>
  </si>
  <si>
    <t>'desync' relay command should be sent with a buffer name instead of a pointer to avoid crash</t>
  </si>
  <si>
    <t>did filter toggle in channel, and later close in channel that parted. Both of these crashed WeeChat because weechat-android sent an invalid pointer as argument to the desync relay command. According to FlashCode, the buffer name should be sent instead (e.g. ). That way it won crash if the buffer doesn exist.</t>
  </si>
  <si>
    <t>tanrabad-survey-18</t>
  </si>
  <si>
    <t>Freeyourgadget-Gadgetbridge-603</t>
  </si>
  <si>
    <t>GB crash on Mi Band Settings page</t>
  </si>
  <si>
    <t>just installed the new Version 0.18. Thank you for the great work done!
But found two severe issues, that make Gadgetbridge crash reproducably:
1. Going into setting -&gt; Mi Band Settings
2. Selecting either Chat or Social Networks (both have the same issue)
3. clicking on Test cashes the app.
#### Your wearable device is:
My android version is: Android 7.0
My Gadgetbridge version is: 0.18.0</t>
  </si>
  <si>
    <t>2017-03-18</t>
  </si>
  <si>
    <t>BaseballCardTracker-bbct-android-412</t>
  </si>
  <si>
    <t>BaseFragmentActivityJB.java line 48</t>
  </si>
  <si>
    <t>dmallcott-photo-inspiration-16</t>
  </si>
  <si>
    <t>Bitmap too large crash on detail view</t>
  </si>
  <si>
    <t>2017-03-19</t>
  </si>
  <si>
    <t>fossasia-phimpme-android-200</t>
  </si>
  <si>
    <t>App Crash in uploading image</t>
  </si>
  <si>
    <t>The app is crashing in the uploading section in particular workflow.
The app should not crash.
**Steps to reproduce it**
1. Open upload section.
2. Add images to upload.
3. After the images are added in the upload fragment, select one of the images to add filters to it.
4. DO not change anything, and click discard.
5. Click the same image again.
**LogCat for the issue**
screenshot from 2017-03-20 02-33-40 (https: assets 13241256 24084751
**Would you like to work on the issue?**
Yes, would like to work on it.</t>
  </si>
  <si>
    <t>getodk-collect-709</t>
  </si>
  <si>
    <t>Bad submission_url causes crash on submission</t>
  </si>
  <si>
    <t>#### Software and hardware versions
#### Problem description
Form with bad submission url crashes Collect on submission.
#### Steps to reproduce the problem
Create form with bad URL (e.g., https: server.com instead of https: server.com ). Fill out form and submit. To reproduce, try these forms:
If you like to make your own forms, for XLSForm (put submission url header with the value below in the settings sheet). For XForm,
&lt;submission action https: server.com submission method form-data-post
#### Expected behavior
Users should be alerted as soon as possible when the submission URL is bad.
#### Proposed fix
One potential fix is that DiskSyncTask.java should check the submission url and make sure it valid. Validity should match to what we do when saving server preferences (see #175 for more). If URL is valid, great. If it not, then it should alert the user and rename it to form.xml.bad (or just delete it).</t>
  </si>
  <si>
    <t>getodk-collect-705</t>
  </si>
  <si>
    <t>Audio recording widget doesn't work with Sony Audio Recorder app</t>
  </si>
  <si>
    <t>#### Software and hardware versions
Android v6.0.1, Nexus 5, Sony Audio Recorder 2.00.30
#### Problem description
Crash when trying to use Sony Audio Recorder app from audio widget.
#### Steps to reproduce the problem
1. Open form with an audio widget such as Widgets from the test server
1. Launch recording application such as Sony Audio Recorder from the record audio button
1. Record audio
1. Go back to Collect
#### Expected behavior
If the audio type can be handled or some other such problem occurs, Collect should show an appropriate error message rather than crashing.
#### Other information
Caused by: You cannot use this method</t>
  </si>
  <si>
    <t>fossasia-phimpme-android-183</t>
  </si>
  <si>
    <t>Back button is not working properly</t>
  </si>
  <si>
    <t>If we click back button in gallery activity then it shows dialog box but in other activity on pressing back button app closed.
it should not happen.
**Steps to reproduce it**
Add steps to reproduce bugs or add information on the place where the feature should be implemented. Add links to sample deployment or code.
**LogCat for the issue**
Provide logs for the crash here
**Screenshots of the issue**
Where-ever possible attach screenshot of the issue.
**Would you like to work on the issue?**</t>
  </si>
  <si>
    <t>QuadFlask-colorpicker-74</t>
  </si>
  <si>
    <t>"Squash listener exceptions" - wtf?</t>
  </si>
  <si>
    <t>In ColorPickerView method:
catch (Exception e)
Squash individual listener exceptions
Why do you do this? This makes it pain to use your library because you just hide the exceptions. If have an exception want my app to crash so can find the cause.
have found other empty catches in this library but until it catches exceptions in the library only it doesn bother me that much. But this one is funky</t>
  </si>
  <si>
    <t>danimahardhika-candybar-library-36</t>
  </si>
  <si>
    <t>Random crash when checking new wallpapers</t>
  </si>
  <si>
    <t>Error receiving broadcast Intent
flg 0x10 (has extras)</t>
  </si>
  <si>
    <t>2017-03-20</t>
  </si>
  <si>
    <t>fossasia-phimpme-android-217</t>
  </si>
  <si>
    <t>issue with uploading images</t>
  </si>
  <si>
    <t>If an image is added for upload and then it is deleted from gallery, image get deleted from upload section but text remain there.
State here what the feature should enable the user to do.
**Steps to reproduce it**
Add steps to reproduce bugs or add information on the place where the feature should be implemented. Add links to sample deployment or code.
**LogCat for the issue**
Provide logs for the crash here
Where-ever possible attach screenshot of the issue.
**Would you like to work on the issue?**</t>
  </si>
  <si>
    <t>5calls-android-73</t>
  </si>
  <si>
    <t>Occasional crash when returning from rep call page to issue details</t>
  </si>
  <si>
    <t>commons-app-apps-android-commons-443</t>
  </si>
  <si>
    <t>Crash at login (pre-release)</t>
  </si>
  <si>
    <t>Logging in to the pre-release (current master) version crashes on all APIs that ve tried (23 and 25 so far). Trying to figure out what changes we made that broke it.</t>
  </si>
  <si>
    <t>Cloudkibo-Android-555</t>
  </si>
  <si>
    <t>App crashes During the first backup</t>
  </si>
  <si>
    <t>Whenever we try to back up for the first time, after fresh installation, app crashes with following.</t>
  </si>
  <si>
    <t>mauron85-cordova-plugin-background-geolocation-276</t>
  </si>
  <si>
    <t>NullPointerException: onTaskRemoved (LocationService.java:199)</t>
  </si>
  <si>
    <t>Exception reported on google play. No feedback from the user unfortunately. If manage to reproduce it or get more info ll update the issue.
## Your Environment
&lt;!--- Include as many relevant details about the environment you experienced the bug in --&gt;
Plugin version: 2.2.5
OS version: 5.0.2
Device manufacturer and model: Sony C6916
Cordova version cordova -v ): 6.4.0
Cordova platform version cordova platform ls ): 6.0.0
Plugin configuration options:
Link to your project:
## Debug logs
&lt;!-- Relevant parts from printAndroidLogs or printIosLogs.
More info in README.md section Debugging.
If you re reporting app crash also provide output of adb logcat --&gt;</t>
  </si>
  <si>
    <t>2017-03-21</t>
  </si>
  <si>
    <t>cgeo-cgeo-6419</t>
  </si>
  <si>
    <t>App crashs while trying to move a stored cache to another list</t>
  </si>
  <si>
    <t>##### Detailed steps causing the problem:
Select one stored cache
Ask to move to another list
##### Actual behavior after performing these steps:
The app crashes
##### Expected behavior after performing these steps:
The cache should be moved to the other list
##### Version of c:geo used:
##### Is the problem reproducible for you?
##### System information:
Android version: 6.0
Android build: MPB24.65-34-3
Cgeo version: 2017.03.19
Google Play services: enabled 10.2.98 (436-146496160)
Low power mode: inactive
Compass capabilities: yes
Rotation vector sensor: present
Orientation sensor: present
Magnetometer Accelerometer sensor: present
Direction sensor used: rotation vector</t>
  </si>
  <si>
    <t>chat-sdk-chat-sdk-android-48</t>
  </si>
  <si>
    <t>App crashes when adding a user to chat? (Fixed - See solution)</t>
  </si>
  <si>
    <t>Okay never mind, know what was wrong! it looks like the ID of AUDIO PICKER ID was the same as ADD USERS so it was trying to upload file without being told!
So this is should be changed in the SDK to stop it happening again
changed id of line: 78 from 103 to 120</t>
  </si>
  <si>
    <t>2017-03-22</t>
  </si>
  <si>
    <t>google-ExoPlayer-2592</t>
  </si>
  <si>
    <t>Can not catch all ExoPlayer errors leading to app crash</t>
  </si>
  <si>
    <t>described problem here (http: stackoverflow.com questions 42948036
Problem is that application crash on some (not all, some of them can catch) random errors mainly with DRM, but am not able to catch them with set listener. Even after set listener, app still sometime crash, if there is bigger error.
Last crash could observe, was this:
Please help me to catch all errors to avoid app crashing.</t>
  </si>
  <si>
    <t>commons-app-apps-android-commons-457</t>
  </si>
  <si>
    <t>Crash when selecting camera</t>
  </si>
  <si>
    <t>This happens 100% of the time when select the camera in my real device (Samsung Galaxy S7, API 24). Not sure when this crash was introduced, as haven tested the camera function for the past months.</t>
  </si>
  <si>
    <t>google-ExoPlayer-2604</t>
  </si>
  <si>
    <t>Softcrash on invalid ID3 validation</t>
  </si>
  <si>
    <t>### Issue description
ExoPlayer 2.x isn supporting corrupt ID3 tags while the rest of the audio is still playable.
### Reproduction steps
1) In the demo app, add new media source linking to http: STREAM 1490460462&amp;AudSig 68&amp;ri 2000000&amp;ib 13&amp;fs 1544000
2) (attempted) playing the audio
3) ExoPlayer refuses to play content due to crash while validating the ID3v2.4 data
Caused by: Top bit not zero: -388812344
Returned ID3 data (bytes):
73 68 51 105 84 82 67 -12 -84 70 105 108 -97 119 -1 -28 -88 26 -96 56 16 16 115 -106 42 -121 61 42 126 121 105 -111 -107 20 49 13 -115 44 64 -67 -88 106 -102 66 -60 -69 -44 -98 99 -19 -17 -11 127 -93 -4 -1 -47 -24 -3 -73 127 -89 -77 -89 -39 -87 127 -1 -11 -81 -21 -123 -128 120 -20 69 111 18 -54 13 40 -39 79 50 -45 18 -86 79 57 81 90 -82 111 -82 -81 75 -57 -102 21 69 109 98 -22 33 40 -118 44 52 69 53 91 -102 -43 21 26 -106 -84 84 -64 22 31 60 89 63 -4 127 -1 -13 -126 100 57 18 41 71 86 123 61 15 127 10 64 46 52 29 -89 29 39 -33 17 55 63 -5 -39 -31 -67 -76 67 44 -127 67 36 59 -25 -71 118 -117 46 115 -73 -71 26 15 11 122 63 -64 58 19 -126 72 98 43 -45 -124 -95 41 -90 -12 61 -98 -5 -68 56 -8 96 82 42 51 -105 -109 95 -30 -73 -104 -126 112 -5 -89 22 31 20 -3 76 94 -88 42 37 20 124 107 84 -58 -128 125 -38 -66
### Proposed fix
Log.w(TAG, Failed to validate V4 ID3 tag
catch (Exception e) ADDED CATCH CASE
Log.w(TAG, Failed to validate V4 ID3 tag
Audio plays successfully with the proposed fix. ID3 tag is scrambled, attempt to salvage anything wouldn work anyway. Audiobooks is also being notified of their corrupt book, but the problem could happen with others too (outside of audiobooks books).
### Version of ExoPlayer being used
v2.2.0 and v2.3.0
### Device(s) and version(s) of Android being used
Custom device using Android v5.1 (Api 22)
Samsung Galaxy S7 using Android v6.0.1 (Api 23)
Issue is reproducible on any device used</t>
  </si>
  <si>
    <t>2017-03-24</t>
  </si>
  <si>
    <t>chat-sdk-chat-sdk-android-51</t>
  </si>
  <si>
    <t>Sending two image messages quickly causes crash</t>
  </si>
  <si>
    <t>The SuperToast service is crashing the app if two image messages are sent quickly.
The crash happens in text) at the bolded line shown below.
public void text)
if (context.get() instanceof Activity)
if (viewGroup! null &amp;&amp; null &amp;&amp; null)
The stack trace is the following
--------- beginning of crash
Caused by: Cannot add null child view to ViewGroup
The toast should not be launching if it is already displayed, and need to check how this problem is occurring despite us checking if the toast is filled or not.</t>
  </si>
  <si>
    <t>getodk-collect-768</t>
  </si>
  <si>
    <t>Adding second account breaks Google Drive</t>
  </si>
  <si>
    <t>#### Software and hardware versions
Collect v1.4.16, Android 6.0, Moto Pure
#### Problem description
When add second gmail account, the collect break with NPE.
#### Steps to reproduce the problem
Ensure your google account is not connected to ODK yet: Google Account Permissions (https: permissions) (If you have not visited this in while, now is good time to go through it).
In general settings, change the platform to Google Drive, Google Sheets
Select your primary gmail account for the google account.
Go to get blank form section and press My Drive
It will ask you to allow Collect to access your drive.
Add second gmail account to your phone: Add Account (https: support.google.com googleplay answer 2521798?hl en).
Change your google account in the general settings to the new account.
Go to the get blank form section and press My Drive and Collect will crash.
Adding third gmail account strangely make Collect work again.
#### Expected behavior
Collect should allow adding the second account without crashing.
#### Other information
This might not even be issue on the Collect side.</t>
  </si>
  <si>
    <t>cgeo-cgeo-6446</t>
  </si>
  <si>
    <t>NullPointerException (Mapsforge V3)</t>
  </si>
  <si>
    <t>Appearing on Google Play crash reports starting with November 2016 releases.</t>
  </si>
  <si>
    <t>mattmikolay-pocket-ctc-2</t>
  </si>
  <si>
    <t>RejectedExecutionException from translation request</t>
  </si>
  <si>
    <t>Received the following app crash in version 1.0:
The ExecutorService used for translation is shut down in onDestroy() Here what think is occurring:
1. User enters text for translation.
2. User navigates away from TranslateActivity and onDestroy() is called. (This could be due to memory pressure while SettingsActivity is started, or because the user is exiting the app.) Here, mExecutor is shut down.
3. MSG REQUEST TRANSLATION is received by mHandler in the dying TranslateActivity
4. inputText) is called from within this handler and attempts to submit new Runnable to mExecutor
It should be possible to fix this by checking before submitting the new Runnable</t>
  </si>
  <si>
    <t>2017-03-25</t>
  </si>
  <si>
    <t>cgeo-cgeo-6450</t>
  </si>
  <si>
    <t>Crash in settings if SD card was removed</t>
  </si>
  <si>
    <t>##### Detailed steps causing the problem:
Have GeocacheData moved to external SD card
Close and kill c:geo
Remove SD card from device
Log shows Warning (see first sdb log attached)
Try to enter Menu -&gt; Settings (e.g. if you plan to set the storage to internal again)
##### Actual behavior after performing these steps:
##### Expected behavior after performing these steps:
Detect absence of GeocacheData dir and e.g. fallback (to be discussed) to internal dir in that case.
Also without fallback c:geo should not crash when entering settings menu allowing the user to manually adjust the dir setting.
##### Version of c:geo used:
##### Is the problem reproducible for you?
##### System information:
Samsung Galaxy Note 10.1 Edition 2014 (SD removeable without power down)
##### Other comments and remarks:
Log after c:geo startup:
Log when trying to enter settings:</t>
  </si>
  <si>
    <t>ZeeRooo-MaterialFBook-59</t>
  </si>
  <si>
    <t>Crash (stopped working) when tapping E-mail button on Page contact</t>
  </si>
  <si>
    <t>1. In MaterialFB, navigate to any Page.
2. Go to the About section
3. If available, tap the email contact button. App crashes.
Expected result: MFB goes through the proper calls to dispatch an email. Meaning, either the prompt for selecting an email app opens, or the default email app opens up blank email addressed to the correct recipient.</t>
  </si>
  <si>
    <t>inaturalist-iNaturalistAndroid-312</t>
  </si>
  <si>
    <t>app crashing when obs json is too large</t>
  </si>
  <si>
    <t>*think* an observation JSON is too large the app will crash when loading comments and IDs. This was happening when you try to view https: www.inaturalist.org observations 5407184.json in the app (it not now removed lot of the photos). You could definitely argue that this response is absurd with ton of duplicate taxon and photos records, and you would be right, but regardless, the app should not choke on JSON just it too big unless it absurdly big, like 5+ MB or something. Or maybe mis-diagnosing this, but definitely getting crash on my 5X, build 199. do not get that crash with build 203 after having removed the photos. Yes should have tested the most recent version before removing the photos. am bad bug filer.
The user who reported this is the one who owns this observation, and they also say that when they try to view it in the app, the app hangs and posts an older version of their ID (you can see the sequence of replaced IDs on their observation). not entirely sure that related, but maybe.
Anyway, if there is some kind of cap on the size of JSON we can load, can we remove it?</t>
  </si>
  <si>
    <t>alexvasilkov-GestureViews-66</t>
  </si>
  <si>
    <t>Crash on API 19</t>
  </si>
  <si>
    <t>The sample APK is not working on API 19.
add the library (v 2.2.0) to project. have recycler view and view pager. On API 19 is working great. But in API 19, when rotate the device, the app crashes, and have not log. Its very strange. The error occurs when the recyclerview render. If set view.Gone to the visibility of the recyclerview, the apps not crashes.</t>
  </si>
  <si>
    <t>playmusicexporter-playmusicexporter-24</t>
  </si>
  <si>
    <t>Remove debug preference screen from release builds.</t>
  </si>
  <si>
    <t>have got some crash reports that, if interpreted the stack trace correctly, come from the debug settings. am not sure why people click on something like that and bother to send report for that (I ve got at least three), but we should remove that to stop these reports from coming in.</t>
  </si>
  <si>
    <t>2017-03-26</t>
  </si>
  <si>
    <t>google-ExoPlayer-2607</t>
  </si>
  <si>
    <t>HLS/H264 stream crashes in libstagefright on Galaxy Nexus</t>
  </si>
  <si>
    <t>### Issue description
HLS stream crashes on Samsung Galaxy Nexus running Android 4.2.2 with following backtrace
### Reproduction steps
Build demo app with the HLS Media https: github.com alexbirkett ExoPlayer tree hls bug galaxy nexus
Open demo app on Galaxy Nexus running Android 4.2.2
Scroll to the bottom of list of media
Native crash in libstagefright
### Link to test content
See https: github.com alexbirkett ExoPlayer tree hls bug galaxy nexus
### Version of ExoPlayer being used
### Device(s) and version(s) of Android being used
Galaxy Nexus 4.2.2</t>
  </si>
  <si>
    <t>kaczmarkiewiczp-GitCracking-118</t>
  </si>
  <si>
    <t>Switching fragments while loading causes a crash</t>
  </si>
  <si>
    <t>See following link for resolution:</t>
  </si>
  <si>
    <t>2017-03-27</t>
  </si>
  <si>
    <t>kabouzeid-Phonograph-112</t>
  </si>
  <si>
    <t>App shortcut: "Shuffle all" crashes</t>
  </si>
  <si>
    <t>kaczmarkiewiczp-GitCracking-120</t>
  </si>
  <si>
    <t>Occasional crash when loading/reloading</t>
  </si>
  <si>
    <t>Call to adapter needs to be moves into onPostExecute</t>
  </si>
  <si>
    <t>2017-03-28</t>
  </si>
  <si>
    <t>fossasia-phimpme-android-252</t>
  </si>
  <si>
    <t>App getting crashed on double tapping capture button in camera</t>
  </si>
  <si>
    <t>App getting crashed on double tapping capture button in camera
second click should not have any effect.
**LogCat for the issue**
**Would you like to work on the issue?**
Yes, would like to work on the issue.</t>
  </si>
  <si>
    <t>0xbowerbird-Wallser-1</t>
  </si>
  <si>
    <t>mine crashes at load</t>
  </si>
  <si>
    <t>2017-03-29</t>
  </si>
  <si>
    <t>SIU-CS-Finite_Loop-production-65</t>
  </si>
  <si>
    <t xml:space="preserve">App keeps crashing </t>
  </si>
  <si>
    <t>trying to have the map marker load up from firebase but the App keeps crashing while trying to load and no Error! #15
screen shot 2017-03-28 at 40 03 pm (https: assets 15060826 24433572
screen shot 2017-03-28 at 39 16 pm (https: assets 15060826 24433573</t>
  </si>
  <si>
    <t>danimahardhika-wallpaperboard-8</t>
  </si>
  <si>
    <t>Double tap on filter force closes the app</t>
  </si>
  <si>
    <t>Double tap on filter button force closes the app.
Here is log that user send me along with the crash report.</t>
  </si>
  <si>
    <t>2017-03-30</t>
  </si>
  <si>
    <t>evernote-android-job-164</t>
  </si>
  <si>
    <t>crash faced in 1.1.8</t>
  </si>
  <si>
    <t>SkyTubeTeam-SkyTube-94</t>
  </si>
  <si>
    <t>crash - IllegalArgumentException: You cannot start a load for a destroyed activity</t>
  </si>
  <si>
    <t>codinguser-gnucash-android-663</t>
  </si>
  <si>
    <t>App crashes after creating account with BYN currency</t>
  </si>
  <si>
    <t>#### Steps to reproduce the behaviour
1. Create an account with BYN currency.
2. Hit Save.
#### Expected behaviour
3. Account created and account list shown
#### Actual behaviour
3. App crashes
4. Any further attempts to start the app cause crashes
#### Software specifications
GnuCash Android version: 2.1.4
System Android version: 6.0.1
Device type: All</t>
  </si>
  <si>
    <t>google-ExoPlayer-2632</t>
  </si>
  <si>
    <t>Unexpected ID3 file Identifier,  on HLS stream</t>
  </si>
  <si>
    <t>have crash on an HLS stream found and the crash log is on this gist (https: gist.github.com sanandrea
The same stream on the iOS AVPlayer does not have problems. cannot post the link to the stream because credentials are needed to access the CDN of the stream. have captured the chunk thought has the wrong ID3 metadata. have attached the chunk on which the streaming fails (u-6400-a-48-1-1.ts and the extracted aac source.aac)
thanks in advance</t>
  </si>
  <si>
    <t>tanguyantoine-react-native-music-control-55</t>
  </si>
  <si>
    <t>Album Artwork not working on iOS</t>
  </si>
  <si>
    <t>Using local album artwork on iOS is causing the application to crash, because the javascript require() appears to be returning number or something other than string, so when the native module calls hasPrefix on it to check if it begins with http: the application crashes, saying that NSNumber does not have function called hasPrefix. am not quite sure how require() works or if calling it below is correct:</t>
  </si>
  <si>
    <t>jruesga-rview-24</t>
  </si>
  <si>
    <t>setup wizard</t>
  </si>
  <si>
    <t>On initial setup screen, when you get to account (where you choose to be anonymous or authenticated), if you change orientation it skips forward to Well Done and then crashes.</t>
  </si>
  <si>
    <t>2017-03-31</t>
  </si>
  <si>
    <t>grantkang-LandfillE-Forms-21</t>
  </si>
  <si>
    <t>Application crash on numeric input</t>
  </si>
  <si>
    <t>The application will fail to respond and crash when you put numeric input starting with (ex .67) for barometric pressure or methane.
Steps to recreate:
Go to locations
Pick landfill location
For any numeric input, start with the then number.
The application will stop responding.</t>
  </si>
  <si>
    <t>stefan-niedermann-nextcloud-notes-199</t>
  </si>
  <si>
    <t>App crashes when accessing note and go back to list</t>
  </si>
  <si>
    <t>It is very hard to reproduce this issue. Appears with current master and v0.10.0.
1. Open any note from the list view
2. Close this note as quick as possible (using native back-button or top left arrow button does not matter)
3. Repeat Steps until the app crashes (10 15 times at my device)
--------- beginning of crash
Caused by: attempt to re-open an already-closed object: SQLiteDatabase: data user databases OWNCLOUD NOTES</t>
  </si>
  <si>
    <t>lostzen-lost-178</t>
  </si>
  <si>
    <t>IllegalArgumentException on LostApiClient.disconnect()</t>
  </si>
  <si>
    <t>am getting the following crash reports from users of my app:
### Steps to Reproduce
This is crash report logged to the Android developer console. The code at that location looks like this:
So, LOST complains that the service is not registered, even though asked the client before if it is connected.
### Lost Android Version
Nexus 5X (bullhead)
LOST 2.1.2 (can update to 2.2.0 because of #170 yet)</t>
  </si>
  <si>
    <t>2017-04-01</t>
  </si>
  <si>
    <t>fossasia-phimpme-android-294</t>
  </si>
  <si>
    <t>Crash in Edit Images</t>
  </si>
  <si>
    <t>was editing an image. Editing as in was applying filter and cropped the image and saved it. Then clicked on the image and chose to edit again. cropped the image little bit more and saved and the app crashed. It happened many times to me so reporting as bug!
App should not crash. The image edited should be saved!
**Steps to reproduce it**
1. Open app
2. Click on an image and get the big image view
3. Click on the FAB and select Edit button to open edit view
4. Apply filter and crop the image
5. Click save
6. From the gallery, select the saved edited image
7. Get the image to editing view again
8. Crop the image again
9. Click Save
**LogCat for the issue**
**Screenshots of the issue**
**Would you like to work on the issue?**
would like to give it try!</t>
  </si>
  <si>
    <t>2017-04-02</t>
  </si>
  <si>
    <t>ZieIony-Carbon-270</t>
  </si>
  <si>
    <t>AutoCompleteEditText crash</t>
  </si>
  <si>
    <t>2017-04-03</t>
  </si>
  <si>
    <t>google-ExoPlayer-2646</t>
  </si>
  <si>
    <t xml:space="preserve">request offline viewing license for local asset  </t>
  </si>
  <si>
    <t>### Issue description
Fail to process local storage MPD file is not suitable to process local storage file.
is handling only input streaming used for network while local files should use FileInputStream
### Reproduction steps
Download Asset to my local storage.
Request offline viewing license.
See app crash report blow.
### Link to test content
local content simple DASH
### Version of ExoPlayer being used
Specify the absolute version number. Avoid using terms such as latest
### Device(s) and version(s) of Android being used
Using LG G3 android M.
### full bug report captured from the device
Caused by: cannot be cast to
public static DashManifest dataSource, String manifestUriString)
String local file sufix file:
if file sufix)
String file to Open file sufix,
Uri uri Uri.parse(file to Open)</t>
  </si>
  <si>
    <t>2017-04-04</t>
  </si>
  <si>
    <t>jMonkeyEngine-sdk-121</t>
  </si>
  <si>
    <t>Nifty-Editor crashes in 3.1 SDK</t>
  </si>
  <si>
    <t>happy editing my XML files as text, but thought ought to try out the Nifty-Editor plug-in. With an XML file open in the IDE, click on the Visual button and immediately got an got similar result with several other Nifty XML files.
Running on jMonkeyEngine 3.1-stable
Git Hash: af04bf9
Build Date: 2017-02-19
LWJGL 2.9.3 context running on thread jME3 Main
Driver Version: 21.21.13.7633
OpenGL Renderer Information
Vendor: NVIDIA Corporation
Renderer: GeForce GT 545 PCIe SSE2
OpenGL Version: 4.5.0 NVIDIA 376.33
GLSL Version: 4.50 NVIDIA
Audio Renderer Information
Device: OpenAL Soft
Vendor: OpenAL Community
Renderer: OpenAL Soft
Version: 1.1 ALSOFT 1.15.1
Supported channels: 64
ALC extensions: ALC ENUMERATE ALL EXT ALC ENUMERATION EXT ALC EXT CAPTURE ALC EXT DEDICATED ALC EXT disconnect ALC EXT EFX ALC EXT thread local context ALC SOFT loopback
AL extensions: AL EXT ALAW AL EXT DOUBLE AL EXT EXPONENT DISTANCE AL EXT FLOAT32 AL EXT IMA4 AL EXT LINEAR DISTANCE AL EXT MCFORMATS AL EXT MULAW AL EXT MULAW MCFORMATS AL EXT OFFSET AL EXT source distance model AL LOKI quadriphonic AL SOFT buffer samples AL SOFT buffer sub data AL SOFTX deferred updates AL SOFT direct channels AL SOFT loop points AL SOFT source latency
Pausing audio device not supported.</t>
  </si>
  <si>
    <t>2017-04-05</t>
  </si>
  <si>
    <t>nextcloud-android-809</t>
  </si>
  <si>
    <t xml:space="preserve">Preview Image is crashing </t>
  </si>
  <si>
    <t>### Actual behaviour
-The app is crashing in the Preview Image Fragment with any image prior to Android API 23
### Expected behaviour
-The app should show the preview image
### Steps to reproduce
1. Open the app
3. Choose an image
### Environment data
Android version:5.0 and 4.4.2
Device model: Samsung Galaxy Tab SM-T530 and Moto Gen,
Stock or customized system:
Nextcloud app version: master
Nextcloud server version: 11</t>
  </si>
  <si>
    <t>2017-04-06</t>
  </si>
  <si>
    <t>niclabs-adkintunmobile-androidclient-165</t>
  </si>
  <si>
    <t>ActiveConnectionMapBottomSheetDialogFragment.java line 262</t>
  </si>
  <si>
    <t>OpenLauncherTeam-openlauncher-54</t>
  </si>
  <si>
    <t>alpha4 crashes when clickin on "all apps"</t>
  </si>
  <si>
    <t>Using the current alpha on my Fairphone2 with Andoid6 (M) experience crash of openlauncher when press the dots button to show all apps. The same crash occurs when use the button via the sidebar. Is there any way to get helpful logs for you? This phone is not rooted so alogcat will probably not help?!</t>
  </si>
  <si>
    <t>codinguser-gnucash-android-664</t>
  </si>
  <si>
    <t>Device rotation causes crash</t>
  </si>
  <si>
    <t>#### Steps to reproduce the behaviour
1. Open any accounts transactions view
2. Rotate the device
#### Expected behaviour
3. The list of accounts should be rotated
#### Actual behaviour
3. The app crashes
#### Software specifications
GnuCash Android version: 6.0.1
System Android version: 2.1.5
Device type: Nexus</t>
  </si>
  <si>
    <t>zhanhui913-Budget-171</t>
  </si>
  <si>
    <t>Reset data in setting causes crash</t>
  </si>
  <si>
    <t>2017-04-07</t>
  </si>
  <si>
    <t>5calls-android-81</t>
  </si>
  <si>
    <t>UnsupportedOperationException (@MainActivity$IssuesAdapter:addInactiveIssues:440) {main}</t>
  </si>
  <si>
    <t>crash in 1.7.1.</t>
  </si>
  <si>
    <t>inovait-neatle-2</t>
  </si>
  <si>
    <t>Neatle crashes when trying to connect to device</t>
  </si>
  <si>
    <t>Every once in while, an exception is thrown when trying to connect to device.</t>
  </si>
  <si>
    <t>tanrabad-survey-19</t>
  </si>
  <si>
    <t>google-ExoPlayer-2663</t>
  </si>
  <si>
    <t>ID3 metadata COMM frame with size&lt;4 decoding error</t>
  </si>
  <si>
    <t>### Issue description
found some *.mp3 tracks where ID3 metadata contains COMM frame with frameSize 1. In that case Id3Decoder throws on parsing such frame.
As understand it not illegal to set such data into COMM so player can just skip such frame as it frameSize is only byte. Other players have no problems with playing such files.
### Reproduction steps
Just play track with such metadata
### Link to test content
### Version of ExoPlayer being used
### Device(s) and version(s) of Android being used
Any device. ve tested on Emulator 6.0 and on Google Pixel 7.1.2
### full bug report captured from the device
### Exo code problem and possible fix
This bug occurs because according to ID3 specification COMM frame should contains encoding byte and then language iso (3 bytes). So ID3Decoder (in method decodeCommentFrame gets byte for encoding, then gets bytes for language iso even if frameSize is less than bytes. Then it is creating byte-array with size frameSize-4. Then it crashes obviously.
My possible fix is to modify COMM frame decoding condition into
else if (frameId0 &amp;&amp; frameId1 &amp;&amp; frameId2
&amp;&amp; (frameId3 majorVersion 2))
else if (frameId0 &amp;&amp; frameId1 &amp;&amp; frameId2
&amp;&amp; (frameId3 majorVersion 2) &amp;&amp; frameSize 4)
but maybe it better to modify CommentFrame to contains some default language and empty content for example. don know...
maybe it makes sense to check every frame on it minimum frameSize to prevent such crashes in other frames decoding code</t>
  </si>
  <si>
    <t>2017-04-09</t>
  </si>
  <si>
    <t>konradrenner-kolabnotes-android-160</t>
  </si>
  <si>
    <t>Permanent crash after adding image to KolabNotes</t>
  </si>
  <si>
    <t>KolabNotes crashed here when trying to add photo to KolabNotes using the Share functionality of the photo app.
Since then KolabNotes can be started anymore and crashes immediately on startup without even showing the UI.
**App Version:** 2.6.0
Do you need any further data to debug this issue?</t>
  </si>
  <si>
    <t>cgeo-cgeo-6481</t>
  </si>
  <si>
    <t>c:geo not working due to missing SD [HTC One V]</t>
  </si>
  <si>
    <t>##### Detailed steps causing the problem:
had the chance to test with an older Android 4.0.3 device (HTC One V).
Storage internal is on mmt emmc
External SD is on mmt sdcard
##### Actual behavior after performing these steps:
had severe problems to get c:geo running at all when tried to do the first start without inserted SD card.
Here is the log:
Thereafter c:geo returns several errors and crashes when trying to perform memory operations.
It seems as if the device reports mnt sdcard as the default *internal* storage (although there is not even an SD inserted) and never uses mnt emmc This is also the reason for the above message that mnt sdcard cgeo can not be created.
currently have no idea whether this is configuration issue on the device or bug in that device.
After inserting SD c:geo is working normal.
can see mnt sdcard being the only option in geocache data dir selection.
##### Expected behavior after performing these steps:
There is already directory structure mnt emmc Android data ... on this storage filled by other apps. So it seems usable somehow...
##### Version of c:geo used:
##### Is the problem reproducible for you?
##### System information:
--- System information ---
Android version: 4.0.3
Android build: htc primou-userdebug 4.0.3 IML74K test-keys</t>
  </si>
  <si>
    <t>ankidroid-Anki-Android-4617</t>
  </si>
  <si>
    <t>Instant-Add API crashes AnkiDroid when AnkiDroid is not running in the background on Android N.</t>
  </si>
  <si>
    <t>have searched for similar existing issues here and on the user forum
###### Reproduction Steps
1. On Android (I use the official AVD rom from google on windows), install the lasted version of AnkiDroid and the API sample app for testing Instant API.
2. Go to settings and stop Ankidroid process to make sure it not running on the background.
3. Open API sample app, allow requested permission, select an item and share it with the menu item Ankidroid Instant-Add
###### Expected Result
Card added to Ankidroid.
###### Actual Result
API sample crashes (because the api returned null ).
###### Debug info
debuged this on Android Studio and this was the log when crash happened.
###### from api sample app:
###### from AnkiDroid:</t>
  </si>
  <si>
    <t>tanrabad-survey-20</t>
  </si>
  <si>
    <t>2017-04-10</t>
  </si>
  <si>
    <t>getodk-collect-869</t>
  </si>
  <si>
    <t>App crashes when listing blank forms from Google Drive without API auth</t>
  </si>
  <si>
    <t>#### Software and hardware versions
Current master branch
#### Problem description
App crashes when try to open my google drive
#### Steps to reproduce the problem
1. In General Settings set platform to Google Drive, Google Sheets
2. Click on Get Blank Form from Main menu
#### Other information
Caused by: Can create handler inside thread that has not called Looper.prepare()</t>
  </si>
  <si>
    <t>2017-04-11</t>
  </si>
  <si>
    <t>DroidsOnRoids-Workcation-3</t>
  </si>
  <si>
    <t>Sample is very different than the gif in the repo</t>
  </si>
  <si>
    <t>It looks like this:
Plus, when pressing the bottom tab, it crashes:</t>
  </si>
  <si>
    <t>nextcloud-android-820</t>
  </si>
  <si>
    <t>Crash on login</t>
  </si>
  <si>
    <t>### Actual behaviour
Upon logging in after enabling TOTP, the app crashes. Switching off TOTP hasn resolved the problem, and ve cleared data cache for the app as well.
### Expected behaviour
should be able to login and use my Nextcloud account as had been.
### Steps to reproduce
1. Enable TOTP
2. Create Device Login
3. Press the login button to see crach dialog, or to see the app just close.
### Environment data
Android version: 7.1
Device model: xt1045
Stock or customized system: customized
Nextcloud app version: 1.4.2
Nextcloud server version:11.0.2
relevant part of logcat:
### potential clues:
pygi on IRC: https: code.google.com android issues detail?id 210992</t>
  </si>
  <si>
    <t>zhanhui913-Budget-172</t>
  </si>
  <si>
    <t>Edit location bug</t>
  </si>
  <si>
    <t>Click on an existing location, change name to new name. click save crash</t>
  </si>
  <si>
    <t>SCCapstone-Gamecock-Study-45</t>
  </si>
  <si>
    <t>App crashes when I click to join certain events</t>
  </si>
  <si>
    <t>don know why that event makes it crash but not the other event.</t>
  </si>
  <si>
    <t>ViHtarb-Tooltip-26</t>
  </si>
  <si>
    <t>Exception android.view.WindowManager$BadTokenException: Unable to add window -- token null is not valid; is your activity running?</t>
  </si>
  <si>
    <t>ve gotten bunch of crash reports for this error since released new version of an app last week which included Tooltip for the first time.
After some quick googling found another tooltip library that had very similar error in June 2016. It was fixed by checking the root view, https: github.com douglasjunior commit
Thanks for great lib otherwise!</t>
  </si>
  <si>
    <t>2017-04-12</t>
  </si>
  <si>
    <t>7LPdWcaW-GrowTracker-Android-40</t>
  </si>
  <si>
    <t>schedjoules-android-event-discovery-sdk-195</t>
  </si>
  <si>
    <t>Duration may be absent</t>
  </si>
  <si>
    <t>The API might return events without Duration The SDK should handle these cases gracefully like an unknown duration instead of just crashing. The expected behavior is to omit the end time in case of an unknown duration.
Depends on schedjoules java-api-client#28</t>
  </si>
  <si>
    <t>Automattic-Automattic-Tracks-Android-28</t>
  </si>
  <si>
    <t xml:space="preserve">Fix null event names and event properties </t>
  </si>
  <si>
    <t>This PR fix an issue where passing an empty user to the library generates bad crash.
ve also added other checks over the properties passed to the event, so the library should not crash if an invalid input is given.
Also modernized gradle, and SDK.
Version number is also bumped, so we can release new version of the library when this is merged to develop.</t>
  </si>
  <si>
    <t>2017-04-13</t>
  </si>
  <si>
    <t>Iojjj-RoundedCornersBackgroundSpan-3</t>
  </si>
  <si>
    <t>Sample is crashing on Android 4.X</t>
  </si>
  <si>
    <t>evernote-android-job-176</t>
  </si>
  <si>
    <t>SQLiteConstraintException: UNIQUE constraint failed: jobs._id</t>
  </si>
  <si>
    <t>Not sure if this is just an concurrency issue of the users db got corruped.
There following crash was observed by fabric on an Samsung 5.0 and 6.0 when executing:
new WIDGET UPDATER)
Error Code 1555 (SQLITE CONSTRAINT PRIMARYKEY)
Caused By Abort due to constraint violation.
(UNIQUE constraint failed: jobs. id (code 1555))
Error Code 1555 (SQLITE CONSTRAINT PRIMARYKEY)
Caused By Abort due to constraint violation.
(UNIQUE constraint failed: jobs. id (code 1555))</t>
  </si>
  <si>
    <t>amahi-android-198</t>
  </si>
  <si>
    <t>lots of crashes being reported by users playing music</t>
  </si>
  <si>
    <t>re getting lots of crashes in ServerFile.getMime calls. To reproduce, click on music file to play! Play starts, but it crashes quickly and system asks the user to report crash report. Music continues playing, however.
This appears to occur only on local share files. It appears to work from the Welcome to Amahi demo cloud server.
we re getting lots of crash reports that look like this. Any idea what could be causing this? and what should be reliable fix?</t>
  </si>
  <si>
    <t>ozelevrim-EvrimNews-11</t>
  </si>
  <si>
    <t>Menu Buttons (About etc.) not working</t>
  </si>
  <si>
    <t>Menu Buttons are not working. When clicked, the app crashes.</t>
  </si>
  <si>
    <t>2017-04-14</t>
  </si>
  <si>
    <t>erickok-transdroid-367</t>
  </si>
  <si>
    <t>Transdroid crashing when trying to remove RSS feed</t>
  </si>
  <si>
    <t>Hello! not sure how recent this issue is because this is the first time ve toyed with my RSS feeds since migrating to my Pixel. Trying to delete old what.cd feeds from my feed list and every time hit to remove the app crashes. It will also sometimes crash when losing focus, but don know the exact conditions for that.
Running Transdroid 2.5.8
Running Android 7.1.2
on Google Pixel</t>
  </si>
  <si>
    <t>schotten-totten-company-schotten-totten-45</t>
  </si>
  <si>
    <t>[solo] end of the game crashes</t>
  </si>
  <si>
    <t>in solo mode, end of the game shall not call endOfTheTurn()
do it only with online mode</t>
  </si>
  <si>
    <t>timusus-Shuttle-91</t>
  </si>
  <si>
    <t>Crash when creating new playlist with apostrophe in the title</t>
  </si>
  <si>
    <t>Nexus 6P, others
**Description of bug:**
The app crashes when entering an apostrophe character in the title when creating new playlist.
**Steps to reproduce:**
1. Create new playlist
2. Enter apostrophe in title
3. Observe crash</t>
  </si>
  <si>
    <t>username115-FRCScouting-182</t>
  </si>
  <si>
    <t>App crashes in Data Lookup</t>
  </si>
  <si>
    <t>By clicking on team number, and pressing the back button, and repeating this action, eventually the app will crash. Usually happens in 3-10 attempts, and occurs regardless of time spent in the app.</t>
  </si>
  <si>
    <t>codinguser-gnucash-android-672</t>
  </si>
  <si>
    <t>Crash when exporting directly to Google Drive with multi-currency</t>
  </si>
  <si>
    <t>#### Steps to reproduce the behaviour
USER REPORT am seeing consistent crashing during export to Google Drive. tried my first export in about months. It was the first time since different currencies exported to different files (in case this is related). was trying to export to Google Drive (using Share... and selecting Google Drive). Oddly, it isn GnuCash crashing, it is the Google Drive app crashing. But it crashes immediately after select folder, and the files are not uploaded. have never seen Google Drive crash under any other circumstances.
tried about times, and it failed consistently each time. tried the same thing on my wife phone and got the exact same crashing results. (Her phone is more standard Android setup than mine.) But exporting to SD card and then doing Google Drive upload from the file manager worked without issue.
So there is an easy enough workaround for now.
#### Expected behaviour
Exporting multi-currency transactions to Google Drive should not cause app crash
#### Actual behaviour
App crashes when multi-currency transactions are exported to Google Drive
#### Software specifications
GnuCash Android version:
System Android version:</t>
  </si>
  <si>
    <t>2017-04-15</t>
  </si>
  <si>
    <t>username115-FRCScouting-183</t>
  </si>
  <si>
    <t>App crashes when no match data available for team in data lookup</t>
  </si>
  <si>
    <t>commons-app-apps-android-commons-506</t>
  </si>
  <si>
    <t>Beta version crashes: Unrecognized license value</t>
  </si>
  <si>
    <t>After upgrading to the beta version, the Settings screen immediately crashes for me.
1. Delete the app local storage.
2. Uninstall the app.
3. Install the normal (non-beta) app and launch it. (EDIT: or build and install v.2.1.)
4. Enroll to the beta testing. (EDIT: or build and install v.2.2.)
5. Install it and open Settings.
ANDROID VERSION 6.0.1
APP VERSION NAME 2.2
PHONE MODEL Nexus
Caused by: Unrecognized license value</t>
  </si>
  <si>
    <t>midhunhk-trip-o-meter-16</t>
  </si>
  <si>
    <t>App crashes on selecting some contacts</t>
  </si>
  <si>
    <t>The app crashes when adding some contacts with the below stack trace</t>
  </si>
  <si>
    <t>pchmn-MaterialChipsInput-1</t>
  </si>
  <si>
    <t>ClassCastException</t>
  </si>
  <si>
    <t>When using DialogFragment see this crash when the layout is inflated.
If get time, might submit fix and pull request, but have noted it here until then.</t>
  </si>
  <si>
    <t>2017-04-16</t>
  </si>
  <si>
    <t>commons-app-apps-android-commons-510</t>
  </si>
  <si>
    <t xml:space="preserve">Limit number of uploads displayed in main activity </t>
  </si>
  <si>
    <t>Someone suggested that we limit the number of uploads that we show in the main screen, to help with the OutOfMemoryError encountered by those running slower phones. think he has point, and there are quite few others who are encountering the same issue.
IMO we should set the default to something like the last 10 uploads, and maybe have an option in Settings for the user to select to view more if they want to.
USER COMMENT updated to the latest version of the beta app, but it is still crashing when access my uploads. already cleared my RAM, but it seems that workaround doesn work. suggest that you don make that uploads page the default screen and limit the number of uploads seen to 5, to avoid crashes due to memory.
ANDROID VERSION 4.3
APP VERSION NAME 2.2
PHONE MODEL GT-I9300</t>
  </si>
  <si>
    <t>cientopolis-samplers-38</t>
  </si>
  <si>
    <t>Error on PhotoStepFragment when rotating the phone</t>
  </si>
  <si>
    <t>If you rotate the phone while taking the photo, the camera stops and application crashes if you hit the take photo button
If you rotate the phone after taking the photo and while in the preview, it goes to take the photo again</t>
  </si>
  <si>
    <t>inaturalist-iNaturalistAndroid-329</t>
  </si>
  <si>
    <t>missions crash cleanup</t>
  </si>
  <si>
    <t>Seems like there are several crashes related to Missions:
--------- beginning of crash</t>
  </si>
  <si>
    <t>2017-04-18</t>
  </si>
  <si>
    <t>zom-Zom-Android-XMPP-218</t>
  </si>
  <si>
    <t>App crashs when selecting camera within a chat</t>
  </si>
  <si>
    <t>When tap on the camera to take picture to send, it crashes. This is only happening on some models. It worked fine for Jodie.
Carrie Samsung Galaxy running Android 7.0 and Lala Nexus5x</t>
  </si>
  <si>
    <t>2017-04-19</t>
  </si>
  <si>
    <t>zom-Zom-Android-XMPP-215</t>
  </si>
  <si>
    <t>App crashed when trying to send voice message</t>
  </si>
  <si>
    <t>Jodie phone crashed when she tried to send voice message. After crashing, once she restarted, message she sent before the voice message showed up under the voice message in the chat flow with x-check.
n8fr8 This issue is double-loaded. First, the crash when trying to send voice message. Second, the occurrence of the x-check. noted the second in the x-check issue #176</t>
  </si>
  <si>
    <t>nextcloud-android-850</t>
  </si>
  <si>
    <t xml:space="preserve">Crash when rotate </t>
  </si>
  <si>
    <t>### Actual behaviour
If the user rotate the SmartPhone when the info is loading the app crashes
It happens in Activities, Favorites, Photos, Shared
### Steps to reproduce
1. Open the App
2. Open Photos
3. Rotate SmartPhone when the info is loading
### Environment data
Android version: 7.1.2
Device model: Nexus 5X
Stock or customized system:
Nextcloud app version: Master
Nextcloud server version: 11
Caused by: Trying to execute remote operation with NULL Context
ezgif com-video-to-gif (https: assets 25756086 25194599</t>
  </si>
  <si>
    <t>nextcloud-android-843</t>
  </si>
  <si>
    <t>Preview Image OutOfMemoryError</t>
  </si>
  <si>
    <t>### Actual behaviour
After open many times the App is crashing
### Steps to reproduce
1. Open the App
2. Select Image
3. Open Image Detail
4. Open Participate Section
5. Open All Files
6. Repeat step three or four times
### Environment data
Android version: 7.1.2
Device model: Nexus 5X
Stock or customized system:
Nextcloud app version: Master
Nextcloud server version: 11
ezgif com-video-to-gif (https: assets 25756086 25157809</t>
  </si>
  <si>
    <t>nextcloud-android-858</t>
  </si>
  <si>
    <t>prevent NPE if trying to store grid preference for favorites/shared</t>
  </si>
  <si>
    <t>If in favorites shared and switch to grid it crashes as it tries to store preference for this mFile.
Instead now do nothing.
To think of, if we want to store the preference for these searches...?</t>
  </si>
  <si>
    <t>2017-04-20</t>
  </si>
  <si>
    <t>tanguyantoine-react-native-music-control-62</t>
  </si>
  <si>
    <t>App crashing when killed from tabs</t>
  </si>
  <si>
    <t>When an app is killed from the from the background tabs, get this issue.</t>
  </si>
  <si>
    <t>nextcloud-android-852</t>
  </si>
  <si>
    <t>prevent crash when fetching search event while rotating</t>
  </si>
  <si>
    <t>zom-Zom-Android-XMPP-221</t>
  </si>
  <si>
    <t>Photo not sent when contact’s app crashed</t>
  </si>
  <si>
    <t>TL tried to send Lala photo just as Lhadon app crashed and it didn go through. TL saw it stuck at 63% the entire time.</t>
  </si>
  <si>
    <t>zom-Zom-Android-XMPP-220</t>
  </si>
  <si>
    <t>Messages sent before session is established are not going through</t>
  </si>
  <si>
    <t>Lala sent short messages that TL didn get
TL sent one short message which Lala got and only after that did TL start receiving Lala messages
No problems after that except that when Lala tried to take picture directly from the chat the App crashed</t>
  </si>
  <si>
    <t>openid-OpenYOLO-Android-27</t>
  </si>
  <si>
    <t>Test app: do not allow save credential until all mandatory fields populated</t>
  </si>
  <si>
    <t>You can press the save credential button in the test app when mandatory fields are not set:
This results in crash, due to the RequireViolation thrown from the Credential builder. Either catch and handle this gracefully, or disable the button when mandatory fields do not have values.</t>
  </si>
  <si>
    <t>2017-04-21</t>
  </si>
  <si>
    <t>nextcloud-android-874</t>
  </si>
  <si>
    <t>Contacts backup improvements/bugfixes</t>
  </si>
  <si>
    <t>This PR will fix the following things once completely ready:
refactor contacts backup into two separate fragments
fix inability to scroll in the backup fragment
fix fragment changes
fix rotation by remembering the state
fix contacts selection (currently broken)
fix several bugs that cause the application to crash
various other issues</t>
  </si>
  <si>
    <t>7LPdWcaW-GrowTracker-Android-41</t>
  </si>
  <si>
    <t>vector-im-riot-android-1148</t>
  </si>
  <si>
    <t>Cannot login when the device language is set to turkish</t>
  </si>
  <si>
    <t>am able to login using riot web and tensor. But Riot Android gives this error: invalid username password have installed the application from F-droid. am sure that the username password is correct.
Similarly, cannot login with Matrix Console application either. It crashes after pressing login button.</t>
  </si>
  <si>
    <t>Freeyourgadget-Gadgetbridge-662</t>
  </si>
  <si>
    <t>Crash when synchronizing in "Your Activity" screen</t>
  </si>
  <si>
    <t>already encountered three or four times crash of the application when going to the Your Activity screen and tapping the Synchronize button while in Steps week tab (not sure if it was always this tab).
couldn find way to reproduce the bug deterministically yet.
Wearable device: MI Band (FW 1.0.1.39, HW V0.1.3.2)
Gadgetbridge version: 0.18.5
Android version: CyanogenMod 14.1 (Android 7.1.1)
Here is the stack trace of the crash:
--------- beginning of crash
can provide full logcat if more context is needed.</t>
  </si>
  <si>
    <t>Openu20950-OpenApp-83</t>
  </si>
  <si>
    <t>Click on filter button as guest</t>
  </si>
  <si>
    <t>When clicking on the filter button in PlacesAround activity as guest, the app crashes.
noambs Please take look at Product Backlog under Sprint Fixes column.</t>
  </si>
  <si>
    <t>Openu20950-OpenApp-82</t>
  </si>
  <si>
    <t>Adding a new place as guest</t>
  </si>
  <si>
    <t>When adding new place with name only as guest the app crash.</t>
  </si>
  <si>
    <t>regulaforensics-RegulaDocumentReader-Android-2</t>
  </si>
  <si>
    <t>Crashing onActivityResult</t>
  </si>
  <si>
    <t>Application is crashing onActivityResult when we use camera to read i.d.
onActivityResult data is null. So, it throws null pointer exception.</t>
  </si>
  <si>
    <t>nextcloud-android-868</t>
  </si>
  <si>
    <t>Contacts backup "choose date" button crash</t>
  </si>
  <si>
    <t>kontalk-androidclient-996</t>
  </si>
  <si>
    <t>Null threadUri causing crash</t>
  </si>
  <si>
    <t>2017-04-22</t>
  </si>
  <si>
    <t>kaczmarkiewiczp-GitCracking-285</t>
  </si>
  <si>
    <t>Crash if commit author is null</t>
  </si>
  <si>
    <t>There crash when commit author is not github user.
In that case commit author has to be used, and placeholder user icon used.
The error occurs in CommitsAdapter, line 50</t>
  </si>
  <si>
    <t>2017-04-23</t>
  </si>
  <si>
    <t>jonasrottmann-realm-browser-14</t>
  </si>
  <si>
    <t>it crashed if the realm object contains byte[]</t>
  </si>
  <si>
    <t>First of all, thanks for your effort for such an wonderful tool
just like the title described: it crashed if the realm object contains byte when you click the record</t>
  </si>
  <si>
    <t>zhihu-Matisse-14</t>
  </si>
  <si>
    <t>Fix capture crash</t>
  </si>
  <si>
    <t>And also some code optimizations.</t>
  </si>
  <si>
    <t>twilio-video-quickstart-android-102</t>
  </si>
  <si>
    <t>Crash on Call initialize</t>
  </si>
  <si>
    <t>devganiyahitesh1 filed the following issue
It is working fine if run application for particular architecture.But crash when release app in play store.
last system error:
Error during GetMethodID: (Landroid content Context J)V
--------- beginning of crash</t>
  </si>
  <si>
    <t>2017-04-24</t>
  </si>
  <si>
    <t>nextcloud-android-883</t>
  </si>
  <si>
    <t>ManageAccounts Activity Crash</t>
  </si>
  <si>
    <t>### Actual behaviour
-The app crash after open ManageAccounts Activity
### Steps to reproduce
1. Open the app
2. Open ManageAccounts Activity
### Environment data
Device model: Nexus 5x
Nextcloud app version: Master
Nextcloud server version: 12
#### Web server error log</t>
  </si>
  <si>
    <t>fossasia-phimpme-android-391</t>
  </si>
  <si>
    <t>App is crashing in camera activity</t>
  </si>
  <si>
    <t>App is crashing
App should not crash
**Steps to reproduce it**
1.Go to camera activity.
2. click on switch button so that front camera open.
3.click on exposure button.
4.click on seekbar.
**LogCat for the issue**
**Screenshots of the issue**
**Would you like to work on the issue?**</t>
  </si>
  <si>
    <t>twilio-voice-quickstart-android-31</t>
  </si>
  <si>
    <t>It is working fine if run application for particular architecture.But crash when release app in play store.
last system error:
Error during GetMethodID: &lt;init&gt;, (Landroid content Context J)V
--------- beginning of crash</t>
  </si>
  <si>
    <t>nextcloud-android-890</t>
  </si>
  <si>
    <t>Activities and Notification Crash</t>
  </si>
  <si>
    <t>### Actual behaviour
The App crashes in Activities and Notification Section when the user rotates the app when is loading
### Steps to reproduce
2.Open Activities or Notifications
3.Swipe to refresh
4.Rotate the App when is loading
### Environment data
Device model: Nexus 5X
Stock or customized system:
Nextcloud app version:Master
Nextcloud server version:12</t>
  </si>
  <si>
    <t>2017-04-25</t>
  </si>
  <si>
    <t>twilio-video-quickstart-android-105</t>
  </si>
  <si>
    <t xml:space="preserve">VideoView crashes when rendering frames before initialized </t>
  </si>
  <si>
    <t>customer reported crash when attempting to add VideoView as VideoTrack renderer before the VideoView has been added to the view hierarchy.
Fatal error in .. .. webrtc sdk android src jni peerconnection jni.cc, line 835
last system error:
Ensure that VideoView is added to view hierarchy before adding as VideoTrack renderer.</t>
  </si>
  <si>
    <t>appium-appium-uiautomator2-server-55</t>
  </si>
  <si>
    <t>Returning boolean value in get element atrribute</t>
  </si>
  <si>
    <t>have question regarding this:
ve seen some problems with UIAUTOMATOR2 returning bool instead of string (it was causing python webdriver bindings to crash).
According to spec bool attributes should be return as strings as well:
13.2 Get Element Attribute
**If name is boolean attribute**
true (**string**) if the element has the attribute, otherwise null.
The result of getting an attribute by name name.
Should this be fixed?</t>
  </si>
  <si>
    <t>evernote-android-job-184</t>
  </si>
  <si>
    <t>JobStorage.getDatabase StackOverflowError</t>
  </si>
  <si>
    <t>literally, one user is having these weird fatal exceptions. 79 crashes in past days.</t>
  </si>
  <si>
    <t>cmsc436-sheets436-19</t>
  </si>
  <si>
    <t>The revamped sample app seems to crash</t>
  </si>
  <si>
    <t>FATAL EXCEPTION: main
Caused by: the name must not be empty: null</t>
  </si>
  <si>
    <t>tanrabad-survey-21</t>
  </si>
  <si>
    <t>2017-04-26</t>
  </si>
  <si>
    <t>projectwife-mtesitoo-android-92</t>
  </si>
  <si>
    <t>NullPointerException when trying to add a product with no image</t>
  </si>
  <si>
    <t>Running on the emulator, pt-bugfixes branch.
click Add to add new product.
fill in all the fields with arbitrary values. But don add new image.
expect the product to be added with no images.
But instead crash is reported but then Tesitoo keeps running.
The product appears to be added, however.
If instead, add an image (either from the camera or from the gallery), then the product is added as expected, with no crash.</t>
  </si>
  <si>
    <t>cgeo-cgeo-6525</t>
  </si>
  <si>
    <t>App crashes with loss of database</t>
  </si>
  <si>
    <t>On support mail we have user, who claims that c:geo constantly crashes when accessing the live map or the list of saved caches. After the crash the DB is empty.
Version used: 2017.03.29
The user send me his DB and can reproduce it by opening the list PQs (using 2017.04.25-NB)
This is the log of the crash:
It seems the DB is corrupted. The user tells, that this often happens to him after importing saving caches.
So it might be worth taking look what exactly is broken here, why this might have happend and if we can either avoid the corrupt data or handle it better than crashing and reseting.
will send link to the DB file via cgeo-dev mailing list.</t>
  </si>
  <si>
    <t>pchmn-MaterialChipsInput-7</t>
  </si>
  <si>
    <t>Sample app crashes when Contact List Example clicked on Xperia X Performance</t>
  </si>
  <si>
    <t>How to reproduce on Xperia Performance:
1. Install the latest repo code.
2. Click Contact List Example
3. App crashes with the error below.
Could React Java be causing problem here? am testing on Sony Xperia Performance with Android Nougat. The library seems to work fine in the emulators. What could the problem be on my Android device?</t>
  </si>
  <si>
    <t>linkedin-test-butler-60</t>
  </si>
  <si>
    <t>Crash from java.lang.AbstractMethodError: abstract method "int android.app.IActivityController.appEarlyNotResponding(java.lang.String, int, java.lang.String)</t>
  </si>
  <si>
    <t>ve noticed occasional crashes like this in test butler:
--------- beginning of crash
If reading that right it sounds like some kind of ANR on the system (some other log messages around the time suggest that things are running pretty slowly on the emulator) but then test butler doesn implement an abstract callback method for IActivityController which causes crash?
Running on an API 21 x86 emulator, believe revision 3.</t>
  </si>
  <si>
    <t>inaturalist-iNaturalistAndroid-337</t>
  </si>
  <si>
    <t>unique key violations when inserting obs photos</t>
  </si>
  <si>
    <t>joellebel has also experienced this while trying to upload with auto-upload turned off, here her crash:</t>
  </si>
  <si>
    <t>2017-04-27</t>
  </si>
  <si>
    <t>vector-im-riot-android-1171</t>
  </si>
  <si>
    <t>crash in the medias viewer</t>
  </si>
  <si>
    <t>Marked as P2 because we cannot reproduce it.
reported by brownc:matrix.org</t>
  </si>
  <si>
    <t>daneren2005-Subsonic-794</t>
  </si>
  <si>
    <t>Replay gain tags smart detection crashes on media with no album</t>
  </si>
  <si>
    <t>albumName is null when file has no album specified
Relevant line (https: github.com daneren2005 Subsonic blob app src main java github daneren2005 dsub service</t>
  </si>
  <si>
    <t>2017-04-30</t>
  </si>
  <si>
    <t>inaturalist-iNaturalistAndroid-340</t>
  </si>
  <si>
    <t>crash while scrolling through Activity tabs</t>
  </si>
  <si>
    <t>This *usually* happens whenever scroll through bunch of rows in the Activity tabs.</t>
  </si>
  <si>
    <t>2017-05-01</t>
  </si>
  <si>
    <t>OpenLauncherTeam-openlauncher-79</t>
  </si>
  <si>
    <t>Crash when started: Unable to start activity</t>
  </si>
  <si>
    <t>this launcher looks pretty cool. unfortunately, can check it out because it crashes with the following as soon as open it:
Build version: 0.3.1
... 11 more
... 27 more
... 30 more
... 33 more</t>
  </si>
  <si>
    <t>twilio-video-quickstart-android-112</t>
  </si>
  <si>
    <t>App crashes upon startup before accepting permissions</t>
  </si>
  <si>
    <t>With the recent update to the quickstart app, the following error occurs for first time installs:
FATAL EXCEPTION: main
Caused by: VideoCapturer must not be null
What would be the best practice way to fix this? Thanks.</t>
  </si>
  <si>
    <t>getodk-collect-997</t>
  </si>
  <si>
    <t>Improve db migration from version 3 to 4 when an old fork (e.g. KoboCollect) is also installed</t>
  </si>
  <si>
    <t>#### Problem description
There crash that can happen when migrating from db versions to because it tries to create columns that are already there. This can happen when there Collect-derived tool like Kobo on the device (see this thread (https: groups.google.com forum #!topic opendatakit vOSPGNWQJGc)) or when going back to version before the db migration and trying to upgrade again.
#### Steps to reproduce the problem
1. Install and run version of Collect 1.4.15
1. Go back to version of Collect 1.4.15 (e.g. git checkout v1.4.13
1. Install and run version of Collect 1.4.15
#### Expected behavior
The migration should skip columns that already exist and not crash when trying to upgrade again.
#### Other information
v1.4.15 added deletedOn column to support View Sent Forms.</t>
  </si>
  <si>
    <t>2017-05-02</t>
  </si>
  <si>
    <t>mycelium-com-wallet-android-351</t>
  </si>
  <si>
    <t>Hide CPFP option if watch-only wallet</t>
  </si>
  <si>
    <t>The wallet crashes on Android when user tries to do CPFP fee replacement on imported watch only accounts. did it by mistake, so noticed. think little message will do. or remove the option to begin with in this case.</t>
  </si>
  <si>
    <t>getodk-collect-995</t>
  </si>
  <si>
    <t>Date widget issue on Android 7.1.X</t>
  </si>
  <si>
    <t>#### Software and hardware versions
Honor 5C LineageOS 14.1 Android 7.1.1
Nexus LineageOS 14.1 Android 7.1.2
Nexus Stock 7.1.1
Works on Android 6.0, 4.2.
#### Problem description
Since the 1.6.0 Collect update, existing forms using the Date widget crash when loading the date type question.
#### Steps to reproduce the problem
Fill an existing or new form that includes the Date widget.
#### Expected behavior
The Date widget should open when loading the concerned version.
### Other information
Sony C1904, Android 7.1.1 Lineage OS
Pixel emulator, Android 7.1.1
Genymotion emulator, Android 7.1.0</t>
  </si>
  <si>
    <t>ShawnLin013-NumberPicker-57</t>
  </si>
  <si>
    <t>Change height/width</t>
  </si>
  <si>
    <t>Is there any chance to set number of currently visible rows except selected one?
Or is there any chance to hide all other rows except selected?
when try to scroll the app crashes with IndexOutOfBounds exception</t>
  </si>
  <si>
    <t>2017-05-03</t>
  </si>
  <si>
    <t>google-ExoPlayer-2774</t>
  </si>
  <si>
    <t>Playback rate edge case</t>
  </si>
  <si>
    <t>First off have to say thank you so much for the new playback rate feature going back to android 4.1.
### Issue description
observed exoplayer crashing during the first second of audio playback.
### Reproduction steps
When exoplayer is loading audio for the first time and before the first second of audio has played, seek to the end and change the playback rate.
### Link to test content
Will work on emailing some test content. it is hls audio.
### Version of ExoPlayer being used
### Device(s) and version(s) of Android being used
Amazon KFFOWI Android 5.1.1 (api 22)
### full bug report captured from the device
Will email full bug report. Here is the logcat.</t>
  </si>
  <si>
    <t>2017-05-04</t>
  </si>
  <si>
    <t>maks-MGit-147</t>
  </si>
  <si>
    <t>NPE in showException</t>
  </si>
  <si>
    <t>from Play crash reports:</t>
  </si>
  <si>
    <t>nextcloud-android-959</t>
  </si>
  <si>
    <t>Crash After Rotation</t>
  </si>
  <si>
    <t>### Actual behaviour
The app is crashing after rotate many times when quota is enable
### Steps to reproduce
1. Open App
2. Open DrawerMenu
3. Rotate many times
### Environment data
Device model: Nexus 5X
Nextcloud app version:Master
Nextcloud server version:12</t>
  </si>
  <si>
    <t>2017-05-05</t>
  </si>
  <si>
    <t>projectwife-mtesitoo-android-94</t>
  </si>
  <si>
    <t>It's possible (in a broken kind of a way) to delete non-existing product images</t>
  </si>
  <si>
    <t>viewed product with no images.
Then clicked Edit.
Then clicked on the placeholder image.
The regular dialog was shown.
clicked Delete this image
told it was deleted successfully! (this must be wrong)
Then clicked Delete this image again.
This time, get crash from divide by zero exception (see the logs below)
We should simply remove or disable the Delete this image button (keeping just the add image button) when the user clicks on placeholder image.</t>
  </si>
  <si>
    <t>opensrp-opensrp-client-488</t>
  </si>
  <si>
    <t>App crash on clicking on child's dob - birth registration form</t>
  </si>
  <si>
    <t>App crashes on clicking child dob field in the birth registration form. How to reproduce issue:
-Open birth registration form, click on the child dob form field
-Test Device OS version: Android 7.0</t>
  </si>
  <si>
    <t>novoda-view-pager-adapter-14</t>
  </si>
  <si>
    <t>Fix crash when restoring state</t>
  </si>
  <si>
    <t>#### Problem Goal
There is crash when the activity restores the state due to the fact that String with the value id is tried to be parsed into an Integer.
Caused by: Invalid int: id
The proper thing to solve this, as pointed out by ouchadam, is to put the view state in different Bundle and put that Bundle into the Bundle that is written into the Parcel This way, integer keys are not mixed up with String keys.
##### Test(s) added
No UI changes, crashing before, not anymore</t>
  </si>
  <si>
    <t>uber-AutoDispose-67</t>
  </si>
  <si>
    <t>Investigate weird test failure in ViewScopeProviderTest</t>
  </si>
  <si>
    <t>Ignored in #57
All we get is Instrumentation run failed due to Process crashed. It crashes some time after onError is forward to the delegate, but can get the debugger to work to properly investigate.</t>
  </si>
  <si>
    <t>2017-05-06</t>
  </si>
  <si>
    <t>NeXT-Workshops-mindroid-41</t>
  </si>
  <si>
    <t>APP: App crashes when starting parallel statemachines</t>
  </si>
  <si>
    <t>start group of parallel statemachines</t>
  </si>
  <si>
    <t>Freeyourgadget-Gadgetbridge-678</t>
  </si>
  <si>
    <t>Crashes on 0.19.1 when calendar permissions are not granted</t>
  </si>
  <si>
    <t>ve just made an update from 0.18.5 to 0.19.1 on my Moto G4+ with LineageOS 14.1 (Android 7.1.2). Before that have had no problems to connect to my gadgets, Pebble Time Steel and MiBand 2. Now cant connect to my MiBand and when try to connect to my PTS GadgetBridge crashes.
ve tried to reinstall an older version of GadgetBridge through F-Droid but there is an error when try this. dont want to uninstall GadgetBridge to try it again because of the data.</t>
  </si>
  <si>
    <t>google-ExoPlayer-2782</t>
  </si>
  <si>
    <t>Playback failure when playing ogg file</t>
  </si>
  <si>
    <t>On version 2.4.0, when play certain ogg file, get crash and it 100% reproducible. ve attached the file that causes the issue. VLC player for Mac is able to play this file without issue.
To reproduce this issue, place the file in sdcard Music then go into PlayerActivity.java of the ExoPlayer sample app and replace the implementation of buildMediaSource() with
private MediaSource uri, String overrideExtension)
File sayMyNameFile new File( sdcard Music Say My Name (feat. Zyra).ogg
final MediaSource mediaSource new
new ), new
Add the following permission to the AndroidManifest.xml
Then run the following shell command to grant the read storage permission
You can now click on any format in the app to reproduce the error
Unexpected exception loading stream
Caused by: length 65025 regionStart 65025 regionLength 65025
Caused by: length 65025 regionStart 65025 regionLength 65025
Caused by: length 65025 regionStart 65025 regionLength 65025
Caused by: length 65025 regionStart 65025 regionLength 65025
Caused by: length 65025 regionStart 65025 regionLength 65025
Caused by: length 65025 regionStart 65025 regionLength 65025</t>
  </si>
  <si>
    <t>2017-05-07</t>
  </si>
  <si>
    <t>projectwife-mtesitoo-android-97</t>
  </si>
  <si>
    <t>Crash when deleting images</t>
  </si>
  <si>
    <t>created new product, then went in to edit and deleted the image and received successfully deleted message. Deleted it again times and the application crashed.</t>
  </si>
  <si>
    <t>kollerlukas-Camera-Roll-Android-App-14</t>
  </si>
  <si>
    <t>Sometimes resuming app does not work properly</t>
  </si>
  <si>
    <t>After resuming app, if in picture detailed view, the picture is gone, so only black background is visible. One cannot swipe to other picture, and pressing back button arrow makes the app crash.</t>
  </si>
  <si>
    <t>projectwife-mtesitoo-android-101</t>
  </si>
  <si>
    <t>Price editing problem - inconsistent formats causing trouble</t>
  </si>
  <si>
    <t>Some requests accept or return prices as floats.
Other requests accept or return prices as formatted strings, including the currency symbol.
Unfortunately these are bit mixed up.
This means that if you edit product, you see eg. D3
If you change it to D4 crash happens. Only if you edit to numeric value, and then save, are you able to successfully edit the product.
The most straightforward solution is to make all requests use floats, with no currency symbol included.
This will require testing and or changes on both client and server.</t>
  </si>
  <si>
    <t>2017-05-08</t>
  </si>
  <si>
    <t>ably-ably-java-323</t>
  </si>
  <si>
    <t>Android push notification beta crash + API issue</t>
  </si>
  <si>
    <t>was checking Android push notification implementation and can seem to subscribe to channel after receiving the callback from activate ).push
tried the following: channel name ).push -- Apparently push doesn exist. did as the installation instructions indicate.
Also, reported crash:
Another issue is that after executing this:
The app crashes and get:</t>
  </si>
  <si>
    <t>google-ExoPlayer-2795</t>
  </si>
  <si>
    <t>Crash when reading a non-existing Adaptation Set from DASH manifest</t>
  </si>
  <si>
    <t>### Issue description
When reading the AdaptationSet (https: github.com google ExoPlayer blob release-v2 library dash src main java com google android exoplayer2 source dash from the Dash manifest (MPD) the ExoPlayer didn check the provided indices of the Period and AdaptationSet elements. This could result in an when the referenced period or adaption set didn exist.
### Reproduction steps
The reason for the faulty reference is probably an error in the manifest file, but the ExoPlayer should handle it more robustly and without crash. Currently can provide manifest to reproduce the crash. However, the crash has occurred several times on different devices. not sure if simple check of the indices is sufficient. Maybe the correct index of the period and the adaption set must be checked and handled earlier.
### Version of ExoPlayer being used
### Device(s) and version(s) of Android being used
Samsung SM-T550 (Android 6.0.1)
Sony F8331 (Android 7.1.1)
NVIDIA SHIELD Tablet K1 (7.0)</t>
  </si>
  <si>
    <t>2017-05-09</t>
  </si>
  <si>
    <t>maks-MGit-153</t>
  </si>
  <si>
    <t>Un-Staged/Staged diff causes app to crash.</t>
  </si>
  <si>
    <t>Clicking either of the diff buttons on the status page causes MGit to crash, files can be Staged or Un-Staged and the result is the same.
In the first image, the PDF exists on the remote already, but the .jar doesn t.
Files Staged when crash (https: assets 12553295 25834353
In the second image, the .jar does not exist on the remote still.
File Un-Staged when crash (https: assets 12553295 25834489</t>
  </si>
  <si>
    <t>square-okhttp-3334</t>
  </si>
  <si>
    <t>java.lang.InternalError: java.util.MissingResourceException</t>
  </si>
  <si>
    <t>There is such crash reported from our app:
Caused by Can find bundle for base name locale en AU
We are using okhttp v3.2.0.
And the configuration is looks like this:
CookieHandler cookieHandler new CookiePolicy.ACCEPT ALL)
.readTimeout(HTTP TIMEOUT, TimeUnit.SECONDS)
This crash is not easy to reproduce.
not sure if it an OS bug, because it only happens on Android according to our collected data.</t>
  </si>
  <si>
    <t>inaturalist-iNaturalistAndroid-349</t>
  </si>
  <si>
    <t>large API responses causing crashes on older phones</t>
  </si>
  <si>
    <t>This looks like problem where older, memory-limited phones are choking on very large API responses. The SO post recommends working with streams instead of converting the whole response to string, so maybe that way to deal with this. Alternative we could request fewer results for older phones like this, but that seems really brittle.</t>
  </si>
  <si>
    <t>2017-05-10</t>
  </si>
  <si>
    <t>inaturalist-iNaturalistAndroid-348</t>
  </si>
  <si>
    <t>layout crash for android 4</t>
  </si>
  <si>
    <t>Anything we can do about this for Android users?</t>
  </si>
  <si>
    <t>twilio-video-quickstart-android-116</t>
  </si>
  <si>
    <t>Disconnecting from a Room that is not connected sometimes results in crash</t>
  </si>
  <si>
    <t>We are sometimes seeing crashes when disconnecting from Room that has not reached the connected state.
The SDK should allow disconnecting from Room before being connected, but if you are experiencing this issue we recommend waiting for the onConnected callback before calling disconnect.</t>
  </si>
  <si>
    <t>DecentralizedAmateurPagingNetwork-DAPNETApp-13</t>
  </si>
  <si>
    <t>App crash, wenn man nicht eingeloggt ist und trotzdem auf Callls tippt</t>
  </si>
  <si>
    <t>inaturalist-iNaturalistAndroid-350</t>
  </si>
  <si>
    <t>handle null resultsJSON from NewsReceiver</t>
  </si>
  <si>
    <t>believe this is what Alison was reporting at https: groups.google.com topic inaturalist cA1TIXXfZ discussion: she said the app was repeatedly crashing while offline. Is it possible to ask INaturalistService for news, go offline, the service task runs, gets no results it offline, then broadcasts an intent with null instead of some valid JSON?</t>
  </si>
  <si>
    <t>2017-05-11</t>
  </si>
  <si>
    <t>t3rmian-PBMap-2</t>
  </si>
  <si>
    <t>Map switch crash</t>
  </si>
  <si>
    <t>Spamming map switch (e.g. switching floors) sometimes causes crash.</t>
  </si>
  <si>
    <t>pwittchen-ReactiveWiFi-28</t>
  </si>
  <si>
    <t>Error receiving broadcast Intent { act=android.net.wifi.supplicant.STATE_CHANGE flg=0x24000010 (has extras) } in com.github.pwittchen.reactivewifi.ReactiveWifi$4$1@b745bb</t>
  </si>
  <si>
    <t>using Android API level 22, everything works fine but occasionally the app crashes. ve added stacktrace:</t>
  </si>
  <si>
    <t>inaturalist-iNaturalistAndroid-353</t>
  </si>
  <si>
    <t>project list memory crash</t>
  </si>
  <si>
    <t>The app crashed for joellebel while viewing the list of projects Joined Joelle?). Here the log:
logcat (2).txt (https: github.com inaturalist iNaturalistAndroid files 997895 logcat.2.txt)
find it bit suspicious that the OutOfMemoryError occurrences seem to be preceeded by lot of errors. Do those leaked intent receivers cause memory usage to ratchet up?</t>
  </si>
  <si>
    <t>2017-05-12</t>
  </si>
  <si>
    <t>opw0011-OpenToiletAndroid-24</t>
  </si>
  <si>
    <t>[Minor] Memory issues with ToiletDetailActivity</t>
  </si>
  <si>
    <t>When open the and return to the Toilet list for few times, the app crashes. The pictures is not cached correctly, as result, it loads again and again. It seems that the full picture is loaded.</t>
  </si>
  <si>
    <t>cgeo-cgeo-6560</t>
  </si>
  <si>
    <t>Trying to write to SD for GPX export leads to crash</t>
  </si>
  <si>
    <t>have seen this crash on Google Play.
It seems the user set the GPX export dir to ... sdcard gpx where assume we potentially have no write access.
Had no time to try to reproduce it yet, but will do later on.
If this is general problem, we should either take care, that the user cannot even select this as export dir or we should present an appropriate error message.
Caused by: Aborting on Log.e()
Caused by: storage sdcard0 gpx export 2017-05-12.gpx (No such file or directory)</t>
  </si>
  <si>
    <t>2017-05-13</t>
  </si>
  <si>
    <t>microsoft-project-rome-17</t>
  </si>
  <si>
    <t>Xamarin.Droid.Sample : Failed at Platform.InitializeAsync</t>
  </si>
  <si>
    <t>ve tried to run the xamarin samples
could build it and run with my CLIENT ID. At the first time launch, ve put the my MSA id and pass. But, the app crashed at this point.
It seems that the app crashed at MainActivity.cs, line 63:
var result await CLIENT ID)
want to debug it but can t.
Because, this is part of Xamarin src and the source is insufficient to build and debug. It seems that the Jars you can download it by download-aas.ps1) is old, and it does not contain the definition of This prevent the build of</t>
  </si>
  <si>
    <t>SkyTubeTeam-SkyTube-111</t>
  </si>
  <si>
    <t>[Bug] Consistent crashing when pressing a back button from a playing video</t>
  </si>
  <si>
    <t>running version 2.41. The crash happens consistently and with an identical error log:</t>
  </si>
  <si>
    <t>2017-05-15</t>
  </si>
  <si>
    <t>Kunzisoft-Android-SwitchDateTimePicker-19</t>
  </si>
  <si>
    <t>internal crash</t>
  </si>
  <si>
    <t>yayaa-LocationManager-43</t>
  </si>
  <si>
    <t>NPE on googleApiClient</t>
  </si>
  <si>
    <t>am using this library in production and am unable to repro this on my devices but am getting this exception on many different users devices, have error reporting through crashlytics and this is my highest crash.
am extending and my Location Configuration is:
60 60 1000)
.gpsMessage( Would you mind to turn GPS on? ).build())
After users on the app login to their account, check location using:
getLocation() inherited from
Could you please add null check to</t>
  </si>
  <si>
    <t>aaronjwood-PortAuthority-72</t>
  </si>
  <si>
    <t>Send WoL UDP packet in a separate thread</t>
  </si>
  <si>
    <t>Some users are experiencing crashes with the current implementation.</t>
  </si>
  <si>
    <t>2017-05-16</t>
  </si>
  <si>
    <t>commons-app-apps-android-commons-614</t>
  </si>
  <si>
    <t xml:space="preserve">Crash: Fragment State loss exception </t>
  </si>
  <si>
    <t>The app is crashing as we are trying to commit the fragment onPostExecute call of an AsyncTask but theres possibility that the onSaveInstanceState has already been called for it. Here blog post (http: 2013 08 explaining why this happens.
FATAL EXCEPTION: main Process: PID: 10644
The issue is similar to #435 but its because of different code path. And the fix in this case would be different as described in the blog post.</t>
  </si>
  <si>
    <t>digital-voting-pass-polling-station-app-34</t>
  </si>
  <si>
    <t>OCR activity crashes and won't start in special case</t>
  </si>
  <si>
    <t>When the OCR activity is open on landscape mode, then the screen is locked, and then the screen is unlocked again while phone is held in portrait mode. The OCR activity crashes and won start-up without restarting the entire app.</t>
  </si>
  <si>
    <t>Cloudkibo-Android-595</t>
  </si>
  <si>
    <t xml:space="preserve">System Crash </t>
  </si>
  <si>
    <t>My phone crashed please analyze the dump
&lt;img width 1378 alt screen shot 2017-05-16 at 12 57 18 am src https: assets 5336012 26095500
&lt;img width 1294 alt screen shot 2017-05-16 at 12 57 40 am src https: assets 5336012 26095509</t>
  </si>
  <si>
    <t>nextcloud-android-1017</t>
  </si>
  <si>
    <t>Contact backup first time crashes</t>
  </si>
  <si>
    <t>### Actual behaviour
Select backup contacts for the first time press button back up now application crashes
### Expected behaviour
Contact backup file uploads to server.
If it helps the problem is that the method expireFiles tries to get the folder .Contacts-Backup before it creation in the
### Steps to reproduce
1. Open app
2. Select back up contacts menu
3. Press the button backup now
4. Wait until the service starts
### Environment data
Android version: 7.0
Device model: Huawei P10
Stock or customized system:
Nextcloud app version:1.4.2
Nextcloud server version:
#### Web server error log
Insert your webserver log here
#### Nextcloud log (data nextcloud.log)
Insert your Nextcloud log here</t>
  </si>
  <si>
    <t>2017-05-17</t>
  </si>
  <si>
    <t>MatthijsKok-TI2806-Contextproject-108</t>
  </si>
  <si>
    <t>App crashes when the API key is empty</t>
  </si>
  <si>
    <t>The app should not shut down when the api key is empty it should give an error</t>
  </si>
  <si>
    <t>yayaa-LocationManager-48</t>
  </si>
  <si>
    <t>Permissions issue</t>
  </si>
  <si>
    <t>have had 20 different client devices crash on various device manufacturers with error:
Client must have ACCESS COARSE LOCATION or ACCESS FINE LOCATION permission to perform any location operations.
have all the necessary permissions in manifest:
And my location configuration:
60 60 1000)
.gpsMessage( Would you mind to turn GPS on? ).build())
Please advise on how to avoid this issue.</t>
  </si>
  <si>
    <t>stefan-niedermann-nextcloud-notes-215</t>
  </si>
  <si>
    <t>App crashing on editing note with CRLF line ending</t>
  </si>
  <si>
    <t>**Android version:** 7.1.2
**System language**: English (UK?)
**App version:** 0.11.0
**App source:** Google Play Store
**Steps to reproduce:**
1. open the app
2. click on attached note
3. try to enter an additional character
Editing was is fine in
**Android version:** 6.0.1
**System language**: German
**App version:** 0.9.0
Markdown Reference.zip (https: github.com stefan-niedermann nextcloud-notes files 1010650</t>
  </si>
  <si>
    <t>2017-05-18</t>
  </si>
  <si>
    <t>infinum-MjolnirRecyclerView-52</t>
  </si>
  <si>
    <t>Using multiple view types in combination with header crashes</t>
  </si>
  <si>
    <t>If use multiple view types such as
protected int position)
return Usage.Type.LABEL YEAR ITEM
and add header with view) method will receive wrong positions for items.</t>
  </si>
  <si>
    <t>tanguyantoine-react-native-music-control-68</t>
  </si>
  <si>
    <t>java.lang.RuntimeException Unable to start service</t>
  </si>
  <si>
    <t>within our production app, ve received the following crash report:
Both devices are on Android 6.0 and 7.0. Any idea what causing this?</t>
  </si>
  <si>
    <t>2017-05-19</t>
  </si>
  <si>
    <t>digital-voting-pass-polling-station-app-45</t>
  </si>
  <si>
    <t>OCR activity crashes if no permissions are granted</t>
  </si>
  <si>
    <t>commons-app-apps-android-commons-631</t>
  </si>
  <si>
    <t>Crash on rotate</t>
  </si>
  <si>
    <t>App crashes when rotating device inside activity.</t>
  </si>
  <si>
    <t>niclabs-adkintunmobile-androidclient-172</t>
  </si>
  <si>
    <t>SpeedTest.java line 72</t>
  </si>
  <si>
    <t>projectwife-mtesitoo-android-107</t>
  </si>
  <si>
    <t>crash when adding image from gallery</t>
  </si>
  <si>
    <t>1. Add new product.
2. See details
4. Add new photo from the gallery
crash is reported, and the app returns to the product list screen. No photo is added.
Tested on deployed Play Store app, Moto G3 5.1</t>
  </si>
  <si>
    <t>2017-05-20</t>
  </si>
  <si>
    <t>mdg-iitr-trianglify-36</t>
  </si>
  <si>
    <t>App Crashes on Fast Regeneration</t>
  </si>
  <si>
    <t>If the regenerate button is clicked fast and repeatedly, the app crashes. This is due to divide by error when the grid is generated by calling random on the variance of value 0.</t>
  </si>
  <si>
    <t>2017-05-21</t>
  </si>
  <si>
    <t>salRoid-Filmy-104</t>
  </si>
  <si>
    <t>Crash in DetailsActivity</t>
  </si>
  <si>
    <t>DetailedActivity crashes when opened for the first time then quickly closed.</t>
  </si>
  <si>
    <t>EmElw-PotTDA-TDA367Projekt-125</t>
  </si>
  <si>
    <t>restarting crash</t>
  </si>
  <si>
    <t>after restarting, the game aborts when the first wave spawns</t>
  </si>
  <si>
    <t>openid-AppAuth-Android-228</t>
  </si>
  <si>
    <t xml:space="preserve">app crash on bad token response IllegalStateException JSONException </t>
  </si>
  <si>
    <t>This is caused by bad Authorization server, but the lib should not crash?
The is catching JSONException but the exception was wrapped to be
FATAL EXCEPTION: main</t>
  </si>
  <si>
    <t>mycelium-com-wallet-android-354</t>
  </si>
  <si>
    <t>mycelium freezes and then crashes after I enter the sixth digit of the pin</t>
  </si>
  <si>
    <t>Steps taken are:
1. Open the app
2. Press any button combination that would lead to the prompt to enter the pin
3. Enter my pin and on the last digit the app freezes and then get the mycelium is not responding do you want to close it prompt with the options to report wait or OK
This problem started after forgot my pin and entered incorrect ones about 50 or so times and now know the correct one but the app will freeze after enter it</t>
  </si>
  <si>
    <t>Mariovc-ImagePicker-21</t>
  </si>
  <si>
    <t>Very dangerous and unoptimized code inside library!</t>
  </si>
  <si>
    <t>private static Bitmap context, Uri selectedImage)
int sampleSizes new int 5, 3, 2,
bm selectedImage, sampleSizes
while(bm null &amp;&amp; (bm.getWidth() minWidthQuality bm.getHeight() minHeightQuality) &amp;&amp; sampleSizes.length)
Log.i(TAG, Final bitmap width (bm No final bitmap ))
This code is absolutely HORRIBLE for these reasons:
1. Wastes CPU resources by creating up to different bitmaps unnecessarily.
2. Risks OutOfMemory crash by potentially loading too-large Bitmap into RAM (you don check the size from file before loading Bitmap, it might be 100 megapixels as far as concerned)
4. Creates huge memory churn (again, by creating unnecessary Bitmaps) which are then unnecessarily left for Garbage Collector to handle..
Please watch this video to learn how to load images properly from files: https: www.youtube.com watch?v HY9aaXHx8yA
won use your library for these reasons.</t>
  </si>
  <si>
    <t>2017-05-22</t>
  </si>
  <si>
    <t>MatthijsKok-TI2806-Contextproject-123</t>
  </si>
  <si>
    <t>Non-reproducable lambda exception</t>
  </si>
  <si>
    <t>When opening the recentTransactions screen, the app sometimes crashes on the following call:
It does not happen always, and it does not happen on everyone machine.</t>
  </si>
  <si>
    <t>smartdevicelink-sdl_java_suite-518</t>
  </si>
  <si>
    <t>Handle SecurityException during Bluetooth disconnection and where applicable.</t>
  </si>
  <si>
    <t>The Sticher app has been recording enormous amount of SecurityException crashes during Bluetooth disconnection.
Long, complete crash log below.
It appears that we attempt to catch and handle SecurityException in BTTransport.java but only during connection and not in disconnection (and in few other places).
Not handled (https: github.com smartdevicelink sdl android blob master sdl android src main java com smartdevicelink transport
Not handled (https: github.com smartdevicelink sdl android blob master sdl android src main java com smartdevicelink transport
Not handled (https: github.com smartdevicelink sdl android blob master sdl android src main java com smartdevicelink transport
Not handled (https: github.com smartdevicelink sdl android blob master sdl android src main java com smartdevicelink transport
We need to catch and handle this exception where applicable (BTTransport and as the Bluetooth permission can potentially be abruptly revoked by security app running on the end devices that have running Bluetooth Sdl enabled apps (also can potentially be affected by run time permission changes made possible with Marshmallow update?).
Signal Catcher daemon prio tid Runnable
group system sCount dsCount obj 0x12c050d0 self 0x730265b000
sysTid 25167 nice cgrp default sched handle 0x73101f0450
state schedstat utm stm core HZ 100
stack stackSize 1005KB
held mutexes mutator lock (shared held)
main prio tid Blocked
group main sCount dsCount obj 0x752cae10 self 0x7310e9ca00
sysTid 25159 nice -4 cgrp default sched handle 0x7314f09a98
state schedstat utm 1055 stm 394 core HZ 100
stack stackSize 8MB
locked &lt;0x0362ab44&gt; (a java.lang.Object)</t>
  </si>
  <si>
    <t>2017-05-23</t>
  </si>
  <si>
    <t>7LPdWcaW-GrowTracker-Android-47</t>
  </si>
  <si>
    <t>Was on battery saver mode. Slow phone due to that, took picture then this</t>
  </si>
  <si>
    <t>EyeSeeTea-pictureapp-1262</t>
  </si>
  <si>
    <t>crash unregister receiver in on stop of BAseActivcitystrategy</t>
  </si>
  <si>
    <t>evernote-android-job-200</t>
  </si>
  <si>
    <t>NoClassDefFoundError: PlatformAlarmReceiver</t>
  </si>
  <si>
    <t>Using this API for the first time, looking at the sample on the home page. run into the crash below when call
Tried minSdkLevel 18 and 19 (I like 18 preferably). got the api through Gradle using the following snippet:</t>
  </si>
  <si>
    <t>inaturalist-iNaturalistAndroid-355</t>
  </si>
  <si>
    <t>null pointer when checking for missing file</t>
  </si>
  <si>
    <t>The user experiencing this says the app crashes when it tries to upload photos, which seems reasonable given the error. What doesn seem reasonable is that it happening at</t>
  </si>
  <si>
    <t>fossasia-phimpme-android-477</t>
  </si>
  <si>
    <t>Image not loading in Edit screen and app crashes on applying Edits</t>
  </si>
  <si>
    <t>When Edit option clicked from action menu. It intent to EditImageActivity but not load the image which passes in putextra, but black screen appear. App also crashes after applying edits.
Show the correct image and save after editing.
Provide logs for the crash here
**Screenshots of the issue**
**Would you like to work on the issue?**</t>
  </si>
  <si>
    <t>2017-05-24</t>
  </si>
  <si>
    <t>cgeo-cgeo-6580</t>
  </si>
  <si>
    <t>RejectedExecutionException in RxJava</t>
  </si>
  <si>
    <t>From the Google Play consoles new Android vitals section (crashes not explicitly reported by users but collected by the system).
Happening since version 20170320 on Anroid versions 4.x 7.0.</t>
  </si>
  <si>
    <t>searles-FractviewAndroid-4</t>
  </si>
  <si>
    <t>Fix crash: Toast in setSizeUnsafe</t>
  </si>
  <si>
    <t>jklmnn-ParkenDD-43</t>
  </si>
  <si>
    <t>Crash on map button click</t>
  </si>
  <si>
    <t>The app crashes when user (or bot clicks the display map button before the list of cities is loaded.</t>
  </si>
  <si>
    <t>getodk-collect-1057</t>
  </si>
  <si>
    <t>Many fewer devices supported by 1.7.0 beta</t>
  </si>
  <si>
    <t>In the Google Play Console under Release Management Artifact Library, the released version v1.6.1 is shown to be supported by 10800 devices. On the other hand, v1.7.0-beta is only supported by 8719.
This is probably due to the introduction of new feature requirements to support selfie mode:
These are used for the selfie mode and should be marked as not required. If user without the required features uses the app and loads that widget, they may get crash.</t>
  </si>
  <si>
    <t>2017-05-25</t>
  </si>
  <si>
    <t>searles-FractviewAndroid-14</t>
  </si>
  <si>
    <t>Crash it no focus on startup</t>
  </si>
  <si>
    <t>This bug should receive move attention because it is responsible for the majority of remaining crashes! To reproduce, clear cache of the app, start it and immediately switch.
How to solve in clean way:
The splash screen should be bound to the MainActivity, ie, the main activity decides when to show it.
Keep in mind, that bitmap fragment might be activated any time, theoretically with different drawer that always takes some time for initialization.
Thus, when bitmap fragment is created, its initialization code should run in the background.
During initialization, there is no interaction between others.
For each bitmap fragment, initialization happens exactly once in the beginning when the drawer is created.
This leads to the following clean way:
BitmapFragment contains method isInitializing() that returns true if initialization is starting. viewer can react to this and display periodic message with waiting wheel plus avoid any interaction. isInitializing must be true after start-up. It may only change to false once in the entire lifetime of the bitmap fragment!
Advantage: If the MainActivity is destroyed, it is no big deal.
are informed when the initialization is done. This call must happen in the UI-Thread.
In viewer on-create, if the attached fragment is busy, two components are added centered right after the viewer registered with the bitmap fragment.
For Toast messages, use DialogHelper and check whether app has focus. If not, ignore Toasts.</t>
  </si>
  <si>
    <t>2017-05-26</t>
  </si>
  <si>
    <t>uw-ictd-dfs-phishing-sms-client-2</t>
  </si>
  <si>
    <t>Group messages cause a database crash</t>
  </si>
  <si>
    <t>When the app tries to load group message, it crashes.
1. Make sure your message history includes group thread.
2. Open the app.
3. If the group conversation is not in view, scroll down to the conversation.
4. App will crash.
App shouldn crash.
This seems to happen because the side database which stores metadata on conversations is indexed by address. The ConversationLegacy class returns null address for group conversations, and this causes the app to crash. created temporary workaround to return the first user address rather than null. This is only temporary fix and will break compatibility. For full solution, propose changing the side database to be indexed by the thread ID, which is unique for groups.</t>
  </si>
  <si>
    <t>tanrabad-survey-22</t>
  </si>
  <si>
    <t>shivamsriva31093-MovieFinder-3</t>
  </si>
  <si>
    <t>Sudden crash sometimes when query is made in the searchlist activity</t>
  </si>
  <si>
    <t>The app crashes sometimes especially when previous queries have been made. The exception thrown is detachment of fragment from the activity!</t>
  </si>
  <si>
    <t>2017-05-27</t>
  </si>
  <si>
    <t>getodk-collect-1074</t>
  </si>
  <si>
    <t>ODK crashes if we use some words as a section name</t>
  </si>
  <si>
    <t>#### Software and hardware versions
#### Problem description
ODK crashes if we use words like:
end, start, today, deviceid, simid, phonenumber as section name.</t>
  </si>
  <si>
    <t>2017-05-29</t>
  </si>
  <si>
    <t>tanrabad-survey-24</t>
  </si>
  <si>
    <t>Mariovc-ImagePicker-23</t>
  </si>
  <si>
    <t>Crashes in Android O</t>
  </si>
  <si>
    <t>Here is the crash log from Android beta :-
It crashes when you are trying to show the picker</t>
  </si>
  <si>
    <t>tanrabad-survey-23</t>
  </si>
  <si>
    <t>dariuszseweryn-RxAndroidBle-206</t>
  </si>
  <si>
    <t>App crashes when bluetooth is turned off during a scan start/stop cycle</t>
  </si>
  <si>
    <t>### App crashes when bluetooth is turned off during scan start stop cycle
Steps to reproduce actual result: &lt;br&gt;
1. Start scanning&lt;br&gt;
2. Turn off bluetooth&lt;br&gt;
3. Stop scanning&lt;br &gt;&lt;br&gt;
App crashes because bluetoothAdapter is no longer available, so the library references null object while trying to call
The library should gracefully handle this case where the phone bluetooth is turned off mid-cycle (which could be during scan start or stop, gatt write, gatt read, etc). fixed this for the scan case in internal.util by just wrapping all the method calls that reference bluetoothAdapter with: &lt;br&gt;
if ...&lt;add any reference to bluetoothAdapter call here&gt;...</t>
  </si>
  <si>
    <t>2017-05-30</t>
  </si>
  <si>
    <t>mancj-SlideUp-Android-28</t>
  </si>
  <si>
    <t>Issue selecting spinner location</t>
  </si>
  <si>
    <t>The slide up is working great but ve noticed that in other parts of my app, can initialize the selected index of spinner. The spinner is in an activity which isn even implementing the SlideUp. performing the following line in an AlertDialog
The line executes fine, but then when tell the AlertDialog to show, the app crashes. then remove your library and everything works fine. not sure how your library could be causing this, but it seems like it is.
Please let me know if there any more information you need in order to get this resolved.</t>
  </si>
  <si>
    <t>ericcornelissen-NervousFish-182</t>
  </si>
  <si>
    <t>No servicelocator when restarting after crash</t>
  </si>
  <si>
    <t>&lt;!-- Check if the title is descriptive! --&gt;
## Description of the bug
When the app crashes and you press restart the app, the app will restart on the activity where it crashed. The problem here is that when it restarts at another place than the EntryActivity, the servicelocator is not created. So the app crashes again because the servicelocator is null.
## Possible solution
Maybe check if message or event is shown that there was restart, because this should go to the EntryActivity.</t>
  </si>
  <si>
    <t>IBM-Cloud-chatbot-watson-android-3</t>
  </si>
  <si>
    <t>Crash on Android API below 24</t>
  </si>
  <si>
    <t>Tested on API 22 and 23, crashed on start.</t>
  </si>
  <si>
    <t>2017-05-31</t>
  </si>
  <si>
    <t>Ashok-Varma-BottomNavigation-123</t>
  </si>
  <si>
    <t>进入APP, 点击 MODE_FIXED 应用crash</t>
  </si>
  <si>
    <t>hsllany-HtmlNative-7</t>
  </si>
  <si>
    <t>lua script crash cause main app crash</t>
  </si>
  <si>
    <t>kontalk-androidclient-1011</t>
  </si>
  <si>
    <t>Check FTS MATCH expression</t>
  </si>
  <si>
    <t>The search string is actually FTS MATCH expression, which is validated, crashing the app if it not.
On (probably) different note:
Error Code (SQLITE ERROR)
Caused By SQL(query) error or missing database.
(FTS expression tree is too large (maximum depth 12) (code 1))
Error Code (SQLITE ERROR)
Caused By SQL(query) error or missing database.
(FTS expression tree is too large (maximum depth 12) (code 1))</t>
  </si>
  <si>
    <t>2017-06-01</t>
  </si>
  <si>
    <t>fossasia-phimpme-android-509</t>
  </si>
  <si>
    <t xml:space="preserve">Fixed crash due to ripple effect below API&lt;21 devices </t>
  </si>
  <si>
    <t>Fixes issue #508
Added ripple effect for API 21 and API &lt;21.
To check this issue run the app in **API &lt;21 devices**</t>
  </si>
  <si>
    <t>akvo-akvo-flow-mobile-740</t>
  </si>
  <si>
    <t xml:space="preserve">Crash option question (connect #739) </t>
  </si>
  <si>
    <t>#### Before the PR (what is the issue or what needed to be done)
App crashes when option question does not have options and user tries to switch languages.
#### The solution
Added null checks and also separated logic into diferent types of option question views: the null option, multiple selection and single selection for clarity.
#### Screenshots (if appropriate)
#### Reviewer Checklist
Connect the issue</t>
  </si>
  <si>
    <t>ZieIony-Carbon-299</t>
  </si>
  <si>
    <t>binary search in DropDown crashes for non-Comparables</t>
  </si>
  <si>
    <t>vector-im-riot-android-1262</t>
  </si>
  <si>
    <t>Riot got into a startup loop after an OOM crash.</t>
  </si>
  <si>
    <t>Reported by Coffee
Riot got into startup loop after an OOM crash. Had to force-stop it to come out of it.</t>
  </si>
  <si>
    <t>bumptech-glide-1991</t>
  </si>
  <si>
    <t>NullPointerException in RequestManagerRetriever.findAllSupportFragmentsWithViews</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</si>
  <si>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sorry, am not good at English.
&lt;!-- What version of Glide you re running, for example: 3.7.1 3.8.0-SNAPSHOT 4.0.0-SNAPSHOT
It essentially the version number from your build.gradle: dependencies compile ...:x.y.z --&gt;
**Glide Version**: 4.0.0 RC0
&lt;!-- Do you use any integration library, like OkHttp3 or Volley? For example:
Fails to display with stock networking, but works with okhttp3-1.4.0 --&gt;
**Integration libraries**: okhttp3-integration 4.0.0 RC0
&lt;!-- What devices you managed to get the issue to come up on? For example:
fails on Galaxy S4 GT-I9500 4.4.2, works fine on Nexus 6P 5.1 and Genymotion Nexus 5.0.1 --&gt;
**Device Android Version**: Android 5.1
&lt;!-- Share the details of your issue in prose, detailing actual and expected behavior. It also helps if you give some info **why** you are trying to do something as opposed to **what** is not working. --&gt;
**Issue details Repro steps Use case background**:
in in Glide.with(View)
in topLevelFragments Collection is not null and not empty too.
but, topLevelFragments have null so in for-each.
received crash reporting, but could not reproduction.</t>
  </si>
  <si>
    <t>searles-FractviewAndroid-27</t>
  </si>
  <si>
    <t>After providing an empty palette name, the app crashes when opening palette</t>
  </si>
  <si>
    <t>2017-06-02</t>
  </si>
  <si>
    <t>nitroshare-nitroshare-android-25</t>
  </si>
  <si>
    <t>Revoking storage permission causes crash</t>
  </si>
  <si>
    <t>If the storage permission is revoked after being granted, the application will crash.</t>
  </si>
  <si>
    <t>fossasia-phimpme-android-519</t>
  </si>
  <si>
    <t xml:space="preserve">Fixed bug on open camera </t>
  </si>
  <si>
    <t>Fixes issue #517
Fixed crash due to TinyDB.</t>
  </si>
  <si>
    <t>fossasia-phimpme-android-517</t>
  </si>
  <si>
    <t xml:space="preserve">App crash on open camera. </t>
  </si>
  <si>
    <t>App crashed on opening camera from bottom navigation View.
It should not crash, open camera instead.
**Steps to reproduce it**
Open camera from Bottom Navigation View.
**LogCat for the issue**
FATAL EXCEPTION: main</t>
  </si>
  <si>
    <t>ethmobile-ethdroid-22</t>
  </si>
  <si>
    <t>Ethdroid crashes with OutOfBoundsException</t>
  </si>
  <si>
    <t>Ethdroid throws an when creating an instance of Ethdroid with referenced but empty key manager.
The reason is that, by default Ethdroid Builder sets as main account the first account of the key manager (if referenced). But it doesn verify if referenced key manager has accounts.</t>
  </si>
  <si>
    <t>ZeeRooo-MaterialFBook-88</t>
  </si>
  <si>
    <t>Crashes when delete bookmark</t>
  </si>
  <si>
    <t>When try to delete bookmark from right slide panel, it crashes. v3.3.0</t>
  </si>
  <si>
    <t>tanrabad-survey-25</t>
  </si>
  <si>
    <t>IWindowSession.java line 790</t>
  </si>
  <si>
    <t>danimahardhika-candybar-library-63</t>
  </si>
  <si>
    <t>SqlLiteDatabaseLockedException</t>
  </si>
  <si>
    <t>recieve the attached crashlog
(It says candybar version 3.1.4 but has already been updated the library to 3.1.6)</t>
  </si>
  <si>
    <t>tanrabad-survey-26</t>
  </si>
  <si>
    <t>2017-06-03</t>
  </si>
  <si>
    <t>elimu-ai-launcher-4</t>
  </si>
  <si>
    <t>Background service crashes [2-4h]</t>
  </si>
  <si>
    <t>2017-06-04</t>
  </si>
  <si>
    <t>syncthing-syncthing-android-901</t>
  </si>
  <si>
    <t>NumberFormatException on minDiskFree</t>
  </si>
  <si>
    <t>Syncthing is crashing on startup for me (again :smiley:). ve still got minimum free space set to 0.5% for one folder.
Now it looks like value in model Folder.java:
public static class MinDiskFree
public int value
public String unit
should be set to float
have backup though, so can change it, but someone else could run into this.
App Version: 0.9.10
Android Version: Android 6.0</t>
  </si>
  <si>
    <t>2017-06-05</t>
  </si>
  <si>
    <t>k9mail-k-9-2569</t>
  </si>
  <si>
    <t>A lot of crashes with android 7.0</t>
  </si>
  <si>
    <t>have k9 installed on some devices, but the only one with android 7.0 suffers of crashes which do not happen in android 4.4.
### Expected behavior
Tell us what should happen
### Actual behavior
Tell us what happens instead
### Steps to reproduce
K-9 Mail version:5.206
Account type (IMAP, POP3, WebDAV Exchange):imap</t>
  </si>
  <si>
    <t>nextcloud-android-1070</t>
  </si>
  <si>
    <t>Selecting "Automatic Uploads" crashes app instantly</t>
  </si>
  <si>
    <t>### Actual behaviour
If click on Automatic Uploads the app crashes instantly.
### Expected behaviour
Automatic Uploads pane should show up.
### Steps to reproduce
1. Install Nextcloud Android App stable 1.4.3 or dev 20170602 and set up Nextcloud server in it.
2. Try opening up Automatic uploads where the app crashes immediately
### Environment data
Android version: 6.0.1
Device model: BQ M5
Stock or customized system: Stock ROM
Nextcloud app version: 1.4.3 and 20170602
Nextcloud server version: 12.0.0</t>
  </si>
  <si>
    <t>deltachat-deltachat-android-96</t>
  </si>
  <si>
    <t>Crash when switching activities during configuration</t>
  </si>
  <si>
    <t>Start Delta Chat for the first time
Next, set valid server configuration manually, and let the focus on one of the lineedits.
Do not confirm yet, instead use the home button to leave the app (I opened the browser also, but don think it is necessary to), and come back to Delta Chat.
Restarting the configuration kept my previous input (cool!) but the scroll is offset in an odd way that prevents me from reaching the lineedits at the bottom of the page (is it related?). Clicking to another lineedit crashes the app.</t>
  </si>
  <si>
    <t>universAAL-nativeandroid-464</t>
  </si>
  <si>
    <t>Send OK result to GCM on receiver</t>
  </si>
  <si>
    <t>Theory says you have to OK) at the end of the onReceive of the GCM broadcast receiver. The uAAL app does not do this, although this may not represent an actual &amp;quot bug&amp;quot since this result code would in theory only be necessary if launching services. But in any case, it worth including it it is known to generate error messages even if it does not crash.</t>
  </si>
  <si>
    <t>huhx0015-DashNearby-3</t>
  </si>
  <si>
    <t>Bug: Null pointer exception error when rotating the screen while restaurant list is loading.</t>
  </si>
  <si>
    <t>The app crashes when screen orientation change occurs while the restaurant list is still loading:
This crash occurs in when attempting to add mRestaurantList to the Bundle outstate when it is null</t>
  </si>
  <si>
    <t>shivamsriva31093-MovieFinder-12</t>
  </si>
  <si>
    <t>favorite activity crashing after going back to app after the activity is paused</t>
  </si>
  <si>
    <t>crash call in on destroy method at presenter.destroy()</t>
  </si>
  <si>
    <t>2017-06-06</t>
  </si>
  <si>
    <t>inaturalist-iNaturalistAndroid-359</t>
  </si>
  <si>
    <t>crash while resuming with auto-upload on</t>
  </si>
  <si>
    <t>Build 218, Nexus 5X. To replicate
1. Turn on airplane mode
1. Make sure auto-upload is on
1. Make an obs with photo
1. Close the app
1. Turn off airplane mode
1. Open the app. Crash should happen right as the obs list appears
Here the log:
--------- beginning of system
--------- beginning of crash</t>
  </si>
  <si>
    <t>ericcornelissen-NervousFish-216</t>
  </si>
  <si>
    <t>Click on the text besides the fab button in the MainActivity</t>
  </si>
  <si>
    <t>&lt;!-- Check if the title is descriptive! --&gt;
Relevant issues: #52
Estimated effort: hours (estimated by Cornel)
When you click the text, for example Bluetooth or NFC which is besides the fab buttons on the MainActivity the app crashes.
The error is pretty descriptive and says something like Only existing buttons can be clicked So this can be fixed pretty easily
## Definition of done
This task can be considered done when
the app doesn crash anymore when the text besides the button is pressed
&lt;!-- Is there anything important to know? Are there relevant links (or other sources) for this issue? --&gt;</t>
  </si>
  <si>
    <t>geopaparazzi-geopaparazzi-404</t>
  </si>
  <si>
    <t>Error on select basemap on android 5.0.1</t>
  </si>
  <si>
    <t>When push on add button to select new basemap, the app crashes. test it on two different smartphones and only crashes on android 5.0.1. The other mobile has android 6.0.1 and works ok.
We update today from 5.1.2 to 5.3.1 and on the previous version we don had the error.
If you need more info please tell me.</t>
  </si>
  <si>
    <t>jacob-g-cleveland-rta-next-bus-train-70</t>
  </si>
  <si>
    <t>App crashes when opening "Near me" far outside of Cleveland</t>
  </si>
  <si>
    <t>When opening Near me with location significantly outside Cleveland, the app crashes.</t>
  </si>
  <si>
    <t>tanrabad-survey-27</t>
  </si>
  <si>
    <t>fossasia-open-event-organizer-android-158</t>
  </si>
  <si>
    <t>Crash on null url binding on image load</t>
  </si>
  <si>
    <t>If thumbnail field is null, binding adapter does not check it and the app crashes</t>
  </si>
  <si>
    <t>2017-06-07</t>
  </si>
  <si>
    <t>ericcornelissen-NervousFish-223</t>
  </si>
  <si>
    <t>Make the ServiceLocator globally accessible via NervousFish</t>
  </si>
  <si>
    <t>&lt;!-- Check if the title is descriptive! --&gt;
Relevant Issues: #182
Related Pull Requests:
This Pull Request updates the code such that the ServiceLocator can be obtained via call to NervousFish. First and foremost this solves issue #182, but it also makes using activities little less of pain since you re no longer required to put the ServiceLocator in an Intent
This Pull Request is needed because we want to fix the issue in #182 (crash due to crash), but also because the update will make using the ServiceLocator bit easier.
This feature can be viewed tested within the project by just opening the app and trying stuff out
## Alternative implementation
Other implementations that ve have considered all failed one way or another. Android does not seem to be consistent with restarting and restarting after crashes which causes the ServiceLocator or services (e.g. Bluetooth) to not always be available. Now that all these things are in the NervousFish class (which does seem to always start) everything should be available...
Make sure you really run the app and do something, this way we can catch potential issues before the code is in the develop branch.</t>
  </si>
  <si>
    <t>vector-im-riot-android-1294</t>
  </si>
  <si>
    <t>Application crashed while scrolling back in the room history</t>
  </si>
  <si>
    <t>reported by brycec:cobryce.com</t>
  </si>
  <si>
    <t>ganfra-MaterialSpinner-93</t>
  </si>
  <si>
    <t>Fatal Exception: java.lang.IndexOutOfBoundsException: Invalid index 0, size is 0</t>
  </si>
  <si>
    <t>So got this crash yesterday from one of my testers:
Fatal Exception: Invalid index 0, size is
Does the spinner support empty lists?</t>
  </si>
  <si>
    <t>twilio-voice-quickstart-android-61</t>
  </si>
  <si>
    <t>Voice Quickstart Android getting Crashed</t>
  </si>
  <si>
    <t>am using Twilio Voice Quickstart for Android to implement programmable voice and its implemented successfully but am getting an issue of crash of Twilio SDK.
am making call by dialing number, call is connecting properly.
Then internet disconnected in between running call, call disconnected from my end.
Then internet reconnected and am going to dial number again, after dial number application is getting crashed.
Here is logs of crasing with DEBUG LogLevel of Twilio
Build Date 11 18 16
OpenGL ES Shader Compiler Version: XE031.09.00.04
Local Branch N25
Please provide me the solution,I need it urgently.</t>
  </si>
  <si>
    <t>twilio-voice-quickstart-android-60</t>
  </si>
  <si>
    <t>Voice quickstart getting crashed when dialing a number</t>
  </si>
  <si>
    <t>am using Twilio Voice Quickstart for Android to implement programmable voice and its implemented successfully but am getting an issue of crash of Twilio SDK.
am making call by dialing number, call is connecting properly.
Then internet disconnected in between running call, call disconnected from my end.
Then internet reconnected and am going to dial number again, after dial number application is getting crashed.
Here is logs of crasing
Please provide me the solution,I need it urgently.</t>
  </si>
  <si>
    <t>nextcloud-android-1074</t>
  </si>
  <si>
    <t>Scrolling through "Activities" crashes app.</t>
  </si>
  <si>
    <t>### Actual behaviour
-Tell us what happens
Selecting Activities the page will be refreshed with the list of recent activities.
When try to scroll toward the bottom of the list, the application will display the following error message before it quits:
Unfortunately, Nextcloud dev has stopped
### Expected behaviour
-Tell us what should happen
### Steps to reproduce
1. Select Activities
2. When list is available, scroll the list.
### Environment data
Stock or customized system:
Nextcloud app version:
Nextcloud Dev 20170608
Nextcloud server version:
#### Web server error log
Insert your webserver log here
#### Nextcloud log (data nextcloud.log)
Insert your Nextcloud log here</t>
  </si>
  <si>
    <t>2017-06-08</t>
  </si>
  <si>
    <t>philipphecht-react-native-doc-viewer-16</t>
  </si>
  <si>
    <t>Android app crashes after updating RN to 0.45</t>
  </si>
  <si>
    <t>updated RN 0.45.0 and after that the app crashes as soon as try to open any file. found that If change my targetSdkVersion to 23 (instead of 25) it doesn crash, but instead tells me that Media not found</t>
  </si>
  <si>
    <t>requery-requery-582</t>
  </si>
  <si>
    <t>Cannot add a UNIQUE column (code 1): , while compiling</t>
  </si>
  <si>
    <t>After adding this to an already existing entity IJobOffer
var localCreatorId: String?
the app crashes when the entity is accessed and database upgraded
believe adding the column and then adding the constriant should make it work.</t>
  </si>
  <si>
    <t>commons-app-apps-android-commons-728</t>
  </si>
  <si>
    <t>NullPointerException at NavigationBaseFragment</t>
  </si>
  <si>
    <t>neslihanturan maskaravivek We are getting new crash (in the production version of the app) from the hamburger menu. :(</t>
  </si>
  <si>
    <t>Intelehealth-Android-Mobile-Client-253</t>
  </si>
  <si>
    <t>App crashes if node object is empty</t>
  </si>
  <si>
    <t>If nothing is input into the node object, the app crashes (eg: The health worker does not answer any question on an activity and moves on to the next activity).
Create an exception handler, if the node object is empty fill it with default value (eg: Null, Empty, Skipped, Blank).</t>
  </si>
  <si>
    <t>vector-im-riot-android-1296</t>
  </si>
  <si>
    <t>Application crashes while swiping medias</t>
  </si>
  <si>
    <t>tanrabad-survey-28</t>
  </si>
  <si>
    <t>fossasia-phimpme-android-553</t>
  </si>
  <si>
    <t>App crash on changing save location in camera settings</t>
  </si>
  <si>
    <t>App crash on changing the save location in camera settings.
**Steps to reproduce it**
1. Open settings.
2. Camera settings.
3. Tap on save location</t>
  </si>
  <si>
    <t>pathsense-pathsense-samples-android-12</t>
  </si>
  <si>
    <t>Adding Geofence causes ClassCastException</t>
  </si>
  <si>
    <t>Adding geofence causes this error in logcat, which prints about once every second and clutters the log. Fortunately it doesn result in the app crashing, but wondering if this can be resolved?
Android 7.1.2, Nexus 6P.
latLng.latitude, latLng.longitude, (int) radius,</t>
  </si>
  <si>
    <t>fossasia-phimpme-android-564</t>
  </si>
  <si>
    <t>App crashes when we scrolled down to end after deleting an album</t>
  </si>
  <si>
    <t>App crashes when we scrolled down to end after deleting an album
No crash should occur
**Steps to reproduce it**
In gallery page, delete album, scroll to bottom.
**LogCat for the issue**
**Would you like to work on the issue?**</t>
  </si>
  <si>
    <t>2017-06-09</t>
  </si>
  <si>
    <t>fossasia-open-event-droidgen-1682</t>
  </si>
  <si>
    <t>Normalize Date Strings from server response</t>
  </si>
  <si>
    <t>The server response for the date time format has changed, and the app is crashing due to it
Fix the current format to allow parsing
**Would you like to work on the issue?**</t>
  </si>
  <si>
    <t>vector-im-riot-android-1300</t>
  </si>
  <si>
    <t>The application crashes when opening a room activity (depends in the application language)</t>
  </si>
  <si>
    <t>Can not open rooms and also can not downgrade. Android stops the installation at the beginning. Have to uninstall riot.</t>
  </si>
  <si>
    <t>OpenLauncherTeam-openlauncher-161</t>
  </si>
  <si>
    <t>Crash when adding Dialer/Phone app to tray</t>
  </si>
  <si>
    <t>OpenLauncher crashes when adding the phone app to the bottom tray. Running Lineage OS 7.1.2.
Build version: 0.5.1</t>
  </si>
  <si>
    <t>2017-06-10</t>
  </si>
  <si>
    <t>commons-app-apps-android-commons-731</t>
  </si>
  <si>
    <t>java.lang.OutOfMemoryError at NavigationBaseFragment.showPictureOfTheDay</t>
  </si>
  <si>
    <t>Also from Google Developer crash reports:
Manufacturer Google RAM (MB) 2048 Screen size 1080 1920 Screen density (dpi) 480 Native platform armeabi-v7a OpenGL ES version 3.0 CPU make Qualcomm CPU model MSM8974
This might be worth looking at, as 2GB of RAM is pretty standard amount.</t>
  </si>
  <si>
    <t>2017-06-11</t>
  </si>
  <si>
    <t>fossasia-open-event-droidgen-1689</t>
  </si>
  <si>
    <t>App crashing in offline state</t>
  </si>
  <si>
    <t>On first time install of the app, the app crashes. This is related to problem in check in date checking in realm repository.
App should run fine in offline state.
**Steps to reproduce it**
**LogCat for the issue**
**Screenshots of the issue**
**Would you like to work on the issue?**
**Target Milestone to solve the issue**</t>
  </si>
  <si>
    <t>osmdroid-osmdroid-616</t>
  </si>
  <si>
    <t>NullPointerException MapController.setCenter()</t>
  </si>
  <si>
    <t>Hi, getting such an NPE exception reported as crash in PlayStore and do not have actually any idea in which situation it happens. On the stack trace there is also no line of code from my application.
Any help appreciated Thanks!
Full stack have (version 5.6.4):</t>
  </si>
  <si>
    <t>2017-06-12</t>
  </si>
  <si>
    <t>ericcornelissen-NervousFish-247</t>
  </si>
  <si>
    <t>Quick fix to disable the NFC fab when the device doesn't support NFC</t>
  </si>
  <si>
    <t>&lt;!-- Check if the title is descriptive! --&gt;
Relevant Issues: #8
Related Pull Requests:
non crashing app when you don have NFC support.
This Pull Request is needed because it better when the app doesn crash beacause of something out of users control
This feature can be viewed tested within the project by using device with no support for NFC while still being able to use other features.
## Alternative implementation
Other implementations that ve have considered are
&lt;!-- Is there anything reviewers need to know about? Do they need to take something into account while
reviewing? Is there something they should pay extra attention to? --&gt;</t>
  </si>
  <si>
    <t>DoubleSymmetry-react-native-track-player-22</t>
  </si>
  <si>
    <t>Attempt to invoke virtual method 'boolean guichaguri.trackplayer.logic.track.Track.needsNetwork()' on a null object reference</t>
  </si>
  <si>
    <t>Another little crash that popping up:</t>
  </si>
  <si>
    <t>digital-voting-pass-polling-station-app-123</t>
  </si>
  <si>
    <t>Returning to mainactivity from OCR scanner by pressing back button is very slow</t>
  </si>
  <si>
    <t>Sometimes it causes the app to crash.</t>
  </si>
  <si>
    <t>novoda-view-pager-adapter-16</t>
  </si>
  <si>
    <t>Don't use restoredId if there's no id to restore</t>
  </si>
  <si>
    <t>#### Problem Goal
When integrating v0.9.6 into client project, we found crash on launching specific activity.
This was happening because view id was being changed by the ViewPagerAdapter class, meaning when we called findViewById to try and obtain it, we got null
The id was changed because there was no previous instances of view at that position in the instance, so it was being re-assigned.
The solution was just to make sure that only views with no id have an id assigned to them.
##### Test(s) added
No tests added as there are no tests in this entire project.
No screenshots afraid, but the demo app still works the same, and our client project doesn crash now.</t>
  </si>
  <si>
    <t>2017-06-13</t>
  </si>
  <si>
    <t>mycelium-com-wallet-android-362</t>
  </si>
  <si>
    <t>Bump Fee (Child pays for Parent) on view-only address crash the app</t>
  </si>
  <si>
    <t>ve pending transaction and tried just to see what would happen on my view only wallet to bump the fee.
As expected, not having the private key on the app, the replace by fee didn work. However, instead of showing some error dialog or not even allowing me to do it, it complete crashed the application.
Probably, this was use case not previewed.
Great app guys! Thanks!</t>
  </si>
  <si>
    <t>chandevel-Clover-319</t>
  </si>
  <si>
    <t>ThreadStatusCell crash</t>
  </si>
  <si>
    <t>ThreadStatusCell crashes with NPE for ChanThread method.
The issue needs to be investigated, as have not yet seen it myself, except for an obfuscated stacktrace.
Clover version: v2.3.0</t>
  </si>
  <si>
    <t>seiginonakama-BlockCanaryEx-16</t>
  </si>
  <si>
    <t>CRASH on Android 8.0.0</t>
  </si>
  <si>
    <t>square-okhttp-3404</t>
  </si>
  <si>
    <t xml:space="preserve">[Bug report] publicsuffix.gz read crash </t>
  </si>
  <si>
    <t>It seems to occur very rarely
Perhaps glide has canceled it and it seems to be thread interrupted
&lt;-- HTTP FAILED: Unable to load publicsuffixes.gz resource from the classpath.</t>
  </si>
  <si>
    <t>lingochamp-FileDownloader-610</t>
  </si>
  <si>
    <t>IllegalStateException database / CursorWindow</t>
  </si>
  <si>
    <t>ve encounterd this issue on Nexus runing 6.0.1
Caused by Couldn read row 0, col -1 from CursorWindow. Make sure the Cursor is initialized correctly before accessing data from it.
See full crash here (http: crashes.to e972fe81d0f).
It will really help if you can look into it.</t>
  </si>
  <si>
    <t>2017-06-14</t>
  </si>
  <si>
    <t>nextcloud-android-1090</t>
  </si>
  <si>
    <t>IncompatibleClassChangeError on android 4.0.4</t>
  </si>
  <si>
    <t>### Actual behaviour
Nextcloud app crashes after some time without any user action. ve googled and found this solution:
They say that you need to add to libs. did not test it yet because of it need application build from sources as understand
Previous version (1.4.1 from F-Droid) worked for me.
### Steps to reproduce
1. Run nextcloud app
2. Just wait for crash
### Environment data
Android version: 4.0.4
Nextcloud app version:
Both 1.4.2 from F-Droid and https: android nightly crashes
Nextcloud server version:
dalvikvm( 243): threadid 85: interp stack at 0x4d263000</t>
  </si>
  <si>
    <t>Openu20950-OpenApp-132</t>
  </si>
  <si>
    <t>Crash when opening "Notifications" settings</t>
  </si>
  <si>
    <t>noambs When click on Notifications in settings activity, am getting an exception and the application crash</t>
  </si>
  <si>
    <t>vector-im-riot-android-1335</t>
  </si>
  <si>
    <t>Read marker: crash when turning device just after hitting "Jump to first unread msg" banner</t>
  </si>
  <si>
    <t>1. Hit Jump to first unread msg banner
2. Quickly turn the device in landscape or portrait mode
Crash. Try again if didn crashed the first time.
filled crash report about it.</t>
  </si>
  <si>
    <t>2017-06-15</t>
  </si>
  <si>
    <t>Schmitt-Florian-SchoolPlanner-57</t>
  </si>
  <si>
    <t>Issues with date selector</t>
  </si>
  <si>
    <t>there are few errors with your new date selector:
1. trying to save exam homework without having selected date crashes the app
2. if you open already existing exam homework which is not on the current date, the date selector nevertheless opens the dialog with the current date
3. the selector dialog isn supporting the different date formats
plus have to highlight some coding style related flaws:
1. those strings in the strings.xml which are beginning with string should be the excact values to their keys, so something like &lt;string name string due date &gt;Select Date&lt; string&gt; is not following the guidelines
2. to keep the code as readable as possible we should keep methods at max of ca. 25 lines better 20
3. related to 2. the initialisation of the date selector should happen in seperate private method which is called by the initGUI() method
4. if you change things in method, keep an eye on the jdoc of the method to make sure it still represents the method, which is not the case at the view, int id) method in the GuiHelper class</t>
  </si>
  <si>
    <t>romankh-gat-app-6</t>
  </si>
  <si>
    <t>Crash on invalid msisdn</t>
  </si>
  <si>
    <t>when sending sms with an invalid msisdn (e.g. xxxxx via network protocol, the application hangs crashs</t>
  </si>
  <si>
    <t>jonasoreland-runnerup-568</t>
  </si>
  <si>
    <t>Zero iteration repeat step causes race condition that crashes phone</t>
  </si>
  <si>
    <t>In trying to create basic interval workout with timed warmup and cooldown, modified the MalinEwerlov workout in the Advanced tab so that the later interval steps used zero iterations of zero duration. RunnerUp successfully processed the timed warmup and the five iterations of the first interval.
Once it reached the zeroed out steps, however, my phone completely froze up, and had to hard boot it. Upon restart, reopened RunnerUp and opened the workout entry in the History tab. The workout was not accurate in regards to distance and duration (that much expected). However, opening up the laps page of the workout showed huge number of zero value laps. was unable to scroll through all these entries because RunnerUp crashed out again, and my phone reported that RunnerUp was consuming far too many system resources. It is apparent that RunnerUp did not catch the zero iteration setting correctly.</t>
  </si>
  <si>
    <t>ericcornelissen-NervousFish-263</t>
  </si>
  <si>
    <t>Make it impossible to login without entering a password</t>
  </si>
  <si>
    <t>&lt;!-- Check if the title is descriptive! --&gt;
Relevant issues: #202
## User story
As develop want to make it impossible to login without entering password.
This issue demands that the code that allows one to login without password is removed.
This issue is needed for the project because we don want people to be able to login without entering password we don want the app to crash when trying to login without entering password.
This feature can be added by removing the relevant code from the LoginActivity
## Definition of ready
## Definition of done
This task can be considered done when
It is no longer possible to login without entering password.
There is an androidTest that verifies that trying to login without entering password doesn work.</t>
  </si>
  <si>
    <t>2017-06-16</t>
  </si>
  <si>
    <t>Mishiranu-Dashchan-146</t>
  </si>
  <si>
    <t>picture overview bug</t>
  </si>
  <si>
    <t>If thread has lot of images and you try to do the picture overview, it will just crash (https: youtu.be xZt855FqNFc)</t>
  </si>
  <si>
    <t>2017-06-17</t>
  </si>
  <si>
    <t>OpenLauncherTeam-openlauncher-164</t>
  </si>
  <si>
    <t>Total crash</t>
  </si>
  <si>
    <t>started up this morning and folders with more than one app in them opened with only one app and looked bit strange. moved the one app outside to see if that would change anything. got this crash and it kept crashing when clicked on Close App button. After or times, had to choose launcher and selected my system default. Everything was working well since 0.5.1 was released and all of sudden this morning, it didn work</t>
  </si>
  <si>
    <t>fossasia-pslab-android-193</t>
  </si>
  <si>
    <t>Handling faulty hardware attached</t>
  </si>
  <si>
    <t>If for some reason the processor in the PSLab hardware does not respond, the app freezes for over minute or two instead of detecting fault in the hardware
few minutes later it says initialization complete without actually realising the error
report hardware error. Do not try to load calibration.
**Steps to reproduce it**
Reprogram the PSLab with some firmware that does not implement the PSLab state machine
**LogCat for the issue**
audio hw primary( 90): start output stream: card:0, port:0, rate:44100
OpenGLRenderer( 223): Flushing caches (mode 0)
Process 158): Sending signal. PID: 22783 SIG:
Process 158): Sending signal. PID: 22783 SIG:
Process 158): Sending signal. PID: 22783 SIG:
Process 158): Sending signal. PID: 22783 SIG:
Process 158): Sending signal. PID: 22783 SIG:
Process 158): Sending signal. PID: 22783 SIG:
Process 158): Sending signal. PID: 22783 SIG:
Process 158): Sending signal. PID: 22783 SIG:
OpenGLRenderer( 223): Flushing caches (mode 1)
The timeouts go on for while. Interspersed with message from the OS regarding preparation of crash report
and so on for long while...
**Screenshots of the issue**</t>
  </si>
  <si>
    <t>2017-06-18</t>
  </si>
  <si>
    <t>fossasia-phimpme-android-620</t>
  </si>
  <si>
    <t>App crashes on pressing home icon on bottomBar</t>
  </si>
  <si>
    <t>App crashes on pressing home button on bottomnavigationbar in starting page.
No crash should occur
**Steps to reproduce it**
open app. switch to camera or accounts page then switch to home(gallery) by pressing home button in the middle (not by pressing back button)
**LogCat for the issue**
**Would you like to work on the issue?**
like to. But if anyone wants to work on it, they can.</t>
  </si>
  <si>
    <t>fossasia-phimpme-android-615</t>
  </si>
  <si>
    <t>App crash in editor</t>
  </si>
  <si>
    <t>App crashes in editor due to incomplete package name changes.
Package name is not refactored native code part.
Refactoring should be done in native code also.
**Steps to reproduce it**
**Would you like to work on the issue?**</t>
  </si>
  <si>
    <t>ForstaLabs-relay-73</t>
  </si>
  <si>
    <t>Crashes when opening group chat after OTA update</t>
  </si>
  <si>
    <t>&lt;!-- This is bug report template. By following the instructions below and filling out the sections with your information, you will help the developers to get all the necessary data to fix your issue.
You can also preview your report before submitting it. You may remove sections that aren relevant to your particular case.
Before we begin, please note that this tracker is only for issues, not questions or comments.
If you are looking for support, please see our support center instead:
or email support whispersystems.org
Let begin with checklist: replace the empty checkboxes below with checked ones accordingly --&gt;
searched open and closed issues for duplicates
read https: github.com WhisperSystems Signal-Android wiki
### Bug description
After allowing play.google.com to conduct an OTA update, message threads kept intact, but app crashed (Forsta stopped unexpectedly) when trying to (re)open group message. Individual messages loaded fine. Also, attempts to create new group-message crashed app as well. (contacts issue?)
app functioned great.
notice after re-installing that the only contacts available to the app are forsta members. After OTA had access to all of my phone contacts.
### Steps to reproduce
click on existing group message or new group message (loaded contacts fine, but crashed upon attempt to save).
&lt;!-- you can drag and drop images below --&gt;
### Device info
&lt;!-- replace the examples with your info --&gt;
**Android version:** 7.1.2
**Signal version:** 0.0.0
### Link to debug log</t>
  </si>
  <si>
    <t>2017-06-19</t>
  </si>
  <si>
    <t>vector-im-riot-android-1347</t>
  </si>
  <si>
    <t>Sign out from stopped home server crashes after trying for ages</t>
  </si>
  <si>
    <t>1. Log in Riot on local home server
2. Stop the home server
3. Sign out from Riot
Takes ages (10mn) then crashes.
think that it crashes after waking up the device after the screen time out.
On riot-ios it very fast.</t>
  </si>
  <si>
    <t>ericcornelissen-NervousFish-294</t>
  </si>
  <si>
    <t>Clear the password in the LoginActivity</t>
  </si>
  <si>
    <t>&lt;!-- Check if the pull request title is descriptive! --&gt;
Related Pull Requests:
&lt;!-- Specify what this pull request adds to the project --&gt;
This Pull Request updates the code base so the password entered in the login screen is cleared once the app progresses to the MainActivity
&lt;!-- Specify why this issue is needed in the project --&gt;
This Pull Request is needed because it improves security. Now it is sometimes possible to get back to the LoginActivity and then the password is still there
&lt;!-- Specify how this feature can be viewed or tested --&gt;
It is pretty hard to test this future, unless you know way to cause your phone to get to the LoginActivity in an unexpected fashion. On my device, if the app crashes immediately go back to the LoginActivity and then the password would still be there.
## Alternative implementation
&lt;!-- Specify any alternative implementations you have considered --&gt;
Clear the input if the LoginActivity is created. Simply seemed like worse idea then the current implementation.
&lt;!-- Is there anything important reviewers should know? Do they need to take something into account while reviewing? --&gt;</t>
  </si>
  <si>
    <t>maks-MGit-171</t>
  </si>
  <si>
    <t>FDroid containing pre-release version</t>
  </si>
  <si>
    <t>just stumbled across this issue: installed MGit from FDroid and what got was crashing (pre-release) version 1.5.2. don know if that what is intended or whether the author of MGit has control over this, but wanted bring this to your attention.
The 1.5.1 APK (latest stable) is working as expected.</t>
  </si>
  <si>
    <t>2017-06-20</t>
  </si>
  <si>
    <t>inaturalist-iNaturalistAndroid-367</t>
  </si>
  <si>
    <t>crash in AVD when adding a new observation</t>
  </si>
  <si>
    <t>This might not actually happen on real devices, but when run build 222 in an AVD and try to make new observation get
Is this some misconfiguration in my AVD set up or could this actually happen in production setting?</t>
  </si>
  <si>
    <t>inaturalist-iNaturalistAndroid-366</t>
  </si>
  <si>
    <t>crash while setting place guess</t>
  </si>
  <si>
    <t>Build 222. Error:
FATAL EXCEPTION: main
To replicate, just start new observation while connected to the Internet, let the GPS kick in and let the it look up place guess. Definitely blocking release.</t>
  </si>
  <si>
    <t>sockeqwe-mosby-256</t>
  </si>
  <si>
    <t>DetachView retainInstance is true when activity is destroyed</t>
  </si>
  <si>
    <t>**Mosby Version:** 3.0.4
DetachView with retainInstance false when activity is destroyed
**Actual behavior (include stacktrace if crash)**
DetachView with retainInstance true when activity is destroyed (onDestroy triggered on fragment)
**Steps to reproduce the behavior or link to sample repository**
Activate Don keep activities in dev menu.
setRetainInstance on fragment to true.
Destroy activity by leaving the app.
Restore activity by launching the app (new Presenter created with restore from previous state)
**Device :** HTC One Android 5.1.1
... Activate Don keep activities and launch App
... Config change portrait to landscape
... Config change landscape to portrait
... Leave App (Clicking on home button)</t>
  </si>
  <si>
    <t>fossasia-phimpme-android-639</t>
  </si>
  <si>
    <t>Fixes crash on affixing images</t>
  </si>
  <si>
    <t>Fix #638 App crash on affixing images</t>
  </si>
  <si>
    <t>fossasia-phimpme-android-638</t>
  </si>
  <si>
    <t>App crash on affixing images</t>
  </si>
  <si>
    <t>There is while affixing bitmap and the app crashes due to this.
App should not crash
**Steps to reproduce it**
1. Open any album which contains high resolution, large size images.
2. Long press to select two or more images.
3. Press the affix button from the menu.
**Would you like to work on the issue?**</t>
  </si>
  <si>
    <t>wahibhaq-urdu-font-comparator-app-29</t>
  </si>
  <si>
    <t>Fixing crash and failure to connect with firebase when release build</t>
  </si>
  <si>
    <t>2017-06-21</t>
  </si>
  <si>
    <t>7LPdWcaW-GrowTracker-Android-53</t>
  </si>
  <si>
    <t>getodk-collect-1191</t>
  </si>
  <si>
    <t>Crash if user changes devices orientation on Server settings and second time on General settings and then user clicks device back button</t>
  </si>
  <si>
    <t>#### Software and hardware versions
Collect current master v1.8.0 beta 9,
Android v4.1, v4.4, v5.1, v6.0,
Samsung Galaxy Young GT-S6310,
Samsung Galaxy J1 SM-J100H,
Sony Xperia Z3 D6603
#### Problem description
Crash if user changes devices orientation on Server settings and second time on General settings and then user clicks device back button
#### Steps to reproduce the problem
1. User goes to General Settings
2. User goes to Server
3. User changes device orientation
4. User is moved to General Settings (bug: #1184)
5. User changes device orientation again
6. User clicks device back button
7. App crashes
#### Expected behavior
User leaves Settings
#### Other information
Problem discovered during testing Settings redesign #1101 (https: github.com opendatakit collect pull 1101)</t>
  </si>
  <si>
    <t>nextcloud-android-1100</t>
  </si>
  <si>
    <t>AutoUpload view crashes app</t>
  </si>
  <si>
    <t>### Actual behaviour
Switching to instant view upload crashes the app.
No files are ever auto-uploaded
### Expected behaviour
Switching to instant upload view should show instant upload view.
Files should be auto-uploaded as configured
### Steps to reproduce
1. Start nextcloud app
2. Select Instant Upload view
### Environment data
Android version: 6.0.1
Device model: STV100-1 (BlackBerry Priv)
Stock or customized system: stock
Nextcloud app version: 1.4.3
Nextcloud server version: 11.0.3</t>
  </si>
  <si>
    <t>nextcloud-android-1107</t>
  </si>
  <si>
    <t>Crash on start when trying to open new account on device</t>
  </si>
  <si>
    <t>### Actual behaviour
app crashes when try to create new account
### Expected behaviour
woudl like to login...
### Steps to reproduce
1. install nextcloud from fdroid
2. start app on brand new device
3. app crashes
4. can see login form and application stopped popup
### Environment data
Android version: 6.0.1
Stock or customized system: stock
Nextcloud app version: 1.4.2
Nextcloud server version: 11</t>
  </si>
  <si>
    <t>2017-06-22</t>
  </si>
  <si>
    <t>RestComm-restcomm-android-sdk-621</t>
  </si>
  <si>
    <t>Call timer not canceled if call is canceled before call setup is complete</t>
  </si>
  <si>
    <t>Here an analysis of the issue:
Android Olympus receives call (I think from another Android Olympus)
While candidates are still gathering the call is hung up from the other side (not sure why we get BYE instead of CANCEL we need to check that)
Call is disconnected
After while we get timeout to our handler onCallTimeout
After while Android Olympus makes call and while the webrtc processing starts to generated SDP the App crashes
Even though it not clear what the root cause is, one issue we have is that the timer is not cancelled when the first call is disconnected. This could cause an exception due to disconnect logic being called again (due to the time out). Still, the exception seems to happen later. So we need to try to reproduce.
For sure we need to cancel timeoutHandler in such events to avoid the exception.
With this opportunity let also revisit the whole time logic because have the impression there is room for improvement there (I see to recall some issues with it in the past)
Here Test Fairy session (https: projects builds 5916479 sessions 59?source email-crash)
And here the reported stack trace:</t>
  </si>
  <si>
    <t>twilio-video-quickstart-android-126</t>
  </si>
  <si>
    <t>A VideoCapturer must provide at least one supported VideoFormat</t>
  </si>
  <si>
    <t>Hi, sometimes faced this exception and it caused crash. Could you help me to solve this one. Thanks lot
Caused by VideoCapturer must provide at least one supported VideoFormat</t>
  </si>
  <si>
    <t>nextcloud-android-1123</t>
  </si>
  <si>
    <t>Nextcloud Dev 20170623 crashes on start.</t>
  </si>
  <si>
    <t>### Actual behaviour
-Tell us what happens
After updating from Nextcloud Dev 20170622 to 20170623, the app crashes with the following message:
Unfortunately, Nextcloud dev has stopped.
### Expected behaviour
-Tell us what should happen
### Steps to reproduce
1. Update to Nextcloud Dev 20170623
2. Start the app.
3. app crashes.
### Environment data
Stock or customized system:
Nextcloud app version:
Nextcloud Dev 20170623
Nextcloud server version:
#### Web server error log
Insert your webserver log here
#### Nextcloud log (data nextcloud.log)
Insert your Nextcloud log here</t>
  </si>
  <si>
    <t>2017-06-23</t>
  </si>
  <si>
    <t>project-travel-mate-Travel-Mate-22</t>
  </si>
  <si>
    <t>NetworkOnMainThreadException crashing app</t>
  </si>
  <si>
    <t>When run and test the app on my emulator, the app crashes when try to type in the search bar on the main page (destinations). Sometimes it also randomly crashes when click on some of options in the navigation drawer. Not sure if it because of my emulator or if it bug. Anyways, here is the log:</t>
  </si>
  <si>
    <t>fossasia-phimpme-android-671</t>
  </si>
  <si>
    <t>fix: crash fix on EditImageActivity</t>
  </si>
  <si>
    <t>2017-06-24</t>
  </si>
  <si>
    <t>fossasia-phimpme-android-670</t>
  </si>
  <si>
    <t>App crash on EditImageActivity</t>
  </si>
  <si>
    <t>App crashed on selecting the Edit option from the options menu on SingleMediaActivity
Should not crash and open EditImageActivity
**Steps to reproduce it**
open Image --&gt; select Edit option from options menu
**LogCat for the issue**
Provide logs for the crash here
**Would you like to work on the issue?**</t>
  </si>
  <si>
    <t>tanrabad-survey-29</t>
  </si>
  <si>
    <t>BaseInputConnection.java line 589</t>
  </si>
  <si>
    <t>2017-06-25</t>
  </si>
  <si>
    <t>nextcloud-android-1130</t>
  </si>
  <si>
    <t>Android 4.x: crash on settings</t>
  </si>
  <si>
    <t>This is introduced by https: github.com nextcloud android commit</t>
  </si>
  <si>
    <t>fossasia-pslab-android-231</t>
  </si>
  <si>
    <t>App crash when increment/decrement buttons clicked when inputbox is empty</t>
  </si>
  <si>
    <t>When the input text boxes are empty, attempting to use increment decrement buttons in main control panel will crash the application.
App should not crash when user tries to click increment decrement buttons in control main panel
**Steps to reproduce it**
1. Open app
2. Go to Applications
3. Open Control
4. Type value or slide seek bar to set value in any text box
5. Delete the content and make the text box empty
6. Try clicking increment decrement icons and observe
**LogCat for the issue**
**Screenshots of the issue**
**Would you like to work on the issue?**
would like to work on it!</t>
  </si>
  <si>
    <t>lingochamp-FileDownloader-631</t>
  </si>
  <si>
    <t>下载到最后回调两次99%但是接下来的任何进度</t>
  </si>
  <si>
    <t>(https: github.com lingochamp FileDownloader wiki
#### Gongcong wanghaihui
1.5.7 APP log progress 100 progress 99,
progress 99 ):
4. Logcat crash warn error
#### P.S. Crash? error Crash (https: github.com lingochamp FileDownloader issues</t>
  </si>
  <si>
    <t>2017-06-26</t>
  </si>
  <si>
    <t>LawnchairLauncher-lawnchair-71</t>
  </si>
  <si>
    <t>Folder renaming crashes Lawnchair</t>
  </si>
  <si>
    <t>2017-06-27</t>
  </si>
  <si>
    <t>Intelehealth-Android-Mobile-Client-294</t>
  </si>
  <si>
    <t>App crashes on Update of Physical Exams from Visit Summary Screen</t>
  </si>
  <si>
    <t>k9mail-k-9-2604</t>
  </si>
  <si>
    <t>K9Mail crash often when I delete a message from threaded messages</t>
  </si>
  <si>
    <t>### Expected behavior
K9Mail doesn crash when delete message from threaded messages.
### Actual behavior
K9Mail crash often when delete message from threaded messages.
### Steps to reproduce
1. Delete message from threaded messages.
2. K9Mail crash
K-9 Mail version: 5.207
Here is log
Android version: 4.4
Account type (IMAP, POP3, WebDAV Exchange): IMAP</t>
  </si>
  <si>
    <t>getodk-collect-1206</t>
  </si>
  <si>
    <t>Crash when attempting to get device details</t>
  </si>
  <si>
    <t>#### Software and hardware versions
Collect v1.4.10+, seen across devices and Android versions in Play Store console
#### Problem description
Collect crashes when trying to get the phone serial number. believe is the culprit.
#### Steps to reproduce the problem
not able to reproduce this on my devices. Galaxy Note5, Galaxy S6 are common devices this happens on.
#### Expected behavior
No crash. The calls that can result in exceptions should be wrapped in try catch blocks.
#### Other information</t>
  </si>
  <si>
    <t>searles-FractviewAndroid-46</t>
  </si>
  <si>
    <t>Avoid crashes on invalid Json</t>
  </si>
  <si>
    <t>Avoid crashes in such case.</t>
  </si>
  <si>
    <t>2017-06-28</t>
  </si>
  <si>
    <t>hendraanggrian-socialview-10</t>
  </si>
  <si>
    <t>App crash when deleting</t>
  </si>
  <si>
    <t>First of all, amazing library!!
But wanted to know what can do with crash am handling right now with the EditText
When mention someone at the beginning and going to the middle of the word and start deleting it crashes with this error:
Thanks in advance :)</t>
  </si>
  <si>
    <t>HueToYou-ChatExchange-old-5</t>
  </si>
  <si>
    <t>Weird loading bug</t>
  </si>
  <si>
    <t>Occasionally, if chats fail to load properly, or the app crashes, the loading symbol will never disappear, even once all chats have been added.</t>
  </si>
  <si>
    <t>wallabag-android-app-580</t>
  </si>
  <si>
    <t>Tapping tags crashes app</t>
  </si>
  <si>
    <t>downloaded the latest version of the app available on the play store, but it crashes when tap on any tags. also noticed there are duplicate and triplicates for some tags. All tags crash the app, not one in particular. Running Wallabag 2.0.Is there newer version of the app should be using instead?</t>
  </si>
  <si>
    <t>RestComm-restcomm-android-sdk-634</t>
  </si>
  <si>
    <t>Investigate various TestFairy crashes</t>
  </si>
  <si>
    <t>Here are the links:
1. (https: projects builds 5916479 sessions 181?source email-crash)
2. Failed to send Ringing to incoming Invite (https: projects builds 5916479 sessions 119?source email-crash)
5. Failed to authenticate after max attempts (https: projects builds 5916479 sessions 326?source email-crash)
1. If anything is JAIN SIP issue, so opened RestComm jain-sip#156 for further investigation. Also tried to reproduce with samsung galaxy note in Firebase Test Lab, but there not one available.
These are all from BETA6 build, which is weird cause it working fine for me the last couple of weeks.
2. Reason for the crash is that the incoming INVITE doesn include Contact header which is mandatory. The question here is why JAIN SIP stack didn just reject the incoming INVITE, but let it pass only to break when the 180 Ringing was generated. Opened https: github.com RestComm jain-sip issues 157 for that
3. Issue here is in last call around 12:30. can really explain it since the object that is supposed to be null is guarded right above. One hint though is the fact that the incoming call is audio and is answered as video, so we might need to test that bit (TODO)
4. Seems same as (1). The difference is that JAIN SIP tries to initialize facilities as result of WiFi becoming available.
5. This was an issue by design. It doesn make sense to try with same creds after the creds have been rejected, either with second 401 Unauthorized 407 Proxy Auth Required or by 403 Forbidden Remember that per SIP RFC both 401 and 407 are allowed as ways to challenge new REGISTER with credentials while 403 means that server understood the request, but is refusing to fulfill it What we should do is allow to send REGISTER INVITE with creds after 401 407 just once.
6. The issue here is in CallActivity.java there is chance that pendingConnection is null if call activity is reopened after call has failed but used hasn pressed ok to the dialog so that the call activity is destroyed. Need to guard for this</t>
  </si>
  <si>
    <t>2017-06-29</t>
  </si>
  <si>
    <t>novoda-no-player-61</t>
  </si>
  <si>
    <t>Subtitles crash and demo flow</t>
  </si>
  <si>
    <t>Crash when trying to check equality of equals on object that was null
NoPlayer Demo doesn exactly follow the flow we expect clients to implement...
Swap the equality check to prevent crashes.
Make NoPlayer demo follow the flow we expect when creating and interacting with Player
### Test(s) added
No, just changing flow in Activities.
No UI changes.
### Paired with</t>
  </si>
  <si>
    <t>fossasia-phimpme-android-689</t>
  </si>
  <si>
    <t>App crashes sometimes due to OutOfMem. Exception</t>
  </si>
  <si>
    <t>App crashes when clicked on any high resolution images and while trying to upload high quality images to twitter.
App should not crash.
**Steps to reproduce it**
1. Open any album.
2. Arrange photos according to size in descending order.
3. Click on the image at index.
4. Picture won load in single media activity or app will crash.
5. Now again try to upload the same image to twitter.
**Would you like to work on the issue?**</t>
  </si>
  <si>
    <t>novoda-merlin-134</t>
  </si>
  <si>
    <t>NetworkStatusDisplayer crash in demo</t>
  </si>
  <si>
    <t>Introduced MerlinsBeard into the and assumed that Activities were created in the same way, with MerlinsBeard being created in the same place. Don make assumptions though because now it crashes
Pass MerlinsBeard into
### Test(s) added
No tests, but would be good to introduce some to catch stuff like this
No UI changes.
### Paired with</t>
  </si>
  <si>
    <t>square-okhttp-3438</t>
  </si>
  <si>
    <t>Android O CastException</t>
  </si>
  <si>
    <t>For Android noticed such crash in crashlytic,
Will this be fixed in new version of library?</t>
  </si>
  <si>
    <t>Intelehealth-Android-Mobile-Client-305</t>
  </si>
  <si>
    <t>App crashing when editing Family History , PMH,etc.</t>
  </si>
  <si>
    <t>fossasia-pslab-android-248</t>
  </si>
  <si>
    <t>Application crash in oscilloscope activity</t>
  </si>
  <si>
    <t>When device is not connected, if try to choose more than one channel from Channel Parameters application crashes
Application should not crash when multiple check-boxes are selected in oscilloscope
**Steps to reproduce it**
1. Open app
2. Go to Applications
3. Select Oscilloscope
4. Try selecting more than one checkbox out of CH1 CH2 CH3 and Microphone
**LogCat for the issue**
Caused by: Invalid index 0, size is
**Screenshots of the issue**
**Would you like to work on the issue?**</t>
  </si>
  <si>
    <t>eltos-SimpleDialogFragments-12</t>
  </si>
  <si>
    <t>minSdk9 branch not functional on Gingerbread</t>
  </si>
  <si>
    <t>While trying to use the SimpleColorDialog on Gingerbread found the following problems:
1. in CustomListDialog
2. PorterDuff.Mode.ADD in ColorWheelView
were added in API 11 and lead to crash.</t>
  </si>
  <si>
    <t>2017-06-30</t>
  </si>
  <si>
    <t>fekracomputers-IslamicLibraryAndroid-29</t>
  </si>
  <si>
    <t>Crash in book list fragment on searching</t>
  </si>
  <si>
    <t>When using list layout in book list fragment and searching the app crashes due to cast exception on line 202</t>
  </si>
  <si>
    <t>gelin-weather-notification-45</t>
  </si>
  <si>
    <t>Crash on LineageOS</t>
  </si>
  <si>
    <t>** Original report (https: bitbucket.org gelin issue 45) by Anonymous.**
Application stops working after starting it, or by clicking on the notification area-icon.
Interestingly, if cellural data-connection is disabled, app works fine, no crashing.</t>
  </si>
  <si>
    <t>2017-07-01</t>
  </si>
  <si>
    <t>hyperrail-hyperrail-for-android-40</t>
  </si>
  <si>
    <t>Version 0.9.3</t>
  </si>
  <si>
    <t>Version 0.9.3, version code 5.
Show date separators in result lists
Language for station names can be picked by the user
Route duration includes delays and is color coded
Clicking disturbance will open the NMBS website
Fixed bug where no disturbances is not shown correctly
Fixed bug where the application would crash when station can be found
Fixed bug where trains could appear twice
Fixed bug where refreshing did not work</t>
  </si>
  <si>
    <t>dhbw-timetable-dhbw-timetable-android-41</t>
  </si>
  <si>
    <t>Unexpected crashes</t>
  </si>
  <si>
    <t>We have some crashes on some of our test devices. Unfortunately DHBW Timetable has stopped.
user reported that the devices android 5.1.1 also reported same unexpected message on device boot up.
Some tests from android studios emulators could not really resolve this issue but reported two error messages without exceptions:
and on boot up:
failed to make and chown acct uid 10058: Read-only file system</t>
  </si>
  <si>
    <t>2017-07-02</t>
  </si>
  <si>
    <t>maxneaga-open_dash_cam_android-1</t>
  </si>
  <si>
    <t>Fix app crash on draw over other apps permission request</t>
  </si>
  <si>
    <t>Nightonke-BoomMenu-134</t>
  </si>
  <si>
    <t>BMB crashes - IllegalArgumentException: width and height must be &gt; 0</t>
  </si>
  <si>
    <t>app crashes immediately when go in to fragment and shows this
FATAL EXCEPTION: main</t>
  </si>
  <si>
    <t>2017-07-03</t>
  </si>
  <si>
    <t>fenimore-DemocracyDroid-30</t>
  </si>
  <si>
    <t>Story view Audio/Video link is Null before load</t>
  </si>
  <si>
    <t>When clicking to launch video or audio stream from stories tab, before the story has loaded, the links will be Null. And the app will crash NullPointer.</t>
  </si>
  <si>
    <t>vector-im-riot-android-1398</t>
  </si>
  <si>
    <t xml:space="preserve">DM rooms lost their status after crash </t>
  </si>
  <si>
    <t>reported by Coffee:matrix.org
DM rooms lost their status after crash
Riot OOM crashed trying to read #matrix room. After it crashed, most DM rooms are no longer in the people section but in rooms
cleared the cache, but it did not help.</t>
  </si>
  <si>
    <t>vector-im-riot-android-1396</t>
  </si>
  <si>
    <t>The call activity crashes on some devices</t>
  </si>
  <si>
    <t>commons-app-apps-android-commons-758</t>
  </si>
  <si>
    <t>Gallery pick crash: "Required view 'navigation_view' (snip) was not found"</t>
  </si>
  <si>
    <t>In my environment (API 24, emulator), choosing an image from the gallery via the app screen results in crash. It looks like this didn happen before #752 (pinging veyndan)
1. Start the app
2. Press the gallery button
3. Pick an image
4. Crash (see below for the log)
Caused by: Required view navigation view with ID 2131689604 for field navigationView was not found. If this view is optional add Nullable (fields) or Optional (methods) annotation.</t>
  </si>
  <si>
    <t>LawnchairLauncher-lawnchair-122</t>
  </si>
  <si>
    <t>Crash on Press-and-Hold action on Homescreen Folders</t>
  </si>
  <si>
    <t>Pressing and Holding folder on homescreen results in crash</t>
  </si>
  <si>
    <t>2017-07-04</t>
  </si>
  <si>
    <t>twilio-mobile-sdk-sample-android-3</t>
  </si>
  <si>
    <t>Arabic device and Auth library, crash</t>
  </si>
  <si>
    <t>FATAL EXCEPTION: main
Caused by: invalid date string: Unparseable date: ag caccfdgGMT+00:00 (at offset 0)
... 10 more</t>
  </si>
  <si>
    <t>LawnchairLauncher-lawnchair-121</t>
  </si>
  <si>
    <t>Dropping widgets from the shortcut menu crashes Lawnchair</t>
  </si>
  <si>
    <t>### Steps to reproduce
1. Long press any app that has widgets
2. When the shortcut menu appears, select Widgets
3. Long press one of the listed widgets
### Expected behaviour
Widget is placeable on the current desktop
### Actual behaviour</t>
  </si>
  <si>
    <t>react-native-camera-react-native-camera-774</t>
  </si>
  <si>
    <t>Crash when using backHandler.closeApp()</t>
  </si>
  <si>
    <t>Have problem with Android crashing when using back button to close the app. Here is the error:
Exception Camera is being used after Camera.release() was called</t>
  </si>
  <si>
    <t>nextcloud-android-1161</t>
  </si>
  <si>
    <t>Backup contacts screen keeps crashing the app</t>
  </si>
  <si>
    <t>Reported by AndyScherzinger on https: github.com nextcloud android pull
can you give us here some more details?</t>
  </si>
  <si>
    <t>wiglenet-wigle-wifi-wardriving-149</t>
  </si>
  <si>
    <t>FIX - just trap this error, since restoring map state isn't really that big a deal</t>
  </si>
  <si>
    <t>Common bug report on android versions 4.0 -&gt; 7.0, unable to repro in debugging.
Some notes online indicate that this happens with specific GMS versions, is not fault of use.
Since this shouldn crash the app, we re trapping and logging, although we ll continue to look for more info</t>
  </si>
  <si>
    <t>2017-07-05</t>
  </si>
  <si>
    <t>SecUSo-privacy-friendly-shopping-list-41</t>
  </si>
  <si>
    <t>rx.exceptions.OnErrorNotImplementedException</t>
  </si>
  <si>
    <t>This is very frequent problem causing the app to crash on at least 200 devices of our users.
This is the error on Android 5, and
This is the error an Android 4:</t>
  </si>
  <si>
    <t>eurofurence-ef-app_android-97</t>
  </si>
  <si>
    <t>App crashes when viewing a Knowledge entry detail</t>
  </si>
  <si>
    <t>2.0.1 Build 65 on Android 7.1.1 (Emulator)
Tapping on any item causes the app to crash.</t>
  </si>
  <si>
    <t>vector-im-riot-android-1410</t>
  </si>
  <si>
    <t>crash when the mark all response is received whereas the user switches to another fragment</t>
  </si>
  <si>
    <t>Steps to reproduce
Select Mark all as read on the home menu with many unread messages and on slow network
Switch to another home tab
----&gt; the app used to crash when the response was received</t>
  </si>
  <si>
    <t>inaturalist-iNaturalistAndroid-377</t>
  </si>
  <si>
    <t>obs detail map causing crash</t>
  </si>
  <si>
    <t>think getting this crash quite bit on obs detail from Explore:
Fatal Exception: Error using int): View size is too small after padding is applied.
Build 228. Possibly related to #272</t>
  </si>
  <si>
    <t>2017-07-07</t>
  </si>
  <si>
    <t>niclabs-adkintunmobile-androidclient-178</t>
  </si>
  <si>
    <t>SpeedTestPreferenceFragment.java line 106</t>
  </si>
  <si>
    <t>fossasia-pslab-android-286</t>
  </si>
  <si>
    <t>App crash on setting Voltage/Current  from Control Main</t>
  </si>
  <si>
    <t>When **SET** button is pressed and device is connected, App crashes.
App shouldn crash instead whatever voltage current is specified in EditText should be set.
**Steps to reproduce it**
Connect Device and try to set Voltage Current.
**LogCat for the issue**
NA, Activity is restarted so error Logs aren captured.
**Screenshots of the issue**
**Would you like to work on the issue?**</t>
  </si>
  <si>
    <t>myinnos-AlphabetIndex-Fast-Scroll-RecyclerView-13</t>
  </si>
  <si>
    <t>crash when list size zero and click on index bar</t>
  </si>
  <si>
    <t>When list size zero and click on index bar crash app even hide the index bar and set width</t>
  </si>
  <si>
    <t>LawnchairLauncher-lawnchair-156</t>
  </si>
  <si>
    <t xml:space="preserve">Lawnchair crashes </t>
  </si>
  <si>
    <t>Thanks for the awesome launcher.
having slight problem, the launcher works as intended but sometimes after unlocking the screen (I only use fingerprint to unlock, not sure if it relevant) the launcher crashes and have to pick new default launcher again.
Phone info Xiaomi Redmi Note
MIUI 8.2.1.0 Global
Also got the Launcher3 by Amirzaidi</t>
  </si>
  <si>
    <t>tanrabad-survey-30</t>
  </si>
  <si>
    <t>2017-07-08</t>
  </si>
  <si>
    <t>Ashok-Varma-BottomNavigation-134</t>
  </si>
  <si>
    <t>[BUG] Crash when adding a badge.</t>
  </si>
  <si>
    <t>using the 2.0.1 version, and having the following crash when trying to add badge.
Here is the code that triggers it (it Kotlin)
R.drawable.ic fiber new black 24dp,
Is there way to solve this</t>
  </si>
  <si>
    <t>2017-07-09</t>
  </si>
  <si>
    <t>ZieIony-Carbon-306</t>
  </si>
  <si>
    <t>Sometimes crash when click some items</t>
  </si>
  <si>
    <t>In this version, sometimes crash when click some items test phone is Samsung s6 edge and XiaoMI Mi6</t>
  </si>
  <si>
    <t>2017-07-10</t>
  </si>
  <si>
    <t>smartdevicelink-sdl_java_suite-555</t>
  </si>
  <si>
    <t>NPE in onReceive method of SdlBroadcastReceiver</t>
  </si>
  <si>
    <t>In we try to access the variable localRouterClass at few places. The value of this variable is supplied by the client app in SdlReceiver.java.
If for some reasons this value is returned as null, the SDL Library can potentially crash.
Crash here (https: github.com smartdevicelink sdl android blob master sdl android src main java com smartdevicelink transport
Caused by: Attempt to invoke virtual method java.lang.String on null object reference
This is because we can be potentially calling at some point, and that method tries to access the said variable localRouterClass which can be null.
We should perform null check and return immediately, effectively bypassing the whole multiplexing flow because if the router service class is null, there is no point of doing any further work on multiplex connection.
Then should change from: here (https: github.com smartdevicelink sdl android blob master sdl android src main java com smartdevicelink transport
if ((localRouterClass null)
It true that the variable localRouterClass should not be null if the client app setups the Multiplexing flow correctly but we shouldn make this assumption.
This issue was brought up by the Android Alexa team at Amazon and confirmed by us.</t>
  </si>
  <si>
    <t>2017-07-11</t>
  </si>
  <si>
    <t>fuzz-productions-CutoutViewIndicator-71</t>
  </si>
  <si>
    <t>IllegalStateException if pager gains an adapter while attached to indicator</t>
  </si>
  <si>
    <t>Previously, the code assumed that it could call as many times as it likes. In the case of ViewPagerStateProxy however, an unbalanced call to disassociateFrom() or associateWith() may cause an crash.
To resolve this, think it ll be best to keep track of whether we originally associated up until the next call to setStateProxy</t>
  </si>
  <si>
    <t>RestComm-restcomm-android-sdk-637</t>
  </si>
  <si>
    <t>JAIN SIP resources managed poorly</t>
  </si>
  <si>
    <t>Right now if some signaling error occurs we usually remove the transaction from the high level transaction map we maintain and are done with it. In some cases we don even do that which causes crashes if future message arrives for that dialog.
What we should do instead is if the error is important enough as is with most TestFairy sessions we have been investigating:
Make sure that the transaction is removed from our container
Make sure that JAIN SIP resources like Transaction or Dialog entities are deleted terminated properly so that future messages on any of those are just ignored by the stack itself and not reach the application level
Make sure that if any hard signaling error occurs, which triggers that we don try to do any corrective action (like right now that we try to disconnect) as we re likely to mess things up more and to be inline with the handling in the signaling facilities where Dialog Transaction is terminated.
These issues have manifested themselves LOT with latest official release (i.e. BETA6). Cases in point (each originating in different Android device):
https: projects builds 5916479 sessions 37?source crash-overview
https: projects builds 5916479 sessions 100?source crash-overview
https: projects builds 5916479 sessions 115?source crash-overview
https: projects builds 5916479 sessions 261?source crash-overview</t>
  </si>
  <si>
    <t>novoda-merlin-139</t>
  </si>
  <si>
    <t>MerlinsBeard NetworkInfo Crash</t>
  </si>
  <si>
    <t>There is check against NetworkInfo that can be null. See:
#### Potential Solution
Add null check to the above to avoid
Leads to crashes in client applications.</t>
  </si>
  <si>
    <t>2017-07-12</t>
  </si>
  <si>
    <t>davideas-FlexibleAdapter-409</t>
  </si>
  <si>
    <t>setEndlessScrollListener crashes when logging is enabled</t>
  </si>
  <si>
    <t>public FlexibleAdapter Nullable NonNull progressItem)
When is null, Utils.getClassName will crash</t>
  </si>
  <si>
    <t>martykan-forecastie-219</t>
  </si>
  <si>
    <t>Bad Custom Date Format causes crash</t>
  </si>
  <si>
    <t>If choose to enter custom date format and the format using is wrong the app breaks and won start unless remove the data for the app.</t>
  </si>
  <si>
    <t>NineWorlds-serenity-android-336</t>
  </si>
  <si>
    <t>TV Shows pressing recently aired crashes app</t>
  </si>
  <si>
    <t>With the latest code change selecting Recently Aired will crash the application.</t>
  </si>
  <si>
    <t>pc-coholic-de.pccoholic.pretix.dpc-2</t>
  </si>
  <si>
    <t>DPC crashes on Boot</t>
  </si>
  <si>
    <t>But it seems to recover and restart still worth investigating.</t>
  </si>
  <si>
    <t>2017-07-13</t>
  </si>
  <si>
    <t>novoda-no-player-70</t>
  </si>
  <si>
    <t xml:space="preserve">Only Play when transitioning </t>
  </si>
  <si>
    <t>We had crash in client app that occurred because we were double calling onVideoPlaying this occurs only on MediaPlayer which calls play when performing seek.
Store the isPlaying state before calling mediaPlayer.start and if the state is already PLAYING then do not call onVideoPlaying
### Test(s) added
Added test to ensure that we do not call onVideoPlaying when the Player is already playing.
No UI changes.
### Paired with
Nobody but ouchadam found the problem</t>
  </si>
  <si>
    <t>mit-cml-appinventor-sources-899</t>
  </si>
  <si>
    <t>Player crashes app if volume outside allowed range</t>
  </si>
  <si>
    <t>Relevant forum post (https: groups.google.com forum #!msg mitappinventortest RZmn1b5xMCw jxR ISdIAAAJ)</t>
  </si>
  <si>
    <t>simoneapp-S3-16-simone-22</t>
  </si>
  <si>
    <t>Checking if Game Play is installed</t>
  </si>
  <si>
    <t>installed Simone app on new smartphone and **I realized the single mode game crash if Game Play is not installed**. We should add controll before open the game activity.</t>
  </si>
  <si>
    <t>2017-07-14</t>
  </si>
  <si>
    <t>dimagi-commcare-android-1763</t>
  </si>
  <si>
    <t>Fixes Preferences Dialog crash on rotation</t>
  </si>
  <si>
    <t>Case url: https: manage.dimagi.com default.asp?258182
Adds check for fragment null before adding it.</t>
  </si>
  <si>
    <t>Windsander-Android-UltimateGPUImage-14</t>
  </si>
  <si>
    <t>bug fix: crash happened  when i-Frame conflict</t>
  </si>
  <si>
    <t>Recorder can stop at this moment, when record system muxer get i-Frame income.
So, we should do stop action more later to solve this problem</t>
  </si>
  <si>
    <t>nextcloud-android-1184</t>
  </si>
  <si>
    <t>Crash when opening remote image in nextcloud-dev</t>
  </si>
  <si>
    <t>### Actual behaviour
-Tell us what happens
App crashes when opening an remote image
### Expected behaviour
-Tell us what should happen
### Steps to reproduce
1. click on remote image
### Environment data
Android version: 6.0.1
Stock or customized system:stock
Nextcloud app version: nextcloud-dev from fdroid
Nextcloud server version:11</t>
  </si>
  <si>
    <t>barbeau-gpstest-85</t>
  </si>
  <si>
    <t>IllegalStateException when updating status</t>
  </si>
  <si>
    <t>saw crash today with this in the log:
**Steps to reproduce:**
**Device and Android version:**
LG G5 Android 7.0</t>
  </si>
  <si>
    <t>getodk-collect-1251</t>
  </si>
  <si>
    <t>Frequent crash on version 1.4.10 from Play Store</t>
  </si>
  <si>
    <t>jroal-a2dpvolume-250</t>
  </si>
  <si>
    <t>App crashes when attempting to set volume</t>
  </si>
  <si>
    <t>k9mail-k-9-2627</t>
  </si>
  <si>
    <t>SQLiteDiskIOException: disk I/O error (code 1802) when querying DB from MessageController Thread</t>
  </si>
  <si>
    <t>Please search to check for an existing issue (including closed issues, for which the fix may not have yet been released) before opening new issue: https: github.com k9mail k-9 issues?q is%3Aissue
### Expected behavior
K9 should open emails and allow them to be read and change folders to read other emails without suddenly stopping
### Actual behavior
After reading an email, K-9 will occasionally (at least once day) crash for no apparent reason, and have to re-start it.
### Steps to reproduce
1. Tap on K-9 icon to open it
2. Navigate to folder
3. Open an email
4. Use phone back button to exit email K-9 may crash at this point.
5. Use phone back button again to change to another account K-9 may crash at this point (if not before). This behaviour isn consistent, unfortunately.
K-9 Mail version: 5.206
Android version: 7.0 on Moto G5 phone
Account type (IMAP, POP3, WebDAV Exchange): pop3 (six accounts in all)
See attached screen shot for more Android info also see attached debug log.
Thanks for reading this report,
about moto g5 phone (https: 28846333</t>
  </si>
  <si>
    <t>2017-07-15</t>
  </si>
  <si>
    <t>7LPdWcaW-GrowTracker-Android-54</t>
  </si>
  <si>
    <t>fossasia-pslab-android-316</t>
  </si>
  <si>
    <t>Measuring capacitance crashes the app</t>
  </si>
  <si>
    <t>When there is nothing connected to measure capacitance, the app crashed if the Capacitance button is clicked for while in control read UI
App shouldn crash if the capacitance button is clicked.
**Steps to reproduce it**
1. Open app
2. Connect device
3. Go to Control
4. Select Read tab
5. Without connecting anything to measure capacitance, try clicking the Capacitance button for two three times
**LogCat for the issue**
**Screenshots of the issue**
**Would you like to work on the issue?**</t>
  </si>
  <si>
    <t>tanrabad-survey-31</t>
  </si>
  <si>
    <t>AppLozic-Applozic-Android-SDK-268</t>
  </si>
  <si>
    <t>File attachments bugs</t>
  </si>
  <si>
    <t>We LOVE to help with any issues or bugs you have!
**Feature Request**: Just fill in the first two sections below.
and the steps you have taken to reproduce it in as many details as possible.
Thanks for helping us help you! :-)
&lt;!--- What do you want to achieve? --&gt;
## Expected Results
&lt;!--- What did you expect to happen? --&gt;
## Actual Results
&lt;!--- What happened instead?
e.g. the stack trace of crash
## Steps to Reproduce
&lt;!--- What are steps we can follow to reproduce this issue? --&gt;
## Code Sample
Provide code sample or test case that highlights the issue.
For larger code samples, links to external gists repositories are preferred.
Android studio sample project that we can compile ourselves are ideal!
Applozic Android SDK version:
&lt;!--- You can get the version from gradle Dependency or from module build.gradle file versionName --&gt;
Android OS version:
Dependencies used with version:</t>
  </si>
  <si>
    <t>2017-07-16</t>
  </si>
  <si>
    <t>nextcloud-android-1197</t>
  </si>
  <si>
    <t>client crashes upon first open</t>
  </si>
  <si>
    <t>installed Nextcloud client 1.4.2 via F-Droid on my phone. It does ask permission for folders, but then crashes Nextcloud has stopped ). It does the same after having given the folder permissions. In the background (behind the error) can (sometimes) see the login screen.
After having installed legacy version (1.4.1) from F-Droid, start-up works perfect. Then, after updating again via F-Droid to 1.4.2, it crashes upon startup.
### Environment data
Nextcloud app version: 1.4.2</t>
  </si>
  <si>
    <t>fekracomputers-IslamicLibraryAndroid-32</t>
  </si>
  <si>
    <t>crash on android nougt (7.0 and 7.1) on opening any book</t>
  </si>
  <si>
    <t>on opening any book the application crashes this is reported several times only from these versions of android see this issue (https: github.com duolingo rtl-viewpager issues 5) for discussion
here we have other options
use another way for right to left page turning than duolingo rtl-viewpager (https: github.com duolingo rtl-viewpager)
use application value for rtl instead the resolved one</t>
  </si>
  <si>
    <t>xkik-dev-XKik-5</t>
  </si>
  <si>
    <t>Dark mode</t>
  </si>
  <si>
    <t>When dark mode is turned on opening chat will crash the Kik.</t>
  </si>
  <si>
    <t>LawnchairLauncher-lawnchair-214</t>
  </si>
  <si>
    <t>When creating a shortcut in folder, it crashes.</t>
  </si>
  <si>
    <t>cientopolis-samplers-65</t>
  </si>
  <si>
    <t>Camera2Fragment crashes onPause</t>
  </si>
  <si>
    <t>When Camera2 is streaming and you press square button, the app crash</t>
  </si>
  <si>
    <t>2017-07-17</t>
  </si>
  <si>
    <t>fossasia-phimpme-android-815</t>
  </si>
  <si>
    <t>App crashes if the user tries to share on Pinterest without logging in</t>
  </si>
  <si>
    <t>App crashes if the user does not log in and tries to share the image from the Share activity.
Check if the user is logged in or not. If not logged in direct the user to the Accounts Activity and log in.
**Steps to reproduce it**
**Would you like to work on the issue?**</t>
  </si>
  <si>
    <t>smart-fun-XmlToJson-8</t>
  </si>
  <si>
    <t>XmlToJson.Builder(xml_string).build() crashes</t>
  </si>
  <si>
    <t>So far could only reproduce this on Galaxy S3 running KitKat (API 19).</t>
  </si>
  <si>
    <t>HueToYou-ChatExchange-old-16</t>
  </si>
  <si>
    <t>App crashes when remove all chats FAB is pressed</t>
  </si>
  <si>
    <t>2017-07-18</t>
  </si>
  <si>
    <t>novoda-no-player-72</t>
  </si>
  <si>
    <t>onVideoStopped is double called</t>
  </si>
  <si>
    <t>As per this (https: github.com novoda no-player blob master core src main java com novoda noplayer internal mediaplayer on stop and on release both call onVideoStopped
#### Potential Solution
Only emit state if it is different from the previous state. Similar to how we handle it for the play here (https: github.com novoda no-player blob master core src main java com novoda noplayer internal mediaplayer
Clients should not need to deal with multiple calls to the same state, it could potentially lead to inconsistencies and crashes, especially if we delay patching this.</t>
  </si>
  <si>
    <t>google-ExoPlayer-3079</t>
  </si>
  <si>
    <t>HlsChunkSource starts with wrong track, despite resolution/bitrate constraints</t>
  </si>
  <si>
    <t>### Issue description
As user integrator of exoplayer want to be able to set max bandwidth and or resolution for the exoplayer HLS adaptation logic. would expect the player to never download and try to playback segments that do not satisfy the constraints have set.
However, when the HLS manifest is written with inner playlists sorted from the highest to the lowest quality ExoPlayer will try to start with the highest quality no matter what the constraints are.
Devices like Samsung S4 mini will just crash right away when trying to decode segments with very high resolutions.
### Link to test content
### Version of ExoPlayer being used
Latest exoplayer release-v2 branch as of today
### Device(s) and version(s) of Android being used
Samsung S4 mini is one of the device which needs to have resolution bitrate constraints. Android 4.4.2
### full bug report captured from the device
This is the output taken right after the Samsung S4 mini fails to play the manifest file as described above.
### Further discussion after hours of debugging
group contains list of formats ordered as they are ordered in the manifest file.
indexOf() instead looks up the given index in the list of formats sorted by decreasing bandwidth.
Using group.getFormat(0) may return either the lowest or the highest available bitrate resolution depending on how the manifest was written. This effectively means that exoplayer MAY start loading segment starting with the highest or the lowest quality chunk before actual adaptation logic kicks in.
On some devices like the Samsung S4 mini we need to put constraints (maxBitrate, maxVideoHeight, maxVideoWidth) otherwise the device decoder will fail. Because of the aforementioned problem our constraints have no effects. Even with constraints the playback may still start from an unpredictable bitrate resolution depending on the manifest and the device fails to decode (no playback).</t>
  </si>
  <si>
    <t>LawnchairLauncher-lawnchair-237</t>
  </si>
  <si>
    <t>Crashes when battery saver is on.</t>
  </si>
  <si>
    <t>Whenever press the home button with battery saver on the app crashes and my phone reverts to stock launcher.
Android 8.0 OPP3</t>
  </si>
  <si>
    <t>7LPdWcaW-GrowTracker-Android-56</t>
  </si>
  <si>
    <t>2017-07-19</t>
  </si>
  <si>
    <t>alter-ego-androidbound-126</t>
  </si>
  <si>
    <t>BindableRecyclerView sometimes crashes when initializing</t>
  </si>
  <si>
    <t>In my app, when initializing some (but not all), get this crash. Doesn happen in the example app.
It seems to happen either because DiffUtil calculates on another thread or because notifyItem* methods used by crash when called on an empty list adapter.
(both referenced here: https: stackoverflow.com questions 31759171
FATAL EXCEPTION: main</t>
  </si>
  <si>
    <t>tanrabad-survey-32</t>
  </si>
  <si>
    <t>inaturalist-iNaturalistAndroid-390</t>
  </si>
  <si>
    <t>crash on obs list launch</t>
  </si>
  <si>
    <t>Seems like string formatting issue:
Caused by %d can format java.lang.String arguments</t>
  </si>
  <si>
    <t>dhbw-timetable-dhbw-timetable-android-75</t>
  </si>
  <si>
    <t>App crashes on alarm when another (native) alarm is scheduled</t>
  </si>
  <si>
    <t>2017-07-20</t>
  </si>
  <si>
    <t>dhbw-timetable-dhbw-timetable-android-73</t>
  </si>
  <si>
    <t>Alarm crashed on huawaii</t>
  </si>
  <si>
    <t>The app was closed on the next morning. But the alarm was scheduled correctly.</t>
  </si>
  <si>
    <t>BaseballCardTracker-bbct-android-416</t>
  </si>
  <si>
    <t>BaseballCardDetails.java line 282</t>
  </si>
  <si>
    <t>2017-07-21</t>
  </si>
  <si>
    <t>TeamNewPipe-NewPipe-635</t>
  </si>
  <si>
    <t>Trying to use popup on Android TV crashes the app.</t>
  </si>
  <si>
    <t>know were not supposed to report crashes here, but don have an email client installed on the Shield to send the crash report in! Everything else, including background play, functions as it should. Thanks for an otherwise amazing app, looking forward to future builds!</t>
  </si>
  <si>
    <t>2017-07-23</t>
  </si>
  <si>
    <t>billthefarmer-editor-1</t>
  </si>
  <si>
    <t>App crashes when saving file on Android 7.1.2</t>
  </si>
  <si>
    <t>When try to save file, the app crashes with the following stacktrace:</t>
  </si>
  <si>
    <t>2017-07-24</t>
  </si>
  <si>
    <t>syncthing-syncthing-android-927</t>
  </si>
  <si>
    <t>"Store in Syncthing" crashes when Syncthing not running/(not syncing?)</t>
  </si>
  <si>
    <t>had Setup Syncthing to sync only while connected to Power and my Wifi. (In Laufkonditionen Running Conditions.
On the go tried to add some Pictures to Syncthing to have them synced later.
used the Gallery, pressed Share and selected Speichern in Syncthing Save to Syncthing.
In the following Window was unable to select my Syncthing Folder. (No list popup, empty field)
When pressed OK (Why can press ok without selection anyway?) Syncthing Crashed and all the effort spend in selecting my Pictures was wasted.
To Reproduced the Issue tried again with Syncthing running: Everything works smoothly, the Folder-Field is prefilled with my only Syncthingfolder.
After Disconnecting Power (see sync run conditions) The Problem appeared again.
Telekom Puls Tablet (Alcatel OneTouch) Android 5.0.1
Syncthing Version 0.14.32
Syncthing Android Version 0.9.12 from PlayStore.</t>
  </si>
  <si>
    <t>dji-sdk-Mobile-SDK-Android-143</t>
  </si>
  <si>
    <t>fetchFileData doesn't work with MediaFile result from setMediaFileCallback</t>
  </si>
  <si>
    <t>Description of the issue.
want to immediately download the photo to my phone when taking picture. When setting the media file callback using can get the MediaFile of the newest photo taken, but calling fetchFileData does not download it to my mobile device. Nothing logs with the callback methods such as onSuccess and onFailure and onProgress
Steps to reproduce the bug or crash issues(It would be great if you can provide this)
1. set callback to camera using
2. When photo taken, call fetchFileData on the MediaFile result from onNewFile
DJI Android SDK version you are using (Like Android SDK 3.4, etc)
DJI Product you are using (Like Phantom 4, Mavic Pro, etc)
Android system version you are using (Like Android 6.0.1, Android 5.1.1, etc)
Android device you are using (Like Samsung Galaxy Note 5, Nexus 5, etc)
Samsung Galaxy S7</t>
  </si>
  <si>
    <t>ZeusWPI-hydra-android-163</t>
  </si>
  <si>
    <t>Urgent.fm doesn't always work on Android O</t>
  </si>
  <si>
    <t>In Android O, we must call startForeground() within seconds of starting the service, or the app crashes. The best way to fix this would be showing an notification immediately that says Preparing or something like that.</t>
  </si>
  <si>
    <t>2017-07-25</t>
  </si>
  <si>
    <t>turing-tech-MaterialScrollBar-100</t>
  </si>
  <si>
    <t xml:space="preserve">Crash when set bar thickness </t>
  </si>
  <si>
    <t>after set this app:msb barThickness 3dp the app crash.
crash on NPE here
public setBarThickness(int thickness)
LayoutParams layoutParams (LayoutParams)
layoutParams (LayoutParams) getLayoutParams() &lt;- crash, reutn null
&lt;?xml version 1.0 encoding utf-8 ?&gt;</t>
  </si>
  <si>
    <t>novoda-no-player-74</t>
  </si>
  <si>
    <t xml:space="preserve">BUG/Multiple codecs bound to a single surface </t>
  </si>
  <si>
    <t>We noticed crashes on the Nexus 6p and Blackberry Priv when swapping players with different content.
The crash was due to the SurfaceView not being unbound as part of the player.stop player.release which meant it was possible for multiple decoders to attempt to bind to it.
To destroy and recreate the surface as part of the player.load player.stop lifecycle
### Test(s) added
Yes to ensure the view visibility is set correctly.
No UI changes.
### Paired with</t>
  </si>
  <si>
    <t>codekidX-storage-chooser-43</t>
  </si>
  <si>
    <t>Fatal Exception: java.lang.IllegalArgumentException: Invalid path: /storage/container</t>
  </si>
  <si>
    <t>One of my users causes this error when use your library
Link http: crashes.to 50412a88afe
Fatal Exception: Invalid path: storage container
Caused by statvfs failed: EACCES (Permission denied)</t>
  </si>
  <si>
    <t>2017-07-26</t>
  </si>
  <si>
    <t>novoda-no-player-76</t>
  </si>
  <si>
    <t>Jelly bean crash</t>
  </si>
  <si>
    <t>When trying to play DRM protected content on API level 18 we would see crash. This occurred because was targeting API level 19 when we should have been targeting API 18. We wrongly thought that we should be targeting 19 because is an API 19 exception... but apparently, if you just use Exception in your catch it doesn matter and yes ExoPlayer does this too in the Demo...
Target API level 18 and catch generic Exception rather than the unsupported Exception ...
### Test(s) added
No, just changed the target and edited the exception.
No UI changes.
### Paired with
ouchadam and zegnus, debugging TEAM!</t>
  </si>
  <si>
    <t>AniTrend-anitrend-app-4</t>
  </si>
  <si>
    <t>Crashes With YouTube Videos In Comment Activity</t>
  </si>
  <si>
    <t>YouTube causes crashes in comments activity in devices running android Lollipop (5.0)
Activities will crash if the intent flag new task is not added outside an activity or fragment context.</t>
  </si>
  <si>
    <t>tanrabad-survey-33</t>
  </si>
  <si>
    <t>schedjoules-android-event-discovery-sdk-373</t>
  </si>
  <si>
    <t>Unclear crash upon discovery launch caused by missing categories cache</t>
  </si>
  <si>
    <t>This happened twice but only during development when relaunching the app frequently from Android Studio, so it not clear if this can be an actual live-bug or not.</t>
  </si>
  <si>
    <t>2017-07-27</t>
  </si>
  <si>
    <t>fossasia-phimpme-android-896</t>
  </si>
  <si>
    <t>Excluding last album from photos mode crashes the application</t>
  </si>
  <si>
    <t>Excluding last album from photos mode crashes the application.
The crash shouldn occur.
The option shouldn be there in photos mode or it should be renamed to exclude album instead of exclude because the user might confuse it with exclude specific photo.
**Steps to reproduce it**
In gallery page -&gt; open last album -&gt; long press image to select it -&gt; in the context menu click exclude.
**LogCat for the issue**
**Would you like to work on the issue?**
pa1pal mohitmanuja anantprsd5 Subhankar29
Should the option be removed or renamed or just the crash be fixed?</t>
  </si>
  <si>
    <t>2017-07-28</t>
  </si>
  <si>
    <t>hendraanggrian-socialview-15</t>
  </si>
  <si>
    <t>Crash when writing mention/tag</t>
  </si>
  <si>
    <t>Hi there friend,
Been using lot your awesome library, but came across an issue that never occurred to me before.
made an custom adapter for the mentions and assigned it to the
When enter mention or even hashtag and check if there are mentions or hashtags get crash (after pressing post button that checks if there are mentions hashtags).
My custom adapter:
public class extends
private Filter filter new SocialFilter()
public CharSequence resultValue)
public NonNull Context context)
super(context, R.layout.item mentions, R.id.textview mention username)
public View getView(int position, View convertView, NonNull ViewGroup parent)
if (convertView null)
convertView mentions, parent, false)
Mention item getItem(position)
if (item null)
if (item.getAvatar() null)
public Filter getFilter()
private static class ViewHolder
private final CircularImageView imageView
private final TextView textViewUsername</t>
  </si>
  <si>
    <t>google-ExoPlayer-3116</t>
  </si>
  <si>
    <t>ID3 Metadata crash causes MP3 to be unplayable</t>
  </si>
  <si>
    <t>### Issue description
When playing this particular MP3 through ExoPlayer the following exception occurs, causing playback to fail:
The MP3 in question is this one (https: media.blubrry.com tricodepais content.blubrry.com tricodepais tricodepais ep028.mp3)
### Reproduction steps
Attempt to play MP3 linked in this issue, playback fails with ID3 exception.
### Link to test content
### Version of ExoPlayer being used
### Device(s) and version(s) of Android being used
Tested on quite few phones, Google Pixel, Samsung Galaxy S6, S7, etc.</t>
  </si>
  <si>
    <t>rubensousa-FloatingToolbar-32</t>
  </si>
  <si>
    <t>Current FloatingToolbarMenuBuilder implementation makes the app crash</t>
  </si>
  <si>
    <t>If one does not set menu in layout xml, but builds it and sets it programmatically, the app will crash, because the library calls removeAllViews() for the FloatingToolbar but it is null because there was no menu set before.</t>
  </si>
  <si>
    <t>nextcloud-android-1242</t>
  </si>
  <si>
    <t>Support for Android 8.0</t>
  </si>
  <si>
    <t>### Actual behaviour
On opening 1.4.3 the app force-closes after the first initial logon (when setting up) and subsequently immediately on every following app launch.
### Expected behaviour
It works as normal
### Steps to reproduce
1. Grab phone that supports the Android beta and upgrade
2. Download and login to the NC app
3. Watch it crash
### Environment data
Android version: (8.0)
Device model: nexus 5x
Stock or customized system: stock beta
Nextcloud app version: 1.4.3
Nextcloud server version: 11.0.3</t>
  </si>
  <si>
    <t>2017-07-29</t>
  </si>
  <si>
    <t>underlx-underlx-31</t>
  </si>
  <si>
    <t>App crashes when opening preference fragments</t>
  </si>
  <si>
    <t>Reproducible in the Play Store version with code 26.
Proguard to blame? Couldn find any rules for the MaterialPreferences library we re using. Try figuring them out ourselves, or switch to another library?</t>
  </si>
  <si>
    <t>niclabs-adkintunmobile-androidclient-179</t>
  </si>
  <si>
    <t>RandomGen.java line 91</t>
  </si>
  <si>
    <t>2017-07-30</t>
  </si>
  <si>
    <t>itachi1706-SingBuses-83</t>
  </si>
  <si>
    <t>BusLocationMapsDialogFragment.java line 160</t>
  </si>
  <si>
    <t>cgeo-cgeo-6669</t>
  </si>
  <si>
    <t>Native crash on Android 7 "in tgkill"</t>
  </si>
  <si>
    <t>am noticing quite bunch of crash reports on Google Play refering to native crash in tgkill only providing backtrace like this:
Using Google for this kind of crashes shows many thready of app having similar problems and partly solve it. But cannot judge what is written there....maybe someone else can investigate.
In fact it is happening in c:geo for
Android 7.0 and 7.1 device
Device list shows Samsung, Google, LG and Sony devices (maybe also others)</t>
  </si>
  <si>
    <t>2017-07-31</t>
  </si>
  <si>
    <t>ForstaLabs-relay-133</t>
  </si>
  <si>
    <t>App is crashing every time it is opened and has to be opened again</t>
  </si>
  <si>
    <t>In the current version of the app, when go to open it, it crashes.
Then if re-open it it seems fine.
App Version 0.1.20</t>
  </si>
  <si>
    <t>hcbpassos-step-7</t>
  </si>
  <si>
    <t>App crashes when all numbers are dismissed</t>
  </si>
  <si>
    <t>2017-08-01</t>
  </si>
  <si>
    <t>nextcloud-android-1255</t>
  </si>
  <si>
    <t>app crash at start - android 7.1.2</t>
  </si>
  <si>
    <t>### Actual behaviour
When start the application this crash immediately without opening any activity
### Expected behaviour
the app start normaly
### Steps to reproduce
1. install it via f-droid
2. start it
### Environment data
Android version: 7.1.2
Device model: nexus
Stock or customized system: LineageOS 14.1
Nextcloud app version: 1.4.2
Nextcloud server version: 12
#### Web server error log
#### Nextcloud log (LOGCAT)</t>
  </si>
  <si>
    <t>kollerlukas-Camera-Roll-Android-App-64</t>
  </si>
  <si>
    <t xml:space="preserve">SD card access </t>
  </si>
  <si>
    <t>App crashes right after try to give permission to SD card access..</t>
  </si>
  <si>
    <t>fossasia-pslab-android-400</t>
  </si>
  <si>
    <t>perform experiment crashes on performing experiment when device isn't connected.</t>
  </si>
  <si>
    <t>App crashes when we try to perform experiment when pslab device isn connected.
App shouldn crash instead it should give appropriate message about no device connected.
**Steps to reproduce it**
Saved Experiment -&gt; Electrical -&gt; Ohms law experiment -&gt; Read voltage at CH1.
**LogCat for the issue**
**Screenshots of the issue**
**Would you like to work on the issue?**</t>
  </si>
  <si>
    <t>inaturalist-iNaturalistAndroid-392</t>
  </si>
  <si>
    <t>Memory issues with Google Maps</t>
  </si>
  <si>
    <t>Been seeing some users with explore screen crashes due to the Google Maps components not being able to allocate memory.
Some possible solutions for clearing memory:
1. https: stackoverflow.com 29862316 1233767
2. https: stackoverflow.com 16956014 1233767</t>
  </si>
  <si>
    <t>2017-08-02</t>
  </si>
  <si>
    <t>simoneapp-S3-16-simone-27</t>
  </si>
  <si>
    <t>Reset FB User ID after logout/login</t>
  </si>
  <si>
    <t>Use case: logged user logs out and then logs in again. The app crashes.</t>
  </si>
  <si>
    <t>dimagi-commcare-android-1779</t>
  </si>
  <si>
    <t xml:space="preserve">Fix for crash in case filter/search cancel </t>
  </si>
  <si>
    <t>Introduced by transactions refactor code.</t>
  </si>
  <si>
    <t>vector-im-riot-android-1474</t>
  </si>
  <si>
    <t>Shake the phone, then APP would crash</t>
  </si>
  <si>
    <t>and pop the bug report UI.</t>
  </si>
  <si>
    <t>fossasia-phimpme-android-944</t>
  </si>
  <si>
    <t>App crash on changing the storage access framework in Camera settings</t>
  </si>
  <si>
    <t>App crashes on changing the storage access framework.
The app should not crash
**Steps to reproduce it**
1. Open camera settings.
2. Go to more camera controls.
3. Try to change the storage access framework
**Would you like to work on the issue?**</t>
  </si>
  <si>
    <t>2017-08-03</t>
  </si>
  <si>
    <t>openbase-bco.bcomfy-46</t>
  </si>
  <si>
    <t>BComfy crashes after selecting the first wall of the second room.</t>
  </si>
  <si>
    <t>First room can be configured without any problems (initial room).
After this the mesurement can not be finished even if the finish measuring button is enabled.
The log output of the finish measuring button press is the following:
By scanning the second room, the ground and the ceiling can be selected but after selecting the first wall bcozy crashes with the following exception:
Here is the full log of the bcomfy session until crash:
Build Date 05 25 16
OpenGL ES Shader Compiler Version: XE031.06.00.02
Local Branch mybranch19954368
Remote Branch quic LA.BR.1.3.4 rb1.12
Remote Branch NONE
Reconstruct Branch NOTHING
##### #### #######
## ## ## ## ##
##### ## ## ##
## ## ## ## ##
##### #### #######
Vector3 &lt;x, y, z&gt;: 0.0,
Vector3 &lt;x, y, z&gt;: 0.0,
Vector3 &lt;x, y, z&gt;: -0.0, 0.8798732843369012&gt;
Vector3 &lt;x, y, z&gt;: -0.0,</t>
  </si>
  <si>
    <t>getodk-collect-1313</t>
  </si>
  <si>
    <t>NullPointerException in FormEntryActivity onClick</t>
  </si>
  <si>
    <t>#### Software and hardware versions
#### Problem description
This is new crash in the latest release:</t>
  </si>
  <si>
    <t>2017-08-04</t>
  </si>
  <si>
    <t>billthefarmer-editor-3</t>
  </si>
  <si>
    <t>Possible crash on Android 6 Marshmallow</t>
  </si>
  <si>
    <t>There is possibility of crash when selecting the dark theme or word wrap on Android 6. This is due to the app restarting to apply the change. There appears to be an issue with using the recreate() function call in Android that intermittently causes crash. Restarting the app if it does crash will restore normal functionality. This does not appear to happen in android 4, 5.1 or 7.1.
Future versions of this app, if can find workaround, will probably suggest the user restarts the app after changing theme or word wrap as some other apps do.</t>
  </si>
  <si>
    <t>ccrama-Slide-2503</t>
  </si>
  <si>
    <t>Mod privileges not taken into account, causing crashes</t>
  </si>
  <si>
    <t>Slide version: 5.6.5
Android version: 7.1.2
only have flair permissions for given subreddit, but Slide still gives me all post-management mod options. So when try to approve something (for example) in that sub, Slide crashes. It not checking for which exact permissions have available as mod.</t>
  </si>
  <si>
    <t>NeXT-Workshops-mindroid-50</t>
  </si>
  <si>
    <t>Bug: current state machine in mindroid app keeps running when EV3 application crashes</t>
  </si>
  <si>
    <t>koral---android-gif-drawable-434</t>
  </si>
  <si>
    <t>Multiple GifImageView's causing crash</t>
  </si>
  <si>
    <t>Hi, when was implementing your library found out that can use GifImageView in ViewPager because it causing library to crash.
Here is the stacktrace
On my fork (https: github.com DanielSobczak tree imageview bug) you can find code that is causing the crash, to reproduce it just launch app and scroll through ViewPager
tested it on two devices (same result):
Samsung Galaxy Note (6.0.1)</t>
  </si>
  <si>
    <t>DecentralizedAmateurPagingNetwork-DAPNETApp-43</t>
  </si>
  <si>
    <t xml:space="preserve">App crash after update </t>
  </si>
  <si>
    <t>Es scheint, dass ich trotz anders lautender Meldung im Men nicht angemeldet bin nach einem update. Dies brachte die Karte zum Absturz. Erst wurden keine Sender angezeigt und eine nderung der anzuzeigen Sender Auswahl brachte den Crash.</t>
  </si>
  <si>
    <t>2017-08-05</t>
  </si>
  <si>
    <t>MrZeRo2000-violetnote-android-84</t>
  </si>
  <si>
    <t>App crash after rotate in path selection screen</t>
  </si>
  <si>
    <t>jacob-g-cleveland-rta-next-bus-train-87</t>
  </si>
  <si>
    <t>Erase cache on upgrade</t>
  </si>
  <si>
    <t>Otherwise important data will be missing and cause crashes.</t>
  </si>
  <si>
    <t>2017-08-06</t>
  </si>
  <si>
    <t>projectwife-mtesitoo-android-135</t>
  </si>
  <si>
    <t>Crash editing profile picture</t>
  </si>
  <si>
    <t>Related to #107
The app crashes after selecting picture from gallery in Profile screen.</t>
  </si>
  <si>
    <t>Vinetos-Hello-Music-7</t>
  </si>
  <si>
    <t>Menu | Crash</t>
  </si>
  <si>
    <t>Le menu points verticals (en haut droite) fait crash application. https: imgur.com gallery 6vqB6</t>
  </si>
  <si>
    <t>itachi1706-SingBuses-85</t>
  </si>
  <si>
    <t>BusStopsDB.java line 58</t>
  </si>
  <si>
    <t>alhazmy13-MediaPicker-35</t>
  </si>
  <si>
    <t xml:space="preserve">crash on video recording on android lolipop </t>
  </si>
  <si>
    <t>Application is crashing when try to record video</t>
  </si>
  <si>
    <t>2017-08-07</t>
  </si>
  <si>
    <t>psych-tech-smart-pm-30</t>
  </si>
  <si>
    <t>Crash on Certain User Click</t>
  </si>
  <si>
    <t>In my test, clicking on user Zack Kysar will crash the app. See the exception below: exception. Let me know if you can reproduce the bug.
FATAL EXCEPTION: main</t>
  </si>
  <si>
    <t>BaseballCardTracker-bbct-android-421</t>
  </si>
  <si>
    <t>ViewDebug.java line 960</t>
  </si>
  <si>
    <t>BaseballCardTracker-bbct-android-420</t>
  </si>
  <si>
    <t>fossasia-pslab-android-453</t>
  </si>
  <si>
    <t>App crashes on clicking Sensor Quick View tile when device isn't connected</t>
  </si>
  <si>
    <t>App crashes when device isn connected.
App shouldn crash when device isn connected instead user should be provided with appropriate message.
**Steps to reproduce it**
NavDrawer -&gt; Application Fragment-&gt; Sensor Quick View
**LogCat for the issue**
**Screenshots of the issue**
**Would you like to work on the issue?**</t>
  </si>
  <si>
    <t>kollerlukas-Camera-Roll-Android-App-67</t>
  </si>
  <si>
    <t>Scrolling between any 3 pictures back and forth causes app to crash</t>
  </si>
  <si>
    <t>Beta 1.6, tested on 5.1.1 CyanogenMod 12.1</t>
  </si>
  <si>
    <t>tanrabad-survey-34</t>
  </si>
  <si>
    <t>fossasia-phimpme-android-984</t>
  </si>
  <si>
    <t>App crashes on opening the share activity with dark theme</t>
  </si>
  <si>
    <t>App crashes on opening share activity
It should not crash.
**Would you like to work on the issue?**</t>
  </si>
  <si>
    <t>2017-08-08</t>
  </si>
  <si>
    <t>tanrabad-survey-35</t>
  </si>
  <si>
    <t>:com.google.android.gms.DynamiteModulesB line 59</t>
  </si>
  <si>
    <t>#### in jd.a
Number of crashes:
There lot more information about this crash on crashlytics.com:</t>
  </si>
  <si>
    <t>no131614-Spion-C-1</t>
  </si>
  <si>
    <t>Camera does not work for API &gt;21</t>
  </si>
  <si>
    <t>App crashed after trying to take images in Android tablet ver 7.0
Crashes on params) (line: 420 CameraService.java)</t>
  </si>
  <si>
    <t>2017-08-09</t>
  </si>
  <si>
    <t>square-okhttp-3514</t>
  </si>
  <si>
    <t>Attempt to invoke interface method intercept on a null object reference</t>
  </si>
  <si>
    <t>We are having large number of crashes reported by Crashlytics with the following error.
We have this issue with okhttp 3.5 and 3.8.
Maybe there is something wrong in our code.
Can anyone help us?
Fatal Exception: Attempt to invoke interface method okhttp3.Response on null object reference</t>
  </si>
  <si>
    <t>d4rken-reddit-android-appstore-124</t>
  </si>
  <si>
    <t>crash when i try to download an app</t>
  </si>
  <si>
    <t>hi, when try to download an app it crash, if download it via play store you should check that the intent is handled correctly and possibly show warning.
android lineage os 7.1.2
this is log:</t>
  </si>
  <si>
    <t>novoda-merlin-148</t>
  </si>
  <si>
    <t>MER-146/Bind callback crash</t>
  </si>
  <si>
    <t>As per issue #146, calling Merlin.bind crashes when the has not been specified when using MerlinBuilder to build an instance of Merlin The onBind callback is an event that client **can** register for, it is not compulsory, and hence, the bindCallbackManager can be null.
Add null check to the and only forward onBind events when the bindCallbackManager is not null.
### Test(s) added
Yes, two tests were added to show the crash and then the patched.
No UI changes.
### Paired with</t>
  </si>
  <si>
    <t>2017-08-10</t>
  </si>
  <si>
    <t>novoda-merlin-146</t>
  </si>
  <si>
    <t>Missing `withBindableCallbacks` crashes</t>
  </si>
  <si>
    <t>If client creates an instance of Merlin without specifying when creating Merlin crash occurs when performing Merlin.bind This occurs because we do not check for null instance when forwarding onBind events. See here (https: github.com novoda merlin blob master core src main java com novoda merlin service for the problematic class.
#### Potential Solution
Only forward onBind events when the forwarder has an instance of the BindCallbackManager attached.
No crash in client applications. Merlin should only respond to events that clients are interested in and swallow all others.</t>
  </si>
  <si>
    <t>tanrabad-survey-36</t>
  </si>
  <si>
    <t>bumptech-glide-2237</t>
  </si>
  <si>
    <t>ConcurrentModificationException with RequestBuilder as a thumbnail</t>
  </si>
  <si>
    <t>**Glide Version**: 4.0.0
**Integration libraries**: okhttp3-integration
&lt;!-- What devices you managed to get the issue to come up on? For example:
fails on Galaxy S4 GT-I9500 4.4.2, works fine on Nexus 6P 5.1 and Genymotion Nexus 5.0.1 --&gt;
**Device Android Version**: Galaxy Note 7.0 Nexus 6P 8.0
In my app there is list (RecyclerView) of images, which load through Glide. Some images are GIF, so for them use static thumbnails. When quickly scroll down and up the app crashes with following exception:
noticed that the app crashes only on items with GIFs and its thumbnails, namely when include thumbnails loading.
&lt;!-- How do you use Glide?
Make sure you include everything as is in your app code:
Changing single method parameter can yield totally different results.
Please clarify any magic variables that appear in the code, for example: this is Fragment
Here is an example of loading GIFs with Glide:
Load gif thumbnail through RequestBuilder
If exclude thumbnail option there is no exception.</t>
  </si>
  <si>
    <t>2017-08-11</t>
  </si>
  <si>
    <t>nextcloud-android-1316</t>
  </si>
  <si>
    <t>Crash on first Start (1.4.2)</t>
  </si>
  <si>
    <t>### Actual behaviour
Installed Nextcloud from f-droid after first start Nextclud crashed.
### Expected behaviour
nextcloud do start
### Steps to reproduce
1. install nextcloud
2. start nextcloud
3. see Question for Storrage access and in background of this pop-up the crash information pop-up.
### Environment data
Android version: 6.0.1
Device model: Fairphone
Stock or customized system: FP Open 17.07.6
Nextcloud app version: 1.4.2</t>
  </si>
  <si>
    <t>comp-sci-squad-url-irl-8</t>
  </si>
  <si>
    <t>App crashes on Samsung Galaxy Note 5 on Camera Closing</t>
  </si>
  <si>
    <t>Possibly add loggin to onPause, etc</t>
  </si>
  <si>
    <t>2017-08-12</t>
  </si>
  <si>
    <t>fossasia-phimpme-android-1005</t>
  </si>
  <si>
    <t>App crashes on trying to share the selected text from add caption dialog box</t>
  </si>
  <si>
    <t>App crashes on trying to share the text
It should not crash.
**Would you like to work on the issue?**</t>
  </si>
  <si>
    <t>gsantner-dandelion-164</t>
  </si>
  <si>
    <t>touch/click on link crash the app</t>
  </si>
  <si>
    <t>#### General information
**Android Device:** LG G3
**Android API Version:** 25
**App version:** 1.0.2
**App source:** f-droid
**Pod version:** 0.6.99.0-pb9be82e3
At least version 0.2.0 installed, see About-&gt; Debug. If it is not visible you have an very old version, and
your issue will be closed.
searched open and closed issues for duplicates
read &lt;https: github.com dandelion blob master CONTRIBUTING.md&gt;
not submitted translations see Crowdin (https: crowdin.com project invite)
#### Steps to reproduce
1. open Dandelion app
2. Click Touch on an external link
#### Expected result
**What is the expected output?**
Launc default browser
**What do you see instead?**
Dandelion FC Crash
#### Debug output</t>
  </si>
  <si>
    <t>eurofurence-ef-app_android-135</t>
  </si>
  <si>
    <t>Pressing button on the venue map crashes app</t>
  </si>
  <si>
    <t>eurofurence-ef-app_android-134</t>
  </si>
  <si>
    <t>Pressing the Furlana button crashes mapviews</t>
  </si>
  <si>
    <t>timusus-Shuttle-121</t>
  </si>
  <si>
    <t>Crashes when click on equalizer</t>
  </si>
  <si>
    <t>**Description of bug:**
--------- beginning of main
--------- beginning of crash</t>
  </si>
  <si>
    <t>2017-08-13</t>
  </si>
  <si>
    <t>fossasia-phimpme-android-1014</t>
  </si>
  <si>
    <t>FileUriExposedException while sharing image through whatsapp in nougat devices</t>
  </si>
  <si>
    <t>App crashed on sharing image to Whatsapp on nougat devices
Should not crash, open whatsapp with share image.
**Steps to reproduce it**
Sharing Activity --&gt; Whatsapp
**LogCat for the issue**
**Would you like to work on the issue?**</t>
  </si>
  <si>
    <t>cgeo-cgeo-6681</t>
  </si>
  <si>
    <t>App not working even after reinstall</t>
  </si>
  <si>
    <t>##### Detailed steps causing the problem:
User on FB reported, that c:geo suddenly stopped working normal:
Start is possible
Selecting lists crashes the app (Black screen and return to main screen)
Selecting cache icon on live map crashed the app (Black screen and return to main screen)
Selecting Settings crashes the app (Black screen and return to main screen)
After reinstallation the app crashes instantly after opening (Black screen and return to main screen) instead of showing the first screen (login screen for gc.com)</t>
  </si>
  <si>
    <t>vestrel00-android-dagger-butterknife-mvp-46</t>
  </si>
  <si>
    <t>Fragment injection does not occur. NullPointerException for Android versions 22 (Lollipop 5.1) and below.</t>
  </si>
  <si>
    <t>The following crash occurs on devices running API 22 (Lollipop 5.1) and below.
The crash does not occur for API 23 (Marshmallow 6.0) and above.
#### Steps to Reproduce
1. Open the app
2. Click on Example button
Observe the crash. Note that clicking on any of the example buttons will cause the crash.
The issue is that the listener in MainFragment is null for some reason. This suggests bug with Dagger 2.11.</t>
  </si>
  <si>
    <t>2017-08-14</t>
  </si>
  <si>
    <t>hzi-braunschweig-SORMAS-Project-281</t>
  </si>
  <si>
    <t>SORMAS app crashes on resume (or when rotated)</t>
  </si>
  <si>
    <t>check google analytics</t>
  </si>
  <si>
    <t>CityZenApp-AndroidApp-3</t>
  </si>
  <si>
    <t>First test</t>
  </si>
  <si>
    <t>First let me congratulate you for creating and working on such projects. Please read carefully everything. am pointing out my experience.
Lenovo Vibe Z2
It is slow. Sometimes it crashes.
Search is not functional or cannot figure out what the result should be.
Say, click on Restaurants, and get Stela. If search for Stela, results come empty. message like no data or search term not found can help users understand if the search function is working or not.
Direction not good. click on Restaurants, and get Stela. Then click on Getting directions and it shows straight line from point to B. Not good.</t>
  </si>
  <si>
    <t>fossasia-phimpme-android-1021</t>
  </si>
  <si>
    <t>App crashed on first time opening through voice control</t>
  </si>
  <si>
    <t>When user first install and open app through voice control, app crashed because of not allowing run time permissions.
It should first ask for run time permissions and then open the CameraActivity.
**Steps to reproduce it**
Close app --&gt; Clean cache and data --&gt; Ok google click picture
**LogCat for the issue**
**Would you like to work on the issue?**</t>
  </si>
  <si>
    <t>nextcloud-android-1347</t>
  </si>
  <si>
    <t>Maintenance mode crashes android app</t>
  </si>
  <si>
    <t>### Actual behaviour
Android app crashes upon Manage Accounts -&gt; select account name
### Expected behaviour
Open the account settings
### Steps to reproduce
1. Put nextCloud server in maintenance mode
2. Open Android app and try to select the account to delete it (I moved to my new server)
3. Crash (tried twice)
4. Disable server maintenance mode
5. Try again and be successful
### Environment data
HTC One M7
Stock or customized system:
Custom ROM: LineageOS
Nextcloud app version:
Nextcloud server version:
#### Web server error log
#### Nextcloud log (data nextcloud.log)
Unsure how to find this on android</t>
  </si>
  <si>
    <t>2017-08-15</t>
  </si>
  <si>
    <t>OpenLauncherTeam-openlauncher-220</t>
  </si>
  <si>
    <t>0.5.4 crash report</t>
  </si>
  <si>
    <t>This is freshly configured setup. Bubble is sometimes highlighted for no apparent reason (screenshot). App crashes on short tap on it. On long tap the highlight disappears and crash doesn occur.
Build version: 0.5.4</t>
  </si>
  <si>
    <t>2017-08-16</t>
  </si>
  <si>
    <t>fossasia-phimpme-android-1032</t>
  </si>
  <si>
    <t>App crashing on launch</t>
  </si>
  <si>
    <t>App crashes on launch
App shouldn crash
**Steps to reproduce it**
Open the app
**LogCat for the issue**
... 10 more
**Would you like to work on the issue?**
No, as am not sure about the reason of the crash.</t>
  </si>
  <si>
    <t>uDevel-widgetlab-8</t>
  </si>
  <si>
    <t>Crash when Inflating</t>
  </si>
  <si>
    <t>My app is crashing with the error below. not quite sure what is causing it to be honest as whenever use it myself it works fine but our crash reports are showing this and some of our users are complaining about crashes.
It working fine most of the time but this crash is happening enough for it to definitely be problem.
Thank you for any help.</t>
  </si>
  <si>
    <t>nextcloud-android-1365</t>
  </si>
  <si>
    <t>2.0.0RC2 java.lang.StringIndexOutOfBoundsException on Auto Upload</t>
  </si>
  <si>
    <t>### Actual behaviour
When opening the auto upload page the app crashes.
### Expected behaviour
Open Auto Upload
### Steps to reproduce
1. Open App
2. Open Auto upload
### Environment data
Android version: 7.2.0
Device model: OnePlus
Stock or customized system: customized
Nextcloud app version: 2.0.0RC2
Nextcloud server version: 12.0.2
#### Nextcloud log (logcat)</t>
  </si>
  <si>
    <t>2017-08-17</t>
  </si>
  <si>
    <t>nextcloud-android-1364</t>
  </si>
  <si>
    <t>DEV-20170817: app crashes when trying to edit the account settings.</t>
  </si>
  <si>
    <t>### Actual behaviour
If open an existing account to edit its setting, the Nextcloud app instantly crashes.
### Expected behaviour
It should be possible to edit the settings of an existing account.
### Steps to reproduce
1. Open the Nextcloud app.
2. Select Manage Account
3. Select and existing account.
4. The message Nextcloud dev wurde beendet is shown.
### Environment data
Android version: 7.1.1
Device model: Jiayu S3 Adv.
Stock or customized system: MadOS ROM
Nextcloud app version: dev-20170817
Nextcloud server version: 12.0.2
#### Web server error log
Nothing special has been logged related to this problem.</t>
  </si>
  <si>
    <t>ZieIony-Carbon-316</t>
  </si>
  <si>
    <t>IndexOutOfBoundsException in LinearLayout using tk.zielony:carbon:0.14.0</t>
  </si>
  <si>
    <t>getting much more crash reports, since Google changed it reporting policy. This is from app version published two days ago. Unfortunately don know which activity and fragment the layout is in. If there is bug in my code, the layout should report it more early and with some context. Otherwise, please look into this bug.
Sony Xperia XZ (F8331), 3072MB RAM, Android 7.1</t>
  </si>
  <si>
    <t>2017-08-18</t>
  </si>
  <si>
    <t>getodk-collect-1357</t>
  </si>
  <si>
    <t>The app crashes if you try to load a second version of your form</t>
  </si>
  <si>
    <t>#### Software and hardware versions
Current master branch
#### Problem description
The app crashes if you try to load second version of your form
#### Steps to reproduce the problem
You can use any form to reporduce the issue
1. Copy your form to odk forms dir
2. Load your form
3. Edit your form you need to change something eg. question label)
4. Copy your new form to odk forms dir
5. Click on Fill Blank Form button
#### Other information
FATAL EXCEPTION: AsyncTask #5
It has been implemented in this pr https: github.com opendatakit collect pull 1333</t>
  </si>
  <si>
    <t>bumptech-glide-2262</t>
  </si>
  <si>
    <t>IllegalStateException in OnDestroy() "Failed to remove target from managers"</t>
  </si>
  <si>
    <t>am trying to migrate from v3 to v4 and running into an error cannot seem to solve. Perhaps it is bug in 4.0
have seven fragments containing list views, each is using Glide to load images, and all are tied to the same activity. using for each fragment.
In the activity onDestroy, seeing the following crash, which is weird, because ve done my best to not call Either way, wouldn expect this exception.
Caused by: Failed to remove target from managers</t>
  </si>
  <si>
    <t>square-okhttp-3530</t>
  </si>
  <si>
    <t>java.lang.ArrayIndexOutOfBoundsException: size=8 offset=0 byteCount=579</t>
  </si>
  <si>
    <t>Hello Square Team,
We ve had strange crash in spdy3.1 process but we can not reproduce again, we don know how to fix it, Could you help us please.</t>
  </si>
  <si>
    <t>fossasia-phimpme-android-1046</t>
  </si>
  <si>
    <t>Unable to edit the edited photo</t>
  </si>
  <si>
    <t>App crashes on editing the edited photo
No crash should occur.
It is occuring due to problem with extension.
**Steps to reproduce it**
Edit photo, save it, edit the edited photo
**Would you like to work on the issue?**</t>
  </si>
  <si>
    <t>2017-08-19</t>
  </si>
  <si>
    <t>amahi-android-264</t>
  </si>
  <si>
    <t>App crashes while playing music and pressing the home button</t>
  </si>
  <si>
    <t>#### Steps to reproduce:-
Start music with album art and then press the home button. Happens with local HDA the remote server music files works fine.
#### Log for the crash
FAILED BINDER TRANSACTION !!! (parcel size 1441816)</t>
  </si>
  <si>
    <t>Etar-Group-Etar-Calendar-248</t>
  </si>
  <si>
    <t>Crashes when setting per-event color</t>
  </si>
  <si>
    <t>Etar 1.0.12 crashes when setting an event color for third-party (DAVdroid) calendar:
1. Set up DAVdroid calendar with DAVdroid 1.7 (which now supports event colors)
2. Synchronize some colored events
3. Open Etar. It shows the colored events correctly.
4. Try to set new color for an event.
5. Etar crashes:
https: forums.bitfire.at topic 1521
https: davdroid.bitfire.at faq entry</t>
  </si>
  <si>
    <t>timusus-Shuttle-126</t>
  </si>
  <si>
    <t>Crash when pressing Cast button (when casting)</t>
  </si>
  <si>
    <t>Nexus 6P, others.
**Description of bug:**
When pressing the Chromecast icon, the app crashes. Stacktrace attached at bottom.
**Steps to reproduce:**
1. Start casting
2. Press the cast button
This issue goes away if the Aesthetic Inflation Interceptor is disabled (by out-commenting Aesthetic#106 ).
This may be related to the media route chooser which appears when disconnecting from Chromecast.
FATAL EXCEPTION: main
Caused by: Failed to resolve attribute at index 0: TypedValue 0x2 0x7f01006a -1</t>
  </si>
  <si>
    <t>pwittchen-ReactiveNetwork-209</t>
  </si>
  <si>
    <t>NPE in `observeNetworkConnectivity`</t>
  </si>
  <si>
    <t>getting the error:
Attempt to invoke interface method java.util.Iterator on null object reference
To make things simple, here (http: crashes.to c41455d77fc) is the crashlytics log
and here (https: github.com AllanWang Frost-for-Facebook blob master app src main kotlin com pitchedapps frost activities BaseActivity.kt) is my base activity.
All that is happening is that ensure dispose everything and then subscribe again on resume.
The error seems to be traced down to getNetworkInfo (https: github.com pwittchen ReactiveNetwork blob RxJava2.x library src main java com github pwittchen reactivenetwork library rx2 Perhaps there needs to be check to ensure there are active networks before retrieving them?</t>
  </si>
  <si>
    <t>2017-08-20</t>
  </si>
  <si>
    <t>fossasia-phimpme-android-1063</t>
  </si>
  <si>
    <t>App crashes on opening some photos from the all photos list</t>
  </si>
  <si>
    <t>App crashes on trying to open any photo from all photos list.
It should not crash
**Steps to reproduce it**
1. Open all photos.
2. Scroll down to the end.
3. Open any photo
**LogCat for the issue**
FATAL EXCEPTION: main
**Would you like to work on the issue?**</t>
  </si>
  <si>
    <t>getodk-collect-1362</t>
  </si>
  <si>
    <t>Crash when getting URI MIME type.</t>
  </si>
  <si>
    <t>#### Software and hardware versions
#### Problem description
Crash in FormEntryActivity when getting intent URI MIME type.
#### Steps to reproduce the problem
The line that crashes is String uriMimeType Either the content resolver can be null or getType dereferences uri
#### Expected behavior
#### Other information</t>
  </si>
  <si>
    <t>2017-08-21</t>
  </si>
  <si>
    <t>timusus-Shuttle-146</t>
  </si>
  <si>
    <t>'Share' crashes on Android O</t>
  </si>
  <si>
    <t>**Description of bug:**
Pressing share crashes with the following stack trace:</t>
  </si>
  <si>
    <t>nextcloud-android-1386</t>
  </si>
  <si>
    <t>GPlay: NPE com.owncloud.android.MainApp.getAuthority</t>
  </si>
  <si>
    <t>happens since while (e.g. 1.4.x).
My guess is that getAppContext() returns null since the underlying variable hasn been initialized yet. quick fix would be to add try catch and return the default value which will cause problems for custom branded clients who run into the NPE fallback then...
Any ideas tobiasKaminsky mario This is the number crash reported in the actual RC and for all app versions has been reported nearly 3000 times...</t>
  </si>
  <si>
    <t>testpress-android-sdk-50</t>
  </si>
  <si>
    <t>Handle image in HTML content</t>
  </si>
  <si>
    <t>Fix crash when displaying zoomable image in HTML content.
Beautify table and image in HTML content.</t>
  </si>
  <si>
    <t>testpress-android-sdk-49</t>
  </si>
  <si>
    <t>chat-sdk-chat-sdk-android-132</t>
  </si>
  <si>
    <t>Crash on Android O due to SuperToasts</t>
  </si>
  <si>
    <t>Supertoast is not compatible with Android (https: github.com JohnPersano SuperToasts issues 108), so if you target it and chatSDK starts supertoast, app will crash.
Since Supertoast library has been abandoned for year now, you should consider dropping it replace it with something more maintained.</t>
  </si>
  <si>
    <t>2017-08-22</t>
  </si>
  <si>
    <t>nextcloud-android-1401</t>
  </si>
  <si>
    <t>NPE due to mFile = null</t>
  </si>
  <si>
    <t>OLD REMOTE PATH))
getFile() is null and therefore null.equals(...) crashes</t>
  </si>
  <si>
    <t>nextcloud-android-1400</t>
  </si>
  <si>
    <t>RC4: DB crashes</t>
  </si>
  <si>
    <t>guess this is again related to column not found -&gt; -1 -&gt; crash</t>
  </si>
  <si>
    <t>tanrabad-survey-37</t>
  </si>
  <si>
    <t>2017-08-23</t>
  </si>
  <si>
    <t>aurelhubert-ahbottomnavigation-277</t>
  </si>
  <si>
    <t>addItem more then 5</t>
  </si>
  <si>
    <t>Is there limits of **5 item** ??
it working fine with item as go for the app start crashing
any suggestion for this problem??</t>
  </si>
  <si>
    <t>thiagoprochnow-carteiradeativos-133</t>
  </si>
  <si>
    <t>IntentService crashes when refreshing too many time.</t>
  </si>
  <si>
    <t>2017-08-24</t>
  </si>
  <si>
    <t>NeXT-Workshops-mindroid-65</t>
  </si>
  <si>
    <t>App: Sensor Monitoring - app freeze</t>
  </si>
  <si>
    <t>Sometimes it appears that the app crashes when using sensor monitoring</t>
  </si>
  <si>
    <t>NeXT-Workshops-mindroid-62</t>
  </si>
  <si>
    <t>App: Crash when EV3 brick is shutting down</t>
  </si>
  <si>
    <t>How to reproduce:
Connect Mindroid App to EV3 brick
Shut down EV3 brick
App should crash</t>
  </si>
  <si>
    <t>Intelehealth-Android-Mobile-Client-339</t>
  </si>
  <si>
    <t>App crashes on selecting a node with attribute "input-type": "camera"</t>
  </si>
  <si>
    <t>osmdroid-osmdroid-680</t>
  </si>
  <si>
    <t>Playstore app crash</t>
  </si>
  <si>
    <t>Just saw this one in the playstore console. guessing it the last release version 5.6.5 of OpenMap (not the osmdroid-android library).</t>
  </si>
  <si>
    <t>2017-08-25</t>
  </si>
  <si>
    <t>k9mail-k-9-2708</t>
  </si>
  <si>
    <t>Crash when activating an account</t>
  </si>
  <si>
    <t>updated some weeks ago to new phone with android nougat (7.0). ve read up that syncing is not working properly on 7.0 and till fix is found can deal with doing manual upgrades.
But am experiencing another bug. have email accounts added (imported from phone with android 6.0). First one on the list works as expected. For the rest if press on them (A), K-9 closes. Long pressing shows the pop up menu but has Activate (2nd screenshot). Pressing Activate closes K-9.
If press on the directory icon on the right (B) on one of the not working emails, it enters in the Folders menu and can access all directories, settings and sync the account just fine.
So firing up K-9 only the 1st account on the top works normally. The rest if press on them crash K-9 and only work fine if enter in the Folders menu.
### Expected behavior
It should be able to enter in the accounts without force-close
### Actual behavior
### Steps to reproduce
1. Open K-9
2. Click on any account except the first.
3. K-9 closes
K-9 Mail version: 5.207
Android version: 7.0
Account type (IMAP, POP3, WebDAV Exchange): imap</t>
  </si>
  <si>
    <t>2017-08-27</t>
  </si>
  <si>
    <t>zom-Zom-Android-XMPP-293</t>
  </si>
  <si>
    <t>App freezes when I select 'Verify Contact'</t>
  </si>
  <si>
    <t>Sometimes it works and the contact is verified, and sometimes the app crashes. This is on the Galaxy s7 with the latest build and latest OS.</t>
  </si>
  <si>
    <t>2017-08-28</t>
  </si>
  <si>
    <t>sockeqwe-mosby-271</t>
  </si>
  <si>
    <t>ViewPager on back stack calls Presenter's method detachView(retainInstance=true)</t>
  </si>
  <si>
    <t>having some issues with ViewPager in the back stack.
have Fragment called **A** that contains ViewPager that contains Fragments **B** and **C**. When Fragment **A** is put on the back stack, the method false) gets called. At the same time, false) is supposed to be called for Fragments **B** and **C**.
**Actual behavior (include stacktrace if crash)**
When Fragment is put on the back stack, the following happens:
Fragment Presenter: false)
Fragment Presenter: true)
Fragment Presenter: true)
As you can see, retainInstance is true for both **B** and **C**, but it should be false.
**Steps to reproduce the behavior or link to sample repository**
1. Create Fragment containing ViewPager that contains Fragments and C.
2. All Fragments call in the onCreate() method.
3. The MVP delegate is instantiated like this: new this, true, false)
4. Now put Fragment on the backstack and see what happens.</t>
  </si>
  <si>
    <t>vector-im-riot-android-1523</t>
  </si>
  <si>
    <t>[Android 8] the application crashes when trying to take a photo in landscape</t>
  </si>
  <si>
    <t>permissions-dispatcher-PermissionsDispatcher-356</t>
  </si>
  <si>
    <t>sample app crashes when returning from setting</t>
  </si>
  <si>
    <t>when current activity jump to system setting page to set some permissions ,user select close one permission and then switch current activity again,the app crashed,but if user don operation or select open one permission,this case will not happen</t>
  </si>
  <si>
    <t>ankidroid-Anki-Android-4691</t>
  </si>
  <si>
    <t>Anki crashes everytime i sync</t>
  </si>
  <si>
    <t>*Enter an character to confirm the points below:*
have searched for similar existing issues here and on the user forum
###### Reproduction Steps
1. Do something that will require sync
###### Expected Result
Go back to normal
###### Actual Result
Crash of the app
###### Debug info
AnkiDroid Version 2.8.2
Android Version 8.0.0
reinstalled Ankidroid, removed everything, tried the last beta, nothing solves it, it just crashes right after syncing. can open the app afterwards and sync was successful but its very annoying since set to sync very often to avoid forgetting. It appeared all of the sudden, was working fine before, did some cleaning on my desktop Anki client and then this bug started to appear on Ankidroid. Tried rebuild databese, check media, nothing fixes it.
This also have the effect of not being able to restore collection from APKG. This time, Ankidroid crashes before even importing, so its actually not possible. suspect there may be some incompatibility between how Anki computer builds the database vs how Ankidroid expects database to be</t>
  </si>
  <si>
    <t>2017-08-29</t>
  </si>
  <si>
    <t>vector-im-riot-android-1541</t>
  </si>
  <si>
    <t>crash while trying to take a photo with the in-app activity</t>
  </si>
  <si>
    <t>reported by vms:matrix.org</t>
  </si>
  <si>
    <t>google-ExoPlayer-3215</t>
  </si>
  <si>
    <t>libstagefright.so SIGSEGV on various Android 7/7.1 devices after upgrading to 2.5.1</t>
  </si>
  <si>
    <t>### Issue description
After upgrading ExoPlayer to 2.5.1 (from 2.4.4) we are seeing lot of user reports of libstagefright.so SIGSEGV. Playback starts, but crash occurs when the player is released. This may be specific to Widevine+DASH as the demo app will not crash using the Youtube DASH demos, while it crashes the same as our application on Widevine+DASH demos.
have feeling this may be related to the recent CENC support added:
But also don know what talking about, so who knows
had quick play at making return false for canAquireSession if the type was cenc etc. (that whole conditional), but ExoPlayer never seemed to call that method at all. Will fiddle bit more, but thought raise this ASAP.
remote colleague has device that can reproduce the crash (Motorola G5 Plus), but there bit of lag getting debug information. Sorry if this contains limited information.
### Reproduction steps
1. Launch the demo app on an effected device
2. Start Widevine+DASH demo WV: Secure SD HD (cenc,MP4,H264) definitely reproduces this)
3. Let playback begin
4. Press back leaving playback, releasing the player
5. Crash should occur
### Link to test content
Reproducible in the demo WV: Secure SD HD (cenc,MP4,H264) so not required.
### Version of ExoPlayer being used
### Device(s) and version(s) of Android being used
Seems to be 7.0 7.1 specific, but multiple devices. Easily reproducible, as it occurs from what can tell any time when releasing the player after playback has begun.
Here are the play store device version graphics:
### full bug report captured from the device
Here zipped adb bugreport from our application iflix.play.dbg ).</t>
  </si>
  <si>
    <t>ccrama-Slide-2521</t>
  </si>
  <si>
    <t>Major slowdown often leading to crashes when sliding through comments</t>
  </si>
  <si>
    <t>Slide version: 5.6.5.1-alpha4
get major slowdown issues when get to the end of page when sliding through comments. Often it so major that it causes my app to crash.
believe this issue and #2441 may be related</t>
  </si>
  <si>
    <t>2017-08-30</t>
  </si>
  <si>
    <t>DoubleSymmetry-react-native-track-player-35</t>
  </si>
  <si>
    <t>[iOS] Crash when artwork contains æ</t>
  </si>
  <si>
    <t>It seems that when the artwork URL has an in it, the app crashes.
It not valid URL, know, but it probably shouldn make the app crash...</t>
  </si>
  <si>
    <t>2017-08-31</t>
  </si>
  <si>
    <t>nextcloud-android-1469</t>
  </si>
  <si>
    <t>User account corrupts - 2.0.0-RC[2345]</t>
  </si>
  <si>
    <t>### Actual behaviour
Set up new installation of Nextcloud client on phone
Connect to nextcloud server with username and password
User account as shown in app changes from full name username, to GUID GUID
### Expected behaviour
User account remains as showing username, instead of GUID
No app crashes
### Steps to reproduce
This has been totally reproducible for me, with every 2.0.0 RC so far.
1.4.2 from F-Droid works fine.
1. Fresh install of application (RC4) after uninstalling previous in order to clear data
2. First-run wizard comes up successfully provide hostname, username and password and log in to my Nextcloud server (version 10.0 if that makes difference)
3. Look at list of accounts, it shows up with two lines (top line: Firstname Lastname, bottom line: username owncloudhostname) and my photo, as expect so far, all good. Clicking the drop-down here, and choosing Manage Accounts shows me the same detail at this point.
5. go and do something else on my phone. Could be anything -I even tried just clicking on different activity in the NextCloud client (e.g. Activities
6. When come back into nextcloud (I have literally not done anything else in the nextcloud app yet) look at the list of accounts in the app. Both my full name and my username have been replaced with my GUID and my photo is gone
6. go to manage accounts and do not click on any accounts.
7. In the list, my one account (with GUID now) is shown
8. wait short while. Nextcloud then crashes Nextcloud has stopped Open App Again Send Feedback
### Environment data
Android version: 7.0</t>
  </si>
  <si>
    <t>tanrabad-survey-38</t>
  </si>
  <si>
    <t>niclabs-adkintunmobile-androidclient-180</t>
  </si>
  <si>
    <t>ConnectivityTestPreferenceFragment.java line 145</t>
  </si>
  <si>
    <t>2017-09-01</t>
  </si>
  <si>
    <t>EnventureEnterprises-EnventureAndroid-MVP-4</t>
  </si>
  <si>
    <t>Share button in the reports tab works on some phones and not others. (Permissions issue)</t>
  </si>
  <si>
    <t>While using the app, sometimes the share button worked, didn work while trying out on another phone (non-responsive). In one scenario the app crashed.</t>
  </si>
  <si>
    <t>nickthegroot-UnityPlanner-28</t>
  </si>
  <si>
    <t>Editing course results in app crash</t>
  </si>
  <si>
    <t>Caused by: DTEND and DURATION cannot both be null for an event.</t>
  </si>
  <si>
    <t>jruesga-PhotoPhase-32</t>
  </si>
  <si>
    <t>Crash when opening album list</t>
  </si>
  <si>
    <t>After the app has finished scanning my device for albums, it crashed (possibly due to large number of images in one folder)</t>
  </si>
  <si>
    <t>aricneto-TwistyTimer-101</t>
  </si>
  <si>
    <t>Inspection alert crashes</t>
  </si>
  <si>
    <t>App will crash if user does not have sound output. (probably because ToneGenerator doesn check if it null)</t>
  </si>
  <si>
    <t>2017-09-02</t>
  </si>
  <si>
    <t>walkap-X-android-24</t>
  </si>
  <si>
    <t>user register problem</t>
  </si>
  <si>
    <t>when you register does not save data on the database and goes directly to the option fragment causing the crash</t>
  </si>
  <si>
    <t>stefan-niedermann-nextcloud-notes-252</t>
  </si>
  <si>
    <t>App crashes when rotating in edit fragment</t>
  </si>
  <si>
    <t>The app crashes when rotating with active NoteEditFragment
When rotating in NotePreviewFragment the NoteEditFragment is started.</t>
  </si>
  <si>
    <t>33mhz-robin-23</t>
  </si>
  <si>
    <t>"Interactions" crashes the app</t>
  </si>
  <si>
    <t>When swipe to the Mentions tab and tap the Interactions button, the app crashes every time since the update (on Samsung Galaxy S4 mini).</t>
  </si>
  <si>
    <t>2017-09-03</t>
  </si>
  <si>
    <t>commons-app-apps-android-commons-861</t>
  </si>
  <si>
    <t>Crash when denying run-time permission for location access in NearbyActivity</t>
  </si>
  <si>
    <t>am encountering the following crash when deny the run-time permission for location access when hit the NearbyActivity
Caused by: Can not perform this action after onSaveInstanceState
This is cause the app is trying to load the in the which think should be fine but clearly its not cause it crashes every time.
Secondly, launching Fragment just to show simple error message seems way too excessive. Personally, would just show dialog with the necessary error message along with buttons, with an OK text, clicking which would just close the activity and the other with Retry text that would ask the run time permission again.
What do you guys think?</t>
  </si>
  <si>
    <t>danimahardhika-wallpaperboard-63</t>
  </si>
  <si>
    <t>Random crash when trying to open singleton database</t>
  </si>
  <si>
    <t>2017-09-04</t>
  </si>
  <si>
    <t>bumptech-glide-2326</t>
  </si>
  <si>
    <t>App Crash in StrictMode</t>
  </si>
  <si>
    <t>**I am using Glide in my app to display the images (like photo app), when do the lazy loading of images from server my app is getting crash.**
Pls find the crash log</t>
  </si>
  <si>
    <t>hyb1996-Auto.js-233</t>
  </si>
  <si>
    <t>Bug report</t>
  </si>
  <si>
    <t>*)app bug report github.
*) UI trick. id idName. id(packageName:id idName).findOne id(idName).findOne, loop+.find() .findOne(). UI
*) Tasker autojs launchApp
*) crash. (ROM screencapture.java mImageReader screenHeight, PixelFormat.RGBA 8888, 1) virtualdisplay pixel.format BGRA 8888, code 0x5, ImageReader BGRA RGBA 8888, 0x1 rom ,(CyanogenMod ).
autojs BGRA 8888
*) capturescreen() .(flymeOS android 6) 50ms
*)capturescreen() image.timestamp nano sec ?)
dt, Date().getTime() (0 70ms
*) findColor() threshold 0xRRGGBB,
point object. thresold: 123
findColor() threshold: 0x020202, bug
*) accessibility service UI ,autojs cocos-2d js UI
(all above is on 2.0.16 beta2.1)</t>
  </si>
  <si>
    <t>vector-im-riot-android-1557</t>
  </si>
  <si>
    <t xml:space="preserve">[Split mode] rotating camera crashes app </t>
  </si>
  <si>
    <t>walkap-X-android-27</t>
  </si>
  <si>
    <t>problem with choose the time</t>
  </si>
  <si>
    <t>when you choose the time in add course, the app can crash and when you scroll view the list choose random the hours. we can to do in this way: we insert start input and end input or with textview or with timepicker. the best choise depending by easy way to made simple and fast app (for me textView is best)</t>
  </si>
  <si>
    <t>2017-09-05</t>
  </si>
  <si>
    <t>d4rken-reddit-android-appstore-146</t>
  </si>
  <si>
    <t>"About" screen crashes on launch when no internet connection available</t>
  </si>
  <si>
    <t>kontalk-androidclient-1063</t>
  </si>
  <si>
    <t>Crash in location preview</t>
  </si>
  <si>
    <t>### Expected behavior
Dialog for choosing app to open should appear.
### Actual behavior
Kontalk crashes. Log tag exceeds limit of 23 characters. It seems that something with your logging is broken.
### Steps to reproduce
1. no google services (especially Gmaps) installed
2. no other map services (like Osmand)
3. click on shared location
4. click navigate button (or button in right upper corner --&gt; screenshot)
5. Kontalk crashes
Kontalk version: (f-droid version)
Android version: 7.1.2 (Lineage 14.1)
Device model: Xperia Pro, Samsung III Mini
Problem doesn appear if debug logging is enabled. (just tried that to grab an additional log, but Kontalk didn crashed anymore...).
Problem doesn appear with Gapps (incl. GMaps) installed.
In addition it should be possible to open the geolocation link in browser.</t>
  </si>
  <si>
    <t>2017-09-06</t>
  </si>
  <si>
    <t>getodk-collect-1424</t>
  </si>
  <si>
    <t>Exception java.util.IllegalFormatConversionException: %d can't format java.lang.String arguments</t>
  </si>
  <si>
    <t>#### Software and hardware versions
#### Problem description
The application crashes on some Samsung devices with API 21 and 22.
#### Other information
The same issue is visible on Collect 1.9.0 and 1.9.1 but it only 43 and instances respectively. When it comes to 1.10.1 it 29 after one day so sure it must be related to https: github.com opendatakit collect pull 1399
Exception %d can format java.lang.String arguments</t>
  </si>
  <si>
    <t>inaturalist-iNaturalistAndroid-403</t>
  </si>
  <si>
    <t>Ensure Only Acceptable File Formats Are Used for Observation Media</t>
  </si>
  <si>
    <t>Currently, when making an observation and trying to choose photo from google drive, the app is allowing me to select .NEF file (an unusual weird nikon photo file format). When select it, get loader for few seconds, then the app crashes. The app also allows me to select excel, pdf and various other file types from Google Drive. However, notice when try to grab unacceptable file formats that are on my phone (like an .apk file) those are disabled and cannot be selected.
Can we do one of the following for Google Drive media: Either make unacceptable file formats disabled OR if they are selectable, give the user warning stating that they have chosen an unacceptable file format and it time to move on with their lives.
prefer option which would be to make all unacceptable file formats disabled for consistency sake. Plus, it makes for one less mistake the user can make. However, let me know if that option or both of the options are challenge.
Also, keep in mind the acceptable file formats for sound are WAV, MP3, or M4A, so anything outside those and jpeg, png and gif are truly unacceptable.</t>
  </si>
  <si>
    <t>2017-09-07</t>
  </si>
  <si>
    <t>kontalk-androidclient-1064</t>
  </si>
  <si>
    <t>Kontalk crashes with newest commit 65d71c8</t>
  </si>
  <si>
    <t>### Expected behavior
Kontalk should start
### Actual behavior
Kontalk crashes immediately
### Steps to reproduce
1. install newest build
2. try to start
Kontalk version: (f-droid)
Android version: 7.1.2 (Lineage 14.1)
Device model: Samsung III Mini</t>
  </si>
  <si>
    <t>itachi1706-SingBuses-90</t>
  </si>
  <si>
    <t>Updating DB crash app</t>
  </si>
  <si>
    <t>Updating DB as of Sept causes app crash due to index out of bounds</t>
  </si>
  <si>
    <t>divvun-giellakbd-android-3</t>
  </si>
  <si>
    <t>Samiske tastaturer v. 1.1.2 crashes constantly</t>
  </si>
  <si>
    <t>installed v1.1.2 today, and it crashes constantly when try to activate it. The only way to get working keyboard is to uninstall v.1.1.2.
v.1.1.1 worked for me.
have Moto G4 Plus, with Android 7.0 on it.</t>
  </si>
  <si>
    <t>Gear61-Food-Diary-22</t>
  </si>
  <si>
    <t>Fix camera intent crash on API 18</t>
  </si>
  <si>
    <t>95% sure it the external file provider thing. Probably need to copy the Bitmap returned by the camera to file ourselves.</t>
  </si>
  <si>
    <t>NineWorlds-serenity-android-365</t>
  </si>
  <si>
    <t>SettingsMenuDrawerOnItemClickedListener onClick using TintContextWrapper instead of an Activity context.</t>
  </si>
  <si>
    <t>using chinese Android 4.4.2 box (that presents to apps as tablet) connected to HDTV, and while have no issues using my Plex library thru DLNA, want to improve my setup (leanback navigation, richer UI) using Plex client, and fortunately found Serenity.
My problem is that tried both 2.0.0M2 and v1.9.5M1 (downloaded from the wiki) and the app starts, finds my Plex server, but then any attempt to navigate the menus or even enter app Settings crash the app Unfortunately app has stopped ).
understand that the apps versions tried support my OS v4.4.2. Logs via aLogcat verbose filtered by serenity below.
Any tip? Or missing something extremely obvious and the app is not intended for my environment?
Thx in advance.
InputDispatcher( 652): channel 42333830 (server) Channel is unrecoverably broken and will be disposed!</t>
  </si>
  <si>
    <t>2017-09-08</t>
  </si>
  <si>
    <t>OpenLauncherTeam-openlauncher-231</t>
  </si>
  <si>
    <t>Crash on app drawer icon rename</t>
  </si>
  <si>
    <t>If long-press on app drawer icon, and then drag it on edit that appears on top of the screen, after confirming new label text, launcher crashes.
Here is the log:
Build version: 0.5.3
Device: Samsung SM-G920F
Using Samsung Galaxy S6</t>
  </si>
  <si>
    <t>vector-im-riot-android-1580</t>
  </si>
  <si>
    <t>Crash in preferenceGroup</t>
  </si>
  <si>
    <t>Reported by v7r:matrix.org
crash while typing in people search</t>
  </si>
  <si>
    <t>DoubleSymmetry-react-native-track-player-39</t>
  </si>
  <si>
    <t>setupPlayer causes crash on Android 7.0?</t>
  </si>
  <si>
    <t>On Android 7.0 device (Huawei) get the following error when try to run await</t>
  </si>
  <si>
    <t>2017-09-09</t>
  </si>
  <si>
    <t>Devsoc-BPGC-ARD-157</t>
  </si>
  <si>
    <t>ANR on clicking the same post twice</t>
  </si>
  <si>
    <t>App stops responding becuase of an
Method to replicate -&gt;
1. Click on 1st post
2. Press back button
3. Click same post again. App crashes
Complete log of error here https: pastebin.ubuntu.com 25499067
Part of log error -&gt;</t>
  </si>
  <si>
    <t>kabouzeid-Phonograph-288</t>
  </si>
  <si>
    <t>When sharing audio, the app crashes</t>
  </si>
  <si>
    <t>When sharing audio, the app crashes.
&lt;tr&gt;&lt;td&gt;App version&lt; td&gt;&lt;td&gt;0.16.0 BETA 4&lt; td&gt;&lt; tr&gt;
&lt;tr&gt;&lt;td&gt;App version code&lt; td&gt;&lt;td&gt;136&lt; td&gt;&lt; tr&gt;
&lt;tr&gt;&lt;td&gt;Android build version&lt; td&gt;&lt;td&gt;4283548&lt; td&gt;&lt; tr&gt;
&lt;tr&gt;&lt;td&gt;Android release version&lt; td&gt;&lt;td&gt;8.0.0&lt; td&gt;&lt; tr&gt;
&lt;tr&gt;&lt;td&gt;Android SDK version&lt; td&gt;&lt;td&gt;26&lt; td&gt;&lt; tr&gt;
&lt;tr&gt;&lt;td&gt;Android build ID&lt; td&gt;&lt; tr&gt;
&lt;tr&gt;&lt;td&gt;Device brand&lt; td&gt;&lt;td&gt;google&lt; td&gt;&lt; tr&gt;
&lt;tr&gt;&lt;td&gt;Device manufacturer&lt; td&gt;&lt;td&gt;LGE&lt; td&gt;&lt; tr&gt;
&lt;tr&gt;&lt;td&gt;Device name&lt; td&gt;&lt;td&gt;bullhead&lt; td&gt;&lt; tr&gt;
&lt;tr&gt;&lt;td&gt;Device model&lt; td&gt;&lt;td&gt;Nexus 5X&lt; td&gt;&lt; tr&gt;
&lt;tr&gt;&lt;td&gt;Device product name&lt; td&gt;&lt;td&gt;bullhead&lt; td&gt;&lt; tr&gt;
&lt;tr&gt;&lt;td&gt;Device hardware name&lt; td&gt;&lt;td&gt;bullhead&lt; td&gt;&lt; tr&gt;
&lt;tr&gt;&lt;td&gt;ABIs&lt; td&gt;&lt;td&gt; arm64-v8a, armeabi-v7a, armeabi td&gt;&lt; tr&gt;
&lt;tr&gt;&lt;td&gt;ABIs (32bit)&lt; td&gt;&lt;td&gt; armeabi-v7a, armeabi td&gt;&lt; tr&gt;
&lt;tr&gt;&lt;td&gt;ABIs (64bit)&lt; td&gt;&lt;td&gt; arm64-v8a td&gt;&lt; tr&gt;</t>
  </si>
  <si>
    <t>2017-09-10</t>
  </si>
  <si>
    <t>fossasia-phimpme-android-1102</t>
  </si>
  <si>
    <t>App Crashes while loading images</t>
  </si>
  <si>
    <t>When there are no images in device and clicking on image button to load images app crashes as demonstrated in gif
If there is no images app should say No Image found
**Steps to reproduce it**
Delete all photos from your device and open the app then click on the image button present in the main activity at top right corner
**LogCat for the issue**
FATAL EXCEPTION: AsyncTask 200
**Screenshots of the issue**
GIF https: i.imgur.com iV53Gcm.mp4
**Would you like to work on the issue?**</t>
  </si>
  <si>
    <t>nextcloud-android-1531</t>
  </si>
  <si>
    <t>nextcloud dev crashes and won't create user account</t>
  </si>
  <si>
    <t>### Actual behaviour
The nextcloud dev app crashes unexpectedly or simply reverts to the initial account creation display
### Expected behaviour
The app should create an account (on my android device). At the least provide normal user some feed back as to why the app is crashing or can create an android account (even if this isn the nextcloud app fault see below).
### Steps to reproduce
Apologies, ve had with so many flippin problems with this app (note this issue will happen on the non-dev version) that no longer sure how got here and going off on it will likely not be helpful...
Likely got here along the lines described in the response answered Jun 20 16 at 16:06 hiBrianLee to
See also: https: github.com nextcloud android issues 820
This problem has not happened (to me) if the nextcloud account entry on the android device is preserved during an update event.
Again apologies if this has already been reported and fix is forthcoming... sure like to know about it.
### Environment data
Android version:7.1.2 lineageos 14.1 20170908
Device model: surnia
Stock or customized system: custom, no-gapps
Nextcloud app version: fdroid nextcloud dev 20170903. also affects fdroid nextcloud dev 20170707, fdroid nexcloud 2.0.0 RC5
Nextcloud server version:12.0.0, Ubuntu 16.04.3 LTS (GNU Linux 4.4.0-93-generic x86 64), TOPT enabled, https only, redirected from DDNS service at high port that is redirected to port 443 by my router.
This configuration has worked for many months prior to this event.
FWIW, this problem does not happen (I could create an account on the android device) when on my own network and using the ip address of the server without port redirection.
The mysql table oc bruteforce attempts had entry but this problem persisted after removed them and restarted the nextcloud server. In any event, it seems like an android account creation problem to me see below.
connection is made to my server and an app password is created by the android app on the nextcloud server. The nextcloud app apparently crashes resets after that. logcat on the android device indicates the account already exists on the android device similar to that described in the post:</t>
  </si>
  <si>
    <t>2017-09-11</t>
  </si>
  <si>
    <t>dimagi-commcare-android-1817</t>
  </si>
  <si>
    <t>Fixes crash on startup introduced by crashlytics changes</t>
  </si>
  <si>
    <t>Moved after this to fix NPE while getting device id using</t>
  </si>
  <si>
    <t>dimagi-commcare-android-1816</t>
  </si>
  <si>
    <t>Fixes Crash introduced by crashlytics changes</t>
  </si>
  <si>
    <t>square-okhttp-3597</t>
  </si>
  <si>
    <t>NullPointerException in HttpUrl.class</t>
  </si>
  <si>
    <t>IT IS NOT REALLY BUG, BUT...
There is no check if value is null whille buiding body for POST
RequestBody formBody new FormBody.Builder()
.add( value value)
if value is null, there is
My app doesn stop after this crash and remains in loop.
Would it be possible to throw</t>
  </si>
  <si>
    <t>BaseballCardTracker-bbct-android-422</t>
  </si>
  <si>
    <t>BaseballCardDetails.java line 286</t>
  </si>
  <si>
    <t>nextcloud-android-1544</t>
  </si>
  <si>
    <t>Crash during account deletion</t>
  </si>
  <si>
    <t>### Actual behaviour
Deleting account results in crash of app
### Expected behaviour
### Steps to reproduce
1. Create account
2. Auto upload some files (not sure about this part though)
3. Delete account
### Environment data
Stock or customized system:
Nextcloud app version:
Nextcloud server version:</t>
  </si>
  <si>
    <t>2017-09-13</t>
  </si>
  <si>
    <t>ForstaLabs-relay-168</t>
  </si>
  <si>
    <t>Nonexistent-tag entry crashes app: Android Stage</t>
  </si>
  <si>
    <t>1. type in content editor
2. type message
3. Send message &gt;&gt;&gt; App crashes
4. reopen app
5. nonexistent-tag thread is still existent trying to send the message
6. Tap on thread &gt;&gt;&gt;&gt;&gt;App crashes</t>
  </si>
  <si>
    <t>EyeSeeTea-pictureapp-1437</t>
  </si>
  <si>
    <t>Bug crash changing tabs</t>
  </si>
  <si>
    <t>wdullaer-MaterialDateTimePicker-404</t>
  </si>
  <si>
    <t>TimePickerDialog crashes going to background on version 3.3.0</t>
  </si>
  <si>
    <t>Since we updated to Material DateTime Picker 3.3.0 we are seeing these crashes that did not occur on version 3.2.2:
To reproduce, simply open TimePickerDialog and make it go to background by clicking the recents button on your device. It crashes immediately after doing so trying to parcel some state so it seems something changed there since version 3.2.2. Sorry have no time to look at the code of this issue more deeply right now but hope the stacktrace helps.</t>
  </si>
  <si>
    <t>nextcloud-android-1549</t>
  </si>
  <si>
    <t>Errors when Large Selection Uploading</t>
  </si>
  <si>
    <t>am using Google Nexus 6P phone with Android 7.1 and Nextcloud app that is running on local home server. selected about 176 files which came out to be 1.4GB of files, selected the photos from Photos app that is installed by default in Android and selected to share the files through uploading the actual image size to Nextcloud. The app then crashed out, opted to send in the feedback with logs but the app then continued to upload. So am confused.</t>
  </si>
  <si>
    <t>2017-09-14</t>
  </si>
  <si>
    <t>wiglenet-wigle-wifi-wardriving-175</t>
  </si>
  <si>
    <t>FIX - share activity sometimes gets null intents</t>
  </si>
  <si>
    <t>courtesy of crashlytics.
could also simply finish with nullcheck right after intent is assigned, but slight dup.</t>
  </si>
  <si>
    <t>moneymanagerex-android-money-manager-ex-1145</t>
  </si>
  <si>
    <t>Background sync service exception on Oreo</t>
  </si>
  <si>
    <t>With android Oreo the background service crashes
think it is related to the new limitations on background services introduced with Oreo</t>
  </si>
  <si>
    <t>OpenLauncherTeam-openlauncher-235</t>
  </si>
  <si>
    <t>after changing drawer view to paged, on the last page crash</t>
  </si>
  <si>
    <t>dji-sdk-Mobile-SDK-Android-164</t>
  </si>
  <si>
    <t>Occasionally, app crash caused by SDK</t>
  </si>
  <si>
    <t>#### Is this issue about bugs or crash issues of DJI Android SDK and Sample Code?
No, It crash on my app. But got stacktrace from DJI SDK as below:
Fatal Exception: no such table: polygon tfr remote data: DELETE FROM polygon tfr remote data
at execSQL(Unknown Source)
#### My test environment as below:
DJI SDK 4.2.1
Phantom Pro, Phantom 4, Phantom Pro</t>
  </si>
  <si>
    <t>Onelio-ConnectU-11</t>
  </si>
  <si>
    <t>Crash en Materiales en Android 4.4 (API 19)</t>
  </si>
  <si>
    <t>Cuando intentas ver un material en el aplicativo Materiales, en API 19 inferior, la app crashea. Esto es debido un conflicto entre las librer as vectoriales dichos niveles de API</t>
  </si>
  <si>
    <t>2017-09-15</t>
  </si>
  <si>
    <t>DeveloperCielo-LIO-SDK-Sample-Integracao-Local-15</t>
  </si>
  <si>
    <t>Erro no Retorno do Pagamento - Integração Local</t>
  </si>
  <si>
    <t>Integramos dulo de pagamento da LIO no nosso aplicativo, mas estamos tendo uma dificuldade:
Seguimos passo passo para integra local indicado na gina de desenvolvedores Cielo. pagamento realizado com sucesso, inclusive conseguimos recuperar os dados referentes ele.
problema Ap pagamento voltamos para tela do nosso app, tanto utilizando emulador LIO quanto pr pria quina que temos para teste, mas se sairmos dessa tela ocorre um erro que em seguida causa um crash na aplica o:
Android Studio indica como causadora do erro seguinte linha: **
erro menciona BroadcastReceiver, apesar de em nenhum momento instanciarmos mesmo.</t>
  </si>
  <si>
    <t>getodk-collect-1472</t>
  </si>
  <si>
    <t>Forks shouldn't report to Firebase Crash</t>
  </si>
  <si>
    <t>Currently, we get crash reports from forks and from developer debug builds. Why is this happening and how can we prevent it? The intent is to only get crashes from release builds of the core.
This is problematic because lot of forks have really buggy extensions that overwhelm the crash list, making it hard to see true Collect crashes.</t>
  </si>
  <si>
    <t>zom-Zom-Android-XMPP-322</t>
  </si>
  <si>
    <t>Tapping the camera in photostream crashes the app</t>
  </si>
  <si>
    <t>opensensorhub-osh-android-9</t>
  </si>
  <si>
    <t>App crashes when compiled against latest osh-core</t>
  </si>
  <si>
    <t>WallPanel-Project-wallpanel-android-39</t>
  </si>
  <si>
    <t>Camera does not work without manually setting permisions</t>
  </si>
  <si>
    <t>The camera are not being detected, and will crash the app when trying to use them without manually allowing the camera permission in android settings.</t>
  </si>
  <si>
    <t>stefan-niedermann-nextcloud-notes-267</t>
  </si>
  <si>
    <t>Lazy UI and crashing after typing a long text</t>
  </si>
  <si>
    <t>When (fast) typing long text into note, the app becomes lazy, hangs and then finally crashes. Maybe there is problem with the Timers for autosave or something. This problem wasn there in the last release.
Is somebody able to reproduce this? Maybe, this happens only on real device.
*(I moved this from https: github.com stefan-niedermann nextcloud-notes issues 246#issue-254441077 to new issue, since think it release critical.)*</t>
  </si>
  <si>
    <t>2017-09-18</t>
  </si>
  <si>
    <t>eneim-toro-256</t>
  </si>
  <si>
    <t xml:space="preserve">Getting crash on resume </t>
  </si>
  <si>
    <t>dxsdyhm-GwellDemo-60</t>
  </si>
  <si>
    <t>第二次打开监控必crash。</t>
  </si>
  <si>
    <t>GwellDemo id pwd
*** *** *** *** *** *** *** *** *** *** *** *** *** *** *** ***
Build fingerprint: Xiaomi leo leo:5.1.1 LMY47V release-keys
signal (SIGABRT), code -6 (SI TKILL), fault addr --------
Abort message: art runtime check jni.cc:65 JNI DETECTED ERROR IN APPLICATION: thread Thread 58,tid 0xe2355400,peer 0x13195820, Thread-43177 using JNIEnv* from thread Thread 32,tid 0xe2113000,peer 0x1382aee0, Thread-46312
r0 00000000 r1 00002af3 r2 00000006 r3 00000000
r4 d0105db8 r5 00000006 r6 00000002 r7 0000010c
r8 00000001 r9 f506f550 sl e2355400 fp cf939120
ip 00002af3 sp d0104b90 lr f74f98cd pc f751da50 cpsr 60070010
#30 pc 000a9a2c dev ashmem dalvik-non moving space (deleted)</t>
  </si>
  <si>
    <t>ForstaLabs-relay-174</t>
  </si>
  <si>
    <t>Creating a new group crashes the app</t>
  </si>
  <si>
    <t>Adding few people to create new group crashes on completion.
See attached debug log
1) On main thread view editor: Select the symbol to bring up members to select from
2) Select the More Menu --&gt; New Group
3) Add members
4) Select left checkmark
5) Select right checkmark --&gt; CRASH
&lt;img width 1218 alt screen shot 2017-09-19 at 10 46 20 am src https: 2394436</t>
  </si>
  <si>
    <t>2017-09-19</t>
  </si>
  <si>
    <t>jMonkeyEngine-jmonkeyengine-740</t>
  </si>
  <si>
    <t>TestRagdollCharacter crashes</t>
  </si>
  <si>
    <t>TestBoneRagdoll works like charm, however leads to native-bullet crash.
Linux 4.8.0 on Kubuntu 16.10
Git Hash: 0bc6c64
Build Date: 2017-09-09
fatal error has been detected by the Java Runtime Environment:
SIGSEGV (0xb) at pc 0x00007f165f296c00, pid 18841, tid 0x00007f165ec22700
JRE version: Java(TM) SE Runtime Environment (8.0 131-b11) (build 1.8.0 131-b11)
Java VM: Java HotSpot(TM) 64-Bit Server VM (25.131-b11 mixed mode linux-amd64 compressed oops)
An error report file with more information is saved as:
hs err pid18841.log
It not HEAD but did quick git diff we shows there was nothing bullet related in between.</t>
  </si>
  <si>
    <t>piskula-FuelUp-75</t>
  </si>
  <si>
    <t>Deleting single fill up causes app crash</t>
  </si>
  <si>
    <t>There is only one fill up delete it booom</t>
  </si>
  <si>
    <t>2017-09-20</t>
  </si>
  <si>
    <t>schedjoules-android-public-calendars-sdk-13</t>
  </si>
  <si>
    <t>Events Preview screen crashes</t>
  </si>
  <si>
    <t>Apparently, the library removed in #8 is actually used in layout and now it causes runtime crash. (Not sure why build succeeds without it)
So it has to be put back and need to solve the related proguard issue.</t>
  </si>
  <si>
    <t>Qihoo360-RePlugin-359</t>
  </si>
  <si>
    <t>Resolved issue “Samsung Android 5.1, according to the volume button, crash”</t>
  </si>
  <si>
    <t>Android 5.0 5.1
#### Issue Associated issue number (multiple)</t>
  </si>
  <si>
    <t>airmap-AirMapSDK-Android-2</t>
  </si>
  <si>
    <t>MqttService crash</t>
  </si>
  <si>
    <t>Hello, received this issue from fabric.
Fatal Exception: Invalid ClientHandle
Platform Moto G4 Play with android 6.0.1</t>
  </si>
  <si>
    <t>2017-09-21</t>
  </si>
  <si>
    <t>andreynovikov-trekarta-45</t>
  </si>
  <si>
    <t>Crash on exit after recent waypoint detetion</t>
  </si>
  <si>
    <t>If waypoint is deleted and then application is exited without waiting for snackbar dismiss application crashes</t>
  </si>
  <si>
    <t>2017-09-22</t>
  </si>
  <si>
    <t>LawnchairLauncher-lawnchair-736</t>
  </si>
  <si>
    <t>LawnChair crashes when placing shortcut in folder</t>
  </si>
  <si>
    <t>If backport shortcuts is enabled, extra options will appear when long pressing certain apps. As expected, if we long press one of those options, shortcut for them will be created to be dragged in the desired place. If we do this with the app in folder, and we place the shortcut in the same folder, LawnChair will crash.
## Expected Behavior
Crashes are never expected, shortcut should be normally created inside the folder.
## Actual Behavior
LawnChair will crash.
## Steps to Reproduce
Follow those steps to reproduce:
1. Make sure that you have the latest alpha version of LawnChair installed (1.1.0.1243)
2. Open LawnChair settings, press behaviour and make sure Backport shortcuts is enabled
3. Go to the home screen, open the drawer, scroll down to Gmail, long press it and drag it in an empty space of the screen.
4. Open the drawer, long press any app you want and place it on Gmail to create folder.
5. Open the folder, long press Gmail, long press Compose and drag it next to Gmail.
6. Everything will crash.
Device: Moto Play XT1602
Android version: 6.0.1
Launcher version: alpha 1.1.0.1243
Build number: MPIS24.241-15.3-21</t>
  </si>
  <si>
    <t>2017-09-23</t>
  </si>
  <si>
    <t>nextcloud-android-1583</t>
  </si>
  <si>
    <t>App is dying in background / breaks auto-upload feature</t>
  </si>
  <si>
    <t>### Actual behaviour
Sometimes, the nextcloud app stop in background, so it doesn sync any new photo using the auto-upload feature. After restarting it, it doesn recognize new photo made in the time it was stopped.
### Expected behaviour
Doesn crash upload photo made while the app was stopped.
### Steps to reproduce
Happen randomly while using the app. There is no way to exactly reproduce it.
### Environment data
Device model: Huawei p10 Lite
Stock or customized system: Stock
Nextcloud app version: Latest
Nextcloud server version: Latest (Updated it days ago)
As it seems to be clientside problem, didn add any logs here. Tell me, if you need them.</t>
  </si>
  <si>
    <t>kontalk-androidclient-1070</t>
  </si>
  <si>
    <t>CSI active/inactive should be sent after complete XMPP handshake</t>
  </si>
  <si>
    <t>First of all, this is causing crash:
This can also lead to packet being sent while handshaking SSL, which is bad.</t>
  </si>
  <si>
    <t>2017-09-24</t>
  </si>
  <si>
    <t>mo3rfan-syncplayer-4</t>
  </si>
  <si>
    <t>SyncPlayer crashes with two connected Android instances. When one linux and one android SyncPlayer are connected, it Resets seek to 0 when linux seeks.</t>
  </si>
  <si>
    <t>was starting to hack together syncplay client myself and then stumbled upon this. Seems to work, thats great! But came upon debilitating bug. suspect it might be simple thing in the interaction with the media player. based on some experiments did. Before dive into the code myself, thought ask. (More than happy to help debug if you like.)
1. One linux syncplay and one Android syncplayer, both connected to syncplay.pl:8996.
Works great. If you use the seek bar on the Android, then Linux also seeks, Nice.
But if you see on the Linux client, then the Android client jumps back to 0, and tells the Linux client also to jump back to zero.
(I ran tcpflow to see the traffic and can see the sequence of linux announcing the seek, and immediately the android version responds with seek 0, so both are now back to the start of the video).
2. Two androids syncplayers connected, same server and room as above.
Seek on any Android syncplayer, and it immediately crashes. The android syncplayer on which you seek is the one that crashes.
Without looking at the code, just based on the bhaviour, am guessing that when the linux client announces seek, the android syncplayer does the seek to the announced offset, this maybe fails for some reason, and maybe causes jump back to 0sec. This is then announced to the server from the android syncplayer. Just guess.
Please let me know how can help. tcpflow dumps. logcat, test runs of modified code, run connected to you when you are watching ... anything you like, just let me know.</t>
  </si>
  <si>
    <t>OneBusAway-onebusaway-android-807</t>
  </si>
  <si>
    <t>NPE when manually selecting region without bikeshare</t>
  </si>
  <si>
    <t>If you manually select region without bikeshare (e.g., Washington D.C. ), and then return to the screen to select regions and hit the back button, the app crashes with the below stack trace:
**Steps to reproduce:**
1. Settings-&gt;Your region
1. Select region without bikeshare Washington D.C.
1. Settings-&gt;Your region
1. Hit back button
Return to the main Settings screen
Crash with above stack trace
**Device and Android version:**
LG G5 Android 7.0</t>
  </si>
  <si>
    <t>2017-09-25</t>
  </si>
  <si>
    <t>dgets-MinTone-1</t>
  </si>
  <si>
    <t>Play/pause toggle button not working correctly</t>
  </si>
  <si>
    <t>**Play Pause** is working properly to start the audio tone, but not to toggle back to non-playing status. The second press of the button will crash the app.</t>
  </si>
  <si>
    <t>TeamNewPipe-NewPipe-737</t>
  </si>
  <si>
    <t>Video crashes when returning to player</t>
  </si>
  <si>
    <t>Steps to reproduce:
1. Start video in ExoPlayer
2. Switch to another app (or launcher)
3. Return to NewPipe
4. Tab on play again.</t>
  </si>
  <si>
    <t>vector-im-riot-android-1618</t>
  </si>
  <si>
    <t>Fail to load the e2e lib</t>
  </si>
  <si>
    <t>reported by Ddd1:matrix.org
When tapping on the app after having updated it, it just crashed before showing its main screen. No apparent reason can be addressed as the cause</t>
  </si>
  <si>
    <t>thiagoprochnow-carteiradeativos-145</t>
  </si>
  <si>
    <t>Lots of crash happening when trying to update portfolio</t>
  </si>
  <si>
    <t>2017-09-26</t>
  </si>
  <si>
    <t>thiagoprochnow-carteiradeativos-144</t>
  </si>
  <si>
    <t>Look into crash below</t>
  </si>
  <si>
    <t>bumptech-glide-2434</t>
  </si>
  <si>
    <t>Bug: SVG sample crashes</t>
  </si>
  <si>
    <t>Tested on Nexus 5x with Android O.
This is what get in logs:
... 32 more</t>
  </si>
  <si>
    <t>fabian7593-MagicalCamera-28</t>
  </si>
  <si>
    <t>Fatal Exception: java.lang.OutOfMemoryError</t>
  </si>
  <si>
    <t>use your MagicalCamera to take several photo to send (encoded 64) to server.
Sometime got this error:
This is other crash information:
OS Version: 4.2.2
Device: Galaxy S2 Plus
RAM Free: 35.6%
Disk Free: 62.8%
have this params set
private int RESIZE PHOTO PIXELS PERCENTAGE 20
Can you help me?
belive you must add this function destroyPhoto:
and we call this on onDestroy(), like
Thanks in advances.</t>
  </si>
  <si>
    <t>8enet-AppOpsX-17</t>
  </si>
  <si>
    <t>Android oreo卡死</t>
  </si>
  <si>
    <t>supersu,android 8, google pixel
app adb logcat
--------- beginning of crash
7153 root 20 1.6M 360K 204K 0.0 0.0 0:00.00 crash dump32 7151 7152
7151 root 20 1.6M 364K 204K 0.0 0.0 0:00.00 crash dump32 7149 7150
7149 root 20 1.6M 364K 204K 0.0 0.0 0:00.00 crash dump32 7147 7148
7147 root 20 1.6M 360K 204K 0.0 0.0 0:00.00 crash dump32 7145 7146
7145 root 20 1.6M 364K 204K 0.0 0.0 0:00.00 crash dump32 7143 7144
7143 root 20 1.6M 364K 204K 0.0 0.0 0:00.00 crash dump32 7141 7142</t>
  </si>
  <si>
    <t>the3deers-android-3D-model-viewer-24</t>
  </si>
  <si>
    <t>App crashes if we zoom in too much or zoom out too much</t>
  </si>
  <si>
    <t>If zoom in too much or zoom out too much the app crashes. Can we give zoom limit so that we can avoid crashes</t>
  </si>
  <si>
    <t>geopaparazzi-geopaparazzi-415</t>
  </si>
  <si>
    <t>Out of memory crashes due to images thumbnails</t>
  </si>
  <si>
    <t>If the resolution of the app is lowered, everything works properly.
Will have to understand what is the best way to handle this.
For sure we will have to add message warning for images that are taken at too high resolution.</t>
  </si>
  <si>
    <t>2017-09-27</t>
  </si>
  <si>
    <t>TeamNewPipe-NewPipe-744</t>
  </si>
  <si>
    <t>Search crash</t>
  </si>
  <si>
    <t>carefully read the contribution guidelines (https: github.com TeamNewPipe NewPipe blob HEAD .github CONTRIBUTING.md) and agree to them.
checked if the issue feature exists in the latest version.
Unfortunately can reproduce this crash, as far as remember had searched for something and was going through the list and watched videos and went back to the search result and at some point think double clicked back and it crashed but can reproduce it. thought it was worth posting the stacktrace just in case:</t>
  </si>
  <si>
    <t>antest1-kcanotify-21</t>
  </si>
  <si>
    <t>Crash issue in Android 8.0</t>
  </si>
  <si>
    <t>Common crash related with permission is reported in Android 8.0.
checking for this issue. Sorry for the inconvenience.</t>
  </si>
  <si>
    <t>2017-09-28</t>
  </si>
  <si>
    <t>nextcloud-android-1601</t>
  </si>
  <si>
    <t>Nextcloud app crashes when opening 'Activities' overview</t>
  </si>
  <si>
    <t>### Actual behaviour
### Expected behaviour
### Steps to reproduce
1. Click Activites in sidebar
### Environment data
Android version: 7.1.2
Device model: Oneplus
Stock or customized system: LineageOS
Nextcloud app version: 20170926 (from F-Droid)
Nextcloud server version: 12.0.3
#### Web server error log
#### Nextcloud log (data nextcloud.log)
can find such file on my device.</t>
  </si>
  <si>
    <t>OneBusAway-onebusaway-android-810</t>
  </si>
  <si>
    <t>IllegalStateException when getting phone call while on map view and then selecting out-of-region dialog</t>
  </si>
  <si>
    <t>When getting phone call in the map view, after returned to the app and tapped on the Out of region dialog, the app crashed and got the following stack trace:
**Steps to reproduce:**
1. Select region other than the one you re in
1. Go to Nearby screen
1. Answer phone call
1. After hanging up, reply to the Out of region dialog
**Device and Android version:**
LG G5 Android 7.0</t>
  </si>
  <si>
    <t>2017-09-29</t>
  </si>
  <si>
    <t>OneBusAway-onebusaway-android-809</t>
  </si>
  <si>
    <t xml:space="preserve">NPE on layer listener when switching fragments </t>
  </si>
  <si>
    <t>It looks like when switching out fragments when viewing Nearby mode in HomeActivity, one of the listeners becomes null, which results in an NPE:
FATAL EXCEPTION: main
**Steps to reproduce:**
Not sure open route mode and switch back to normal mode on map, switch to and from Starred Stops until it crashes
**Device and Android version:**
LG G5 Android 7.0</t>
  </si>
  <si>
    <t>MCMrARM-revolution-irc-3</t>
  </si>
  <si>
    <t>Crash when connecting to a ZNC 1.7 bouncer</t>
  </si>
  <si>
    <t>App don connect to passworded server (as zncs) and crashes.
If you try to reopen the app, it crashes again (maybe while it trying to connect?).
Except that, seems very interesting.
Any update soon?</t>
  </si>
  <si>
    <t>TeamWalrus-Walrus-11</t>
  </si>
  <si>
    <t>Better card device operations error handling</t>
  </si>
  <si>
    <t>think it crashes when i.e. card read times out</t>
  </si>
  <si>
    <t>TeamWalrus-Walrus-2</t>
  </si>
  <si>
    <t>Read from a device - first time crashes due to null ref</t>
  </si>
  <si>
    <t>Fix reading from chameleon mini</t>
  </si>
  <si>
    <t>BaseballCardTracker-bbct-android-423</t>
  </si>
  <si>
    <t>BaseballCardDetails.java line 275</t>
  </si>
  <si>
    <t>2017-09-30</t>
  </si>
  <si>
    <t>dgets-MinTone-11</t>
  </si>
  <si>
    <t>Clicking the 'Frequency' subheading crashes the app</t>
  </si>
  <si>
    <t>Accidentally clicking the Frequency subheading, above the frequency seekbar, causes the application to crash for some ungodly reason.</t>
  </si>
  <si>
    <t>kabouzeid-Phonograph-304</t>
  </si>
  <si>
    <t>Android Oreo crash on OS boot</t>
  </si>
  <si>
    <t>This is because it no longer allowed to start background service from the background.</t>
  </si>
  <si>
    <t>2017-10-01</t>
  </si>
  <si>
    <t>mkjensen-tv-2</t>
  </si>
  <si>
    <t>Handle programs without start time and/or end time</t>
  </si>
  <si>
    <t>It happens that https: www.dr.dk mu-online Help 1.3 Api broadcastDate onlinegenretext returns program without start time and or end time.
When it happens, the app crashes and won work until the program without start time and or end time is no longer part of the EPG data being synchronized.</t>
  </si>
  <si>
    <t>st1hy-Red-Calorie-32</t>
  </si>
  <si>
    <t>Editing newly created copy of existing meal causes app crash</t>
  </si>
  <si>
    <t>Steps to reproduce on 1.5.6:
1. Copy meal to today
2. Edit this mel
3. Click save
Application crashes on Android Oreo:
Crash report is not uploading to Play Services, no errors are reported to Logcat (Android 8.0 only)
Under investigation (manual error logging) problem was found in:</t>
  </si>
  <si>
    <t>dgets-MinTone-15</t>
  </si>
  <si>
    <t>Out of range entry crashes app</t>
  </si>
  <si>
    <t>When the user enters frequency manually that happens to be out of range, the app crashes, presumably upon throwing MyException</t>
  </si>
  <si>
    <t>zom-Zom-Android-XMPP-342</t>
  </si>
  <si>
    <t>Zom crashes when user selects 'scan' from 'add friend' view</t>
  </si>
  <si>
    <t>Samsung Galaxy S7</t>
  </si>
  <si>
    <t>2017-10-02</t>
  </si>
  <si>
    <t>iBotPeaches-Apktool-1632</t>
  </si>
  <si>
    <t>AAPT crashes during rebuild</t>
  </si>
  <si>
    <t>1. **Apktool Version apktool -version )** 2.3.0
2. **Operating System (Mac, Linux, Windows)** Windows
3. **APK From? (Playstore, ROM, Other)** Playstore
### Stacktrace Logcat
aapt crashes although there are no error messages used by it.
### Steps to Reproduce</t>
  </si>
  <si>
    <t>dimagi-commcare-android-1842</t>
  </si>
  <si>
    <t>Fixes NPE for Grid Menu when there is audioFile for a menu</t>
  </si>
  <si>
    <t>In 2.39, while refactoring for Menu Badges, also refactored MenuAdapter and GridAdapter to use same getView code and what didn realise is there is not audio button in grid menu list item layout. This is causing crash when we have anyway added audio file for Grid menu in HQ since right now mobile code is assuming that if there is audio file there should also be audioButton for it.
This is impacting only the ICDS AWW app right now and it causing crash on clicking Start.</t>
  </si>
  <si>
    <t>dimagi-commcare-android-1845</t>
  </si>
  <si>
    <t>2.39.2 - Universal timeout increase on upgrades</t>
  </si>
  <si>
    <t>The stack trace in the above crash doesn reveal what was really going on here (thanks ctsims for getting to the bottom of it). The bug was that for the v20 --&gt; v21 user db migration (which reindexes all cases), the migration was taking longer than seconds, which is the default timeout set in CommCareApplication MAX BIND TIMEOUT for binding to the session service. Previously, we would selectively increase this timeout in certain migrations that we expected to take long time, but this one was missed and is causing issues for few users (thankfully only so far, all in the same app, so seems quite rare). But since there really not much harm in increasing this timeout even when it not strictly necessary, we ve decided to simplify matters and prevent this in the future by having blanket increase in the timeout for all user db upgrades.</t>
  </si>
  <si>
    <t>2017-10-03</t>
  </si>
  <si>
    <t>philipphecht-react-native-doc-viewer-49</t>
  </si>
  <si>
    <t>OpenFile is undefined on Android</t>
  </si>
  <si>
    <t>Versions in use
Everything works fine on iOS.
tried both auto linking and manual install for Android, but in either case, OpenFile is undefined.
import OpenFile from
undefined is not function (evaluating
Also, the example application keeps crashing, so can test with that.
Thanks in advance!</t>
  </si>
  <si>
    <t>requery-requery-693</t>
  </si>
  <si>
    <t>ClassCastException for entity with Long primary key in Kotlin on Android</t>
  </si>
  <si>
    <t>An example of this crash is available here (https: github.com scompt requery bug). Just build the app gradlew assembleDebug ), install it adb install app build outputs apk debug app-debug.apk ), run it, and you ll get the exception below.
The entity in question is defined so:
data class ExampleEntity
val id: Long,
val name: String?
and trying to insert it like so:
Any ideas what could be the problem?</t>
  </si>
  <si>
    <t>twilio-voice-quickstart-android-99</t>
  </si>
  <si>
    <t>App crashing when Incoming call rejects</t>
  </si>
  <si>
    <t>am using **beta18** version of voice quickstart android to implement calling feature and implemented successfully but getting crash in Incoming call.
When call is running over my mobile network and an incoming call comes into my application by Twilio but reject the twilio call then app crashed.
Steps to reproduce
1. Start call over mobile network(SIM call).
2. Make an incoming call over application(Twilio call).
3. Reject Twilio call.
4. App will be crashed.
Please reproduce it and give me the solution.
Check Crash Logs below</t>
  </si>
  <si>
    <t>mkulesh-microMathematics-35</t>
  </si>
  <si>
    <t>Actual crashes logged by Google Play</t>
  </si>
  <si>
    <t>Canvas: trying to draw too bitmap.</t>
  </si>
  <si>
    <t>2017-10-04</t>
  </si>
  <si>
    <t>RafalManka-ScrollCalendar-1</t>
  </si>
  <si>
    <t>Didn't find class "pl.rafalmanka.scrollcalendar.ScrollCalendar" on path: DexPathList</t>
  </si>
  <si>
    <t>having this issue when attempt to load fragment with the ScrollCalendar view on it. can compile and include your library successfully, but when run the app it crashes in this fragment. The exception it throwing it with this description:
Didn find class on path: DexPathList
think it related to dependences, but include the library on Gradle as you did (excluding the support group) and also ve tried with multidex enabled.
Do you have any ideas why is this happening? Thanks!</t>
  </si>
  <si>
    <t>requery-requery-696</t>
  </si>
  <si>
    <t>Embedded Not Working: NoSuchMethodError getParameters()</t>
  </si>
  <si>
    <t>think ve tried everything but can make the embedded annotation work.
My problem is that have json like this:
ad: id: myId wishes: brand: Hehe
SO using jackson with requery to deserialize it but it always crash.
The brands could be inline in the model, but the json cannot change.
public abstract class AbstractAd implements Persistable, Parcelable
public class AdWishes
And it gives me:
No virtual method getParameters() Ljava lang reflect Parameter in class Ljava lang reflect Method or its super classes (declaration of appears in system framework core-oj.jar)</t>
  </si>
  <si>
    <t>hzi-braunschweig-SORMAS-Project-353</t>
  </si>
  <si>
    <t>App crashing when logging in as Admin</t>
  </si>
  <si>
    <t>niclabs-adkintunmobile-androidclient-181</t>
  </si>
  <si>
    <t>ActiveServersTask.java line 2037</t>
  </si>
  <si>
    <t>vexelon-dot-net-currencybg.app-86</t>
  </si>
  <si>
    <t>Issue on JSON parsing in the API</t>
  </si>
  <si>
    <t>JSON payload. Wi-Fi, Proxy, ., crash-</t>
  </si>
  <si>
    <t>2017-10-05</t>
  </si>
  <si>
    <t>SecUSo-privacy-friendly-weather-51</t>
  </si>
  <si>
    <t>Add crashes in case "empty" location is added</t>
  </si>
  <si>
    <t>In case the add button is pressed, but no location from the citylist is selected the app crashes.</t>
  </si>
  <si>
    <t>NYRDS-remixed-dungeon-22</t>
  </si>
  <si>
    <t>In German language, i can unequip an unequipped ring. When i do that, the game crashes.</t>
  </si>
  <si>
    <t>USER COMMENT null
ANDROID VERSION 7.1.1
APP VERSION NAME remix.27.1.fix.1
PHONE MODEL XT1092
CUSTOM DATA RPD active mod Remixed
selectKind spritesDesc TownGuardNPC.json
active mod version 10452</t>
  </si>
  <si>
    <t>jawg-osm-contributor-136</t>
  </si>
  <si>
    <t>Always display a prompt to enable GPS while clicking on the position button if GPS is disabled</t>
  </si>
  <si>
    <t>While cliking on the location button, the map displays user position if the GPS is active.
While the GPS is inactive, depending the phone sometimes it displays request to activate the GPS, sometimes it doesn t.
Please make it available for every phone.
**Steps to reproduce:**
1. disable GPS
2. click on the position button
Display the prompt message for enabling the GPS chipset of the phone.
**Stacktrace (If it crash):**
It doesn crash.
Jungle Bus v1.2.4</t>
  </si>
  <si>
    <t>danimahardhika-wallpaperboard-91</t>
  </si>
  <si>
    <t>Random crash when searching wallpapers</t>
  </si>
  <si>
    <t>nitrite-nitrite-java-29</t>
  </si>
  <si>
    <t>StackOverflowError at org.h2.mvstore.MVMap.put</t>
  </si>
  <si>
    <t>am running into the following exception while doing very basic batch of inserts:
Steps to reproduce:
Download and unpack (https: github.com dizitart nitrite-database files 1362598
Go the the unpack folder and run
The insert loop crashes after roughly 7200 records while need to insert double of that. This just couple of MB of data so this should not be problem.</t>
  </si>
  <si>
    <t>2017-10-06</t>
  </si>
  <si>
    <t>OpenLauncherTeam-openlauncher-260</t>
  </si>
  <si>
    <t>Cyclic crash</t>
  </si>
  <si>
    <t>Would be nice, if Crash dialog should clear app defaults (default app to open home screen, so can start another launcher and continue to work with device)
Build version: 0.5.5</t>
  </si>
  <si>
    <t>PhilippC-keepass2android-33</t>
  </si>
  <si>
    <t>App crash when changing orientation while synchronizing</t>
  </si>
  <si>
    <t>Noticed recently that if your device changes between portrait and landscape orientation while synchronizing the database, KP2A will crash. Immediately upon doing so, the synchronizing text will disappear, then generally 2-5 seconds later get the crash notice. Tested multiple times on Android 7.1.2 when synchronizing with google drive. Let me know if you need any further details.</t>
  </si>
  <si>
    <t>2017-10-07</t>
  </si>
  <si>
    <t>cgeo-cgeo-6751</t>
  </si>
  <si>
    <t>Calculator Crashes on Older Versions of Android</t>
  </si>
  <si>
    <t>##### Detailed steps causing the problem:
Simply try to open the calculator
##### Actual behavior after performing these steps:
The dialogue crashes with message:
Although the message says c:geo has crashed it is actually only the calculator dialogue itself that dies and you are returned back to the regular c:geo app once you click the OK button.
Officially we are meant to support back to API 14 (Ice Cream Sandwich) however the calculator crashes when run on API 15 (also Ice Cream Sandwich). In particular it seems to be line 735 of that causes the problem, which reads:
haven investigated this other than to note which line the failure occurs on.
Note the calculator seems to work fine on API 19 (KitKat).</t>
  </si>
  <si>
    <t>syncthing-syncthing-android-963</t>
  </si>
  <si>
    <t>Syncthing 0.39-rc.1 Android 8.0: Crash on Every Boot</t>
  </si>
  <si>
    <t>What happened: Syncthing crashes on automatic launch after every boot.
What expected to happen: Not that.
Steps to reproduce: Restart the phone.
More info: When then launch Syncthing manually, it doesn crash again. assume rc in the Syncthing version number means release candidate. updated from the Play Store, and wouldn expect release candidate to be in production release. That might be relevant.
Here the log as of the manual launch:
--------- beginning of crash
--------- beginning of main
### Version Information
App Version: 0.9.15
Syncthing Version: v0.39-rc.1
Android Version: Android 8.0.0 security patch level 2017-10-05</t>
  </si>
  <si>
    <t>2017-10-08</t>
  </si>
  <si>
    <t>Pritom14-Password-Storage-14</t>
  </si>
  <si>
    <t>Application Crashes due to a bug</t>
  </si>
  <si>
    <t>Integration of Fabric (https: fabric.io home) in the application has led to crashes.</t>
  </si>
  <si>
    <t>nextcloud-news-android-583</t>
  </si>
  <si>
    <t>App crashes on Android 8</t>
  </si>
  <si>
    <t>The app crashes frequently after restart of the Android phone. Running with the latest Android version (currently 8.0), no matter which security patch (currently Octobre 05).
Sometimes, the app even crashes in background.
Still works fine on Android on anther phone!
Does anybody recognizes this behavior too?</t>
  </si>
  <si>
    <t>danimahardhika-wallpaperboard-92</t>
  </si>
  <si>
    <t>Random crash when applying wallpaper</t>
  </si>
  <si>
    <t>Fatal Exception: Cannot execute task: the task has already been executed (a task can be executed only once)</t>
  </si>
  <si>
    <t>2017-10-09</t>
  </si>
  <si>
    <t>7LPdWcaW-GrowTracker-Android-57</t>
  </si>
  <si>
    <t>vector-im-riot-android-1651</t>
  </si>
  <si>
    <t>crash while trying to display unknown E2E devices dialog</t>
  </si>
  <si>
    <t>Sapnethedreams-Sapne-11</t>
  </si>
  <si>
    <t>App crashes at out of memory error</t>
  </si>
  <si>
    <t>screenshot com miui bugreport (https: 21363531
Work on this issue:
Anyone can work on this issue.</t>
  </si>
  <si>
    <t>zom-Zom-Android-XMPP-353</t>
  </si>
  <si>
    <t>Adding a photo avatar to my profile during Zom account setup</t>
  </si>
  <si>
    <t>**1. Crashes the App**
When created new account on fresh install chose to add photo as my avatar. took picture and accepted the picture. Once tapped the checkmark to accept the picture the app crashed.
reinstalled the app and created new account and again tried adding photo avatar. The app crashed again.
Both times, when reopen the app it opens to the convo view.
App Version and build: 15.3.beta-8
**2. Doesn Work**
When created new account on fresh install chose to add photo as my avatar. took picture and accepted the picture. When tapped the checkmark, the photo disappears and the app is in convo view. don know if it worked. If you look at the me tab, there is no photo avatar for my profile.
reinstalled the app and created new account and again tried to add photo avatar. The same thing happened again.
App Version and build: 15.3.beta-8</t>
  </si>
  <si>
    <t>2017-10-10</t>
  </si>
  <si>
    <t>google-ExoPlayer-3334</t>
  </si>
  <si>
    <t>Reusing ExoPlayer instance in RecyclerView using ImaMediaSource crash.</t>
  </si>
  <si>
    <t>have list of video items,
Im trying to use the same instance of exoplayer in recycler view when scrolling between items.
when using normal HlsMediaSource the player works perfectly and very fast,
when wrap the HlsMediaSource with ImaAdsMediaSource the first video plays normally, but when scroll to the next item get an in TimeLine.getPeriod (in TimeLine.EMPTY instance) (adding stacktrace below)
this is my code (relevant to the issue):
public class SingleVideoPlayer
private SimpleExoPlayer exoPlayer
private Context context
private ImaAdsLoader imaAdsLoader
public context, String adTagUrl)
public void playVideoItem(final VideoListItem videoListItem, final VideoViewHolder viewHolder, int
public void setNewSource(String videoUrl, FrameLayout adUiContainer)
Uri uri Uri.parse(videoUrl)
String userAgent appName
MediaSource mediaSource new HlsMediaSource(uri, null, null)
new imaAdsLoader, adUiContainer)
public void viewHolder, int oldActivePosition)
managed to solve this by creating new instance of ExoPlayer every time start new video, but really don want to do this.
any help would be appreciated :) thanks!
the exception only occurs when scrolling while there is an ad currently playing and you scroll to another item</t>
  </si>
  <si>
    <t>rovo89-XposedInstaller-385</t>
  </si>
  <si>
    <t xml:space="preserve">Installer 3.1.2 crash on downloading module update on nougat </t>
  </si>
  <si>
    <t>Happens on OxygenOS 4.5.0 (7.1) on OnePlus3</t>
  </si>
  <si>
    <t>LawnchairLauncher-lawnchair-817</t>
  </si>
  <si>
    <t>java.lang.OutOfMemoryError when lawnchair starts up</t>
  </si>
  <si>
    <t>use IFTTT to download latest wallpapers from reddit.com wallpapers (Specifically, this recipe: https: ifttt.com applets
Today it seems wallpaper was downloaded that was quite big, lawnchair crashed.
The wallpaper in question is this one think: https: i.imgur.com p2UBn6y.jpg (quite wide).
## Expected Behavior
It doesn crash. :-)
## Actual Behavior
## Steps to Reproduce
1. Update phone homescreen wallpaper but *not* using standard wallpaper chooser (Like IFTTT recipe mentioned above) (I attempted to set the wallpaper using adb, but my adb-fu failed me...)
What seems to happen is that IFTTT simply sets the wallpaper, whereas the standard wallpaper chooser does some sanity checking on the wallpaper first.
Device: Samsung Galaxy S7 Edge SM-935F
Android version: 7.0
Launcher version: 1.0.1063
Rom: Stock Rom</t>
  </si>
  <si>
    <t>twilio-video-quickstart-android-180</t>
  </si>
  <si>
    <t>Problem with video call. supported formats could not be retrieved because an error occurred connecting to the camera service</t>
  </si>
  <si>
    <t>have this error when try to make video call with front camera: Supported formats could not be retrieved because an error occurred connecting to the camera service. The crash is on second field.
CameraCapturer cameraCapturer new CAMERA)
LocalVideoTrack localVideoTrack true, cameraCapturer)
If changing **FRONT CAMERA** to **BACK CAMERA** it works well. have tested it on Nexus and Galaxy s7 and it have the same crash.</t>
  </si>
  <si>
    <t>2017-10-11</t>
  </si>
  <si>
    <t>mvysny-aedict-805</t>
  </si>
  <si>
    <t>Notepad crashees on quiz from category</t>
  </si>
  <si>
    <t>not sure what extra information you need but the list is 75 words long and works. If add another word the quiz crashes to black and then back to the notepad.</t>
  </si>
  <si>
    <t>kontalk-androidclient-1076</t>
  </si>
  <si>
    <t>Race condition crash for null group object</t>
  </si>
  <si>
    <t>SecUSo-privacy-friendly-netmonitor-44</t>
  </si>
  <si>
    <t>UIDs are reported using the wrong data type</t>
  </si>
  <si>
    <t>If the UID in connection report is greater than Short.MAX VALUE the application will crash:</t>
  </si>
  <si>
    <t>zom-Zom-Android-XMPP-357</t>
  </si>
  <si>
    <t>Opening a chat with a blocked contact crashes the app</t>
  </si>
  <si>
    <t>tapped on contact who had blocked me Sorry, you are blocked by this user and once in the profile view tap the chat icon. The app crashes.
After the app reloads if perform the same actions the chat usually opens.
Reproduced this bug various times.
App version and build: 15.3 RC</t>
  </si>
  <si>
    <t>2017-10-12</t>
  </si>
  <si>
    <t>zom-Zom-Android-XMPP-356</t>
  </si>
  <si>
    <t>Adding a blocked contact to a group chat crashes the app.</t>
  </si>
  <si>
    <t>was creating group and tapped on blocked contact and it crashed the app. Reproduced this crash multiple times.
App version and build: 15.3 RC</t>
  </si>
  <si>
    <t>guolindev-LitePal-300</t>
  </si>
  <si>
    <t>Can not able to pull data from database</t>
  </si>
  <si>
    <t>using below environment
target and compile sdk: 26
build tool: 26.0.2
support library: 26.1.0
runtime permission: WRITE EXTERNAL STORAGE and READ EXTERNAL STORAGE
have successfully created and inserted data into database from my program, but when am trying to get data from database using or DataSupport.where( name rashed ).find(User.class) it always crashes. checked my database using Sqlite data browser and my desired data is exist there. Here are crash logs-
Caused by: Attempt to invoke virtual method java.lang.Class on null object reference
Thanks in advance.</t>
  </si>
  <si>
    <t>mapbox-mapbox-plugins-android-135</t>
  </si>
  <si>
    <t>Crash after onStyleLoaded and new LocationLayerPlugin with version 0.1.0</t>
  </si>
  <si>
    <t>Is there plan to set v0.2.0 as stable?
public void mapboxMap)
public void style)
locationLayerPlugin new mapboxMap, locationEngine)
The crash only occurs if set my custom style.
--------- beginning of crash</t>
  </si>
  <si>
    <t>veritrans-veritrans-android-429</t>
  </si>
  <si>
    <t>Fixed crash when custom font isn't found in host app asset</t>
  </si>
  <si>
    <t>Added try-catch to prevent force close</t>
  </si>
  <si>
    <t>mkeresztes-AndiCar-15</t>
  </si>
  <si>
    <t xml:space="preserve">Fatal Exception: android.view.WindowManager$BadTokenException: Unable to add window </t>
  </si>
  <si>
    <t>Insight from Crashlytics:
This crash is usually caused by your app trying to display dialog using previously-finished Activity as context. For example, this can happen if an Activity triggers an AsyncTask that tries to display dialog when it is finished, but the user navigates back from the Activity before the task is completed.</t>
  </si>
  <si>
    <t>google-blockly-android-678</t>
  </si>
  <si>
    <t>BasicFieldImageView crashes when switching categories too quickly</t>
  </si>
  <si>
    <t>When using blocks containing an image, if we switch Blockly categories too quickly, there is the possibility of crash. This is in production code and we have copied the Blockly module source code into our project and are compiling directly due to the need for customizations.
(Placing around 10 **referencing an image from network resource** in few categories and switching between them fast should be enough to reproduce the issue. Reproducible in emulator.) suppose even if it not network resource, the possibility for crash could still exist depending on how long it takes to load the resource from the desired media. suppose it fundamentally unsafe to run an asynchronous task and at an undefined time destroy what it relies on causing null dereference, despite the fact that the case may be rare.
It seems to be because when the category changes, the layout of the ImageView gets destroyed but yet updateViewSize() gets called. It seems sufficient to busy-wait for the AsyncTask of downloading the image to be complete. don know if this is the proper solution but it seems to work for us so wanted to share. Nor have had the opportunity to try this on the latest git revision but wanted to provide this solution as reference for others.
diff --git blocklylib-core src main java com google blockly android ui fieldview blocklylib-core src main java com google blockly android ui fieldview
index 89e9123..91abe62 100755
--- blocklylib-core src main java com google blockly android ui fieldview
+++ blocklylib-core src main java com google blockly android ui fieldview
-31,6 +31,7 import
final String source
Do in the background
new AsyncTask&lt;String, Void, Bitmap&gt;()
AsyncTask task new AsyncTask&lt;String, Void, Bitmap&gt;()
protected Bitmap strings)
protected void bitmap)
Log.w(TAG, Might crash soon
if (bitmap null)
Crash when layout gets destroyed and we call updateViewSize()
Can execute network on main thread
So execute it on an AsyncTask and wait instead.
Log.w(TAG, BasicFieldImageView AsyncTask interrupted</t>
  </si>
  <si>
    <t>novoda-no-player-96</t>
  </si>
  <si>
    <t>Handler seek exception</t>
  </si>
  <si>
    <t>We ve seen this stack trace on some client applications (replicated in no-player)
screen shot 2017-10-13 at 11 33 48 (https: 3380092
In some client applications we attempt to catch any that occur when calling methods out of sync on NoPlayer Unfortunately, the calling code from this trace does not come from any client app but internally from inside no-player because of workaround that is implemented on MediaPlayer
Workaround to fix some devices (nexus 2013 in particular) from natively crashing the mediaplayer
by starting the mediaplayer before seeking it.
See here (https: github.com novoda no-player blob master core src main java com novoda noplayer internal mediaplayer for the problematic code.
This workaround internally uses Handler.postDelayed This runnable is never removed on reset of Player so if user leaves Player activity before this has executed it will crash. It crashes because on exit of Player activity will release all internal collaborators of MediaPlayer which essentially means mediaPlayer will be null and so failing the which will throw an as designed.
To find this increased the DELAY on the Runnable in the MediaPlayer and ran in client application, navigating away from the activity before this Runnable is called insta crash
Looking at the code you could add check for here (https: github.com novoda no-player blob master core src main java com novoda noplayer internal mediaplayer which will internally do the same checks as are done for the but instead just return in the runnable, avoiding the throw that is called later. BUT this seemed like workaround rather than an actual fix.
So added which will remove all callbacks and messages whenever reset() is called in MediaPlayerImpl For all of those that are worried about the null on this method this is what the docs say about this call:
Remove any pending posts of callbacks and sent messages whose
&lt;var&gt;obj&lt; var&gt; is &lt;var&gt;token&lt; var&gt;. If &lt;var&gt;token&lt; var&gt; is null,
all callbacks and messages will be removed.
### Test(s) added
Updated the MediaPlayerImpl tests to take into account the reset on the handler.
No UI changes.
### Paired with</t>
  </si>
  <si>
    <t>2017-10-13</t>
  </si>
  <si>
    <t>osmdroid-osmdroid-736</t>
  </si>
  <si>
    <t>Zoom buttons harmless crash</t>
  </si>
  <si>
    <t>## Issue Type
Bug (but an invisible and harmless one)
## Description and or steps code to reproduce the problem
open OSMDroid Sample map (Start here)
tap on the map the zoom buttons will appear
tilt your smartphone (landscape portrait) while the zoom buttons are visible the app won crash at all, but an exception crash will appear in the logs, something like</t>
  </si>
  <si>
    <t>timusus-Shuttle-202</t>
  </si>
  <si>
    <t>Crash when changing from album grid to album list</t>
  </si>
  <si>
    <t>**Description of bug:**
When changing from grid to list (and vise-versa) if an item which spans multiple columns is being displayed (such as the new album-shuffle view, or the empty view), the app will crash, as the adapter layout manager does not re-query the item for its span size, as it assumes the item doesn change.
**Steps to reproduce:**
1. Go to the album tab, with either no albums, so you re seeing the empty view or with the album shuffle view (See #201). These views span multiple columns.
2. Change from list to grid
3. Observe the view does not span multiple columns as intended.
4. Exit relaunch app
5. Change from grid to list, observe crash.</t>
  </si>
  <si>
    <t>dgets-MinTone-22</t>
  </si>
  <si>
    <t>Hitting 'set freq' with empty text field crashes app</t>
  </si>
  <si>
    <t>The set frequency button becomes active immediately upon entering the numeric text entry field. Unfortunately, when pressed without first entering frequency, this crashes the application. thinking that the best way to handle this would probably be to set things up so that set frequency is not accessible prior to entering any digits (as well as after backspacing over all digits).</t>
  </si>
  <si>
    <t>2017-10-14</t>
  </si>
  <si>
    <t>google-google-authenticator-android-70</t>
  </si>
  <si>
    <t>App crashes on startup on Android 2.3.6 (Gingerbread)</t>
  </si>
  <si>
    <t>The play store indicated that the update for google authenticator that my android phone was asking to do was compatible with my old phone, so updated. was concerned, so checked and double-checked. Now it just crashes.
How can roll it back to how it was and had been for long time? Why did it say it was compatible if it was not?</t>
  </si>
  <si>
    <t>julian-klode-dns66-206</t>
  </si>
  <si>
    <t>Clicking logcat crashes the app</t>
  </si>
  <si>
    <t>Etar-Group-Etar-Calendar-259</t>
  </si>
  <si>
    <t>Crash when attempting to share event</t>
  </si>
  <si>
    <t>Android Version: 8.0.0
Build Number: OPR4.170623.009
Etar Build Version: 1.0.12 (installed from Google Play)
When clicking on the Share button with calendar event open, the application crashes every time. The logcat output is below.</t>
  </si>
  <si>
    <t>2017-10-15</t>
  </si>
  <si>
    <t>cgeo-cgeo-6781</t>
  </si>
  <si>
    <t>Calculator can crash on fast click on coordinate buttons</t>
  </si>
  <si>
    <t>could cause an exception by fast clicking on the coordinate buttons:</t>
  </si>
  <si>
    <t>2017-10-16</t>
  </si>
  <si>
    <t>zom-Zom-Android-XMPP-364</t>
  </si>
  <si>
    <t>App crashes when 'chat' icon is selected from a contact's profile</t>
  </si>
  <si>
    <t>From the friends view, select contact.
taken to their profile.
When tap on the chat icon, Zom crashes.
Related to #357</t>
  </si>
  <si>
    <t>zom-Zom-Android-XMPP-362</t>
  </si>
  <si>
    <t>Groups show up as blocked</t>
  </si>
  <si>
    <t>want to share photo from the gallery to Zom. In the gallery with photo selected select my share intent as Zom. In the add people view groups are shown as blocked, Sorry, you are blocked by the user. Tapping the group crashes the app. Reproduced this bug various times.
App version and build: 15.3 RC</t>
  </si>
  <si>
    <t>PhilippC-keepass2android-50</t>
  </si>
  <si>
    <t>App crash on unlocking database with fingerprint on Oreo</t>
  </si>
  <si>
    <t>App crashes when touching the fingerprint scanner, unlocking the database with password does work.
Nexus 5X on Android 8.0.0. It did work on Nougat.</t>
  </si>
  <si>
    <t>akaita-RxJava2Debug-2</t>
  </si>
  <si>
    <t>NullPointerException in ExceptionUtils</t>
  </si>
  <si>
    <t>just got crash with this stacktrace
Fatal Exception: Attempt to invoke virtual method java.lang.Object .clone() on null object reference
It seems that there is an issue in the collapseCauses method of the ExceptionUtils class.
Thanks in advance for your answer</t>
  </si>
  <si>
    <t>nishantkp-BookList-1</t>
  </si>
  <si>
    <t>App crashes when performing search on landscape mode</t>
  </si>
  <si>
    <t>cgeo-cgeo-6776</t>
  </si>
  <si>
    <t>Calculator Crashed on Screen Rotation</t>
  </si>
  <si>
    <t>This was probably introduced with #6759 and seems to be caused by change to the Plain Format text field. The change gets triggered sometime between when the textListener is added in onCreateView(...) and when the calculator state is loaded in onResume()
The actual crash is caused by accessing the currentFormat variable before it is initialised but can for the life of me workout what is causing the text to be changed prior to the onResume() call. In any event simply protecting the reference to currentFormat with if null checks alleviates the problem but would have preferred to isolate the cause of the text changed event in the first place but can seem to find it.</t>
  </si>
  <si>
    <t>niclabs-adkintunmobile-androidclient-183</t>
  </si>
  <si>
    <t>ActiveConnectionMapBottomSheetDialogFragment.java line 91</t>
  </si>
  <si>
    <t>2017-10-17</t>
  </si>
  <si>
    <t>niclabs-adkintunmobile-androidclient-182</t>
  </si>
  <si>
    <t>Network.java line 230</t>
  </si>
  <si>
    <t>nextcloud-android-1678</t>
  </si>
  <si>
    <t>V2 latest beta update crashes on start</t>
  </si>
  <si>
    <t>Immediate crash on start.
Reinstalled and no change.
This is the version on google play and crashes on start on two separate devices.
Log sent via google play.</t>
  </si>
  <si>
    <t>google-ExoPlayer-3362</t>
  </si>
  <si>
    <t>IndexOutOfBoundsException: SimpleExoPlayer.getDuration()</t>
  </si>
  <si>
    <t>### Issue description, Reproduction steps
have no idea why and how does it happen, just receive some crash logs from my crash reporting service (affected at lest 30 users, 20 different kind of devices).
post here to find if someone have same issue or has solution for it.
### Link to test content
### Version of ExoPlayer being used
### Device(s) and version(s) of Android being used
Variety device and version.
### full bug report captured from the device</t>
  </si>
  <si>
    <t>cgeo-cgeo-6783</t>
  </si>
  <si>
    <t>Calculator crash on a waypoint with calculated coordinates</t>
  </si>
  <si>
    <t>##### Detailed steps causing the problem:
Open special waypoint which contains calculator data
##### Actual behavior after performing these steps:
##### Expected behavior after performing these steps:
No crash :)
##### Version of c:geo used:
##### Is the problem reproducible for you?
Yes, but only with one waypoint.
##### System information:
##### Other comments and remarks:
Maybe introduced with tri-state button change. If an older nightly is still available can check how the calculator is configured in this waypoint.</t>
  </si>
  <si>
    <t>2017-10-18</t>
  </si>
  <si>
    <t>syncthing-syncthing-android-972</t>
  </si>
  <si>
    <t>Syncthing crashes constantly on Android 8</t>
  </si>
  <si>
    <t>Syncthing 0.9.16 installed from Play Store keeps crashing (supposedly UI-related) on Nexus 6P running stock Android 8.0.0 to the point of being unusable.
It takes to 20 seconds for the app to crash after it was started. The only way to make it usable and keep from crashing seems to be launching WebGUI, and if lucky enough to have WebGUI loaded before app crashes again, Syncthing works for as long as WebGUI is displayed. Even in this case switching screen off and back on leads to crash, so any prolonged usage is impossible. Pressing home or recent apps buttons leads to immediate crash as well.
love to attach some logs but can open log quick enough before app crashes. On one occasion was able to catch glimpse of Syncthing log and the last line was something like denied
have the same version installed on tablet running Android 4.4.2 and experience no such issues there, so the issue seems to be either device-specific or oreo-specific.
App Version: 0.9.16
Syncthing Version: v0.14.39
Android Version: Android 8.0.0 (stock Nexus 6P, non-rooted, with latest updates)</t>
  </si>
  <si>
    <t>Pritom14-Profile-Changer-11</t>
  </si>
  <si>
    <t>Application crashes on receiving a text message</t>
  </si>
  <si>
    <t>The problem lies in class.</t>
  </si>
  <si>
    <t>k9mail-k-9-2846</t>
  </si>
  <si>
    <t>Parsing email address list with invalid base64 encoded word crashes the app</t>
  </si>
  <si>
    <t>Address.parse( ?utf-8?b?invalid#? &lt;oops example.com&gt;
Caused by: Unexpected base64 byte
... 39 more
not sure what the best way to handle this is. Probably using the personal part as is. However, the options in MIME4J are somewhat limited. It either crashing with an Error or ignoring invalid characters when decoding the base64 payload. Since we don like crashes we should probably start out with the latter option.</t>
  </si>
  <si>
    <t>dgets-CPURecord-2</t>
  </si>
  <si>
    <t>2D array of int initialization is crashing or infinite looping</t>
  </si>
  <si>
    <t>For some reason, when the line int cpuStats new int MAX COARS is left in the Show debug info button stops being responsive, same as when was having other crashes buried in the CPU* classes. Not sure why in the hell this initialization is crashing things ve commented out every other line utilizing it (all assignments), and it does, indeed, appear to be the declaration that is hosing things. Funny, ve been doing crap like this since grade school, and could swear that following the exact template found at Programiz.com (https: www.programiz.com java-programming and half million other places.</t>
  </si>
  <si>
    <t>2017-10-19</t>
  </si>
  <si>
    <t>taekwonjoe01-sweepersd-54</t>
  </si>
  <si>
    <t>WatchZoneModelUpdater stops updating unbuilt watch zones when crash occurs</t>
  </si>
  <si>
    <t>2017-10-20</t>
  </si>
  <si>
    <t>michael-rapp-ChromeLikeTabSwitcher-7</t>
  </si>
  <si>
    <t>crash info</t>
  </si>
  <si>
    <t>mycelium-com-wallet-android-411</t>
  </si>
  <si>
    <t>Coinapult Client RuntimeException error: 0f06707b:elliptic curve routines</t>
  </si>
  <si>
    <t>was trying to create coinapult account in usd. After accept the terms, the app crashes:
Caused by: error: 0f06707b:elliptic curve routines:EC GROUP new by curve name:UNKNOWN GROUP</t>
  </si>
  <si>
    <t>2017-10-21</t>
  </si>
  <si>
    <t>SudoCode755-SudoHide-4</t>
  </si>
  <si>
    <t>App crash in Android 7.1.2</t>
  </si>
  <si>
    <t>HenriDellal-emerald-11</t>
  </si>
  <si>
    <t>Handle runtime permissions for Android 6.0+</t>
  </si>
  <si>
    <t>For now, the application may crash and throw SecurityException if there are no permissions granted. It is reported to happen in Apps.launch method.</t>
  </si>
  <si>
    <t>MCMrARM-revolution-irc-16</t>
  </si>
  <si>
    <t>getActivity() can be null in ChatMessagesFragment</t>
  </si>
  <si>
    <t>getActivity() can be null in and cause crash. Bug caused by https: github.com MCMrARM revolution-irc commit</t>
  </si>
  <si>
    <t>2017-10-22</t>
  </si>
  <si>
    <t>MCMrARM-revolution-irc-15</t>
  </si>
  <si>
    <t>Sometimes the app fails to reconnect to servers</t>
  </si>
  <si>
    <t>Sometimes the app is stuck while reconnecting to server and the server connections are stuck in the Disconnected state. You have to reopen the application to fix this.
think this was caused by adding safecheck in (in 0.3.0) to prevent duplicate network connections on single instance from happening (as suspected that was happening, looking at one of the crashes).</t>
  </si>
  <si>
    <t>gsantner-dandelion-173</t>
  </si>
  <si>
    <t>Sharing image to another app crashes app on Oreo</t>
  </si>
  <si>
    <t>#### General information
**Android Device:** Nexus 6p
**Android API Version:** Oreo
**App version:** Latest FDroid build
**App source:** FDroid
At least version 0.2.0 installed, see About-&gt; Debug. If it is not visible you have an very old version, and
your issue will be closed.
searched open and closed issues for duplicates
read &lt;https: github.com dandelion blob master CONTRIBUTING.md&gt;
not submitted translations see Crowdin (https: crowdin.com project invite)
#### Steps to reproduce
1. Long click on image
#### Expected result
**What is the expected output?**
Dialog pops up for share target selection
**What do you see instead?**</t>
  </si>
  <si>
    <t>2017-10-23</t>
  </si>
  <si>
    <t>getodk-collect-1552</t>
  </si>
  <si>
    <t>Pictures taken by the SelfieWidget are rotated incorrectly on some devices</t>
  </si>
  <si>
    <t>#### Software and hardware versions
#### Problem description
Pictures taken by the SelfieWidget are rotated incorrectly on some devices.
#### Other information
This table is from https: github.com opendatakit collect pull 1541 so it might look little different on v1.10.2 but the problem is visible there too and once we have merged #1541 it will look the same.
case device Samsung S7 huawei sony z3 samsung J1 infinix
------------- ------------- ------------- ------------- ------------- -------------
image widget, front camera, vertical vertical vertical vertical vertical vertical
image widget, front camera, horizontal horizontal horizontal horizontal horizontal horizontal
selfie widget, front camera, vertical vertical vertical vertical horizontal horizontal
selfie widget, front camera, horizontal crash upside down upsiede down horizontal horizontal</t>
  </si>
  <si>
    <t>taekwonjoe01-sweepersd-74</t>
  </si>
  <si>
    <t>Resolve the blip of WZE Activity showing up in listview.</t>
  </si>
  <si>
    <t>Maybe an ignore Uid (breaks on crash) unregister observer in onPause or perhaps delete it earlier in WZE lifecycle teardown.</t>
  </si>
  <si>
    <t>2017-10-24</t>
  </si>
  <si>
    <t>syncthing-syncthing-android-978</t>
  </si>
  <si>
    <t xml:space="preserve"> 0.10.0-beta1 - GUI-instacrash on Android 7 OP5</t>
  </si>
  <si>
    <t>Sorry, log does not show anything.
The GUI just simply vanishes. Syncthing itselfs works.
There is new notification shown. When touch-clicked, GUI is not shown, screen flashes and Syncthing crashes.
Anyway, on all my devices use fixed ip addresses and have disabled any NAT or other discovery functions.
Do you know what this in the log means?
Does the KCP protocol use another, different discovery method have to disable?</t>
  </si>
  <si>
    <t>EmergentOrganization-cell-rpg-124</t>
  </si>
  <si>
    <t>Game crashes under too much load?</t>
  </si>
  <si>
    <t>Exception in thread LWJGL Application 64
Process finished with exit code -1</t>
  </si>
  <si>
    <t>google-ExoPlayer-3396</t>
  </si>
  <si>
    <t>Crash due to an unhandled ArrayIndexOutOfBoundsException in WebvttParserUtil</t>
  </si>
  <si>
    <t>### Issue description
When trying to play faulty remote VOD asset, our app crashed due to an in WebvttParserUtil Specifically, at the return line of the parseTimestampUs() method:
public static long timestamp) throws
String parts timestamp.split( 2)
String subparts parts .split(
for (String subpart subparts)
value value 60
return (value 1000 )) 1000
and even more specifically, due to trying to access parts while the length of parts is in this case.
Of course, on our side we can fix it by modifying the faulty asset, but as it was appropriately put in issue #3130 ExoPlayer should never crash when encountering malformed media so think length check for the parts array would be good idea.
### Reproduction steps
Play an asset with wrong timestamp.
### Link to test content
The asset is not available outside our network.
### Version of ExoPlayer being used
### Device(s) and version(s) of Android being used
Xiaomi MiBox, Android TV 6.0.1
### full bug report captured from the device
--------- beginning of crash</t>
  </si>
  <si>
    <t>2017-10-25</t>
  </si>
  <si>
    <t>requery-sqlite-android-49</t>
  </si>
  <si>
    <t>custom functions: local reference table overflow</t>
  </si>
  <si>
    <t>When using custom functions in the where clause of query on some devices the app crashes with the following error:
The devices on which this crash happens are the Samsung S4 (GT-I9505 Android 5.0.1) and the BQ Aquaris (Android 7.1.1).</t>
  </si>
  <si>
    <t>google-blockly-android-681</t>
  </si>
  <si>
    <t>Crash-Connect block from left to right, more than 8 will crash</t>
  </si>
  <si>
    <t>Connect block from left to right, if blocks more than will crash.</t>
  </si>
  <si>
    <t>andremion-Louvre-16</t>
  </si>
  <si>
    <t>The crash connected with PhotoView library</t>
  </si>
  <si>
    <t>Thank you for the great library!
don use PhotoView separately but received following crash report:
Fatal Exception: pointerIndex out of range
found following resolved issues of PhotoView library that are connected with the crash above #31 (https: github.com chrisbanes PhotoView issues 31) and #293 (https: github.com chrisbanes PhotoView issues 293). The author of PhotoView described the solution of this problem (https: github.com chrisbanes
## Possible Fix</t>
  </si>
  <si>
    <t>tanrabad-survey-39</t>
  </si>
  <si>
    <t>:com.google.android.gms.DynamiteModulesB@11509070 line 29</t>
  </si>
  <si>
    <t>OneBusAway-onebusaway-android-813</t>
  </si>
  <si>
    <t>IllegalStateException in HomeActivity.onFocusChanged()</t>
  </si>
  <si>
    <t>From Android Developer Console this is NOT new to version 78 (2.2.5), but has good number of crashes going back few versions (version 76 has almost 2000 crashes over the lifetime of that version number):
**Steps to reproduce:**
**Device and Android version:**
Pixel, Galaxy J3, Zmax Pro, more on Android versions 5.1, 6.0, 7.0, and 8.0</t>
  </si>
  <si>
    <t>2017-10-26</t>
  </si>
  <si>
    <t>OneBusAway-onebusaway-android-812</t>
  </si>
  <si>
    <t>NPE when refreshing ArrivalsListHeader</t>
  </si>
  <si>
    <t>From the Android Developer Console, new crashes in version 78 (2.2.5):
**Steps to reproduce:**
**Device and Android version:**
Galaxy S6 Edge, S6, Note 2, LG K10 on Android versions 4.3, 5, 5.1, and 7.0</t>
  </si>
  <si>
    <t>Intelehealth-Android-Mobile-Client-353</t>
  </si>
  <si>
    <t>App crashes and moves to vitals when images are deleted on (Branch-idgen)</t>
  </si>
  <si>
    <t>MrStahlfelge-gdx-gamesvcs-16</t>
  </si>
  <si>
    <t>GPGS Android: crash when no listener set</t>
  </si>
  <si>
    <t>GPGS Android implementation does not check if game service listener is set on all method calls. Therefore it crashes when login() or resumeConnection() is called and no listener is set.</t>
  </si>
  <si>
    <t>EzequielAdrianM-Camera2Vision-8</t>
  </si>
  <si>
    <t>Crashed when pressing 'Picture' for second time</t>
  </si>
  <si>
    <t>The sample worked flawlessly except for one small bug,
When am trying to multiple pictures, and while pressing picture it crashed in the second attempt,
The error was,</t>
  </si>
  <si>
    <t>2017-10-28</t>
  </si>
  <si>
    <t>zeevy-grblcontroller-4</t>
  </si>
  <si>
    <t>FileSenderTabFragment.java line 350</t>
  </si>
  <si>
    <t>Number of crashes:
OS Version: 7.1.1</t>
  </si>
  <si>
    <t>danimahardhika-wallpaperboard-101</t>
  </si>
  <si>
    <t>Palette loader crash on some Android 5.1 (Lollipop) device</t>
  </si>
  <si>
    <t>2017-10-29</t>
  </si>
  <si>
    <t>7LPdWcaW-GrowTracker-Android-58</t>
  </si>
  <si>
    <t>thiagoprochnow-carteiradeativos-152</t>
  </si>
  <si>
    <t>In google drive, if you select no file and press "Select" and then "Yes", the application crashes</t>
  </si>
  <si>
    <t>In google drive, if you select no file and press Select and then Yes the application crashes.
This happens because you select no file and it tries to do the restore even so.
Should show error message.</t>
  </si>
  <si>
    <t>2017-10-30</t>
  </si>
  <si>
    <t>Pattonville-Robotics-2867-7</t>
  </si>
  <si>
    <t>Change targetSdkVersion to 19</t>
  </si>
  <si>
    <t>This forces Android to allow Camera and Read Write External Storage permissions on newer devices. The ancient ZTE Speeds don need it, but anything newer will crash.</t>
  </si>
  <si>
    <t>Z3r0byte-Magis-69</t>
  </si>
  <si>
    <t>Auto silent permission</t>
  </si>
  <si>
    <t>The background service sometimes crashes because it doesnt have permission to change the do not disturb state.</t>
  </si>
  <si>
    <t>nextcloud-android-1730</t>
  </si>
  <si>
    <t>Search function causes restart of the app for users with many files</t>
  </si>
  <si>
    <t>### Steps to reproduce
1. open the application use the Search Icon
2. enter search value
3. use return to start the search process
Youtube Screen Capture (https: www.youtube.com embed ViJy0jXK48E)
### Expected behaviour
The application show the search results, and show the wanted files.
### Actual behaviour
The application is automatically closed and restarted.
If close the application and delete cache, can once successful reach the file.
create into the same Nextcloud Instance new User, with less files available. The search function works.
activate the expert mode and can see the protocol function.
However even after the crash, no log is generated, so can not provide an error log.
### General server configuration
**Operating system:** Linux b6c2188675b8 4.9.0-4-amd64 #1 SMP Debian 4.9.51-1 (2017-09-28) x86 64
**Web server:** nginx 1.13.5 (fpm-fcgi)
**PHP version:** 7.1.10
### Mobile Device
**Nextcloud App Version:** 2.0.1
**Mobile Device:** Sony Xperia Z5 dual 7.1.1</t>
  </si>
  <si>
    <t>2017-10-31</t>
  </si>
  <si>
    <t>iBotPeaches-Apktool-1649</t>
  </si>
  <si>
    <t>Failed to build Settings.apk</t>
  </si>
  <si>
    <t>1. **Apktool Version apktool -version )** 2.3
2. **Operating System (Mac, Linux, Windows)** Windows 10
3. **APK From? (Playstore, ROM, Other)** Tried Settings.apk from stock rom of both Samsung j510h and Samsung j500h using proper framework apks
### Steps to Reproduce
1. decompile Settings.apk
2. Do nothing just rebuild the apk
The resulting apk has issues: the app crashes when user tries to edit time in the Settings app, logcat says that resource should be an integer but found string, it means the file has problem is resources and is built wrongly
included in the attachments
included zip file has the apk
the files are huge so uploaded them to:
### Questions to ask before submission
1. Have you tried apktool apktool without changing anything? yes
2. If you are trying to install modified apk, did you resign it? yes
3. Are you using the latest apktool version? yes</t>
  </si>
  <si>
    <t>dimagi-commcare-android-1872</t>
  </si>
  <si>
    <t>Potential Fix for Fragment already added crash</t>
  </si>
  <si>
    <t>am not able to reproduce this crash and also not able to really grasp what exactly might be going wrong here. Though looking at some stackoverflow posts it seems like FragmentActivity bug happening when user presses back before fragment Transaction could finish completing. so have basically followed the suggestion given here
Though what really confusing me is how is backstack popping the when we are not adding the fragment to backstack anywhere in code.</t>
  </si>
  <si>
    <t>nextcloud-android-1728</t>
  </si>
  <si>
    <t>Open image crash</t>
  </si>
  <si>
    <t>### Actual behaviour
1. Open folder that contains images.
2. Open an image and it downloads and shows the image. (It now has green tick on the thumbnail.)
3. Reopen the folder.
4. Open the downloaded image and it shows white screen.
Open an image in the same folder, the app crashes. (See the error log below)
6. Open an image in the different folder (Same as 2)
P.S. the folders are on external storage on local folder. don know if it is the problem.
### Expected behaviour
### Steps to reproduce
See Actual behaviour
### Environment data
Stock or customized system:
Nextcloud app version:
Nextcloud server version:
#### Android error log</t>
  </si>
  <si>
    <t>qualaroo-android-sdk-2</t>
  </si>
  <si>
    <t>Crash report from Google Play</t>
  </si>
  <si>
    <t>Follwing was the crash report from Google Play. Android 5.1, 6.0 and 7.0 were affected by this. We don have much detials as the sdk itself is closed sourced:</t>
  </si>
  <si>
    <t>eduvpn-android-112</t>
  </si>
  <si>
    <t>app crash after removing a few "Secure Internet" profiles</t>
  </si>
  <si>
    <t>Register at one of the Secure Internet providers, after that, delete some by swiping them away. After while, possibly when also scrolling to the list the find the other ones the app will crash.</t>
  </si>
  <si>
    <t>2017-11-01</t>
  </si>
  <si>
    <t>bumptech-glide-2548</t>
  </si>
  <si>
    <t>Change from Glide 4.2.0 to 4.3.0 = crash. Revert to 4.2.0 and all is fine again</t>
  </si>
  <si>
    <t>Android Studio 3.0
MacBook High Sierra 10.13.1
Android emulator Nexus 5X API level 26
Run app using
Everything is fine but change to
and it crashes for any image attempt to display. Images are JPG files hosted by Amazon (cloudfront.net)
Placeholder image is 256x256 32-bit color PNG in the APK
Change back to 4.2.0, sync gradle, build app and it works perfectly again</t>
  </si>
  <si>
    <t>jumaallan-andela-crypto-app-2</t>
  </si>
  <si>
    <t>Crash when selecting new card</t>
  </si>
  <si>
    <t>The app force closes first time when user is selecting new card, but does not crash with other selections</t>
  </si>
  <si>
    <t>moneymanagerex-android-money-manager-ex-1153</t>
  </si>
  <si>
    <t>Can't open forms due to updated libraries</t>
  </si>
  <si>
    <t>After upgrading Android Studio (+Gradle, +Support Library, etc.) the app crashes at certain locations:
Payees can be edited
Accounts can be edited
security prices can be downloaded
About form can open
editing Asset Allocation classes
account quick info
There is an FontIcon library exception when opening certain forms. Some values may have been deprecated.
Underlying cause is Can convert value at index to dimension Something has changed in the Android base libraries or the support libraries.
Some report that issue appears with Gradle plugin 3, link (https: stackoverflow.com questions 46947665
Migrate to Iconics for displaying font icons. Replace custom icons with
Google Material icons, link (https: material.io icons ))
Font Awesome icons, link (http: fontawesome.io icons ))
use Tab Layout link (https: stackoverflow.com questions 26540078 An alternative would be to use bottom navigation component (https: github.com aurelhubert ahbottomnavigation) instead of tab strip.</t>
  </si>
  <si>
    <t>flyve-mdm-android-mdm-agent-174</t>
  </si>
  <si>
    <t>Enroll with TCP and SSL</t>
  </si>
  <si>
    <t>Please check if your PR fulfills the following requirements:
The commit message follows our guidelines: Conventional Commit (http:
Tests for the changes have been added (for bug fixes features)
Docs have been added updated (for bug fixes features)
## PR Type
What kind of change does this PR introduce?
&lt;!-- Please check the one that applies to this PR using --&gt;
Code style update (formatting, local variables)
Refactoring (no functional changes, no api changes)
Build related changes
CI related changes
Documentation content changes
Other... Please describe:
## What is the current behavior?
&lt;!-- Please describe the current behavior that you are modifying, or link to relevant issue. --&gt;
**Wrong link for Web Console**
**Enroll with invalid Base 64 data crash**
## What is the new behavior?
Now the agent can enroll with TCP and SSL
## Does this PR introduce breaking change?</t>
  </si>
  <si>
    <t>2017-11-02</t>
  </si>
  <si>
    <t>vic797-prowebview-2</t>
  </si>
  <si>
    <t>Is there anyway to unload loaded content?</t>
  </si>
  <si>
    <t>Tried two ways accepted ways:
1) webView.loadUrl( about:blank app crashes immediately without any App crashed dialogs and stacktrace is super big https: pastebin.com j9rHxkun
2) view.loadUrl( document.close() in the monitor it says me
and deleteData() doesn help, all data stay untouched
and yes, you made awesome stuff, it really easy to use, love it</t>
  </si>
  <si>
    <t>chat-sdk-chat-sdk-android-172</t>
  </si>
  <si>
    <t>After login when starting MainActivity app crashes trying to inflate a view</t>
  </si>
  <si>
    <t>Caused by: Can convert to dimension: type 0x12
in this line
sdk activity view pager)
in order to start an app have to remove this line from style
&lt;item name pstsShouldExpand &gt;true&lt; item&gt;
My phone is Samsung note 4, with stock android version 6.0.1
tell me what other info could provide.
This happens when compile official rep myself, demo works fine</t>
  </si>
  <si>
    <t>Gear61-Around-Me-28</t>
  </si>
  <si>
    <t>Fix crash that happens when you click on the reviews cell when there are no reviews</t>
  </si>
  <si>
    <t>mapbox-mapbox-plugins-android-146</t>
  </si>
  <si>
    <t>In the navigation，LocationLayerPlugin is easy to crash on xiaomi phone when zoom in and zoom out the map</t>
  </si>
  <si>
    <t>nextcloud-android-1744</t>
  </si>
  <si>
    <t>AutoUpload - IllegalArgumentException: Comparison method violates its general contract!</t>
  </si>
  <si>
    <t>### Actual behaviour
AutoUpload view crashes
### Expected behaviour
AutoUpload view shouldn crash
### Steps to reproduce
1. Open the AutoUpload view in the drawer
### Environment data
Android version: 6.0.1
Device model: OnePlus
Stock or customized system: Stock Oxygen OS 3.6.1
Nextcloud app version: 2.0.1
Nextcloud server version: 12.0.3
Issue reference #198
#### Nextcloud logcat (adb logcat)
FATAL EXCEPTION: main
Caused by: Comparison method violates its general contract!</t>
  </si>
  <si>
    <t>2017-11-03</t>
  </si>
  <si>
    <t>MCMrARM-revolution-irc-22</t>
  </si>
  <si>
    <t>Adding or editing a server crashes the app when primary colour is not default</t>
  </si>
  <si>
    <t>When you change the primary or accent colour in the settings, adding or editing server crashes the app also occurs when trying to add new command aliases or custom notification rules. Also, there doesn seem to be way to change the colours back to Default
Using Samsung Galaxy J3 (SM-J320F) on Android 5.1.1.</t>
  </si>
  <si>
    <t>getodk-collect-1593</t>
  </si>
  <si>
    <t>Caused by java.lang.NullPointerException: Attempt to get length of null array</t>
  </si>
  <si>
    <t>#### Software and hardware versions
Caused by Attempt to get length of null array
#### Other information
Now It the most common crash:</t>
  </si>
  <si>
    <t>bumptech-glide-2555</t>
  </si>
  <si>
    <t>NPE: 4.3.0 and GIFs lifecycle</t>
  </si>
  <si>
    <t>using Glide 4.3.0 to load GIFs into RecyclerView. Some users are reporting that if they scroll quickly and then close the activity, they get crash.
**Glide Version**: 4.3.0</t>
  </si>
  <si>
    <t>bumptech-glide-2562</t>
  </si>
  <si>
    <t>NoSuchElementException during memory trimming</t>
  </si>
  <si>
    <t>**Glide Version**: 4.1.1
&lt;!-- What devices you managed to get the issue to come up on? For example:
fails on Galaxy S4 GT-I9500 4.4.2, works fine on Nexus 6P 5.1 and Genymotion Nexus 5.0.1 --&gt;
**Device Android Version**: Moto with 4G LTE (2nd Gen) Android 6.0
**Issue details Repro steps Use case background**:
cannot reproduce the issue, it just happened on device out of 5000 users, more or less. RAM usage at the time of crashes was not critical.
**Glide load line GlideModule (if any) list Adapter code (if any)**:
using custom Glide module:
public class CustomGlideModule extends AppGlideModule
public void context, GlideBuilder builder)
Images are loaded in many ways all around the app, mostly like that:
Glide.with(Activity or Fragment)
.load(io.File or Uri)
**Stack trace LogCat**:</t>
  </si>
  <si>
    <t>2017-11-04</t>
  </si>
  <si>
    <t>amirzaidi-Launcher3-282</t>
  </si>
  <si>
    <t>Adding Keep widget crashes the launcher</t>
  </si>
  <si>
    <t>When trying to add Keep widget (any of the types available) the launcher crashes.
Probably the issue arose after an update of the Keep app, or simply didn notice the issue long before.
## Expected Behavior
Selecting the Keep widget from the list should add the widget on the home screen properly.
## Actual Behavior
Adding the Keep widget results in the launcher crash, and consequent reload.
## Steps to Reproduce
1. tap and hold in any empty area of the screen
2. select the icon to add widget
3. select any of the available Keep widget
4. follow the steps to configure the widget
5. the last step results in the launcher crash and no widget is added
Android version: Android 6.0.1-M4B30Z
Launcher version: 2.1.0
Rom: Stock Rom</t>
  </si>
  <si>
    <t>niclabs-adkintunmobile-androidclient-184</t>
  </si>
  <si>
    <t>ConnectivityTest.java line 109</t>
  </si>
  <si>
    <t>2017-11-05</t>
  </si>
  <si>
    <t>dimagi-commcare-android-1878</t>
  </si>
  <si>
    <t>Fix String.format for integrity scan log</t>
  </si>
  <si>
    <t>Fixes crash by UI tests:</t>
  </si>
  <si>
    <t>danimahardhika-wallpaperboard-106</t>
  </si>
  <si>
    <t>Random crash when loading color palette from wallpaper</t>
  </si>
  <si>
    <t>stefan-niedermann-nextcloud-notes-293</t>
  </si>
  <si>
    <t>Crash when the note used in SingleNoteWidget is deleted</t>
  </si>
  <si>
    <t>Steps to reproduce:
1. Create note
2. Add SingleNoteWidget to the launcher and chose the above created note
3. Start the app
4. Delete the above created note
5. Synchronize with the server
The app crashes with Android starts the app again, the app crashes again, ...
The widget should check if the note is still there, and then
a) Show hint instead of the content, or
b) Remove the widget (if this is possible)</t>
  </si>
  <si>
    <t>chRyNaN-Android-Guitar-Tuner-38</t>
  </si>
  <si>
    <t>Created NoPauseAnimatorWrapper to fix animation crash</t>
  </si>
  <si>
    <t>mit-cml-appinventor-extensions-6</t>
  </si>
  <si>
    <t>micro:bit Button doesn't work but micro:bit does</t>
  </si>
  <si>
    <t>Reading the button status in the micro:bit Button extension crashes the app, but the same method in the massive component with all features works okay. Via cavedunissin</t>
  </si>
  <si>
    <t>2017-11-06</t>
  </si>
  <si>
    <t>yuyakaido-CardStackView-41</t>
  </si>
  <si>
    <t>App crashes using CoordinatorLayout</t>
  </si>
  <si>
    <t>Using the CoordinatorLayout in the card item xml makes the app to crash.
Just try to add CoordinatorLayout in the item tourist spot card.xml in the sample project, and see the issue.</t>
  </si>
  <si>
    <t>flyve-mdm-android-mdm-agent-177</t>
  </si>
  <si>
    <t>Disable and enable GPS feature, review with sonarqube and fix crash bug</t>
  </si>
  <si>
    <t>Please check if your PR fulfills the following requirements:
The commit message follows our guidelines: Conventional Commit (http:
Tests for the changes have been added (for bug fixes features)
Docs have been added updated (for bug fixes features)
## PR Type
What kind of change does this PR introduce?
&lt;!-- Please check the one that applies to this PR using --&gt;
Code style update (formatting, local variables)
Refactoring (no functional changes, no api changes)
Build related changes
CI related changes
Documentation content changes
Other... Please describe:
## What is the current behavior?
&lt;!-- Please describe the current behavior that you are modifying, or link to relevant issue. --&gt;
Enroll with invalid Base 64 data crash
Turn off gps:
## What is the new behavior?
Now the MQTT start with the app, the code was reviewed with sonarqube, with root device the app canreview if GPS is available or not, catch error if the data that come from deep link is valid base64 encode
## Does this PR introduce breaking change?</t>
  </si>
  <si>
    <t>square-okhttp-3675</t>
  </si>
  <si>
    <t>Invalid http2 settings id may cause app crash.</t>
  </si>
  <si>
    <t>There is crash report, http2 settings value has some problem from server, but think client must do some guard judgment agains this.
length 10 index -27591</t>
  </si>
  <si>
    <t>moneymanagerex-android-money-manager-ex-1159</t>
  </si>
  <si>
    <t xml:space="preserve">App getting crashed on selecting Enter Next Occurrence </t>
  </si>
  <si>
    <t>With recent upgrade, app getting crashed when select enter next Occurrence from repeat transaction. Most of the time, use this feature. Plz fix it on priority.</t>
  </si>
  <si>
    <t>vector-im-riot-android-1731</t>
  </si>
  <si>
    <t>crashed while selecting a notification sound</t>
  </si>
  <si>
    <t>vector-im-riot-android-1725</t>
  </si>
  <si>
    <t>app crashes while triggering a notification</t>
  </si>
  <si>
    <t>reported by simonov kv:im.magnit.ru</t>
  </si>
  <si>
    <t>moneymanagerex-android-money-manager-ex-1160</t>
  </si>
  <si>
    <t>App crashes when pushing FAB button</t>
  </si>
  <si>
    <t>After the last update the FAB button leds to force close of the application.
This happens also while creating new database or when trying to edit an existing database.
Tried this on Samsung Galaxy S8 with touchwiz, on Note with Lineage rom and on an emulated android run by Nox, all three with the same behavior.</t>
  </si>
  <si>
    <t>2017-11-07</t>
  </si>
  <si>
    <t>15calebsmith-Help-From-Above-8</t>
  </si>
  <si>
    <t>App crashes if you don't login to cloud storage</t>
  </si>
  <si>
    <t>If you select cloud storage in the settings but don login, then the app crashes.</t>
  </si>
  <si>
    <t>hzi-braunschweig-SORMAS-Project-381</t>
  </si>
  <si>
    <t>Fix Android app crashing when "Home or other place" is selected as a health facility and trying to move the case</t>
  </si>
  <si>
    <t>bumptech-glide-2574</t>
  </si>
  <si>
    <t>IllegalStateException: Cannot obtain size for recycled Bitmap</t>
  </si>
  <si>
    <t>we recently updated our app from Glide **3.7.0** to Glide **4.1.1**. In the new release, we are getting some Crashes in our Crashlogger with the following Stacktrace:
**Stack trace LogCat**:
So far all of the crashes are on devices running Android 6.0. Do you have any hints what should look for to find what causing this issue?</t>
  </si>
  <si>
    <t>koen20-School-2</t>
  </si>
  <si>
    <t>Alarmreceiver crash Android O</t>
  </si>
  <si>
    <t>Caused by Not allowed to start service Intent cmp REDACTED DOMAIN NAME app is in background uid UidRecord d1e4af1 u0a125 RCVR idle procs:1 seq(0,0,0)</t>
  </si>
  <si>
    <t>2017-11-08</t>
  </si>
  <si>
    <t>TeamNewPipe-NewPipe-824</t>
  </si>
  <si>
    <t>Can't play this video</t>
  </si>
  <si>
    <t>Why can play this video
Here is link https: youtu.be n4u67vFHm6I
On 0.10.2 it says it says that video can be player
Earlier release crashes (but newest not).</t>
  </si>
  <si>
    <t>Cleveroad-AdaptiveTableLayout-19</t>
  </si>
  <si>
    <t xml:space="preserve">Kotlin crash </t>
  </si>
  <si>
    <t>can use Kotlin.
use thos code in java works but in kotlin crash..</t>
  </si>
  <si>
    <t>dimagi-commcare-android-1881</t>
  </si>
  <si>
    <t>Prevent NSD crash in Android 4</t>
  </si>
  <si>
    <t>Change min Android version for NSD to 5.0 to avoid this Android bug: https: issues 36952181</t>
  </si>
  <si>
    <t>2017-11-09</t>
  </si>
  <si>
    <t>TeamNewPipe-NewPipe-827</t>
  </si>
  <si>
    <t>UseAsFrontPage causes crash when orientation was changed</t>
  </si>
  <si>
    <t>There is an option useAsFrontPage. It works as expected until phone changed its orientation.
Steps to reproduce:
Open NewPipe with kiosk as home page
Turn your phone in landscape mode with Android autorotation enabled
Tap on any item.
will see crash.
This happens because baseListFragment loses its value for useAsFrontPage when orientation changed. And since then initListeners() can do it job right.</t>
  </si>
  <si>
    <t>andOTP-andOTP-60</t>
  </si>
  <si>
    <t xml:space="preserve">Backup Crash </t>
  </si>
  <si>
    <t>Check if all requirements are fulfilled otherwise the issue will be closed without any comment
Add details to fields below
Use search. Check if the issue is already reported before creating new one.
Try again after clearing the apps data before posting
Record logcat: https: goo.gl mc71vk
Bug reports without logcat will be closed (I can not reproduce every bug myself and can not fix them without logs)
Delete this info block
#### General information
**App version: 0.2.8
**App source: F-Droid
**Android Version: 6.0.1
#### Expected result
**What is expected?**
Want to create backup of my accounts
**What does happen instead?**
App crashed with: unfortunately app has stopped
Log-Bericht build.board: MSM8974
#### Steps to reproduce
everytime want to backup data, no matter if with or without encryption.</t>
  </si>
  <si>
    <t>nextcloud-android-1770</t>
  </si>
  <si>
    <t>Strange snackbar when removing account if only one is allowed</t>
  </si>
  <si>
    <t>setup.xml: multiaccount support -&gt; false
setup one account
see app name does not support multiple accounts occurs times, then app closes (no crash)</t>
  </si>
  <si>
    <t>2017-11-10</t>
  </si>
  <si>
    <t>OCSInventory-NG-AndroidAgent-22</t>
  </si>
  <si>
    <t>Crash when http proxy is checked but no proxy infos is set</t>
  </si>
  <si>
    <t>### General informations
Android version All
### OCS Inventory informations
Android agent version Trunk
### Problem description
If you set HTTP Proxy to ON and don set address and port, the application will crash when sending an inventory</t>
  </si>
  <si>
    <t>CMPUT301F17T29-HabitUp-84</t>
  </si>
  <si>
    <t>EditHabit: App back works, but system back crashes</t>
  </si>
  <si>
    <t>From EditHabit in view mode, both the app back (arrow on the top left) and system soft back (left triangle at the bottom) work properly. However, from EditHabit in edit mode, the app back button seems to work, but the system soft back causes an app crash. This is 100% repro behavior. No troubleshooting done from my end.</t>
  </si>
  <si>
    <t>2017-11-11</t>
  </si>
  <si>
    <t>CMPUT301F17T02-BAARD-33</t>
  </si>
  <si>
    <t>Create new habit into VIEW</t>
  </si>
  <si>
    <t>after deleting habits, going from create new habit into view crashes</t>
  </si>
  <si>
    <t>2017-11-12</t>
  </si>
  <si>
    <t>CMPUT301F17T29-HabitUp-111</t>
  </si>
  <si>
    <t>ViewHabitEvent: returning from AddHabitEvent crash on selecting new HabitEvent</t>
  </si>
  <si>
    <t>1. Go to ViewHabitEvent
2. Add new HabitEvent
3. On return to ViewHabitEvent, select the new HabitEvent that was just created
4. Select View or Edit
5. ES does not grab the HabitEvent (gets null see HabitEventDEBUG in log output) and causes crash.</t>
  </si>
  <si>
    <t>danimahardhika-wallpaperboard-109</t>
  </si>
  <si>
    <t>Fatal Exception: View DecorView 5a5b687 not attached to window manager</t>
  </si>
  <si>
    <t>novoda-download-manager-250</t>
  </si>
  <si>
    <t>Network recovery disabled crash</t>
  </si>
  <si>
    <t>If you specify that the DownloadManager should not recover from network errors there is crash it would be more appropriate to do nothing or allow the client to supply strategy.
.newInstance(this, handler, R.mipmap.ic launcher round)
It seems that the DownloadManager was always designed to do nothing in the instance where the client requests we just weren assigning to the INSTANCE which is why there was crash.</t>
  </si>
  <si>
    <t>2017-11-13</t>
  </si>
  <si>
    <t>tanrabad-survey-41</t>
  </si>
  <si>
    <t>dimagi-commcare-android-1887</t>
  </si>
  <si>
    <t>Session aware infrastructure improvements</t>
  </si>
  <si>
    <t>lot of the crashes that have been showing up in Crashlytics are related to unhandled instances of despite the fact that we have framework in place that is supposed to address this, because it is currently incompletely implemented. This PR fills in the remaining gaps by doing the following:</t>
  </si>
  <si>
    <t>2017-11-14</t>
  </si>
  <si>
    <t>LonamiWebs-Stringlate-161</t>
  </si>
  <si>
    <t>Cannot create PRs</t>
  </si>
  <si>
    <t>Hi, using latest F-Droid version of Stringlate on Android 7.1.2 and cannot create PRs, meanwhile can create bug reports.
tried to give adb logcat -s in order to give help but only
--------- beginning of crash
--------- beginning of system
--------- beginning of main
is shown. What should do to send log? ^^</t>
  </si>
  <si>
    <t>leancloud-android-sdk-all-105</t>
  </si>
  <si>
    <t>transient 消息收到 ack 会 crash</t>
  </si>
  <si>
    <t>tanrabad-survey-42</t>
  </si>
  <si>
    <t>Del-S-WearFingerprint-5</t>
  </si>
  <si>
    <t>Crash on return to the app</t>
  </si>
  <si>
    <t>Fix crash when you return to the app on Xiaomi (classic Bluetooth).</t>
  </si>
  <si>
    <t>2017-11-15</t>
  </si>
  <si>
    <t>Meisterschueler-ogn-viewer-android-3</t>
  </si>
  <si>
    <t>crashes immediately upon opening the app after upgrade ... it flashes commected to ogn and setting arps filter to (my filter) and immediately dies.</t>
  </si>
  <si>
    <t>alhazmy13-MediaPicker-39</t>
  </si>
  <si>
    <t>App crashes when you select an image from Google Drive</t>
  </si>
  <si>
    <t>Try to pick an image from Google Driver with following config:
Application crashes with following Crash log:
Caused by: Attempt to invoke virtual method char on null object reference</t>
  </si>
  <si>
    <t>dimagi-commcare-android-1888</t>
  </si>
  <si>
    <t>Amaze fix</t>
  </si>
  <si>
    <t>Apologies for not clean PR but had to refactor some things so that don have to make same change at places. Though The crux of the PR is when we fail to get the filePath from file provider we need to either do all the post processing by opening inputStream and work with that or make copy of the file internally using that inputStream and treat that file path as the new file path.
Product Note: Fixes bug on Android upwards where choosing file through Amaze file provider anywhere in Commcare will crash the app.</t>
  </si>
  <si>
    <t>2017-11-16</t>
  </si>
  <si>
    <t>commons-app-apps-android-commons-966</t>
  </si>
  <si>
    <t>Crash on clicking back from a failed media detail page</t>
  </si>
  <si>
    <t>tried uploading an image which failed because of some reason. From the media detail view when click the back arrow in the toolbar, the app crashes.
FATAL EXCEPTION: UploadService</t>
  </si>
  <si>
    <t>2017-11-17</t>
  </si>
  <si>
    <t>ramack-ActivityDiary-41</t>
  </si>
  <si>
    <t>Crash on creation of an activity with existing name</t>
  </si>
  <si>
    <t>In case an activity is created but the name already exists, the app crashed instead of rejecting the name.
(should also check the other database constraints)</t>
  </si>
  <si>
    <t>2017-11-18</t>
  </si>
  <si>
    <t>Leo-App-android-14</t>
  </si>
  <si>
    <t>Klausurplan stürzt ab, wenn kein Filter verfügbar</t>
  </si>
  <si>
    <t>Wenn man den Klausurplan nach Stundenplan sortiert, aber keinen Stundenplan angegeben hat, crasht die App.</t>
  </si>
  <si>
    <t>mehtank-androminion-494</t>
  </si>
  <si>
    <t>Viewing card description causes crash</t>
  </si>
  <si>
    <t>Nocturne pre-alphas and both crash on my phone when long press on any card to view its description. It does not happen on my tablet, both performed the same upgrade.</t>
  </si>
  <si>
    <t>niclabs-adkintunmobile-androidclient-185</t>
  </si>
  <si>
    <t>SpeedTestPreferenceFragment.java line 99</t>
  </si>
  <si>
    <t>2017-11-19</t>
  </si>
  <si>
    <t>vijai1996-screenrecorder-32</t>
  </si>
  <si>
    <t>crash when editing video</t>
  </si>
  <si>
    <t>hey have problem and that is after building project when try to edit the saved video, app crashesh on multiple devices (m above)</t>
  </si>
  <si>
    <t>dimagi-commcare-android-1890</t>
  </si>
  <si>
    <t>Fixes NPE in AlertDialog after process kill</t>
  </si>
  <si>
    <t>amstone326 The reason behind this crash wasn configuration change as it was working properly on rotaion but Android killing the process(Both Activity and Fragment) in case of low memory conditions. was able to reproduce it by following ctsims protip on turning the Don keep Activities developer options on and then leaving the activity when AlertDialog is open and returning to it.
am now dismissing these dialogues safely when such case surfaces so that user can atleast access the corresponding activity. Though if we see value in retaining these dialogues in such cases we will need way to recreate these dialogues whenever it happens.</t>
  </si>
  <si>
    <t>2017-11-20</t>
  </si>
  <si>
    <t>alhazmy13-MediaPicker-40</t>
  </si>
  <si>
    <t>Crash on API 27</t>
  </si>
  <si>
    <t>The library crashes on API 27 (Android 8.1) because of the launched activity requesting orientation with translucent theme, which is not allowed now.
Caused by: Only fullscreen opaque activities can request orientation</t>
  </si>
  <si>
    <t>nextcloud-android-1800</t>
  </si>
  <si>
    <t>Search in move/copy dialog crashes</t>
  </si>
  <si>
    <t>move copy file
app is crashing
The search result is tried to be shown in FileDisplayActivity as this is the normal way to show server side search results.</t>
  </si>
  <si>
    <t>michael-rapp-AndroidMaterialPreferences-16</t>
  </si>
  <si>
    <t>android.view.InflateException in EditTextPreference</t>
  </si>
  <si>
    <t>Hi, thanks for the great library. use it in several of my apps. am running into peculiar issue few users have reported on Samsung Galaxy Tabs running Android 4.4 with the EditTextPreference. The app crashes as soon as the EditTextPreference is opened. can reproduce it myself, but is it possible to at least catch the error? Let me know if any more information is needed, thanks.</t>
  </si>
  <si>
    <t>Sw24Softwares-StarkeVerben-12</t>
  </si>
  <si>
    <t>Crash when opening TestActivity</t>
  </si>
  <si>
    <t>crash is happening when TestActivity is opened
This happens with the rebuild of the back</t>
  </si>
  <si>
    <t>2017-11-21</t>
  </si>
  <si>
    <t>elimu-ai-appstore-125</t>
  </si>
  <si>
    <t>App crashes when downloading 1st app from Appstore [1-2hr]</t>
  </si>
  <si>
    <t>2017-11-22</t>
  </si>
  <si>
    <t>tanrabad-survey-43</t>
  </si>
  <si>
    <t>Cleveroad-AdaptiveTableLayout-20</t>
  </si>
  <si>
    <t>Crash while switching rows using the adapter which subcalsses BaseDataAdaptiveTableLayoutAdapter</t>
  </si>
  <si>
    <t>My code is as follows.
static class MyAdapter extends
protected Object getItems()
public void viewHolder, int row, int column)
It works well when dragging is not involved.
When switching columns, the app doesn crash.
But if rows are switched, it crashes!
found the following code in the library:
void switchTwoRows(int rowIndex, int rowToIndex)
for (int getItems().length i++)
Object cellData getItems() rowToIndex
getItems() rowToIndex getItems() rowIndex
getItems() rowIndex cellData
think getItems().length should not be used here. It just gives number of rows of my data...
It should be something like getColumnCount()
Is it my misunderstanding?
Any comment is appreciate.</t>
  </si>
  <si>
    <t>CMPUT301F17T02-BAARD-90</t>
  </si>
  <si>
    <t>fixes the crash if date is future and on another month</t>
  </si>
  <si>
    <t>2017-11-23</t>
  </si>
  <si>
    <t>MCMrARM-revolution-irc-43</t>
  </si>
  <si>
    <t>Crashes master-issue (0.3.1)</t>
  </si>
  <si>
    <t>This is master issue for random crashes for have collected on Google Play that have no actual issues opened yet.
crash (from JoinCommandHandler, QuitCommandHandler, PartCommandHandler)
similar crashes&lt; summary&gt;&lt;p&gt;
mChannelsListeners (fixed with https: github.com MCMrARM revolution-irc commit
-&gt; (fixed with https: github.com MCMrARM chatlib commit
from QuitCommandHandler (fixed with https: github.com MCMrARM chatlib commit
from PartCommandHandler (fixed with https: github.com MCMrARM chatlib commit
message button crash (fixed with https: github.com MCMrARM revolution-irc commit
Finalizer crash (fixed with https: github.com MCMrARM revolution-irc commit
parameter out-of-bounds exception (fixed with https: github.com MCMrARM chatlib commit
parameter out-of-bounds exception (fixed with https: github.com MCMrARM chatlib commit
NPE (fixed with https: github.com MCMrARM revolution-irc commit
NPE (fixed with https: github.com MCMrARM chatlib commit
NPE (fixed with https: github.com MCMrARM revolution-irc commit
Dialogs invalid current fragment (fixed with https: github.com MCMrARM revolution-irc commit
out-of-bounds crash (fixed with https: github.com MCMrARM revolution-irc commit
Channel list button in Join channel dialog NPE after activity destroy and reopen (fixed with https: github.com MCMrARM revolution-irc commit
from crash (fixed with https: github.com MCMrARM revolution-irc commit
NPE (closed server) (fixed with https: github.com MCMrARM revolution-irc commit
dialog random crash (fixed with https: github.com MCMrARM revolution-irc commit</t>
  </si>
  <si>
    <t>niclabs-adkintunmobile-androidclient-186</t>
  </si>
  <si>
    <t>DailyConnectionTypeInformation.java line 161</t>
  </si>
  <si>
    <t>ZieIony-Carbon-326</t>
  </si>
  <si>
    <t>RuntimeException setCursorColor on some devices</t>
  </si>
  <si>
    <t>Hello, have some issue from our users with **OPPO Smartphone**, they complaint that my apps always crash when opening the apps. when check the crash analytics found this error log. think it related with the any idea how to fix this issue?
using the version 0.15.0.1
Caused by: This feature is implemented using reflection. If you see this exception, something in your setup is not standard. Please create an issue on https: github.com ZieIony Carbon issues. Please provide at least the following information:
device: OPPO CPH1605, API 22</t>
  </si>
  <si>
    <t>PhilippC-keepass2android-139</t>
  </si>
  <si>
    <t>Uninstalling Icon set crashes Kp2A</t>
  </si>
  <si>
    <t>if users have selected the old icon set and uninstall it, they cannot open databases in KP2A anymore (unless they install the icon set again).</t>
  </si>
  <si>
    <t>2017-11-25</t>
  </si>
  <si>
    <t>PhilippC-keepass2android-138</t>
  </si>
  <si>
    <t>invalidated fingerprint data crashes app</t>
  </si>
  <si>
    <t>Several users have reported that KP2A crashes if they invalidate the fingerprint data (e.g. by adding fingerprints).</t>
  </si>
  <si>
    <t>SoftwareEngineeringDaily-SEDaily-Android-76</t>
  </si>
  <si>
    <t>Crash on Moto X, KitKat</t>
  </si>
  <si>
    <t>## Device Details
Device Name: Moto
Android Version: KitKat
App Version: 1.1
## Steps to Reproduce:
App crashes on start</t>
  </si>
  <si>
    <t>CMPUT301F17T02-BAARD-98</t>
  </si>
  <si>
    <t>Permissions and Storage of Images</t>
  </si>
  <si>
    <t>Currently for Create Edit Event, you can select Image and pick the image from gallery but once you return to the app and it prompts for permissions if you say no then it crashes.
Also, if you previously had permissions and set an image, but now you no longer have permission (say using new phone) then the images are not displayed in view event thus they are currently NOT being saved to server but rather just looking at the local filepath.</t>
  </si>
  <si>
    <t>2017-11-26</t>
  </si>
  <si>
    <t>ccrama-Slide-2596</t>
  </si>
  <si>
    <t>Crashes when trying to quote</t>
  </si>
  <si>
    <t>Slide version: 5.7.1 (fdroid)
Android version: 7.1.2 (lineage os)
Hi, couldn find any similar issue on here so post my own here
situation replying to comment, if press the quote button can select what part to quote, press select and then it crashes immediatly. It happens on every sub, 95% of the time. For some reason it worked sometimes without me figuring out why.
don know what other information could bring.
Great app so far anyway, fantastic work :)</t>
  </si>
  <si>
    <t>commons-app-apps-android-commons-986</t>
  </si>
  <si>
    <t xml:space="preserve">Constant crashes in Release build (current beta in Google Play Store) </t>
  </si>
  <si>
    <t>When generating signed APK with the ProdRelease build, get these errors:
was able to carry on and generate the APK regardless, but we should still probably look into them so that we don keep getting errors in future versions.
Fix issue with commons-logging and httpclient
Fix error with
Re-test ProdRelease build (I am hoping we can find way for other devs to test release builds as well, see #988</t>
  </si>
  <si>
    <t>2017-11-27</t>
  </si>
  <si>
    <t>arunkumar9t2-rxSuggestions-3</t>
  </si>
  <si>
    <t>Uncaught exceptions crashes the Observable, instead route Exceptions to onError().</t>
  </si>
  <si>
    <t>tanrabad-survey-44</t>
  </si>
  <si>
    <t>ThreadedRenderer.java</t>
  </si>
  <si>
    <t>2017-11-28</t>
  </si>
  <si>
    <t>thiagoprochnow-carteiradeativos-175</t>
  </si>
  <si>
    <t>Sometimes crashs in onAdFailedToLoad with Nullpointerexception</t>
  </si>
  <si>
    <t>2017-11-29</t>
  </si>
  <si>
    <t>dimagi-commcare-android-1901</t>
  </si>
  <si>
    <t>Transactional Recoveries</t>
  </si>
  <si>
    <t>Fixes the issue in https: manage.dimagi.com default.asp?265905. Specifically, crashes during recovery restore parse could result in the case database being left empty. Accomplish this by doing the wipe and restore parse in one transaction that we simply do not commit unless we fully succeed. couple supporting refactors.
tested this by throwing RuntimeException right before the readInput call previously this resulted in an empty user db, now this is successfully rolled back.
think we should get this into 2.41.</t>
  </si>
  <si>
    <t>chat21-chat21-android-sdk-6</t>
  </si>
  <si>
    <t>crash using vector drawable as placeholder with Glide</t>
  </si>
  <si>
    <t>dmfs-opentasks-521</t>
  </si>
  <si>
    <t>Deleting task in list (by swiping) doesn't clear details view.</t>
  </si>
  <si>
    <t>If select task in two-pane mode and swipe right to delete it (after it has already been completed) it still visible in the details view. Clicking edit in the details view will crash the app.</t>
  </si>
  <si>
    <t>twilio-voice-quickstart-android-116</t>
  </si>
  <si>
    <t>Call results in a crash when initializing audio fails</t>
  </si>
  <si>
    <t>&lt;!-- Check the following before filing an issue --&gt;
Before filing an issue please check that the issue is not already addressed by the following:
Voice SDK Guides (https: www.twilio.com docs api voice-sdk)
GitHub Issues (https: github.com twilio issues)
Changelog (https: www.twilio.com docs api voice-sdk android changelog)
customer reported the following crash. This is the original ticket that was filed in the Client quickstart repository: https: github.com twilio issues 56
### Steps to Reproduce
1. Place an outgoing call
#### Expected Behavior
#### Actual Behavior
native crash occurs
#### Reproduces How Often
The thread Unknown (0x146) has exited with code (0x0).
All relevant version information for the issue.
#### Voice Android SDK
#### OS Version
#### Device Model
Samsung S2 Tablet (SM-T713)</t>
  </si>
  <si>
    <t>ponewheel-android-ponewheel-30</t>
  </si>
  <si>
    <t>Accessing logged rides crashes app</t>
  </si>
  <si>
    <t>Testing out the database updates, sometimes it opens the logged ride, and as soon as try and move the map get crash.
The exception that gets thrown:
And other times this:
ll dig into it deeper as well.</t>
  </si>
  <si>
    <t>bpercy11-CalfTrackerRepo-2</t>
  </si>
  <si>
    <t>Tasks observation tab dialog crashes</t>
  </si>
  <si>
    <t>App crashes on observation tab dialog confirm if there are no illnesses defined.</t>
  </si>
  <si>
    <t>andOTP-andOTP-76</t>
  </si>
  <si>
    <t>andOTP crashes the launcher and Settings-Apps</t>
  </si>
  <si>
    <t>#### General information
**App version:** Version 0.3.0 (11) Added on 2017-11-28
**App source:** F-Droid
**Android Version:** 6.0.1
**Custom ROM:** KonstaKANG LineageOS
#### Expected result
**What is expected?**
The app installs upgrades without crashes parts of the system or the whole system.
**What does happen instead?**
It crashes the App-Launcher and Settings -&gt; Apps Menu.
No uninstallation possible without ADB-access.
#### Steps to reproduce
Install latest version.
got this same issue with mastalab, but without crashing the launcher, it could be the same root here:
The problems are the Android SDK Platform 25 and 26, with 27 (revision: 1) it should work like charm.
What helped us figuring this out: https: forums.bitfire.at topic 1603 15</t>
  </si>
  <si>
    <t>2017-11-30</t>
  </si>
  <si>
    <t>netceteragroup-react-native-twitterkit-19</t>
  </si>
  <si>
    <t>Fixed a crash when the view is removed while the tweet is being loaded</t>
  </si>
  <si>
    <t>Fixed crash that happens when the view is removed from hierarchy before the tweet is loaded. When the tweet is loaded and the view needs to be resized, there is an assertion that fails because the shadow view is no longer in the hierarchy. In this case React Native UI manager throws an error and the app crashes.</t>
  </si>
  <si>
    <t>chat21-chat21-android-sdk-7</t>
  </si>
  <si>
    <t>crash when share an image from file system on pre-lollipop</t>
  </si>
  <si>
    <t>Freeyourgadget-Gadgetbridge-897</t>
  </si>
  <si>
    <t>Gadgetbridge crashes when trying to add third party pebble apps</t>
  </si>
  <si>
    <t>#### Before opening an issue please confirm the following:
have searched the issues (https: github.com Freeyourgadget Gadgetbridge issues), and didn find solution to my problem an answer to my question.
have read the wiki (https: github.com Freeyourgadget Gadgetbridge wiki), and didn find solution to my problem an answer to my question.
If you upload an image or other content, please make sure you have read and understood the github policies and terms of services (https: help.github.com articles
#### Your issue is:
Gadgetbridge crashes as soon as press the button to look for third party pebble app files on the system.
#### Your wearable device is:
Pebble time (Firmware 4.3)
#### Your android version is:
#### Your Gadgetbridge version is:
*New issues about already solved documented topics could be closed without further comments. Same for too generic or incomplete reports.*</t>
  </si>
  <si>
    <t>requery-requery-731</t>
  </si>
  <si>
    <t>RxJava `observableResult()` accumulating iterators until complete</t>
  </si>
  <si>
    <t>confronted with behavior that query with observableResult() will accumulate iterators in itself until close. It can take lot of memory for long-live observables and cause OOM exception with app crash.
For example select lis of entities:
.map(cars -&gt; cars.toList())
On every CarEntity related commit
.map(cars -&gt; cars.toList())
will be called which leads to creation of Iterator, see BaseResult.toList() implementation.
So, is there any way to get only current (last) iterator and do not store history of them? Do not use iterators at all</t>
  </si>
  <si>
    <t>2017-12-01</t>
  </si>
  <si>
    <t>tanrabad-survey-45</t>
  </si>
  <si>
    <t>OpenLauncherTeam-openlauncher-291</t>
  </si>
  <si>
    <t>App crashes when opening app drawer</t>
  </si>
  <si>
    <t>#### General information
**App Version:** 0.5.8(alpha)
**Android Version:** 7.1.2
#### Expected result
**What is expected?**
The app drawer should open.
**What does happen instead?**
The app crashes (error details below).
Build version: 0.5.8(alpha)
#### Steps to reproduce
just open the app drawer and it crashes. No clue how somebody else could reproduce it.</t>
  </si>
  <si>
    <t>2017-12-02</t>
  </si>
  <si>
    <t>bumptech-glide-2673</t>
  </si>
  <si>
    <t>Compiler crash when compiling with kapt and in-process execution strategy</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</si>
  <si>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&lt;!-- What version of Glide you re running, for example: 3.7.1 3.8.0-SNAPSHOT 4.0.0-SNAPSHOT
It essentially the version number from your build.gradle: dependencies compile ...:x.y.z --&gt;
**Glide Version**: 4.3.1
&lt;!-- Do you use any integration library, like OkHttp3 or Volley? For example:
Fails to display with stock networking, but works with okhttp3-1.4.0 --&gt;
**Integration libraries**: OkHttp3
&lt;!-- What devices you managed to get the issue to come up on? For example:
fails on Galaxy S4 GT-I9500 4.4.2, works fine on Nexus 6P 5.1 and Genymotion Nexus 5.0.1 --&gt;
**Device Android Version**: Not relevant
&lt;!-- Share the details of your issue in prose, detailing actual and expected behavior. It also helps if you give some info **why** you are trying to do something as opposed to **what** is not working. --&gt;
**Issue details Repro steps Use case background**:
have project that uses Kotlin and thus kapt want to compile the project with the compiler flag in-process due to this issue (https: issue KT-15562) which fails my CI builds.
Glide annotation processor sadly fails with the attached stacktrace when trying that. It seems that the Excludes annotation is triggering the issue.
&lt;!-- How do you use Glide?
Make sure you include everything as is in your app code:
Changing single method parameter can yield totally different results.</t>
  </si>
  <si>
    <t>2017-12-03</t>
  </si>
  <si>
    <t>danimahardhika-wallpaperboard-117</t>
  </si>
  <si>
    <t>Random crash after refreshing latest wallpapers</t>
  </si>
  <si>
    <t>jroal-a2dpvolume-259</t>
  </si>
  <si>
    <t>Application crashes on location capture</t>
  </si>
  <si>
    <t>Hello. have some issue with location on Android Nougat 7.1.2 (Lineage OS
When press on STORED LOCATION button phone shows pop-up No Data</t>
  </si>
  <si>
    <t>stefan-niedermann-nextcloud-notes-303</t>
  </si>
  <si>
    <t>Fatal exception editing note category</t>
  </si>
  <si>
    <t>Open note, open the context menu and then select Category Attempt to type anything and you may see the first character appear and then the app crashes. When note already has category set that category will be displayed correctly until you type something and then you get the crash. ve only experienced this on emulators as don have access to try and replicate on my phone. ve seen this on API 19 4.4 and API 25 7.1.1 with my live instance of nc. Logcats below:
So that not breaking any etiquette:
**Android version:** 4.4 7.1.1, see above
**System language**: English (US)
**App version:** master branch
**App source:** self-built
**Steps to reproduce:**</t>
  </si>
  <si>
    <t>2017-12-04</t>
  </si>
  <si>
    <t>CMPUT301F17T21-StylePoints-120</t>
  </si>
  <si>
    <t>fix crash if elastic search has corrupt data when we log in</t>
  </si>
  <si>
    <t>CMPUT301F17T21-StylePoints-119</t>
  </si>
  <si>
    <t>fix crash caused be deserializing Habit json that does not contain a …</t>
  </si>
  <si>
    <t>CMPUT301F17T01-Bronzify-90</t>
  </si>
  <si>
    <t>HabitHistory crashing</t>
  </si>
  <si>
    <t>Investigate and resolve</t>
  </si>
  <si>
    <t>commons-app-apps-android-commons-998</t>
  </si>
  <si>
    <t>Nearby crashes when switching views before GPS is found</t>
  </si>
  <si>
    <t>While the GPS is searching switching between map and list view can crash the app. Easily reproducible when having no location and just hitting the list map button few times.</t>
  </si>
  <si>
    <t>ZeeRooo-MaterialFBook-120</t>
  </si>
  <si>
    <t>Repeated crashing while and not running in foreground</t>
  </si>
  <si>
    <t>Been running the app for some three days now on my Mi A1 with Android N.
The app has crashed repeatedly some 30 plus times, while was using it and while it was in the background.
Was unable to find crash report or log, If there is one just let me know, will add it.
1. Install and log in to account
2. Browse or leave it alone for some time
3. Switch to some other app and wait
4. Just keep browsing for some time</t>
  </si>
  <si>
    <t>commons-app-apps-android-commons-997</t>
  </si>
  <si>
    <t>New crash in version 78</t>
  </si>
  <si>
    <t>noticed spike in our crashes since version 78 was pushed to production. Most of those crashes were associated with this particular log, 11 reports to be precise. Unfortunately can seem to figure out what is going wrong since our app isn even mentioned in the stack trace.</t>
  </si>
  <si>
    <t>red5pro-streaming-android-99</t>
  </si>
  <si>
    <t>Move over fix for two-way crash on back.</t>
  </si>
  <si>
    <t>Accompanying test update to RPRO-4802.</t>
  </si>
  <si>
    <t>2017-12-05</t>
  </si>
  <si>
    <t>facebook-buck-1667</t>
  </si>
  <si>
    <t>aapt2 causes runtime crash on Android &lt; 5 Resources$NotFoundException</t>
  </si>
  <si>
    <t>Switching aapt mode to aapt2 causes following crash on Android 5:
Build tools 27.0.2
Support Libraries 25.2.0 (tried 27.0.2 as well)
Looks like Android Gradle Plugin had this problem as well, but it was fixed https: issues 63623801</t>
  </si>
  <si>
    <t>Z3r0byte-Magistify-58</t>
  </si>
  <si>
    <t>Autosilent activity crashes on opening</t>
  </si>
  <si>
    <t>react-native-camera-react-native-camera-1023</t>
  </si>
  <si>
    <t>[Emulator only] Video Stops/Crashes API 19, adb logs, code</t>
  </si>
  <si>
    <t>Emulator Only Issue? Used on actual device with no problems so.
API 19, Starting to capture video causes it to stop crash second later. Then the camera no longer works (even doing reload).
API 27 works fine no similar errors in adb logcat.
style flex:0, width: camwidth, height: camheight
type this.state.camera front front back
console.log( Take Video
console.log( Video Finished
this.state.score card.video data
Full adb log https: hastebin.com jujorufegu.sql</t>
  </si>
  <si>
    <t>google-ExoPlayer-3552</t>
  </si>
  <si>
    <t>ArrayIndexOutOfBoundsException in ImaAdsLoader.loadAd</t>
  </si>
  <si>
    <t>we have videos with ads in our app, and we have in the ima extension. We don have specific scenario for this crash and it happens randomly on many devices. attach the stack trace below:
length index -1</t>
  </si>
  <si>
    <t>niclabs-adkintunmobile-androidclient-187</t>
  </si>
  <si>
    <t>SpeedTestPreferenceFragment.java line 115</t>
  </si>
  <si>
    <t>scottwainstock-pbm-android-174</t>
  </si>
  <si>
    <t>If you click Change Region before region is fully loaded, app crashes</t>
  </si>
  <si>
    <t>Once the list of lookup menus is loaded, immediately click the upper right menu and choose Change Region (the goal is to do this before the locations and other data load in the background)</t>
  </si>
  <si>
    <t>xtonousou-SoundBoardX-5</t>
  </si>
  <si>
    <t>High resolution drawables aka. particles, crash entire application. (App killed.)</t>
  </si>
  <si>
    <t>Maybe resizing drawables to sane resolution, reduce the number of particles per click.</t>
  </si>
  <si>
    <t>2017-12-07</t>
  </si>
  <si>
    <t>kontalk-androidclient-1114</t>
  </si>
  <si>
    <t>Notification crashing</t>
  </si>
  <si>
    <t>Bad cursor column indexes... damn me and my laziness when don use constants.</t>
  </si>
  <si>
    <t>fekracomputers-IslamicLibraryAndroid-60</t>
  </si>
  <si>
    <t>when a file download fails and redowloading it the app crashes</t>
  </si>
  <si>
    <t>dragonrollers-thoughtbubble-app-70</t>
  </si>
  <si>
    <t>**URGENT** Making New Board is not possible</t>
  </si>
  <si>
    <t>It crashes pretty badly -- could someone look into that?</t>
  </si>
  <si>
    <t>2017-12-08</t>
  </si>
  <si>
    <t>nextcloud-android-1841</t>
  </si>
  <si>
    <t xml:space="preserve">[Android] [App] Can't access "instant upload" </t>
  </si>
  <si>
    <t>### Actual behaviour
As soon as try to click on instant upload to configure instant uploads, the next cloud app crashes.
No instant upload can take place.
### Expected behaviour
-Tell us what should happen
Should be able to open instant upload setting page.
### Steps to reproduce
1. Click on instant upload
2. Instant crash
3. No upload
### Environment data
Stock or customized system:
Nextcloud app version:
Nextcloud server version:</t>
  </si>
  <si>
    <t>yorickvanzweeden-WalletKeepApp-2</t>
  </si>
  <si>
    <t>If fetched asset is not present, the application will crash</t>
  </si>
  <si>
    <t>New asset is added to the crypto ecosystem
Asset is traded on exchanges
User buys asset on exchange
User uses WalletKeep on exchange and fetches
Application tries to add Asset with unknown currency
Crash on Foreign Key constraint</t>
  </si>
  <si>
    <t>scottwainstock-pbm-android-175</t>
  </si>
  <si>
    <t>App crashes when you switch to a different app</t>
  </si>
  <si>
    <t>need to verify this few more times. But if switch to another app, without quitting pbm, it will crash.</t>
  </si>
  <si>
    <t>2017-12-09</t>
  </si>
  <si>
    <t>billthefarmer-scope-16</t>
  </si>
  <si>
    <t>Often crashes when switching to the frequency domain (spectrum) view</t>
  </si>
  <si>
    <t>Oscilloscope 1.14 crashes often (but not always), when switching to the frequency domain (spectrum) view.
Logs of one such crash (under AOSP 4.1.2):</t>
  </si>
  <si>
    <t>2017-12-10</t>
  </si>
  <si>
    <t>ramack-ActivityDiary-60</t>
  </si>
  <si>
    <t>Crash on Camera, Note Edit and Settings</t>
  </si>
  <si>
    <t>Report on f-droid inclusion MR (https: gitlab.com fdroid fdroiddata merge requests 2633), by relan:
started the app (on tablet with Android 7.1.2), pressed Camera button and it immediately crashed with:
When pressed Edit button (with pencil icon) and then OK in the dialog, it crashed with:
Settings also cause crash. think your app isn ready for inclusion yet.</t>
  </si>
  <si>
    <t>moneymanagerex-android-money-manager-ex-1178</t>
  </si>
  <si>
    <t>App crashes on startup with Oreo 8.1</t>
  </si>
  <si>
    <t>Happily using moneymanager ex on Nexus 6P on 8.0 Upgraded to 8.1 and App wont start at all under 8.1</t>
  </si>
  <si>
    <t>2017-12-11</t>
  </si>
  <si>
    <t>AhiruSoftwareCompany-alcoholtestapp-38</t>
  </si>
  <si>
    <t>Clicking on "About this app" crashes the app</t>
  </si>
  <si>
    <t>nextcloud-android-1848</t>
  </si>
  <si>
    <t>App Android crash on click left menu Activity...</t>
  </si>
  <si>
    <t>### Actual behaviour
-Tell us what happens
App crash when click on left menu Activity
### Expected behaviour
-Tell us what should happen
### Steps to reproduce
1. Open App
2. Click on Left menu Activity
### Environment data
Stock or customized system:
Nextcloud app version:
Nextcloud server version:
#### Android LogCat</t>
  </si>
  <si>
    <t>TeamCaffeine-HotSwap-91</t>
  </si>
  <si>
    <t>Setting addresses from ListItemActivity causes crash when returning to the profile address fragment</t>
  </si>
  <si>
    <t>1. add address to profile VIA list item activity
2. return to profile
3. add another address</t>
  </si>
  <si>
    <t>simonpoole-OpeningHoursFragment-21</t>
  </si>
  <si>
    <t>Removing of non-valid time-time range causes crashing of app</t>
  </si>
  <si>
    <t>## Vespucci Version
## Device (Manufacturer and Model)
Samsung Galaxy A3 (SM-A300FU)
## Android Version
## Behaviour Symptoms Expected Behaviour How to recreate
1. Add opening our tag to an object
2. Open OpeningHours editor
3. Remove everything existing (three dots -&gt; Delete)
4. Add Time-Time range
5. Set End time to something not valid (using top line and SW keyboard add third digit)
6. Save that and open editing tool again.
7. Try to remove rules using three dots -&gt; Delete button
8. After pressing Delete button, app crashes.
## Crash dump submitted (no or yes date)
12.12.2017 (20:35 UTC+1) report containig email adress xxxxxx and this content
## Any other potentially relevant information</t>
  </si>
  <si>
    <t>2017-12-12</t>
  </si>
  <si>
    <t>dmfs-opentasks-575</t>
  </si>
  <si>
    <t>ve just got this crash after changing the device time zone (I don think that this is the actual reason though). We also see reports about this on Google Play.</t>
  </si>
  <si>
    <t>square-okhttp-3719</t>
  </si>
  <si>
    <t>Crash: Unexpected TLS version: NONE</t>
  </si>
  <si>
    <t>First at all thank you very much for your library!
ve integrated okhttp3 since couple months ago there were no problem until yesterday with an user (Huawei, model MHA-L29, on Android 7.0):
Fatal Exception: Unexpected TLS version: NONE
Have you got some ideas about this crash?
Thank you very much guys!</t>
  </si>
  <si>
    <t>lisawray-groupie-135</t>
  </si>
  <si>
    <t>Crash with same layoutId</t>
  </si>
  <si>
    <t>run in to common crash. When use the same layout with differrent items in the same list, it crashes upon recycling. investigated, Groupie use layoutId at getViewType. think it not good solution. It very common when the same layout is used with different item types.</t>
  </si>
  <si>
    <t>2017-12-13</t>
  </si>
  <si>
    <t>niclabs-adkintunmobile-androidclient-188</t>
  </si>
  <si>
    <t>Network.java line 123</t>
  </si>
  <si>
    <t>2017-12-14</t>
  </si>
  <si>
    <t>kabouzeid-Phonograph-372</t>
  </si>
  <si>
    <t>Startup crash - SQLite exception</t>
  </si>
  <si>
    <t>am getting crash second after starting up the app.
on Doogee S60, running near stock 7.0
No way of getting logcat. Stackpile says ambiguouscolumnname id.
If you need the whole stack, ll be getting screenshot of the Android debug message</t>
  </si>
  <si>
    <t>Swrve-swrve-android-sdk-271</t>
  </si>
  <si>
    <t>[Crash] Only fullscreen activities can request orientation</t>
  </si>
  <si>
    <t>There crash on Android 8.0.0 with target SDK 27, when trying to set an orientation for Google introduced this restriction for translucent activities, so they can request orientation anymore.
checked your latest sources and it looks like still has this attribute &lt;item name &gt;true&lt; item&gt; and not doing any check before setting the orientation in onCreate
This crash happens when trying to receive some in-app message from ongoing campaign.
Correct me if missing something. And can make PR to take care of this, in case you like to.</t>
  </si>
  <si>
    <t>ZeeRooo-MaterialFBook-121</t>
  </si>
  <si>
    <t>Crash pausing main activity.</t>
  </si>
  <si>
    <t>There crash when pausing the app in main activity, only when used is logged in.</t>
  </si>
  <si>
    <t>Zhuinden-realm-book-example-12</t>
  </si>
  <si>
    <t>A weird crash bug involving deletion</t>
  </si>
  <si>
    <t>screenshot from 2017-12-14 17-23-28 (https: 11718392
Theoretically this should never happen, but apparently it does.</t>
  </si>
  <si>
    <t>2017-12-15</t>
  </si>
  <si>
    <t>WyrnCael-JotDownThatMovie-1</t>
  </si>
  <si>
    <t>Film without poster error</t>
  </si>
  <si>
    <t>Application crashes when saving movie without poster.</t>
  </si>
  <si>
    <t>k9mail-k-9-2973</t>
  </si>
  <si>
    <t>Crashes on adding an address to a reply list</t>
  </si>
  <si>
    <t>Please search to check for an existing issue (including closed issues, for which the fix may not have yet been released) before opening new issue: https: github.com k9mail k-9 issues?q is%3Aissue
believe this is the same as App crashed by typing address in the address field when composing message #1251 except that bug was not fixed for when you reply to message.
### Expected behavior
Should auto-complete the address and not crash
### Actual behavior
Crashes on the second character typed
### Steps to reproduce
1. Tap the left double-arrow at the bottom while viewing message (to reply or forward)
2. Tap Reply
3. Tap in the To field after any existing addresses
4. Type in the first characters of an address to send to
K-9 Mail version: 5.208
Android version: 7.0
Account type (IMAP, POP3, WebDAV Exchange): IMAP</t>
  </si>
  <si>
    <t>2017-12-16</t>
  </si>
  <si>
    <t>divya21raj-UniPool-42</t>
  </si>
  <si>
    <t>New TripEntry creation crashes on large Place names</t>
  </si>
  <si>
    <t>processing-processing-android-417</t>
  </si>
  <si>
    <t>SDK updater crashes</t>
  </si>
  <si>
    <t>It opens and shows available updates, but after pressing the update button, one gets this error:
Exception in thread AWT-EventQueue-0 com android sdklib tool
... 37 more</t>
  </si>
  <si>
    <t>2017-12-18</t>
  </si>
  <si>
    <t>Blankeer-MDWechat-1</t>
  </si>
  <si>
    <t>首次打开会 crash</t>
  </si>
  <si>
    <t>sdcard mdwechat config .xml</t>
  </si>
  <si>
    <t>popeen-Booksonic-App-69</t>
  </si>
  <si>
    <t>Android 8.1</t>
  </si>
  <si>
    <t>upgraded to android 8.1 sometimes will play podcasts, but crashes on any audiobook. was working fine previously.</t>
  </si>
  <si>
    <t>2017-12-19</t>
  </si>
  <si>
    <t>fr3ts0n-AndrOBD-43</t>
  </si>
  <si>
    <t>App crash when trying to load a non .obd file</t>
  </si>
  <si>
    <t>Hi again :)
Yes, must be one of the stupid people... tried to load log file as the main .obd file.
was surprised to find that the app tried to accept the .log file though. Not really surprised that the app crashed because of it.
Any chance you can add sanity check on the file type, to stop stupid people like me crashing out. Maybe toast, Must be .obd file</t>
  </si>
  <si>
    <t>novoda-download-manager-274</t>
  </si>
  <si>
    <t>Avoid leaking ServiceConnection</t>
  </si>
  <si>
    <t>If client uses any Context except the Application Context then the app will likely crash because we are leaking the ServiceConnection This occurs because currently the DLM does not unbind it
Ensure that we use only the Application Context by calling inside the DLM
We should decide how we are going to surface the need to bind and unbind to the client applications.</t>
  </si>
  <si>
    <t>tanrabad-survey-49</t>
  </si>
  <si>
    <t>tanrabad-survey-48</t>
  </si>
  <si>
    <t>tanrabad-survey-47</t>
  </si>
  <si>
    <t>tanrabad-survey-46</t>
  </si>
  <si>
    <t>jruesga-rview-57</t>
  </si>
  <si>
    <t xml:space="preserve">Crash on editing file and landscape screen </t>
  </si>
  <si>
    <t>In case try editing the file in app in portrait mode then only top half of the screen is displaying file contents. The bottom half is blank.
In case rotate the phone in landscape mode the app crashes.</t>
  </si>
  <si>
    <t>2017-12-20</t>
  </si>
  <si>
    <t>mdg-iitr-calling-text-3</t>
  </si>
  <si>
    <t>App crashes while selecting gif from gif selector</t>
  </si>
  <si>
    <t>alhazmy13-MediaPicker-49</t>
  </si>
  <si>
    <t xml:space="preserve">Camera Intent Crash </t>
  </si>
  <si>
    <t>Android applicaiton crash on kitkat. please fix it.</t>
  </si>
  <si>
    <t>alhazmy13-MediaPicker-51</t>
  </si>
  <si>
    <t>Image Picker From Google Drive Issue</t>
  </si>
  <si>
    <t>So have been getting come crashes related to the URI being not found. found this to happen when using the Image Picker and selecting non image type file (ZIP, MP4). Whats odd is the onActivityResult returns URI back but its not valid it contains .jpg extension and returns the exception below when you try to open it into input stream. Anyway to restrict google drive selection to photos only? Or is there way to disable showing third party apps and just show the built in gallery app?
Exception (I picked .mp4 file from my google drive account):</t>
  </si>
  <si>
    <t>2017-12-21</t>
  </si>
  <si>
    <t>moneymanagerex-android-money-manager-ex-1186</t>
  </si>
  <si>
    <t>Unable to set parent on Asset Class</t>
  </si>
  <si>
    <t>tapping the Parent on Asset Class editor crashes the app</t>
  </si>
  <si>
    <t>BaristaVentures-android-debug-artist-60</t>
  </si>
  <si>
    <t>Report bug feature is crashing on send</t>
  </si>
  <si>
    <t>library version: 0.6.7</t>
  </si>
  <si>
    <t>dariuszseweryn-RxAndroidBle-342</t>
  </si>
  <si>
    <t>Can instantiate RxBleClient with last Dagger release</t>
  </si>
  <si>
    <t>faced an issue yesterday with the new Dagger release (2.14.1). At the RxBleClient creation the app crash (with 2.13 and less it ok)
### Library version
#### Logs from the application running with setting</t>
  </si>
  <si>
    <t>tanrabad-survey-50</t>
  </si>
  <si>
    <t>View.java line 5246</t>
  </si>
  <si>
    <t>mycelium-com-wallet-android-441</t>
  </si>
  <si>
    <t>Exception thrown while opening the wallet app</t>
  </si>
  <si>
    <t>can open the mycelium app anymore, it crashes as soon as the app is launched with an exception:
Restarting the device does not help, haven tried clearing data yet
My Device: OnePlus A3000 (build number 171116)
Android 8.0.0 (Oxygen OS 5.0)
Mycelium Wallet app version: 2.9.10.6</t>
  </si>
  <si>
    <t>2017-12-22</t>
  </si>
  <si>
    <t>kyroschow-MinigameMarathon-61</t>
  </si>
  <si>
    <t>App crashes in AboutFragment on certain devices</t>
  </si>
  <si>
    <t>Your issue may have already been reported! Please check the issue tracker (https: github.com TheCompSciNoob MinigameMarathon issues) before creating new issue.
### Expected behavior
It shouldn crash in AboutFragment
### Actual behavior
It crashed in AboutFragment
#### Possible solution
The reason that it crashes is probably due to html. If actually used SpannableString that would solve the problem.
### Steps to reproduce the behavior
Use android 4.4.2 device and open AboutFragment
OS Version (Version and API Level): android api 4.4.2</t>
  </si>
  <si>
    <t>mapbox-mapbox-plugins-android-223</t>
  </si>
  <si>
    <t xml:space="preserve">[LocationLayer] crashing issue </t>
  </si>
  <si>
    <t>am using locationlayer to show my current location and when single double tap on map. App getting crashed with following errors.
NOTE :: My GPS is on and am getting location.</t>
  </si>
  <si>
    <t>kyroschow-MinigameMarathon-59</t>
  </si>
  <si>
    <t>Color Game crashes app in PracticeNavigationFragment</t>
  </si>
  <si>
    <t>Your issue may have already been reported! Please check the issue tracker (https: github.com TheCompSciNoob MinigameMarathon issues) before creating new issue.
### Expected behavior
Color game should run in
### Actual behavior
App crashes when Color Game is selected
#### Possible solution
find kenneth to fix this
### Steps to reproduce the behavior
Launch and choose Color Game Challenge!</t>
  </si>
  <si>
    <t>Freeyourgadget-Gadgetbridge-916</t>
  </si>
  <si>
    <t>Investigate why stacktraces of crashes sometimes do not show up in the log</t>
  </si>
  <si>
    <t>Subject says it all.</t>
  </si>
  <si>
    <t>guardianproject-haven-90</t>
  </si>
  <si>
    <t>Crash on API levels 20 and below</t>
  </si>
  <si>
    <t>App crashes at launch on API&lt; 20, as it is unable to resolve resource reference.
The referenced resource is part of the app intro library but does not seem to be resolved on lower API levels. simple fix would be to manually include the drawable in our module res drawables. am in the process of submitting PR with this fix.</t>
  </si>
  <si>
    <t>2017-12-23</t>
  </si>
  <si>
    <t>guardianproject-haven-84</t>
  </si>
  <si>
    <t>Downloading on Play Store, Haven app crashes on Docomo and S3 Galaxy</t>
  </si>
  <si>
    <t>have few Android devices and wanted to try Haven and all my phones crashed saying Unfortunately Haven has stopped working. Is this known issue? have submitted system logs on crash via Play Store but can also try to post logs when have chance.</t>
  </si>
  <si>
    <t>DoubleSymmetry-react-native-track-player-100</t>
  </si>
  <si>
    <t>Track.setupPlayer crashes the app</t>
  </si>
  <si>
    <t>Please let me know if am using the library correctly.
initializes the Track.setupPlayer at the same time as export my main appm, but it crashes my app.
Testing environment is Android 7.0, Moto G4.
Here are my dependencies:
import App from app containers NativeStoriesApp
import TrackPlayer from
export default App
Adds track to the queue
Starts playing it
Some log which don know if it is relevant or not:</t>
  </si>
  <si>
    <t>2017-12-24</t>
  </si>
  <si>
    <t>guardianproject-haven-105</t>
  </si>
  <si>
    <t>Haven crashs on nexus 4/7 with lineages 14.1</t>
  </si>
  <si>
    <t>have one Nexus smartphone and one Nexus tablet (2012, WiFi only). Both run with LineageOS 14.1 (android 7.12). After installing Haven on them an start it, can klick through the first pages of this start and configuration dialogue. Then, when the app should start, it crashes. Does it work on devices with LineageOS?</t>
  </si>
  <si>
    <t>google-ExoPlayer-3645</t>
  </si>
  <si>
    <t>Crash with ArrayIndexOutOfBoundsException from SsaDecoder</t>
  </si>
  <si>
    <t>### Issue description
App crashes with callstack
length index 10
### Reproduction steps
### Link to test content
getting this issues as automatically submitted in crash reporting system, so don have repro or failing media.
It SSA track mimeType text x-ssa, language eng from mkv media streamed from vaders.tv service
### Version of ExoPlayer being used
### Device(s) and version(s) of Android being used
NVidia Shield, Android 7.0
Is it expected behavior of exoplayer that all exceptions raised in SimpleDecoder aren routed via callbacks? There were issues before: https: github.com google ExoPlayer issues 3396, https: github.com google ExoPlayer issues 2957 which got fixes in processors parsers. But are those parsers (subtitles and co.) ready for users media, which can be broken?</t>
  </si>
  <si>
    <t>2017-12-26</t>
  </si>
  <si>
    <t>k9mail-k-9-2990</t>
  </si>
  <si>
    <t>Crash opening mail from mailing list</t>
  </si>
  <si>
    <t>subscribed to the cups.org mailing list. Quite often K9 crashes when opening mail from the list
### Expected behavior
Well...it should display the mail :-)
### Actual behavior
### Steps to reproduce
1. open mail
2. it starts to render, suddenly K9 is crashed
K-9 Mail version: 5.208
Android version: 7.0
Account type (IMAP, POP3, WebDAV Exchange):
attach on ot the mails that causes crash</t>
  </si>
  <si>
    <t>rollbar-rollbar-react-native-8</t>
  </si>
  <si>
    <t>Not able to send crash log.</t>
  </si>
  <si>
    <t>am able to configure the rollbar notifier in our application but not able to send the crash log on the rollbar console.
Here is my code.
import React, Component from react
import Client from
const rollbar new Client( MY ACCESS TOKEN
export default class App extends Component&lt;
rollbar.error( Something went wrong e)
&lt;View style styles.container
&lt;Text style styles.welcome
&lt;View style styles.loginButton
&lt;Button onPress title Throw an Error
const styles StyleSheet.create(
Here is the error screen shot which am getting while running the application.
Can any one help me out.</t>
  </si>
  <si>
    <t>Gear61-Food-Diary-72</t>
  </si>
  <si>
    <t>Fix restaurant deletion + homepage feed crash</t>
  </si>
  <si>
    <t>1. Delete the restaurant for dish on screen for the homepage feed (use deep-linking to navigate to restaurant page)
2. Observe the crash after we re immediately taken back to the homepage feed
guess could use specific return code for this.</t>
  </si>
  <si>
    <t>danimahardhika-wallpaperboard-121</t>
  </si>
  <si>
    <t>Random crash when loading categories</t>
  </si>
  <si>
    <t>danimahardhika-wallpaperboard-120</t>
  </si>
  <si>
    <t>Random crash when downloading wallpaper</t>
  </si>
  <si>
    <t>bumptech-glide-2767</t>
  </si>
  <si>
    <t>java.lang.IllegalStateException: Already released</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</si>
  <si>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&lt;!-- What version of Glide you re running, for example: 3.7.1 3.8.0-SNAPSHOT 4.0.0-SNAPSHOT
It essentially the version number from your build.gradle: dependencies compile ...:x.y.z --&gt;
&lt;!-- Do you use any integration library, like OkHttp3 or Volley? For example:
Fails to display with stock networking, but works with okhttp3-1.4.0 --&gt;
&lt;!-- What devices you managed to get the issue to come up on? For example:
fails on Galaxy S4 GT-I9500 4.4.2, works fine on Nexus 6P 5.1 and Genymotion Nexus 5.0.1 --&gt;
**Device Android Version**:
Huawei P6-T00 4.4.2
&lt;!-- Share the details of your issue in prose, detailing actual and expected behavior. It also helps if you give some info **why** you are trying to do something as opposed to **what** is not working. --&gt;
**Issue details Repro steps Use case background**:
come across crash when quickly drag RecyclerView. want to load original picture when load failed the thumbnail. if delete it will be good running.
&lt;!-- How do you use Glide?
Make sure you include everything as is in your app code:
Changing single method parameter can yield totally different results.
Please clarify any magic variables that appear in the code, for example: this is Fragment
**Glide load line GlideModule (if any) list Adapter code (if any)**:</t>
  </si>
  <si>
    <t>2017-12-28</t>
  </si>
  <si>
    <t>microg-GmsCore-463</t>
  </si>
  <si>
    <t>UI crash on Zenfone phones (5.x)</t>
  </si>
  <si>
    <t>GmsCore crashes when selecting an item in the app main screen. Reported to happen in Asus Zenfone lollipop stock ROMs
logcat of the crash: https: pastebin.com cMWp6pY3</t>
  </si>
  <si>
    <t>2017-12-29</t>
  </si>
  <si>
    <t>niclabs-adkintunmobile-androidclient-189</t>
  </si>
  <si>
    <t>SpeedTestPreferenceFragment.java line 95</t>
  </si>
  <si>
    <t>2017-12-30</t>
  </si>
  <si>
    <t>victordiaz-PHONK-1</t>
  </si>
  <si>
    <t>different behavior when it should be the same</t>
  </si>
  <si>
    <t>working in an app to upload picture to server, and experimenting weird behavior. In the flowing code, when use filename1 inside data it crashes, but when use filename2 it works flawlessly, but both should be the same. Is it something did wrong or is bug? (btw, when it crashes, how can read the log or see whats going on?)
Thanks Victor for your work, awesome project!
var url http: 192.168.1.159:9000 addpic
ui.addButton( Upload picture 0.8, 0.6, 0.19,
var prefix pic
var extension .png
this two should be the same:
var filename1 prefix num extension
var filename2 pic1.png
if (filename1 filename2)
When use filename2 here, it works. With filename1 it crashes
var data name userfile content filename1, type file mediaType image png
data, function (e)</t>
  </si>
  <si>
    <t>commons-app-apps-android-commons-1036</t>
  </si>
  <si>
    <t>[Urgent] Crashes in v2.6.5</t>
  </si>
  <si>
    <t>We are getting lot of crashes in v2.6.5 production, with crash rate of 4.27%, more than in previous versions. This has unfortunately led to lot of uninstalls. :( The majority of the crashes seem to be related to Dagger. have pasted them below:
11 reports, users using Android 8.0 and 8.1:
Pixel XL (taimen) 27.3%
Nexus 6P (angler) 27.3%
Pixel (sailfish) 18.2%
Pixel XL (marlin) 9.1%
21 reports, users using Android 7.0 and 7.1:
Moto G(4) (athene) 33.3%
Moto (5) Plus (potter n) 26.7%
Moto (5S) (montana) 13.3%
Aquaris (chaozu) 13.3%
reports, users using Android 7.1, both using RedMi phones.
10 reports, users using Android 7.0 and 7.1:
Galaxy J7 Pro (j7y17lte) 25.0%
Galaxy S7 (heroqltespr) 25.0%
Galaxy S8 (dreamlte) 25.0%</t>
  </si>
  <si>
    <t>2017-12-31</t>
  </si>
  <si>
    <t>mtotschnig-MyExpenses-960</t>
  </si>
  <si>
    <t>When sub category is transformed into main category, it should be assigned a color</t>
  </si>
  <si>
    <t>Main categories that are created by the transformation of subcategory currently have null color.
This leads to crash in which expects each main category to have color set.</t>
  </si>
  <si>
    <t>2022-04-23</t>
  </si>
  <si>
    <t>PojavLauncherTeam-PojavLauncher-3115</t>
  </si>
  <si>
    <t>Fix PojavLauncher game after launching a version</t>
  </si>
  <si>
    <t>### Describe the bug
when open pojavlauncher after that launched version thenbit instantly crashed pls fix it dont want my survival world disappear
### The log file and images videos
Uploading 2022 04 22 10 06 29.mp4
### Steps To Reproduce
2.launch single version
3.boom instantly crashed
### Expected Behavior
pls fic it
Device model: Huawei y6p
CPU architecture: aarch32
Android version: Android 10
PojavLauncher version: holy edition
### Anything else?</t>
  </si>
  <si>
    <t>2022-04-22</t>
  </si>
  <si>
    <t>PojavLauncherTeam-PojavLauncher-3114</t>
  </si>
  <si>
    <t>[BUG] &lt;Short description&gt;</t>
  </si>
  <si>
    <t>### Describe the bug
Fabric 1.16.5 latest crashing
### The log file and images videos
### Steps To Reproduce
1. Start Pojavlauncher from github build
2. Install fabric
3. Enter the game and crash
### Expected Behavior
The game not launch
Device model: Vivo 1935
CPU architecture: aarch64
Android version: 10
PojavLauncher version: github build
### Anything else?</t>
  </si>
  <si>
    <t>2022-04-21</t>
  </si>
  <si>
    <t>mollyim-mollyim-android-103</t>
  </si>
  <si>
    <t>Molly crashes when selecting an image and then leaving the app</t>
  </si>
  <si>
    <t>### Is there an existing issue for this?
have searched the existing issues
### Bug description
After picking an image from the built in gallery if leave the app and come back, it locks.
### Steps to reproduce
(Database locking needs to be enabled)
1. Pick an image to send to someone, be on the screen where you can add message. Do not send it.
2. Leave the app and come back to it, it will be locked
### Molly version
### Android version
Android 11, LineageOS
### Link to debug log
Got the message Failed to submit logs</t>
  </si>
  <si>
    <t>leandrosimoes-react-native-android-notification-listener-42</t>
  </si>
  <si>
    <t>🐞 [BUG] A problem occurred evaluating &amp; configuring project ':react-native-android-notification-listener'.</t>
  </si>
  <si>
    <t>### Is there an existing issue for this?
have searched the existing issues
### Current Behavior
npx react-native run-android will crash when trying to compile build
What went wrong:
problem occurred evaluating project
What went wrong:
problem occurred configuring project
compileSdkVersion is not specified. Please add it to build.gradle
### Expected Behavior
To compile without crashing.
### Steps To Reproduce
1. npx react-native init &lt;project name&gt;
2. cd &lt;project name&gt;
3. npm install
4. npx react-native run-android
### Library version that you are testing
### Android Version
### Anything else?</t>
  </si>
  <si>
    <t>doublesymmetry-react-native-track-player-1484</t>
  </si>
  <si>
    <t>[Android] crash with no logs - Targeting S+ (version 31 and above) requires that one of FLAG_IMMUTABLE or FLAG_MUTABLE</t>
  </si>
  <si>
    <t>**Describe the Bug**
App crash (android only) when starting or reseting playtrack, do not have any logs affiliated to this crash and **i only found some indication with flipper debugger**
Before update my sdk version from 30 to 31 and was on lib version 2.1.2 didn get any crash
Strongly consider using FLAG IMMUTABLE, only use FLAG MUTABLE if some functionality depends on the PendingIntent being mutable, e.g. if it needs to be used with inline replies or bubbles.
FATAL EXCEPTION: main
Strongly consider using FLAG IMMUTABLE, only use FLAG MUTABLE if some functionality depends on the PendingIntent being mutable, e.g. if it needs to be used with inline replies or bubbles.
Strongly consider using FLAG IMMUTABLE, only use FLAG MUTABLE if some functionality depends on the PendingIntent being mutable, e.g. if it needs to be used with inline replies or bubbles.
**Steps To Reproduce**
Use target and compileSdkVersion 31 and set lib version to 2.1.3
after this call any function from TrackPlayerInstance
**Code To Reproduce**
Due to some complexe integration in my application (a mix between redux, sagas) not able to provide sample of code.
But this occur at any function call of TrackPlayerInstance
Android SDK: Not Found
Android Studio: 2021.1
Real device galaxy s10 android version 12
**How can Help**
Actually am looking for solution and it seems to be recognized error on some others libs with ancient outdated libraries but am actually not able to provide patch</t>
  </si>
  <si>
    <t>TeamNewPipe-NewPipe-8270</t>
  </si>
  <si>
    <t>You can't download anything for the first time you do som</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</si>
  <si>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the app
2) Click video
3) Press download
Your phone crashes and you ll have to do it again to download the same thing.
### Expected behavior
expected that ll be able to download video on the platform for the first try
### Actual behavior
My phone crashed temporarily and when came back to press Newpipe app icon, it shows the opening logo but for longer period of time and everything feels like it forgot was using it like seconds ago and got an error.
### Screenshots Screen recordings
User Action: play stream
Request: Player error type ERROR CODE DECODING FAILED occurred while playing https: www.youtube.com watch?v U6qnuOjSCiQ
Content Country: US
Content Language: en-US</t>
  </si>
  <si>
    <t>2022-04-20</t>
  </si>
  <si>
    <t>Zhuinden-simple-stack-256</t>
  </si>
  <si>
    <t>NPE Crashes when goBack is called on the Backstack</t>
  </si>
  <si>
    <t>We are noticing several Crashlytics reports of an NPE that occurs when goBack is called on the backstack. am not sure how to reproduce this though. Here is the crash log
Fatal Exception: Attempt to read from field on null object reference
SimpleStack version used: 2.6.2</t>
  </si>
  <si>
    <t>Anuken-Mindustry-6721</t>
  </si>
  <si>
    <t>Long startup, lag spikes, high cpu usage, etc</t>
  </si>
  <si>
    <t>Windows 10 64 (both 21H1 and 21H2)
doesnt matter, tested both 126.2, 135 and around months worth of BE versions. believe even tried v5 104.6 at some point
(100% reproduceability, both at every single game startup and during playing)
Simply starting the game takes 30s up to 1min, instead of like 5s (and the CPU usage goes to 100% during the entire duration). Logs dont show anything unusual.
Lag spikes and freezes every 5-10 seconds during gameplay (even on an empty map)
Overall high VRAM usage (750-800MB) and high CPU usage (80-90% on or threads). High ram usage (1.7-1.8GB instead of barely 500MB on another computer with the same save)
Almost clean Windows install, no weird process or service running in the background. Nothing unusual was able to detect from HWInfo, very low temperatures and normal clocks on everything.
Maybe its tied to some windows update somehow affecting the CPU scheduler? But like no other game has these kinds of issues, even intensive AAA titles or CPU intensive tasks. got no clue. Im lost
**Steps to reproduce**: *How you happened across the issue, and what exactly you did to make the bug happen.*
if only knew
One day woke up and the game went from running smooth to *that*. That was like 3-4 months ago but this PC is at my other house so its not that annoying or would have filled that report lot earlier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literally doesnt matter, tried on whole new save, as well as used one, on empty or filled maps, its the exact same thing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rather annoying but it doesnt even crash. could get some info from logs but... no.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</si>
  <si>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2022-04-18</t>
  </si>
  <si>
    <t>TeamNewPipe-NewPipe-8244</t>
  </si>
  <si>
    <t>Fix crash when open NewPipe from notification bar</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</si>
  <si>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This PR solve the problem mentioned in the issue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</si>
  <si>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2022-04-17</t>
  </si>
  <si>
    <t>PojavLauncherTeam-PojavLauncher-3097</t>
  </si>
  <si>
    <t xml:space="preserve">Distant horizons mod crashed </t>
  </si>
  <si>
    <t>### Describe the bug
Application exited with code
### The log file and images videos
### Steps To Reproduce
1. Install distant horizons in fabric 1.16.5
3. Join world
### Expected Behavior
expect to run game with distant horizons mod
Device model: samsung galaxy m31
CPU architecture: aarch 64
Android version: 12
PojavLauncher version: openjdk
### Anything else?</t>
  </si>
  <si>
    <t>PojavLauncherTeam-PojavLauncher-3096</t>
  </si>
  <si>
    <t xml:space="preserve">[BUG] Forge 1.12.2 crash with: "Game exited" </t>
  </si>
  <si>
    <t>### Describe the bug
when try to open Forge 1.12.2 version, it crash immediacy with code
### The log file and images videos
### Steps To Reproduce
2.Chose Forge 1.12.2 version
4.Crash with messages: Game exited
### Expected Behavior
expected the game to launches
Device model: Samsung A30
CPU architecture: Arm64 (aarch64)
Android version: 10
PojavLauncher version: Latest build from github action
### Anything else?</t>
  </si>
  <si>
    <t>patzly-grocy-android-518</t>
  </si>
  <si>
    <t>App crashes when adding unknown product with barcode in purchase mode</t>
  </si>
  <si>
    <t>When starting after the crash:
unknown product is added to Master data
does not have barcode assigned
all other information are saved
is not purchased (only added to Master data
## Other attempts
when adding an unknown product manually (without barcode) in purchase mode, there is no crash.
when adding known product with barcode there is no crash
--------- beginning of main
--------- beginning of crash
--------- beginning of system</t>
  </si>
  <si>
    <t>2022-04-15</t>
  </si>
  <si>
    <t>Woosmap-geofencing-android-sdk-78</t>
  </si>
  <si>
    <t>[PROD] McDonald's application crashed with an error message linked to the Geofencing SDK</t>
  </si>
  <si>
    <t>Geofence -&gt; Search POI
As McDonald developer, when test the McDonald applicaton, then the app crashs with an error message linked to the Geofencing SDK
As McDonald developer, when test the McDonald applicaton, then the app doesn crash.</t>
  </si>
  <si>
    <t>bttv-android-bttv-447</t>
  </si>
  <si>
    <t>Changing Anon Mode using stream settings causes crash</t>
  </si>
  <si>
    <t>## Bug Report
Looks like BTTVdisconnect() wrapper function that used to call disconnect() calls method that no longer exists.</t>
  </si>
  <si>
    <t>PojavLauncherTeam-PojavLauncher-3093</t>
  </si>
  <si>
    <t xml:space="preserve">fix vrigl renderer crash latest github pojav </t>
  </si>
  <si>
    <t>### Describe the bug
crashing when using virgl renderer
### The log file and images videos
---- Minecraft Crash Report ----
Don be sad, have hug! &lt;3
detailed walkthrough of the error, its code path and all known details is as follows:
-- Head --
-- Initialization --
-- System Details --
Minecraft Version: 1.18.2
Minecraft Version ID: 1.18.2
Operating System: Linux (arm) version Android-10
Processor Vendor: 0x41
Processor Name: ARMv8 Processor rev (v8l)
Frequency (GHz): -0.00
Number of physical packages:
Number of physical CPUs:
Number of logical CPUs:
Graphics card #0 name: unknown
Graphics card #0 vendor: unknown</t>
  </si>
  <si>
    <t>itsaky-AndroidIDE-161</t>
  </si>
  <si>
    <t>[BUG] Editor crash while deleting text</t>
  </si>
  <si>
    <t>AndroidIDE crash report</t>
  </si>
  <si>
    <t>doublesymmetry-react-native-track-player-1475</t>
  </si>
  <si>
    <t>FATAL EXCEPTION: mqt_native_modules using v2.2.0-rc3 in release build</t>
  </si>
  <si>
    <t>**Describe the Bug**
Just trying out v2.2.0-rc3 and was able to test in debug mode somewhat fine, but in release mode seeing this crash 100% of the time on app launch, kills the app completely:
FATAL EXCEPTION: mqt native modules
FATAL EXCEPTION: mqt native modules
**Steps To Reproduce**
Not sure where to start but you can build subtracks and see the problem on my branch here if you want: https: github.com austinried subtracks tree
**Code To Reproduce**
Paste the results of npx react-native info
Android NDK: 22.1.7171670
Android Studio: Not Found
Paste the exact version you are using
Real device? Or simulator?
Two simulated devices (one running Android 12, the other Android 9) one real device (Pixel Android 12)
What OS are you running?
**How can Help**
What can you do to help resolve this?
can test suggested changes
Have you investigated the underlying JS or Swift Android code causing this bug?
No, can try but have very little Java experience and none in Kotlin
Can you create Pull Request with fix?</t>
  </si>
  <si>
    <t>mercadopago-px-android-2710</t>
  </si>
  <si>
    <t>[PXN-3673] added default message to avoid crash in dialog message</t>
  </si>
  <si>
    <t>&lt;!--- Escribir un resumen de los cambios en el tulo de arriba --&gt;
## Motivaci Contexto
These changes are to avoid crash that occurs when the user clicks on payment method that is not available and when the dialog is displayed, the message returns null.
Maybe the backend response has been modified and the message fields are not returning what is causing the crash?
Example mock up with the problem: https: run.mocky.io v3
made changes in the class to avoid crash and display default message in some cases. For example: You can not use this payment method.
## mo probarlo
You can try using this mock: https: run.mocky.io v3 and select disabled payment method and click it to show detail dialog.
&lt;a href https: ibb.co nmBZFst &gt;&lt;img src https: i.ibb.co nmBZFst pxn3673-crash.gif alt pxn3673-crash border &gt;&lt; a&gt;
&lt;a href https: ibb.co dMC9qJX &gt;&lt;img src https: i.ibb.co dMC9qJX pxn3673-fix.gif alt pxn3673-fix border &gt;&lt; a&gt;
## Tipo de cambio (para el release manager)
Breaking change (Fix feature que cambia una funcionalidad existente rompe firmas)
&lt;!-- Describir qu cambia como se hace la migraci --&gt;
Mi cambio afecta los integradores internos
&lt;!-- Describir qu equipos afecta para poder comunicarlo --&gt;
## Compartir conocimiento
&lt;!--- Compartir links blog posts, patrones librer as que se usaron para resolver este problema --&gt;</t>
  </si>
  <si>
    <t>2022-04-14</t>
  </si>
  <si>
    <t>itsaky-AndroidIDE-160</t>
  </si>
  <si>
    <t>[BUG] Toast in a background thread</t>
  </si>
  <si>
    <t>**Describe the bug**
&lt;!-- Write clear and concise description of what the bug is. --&gt;
Steps to reproduce the behavior:
&lt;!-- Write steps to reproduce this bug --&gt;
&lt;!-- Write clear and concise description of what you expected to happen. --&gt;
&lt;!-- If applicable, add screenshots to help explain your problem. --&gt;
**Details (please complete the following information):**
AndroidIDE crash report
&lt;!-- Add any other context about the problem here. --&gt;</t>
  </si>
  <si>
    <t>doublesymmetry-react-native-track-player-1474</t>
  </si>
  <si>
    <t>Android app crashing when starting playing a mp3 after upgrading from RN 0.60.5 to 0.67.4</t>
  </si>
  <si>
    <t>**Describe the Bug**
We use this plugin since while with RN 0.60.5 and 2.0.0-rc13, after upgrading to RN 0.67.4 we started having issues like exoplayer2 missing etc... so we added it as well.
But now right when we start to play MP3 the app crash.
React code we use to play the MP3:
async play(sound: string): Promise&lt;void&gt;
const track: Track
console.log( added track track)
API Levels: 29, 30, 31
Build Tools: 29.0.2, 29.0.3, 30.0.2, 30.0.3, 31.0.0, 32.0.0
System Images: android-25 Google APIs ARM 64 v8a, android-26 ARM 64 v8a, android-30 Google APIs ARM 64 v8a, android-30 Google APIs Intel x86 Atom, android-30 Google Play Intel x86 Atom, android-S Google APIs ARM 64 v8a, android-S Google Play ARM 64 v8a
Android NDK: 22.1.7171670
Android Studio: 2021.1
Any one else managed to make the plugin works with 0.67.4?
Any help would be appreciated</t>
  </si>
  <si>
    <t>PojavLauncherTeam-PojavLauncher-3084</t>
  </si>
  <si>
    <t xml:space="preserve">22w14a crashing pojavlauncher </t>
  </si>
  <si>
    <t>### Describe the bug
guys help cant launch 1.19 22w14a help
### The log file and images videos
---- Minecraft Crash Report ----
just don know what went wrong :(
Caused by: zh: Invalid shaders core rendertype entity translucent emissive.json: Couldn compile vertex program (Default, rendertype entity translucent emissive) Compile failed.
compilation errors. No code generated.
... 118 more
Caused by: Couldn compile vertex program (Default, rendertype entity translucent emissive) Compile failed.
compilation errors. No code generated.
... 119 more
detailed walkthrough of the error, its code path and all known details is as follows:
-- Head --
-- Overlay render details --
Overlay name: ehe
-- Last reload --
Reload reason: initial
Recovery reason: could not reload shaders
Caused by: could not reload shaders
... 115 more</t>
  </si>
  <si>
    <t>2022-04-13</t>
  </si>
  <si>
    <t>jellyfin-jellyfin-androidtv-1621</t>
  </si>
  <si>
    <t>removing the client from the list of 'devices' authenticated with the server causes the app to always crash on launch</t>
  </si>
  <si>
    <t>### Describe the bug
**Steps to reproduce**
2) install the latest build off master (commit:
1) sign into jellyfin server and keep the app open
2) in the web client find the android tv client in the dashboard under devices and delete it
3) back out of the android tv app and then click on it again
4) the app will crash
**Context for the logs**
1) the app is force stopped
2) start logging
3) open the app and let it crash back to the launcher
4) stop logging
### Application version
dev build off master
### Where did you install the app from?
### Device information
Chromecast Google TV
### Android version
### Jellyfin server version</t>
  </si>
  <si>
    <t>PojavLauncherTeam-PojavLauncher-3082</t>
  </si>
  <si>
    <t>Sodium crashed</t>
  </si>
  <si>
    <t>### Describe the bug
Crashed after connecting to world
### The log file and images videos
### Steps To Reproduce
2.load fabric with Sodium 1.16.5 and fabric api
### Expected Behavior
want to play with Sodium this will make game less laggy
Device model: samsung galaxy m31
CPU architecture: aarch 64
Android version: 11
PojavLauncher version: play store version
### Anything else?</t>
  </si>
  <si>
    <t>PojavLauncherTeam-PojavLauncher-3079</t>
  </si>
  <si>
    <t>[BUG] 1.12.2 forge crash when opening single player world!</t>
  </si>
  <si>
    <t>### Describe the bug
This happened so many times that cant play forge
### The log file and images videos
### Steps To Reproduce
Start pojav launcher
Play forge 1.12.2
Kicks me out to home screen
### Expected Behavior
The game said *shuttingdown internal server*
Device model: oppo a12 32
CPU architecture: aarch64
PojavLauncher version: cocrus latestbuild
### Anything else?</t>
  </si>
  <si>
    <t>2022-04-12</t>
  </si>
  <si>
    <t>lisawray-groupie-426</t>
  </si>
  <si>
    <t>androidx.constraintlayout.widget.ConstraintLayout cannot be cast to android.widget.FrameLayout</t>
  </si>
  <si>
    <t>release 2.8.0 and 2.9.0
&lt;img width 1024 alt image src https: 28982210
&lt;img width 606 alt image src https: 28982210
&lt;img width 520 alt image src https: 28982210
don know how this library works at all, but see such crash, colleagues confirmed that they also had such crashes in other places of the application. The bottom line is that in the root xml we try to include partial card title it lies in the Constraint Layout but the FrameLayout itself. Why does the bind function try to cast these two types?</t>
  </si>
  <si>
    <t>getsentry-sentry-java-1985</t>
  </si>
  <si>
    <t>Sentry 5.7.2 with timber integration crashes the app when formats a message with args</t>
  </si>
  <si>
    <t>### Build System
### AGP Version
### Steps to Reproduce
1. Add the log:
Timber.d( test %s, %s 1, 1)
2. The app crashes.
Version 5.7.1 works fine. It seems like the #1974 PR causes this. The args is passed incorrectly missing asterisk.
### Expected Result
### Actual Result
Caused by: Format specifier %s</t>
  </si>
  <si>
    <t>k9mail-k-9-6009</t>
  </si>
  <si>
    <t>App crashes when creating a notification</t>
  </si>
  <si>
    <t>have used the search function to see if someone else has already submitted the same bug report.
will describe the problem with as much detail as possible.
### App version
### Where did you get the app from?
### Android version
Android 11 12
### Device model
POCO F2 Pro, ZTE Z839V
### Steps to reproduce
Unknown. Probably configure custom ringtone the app doesn have permission to access.
### Expected behavior
### Actual behavior
Stack trace retrieved via Google Play Developer console:</t>
  </si>
  <si>
    <t>2022-04-11</t>
  </si>
  <si>
    <t>PojavLauncherTeam-PojavLauncher-3073</t>
  </si>
  <si>
    <t>[BUG] Minecraft crashes when the phone is unlocked (REPOST)</t>
  </si>
  <si>
    <t>### Describe the bug
hi, have such problem: go into the game, play and don touch anyone. So they tell me to move away for while (I lock my phone and leave, and when come back and unlock the phone, the game crashes) The most amazing thing is that have top-class android phone and such problem on every version! And this happens after first update gl4es holy edition and subsequent versions after it
PLZ FIX THIS(
### The log file and images videos
### Steps To Reproduce
1. Start Pojav launcher
2. Launch any version Minecraft
3. Lock phone
4. Unlock phone
5. Minecraft Crashed
### Expected Behavior
expect that the game will not crash when unlock the device
Device model: Redmi 10 138G
CPU architecture: aarch64
Android version: 12
PojavLauncher version: latest version from github actions
### Anything else?</t>
  </si>
  <si>
    <t>PojavLauncherTeam-PojavLauncher-3059</t>
  </si>
  <si>
    <t>[BUG] latest build always crashing!</t>
  </si>
  <si>
    <t>### Describe the bug
Just force close when press play.
### The log file and images videos
### Steps To Reproduce
Start pojav launcher
Slecet any version
Auto home screen:
### Expected Behavior
see something saying in the ingame LOG like (dynamic array not found)
Device model: oppo a12 32
CPU architecture: aarch64
PojavLauncher version: latest build
### Anything else?</t>
  </si>
  <si>
    <t>2022-04-09</t>
  </si>
  <si>
    <t>PojavLauncherTeam-PojavLauncher-3052</t>
  </si>
  <si>
    <t>### Describe the bug
Pojavlauncher force closes itself when try to use screen recorder switch apps or even go to custom controls option and start mapping keys
it gives the error: game application exited with code:1
it works with version 3.3.1
### The log file and images videos
-No log files produced
-Can add video because it crashes when try to record
### Steps To Reproduce
3.Use floating window of screen recorder switch to another app.
-game application exited with code:1 java edition for android) has stopped.
### Expected Behavior
expect the game to run and while recording or editing controls
Device model:Samsung A02
CPU architecture: aarch32
Android version: 8.1
Also tested on newer versions of pojavlauncher and on aarch64 cpu architecture, android 11 8gb RAM.
### Anything else?
It only started crashing in the latest betas
Sometimes closes running apps e.g discord</t>
  </si>
  <si>
    <t>PojavLauncherTeam-PojavLauncher-3051</t>
  </si>
  <si>
    <t>Pojav Launcher 1.18 to 1.18.2 crash</t>
  </si>
  <si>
    <t>### Describe the bug
when open 1.18.2 or 1.18.1 it crash or sometimes it sayed game exited tried all renderers and still not working
the crashlog is here
---- Minecraft Crash Report ----
compilation errors. No code generated.
compilation errors. No code generated.
detailed walkthrough of the error, its code path and all known details is as follows:
-- Head --
-- Initialization --
-- System Details --
Minecraft Version: 1.18.2
Minecraft Version ID: 1.18.2
Operating System: Linux (arm) version Android-10
Processor Vendor: 0x41
Processor Name: ARMv8 Processor rev (v8l)
Frequency (GHz): -0.00
Number of physical packages:
Number of physical CPUs:
Number of logical CPUs:
Graphics card #0 name: unknown</t>
  </si>
  <si>
    <t>okta-okta-oidc-android-310</t>
  </si>
  <si>
    <t>Fatal Exception: android.security.keystore.KeyStoreConnectException thrown by Huawei Android 10 devices</t>
  </si>
  <si>
    <t>### Describe the bug?
We are experiencing crashes from calling on some Huawei phones (Mate 20 Pro, P30 Pro), all of them Android 10:
&lt;client app code&gt;
### What is expected to happen?
No exception is thrown by
### What is the actual behavior?
### Reproduction Steps?
We don have the affected Huawei devices to try and reproduce it.
### Additional Information?
### SDK Version
### Build Information</t>
  </si>
  <si>
    <t>2022-04-08</t>
  </si>
  <si>
    <t>falzonv-discreet-launcher-205</t>
  </si>
  <si>
    <t>App crashes when typing for search</t>
  </si>
  <si>
    <t>install the latest version of the app (v6.2.1) and it seems the search feature crashes when typing more than characters.</t>
  </si>
  <si>
    <t>nextcloud-talk-android-1908</t>
  </si>
  <si>
    <t>Crash when opening personal info</t>
  </si>
  <si>
    <t>## Steps to reproduce
1. Start Talk app
2. Open Settings
3. Tap avatar at the top of the Settings screen
### Expected behaviour
Personal Info screen opened
### Actual behaviour
Application crashes with the following error in the log.
--------- beginning of crash
## Device information
**Android version:** 11
**Talk version:** master
## Server information
**Nextcloud version:** 23.0.3
**Talk version:** 13.0.5
**Custom Signaling server configured:** no
**Custom TURN server configured:** no
**Custom STUN server configured:** no</t>
  </si>
  <si>
    <t>ASE-Projekte-WS-2021-ase-ws-21-konferenzassistent-213</t>
  </si>
  <si>
    <t>Checklist Preset crashed beim erstellen</t>
  </si>
  <si>
    <t>Checklist Preset chrashed beim erstellen und abspeichern eines presets.</t>
  </si>
  <si>
    <t>Aliucord-Aliucord-236</t>
  </si>
  <si>
    <t>I can't join the Aliucord Discord server</t>
  </si>
  <si>
    <t>### Discord Account
### What happens when the bug or crash occurs?
Nothing. type the invite and press join and nothing happens do not join the server.
### What is the expected behaviour?
expect to be in the server.
### How do you recreate this bug or crash?
Try to join
Replace this text with your crash-log.
### Request Agreement
did indeed check to make sure the bug or crash report is applicable!</t>
  </si>
  <si>
    <t>2022-04-06</t>
  </si>
  <si>
    <t>Anuken-Mindustry-6700</t>
  </si>
  <si>
    <t>Missing item textures</t>
  </si>
  <si>
    <t>**Steps to reproduce**: load the mod, opn he editor, and look at the conveyors and ores
**Link(s) to mod(s) used**: https: github.com NeonSupernova Masterdustry tree master
**Save file**:NA Any game will work
**(Crash) logs**:No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</si>
  <si>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HBiSoft-HBRecorder-112</t>
  </si>
  <si>
    <t>Crash from Crashlytics</t>
  </si>
  <si>
    <t>**Describe the bug**
The crash is from crashlytics. have about 20 crash events
**Can it be reproduced in demo app**
Samsung Galaxy A20 (90%), Motorola (5%), Oppo (5%)
SDK version 30</t>
  </si>
  <si>
    <t>NordicSemiconductor-Android-nRF-Mesh-Library-495</t>
  </si>
  <si>
    <t>App crashes when I try to add Provisioner</t>
  </si>
  <si>
    <t>using version 3.1.8 of nRF Mesh for Android.
imported network json (https: drive.google.com file view?usp sharing) and am trying to add new Provisioner. PROVISIONER.</t>
  </si>
  <si>
    <t>Azure-azure-iot-sdk-java-1518</t>
  </si>
  <si>
    <t>Android App getting crashed in the Android 12  Caused by: java.lang.NoSuchMethodError: No static method encodeBase64String</t>
  </si>
  <si>
    <t>The application is working fine in the lower than Android 12 OS mobile phone but for the Android 12 os Mobile phone getting crashed, while the app checking for the device connection status with the IoT Hub, the exception printStackTrace is as below,
**OS and version used: Android 12, Api level 31
**Java runtime used: 1.8</t>
  </si>
  <si>
    <t>hzi-braunschweig-SORMAS-Project-8712</t>
  </si>
  <si>
    <t xml:space="preserve">Dashboard page is crashing with a pop-up error for https://ga1.sormas-oegd.de/ </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</si>
  <si>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pop-up error appears when accessing Dashboard page with any role(ex: Admin, NatUser) at this test env: https: ga1.sormas-oegd.de
### System Details
&lt;!-- Mandatory you only have to specify the Server URL if the error appeared on publicly available test server --&gt;
SORMAS version: 1.71.0-SNAPSHOT (9766659
Android version Browser:
### Additional Information
&lt;!-- Optional --&gt;</t>
  </si>
  <si>
    <t>mercadopago-px-android-2696</t>
  </si>
  <si>
    <t>[Fix]: PXN-3576 - Handler error when customOptionId is invalid</t>
  </si>
  <si>
    <t>&lt;!--- Escribir un resumen de los cambios en el tulo de arriba --&gt;
## Motivaci Contexto
&lt;!--- Por qu este cambio es requerido? Qu problema resuelve? --&gt;
Add runCatching to handle errors when calling createPaymentResult on PaymentRepository
This new PR solves possible crashes in the flow and eliminates the preference when clean up the session, thus preventing customOptionId from arriving with different value.
&lt;!--- Describir los cambios en detalle --&gt;
For semovi flow the integrator was opening our congrats and in some cases the customOptionId has an invalid value, because the sharedPreference is returning null and by default the customOptionId is empty
## mo probarlo
&lt;!--- Para bug fixes: Describir mo reproducir el comportamiento que generaba el bug --&gt;
&lt;!--- Para nuevos features: Se debe agregar el caso de uso la app de ejemplos, aqu se debe describir qu funci de la app de ejemplos probar --&gt;
using the testApp launch postPaymentFlow, then tap any button in order to show the congrats screen, then stop the flow using the debugger on line number 12 and update the customOptionId value to other value (for example test ), then let the flow continue.
&lt;!--- Para bug fixes: Incluir screenshots videos del antes despu --&gt;
&lt;!--- Para nuevos features: Incluir screenshots videos de la nueva UI --&gt;
## Tipo de cambio (para el release manager)
Breaking change (Fix feature que cambia una funcionalidad existente rompe firmas)
&lt;!-- Describir qu cambia como se hace la migraci --&gt;
Mi cambio afecta los integradores internos
&lt;!-- Describir qu equipos afecta para poder comunicarlo --&gt;
## Compartir conocimiento
&lt;!--- Compartir links blog posts, patrones librer as que se usaron para resolver este problema --&gt;</t>
  </si>
  <si>
    <t>2022-04-04</t>
  </si>
  <si>
    <t>ASE-Projekte-WS-2021-ase-ws-21-course-matcher-284</t>
  </si>
  <si>
    <t>Bug: Fix limiting of bio length</t>
  </si>
  <si>
    <t>When the bio gets to lines the app crashes. What should happen instead is that the new line characters should be counted as well as the string length and these cases should be handled differently through limiting the new line chars to</t>
  </si>
  <si>
    <t>k9mail-k-9-5999</t>
  </si>
  <si>
    <t>K-9 fails to import settings and then crashes</t>
  </si>
  <si>
    <t>have used the search function to see if someone else has already submitted the same bug report.
will describe the problem with as much detail as possible.
### App version
### Where did you get the app from?
Built from source
### Android version
API level 29
### Device model
### Steps to reproduce
Export settings and immediately re-import. You get toast import failed
Clearing the app data and trying to import the settings file also fails.
There is nothing particularly interesting about the settings, it standard IMAP SMTP setup. The emulator is bit slow due to RAM constraints so wondering if there is race when writing the newly created accounts to storage.
### Expected behavior
K-9 should import the settings
### Actual behavior
K-9 fails to import the settings with an error message. If you keep trying to import, K-9 completely crashes.
Caused by: Parameter specified as non-null is null: method parameter account</t>
  </si>
  <si>
    <t>ASE-Projekte-WS-2021-ase-ws-21-course-matcher-283</t>
  </si>
  <si>
    <t>Bug: login with temporary account</t>
  </si>
  <si>
    <t>If the app crashes at registration screen and you open it again, you will be logged in with temporary account.
Avoid login with temporary account data
Avoid navigation when login fails</t>
  </si>
  <si>
    <t>ankidroid-Anki-Android-10698</t>
  </si>
  <si>
    <t>SelectableDeck: Don't Keep Activities Crash</t>
  </si>
  <si>
    <t>Don keep activities OFF
It works fine
Don keep activities ON (2.16alpha54, without any of the PR changes)
It crashes **even in fresh install of 2.16alpha54**, without any of the PR changes. With the PR changes, it the same error
Originally posted by BrayanDSO in https: github.com ankidroid Anki-Android issues</t>
  </si>
  <si>
    <t>2022-04-03</t>
  </si>
  <si>
    <t>OpenTracksApp-OpenTracks-1167</t>
  </si>
  <si>
    <t>Bugfix: race condition when using multiple sensors</t>
  </si>
  <si>
    <t>See https: github.com OpenTracksApp OpenTracks issues
actually trying it out
remove TODO commit before merging (catches exception and logs) revert back to crash if time moves backward</t>
  </si>
  <si>
    <t>jellyfin-jellyfin-androidtv-1598</t>
  </si>
  <si>
    <t>App crashes on open, latest CI, App Build #1547</t>
  </si>
  <si>
    <t>### Describe the bug
1. Install latest debug CI build, App Build #1547.
2. Open app
3. App crashes
### Application version
App Build #1547
### Where did you install the app from?
### Device information
Firestick v1 AFTM
### Android version
### Jellyfin server version</t>
  </si>
  <si>
    <t>Anuken-Mindustry-6692</t>
  </si>
  <si>
    <t>Sector export to lost sector still displayed</t>
  </si>
  <si>
    <t>The resource export of one of my sectors is still shown to be exporting to sector 129, despite the fact that ve lost sector 129.
In the sector, the launchpads correctly display that it being launched to the sun.
**Steps to reproduce**:
Start launching resources to sector.
Lose the sector.
Check the stats of the sector that exporting resources, where it says where it exporting to.
Then check the launchpads inside the sector.
The launchpads will say the sun while the sector stats will say the name of the sector you lost.
**Link(s) to mod(s) used**: None applicable
**Save file**: This is not related to single sector, but rather to my whole campaign.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</si>
  <si>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2022-04-02</t>
  </si>
  <si>
    <t>Anuken-Mindustry-6691</t>
  </si>
  <si>
    <t xml:space="preserve">UNKILLABLE BOSS OH GOD </t>
  </si>
  <si>
    <t>**Steps to reproduce**: *How you happened across the issue, and what exactly you did to make the bug happen.* dont even know how, it just appeared with no health at my final wave there, just arrived late after finishing the Forgotten shores sector fight and saw the industry sector was being invaded, it was already wave 59 out of 60 so never worried until the boss came and wrecked my stuff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Uhhhhhhhh I, yes sir
**(Crash) logs**: *Either crash reports from the crash folder, or the file you get when you go into Settings -&gt; Game Data -&gt; Export Crash logs. REQUIRED if you are reporting crash.* no crashes, just bug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</si>
  <si>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Anuken-Mindustry-6687</t>
  </si>
  <si>
    <t>Game crashes under certain circumstance</t>
  </si>
  <si>
    <t>**Steps to reproduce**:
*1 Start custom game with the built-in map Glacier, choose the gamemode Sandbox. Keep other settings as defaults.*
*2 Train unit and use it to destroy the hostile (red) core. The game continues.*
*3 Place thorium reactor near your (yellow) core. Fill it with thorium. It explodes and destroy your core.*
*4 The crash should happen at this moment.*
**Link(s) to mod(s) used**: *None.*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</si>
  <si>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2022-04-01</t>
  </si>
  <si>
    <t>ASE-Projekte-WS-2021-ase-ws-21-konferenzassistent-189</t>
  </si>
  <si>
    <t>Bug beim Löschen von Checklisten</t>
  </si>
  <si>
    <t>Wenn man eine Checkliste anlegt und scht, dann auf Speichern geht, und dann direkt wieder auf Eigene Checklisten Verwalten geht ohne auf ein anderes Fragment zu wechseln wird die gel schte Checklist noch angezeigt(obwohl sie nichtmehr existiert), und wenn man verrsucht sie zu schen crashed die app</t>
  </si>
  <si>
    <t>dedis-popstellar-912</t>
  </si>
  <si>
    <t>App crashes when some errors are received</t>
  </si>
  <si>
    <t>### Description (Actual behavior)
For some errors on Android the app crashes instead of treating it. It is probably when the app tries to handle GenericErrors.
### Expected behavior
The app is expected to handle normal errors and be al
### How to reproduce
1. Launch the android app
2. Initialize the wallet
3. Launch the Go server with publick key different than the one from the app but of valid format nevertheless
4. Launch an LAO from the app
### Version Environment
This bug was reproduced on:
Commit: master 688f814 (https: github.com dedis popstellar commit
Fe1-Web (please include browser names version)
Fe2-Android (please specify if phone or emulation, and Android version)
##### Environment (as applicable):
Device: e.g. Pixel emulator on Windows 10
OS: Windows 10
Use functionnalities in way that do not cause GenericError on the Android app
It is quite nasty, the app would probably crash on wide variety of occasion.
### Possible root cause</t>
  </si>
  <si>
    <t>2022-03-31</t>
  </si>
  <si>
    <t>nextcloud-talk-android-1893</t>
  </si>
  <si>
    <t>Clicking on "open conversation" crashes</t>
  </si>
  <si>
    <t>## Steps to reproduce
1. search for conversation that is open
2. click on open conversation
3. (sidenote: in german it is currently called Unterhaltung ffnen but it should be Offene Unterhaltungen
### Expected behaviour
### Actual behaviour
## Device information
**Android version:** 10
**Talk version:** 11.0.0
## Server information
**Nextcloud version:** (see admin overview page: index.php settings admin overview
**Talk version:** (see apps admin page: index.php settings apps
**Custom Signaling server configured:** yes no and version (see talk admin settings: index.php index.php settings admin talk#signaling server
**Custom TURN server configured:** yes no (see talk admin settings: index.php settings admin talk#turn server
**Custom STUN server configured:** yes no (see talk admin settings: index.php settings admin talk#stun server
### Server log (data nextcloud.log)
Insert your server log here</t>
  </si>
  <si>
    <t>MuntashirAkon-AppManager-718</t>
  </si>
  <si>
    <t>Select a higher DPI if no supported DPI is available during split APK installation</t>
  </si>
  <si>
    <t>Your issue will be closed without warning if you don check at least two items.
know what my device, OS and App Manager versions are
know how to take logs
know how to reproduce the issue which may not be specific to my device
**Describe the bug**
Title describes everything.AM installer doesn checks xxhdpi split.
without this split,installed app will be crash.</t>
  </si>
  <si>
    <t>PojavLauncherTeam-PojavLauncher-3001</t>
  </si>
  <si>
    <t>Unable to load with any app cloner or vm (exit code 1)</t>
  </si>
  <si>
    <t>### Describe the bug
Upon trying to load the launcher in any kind of virtual environment it crashes am using the correct render and jre yet it always crashes regardless of version.
am trying to run an alt afk on second instance but PojavLauncher is yet to have any sort of compatibility there.
Wondering if simple fix can be found have already tried many different builds from actions tab to no avail.
### The log file and images videos
### Steps To Reproduce
Download any type of android vm or dualspace app
Import game and run and let extract libraries or whatever
Try run any version
Crash with exit code and crash report
### Expected Behavior
Launch or some kinda multi instance compatability
Device model: oppo Reno 4z 5g
CPU architecture: 64arm
Android version: latest
PojavLauncher version: any build releas or play store
### Anything else?</t>
  </si>
  <si>
    <t>2022-03-30</t>
  </si>
  <si>
    <t>smartdevicelink-sdl_java_suite-1800</t>
  </si>
  <si>
    <t>Incorrect behavior and potential crashes in PresentAlertOperation.supportsSoftButtonImages()</t>
  </si>
  <si>
    <t>### Bug Summary
has the potential to crash under the following circumstances:
is null, causes
is null, causes
has length of zero, causes
is null, causes
Additionally, under these circumstances, instead of crashing, should return true because SoftButtonImage are supposed to be supported by default when the capability is missing.
### Reproduction Steps
A, this issue does not come from direct crash report, but was discovered during alignment checking related to sdl javascript suite issue #526 (https: github.com smartdevicelink sdl javascript suite issues 526)
### Which projects have you seen this bug on?
### Android Version(s)
### Android Device(s)
### sdl java suite Version
### Testing Environment(s)
A, not discovered during testing
### Relevant log output</t>
  </si>
  <si>
    <t>nextcloud-android-10028</t>
  </si>
  <si>
    <t>Document scan crashes on 3.20.0 RC1</t>
  </si>
  <si>
    <t>From #4435 by EVOTk
&lt;summary&gt; Screenshot summary&gt;
Screenshot 20220329 165153 com nextcloud client (https: 45015615
### Cause of error
Exception in thread main th, this.height, m, true) must not be null
### App information
Build flavor: generic
### Device information</t>
  </si>
  <si>
    <t>khpylon-MachEWidget-11</t>
  </si>
  <si>
    <t xml:space="preserve">Widget display N/A &amp; app crashing </t>
  </si>
  <si>
    <t>Summary of actions:
1. Download latest APK
2. Install successful
3. Open app. Turn on logging, turn off location app launcher options.
4. Enter VIN, password click log in
5. Success popup displayed
6. Download log (mache logfile (3).txt)
7. Add widget to home screen (tried Lawnchair launcher and also Samsung Launcher).
8. WIDGET DISPLAY FOR ALL VALUES (screenshot attached)
9. Opening config app, crashes immediately no error
10. Remove widget from home screen
11. Open app successful, download log (mache logfile (4).txt)</t>
  </si>
  <si>
    <t>k9mail-k-9-5991</t>
  </si>
  <si>
    <t>crash when cutting an invalid recipient</t>
  </si>
  <si>
    <t>have used the search function to see if someone else has already submitted the same bug report.
will describe the problem with as much detail as possible.
### App version
### Where did you get the app from?
### Android version
LineageOS 18.1 (Android 11)
### Device model
Motorola Moto G5 (cedric)
### Steps to reproduce
1. Start composing new mail
2. Enter an invalid mail recipient (e.g.: my subject)
3. Tap into subject or message text
4. K-9 Mail marks recipient as invalid
5. Select invalid recipient and Cut
&gt;Crash and restart of app
Message text composed before gets lost.
&lt;summary&gt;Screenshot showing K-9 Mail right before using &lt;b&gt;Cut&lt; b&gt;&lt; summary&gt;
&lt;img src https: 31078918 height 600
### Expected behavior
Invalid recipient can be cut out similar to valid one.</t>
  </si>
  <si>
    <t>ASE-Projekte-WS-2021-ase-ws-21-unser-horsaal-239</t>
  </si>
  <si>
    <t>(AUTH) App crashs when input empty</t>
  </si>
  <si>
    <t>App crasht in LoginFragment, wenn Email leer ist und der Button gedr ckt wird -&gt; trim() wird aufgerufen bevor input berpr ft wurde
App crasht in wenn Email leer ist und der Button gedr ckt wird -&gt; trim() wird aufgerufen bevor input berpr ft wurde</t>
  </si>
  <si>
    <t>2022-03-29</t>
  </si>
  <si>
    <t>Fox2Code-FoxMagiskModuleManager-108</t>
  </si>
  <si>
    <t>[CRITICAL BUG] Crash after press download icon</t>
  </si>
  <si>
    <t>**Describe the bug**
Crash after press download icon at any module.
Steps to reproduce the behavior:
1. Go to Fox Magisk Module Manager 0.4.0
2. Scroll down to any module.
3. Click on download picture.
4. See error
Download module button works.
Just crash while load download page and ads.
**Device info(please complete the following information):**
Device: NOKIA 3.1
OS: Android 8.1
App Version 0.4.0
Add any other context about the problem here.</t>
  </si>
  <si>
    <t>PojavLauncherTeam-PojavLauncher-2998</t>
  </si>
  <si>
    <t>Game crashes when i connect controller</t>
  </si>
  <si>
    <t>### Describe the bug
Game crashed when try to play with dualshock controller
### The log file and images videos
### Steps To Reproduce
3.Press to connect controller
4.Move joystick or press any other button
### Expected Behavior
expect the game to not crash
Device model: Samsung Galaxy Tab S7 FE
CPU architecture: aarch64
Android version: 12
PojavLauncher version: Latest Release crocus-v3 openjdk
### Anything else?</t>
  </si>
  <si>
    <t>PojavLauncherTeam-PojavLauncher-2997</t>
  </si>
  <si>
    <t>Crash with Forge 1.16.5</t>
  </si>
  <si>
    <t>### Describe the bug
The game crashes sometimes with exit code
### The log file and images videos
---- Minecraft Crash Report ----
detailed walkthrough of the error, its code path and all known details is as follows:
-- Head --
-- Affected screen --
-- System Details --
Minecraft Version: 1.16.5
Minecraft Version ID: 1.16.5
Operating System: Linux (aarch64) version Android-11
ModLauncher launch target: fmlclient
ModLauncher naming: srg
mixin-0.8.4.jar mixin PLUGINSERVICE
eventbus-4.0.0.jar eventbus PLUGINSERVICE
object holder definalize PLUGINSERVICE
runtime enum extender PLUGINSERVICE
capability inject definalize PLUGINSERVICE
FML Language Providers:
Minecraft minecraft 1.16.5 DONE Manifest: NOSIGNATURE</t>
  </si>
  <si>
    <t>getActivity-GsonFactory-18</t>
  </si>
  <si>
    <t>解析json数据问题</t>
  </si>
  <si>
    <t>GsonFactory 6.0 gson 2.9.0
String&gt; null, json
App has crashed, executing</t>
  </si>
  <si>
    <t>PojavLauncherTeam-PojavLauncher-2995</t>
  </si>
  <si>
    <t>[BUG] mod</t>
  </si>
  <si>
    <t>### Describe the bug
When use the distance horizon mod it crashes
### The log file and images videos
--------- beggining with launcher debug
Added custom env: TMPDIR data user cache
Added custom env: AWTSTUB WIDTH 2400
Added custom env: POJAV NATIVEDIR data app 5rUQ lib arm64
Added custom env: REGAL GL VERSION 4.5
Added custom env: REGAL GL VENDOR Android
Added custom env: LIBGL MIPMAP
Added custom env: allow higher compat version true
Added custom env: LIBGL SHRINK
Added custom env: MESA GLSL CACHE DIR data user cache
Added custom env: LIBGL NOINTOVLHACK
Added custom env: force glsl extensions warn true
Added custom env: LIBGL NORMALIZE
Added custom env: LD LIBRARY PATH data user runtimes lib jli: data user runtimes lib: system lib64: vendor lib64: vendor lib64 hw: data app 5rUQ lib arm64
Added custom env: POJAV RENDERER opengles2
Added custom env: LIBGL ES
Added custom env: VTEST SOCKET NAME data user cache .virgl test</t>
  </si>
  <si>
    <t>mercadopago-px-android-2690</t>
  </si>
  <si>
    <t>[PXN-3415] getPaymentTypeId null</t>
  </si>
  <si>
    <t>&lt;!--- Escribir un resumen de los cambios en el tulo de arriba --&gt;
## Motivaci Contexto
&lt;!--- Por qu este cambio es requerido? Qu problema resuelve? --&gt;
Currently the app is crashing when the paymentTypeId is null
## mo probarlo
Set getPaymentMethod with null value
## Compartir conocimiento</t>
  </si>
  <si>
    <t>2022-03-28</t>
  </si>
  <si>
    <t>cal-itp-graas-191</t>
  </si>
  <si>
    <t>Automated TripListGenerator is crashing</t>
  </si>
  <si>
    <t>PojavLauncherTeam-PojavLauncher-2988</t>
  </si>
  <si>
    <t>[BUG] Glock-17 game crash when aiming in server</t>
  </si>
  <si>
    <t>### Describe the bug
If try to aim with Glock-17 in server, it immediatly crashes. (Like, instantly !)
Optifine does not seem to be the cause, too (happens with and without it)
### The log file and images videos
Crash log when aiming
### Steps To Reproduce
1. Join server.
2. Take glock-17.
### Expected Behavior
expected to not crash lmao
Minecraft Java Edition
### Anything else?</t>
  </si>
  <si>
    <t>2022-03-27</t>
  </si>
  <si>
    <t>Aliucord-Aliucord-229</t>
  </si>
  <si>
    <t>Aliucord crashed on oppo phone</t>
  </si>
  <si>
    <t>### Discord Account
### What happens when the bug or crash occurs?
Well the app itself just keep stuck at splash art discord and then started crashing even try to reinstall it still same thing was running in color os 7.1
### What is the expected behaviour?
Well the app itself can doing anything when first open app and then it just stuck and crashing it.
### How do you recreate this bug or crash?
1. Get some phone oppo like oppo A5 2020
2. And install aliucord app
3. And open app
4. It the phone emulator can open easily so it was my phone slow or something and crashing the app.
Replace this text with your crash-log.
### Request Agreement
did indeed check to make sure the bug or crash report is applicable!</t>
  </si>
  <si>
    <t>PojavLauncherTeam-PojavLauncher-2976</t>
  </si>
  <si>
    <t>[BUG] &lt;frabric&gt;</t>
  </si>
  <si>
    <t>### Describe the bug
With any mod it crashes
### The log file and images videos
### Steps To Reproduce
Don use it
### Expected Behavior
To run with the mod
Device model: s20 fe
CPU architecture: 64
Android version: 12
PojavLauncher version: beta
### Anything else?</t>
  </si>
  <si>
    <t>2022-03-26</t>
  </si>
  <si>
    <t>bytedance-AabResGuard-79</t>
  </si>
  <si>
    <t>Firebase已经在application中初始化，但报错Default FirebaseApp is not initialized in this process</t>
  </si>
  <si>
    <t>mappingFile file( mapping.txt ).toPath()
*.R.string.fb panpin id
*.R.string.fb panpin scheme
*.R.string.default web client id
*.R.string.firebase database url
*.R.string.google api key
*.R.string.google app id
*.R.string.google crash reporting api key
*.R.string.google storage bucket
unusedStringPath file( unused.txt ).toPath()
override fun InstanceIdResult?)
Default FirebaseApp is not initialized in this process. Make sure to call first.</t>
  </si>
  <si>
    <t>2022-03-25</t>
  </si>
  <si>
    <t>Anuken-Mindustry-6665</t>
  </si>
  <si>
    <t>Lagging mindustry to get all steam achievements</t>
  </si>
  <si>
    <t>(this is my second campaign. reset after doing global domination but kept the tech tree)*
**Steps to reproduce**:
*Open server on steam version of the game, then go to overgrowth
Launch more (or however many instances it takes to freeze the steam instance) instances of mindustry from the itch.io versions
Connect the itch.io instances to the steam instance
Wait for the game to freeze
All of the achievements are unlocked*
**Link(s) to mod(s) used**: *No mods used*
**(Crash) logs**: *Surprisingly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</si>
  <si>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PojavLauncherTeam-PojavLauncher-2972</t>
  </si>
  <si>
    <t>[BUG] &lt;pojav 177 assist patcher&gt;</t>
  </si>
  <si>
    <t>### Describe the bug
There like something wrong with it and it happens on 1.18.2 optifine. It where cant use clouds, shaders. With shader my screen turn white and with clouds the game crashes
### The log file and images videos
b) Add the JAR that contains the shared library to the classpath.
### Steps To Reproduce
Turn off clouds or don use shader
### Expected Behavior
To run and not crash with clouds
Device model: s20 fe
CPU architecture: 64
Android version: 12
PojavLauncher version: beta
### Anything else?
How to fix</t>
  </si>
  <si>
    <t>2022-03-24</t>
  </si>
  <si>
    <t>mercadopago-px-android-2686</t>
  </si>
  <si>
    <t>Fix/pxn 3384</t>
  </si>
  <si>
    <t>## Motivaci Contexto
Currently the app crashes when minimized few times and the session is interrupted. In this case, the presenter is not recreated and an error occurs when we try to retrieve getParcebable by looking for bundlestate
In OneTapFragment now we check if presenter is null and if is true, we call createPresenter again before call putParcelable
## mo probarlo
In OneTap, click in add new card.
minimize the app in background
return to the application
minimize the app in background again.
return to the application and click and back button in card form.
## Tipo de cambio (para el release manager)
Breaking change (Fix feature que cambia una funcionalidad existente rompe firmas)
&lt;!-- Describir qu cambia como se hace la migraci --&gt;
Mi cambio afecta los integradores internos
&lt;!-- Describir qu equipos afecta para poder comunicarlo --&gt;
## Compartir conocimiento
&lt;!--- Compartir links blog posts, patrones librer as que se usaron para resolver este problema --&gt;</t>
  </si>
  <si>
    <t>cohenadair-anglers-log-649</t>
  </si>
  <si>
    <t>Crashes migrating 1.x data</t>
  </si>
  <si>
    <t>Has happened to users so far.
There are two problems:
1. The JSON produced by the migration channel is invalid, and
2. We aren catching correctly
ve requested the exported data from the users so we can see what JSON is being created. If don hear back, we ll release fix for 2, which will prompt the users to send in report that includes the JSON data.
second crash that didn show up in Crashlytics, but user was good enough to provide his data so it could be reproduced. The crash happened if fishing spot lat lng value was (or any non-double, non-string type).
Fix handling of
Fix reason for invalidJson crash
Fix lat lng migration crash
Add Legacy Migration to Settings so users can migrate old data if they receive an error on initial migration
Add explanation to migration error that the migration process can be started again from Settings
Migration page should show message if there is no data to migrate</t>
  </si>
  <si>
    <t>PojavLauncherTeam-PojavLauncher-2967</t>
  </si>
  <si>
    <t>Forge 1.16.5 crash</t>
  </si>
  <si>
    <t>### Describe the bug
Crashed with mods and without mods
### The log file and images videos
### Steps To Reproduce
1.start pojavlauncher from play store
### Expected Behavior
expect Minecraft launch
Device model: samsung galaxy m31
CPU architecture: aarch 64
Android version: 11
PojavLauncher version: crocus-v3 openjdk
### Anything else?</t>
  </si>
  <si>
    <t>jellyfin-jellyfin-androidtv-1560</t>
  </si>
  <si>
    <t>Fix crash getting badge image with null base item</t>
  </si>
  <si>
    <t>Fixes crash on the item details screen trying to get badge image when the base item is null
(I really have no idea why it is null in some cases)</t>
  </si>
  <si>
    <t>commons-app-apps-android-commons-4919</t>
  </si>
  <si>
    <t>[Bug]: Crash on image upload.</t>
  </si>
  <si>
    <t>Uploading in current master crashes the app with following log
### Steps to reproduce
Try uploading pic in current master.
### Expected behaviour
Upload should proceed.
### Actual behaviour
### Android version
### Commons app version
### Would you like to work on the issue?</t>
  </si>
  <si>
    <t>ASE-Projekte-WS-2021-ase-ws-21-konferenzassistent-168</t>
  </si>
  <si>
    <t>App crashes when click the "+" button the first time open the application after installation</t>
  </si>
  <si>
    <t>2022-03-23</t>
  </si>
  <si>
    <t>mercadopago-px-android-2683</t>
  </si>
  <si>
    <t>[FIX] [PXN-3384] Added if statement in OneTapFragment</t>
  </si>
  <si>
    <t>## Motivaci Contexto
Added if statement in OneTapFragment to check in restoreState if BUNDLE STATE is not null.
When did more tests found additional uninitialized lateinit var crashes where made adjustments in PayButtonFragment and
Added validation to check in OneTapFragment in restoreStare if BUNDLE STATE is not null.
## mo probarlo
In OneTap, click in add new card.
minimize the app in background
return to the application
minimize the app in background again.
return to the application and click and back button in card form.
## Tipo de cambio (para el release manager)
Breaking change (Fix feature que cambia una funcionalidad existente rompe firmas)
&lt;!-- Describir qu cambia como se hace la migraci --&gt;
Mi cambio afecta los integradores internos
&lt;!-- Describir qu equipos afecta para poder comunicarlo --&gt;
## Compartir conocimiento
&lt;!--- Compartir links blog posts, patrones librer as que se usaron para resolver este problema --&gt;</t>
  </si>
  <si>
    <t>2022-03-22</t>
  </si>
  <si>
    <t>mercadopago-px-android-2682</t>
  </si>
  <si>
    <t>[Fix]: PXN-3379  New method is added to keep session.</t>
  </si>
  <si>
    <t>&lt;!--- Escribir un resumen de los cambios en el tulo de arriba --&gt;
## Motivaci Contexto
&lt;!--- Por qu este cambio es requerido? Qu problema resuelve? --&gt;
The method that opens our congrats was duplicated in order to remove the line that cleans the session in order to keep it available for followings calls.
&lt;!--- Describir los cambios en detalle --&gt;
For semovi flow the integrator was opening our congrats twice, what implies crash because the session was cleaned with the first attempt.
## mo probarlo
&lt;!--- Para bug fixes: Describir mo reproducir el comportamiento que generaba el bug --&gt;
&lt;!--- Para nuevos features: Se debe agregar el caso de uso la app de ejemplos, aqu se debe describir qu funci de la app de ejemplos probar --&gt;
1- Remove the finish() invocation on
2- Launch PostPaymentFlow already configured in the test app
3- Try to navigate til the congrats screen
4- Close and reopen the congrats
The app shouldn crash when we open the congrats more than one time
&lt;!--- Para bug fixes: Incluir screenshots videos del antes despu --&gt;
&lt;!--- Para nuevos features: Incluir screenshots videos de la nueva UI --&gt;
## Tipo de cambio (para el release manager)
Breaking change (Fix feature que cambia una funcionalidad existente rompe firmas)
&lt;!-- Describir qu cambia como se hace la migraci --&gt;
Mi cambio afecta los integradores internos</t>
  </si>
  <si>
    <t>deltachat-deltachat-android-2242</t>
  </si>
  <si>
    <t>Account no longer loaded after restore of backup</t>
  </si>
  <si>
    <t>Fairphone FP2 (Lineage OS 18.1 build RQ3A.210705.001 from 2022-03-18).
Delta Chat version:
1.28.3 (latest nightly build).
After backup has been restored, Delta Chat loads the respective account.
After backup has been restored, Delta Chat does not load the respective account. (The app does not crash or hang, but it stays at the welcome screen and does not continue by itself.)
Steps to reproduce the problem:
-- Install the latest Delta Chat nightly build.
-- Open Delta Chat and restore backup.</t>
  </si>
  <si>
    <t>Jelmer1887-OnlyFarms-31</t>
  </si>
  <si>
    <t>HomeView: Crash after scrolling too much</t>
  </si>
  <si>
    <t>### Steps to reproduce:
1. Introduce non-zero number of stores to an account make the cards show up. There need to be sufficient cards to make card completely disappear behind the search bar.
2. Scroll down until cards start disappearing behind the search bar.
3. After the same number of cards have disappeared as there are stores (or stores ... not sure)
4. profit! (crash)
### Suspected origin:
An is thrown by the Adapter for the cards when there are no more viewHolders to dumb the data of Store Object into. Upon creation of viewHolder it gets associated with specific store objects through mapping in the cards variable. It could be that when recyclerView object falls of the page by disappearing beneath the search bar, the viewHolder object representing that card instead becomes the card positioned below it. Or new viewHolder is created to hold the card that was scrolled off the bottom of the page.
Either way the error comes from new viewHolder being created to hold an already assigned Store meaning one of the viewHolders associated with some Store has to be obsolete or possibly even deleted in some way.
### Error Log:</t>
  </si>
  <si>
    <t>2022-03-21</t>
  </si>
  <si>
    <t>ASE-Projekte-WS-2021-ase-ws-21-course-matcher-219</t>
  </si>
  <si>
    <t>Bug: Map Fix if user does not have a location</t>
  </si>
  <si>
    <t>Fix bug where app would crash on initial loading if the users location could not be retrieved initially.
App does not crash on newly created user</t>
  </si>
  <si>
    <t>PojavLauncherTeam-PojavLauncher-2949</t>
  </si>
  <si>
    <t>[BUG] Another black screen issue</t>
  </si>
  <si>
    <t>### Describe the bug
Fresh install, wanted to try this amazing piece of software out. wanted to join 1.18.1 server, downloaded the recommended by you Java 17 repository for arm64. Set it as default, went to launch 1.18.1, and then, black screen. Thought, maybe it just loading bit longer, and waited. After about minute, not just the Minecraft window, the whole app crashes. Like, exits to the last app ve been on. Complete hard stop. Though wanted to see if other versions have issues, ve launched 1.14.4, everything works well. ve also tried all renderers, to no avail. Is 1.18.1 just too new of version and it doesn have support yet? All help is appreciated
---- Minecraft Crash Report ----
Quite honestly, wouldn worry myself about that.
detailed walkthrough of the error, its code path and all known details is as follows:
-- Head --
-- Initialization --
-- System Details --
Minecraft Version: 1.18.1
Minecraft Version ID: 1.18.1
Operating System: Linux (aarch64) version Android-8.1.0
Processor Vendor: 0x41
Processor Name: AArch64 Processor rev (aarch64)
Frequency (GHz): -0.00
Number of physical packages:
Number of physical CPUs:
Number of logical CPUs:
Graphics card #0 name: unknown
Graphics card #0 vendor: unknown
Graphics card #0 VRAM (MB): 0.00</t>
  </si>
  <si>
    <t>cohenadair-anglers-log-640</t>
  </si>
  <si>
    <t>Crash on Android 9</t>
  </si>
  <si>
    <t>1. Run the app
2. Open the map
3. Tap the add all button
6. Observe crash</t>
  </si>
  <si>
    <t>2022-03-20</t>
  </si>
  <si>
    <t>ASE-Projekte-WS-2021-ase-ws-21-konferenzassistent-151</t>
  </si>
  <si>
    <t>Leeres Preset crasht App</t>
  </si>
  <si>
    <t>Wenn man dem Preset keinen Timer hinzuf gt dann crashed die App</t>
  </si>
  <si>
    <t>itsaky-AndroidIDE-134</t>
  </si>
  <si>
    <t>[BUG] Exception when InputConnection tries to get selected text</t>
  </si>
  <si>
    <t>ASE-Projekte-WS-2021-ase-ws-21-konferenzassistent-138</t>
  </si>
  <si>
    <t>Countdown entfernen-Button crasht die App</t>
  </si>
  <si>
    <t>nextcloud-android-9990</t>
  </si>
  <si>
    <t>RuntimeException when sharing PDF to Nextcloud app</t>
  </si>
  <si>
    <t>### Steps to reproduce
0. not logged into Nextcloud Android.
1. Tried to share PDF from Microsoft Lens with the Nextcloud app.
### Expected behaviour
The app opens and asks to sign in or shows me my folders to decide where to upload the PDF.
### Actual behaviour
crash message appears.
************ CAUSE OF ERROR ************
************ APP INFORMATION ************
Build flavor: generic
************ DEVICE INFORMATION ************
************ FIRMWARE ************
### Can you reproduce this problem on https: try.nextcloud.com?
No, the issue goes away once signed into any instance.
### Environment data
Android version: 10
Device model: OnePlus
Stock or customized system: stock
Nextcloud app version: 3.19.1
Nextcloud server version:</t>
  </si>
  <si>
    <t>PojavLauncherTeam-PojavLauncher-2934</t>
  </si>
  <si>
    <t>[BUG] crashes when I load a world on 1.12.2 forge</t>
  </si>
  <si>
    <t>### Describe the bug
Crashes when load up ourworld when uses Forge with mods or no mods
### The log file and images videos
### Steps To Reproduce
1. Start up 1.12 forge
2. Load up single player world
### Expected Behavior
Device model: Oppo CPH 1920
CPU architecture: aarch64
Android version: 8.1.0
PojavLauncher version: Latest Version
### Anything else?</t>
  </si>
  <si>
    <t>2022-03-19</t>
  </si>
  <si>
    <t>ankidroid-Anki-Android-10584</t>
  </si>
  <si>
    <t>[Bug]Deck options can't be opened</t>
  </si>
  <si>
    <t>Thanks to developers.
###### Reproduction Steps
Open deck options
###### Expected Result
Enter the options interface.
###### Actual Result
Application crash draw blank
###### Debug info
AnkiDroid Version 2.16alpha52
Android Version 11
Webview User Agent Mozilla 5.0 (Linux Android 11 M2006J10C Build RP1A.200720.011 wv) AppleWebKit 537.36 (KHTML, like Gecko) Version 4.0 Chrome 94.0.4606.85 Mobile Safari 537.36
Crash Reports Enabled true
DatabaseV2 Enabled true
*Enter an character to confirm the points below:*
have searched for similar existing issues here and on the user forum
(Optional) have confirmed the issue is not resolved in the latest alpha release instructions (https: docs.ankidroid.org</t>
  </si>
  <si>
    <t>androidx-constraintlayout-546</t>
  </si>
  <si>
    <t xml:space="preserve">Updating fontSize crashes </t>
  </si>
  <si>
    <t>When building collapsing toolbar with Title that updates its fontSize as it is being dragged, the app crashes.
Im using Compose v1.1.1, constraint v1.0.0
fontSize motionFontSize( title fontSize
start parent start
end parent end
top parent top
start parent start
end box bottom
top box bottom</t>
  </si>
  <si>
    <t>2022-03-18</t>
  </si>
  <si>
    <t>Rosemoe-sora-editor-158</t>
  </si>
  <si>
    <t>On copying texts it gives IndexOutOfBoundsException error</t>
  </si>
  <si>
    <t>In the latest update of AndroidIDE (which is based on Sora editor) on copying texts the editor gives error.
AndroidIDE crash report</t>
  </si>
  <si>
    <t>Anuken-Mindustry-6645</t>
  </si>
  <si>
    <t>polygonal borders crash when no cores are on the map</t>
  </si>
  <si>
    <t>**Steps to reproduce**:
1. go into editor
2. turn on polygonal no build radius
3. test ingame
4. (?) select block
Mindustry has crashed. How unfortunate.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</si>
  <si>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2022-03-17</t>
  </si>
  <si>
    <t>Rapsssito-react-native-tcp-socket-145</t>
  </si>
  <si>
    <t>Getting TCP Client Receives a Non-Integer</t>
  </si>
  <si>
    <t>## Getting TCP Client Receives Non-Integer
getting significant in uptick of ANRs relating to getTcpClient(cid) where cid is not an integer:
## Current behavior
It appears that the cid passed to getTcpClient() in when calling end() is not an integer. The JS side internally manages the id and therefore at some point the id is non-integer triggering an exception when this package passes the id to the end() or destroy() method as cid Seems to be occuring since upgrading from 4.x to 5.x
## Expected behavior
Only way for that to happen is for the JS to lose reference or reset the internal id reference and pass it over the bridge. The bridge should protect against such errant calls as noop to avoid the crash.
## Relevant information
OS Android 10-12</t>
  </si>
  <si>
    <t>dedis-popstellar-881</t>
  </si>
  <si>
    <t>[BUG] Trying to display toast on non-ui thread makes the app crash</t>
  </si>
  <si>
    <t>### Description (Actual behavior)
When trying to launch an LAO without backend running, the app crashes few seconds after pressing the launch button
### Expected behavior
When trying to launch an Lao with no server running one would expect the app of displaying an error and continue functioning normally
### How to reproduce
1. Go to Launch
2. Click on the EditText with hint Organization name
3. Fill text with anything
4. Click on Launch below
6. See error app crash
### Version Environment
This bug was reproduced on: master
Fe1-Web (please include browser names version)
Fe2-Android (emulator, API 30)
##### Environment (as applicable):
Device: Pixel and Pixel 4a emulators
OS: Windows 10
Not getting an error message displayed as callback. In the case it was discovered, having running server avoids making the app crash on pressing the launching button for Lao creation
The app crashes when we try to inform the user via toast using callback function. The app can be restarted without consequences.
### Possible root cause</t>
  </si>
  <si>
    <t>TeamNewPipe-NewPipe-8060</t>
  </si>
  <si>
    <t>SQLiteException: too many SQL variables</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</si>
  <si>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NewPipe
2.Go to any video on recommentation or either search results
3. Click on Download button
5. Click OK
### Expected behavior
Will download the video.
### Actual behavior
Freezed the entire UI for seconds and then crashed.
### Screenshots Screen recordings
User Action: ui error
Request: ACRA report
Content Country: RO
Content Language: ro-RO</t>
  </si>
  <si>
    <t>itsaky-AndroidIDE-126</t>
  </si>
  <si>
    <t>[BUG] On copying texts it gives IndexOutOfBoundsException error</t>
  </si>
  <si>
    <t>**Describe the bug**
In the latest update of AndroidIDE on copying texts the editor gives error. it happened with me today 3-4 times.
AndroidIDE crash report</t>
  </si>
  <si>
    <t>TeamNewPipe-NewPipe-8054</t>
  </si>
  <si>
    <t>Video Player Crashed on Samsung A52 with latest version</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</si>
  <si>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the app
2. Have video playing
3. Exit the app with the video paused but in the background
### Expected behavior
expect the app to stay running with the video still paused.
### Actual behavior
The app crashed and produced an error report
### Screenshots Screen recordings
User Action: play stream
Request: Player error type occurred while playing https: www.youtube.com watch?v mRA8LRlgt9Y
Content Country: CA
Content Language: en-CA
App Language: en CA</t>
  </si>
  <si>
    <t>2022-03-16</t>
  </si>
  <si>
    <t>itsaky-AndroidIDE-124</t>
  </si>
  <si>
    <t>[BUG]   Null pointer caused by Android killing background</t>
  </si>
  <si>
    <t>Azure-azure-iot-sdk-java-1492</t>
  </si>
  <si>
    <t>Thread starvation in Android mobile application</t>
  </si>
  <si>
    <t>**OS and version used:** Android API 28
## Description of the issue
We have several Android applications in production posting iothub messages using the library above.
One one of these we are experiencing several crashes day per user due to the exception below:
Fatal Exception: pthread create (1040KB stack) failed: Try again
**There are close to 300 threads waiting:**
## Code sample exhibiting the issue
public class IoTClient extends Observable implements IotHubEventCallback
private static IoTClient instance
private static final AtomicBoolean Succeed new
private DeviceClient client
private boolean initialized
private final protocol
public static IoTClient getInstance()
if (instance null)
if (instance null)
instance new IoTClient()
public boolean messageId, String payload, LocalDateTime timestamp, Object context)
showLog(Log.E, invoked without valid client initialized IoTClient.class)
if ((payload null) (payload.length() 0))</t>
  </si>
  <si>
    <t>ankidroid-Anki-Android-10545</t>
  </si>
  <si>
    <t>[Bug] App crashes on startup if system language is set to Marathi (मराठी)</t>
  </si>
  <si>
    <t>###### Reproduction Steps
1. Set your system language to Marathi
2. Start the app
1. Temporarily set system language to English
2. Open Anki droid and set it language to English from in-app settings
3. Set system language back to what you use
This way the app works, but only if you are willing to use it in English. Well, that at-least better than completely an unusable app.
###### Expected Result
The app to start normally
###### Actual Result
Crashes on start-up
###### Debug info
AnkiDroid Version 2.15.6
Android Version 11
Webview User Agent Mozilla 5.0 (Linux Android 11 CPH1937 Build RKQ1.200903.002 wv) AppleWebKit 537.36 (KHTML, like Gecko) Version 4.0 Chrome 99.0.4844.58 Mobile Safari 537.36
Crash Reports Enabled true
DatabaseV2 Enabled true
*Enter an character to confirm the points below:*
have searched for similar existing issues here and on the user forum
(Optional) have confirmed the issue is not resolved in the latest alpha release instructions (https: docs.ankidroid.org</t>
  </si>
  <si>
    <t>androidx-media-54</t>
  </si>
  <si>
    <t>Occasional crashes on different devices caused by checkStateNotNull in MediaSessionService</t>
  </si>
  <si>
    <t>Unfortunately haven been able to reproduce the issue on device here. observe it in alpha02 on roughly 5% of the sessions. Android versions range from to 12 and the devices are different Samsung Galaxy units.
It is caused exactly here: https: github.com androidx media blob libraries session src main java androidx media3 session
This is how create the session (not sure it relevant):
private fun wireMediaSession()
Timber.d( PlayerService wireMediaSession
TODO: Figure out why this causes playback not to work on some devices
.setWakeMode(WAKE MODE NETWORK)
val parentScreenIntent Intent(this,
val immutableFlag if (Build.VERSION.SDK INT 23) PendingIntent.FLAG IMMUTABLE else
getPendingIntent(0, immutableFlag or PendingIntent.FLAG UPDATE CURRENT)
Thanks for nice library :)</t>
  </si>
  <si>
    <t>2022-03-15</t>
  </si>
  <si>
    <t>CMPUT301W22T02-explQRer-67</t>
  </si>
  <si>
    <t>App crash after adding a photo.</t>
  </si>
  <si>
    <t>After adding picture to your account, navigating causes the app to crash every time. problem with the serialization of data.</t>
  </si>
  <si>
    <t>jellyfin-jellyfin-androidtv-1526</t>
  </si>
  <si>
    <t>Playback sound crashed</t>
  </si>
  <si>
    <t>### Describe the bug
have problem with the latest stable version of Jellyfin running on windows 10 (latest patches included).
After about minutes playing list of aac files, sound going down. But the playback continues nonetheless.
When stopping resuming playback, still no sound. If quit Jellfin and start playing again, the sound works. But after few minutes sound going down again.
No crash log reported
### FFmpeg logs
### Media info of the file
### Application version
### Device information
### Android version
### Jellyfin server version</t>
  </si>
  <si>
    <t>CMPUT301W22T02-explQRer-66</t>
  </si>
  <si>
    <t>65 Taking a picture sometimes causes crash</t>
  </si>
  <si>
    <t>Fixed the image crash by moving the fragment to the main activity (to free up camera resources).</t>
  </si>
  <si>
    <t>TeamNewPipe-NewPipe-8040</t>
  </si>
  <si>
    <t>i can't import youtube subscriptions on newpipe</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</si>
  <si>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downloaded new pipe app.
2. Open and go to the import subscriptions.
3. Choose youtube and import subscriptions.csv
### Expected behavior
just want import my youtube subscriptions. Thanks
### Actual behavior
just download Newpipe to my phone. And want import my youtube subscriptions. But app always app crashing itself.
### Screenshots Screen recordings
User Action: ui error
Request: ACRA report
Content Country: TR
Content Language: tr-TR
App Language: en</t>
  </si>
  <si>
    <t>CMPUT301W22T02-explQRer-65</t>
  </si>
  <si>
    <t>Taking a picture sometimes causes crash</t>
  </si>
  <si>
    <t>Taking picture while adding code sometimes causes crash. This seems to be buffer overflow problem.</t>
  </si>
  <si>
    <t>2022-03-14</t>
  </si>
  <si>
    <t>mI-PIV-app-271</t>
  </si>
  <si>
    <t>Calibration input spinner crash</t>
  </si>
  <si>
    <t>SkyTubeTeam-SkyTube-1033</t>
  </si>
  <si>
    <t>Importing subscription.csv causes app to crash</t>
  </si>
  <si>
    <t>did search for this under issues and did not find it.
When trying to import the YouTube subscriptions the app crashes and never imports the subscriptions.
This happens with both the f-droid and SkyTube Extra versions.
SkyTube 2.980 on Oxygen OS 12 (Android 12).</t>
  </si>
  <si>
    <t>MuntashirAkon-AppManager-705</t>
  </si>
  <si>
    <t>Crashing again</t>
  </si>
  <si>
    <t>Your issue will be closed without warning if you don check at least two items.
know what my device, OS and App Manager versions are
know how to take logs
know how to reproduce the issue which may not be specific to my device
**Describe the bug**
App crashes and slows down
Steps to reproduce the behaviour:
1. Select an app
2. Click on click scanner
3. See error
should be able to scan my app
If applicable, add screenshots to help explain your problem.
App version: 3.0.0-alpha01
App version code: 400
Android build version:
Android release version: 11
Android SDK version: 30
Android build ID: lineage treble a64 bvS-userdebug 11 RQ3A.211001.001 test-keys
Device brand: Phh
Device manufacturer: unknown</t>
  </si>
  <si>
    <t>OpenTracksApp-OpenTracks-1156</t>
  </si>
  <si>
    <t>Recording stopped when pressing Map button</t>
  </si>
  <si>
    <t>**Describe the bug**
Recording stopped when pressing Map button. This has occurred twice for me. Each time, no apparent crash able to start new recording and use Map button on the subsequent recording.
*Not* regularly reproducible (tried just now, problem did not occur).
1. Start recording
2. Click on Map button
3. App jumps back to the track list (home?)
No screenshot or logcat output at this time, but happy to try to capture. Also, happy to try an instrumented version of app.
Device: Samsung S9
OS: Android 10
OpenTracks version: v3.25.1, Version code: 4755</t>
  </si>
  <si>
    <t>PojavLauncherTeam-PojavLauncher-2896</t>
  </si>
  <si>
    <t>Help plsss TWY</t>
  </si>
  <si>
    <t>### Describe the bug
Application exited with code -1 and go in server is show shutting down internal server and crash
### The log file and images videos
---- Minecraft Crash Report ----
Contact their authors BEFORE contacting forge
You re mean.
detailed walkthrough of the error, its code path and all known details is as follows:
-- Head --
-- Affected screen --
-- System Details --
Minecraft Version: 1.12.2
Operating System: Linux (aarch64) version Android-11
State ID Version Source Signature
LCHIJA minecraft 1.12.2 minecraft.jar None
LCHIJA mcp 9.42 minecraft.jar None
LCHIJA FML 8.0.99.99
LCHIJA forge 14.23.5.2857
LCHIJA universalmodcore 1.1.4 None
Loaded coremods (and transformers):
Launched Version: 1.12.2</t>
  </si>
  <si>
    <t>PojavLauncherTeam-PojavLauncher-2895</t>
  </si>
  <si>
    <t>[BUG] &lt;Crash 1.16.5.&gt;</t>
  </si>
  <si>
    <t>### Describe the bug
When start-up world on pojavlauncher right as it about to go in it crashes. And exits the whole game.
### The log file and images videos
### Steps To Reproduce
1. start pojav launcher
2. Load in world
3. Games saves
4. The launcher crashes
### Expected Behavior
expect to go onto my world.
Device model: Chromebook
CPU architecture: arm 64
Android version: idk
PojavLauncher version: 16.5
### Anything else?</t>
  </si>
  <si>
    <t>nextcloud-android-9962</t>
  </si>
  <si>
    <t>error setting auto upload</t>
  </si>
  <si>
    <t>### Steps to reproduce
1. New phone, login,
2. Grant folder permissions (I might have done this wrong, trying to accept defaults so hit back not seeing any other option)
4. Auto upload
5. See following error message
### Expected behaviour
able to add folders to auto upload
### Actual behaviour
see crash backtrace
************ CAUSE OF ERROR ************
************ APP INFORMATION ************
Build flavor: gplay
************ DEVICE INFORMATION ************
************ FIRMWARE ************
### Environment data
Stock or customized system:
Nextcloud app version:
Nextcloud server versi</t>
  </si>
  <si>
    <t>OpenSeizureDetector-Android_Pebble_SD-48</t>
  </si>
  <si>
    <t>Crash using 'Report Seizure' function</t>
  </si>
  <si>
    <t>user reported an app crash when using the Report Seizure function no other details so far.</t>
  </si>
  <si>
    <t>2022-03-13</t>
  </si>
  <si>
    <t>TeamNewPipe-NewPipe-8028</t>
  </si>
  <si>
    <t>Subscriptions import crashes newpipe</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</si>
  <si>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Export subscriptions from Google Takeout
2. Import CSV into newpipe
### Expected behavior
Subscriptions get added
### Actual behavior
### Screenshots Screen recordings
User Action: ui error
Request: ACRA report
Content Country: US
Content Language: en-US
App Language: en US
OS: Linux Android 12 31
log b&gt;&lt; summary&gt;&lt;p&gt;</t>
  </si>
  <si>
    <t>nextcloud-android-9961</t>
  </si>
  <si>
    <t>Crash on disk space full</t>
  </si>
  <si>
    <t>### Steps to reproduce
1. Have full disk space
2. Use your phone
3. Nextcloud crashes
### Expected behaviour
app pausing stopping work warning but not crashing
### Actual behaviour
wasn even using nextcloud app, but the app opened with this crash log.
also crashes when opening app
### Environment data
#### Nextcloud log (data nextcloud.log)
************ CAUSE OF ERROR ************
... 11 more
************ APP INFORMATION ************
Build flavor: gplay
************ DEVICE INFORMATION ************
************ FIRMWARE ************</t>
  </si>
  <si>
    <t>MuntashirAkon-AppManager-702</t>
  </si>
  <si>
    <t xml:space="preserve"> app is crashing when I want to check the permissions of an app</t>
  </si>
  <si>
    <t>App version: 2.6.5.1
App version code: 397
Android build version: S908EXXU1AVB3
Android release version: 12
Android SDK version: 31
Android build ID:
Device brand: samsung
Device manufacturer: samsung
Device name: b0q
Device model: SM-S908E
Device product name: b0qxxx
Device hardware name: qcom
ABIs (32bit): armeabi-v7a, armeabi
ABIs (64bit): arm64-v8a
System language: en-US
In-App Language: auto</t>
  </si>
  <si>
    <t>ASE-Projekte-WS-2021-ase-ws-21-konferenzassistent-60</t>
  </si>
  <si>
    <t>App crashes when</t>
  </si>
  <si>
    <t>1. click on past meeting card (cant open PastMeetingInfo)
2. click on meeting beenden button(can save Meeting in Database)</t>
  </si>
  <si>
    <t>google-ExoPlayer-10060</t>
  </si>
  <si>
    <t>Fatal Exception: java.lang.NoClassDefFoundError: com.google.android.exoplayer2.l</t>
  </si>
  <si>
    <t>ExoPlayer 2.17.0 2.17.1
Android version 6.0
Android device all
Hello! The application crashes when starting the initialization of the player:
catch (Exception ignored)
before this was not the case.</t>
  </si>
  <si>
    <t>xManager-v2-xManager-Spotify-76</t>
  </si>
  <si>
    <t xml:space="preserve">divided by zero error when canceling the download </t>
  </si>
  <si>
    <t>When cancel the download, the app crashes and if launch the app again it shows this message.</t>
  </si>
  <si>
    <t>2022-03-12</t>
  </si>
  <si>
    <t>PojavLauncherTeam-PojavLauncher-2883</t>
  </si>
  <si>
    <t>[BUG] when i go to crash log page the launcher crashes</t>
  </si>
  <si>
    <t>### Describe the bug
Pojav launcher has unexpectedly crashed
### The log file and images videos
### Steps To Reproduce
go to crash log page
it will crash
crash message PojavLauncher has unexpectedly crashed
### Expected Behavior
expect it to not crash
Device model: Samsung Tab A7 T295
CPU architecture: Aarch64
Android version: 11
PojavLauncher version: Possible fix for broken UI Action build
### Anything else?</t>
  </si>
  <si>
    <t>PojavLauncherTeam-PojavLauncher-2882</t>
  </si>
  <si>
    <t>[BUG] Crashing when rendering</t>
  </si>
  <si>
    <t>### Describe the bug
So am using Pojav Launcher for the quest and every time try to load in the game. Its like black and when look in the crash log it says rendering overlay and shaders failed to load or something like that. don have any mods on yet and don know if need them. ll try to add screenshot of the crash log soon.
### The log file and images videos
### Steps To Reproduce
1. Download Sidequest and install Questcraft on your Quest 2.
2. When Questcraft is done, it should also install Pojav too. Just open it and select the most recent version of Minecraft
3. Press play and it should be black for like 30 seconds it will just restart Pojav Launcher.
### Expected Behavior
expect the game to load me in the title screen of minecraft vr.
Device model: Quest
CPU architecture: idk what that means
Android version: my oculus version is v37
PojavLauncher version: 20210430
### Anything else?</t>
  </si>
  <si>
    <t>2022-03-11</t>
  </si>
  <si>
    <t>itsaky-AndroidIDE-117</t>
  </si>
  <si>
    <t>[BUG]</t>
  </si>
  <si>
    <t>nextcloud-talk-android-1870</t>
  </si>
  <si>
    <t>Workaround for crash when loading avatar</t>
  </si>
  <si>
    <t>Workaround for #1869
have not figured out why avatarSize becomes in this case. With this workaround the app seems to behave OK have not even been able to notice that the avatar is incorrect.</t>
  </si>
  <si>
    <t>nextcloud-talk-android-1869</t>
  </si>
  <si>
    <t>Intermittent crash when showing avatar</t>
  </si>
  <si>
    <t>## Steps to reproduce
1. Start Talk app
2. Open existing one to one conversation
### Expected behaviour
### Actual behaviour
Sometimes the app crashes with the following error in the log.
--------- beginning of crash
## Device information
**Android version:** 7.1
**Talk version:** master
## Server information
**Nextcloud version:** 22.2.5
**Talk version:** 12.2.3
**Custom Signaling server configured:** no
**Custom TURN server configured:** no
**Custom STUN server configured:** no</t>
  </si>
  <si>
    <t>doublesymmetry-react-native-track-player-1433</t>
  </si>
  <si>
    <t>`skipToNext` while track is repeating does not work on iOS</t>
  </si>
  <si>
    <t>**Describe the Bug**
On iOS, calling with track repeat mode causes the trackplayer to get stuck. Trying to reset the trackplayer at this point causes crash. Behaviour is fine on Android.
**Steps To Reproduce**
1. On iOS, create Queue with two songs
2. Set the repeat mode to RepeatMode.Track
3. Start playing the queue
5. Call TrackPlayer.reset
**Code To Reproduce**
await TrackPlayer.add( url: sampleUrl title: Title artist: Artist url: sampleUrl2 title: Title artist: Artist
First track now playing correctly on repeat
TrackPlayer no longer playing
App has now crashed
Tested on both simulator and real device running iOS 15. Also tested on Android.
**How can Help**
Did some preliminary investigation. not sure why the trackplayer gets stuck when trying to skip to next, but when calling reset afterwards, the swift method is where the crash happens due to the player not having currentIndex value anymore. am very unfamiliar with Swift but will try to get better grasp of the issue and share that at least if not put up PR.</t>
  </si>
  <si>
    <t>hzi-braunschweig-SORMAS-Project-8339</t>
  </si>
  <si>
    <t xml:space="preserve">Mobile app crashes when event participant linked to an event without a disease is converted to case </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</si>
  <si>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 Steps to Reproduce
&lt;!-- Optional please add more steps if necessary --&gt;
1. create an event without disease ep
2. convert ep to case
3. app closes
### Expected Behavior
&lt;!-- Optional --&gt;
If the event does not have disease and the user click on create case for this event person do not check for duplicate person but show warning message It is not possible to create case for an event participant if the disease to the event has not been set
&lt;!-- Optional --&gt;
### System Details
&lt;!-- Mandatory you only have to specify the Server URL if the error appeared on publicly available test server --&gt;
Device: Samsung galaxy
SORMAS version: 1.69
Android version Browser: 11
Server URL: https:
User Role: surveillance officer limited disease ebola
### Additional Information</t>
  </si>
  <si>
    <t>cgeo-cgeo-12846</t>
  </si>
  <si>
    <t>NPE on map</t>
  </si>
  <si>
    <t>### Describe your problem!
Two user reporting, that the app crashes after updating to 2022.03.09 when trying to open the map.
Logfiles from user are requested.
Additionally do see significant amount of this (new!) crash on Play Console, which might be related:
### How to reproduce?
### Actual result after these steps?
### Expected result after these steps?
### c:geo Version
### System information
Android 11+12, Several devices
### Additional Information
Support ticket 129308</t>
  </si>
  <si>
    <t>2022-03-10</t>
  </si>
  <si>
    <t>cgeo-cgeo-12845</t>
  </si>
  <si>
    <t xml:space="preserve">Livemap keeps crashing after reinstalling cgeo </t>
  </si>
  <si>
    <t>### Describe your problem!
had GPX tracks loaded into the live map, created backup and uninstalled cgeo.
After reinstalling and restoring the backup, cgeo livemap crashes on startup with
Therefore, cgeo is completely unusable for me currently.
### How to reproduce?
Import GPX tracks
uninstall cgeo (!)
Install cgeo and restore backup
open live map
### Actual result after these steps?
### Expected result after these steps?
### c:geo Version
### System information
### Additional Information
--------- beginning of system
--------- beginning of main
--------- beginning of crash</t>
  </si>
  <si>
    <t>Zhuinden-simple-stack-254</t>
  </si>
  <si>
    <t>Multustack view sample crash</t>
  </si>
  <si>
    <t>2022-03-09</t>
  </si>
  <si>
    <t>Zhuinden-simple-stack-253</t>
  </si>
  <si>
    <t>Community sample crash</t>
  </si>
  <si>
    <t>Caused by: Expected Android API level 21+ but was 30</t>
  </si>
  <si>
    <t>Anuken-Mindustry-6633</t>
  </si>
  <si>
    <t>Bug(Button click)</t>
  </si>
  <si>
    <t>**Steps to reproduce**: *Just download game in 8th september(from steam) and played.*
**Link(s) to mod(s) used**: *No mods.*
**Save file**: *Didn have for this time save.*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</si>
  <si>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PojavLauncherTeam-PojavLauncher-2870</t>
  </si>
  <si>
    <t>[BUG] Fabric 1.18.1 crashing</t>
  </si>
  <si>
    <t>### Describe the bug
When launch fabric 1.18.1 and up, it crashes! using Java 17 too!
### The log file and images videos
### Steps To Reproduce
Setup Fabric 1.18.1 (1.13.3 1.13.2)
Set the Java version to 17
### Expected Behavior
The game crashes
### Anything else?</t>
  </si>
  <si>
    <t>Anuken-Mindustry-6629</t>
  </si>
  <si>
    <t>m1 mac crashing</t>
  </si>
  <si>
    <t>**Steps to reproduce**: *get the game with an m1 computer.*
**Link(s) to mod(s) used**: *no mods*
**Save file**: *i cant open the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</si>
  <si>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czlucius-code-scanner-41</t>
  </si>
  <si>
    <t>Creating contact crashes app</t>
  </si>
  <si>
    <t>### Steps to reproduce
1. Open app
2. Go to Create
3. Create contact
### Expected behaviour
Contact QR Code is created
### Actual behaviour
### Device name
Samsung Galaxy S20 FE 5G
### Android version API Level
### App version
### Device crash logs
FATAL EXCEPTION: main
Caused by: Attempt to invoke virtual method int on null object reference
... 21 more
### Additional information
Should be because of Ezvcard minification</t>
  </si>
  <si>
    <t>MuntashirAkon-AppManager-697</t>
  </si>
  <si>
    <t xml:space="preserve">Crash Report </t>
  </si>
  <si>
    <t>Your issue will be closed without warning if you don check at least two items.
know what my device, OS and App Manager versions are
know how to take logs
know how to reproduce the issue which may not be specific to my device
**Describe the bug**
Crashed while updated an app from Aurora store then closed the updated app. Not sure if it related to this crash. time crash.
App version: 3.0.0-alpha01
App version code: 400
Android build version: 8704X S001025 190606 ROW
Android release version: 8.1.0
Android SDK version: 27
Android build ID: TB-8704X S001025 190606 ROW
Device brand: Lenovo
Device manufacturer: LENOVO
Device name: TB-8704X
Device model: Lenovo TB-8704X
Device product name: TB-8704X
Device hardware name: qcom
ABIs (32bit): armeabi-v7a, armeabi
ABIs (64bit): arm64-v8a</t>
  </si>
  <si>
    <t>2022-03-07</t>
  </si>
  <si>
    <t>Appboy-appboy-android-sdk-218</t>
  </si>
  <si>
    <t>[Bug]: viral crash on my google console store related to appboy</t>
  </si>
  <si>
    <t>### Braze Android SDK Version
### Steps To Reproduce
Random time in the app
### Expected Behavior
### Actual Incorrect Behavior
### Verbose Logs
### Additional Information
got thousands of crashes related to your API</t>
  </si>
  <si>
    <t>2022-03-06</t>
  </si>
  <si>
    <t>MuntashirAkon-AppManager-694</t>
  </si>
  <si>
    <t>Detecting  App is Very Slow</t>
  </si>
  <si>
    <t>Your issue will be closed without warning if you don check at least two items.
know what my device, OS and App Manager versions are
know how to take logs
know how to reproduce the issue which may not be specific to my device
**Describe the bug**
Takes unhumanely long to detect an installed app
Steps to reproduce the behaviour:
1. Download and install app
2. Click on AppMamager
3. Cant see my newly installed app.
should find my newly installed app
If applicable, add screenshots to help explain your problem.
If applicable, add crash logs to help us figure out the problem.
OS Version: 11
App Manager Version: latest Fdroid
It takes nearly minute to detect newly installed apps any way to fix or make it quick</t>
  </si>
  <si>
    <t>forrestguice-SuntimesWidget-567</t>
  </si>
  <si>
    <t>crash when using 'sun position' shortcut</t>
  </si>
  <si>
    <t>Since v0.14.0 the sun position shortcut causes crash.
From the launcher or home screen, long press Suntimes -&gt; Sun Position
Tested with v0.14.1 (crashes), and with v0.13.19 (works correctly).</t>
  </si>
  <si>
    <t>PojavLauncherTeam-PojavLauncher-2851</t>
  </si>
  <si>
    <t>essential x doesn't work not crash</t>
  </si>
  <si>
    <t>### Describe the bug
never gonna give you up never gonna let you down
### The log file and images videos
### Steps To Reproduce
go to zachiver donate and to downloads copy essential goto android data pojavlauncher. minecraft and mods
### Expected Behavior
Device model: Samsung Galaxy A11
CPU architecture: 32 bits
Android version: 11
PojavLauncher version: idk
### Anything else?
essential not showing</t>
  </si>
  <si>
    <t>2022-03-05</t>
  </si>
  <si>
    <t>TeamNewPipe-NewPipe-7992</t>
  </si>
  <si>
    <t>System crash when playing new video when existing video is already playing</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</si>
  <si>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Play video
2. Wait for video to load or begin playing
3. Play different video
### Expected behavior
Previous video stops playing and new video begins to play
### Actual behavior
Phone abruptly crashes and reloads: screen goes black, goes to google logo, then back to lock screen, then phone starts loading as if it just booted up.
### Screenshots Screen recordings
### Affected Android Custom ROM version
### Affected device model
### Additional information
Bug can be avoided by closing (not pausing) the current playing video before selecting new video. This crash does not occur if you play the video in the background or as popup.</t>
  </si>
  <si>
    <t>ASE-Projekte-WS-2021-ase-ws-21-course-matcher-159</t>
  </si>
  <si>
    <t>Bug: Fix adding friends</t>
  </si>
  <si>
    <t>Wenn man noch keine Freunde hat und nach dem Add Friends Fragment auf das Friends List Fragment zur ckgeht, crashed die App, weil onTextChanged aufgerufen und somit eine Suche in der noch leeren Freundesliste ausgel st wird.
Guard bei einf gen, was eine Liste mit null-Wert auf new ArrayList() setzt</t>
  </si>
  <si>
    <t>OpenSeizureDetector-Android_Pebble_SD-43</t>
  </si>
  <si>
    <t>Crash because of network error?</t>
  </si>
  <si>
    <t>Application is just crashed, please check following error log for more details.
***** UCE HANDLER Library
***** by Rohit Surwase
***** DEVICE INFO
***** APP INFO
***** ERROR LOG
***** END OF LOG *****</t>
  </si>
  <si>
    <t>material-components-material-components-android-2590</t>
  </si>
  <si>
    <t>[Slider] The stepSize(1.0) must be 0, or a factor of the valueFrom(0.5)-valueTo(10.0) range</t>
  </si>
  <si>
    <t>Recently, got crash report sent to Crashlytics. It seems few users suffering from this strange issue.
The state of the Slider settings can read from the error message looks like completely valid, and validateStepSize should never be failed though.
(Click here to display the full stacktrace)
Fatal Exception: The stepSize(1.0) must be 0, or factor of the range
Fatal Exception: The stepSize(1.0) must be 0, or factor of the range
No exception thrown when valueFrom 0.5f valueTo 10.0f and stepSize 0.5f
**Material Library version:**
LG Q6 (Android 8.1.0)
Huawei Y9 Prime 2019 (Android 10)
(Maybe, this issue looks very rare and cannot reproduce it myself...)</t>
  </si>
  <si>
    <t>PojavLauncherTeam-PojavLauncher-2848</t>
  </si>
  <si>
    <t>1.18.2 bug</t>
  </si>
  <si>
    <t>### Describe the bug
When go into 1.18.2 with gl4es 1.1.4 and new assets-v0.zip, and gone into world, it just crashes and makes me cancer because cant progress on my skyblock world.
### The log file and images videos
### Steps To Reproduce
Start PojavLauncher (debug with virglrenderer)
go into world
wait or minutes
### Expected Behavior
Puts into login screen without ANY ERROR.
Device model: Samsung Galaxy a71 128GB
CPU architecture: aarch64
Android version: Android 11
PojavLauncher version: openjdk (Debug apk with virgl)
### Anything else?
Side note: launched minecraft in 1.8.9 recently</t>
  </si>
  <si>
    <t>Anuken-Mindustry-6620</t>
  </si>
  <si>
    <t>Ores in images imported as maps is buggy</t>
  </si>
  <si>
    <t>Importing images as maps is little buggy with ores.
**Steps to reproduce**: *How you happened across the issue, and what exactly you did to make the bug happen.*
Import map that has ores.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Not exactly save file but map file.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</si>
  <si>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maityamit-Tracky-Track-your-goals-or-targets-155</t>
  </si>
  <si>
    <t>Share button on Archive Frag will not work when there is no Archive Target</t>
  </si>
  <si>
    <t>### Contact Details
### What happened?
Share button on Archive Frag will not work when there is no Archive Target.
When Archive Goal is empty the app crash now
### Relevant log output
### Code of Conduct
agree to follow this project Code of Conduct</t>
  </si>
  <si>
    <t>2022-03-04</t>
  </si>
  <si>
    <t>PojavLauncherTeam-PojavLauncher-2843</t>
  </si>
  <si>
    <t>[BUG]1.12.2 forge crash when joining world</t>
  </si>
  <si>
    <t>### Describe the bug
When joining world in single player
### The log file and images videos
### Steps To Reproduce
Start pojav launcher
Play 1.12.2 forge
### Expected Behavior
Device model: oppo a12 32G
CPU architecture: aarch64
PojavLauncher version: latest build
### Anything else?
really want to play no cubes shader!</t>
  </si>
  <si>
    <t>PojavLauncherTeam-PojavLauncher-2842</t>
  </si>
  <si>
    <t xml:space="preserve">[BUG]1.12.2 forge crash w/ virgl </t>
  </si>
  <si>
    <t>### Describe the bug
When joining single player world its crashing!
### The log file and images videos
### Steps To Reproduce
Start pojav launcher
Play 1.12.2 forge
### Expected Behavior
Any solution for this
Device model: oppo a12 32G
CPU architecture: aarch64
PojavLauncher version: Latest build
### Anything else?
Pls solution want to play no cubes shader</t>
  </si>
  <si>
    <t>jellyfin-jellyfin-androidtv-1488</t>
  </si>
  <si>
    <t>Crash when Live TV playback starts</t>
  </si>
  <si>
    <t>### Describe the bug
Recently started to crash when try to view any channel in Live TV. Picture and sound is present just for an instant then the app crashes. got beta version from playstore and guess it occured now with the latest beta release.
Didn change any settings what can remember, updated my jellyfin server aswell to see if that would fix it, without success.
1. Go to Live TV
2. Play any channel
### FFmpeg logs
### Media info of the file
### Application version
### Device information
Nvidia Shield TV 2019
### Android version
### Jellyfin server version</t>
  </si>
  <si>
    <t>2022-03-03</t>
  </si>
  <si>
    <t>mercadopago-px-android-2667</t>
  </si>
  <si>
    <t xml:space="preserve">[FIX] Error screen when payment method not found </t>
  </si>
  <si>
    <t>## Motivaci Contexto
We have lot of crashes due to backend checkout response missing available payment methods but offering them as enabled payment methods PXN-3375 (https: browse PXN-3375), PXN-3376 (https: browse PXN-3376) and PXN-3377 (https: browse PXN-3377))
To avoid crashes and give the user better experience we are now handling exceptions on start payment, showing the user non-recoverable error activity.
## mo probarlo
Sometimes an API that our backend is calling fails and then backend is sending us wrong available payment methods as in this mock (https: run.mocky.io v3
&lt;img src https: 83668088 width 250</t>
  </si>
  <si>
    <t>MuntashirAkon-AppManager-690</t>
  </si>
  <si>
    <t xml:space="preserve">App Crashing a lot </t>
  </si>
  <si>
    <t>Your issue will be closed without warning if you don check at least two items.
know what my device, OS and App Manager versions are
know how to take logs
know how to reproduce the issue which may not be specific to my device
**Describe the bug**
clear and concise description of what the bug is.
App Crashes very often when try to unlock or do something
Steps to reproduce the behaviour:
1. Go to Open app manager and unlock
2. Click on ..Trying type my pass ..
3. Scroll down to ..Carshed ..
4. See error
was supposed to enter app manager and do my things
If applicable, add screenshots to help explain your problem.
If applicable, add crash logs to help us figure out the problem.
App version: 3.0.0-alpha01
App version code: 400
Android build version:
Android release version: 11
Android SDK version: 30</t>
  </si>
  <si>
    <t>PojavLauncherTeam-PojavLauncher-2837</t>
  </si>
  <si>
    <t>[BUG] Sodium 1.18.1 crash</t>
  </si>
  <si>
    <t>### Describe the bug
few days ago, start playing pojavlauncher with sodium mod and it crash. This bug was so annoying that can use any mods to increase fps in game but only lithum and phosphor mod instead
### The log file and images videos
can find lastest log, but have crash report. Here it is
---- Minecraft Crash Report ----
Hi. Minecraft, and crashaholic.
detailed walkthrough of the error, its code path and all known details is as follows:
-- Head --
-- Affected level --
All players: total
Chunk stats: 1024, 437
Level dimension: minecraft:overworld
Level spawn location: World: (0,-60,0), Section: (at 0,4,0 in 0,-4,0 chunk contains blocks 0,-64,0 to 15,319,15), Region: (0,0 contains chunks 0,0 to 31,31, blocks 0,-64,0 to 511,319,511)
Level time: 99 game time, day time
Server brand: ERROR Cannot invoke net.minecraft.class 746.method 3135() because this.field 3729.field 1724 is null
Server type: Integrated singleplayer server
-- Last reload --
Reload reason: initial
-- System Details --
Minecraft Version: 1.18.1</t>
  </si>
  <si>
    <t>Anuken-Mindustry-6614</t>
  </si>
  <si>
    <t>Cannot read field "tags" because "this.lastSchematic" is null</t>
  </si>
  <si>
    <t>**Steps to reproduce**:
select schematic on tower defense server right before game over
press the Save Schematic button after the map changes
give your schematic nice name
**Link(s) to mod(s) used**: ldb, override-lib
**Save file**: Please don reap my soul D:
Mindustry has crashed. How unfortunate.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</si>
  <si>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commons-app-apps-android-commons-4878</t>
  </si>
  <si>
    <t>[Bug]: The app keeps crashing</t>
  </si>
  <si>
    <t>The app keeps crashing if you change your apps interface language to Bangla (Bengali).
### Steps to reproduce
These are the steps to reproduce the possible issue.
1. Install Wikimedia Commons app on an Android device from Playstore.
2. Login to Wikimedia account.
3. From settings, please select App user interface language as (Bangla) (if not already set)
4. Once the language is Bangla, try to upload photo.
### Expected behaviour
You can upload pictures.
### Actual behaviour
The app crashes.
### Device name
### Android version
### Commons app version
### Device logs
### Would you like to work on the issue?</t>
  </si>
  <si>
    <t>2022-03-02</t>
  </si>
  <si>
    <t>TeamNewPipe-NewPipe-7977</t>
  </si>
  <si>
    <t>Fix error notification on KitKat</t>
  </si>
  <si>
    <t>#### What is it?
Bugfix (user facing)
Feature (user facing)
Codebase improvement (dev facing)
Meta improvement to the project (dev facing)
#### Description of the changes in your PR
The app was crashing when trying to display an error notification on KitKat, this PR fixes that by using non-vector-drawable on API Lollipop. also replaced NotificationManager with just like in the player NotificationUtil
The crash was encountered while testing other thing and is about Bad notification posted from package ... Couldn create icon ...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</si>
  <si>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itsaky-AndroidIDE-109</t>
  </si>
  <si>
    <t>Terminal and Gradle error in 32 bit devices</t>
  </si>
  <si>
    <t>PojavLauncherTeam-PojavLauncher-2832</t>
  </si>
  <si>
    <t>[BUG] java.lang.NullPointerException: Cannot invoke "java.lang.Integer.intValue()" because the return value of "java.util.Map.get(Object)" is null</t>
  </si>
  <si>
    <t>### Describe the bug
Lunching 1.18 with mods and it shows this error in the latest.txt file after its crash:
### The log file and images videos
### Steps To Reproduce
### Expected Behavior
For my game to launch
Device model: R96-14268.67.0
CPU architecture: x86 64
Android version: 11
PojavLauncher version: crocus-v3 openjdk
### Anything else?
WOULD add my MODS .zip file in here but keep getting this error &gt;:(</t>
  </si>
  <si>
    <t>microsoft-accessibility-insights-for-android-service-150</t>
  </si>
  <si>
    <t>Unable to run Android Service "WorkManager is not initialized properly"</t>
  </si>
  <si>
    <t>## Describe the bug
&lt;!-- clear and concise description of what the bug is. --&gt;
Got fatal exception when trying to run Accessibility Insights for Android service: WorkManager is not initialized properly
Steps to reproduce the behavior:
1. Open the AI for Android Service on Android Studio
2. Run app (Shift F10)
3. Wait until the app gets installed in the emulator
4. Open the Settings app in the emulator.
5. Scroll down and select Accessibility
6. Select Accessibility Insights for Android Service under Downloaded services
7. Toggle on Use service to enable the service
8. Select Allow on the resulting dialog to grant the necessary permissions
9. The service crashes
## Expected behavior
&lt;!-- clear and concise description of what you expected to happen. --&gt;
An Exposing sensitive info during casting recording dialog should appear. And the app should start running after hitting the button Start now
&lt;img width 229 alt image src https: 32908302
## Additional context
Using the latest released version of the service (v2.0.0) worked.
The problem was introduced in the last few months after that.</t>
  </si>
  <si>
    <t>material-components-material-components-android-2585</t>
  </si>
  <si>
    <t>[Slider] Not possible get place from crash</t>
  </si>
  <si>
    <t>**Expected behavior:** Show in log application place where crash was forced
values listOf(0F, 100F)
addOnChangeListener slider, value, fromUser -&gt;
**Android API version:** Any
Slider value(117.0) must be greater or equal to valueFrom(0.0), and lower or equal to valueTo(100.0)
## Sample project:
&lt;?xml version 1.0 encoding utf-8 ?&gt;
class MainActivity AppCompatActivity()
lateinit var slider: RangeSlider
override fun Bundle?)
values listOf(0F, 100F)
addOnChangeListener slider, value, fromUser -&gt;
Log.v( SLIDER value: $value, fromUser: $fromUser
slider.values listOf(1F, 101F)
Slider value(101.0) must be greater or equal to valueFrom(0.0), and lower or equal to valueTo(100.0) on</t>
  </si>
  <si>
    <t>2022-03-01</t>
  </si>
  <si>
    <t>PojavLauncherTeam-PojavLauncher-2825</t>
  </si>
  <si>
    <t>Optifine crash on fabric unexpectedly</t>
  </si>
  <si>
    <t>### Describe the bug
Well it day??? and have many crash orbbug report about pojavlauncher, hope this will be the last one
During waiting for the game to launch, optifine crash for the reason that should not be the reason why, think it because use optifabric and optifine with other fabric mods
### The log file and images videos
### Steps To Reproduce
Step 1. Play fabric version of minecraft 1.18 .1 with optifine and optifabric with fabric api and other mods
Step 2. Watch it crash
### Expected Behavior
expected the game to launch
Device model: Samsung galaxy A32
CPU architecture: arm64
Android version: 11
PojavLauncher version: *Both playstore version and version with Virglrenderer*
### Anything else?</t>
  </si>
  <si>
    <t>trevin-j-PyQuiz-App-18</t>
  </si>
  <si>
    <t>QuizActivity - Crashing when number of questions is not equal to 4</t>
  </si>
  <si>
    <t>Currently, the app crashes whenever the of questions is less than 4. Many questions do not have all questions, so this needs fixed.</t>
  </si>
  <si>
    <t>2022-02-28</t>
  </si>
  <si>
    <t>MuntashirAkon-AppManager-687</t>
  </si>
  <si>
    <t>Some Incompatible API Usages in APP</t>
  </si>
  <si>
    <t>We have recently developed state-of-the-art static analysis tool for uncovering API compatibility issues in Android apps. Applying this tool to open source apps on F-droid, we have exposed few instances of compatibility issues and submitting them to development teams for fix.
For your app, we have found that this project has accessed the following APIs which are available only on an API level higher than the declared minSdkVersion and which are accessed without proper protection. In other words, if those APIs get called at runtime, it will trigger NoSuchMethodError and thus result in crash of the running application.
1. void &lt;init&gt;()&gt;: 24,30
Error invoking path: void &lt;init&gt;()&gt; void &lt;init&gt;()&gt;
Note that, because of the nature of the static analysis, we cannot confirm whether the flagged APIs would actually be called at runtime (e.g., unreachable code). However, we still believe that those APIs, which may cause compatibility issues, should not be accessed or at least be accessed with proper protections.
In addition to the aforementioned APIs (i.e., which could cause app crashes if accessed, we have also identified that this project has also accessed some APIs that have been removed from the latest public SDK, making the app possibly suffer from issues.
We would be very much appreciated if you can acknowledge to us that those reported APIs are indeed problematic for the project long-term stability. please let us know if you need any more information relating to this issue report</t>
  </si>
  <si>
    <t>PojavLauncherTeam-PojavLauncher-2819</t>
  </si>
  <si>
    <t>It crash?! But how?</t>
  </si>
  <si>
    <t>### Describe the bug
play minecraft fabric version of 1.18.1 with create mod fabric port version of it, it was used to work perfectly fine, no error, no bugs. Untill one day, play with it again, it crash. After see it crash, rage quit immedietly
### The log file and images videos
Screenshot 20220228-102838 PojavLauncher (Minecraft Java Edition for Android) (https: 100254075
### Steps To Reproduce
Step 1. Play pojavlauncher fabric 1.18.1 with create mod fabric port from this link
Step 2. Rage quit (see the game crash)
### Expected Behavior
expected the gane to launch perfectly fine like it was to.
Device model: samsung galaxy a32
CPU architecture: aarch64
Android version: 11
PojavLauncher version: *A playstore version*
### Anything else?
This bug was fixed now, know what cause it to crash, it because of optifine.</t>
  </si>
  <si>
    <t>Anuken-Mindustry-6605</t>
  </si>
  <si>
    <t>Crash when automatic nightlight is changing</t>
  </si>
  <si>
    <t>**Steps to reproduce**: *Turn the option on, start game. When the screen color is about to change the game crashes.*
**Link(s) to mod(s) used**: *Vanilla*
**I have updated to the latest release using Google play store (https: github.com Anuken Mindustry releases) to make sure my issue has not been fixed.**
**I have searched the closed and open issues to make sure that this problem has not already been reported.**</t>
  </si>
  <si>
    <t>2022-02-27</t>
  </si>
  <si>
    <t>PojavLauncherTeam-PojavLauncher-2813</t>
  </si>
  <si>
    <t>Forge 1.12.2 crash when trying to create a world</t>
  </si>
  <si>
    <t>### Describe the bug
When select the normal 1.12.2 and create world it load normally but when try to create world with forge 1.12.2 Its just says loading world and then Shutting Down Internal Server and then pojavlaucher exit with code -1
### The log file and images videos
Screenshot 20220226-174331 PojavLauncher (Minecraft Java Edition for Android) (https: 100492072
Screenshot 20220226-174350 PojavLauncher (Minecraft Java Edition for Android) (https: 100492072
Screenshot 20220226-174409 PojavLauncher (Minecraft Java Edition for Android) (https: 100492072
### Steps To Reproduce
1.Start pojavlauncher in Forge 1.12.2
2.Wait it to load
3.When it loads try create world.
### Expected Behavior
expect the game says Shutting Down Internal Server and then close with code -1
Device model: Samsung Galaxy J8 (SM-J810M)
CPU architecture: 8x ARM Cortex-A53 1,80 GHz
Android version: 10
PojavLauncher version: crocus-v3 openjdk
### Anything else?</t>
  </si>
  <si>
    <t>2022-02-26</t>
  </si>
  <si>
    <t>PojavLauncherTeam-PojavLauncher-2808</t>
  </si>
  <si>
    <t>Crash using Forge 1.16.5</t>
  </si>
  <si>
    <t>### Describe the bug
was using one mod (Crafting Dead) and it worked fine but after some update in the app or forge idk it doesn load my world (crashes after 100% loaded)
### The log file and images videos
### Steps To Reproduce
1. Start pojav launcher with latest forge 1.16.5 installed
2. Load world
### Expected Behavior
expected the game to launch
Device model: Redmi Power
CPU architecture: Andreno64
Android version: 11
PojavLauncher version: Latest Release
### Anything else?</t>
  </si>
  <si>
    <t>doublesymmetry-react-native-track-player-1420</t>
  </si>
  <si>
    <t>The track does not remove when unmounting screen</t>
  </si>
  <si>
    <t>**Describe the Bug**
using Track Player with version ^2.2.0-beta14. want to stop the Player and remove tracks from the queue when the screen gets unmounted. but it crashing in ios and not removing tracks from the queue.
**Steps To Reproduce**
add tracks in React.useEffect and in return function of useEffect remove tracks
**Code To Reproduce**
const addTrack async (tracks: TrackModel
const removeTracks async ()
const trackIndexs number
removeTracks() not working still in cache.
**How can Help**
What can you do to help resolve this?
Have you investigated the underlying JS or Swift Android code causing this bug?
Can you create Pull Request with fix?</t>
  </si>
  <si>
    <t>PojavLauncherTeam-PojavLauncher-2807</t>
  </si>
  <si>
    <t>As soon as I create a world it crashes</t>
  </si>
  <si>
    <t>### Describe the bug
So, install Minecraft forge 1.12.2 on my pojav, open it up, create world and when creat the world it tells me shutting down internal server and then it tells me the application game has been closed with the code -1 and here is an image of the crash report
### The log file and images videos
Screenshot net kdt pojavlaunch (https: 100465915
Screenshot net kdt pojavlaunch (https: 100465915
Screenshot net kdt pojavlaunch (https: 100465915
Screenshot net kdt pojavlaunch (https: 100465915
Screenshot net kdt pojavlaunch (https: 100465915
Screenshot net kdt pojavlaunch (https: 100465915
Screenshot net kdt pojavlaunch (https: 100465915
Screenshot net kdt pojavlaunch (https: 100465915
Screenshot net kdt pojavlaunch (https: 100465915
Screenshot net kdt pojavlaunch (https: 100465915
### Steps To Reproduce
open pojav launcher 1.12.2 forge
And there you go
### Expected Behavior
expected it to just open and that all
Device model: Xiaomi 11 lite
CPU architecture: cores at 1.9 GHz: Kryo 670 Silver (Cortex-A55)</t>
  </si>
  <si>
    <t>PojavLauncherTeam-PojavLauncher-2805</t>
  </si>
  <si>
    <t>Roughly enough items mod crash</t>
  </si>
  <si>
    <t>### Describe the bug
My Pojavlauncher crash because olay it with Roughly enough items mod, this bug was so annoying that it give me EMOTIONAL DAMAGE
### The log file and images videos
No log or photos, because it crash without any reason
### Steps To Reproduce
Step 1. Play pojav launcher version on playstore.
Step 2. Play fabric version of minecraft with mod Roughly enough items mod.
Step 3. EMOTIONAL DAMAGE (see it crash without tell any reason)
### Expected Behavior
expected the game to launch as normal
Device model: samsung galaxy a32
CPU architecture: aarch64
Android version: 11
PojavLauncher version: *A playstore version of it*
### Anything else?</t>
  </si>
  <si>
    <t>PojavLauncherTeam-PojavLauncher-2793</t>
  </si>
  <si>
    <t>[BUG] Minecraft crashing when I open multiplayer server.</t>
  </si>
  <si>
    <t>### Describe the bug
So got Pojav Launcher and tried to join an server in 1.18.1. When joined, could only walk around for 3-4 seconds and Pojav Launcher would close without crash report (The server was small server with only online at the time). So then tried playing PvP server in 1.8.9 and the same thing happened. No crash reports or anything. Please help
### The log file and images videos
replaced the log file with another new log file
### Steps To Reproduce
1) Start Pojav Launcher
2) Select Any Version
4) Join Server
5) Do anything in the server for 3-4 seconds
And the game crashes
### Expected Behavior
expected the server to normally load and can play without any problem
Device model: Realme Pro
CPU architecture: x64
Android version: Android 11
PojavLauncher version: Play Store Latest Version
### Anything else?</t>
  </si>
  <si>
    <t>2022-02-25</t>
  </si>
  <si>
    <t>Anuken-Mindustry-6600</t>
  </si>
  <si>
    <t>All logic erased if processor closed with cursor in open string</t>
  </si>
  <si>
    <t>**Steps to reproduce**:
1) Open proc with string literal (print for sure, maybe set also)
2) Edit string and delete closing quote
3) Hit OK leaving the cursor at the end of the string still missing close quote
4) Hit back.
5) Open proc, code gone.
Likely something with the underscore all spaces for variable if string not closed logic, that chokes when the cursor is there?
**Link(s) to mod(s) used**: *The mod repositories or zip files that are related to the issue, if applicable.*
save-Molten Lake Feb 23 1:57.zip (https: github.com Anuken Mindustry files 8128132 (btw, GitHub ios mobile won let be get to files other than photos, but the web will. Huh.)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</si>
  <si>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2022-02-23</t>
  </si>
  <si>
    <t>cgeo-cgeo-12803</t>
  </si>
  <si>
    <t>Crash opening stored caches - Comparison method violates its general contract</t>
  </si>
  <si>
    <t>### Describe your problem!
User on support mail reports, that c:geo crashes as soon as he wants to open his list of stored caches.
### How to reproduce?
### Actual result after these steps?
### Expected result after these steps?
### c:geo Version
### System information
## System information
Device type: SM-A505FN (a50eea, samsung)
Android version: 11
Screen resolution: 1080x2131px (411x811dp)
Pixel density: 2.625
System font scale: 1.0 used scale: 1.0
Sailfish OS detected: false
Google Play services: enabled 21.48.15 (150400-414534850)
Sensor and location:
Low power mode: inactive
Compass capabilities: yes
Rotation vector sensor: present
Orientation sensor: present</t>
  </si>
  <si>
    <t>Anuken-Mindustry-6599</t>
  </si>
  <si>
    <t>Keyboard+mouse not working properly on mobile version.</t>
  </si>
  <si>
    <t>**Steps to reproduce**: to replicate is to use schematic with mouse (keyboard+mouse control on).
**Link(s) to mod(s) used**: no mods used...
**Save file**: don think that needs save file, since it happens in whatever map, offline or online.
**(Crash) logs**: No crash happens :)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</si>
  <si>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overlevelsesguiden-The10H-Android-15</t>
  </si>
  <si>
    <t>App crashes when saving after setting alarm</t>
  </si>
  <si>
    <t>When adding new plan or editing an existing one, the app crashes when saving after adding an alarm
Strongly consider using FLAG IMMUTABLE, only use FLAG MUTABLE if some functionality depends on the PendingIntent being mutable, e.g. if it needs to be used with inline replies or bubbles.</t>
  </si>
  <si>
    <t>PojavLauncherTeam-PojavLauncher-2780</t>
  </si>
  <si>
    <t>MouseClicked event handler</t>
  </si>
  <si>
    <t>### Describe the bug
try playing PojavLauncher 1.16.5 with forge because when play it with 1.18, it crash too. It said because of MouseClicked event handler and it happened too many times
### The log file and images videos
---- Minecraft Crash Report ----
Why did you do that?
detailed walkthrough of the error, its code path and all known details is as follows:
-- Head --
-- Affected screen --
-- System Details --
Minecraft Version: 1.16.5
Minecraft Version ID: 1.16.5
Operating System: Linux (aarch64) version Android-11
ModLauncher launch target: fmlclient
ModLauncher naming: srg
mixin-0.8.4.jar mixin PLUGINSERVICE
eventbus-4.0.0.jar eventbus PLUGINSERVICE
object holder definalize PLUGINSERVICE
runtime enum extender PLUGINSERVICE
capability inject definalize PLUGINSERVICE
FML Language Providers:</t>
  </si>
  <si>
    <t>Anuken-Mindustry-6597</t>
  </si>
  <si>
    <t>IOS - Open failed: EMFILE (Too many open files) - Plus how to resolve error</t>
  </si>
  <si>
    <t>**Steps to reproduce**: *From the main screen: Settings Game Data Export Data*. If successful, move the file to another folder. Repeat. Error message should appear without presenting any menu of where to save to. Replace file. Save succeeds.
**Link(s) to mod(s) used**: *None*
**Save file**: *Attached*
Some quick notes:
Documents in the file path is likely the app name of 3rd party iOS file management application. have done some house cleaning in that app and moved files around. At no point in the save process leading up to the crash does mindustry ask where want to save, it must be assuming same as last time and that file is no longer there. Replacing the file resolves the error, but is not how mindustry should behave at moved or deleted back-up file
**(Crash) logs**: *Doesn create crash log, but there is info under Details Typing out in part:*
ArcRuntime: Error copying source file: (local)
To destination: var mobile Containers Data Application Documents (absolute)
ArcRuntime: Error stream writing to file: var mobile Containers Data Application Documents (absolute)
ArcRuntime: Error writing file: var mobile Containers Data Application Documents (absolute)
FileNotFound: var mobile Containers Data Application Documents open failed: EMFILE (Too many open files)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Definitely the same as issue #473, but with more information about cause and workaround.</t>
  </si>
  <si>
    <t>2022-02-22</t>
  </si>
  <si>
    <t>Aliucord-Aliucord-220</t>
  </si>
  <si>
    <t>App sizing issue on Android 12L</t>
  </si>
  <si>
    <t>### Discord Account
### What happens when the bug or crash occurs?
Opening aliucord on any version that &gt;115.x makes the app open like an overlay rather than regular app.
### What is the expected behaviour?
To open like an app.
### How do you recreate this bug or crash?
1. Build version of aliucord that &gt;115.x in an Android 12L environment.
2. Open it.
### Request Agreement
did indeed check to make sure the bug or crash report is applicable!</t>
  </si>
  <si>
    <t>Anuken-Mindustry-6594</t>
  </si>
  <si>
    <t>Radeon driver crashes randomly with the game</t>
  </si>
  <si>
    <t>**Steps to reproduce**: *there no pattern to when it will happen.*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</si>
  <si>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2022-02-21</t>
  </si>
  <si>
    <t>Giua-app-Giua-App-121</t>
  </si>
  <si>
    <t>App crasha sempre con Android 12</t>
  </si>
  <si>
    <t>**Descrizione del bug**
crasha appena prova fare accesso
**Indica passaggi per riprodurre il bug**
semplicemente provare fare accesso. cliccando in dettagli esce questo:
Build version: 0.6.4-stable
OS version: Android 12 (SDK 31)
Strongly consider using FLAG IMMUTABLE, only use FLAG MUTABLE if some functionality depends on the PendingIntent being mutable, e.g. if it needs to be used with inline replies or bubbles.
Strongly consider using FLAG IMMUTABLE, only use FLAG MUTABLE if some functionality depends on the PendingIntent being mutable, e.g. if it needs to be used with inline replies or bubbles.
... 12 more
Build version: 0.6.4-stable
OS version: Android 12 (SDK 31)
Strongly consider using FLAG IMMUTABLE, only use FLAG MUTABLE if some functionality depends on the PendingIntent being mutable, e.g. if it needs to be used with inline replies or bubbles.
Strongly consider using FLAG IMMUTABLE, only use FLAG MUTABLE if some functionality depends on the PendingIntent being mutable, e.g. if it needs to be used with inline replies or bubbles.
... 12 more</t>
  </si>
  <si>
    <t>brodeurlv-fastnfitness-252</t>
  </si>
  <si>
    <t>Update to v0.20.5 crashes app instantly</t>
  </si>
  <si>
    <t>**Describe your issue**
When updating the app to v0.20.5 and opening it it crashes instantly. The splash screen flashes for split second but then the app is closed again.
Steps to reproduce the behavior:
1. Have data stored in app version 0.20.4 or earlier
2. Upgrade to version 0.20.5
3. Open the app
The app opens
**Smartphone (please complete the following information):**
Device: Pixel 4a
OS: Calyx OS based on Android 12
App Version: 0.20.5
stack trace&lt; summary&gt;
FATAL EXCEPTION: main</t>
  </si>
  <si>
    <t>TeamNewPipe-NewPipe-7921</t>
  </si>
  <si>
    <t>Background player crashes if paused from notification or another app if playing from playlist</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</si>
  <si>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Play any video in background
2. Lock the screen or open any other app(like instagam) that plays audio video
3. Pause from notification after turning on screen or play audio in another app (both pause the current stream).
4. The seek bar disappears from the notification and tapping continue does nothing.
5. Only way to continue playback is to open the video page again and again tap on background button(it contniues if last played time was saved.)
### Expected behavior
Resume playback after it was interrupted or paused
### Actual behavior
### Screenshots Screen recordings
### Affected Android Custom ROM version
Android 11 crDroid 7.11
### Affected device model
### Additional information</t>
  </si>
  <si>
    <t>Udhayarajan-VidSnap-7</t>
  </si>
  <si>
    <t>[Instagram] randomly crashed app</t>
  </si>
  <si>
    <t>Instagram videos randomly crashing app.</t>
  </si>
  <si>
    <t>2022-02-20</t>
  </si>
  <si>
    <t>PojavLauncherTeam-PojavLauncher-2757</t>
  </si>
  <si>
    <t>1.19_deep_dark_experimental_snapshot-1 crash</t>
  </si>
  <si>
    <t>### Describe the bug
Application exited with code -1
### The log file and images videos
--------- beggining with launcher debug
Added custom env: TMPDIR data user cache
Added custom env: AWTSTUB WIDTH 1556
Added custom env: POJAV NATIVEDIR data app lib arm
Added custom env: REGAL GL VERSION 4.5
Added custom env: REGAL GL VENDOR Android
Added custom env: LIBGL MIPMAP
Added custom env: allow higher compat version true
Added custom env: LIBGL SHRINK
Added custom env: MESA GLSL CACHE DIR data user cache
Added custom env: LIBGL NOINTOVLHACK
Added custom env: force glsl extensions warn true
Added custom env: LIBGL NORMALIZE
Added custom env: LD LIBRARY PATH data user runtimes lib jli: data user runtimes lib: system lib: vendor lib: vendor lib hw: data app lib arm
Added custom env: POJAV RENDERER opengles2
Added custom env: LIBGL ES
Added custom env: VTEST SOCKET NAME data user cache .virgl test</t>
  </si>
  <si>
    <t>2022-02-19</t>
  </si>
  <si>
    <t>google-ExoPlayer-9989</t>
  </si>
  <si>
    <t xml:space="preserve">HLS stream freezes/crashes intermittently </t>
  </si>
  <si>
    <t>Search existing issues, including issues that are closed:
Issues #5003 and then #5455 seem to be related to this issue, but not the exact behavior.
Try playing problematic media in the demo app:
tried playing the stream in the demo exoplayer app loaded onto chromecast device,
with the same results as through our app.
ExoPlayer Version for Demo App 2.16.1
To reproduce the issue will send url with the manifest and needed http headers for playback in the browser to the
Another way to reproduce would be to use our non authenticated stream (https: pac-12.com live?networks P12I in web or on Pac12 Now mobile app)
And cast the stream to ChromeCast device.
tested with: ChromeCast Model GZRNL
ANDROID TV OS VERSION: 10
KERNEL VERSION: 4.9.180
TV OS BUILD:
Within an hour(usually about 20-30 minutes) the stream will buffer freeze for second and then crash at totally random times.
Only sometimes 102 encoding parameter ERROR will come up, but even after checking with the parameters stated in the chromecast sdk was unable to stop from crashing.
The stream also plays fine on every other platform, it will even play without crashing on the native ChromeCast app.
tested many different renditions and changes to the stream and even in the cases where it did not crash saw some version of this right before the crash:
From what can tell this is referencing vendor specific OMX param error.
But have been unable to tell what the indexes represent.
When check the resolution of the 1080 TS file in any media player or any media information tool it reads as 1920x1080. But when look at the macroblocks:</t>
  </si>
  <si>
    <t>2022-02-18</t>
  </si>
  <si>
    <t>PojavLauncherTeam-PojavLauncher-2753</t>
  </si>
  <si>
    <t>[Documentary] [Bug] 1.19 snapshots are not working</t>
  </si>
  <si>
    <t>### Describe the bug
Even with 1.18 patch, the game will still not able to load properly.
### The log file and images videos
latestlog.txt with my current work:
### Steps To Reproduce
1. Download 1.19 experimental snapshot on the official website.
2. Apply the assets-v0 patch for 1.18.x.
3. Open the game.
It will bootloop once then crashes.
### Why the game crashes
The underlying cause of the issue is because of new shader program, called rendertype entity translucent emissive This was definitely not covered in any patch, so it expected to not work.
### Expected behavior
The game should be able to launch.
This issue should affect every device. However, here my information for reference.
Device model: Vsmart Star
CPU architecture: aarch64
Android version: 11
PojavLauncher version: crocus-v3 openjdk
### Anything else?</t>
  </si>
  <si>
    <t>Anuken-Mindustry-6585</t>
  </si>
  <si>
    <t>sectors not showing 'import' in 'stats'</t>
  </si>
  <si>
    <t>(I checked the release log and searched the issues however and there seems to be no mentioning of this bug)
And some questions:
1. Is it only because the import stats section doesn exist for free versions?
2. Do need to constantly update to the latest pre-alpha versions, or do only need to update to stable builds?
**Steps to reproduce**:
1. check sectors listed above or stay in Salt Flats for one or two minutes to ensure it is acutally importing
2. check Salt Flats stats page
**Link(s) to mod(s) used**: None
**Save file**: issue reporting.zip (https: github.com Anuken Mindustry files 8094053 issue reporting.zip)
If you remove the line above without reading it properly and understanding what it means, will reap your soul. Even if you re playing on someone server, you can still save the game to slot.
**(Crash) logs**: NA,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</si>
  <si>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Aliucord-Aliucord-217</t>
  </si>
  <si>
    <t>Aliucord is not resizable on Samsung DeX</t>
  </si>
  <si>
    <t>### Discord Account
### What happens when the bug or crash occurs?
Literally what it says, it may be manifest issue?
This should be considered bug since stock Discord can do it.
### What is the expected behaviour?
It supposed to be resizable window, of course
### How do you recreate this bug or crash?
1. Install Aliucord
2. Launch Samsung DeX
3. Launch Aliucord
### Request Agreement
did indeed check to make sure the bug or crash report is applicable!</t>
  </si>
  <si>
    <t>2022-02-17</t>
  </si>
  <si>
    <t>jellyfin-jellyfin-androidtv-1450</t>
  </si>
  <si>
    <t>Symbolic links of video files.</t>
  </si>
  <si>
    <t>### Describe the bug
First thank you for this new version very promising with already lot of improvements.
After installing the last beta version 0.13.0, the symbolic links (linux server 10.7.7) crash the playback.
It the same problem with the google play version 0.12.3.
There was no problem with the previous version 0.11.2.
That means, if you make symbolic link from video to folder in movie library, the movie is recognized by jellyfin, but it cannot be played with exoPlayer defaut player.
Of course, if copy the same video into the folder instead of the links, the video can be played without any difficulty.
What is stranger is that for some videos it works...
In the server logs, see that it works when direct play or direct stream is not supported.
And the weirdest thing, if put this video in folder and make symbolic link from the folder to one of the folders in movie library, everything works perfectly !!!
Partial server logs KO:
Partial server logs OK:
### Application version
### Where did you install the app from?
### Device information
mbox, smartphone, all model...
### Android version
Android 10 and 12
### Jellyfin server version</t>
  </si>
  <si>
    <t>Anuken-Mindustry-6581</t>
  </si>
  <si>
    <t>Mindustry crashing</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</si>
  <si>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Mindustry has crashed. How unfortunate.
Report this at https: github.com Anuken Mindustry issues new?labels bug&amp;template bug report.md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</si>
  <si>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PojavLauncherTeam-PojavLauncher-2743</t>
  </si>
  <si>
    <t>[BUG] Fix My Minecraft...</t>
  </si>
  <si>
    <t>### Describe the bug
trying to use **1.18** for the second time **AFTER** fixing the assets-v0 but when clicked Play Anyways the game exits. When click okay instead, it showed me the *Storage Permission Required* error few times, and then it just exits after that.
### The log file and images videos
### Steps To Reproduce
not sure if this is how to do it...
1. Open pojavLauncher and sign-in
2. Do the 1.18 fix
3. Get fabric
4. Install fabric 1.18
5. Select OK on the pop-up as Play Anyway still brake
### Expected Behavior
expect the game to launch and not insta-crash
Device model: R96-14268.67.0
CPU architecture: x86 64
Android version: 11
PojavLauncher version: crocus-v3 openjdk
### Anything else?
using fabric 1.18 on version 12.12 with VGPU render, ill try ZLink tho</t>
  </si>
  <si>
    <t>2022-02-16</t>
  </si>
  <si>
    <t>canyie-pine-25</t>
  </si>
  <si>
    <t>Regression: Null Pointer deref in GrapheneOs Android 12</t>
  </si>
  <si>
    <t>This crash doesn occur before https: github.com canyie pine commit so one of the commits since then causes this
Android version: 12
Build number: (GrapheneOs)</t>
  </si>
  <si>
    <t>Anuken-Mindustry-6578</t>
  </si>
  <si>
    <t>Two Gammas in my single player game</t>
  </si>
  <si>
    <t>have another Gamma in my team, and tried to build without any resourses, its annoying, want to somehow stop it but can t, or its bug, or am just stupid
(There was an issue like this, but that was bit different, can stop it, he could)
**Steps to reproduce**: *How you happened across the issue, and what exactly you did to make the bug happen.*
4) Player team:Sharded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don know how to import files on mobile on github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</si>
  <si>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2022-02-15</t>
  </si>
  <si>
    <t>PojavLauncherTeam-PojavLauncher-2737</t>
  </si>
  <si>
    <t>FML MODS BUG</t>
  </si>
  <si>
    <t>### Describe the bug
am trying to play Mustard Virus modpack.
But it not working and it crashes and says core mods are present
### The log file and images videos
--------- beggining with launcher debug
Added custom env: TMPDIR data user net.kdt.pojavlaunch cache
Added custom env: AWTSTUB WIDTH 1860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Internal lib aarch64 jli: data user net.kdt.pojavlaunch runtimes Internal lib aarch64: system lib64: vendor lib64: vendor lib64 hw: data app lib arm64
Added custom env: POJAV RENDERER opengles2
Added custom env: LIBGL ES
Added custom env: MESA LOADER DRIVER OVERRIDE zink
Added custom env: MESA GLSL VERSION OVERRIDE 460
Added custom env: JAVA HOME data user net.kdt.pojavlaunch runtimes Internal</t>
  </si>
  <si>
    <t>cgeo-cgeo-12745</t>
  </si>
  <si>
    <t>Crash on startup of 2022.02.13</t>
  </si>
  <si>
    <t>### Describe your problem!
user on Google Play reports, that after updating to 2022.02.13 the app crashes on startup.
asked the user to contact us via mail (ongoing), but was able to identify his crash report on Google Play as follows:
### How to reproduce?
### Actual result after these steps?
Crash on start
### Expected result after these steps?
### c:geo Version
### System information
Android 7.1, Xiaomi MI MAX
### Additional Information</t>
  </si>
  <si>
    <t>MuntashirAkon-AppManager-680</t>
  </si>
  <si>
    <t>Scanner gives false positive for libfb.so</t>
  </si>
  <si>
    <t>Your issue will be closed without warning if you don check at least two items.
know what my device, OS and App Manager versions are
know how to take logs
know how to reproduce the issue which may not be specific to my device
**Describe the bug**
It seems the scanner function is falsely associating **libfb.so** with **Facebook SDK** and thus deeming it tracker. As far as we can tell this library actually comes from react native (https: github.com facebook react-native tree main ReactAndroid src main jni first-party fb) and is harmless part of the UI toolkit. This caused bit of stir because it is included in element, privacy based messaging client for matrix. tried to find library with this name in the SDK but could not, although the generality of the name fb makes it difficult.
Steps to reproduce the behaviour:
Run scan on element matrix client for android
clear and concise description of what you expected to happen.
If applicable, add crash logs to help us figure out the problem.
OS Version: LineageOS 16 -&gt; Android
App Manager Version: v2.6.5.1
ran PCap on the offending application for four to five hours and the network activity was completely clean</t>
  </si>
  <si>
    <t>yasirkula-UnityNativeShare-139</t>
  </si>
  <si>
    <t>App crashes in android 12 when I use NativeShare.share, is there a fix to this yet?</t>
  </si>
  <si>
    <t>**Description of the bug**
clear and concise description of what the bug is. Before reporting bug, please do quick search in Issues to see if it is already reported. If the documentation has FAQ (Frequently Asked Questions), please also check out the entries there.
If possible, providing reproduction steps would be very helpful while pinpointing the issue. You can also post screenshots if you think they would be helpful.
Please provide the following info if this is Unity 3D repository.
Unity version: *e.g. 2018.3.1f1*
Platform: *e.g. Android, iOS, Windows*
Device: *if Platform is Android or iOS, please provide the model and the OS version of your device e.g. Samsung Galaxy S8, Android 10*
How did you download the plugin: *e.g. Asset Store, GitHub, Package Manager. Please make sure that your asset is up-to-date*
Please check Logcat (Android) or Xcode console (iOS) for any meaningful error messages and include them here.</t>
  </si>
  <si>
    <t>Anuken-Mindustry-6573</t>
  </si>
  <si>
    <t>Unit restriction bypass</t>
  </si>
  <si>
    <t>Pre alpha 135
Units put into reconstructors via logic or manual control can bypass unit restrictions.
**Steps to reproduce**: *How you happened across the issue, and what exactly you did to make the bug happen.*
Ban certain unit, like quad in this case. Use logic or put in the unit yourself, wait min 30 sec and enjoy your illegal unit.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&lt;img width 649 alt Screen Shot 2022-02-14 at 56 26 PM src https: 88537252
&lt;img width 900 alt Screen Shot 2022-02-14 at 56 50 PM src https: 88537252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</si>
  <si>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2022-02-14</t>
  </si>
  <si>
    <t>hzi-braunschweig-SORMAS-Project-7982</t>
  </si>
  <si>
    <t>Campaign synchronization not working</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</si>
  <si>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The Android app installs correctly on the device but the following synchronization fails.
### Steps to Reproduce
&lt;!-- Optional please add more steps if necessary --&gt;
1. on the server turn the Campaign feature to FALSE
2. install fresh Android app no existing data
3. Sync works fine
4. on the server turn the Campaign feature to TRUE
5. the synchronization works well but the server logs an error related to Campaign
serverLog campaing sync issue.txt (https: github.com hzi-braunschweig SORMAS-Project files 8059941
6. On Android app go to Settings Re-synchronize data, Campaign feature is activated on Android app
7. synchronization works randomly- during synchronization the server logs the same error as on step
8. If campaign is accessed the Android app crashes (due to Campaign issue)
1. on the server turn the Campaign feature to TRUE
2. install fresh Android app no existing data
3. The app starts but synchronization does not work no data is synchronized
### Expected Behavior
&lt;!-- Optional --&gt;
&lt;!-- Optional --&gt;</t>
  </si>
  <si>
    <t>Exenifix-WeatherApp-1</t>
  </si>
  <si>
    <t>The app crashes on bad request</t>
  </si>
  <si>
    <t>MuntashirAkon-AppManager-679</t>
  </si>
  <si>
    <t xml:space="preserve">cleare cache crash </t>
  </si>
  <si>
    <t>App version: 3.0.0-alpha01
App version code: 400
Android build version: 354(C432)
Android release version: 8.0.0
Android SDK version: 26
Android build ID: RNE-L21 8.0.0.354(C432)
Device brand: HUAWEI
Device manufacturer: HUAWEI
Device name: HWRNE
Device model: RNE-L21
Device product name: RNE-L21
Device hardware name: hi6250
ABIs (32bit): armeabi-v7a, armeabi
ABIs (64bit): arm64-v8a
System language: fr
In-App Language: fr</t>
  </si>
  <si>
    <t>2022-02-13</t>
  </si>
  <si>
    <t>PojavLauncherTeam-PojavLauncher-2731</t>
  </si>
  <si>
    <t>shutting down internal server bug</t>
  </si>
  <si>
    <t>### Describe the bug
downloaded the forge version of minecraft and get an error when creating the world and the world crashes even without the mod
this pops up when the world is created: shutting down internal server
### The log file and images videos
### Steps To Reproduce
1. launched minecraft without mods on the forge version
2. create the world
3. It ends up crashing with an error shutting down internal server, And the game closes
### Expected Behavior
expected the world to be normal
Device model: HUAWEI STK-LX1
CPU architecture: 4x ARM Cortex-A53
1709MHz, 4x ARM Cortex-A73 2189MHz
Android version: 10
PojavLauncher version: latest
### Anything else?
Reinstalling the app didn help.</t>
  </si>
  <si>
    <t>2022-02-12</t>
  </si>
  <si>
    <t>TeamNewPipe-NewPipe-7864</t>
  </si>
  <si>
    <t>Menu to change resolution does not work in screen+ mode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</si>
  <si>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Enter the Screen+ mode on recent LG smartphone
2. Play video from YouTube
3. Click on the resolution menu
This error appears, while trying to switch resolution (open the menu) in Screen+ mode on LG Velvet The Screen plus mode is desktop-like mode, which is very useful in combination with an external monitor.
&lt;!-- If you can cause the bug to show up again reliably (and hence don have proper set of steps to give us), please still try to give as many details as possible on how you think you encountered the bug. --&gt;
### Actual behavior
&lt;!-- Tell us what happens with the steps given above. --&gt;
It crashes with the following message below.
### Expected behavior
&lt;!-- Tell us what you expect to happen. --&gt;
Menu for resolution change to appear.</t>
  </si>
  <si>
    <t>forrestguice-SuntimesWidget-556</t>
  </si>
  <si>
    <t>App crashes on location icon</t>
  </si>
  <si>
    <t>When updating or selecting current location, app crashes. This is new behavior introduced with 0.14.0 update.</t>
  </si>
  <si>
    <t>googleads-googleads-mobile-flutter-514</t>
  </si>
  <si>
    <t>[IOS] Crashed: com.apple.root.default-qos : GADMutableDictionarySetObjectForKey</t>
  </si>
  <si>
    <t>## Steps to Reproduce
am sorry don know how to reproduce this, had created the original issue here (https: github.com flutter flutter issues 98203)
am using Flutter 2.10 and this crash never occurred before and my code (plugins especially) have not changed since my latest release under Flutter 2.8.1 (my app is under beta tests so it occurred in release mode only).
Here is preview of my Crashlytics dashboard
Capture cran 2022-02-10 18 38 12 (https: 32631467
**Expected results:** &lt;!-- what did you want to see? --&gt;
The application should not crash.
**Actual results:** &lt;!-- what did you see? --&gt;
The application is crashing.
CoreFoundation 0x2c688 NSDictionaryM 472
Runner 0x5abce4 832744
Runner 0x641bac GADInspectorExtras 1446832
Runner 0x5e0304 1047304
Runner 0x5e15f4 1052152
Runner 0x5e06a8 1048236
Runner 0x5dfa40 1045060
Runner 0x62b69c GAD GADOperation arm64 11 1355424
libdispatch.dylib 0x2924 dispatch call block and release 32
libdispatch.dylib 0x4670 dispatch client callout 20
10 libdispatch.dylib 0x7798 dispatch queue override invoke 792</t>
  </si>
  <si>
    <t>Anuken-Mindustry-6567</t>
  </si>
  <si>
    <t>Game crash when trying to view the amount of resources in a sector.</t>
  </si>
  <si>
    <t>**Steps to reproduce**: *I don know how exactly got such an error, but the crash itself happens when you try to look at the resources on the sector.*
**Link(s) to mod(s) used**: *no modifications*
**(Crash) logs**: crash-report-02 11 2022 18 40 18.txt (https: github.com Anuken Mindustry files 8050351 crash-report-02 11 2022 18 40 18.txt)*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</si>
  <si>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2022-02-11</t>
  </si>
  <si>
    <t>doublesymmetry-react-native-track-player-1407</t>
  </si>
  <si>
    <t>Expo (Bare &amp; Managed workflow) crashes on the Web platform</t>
  </si>
  <si>
    <t>**Describe the Bug**
Hi, am following this tutorial (https: instamobile.io mobile-development to try to make your lib work with an Expo Bare workflow (ejected) but have few open points:
it works on iOS and Android but is their implementation correct?
don know why they use the variable isCurrentTrack
android warning No task registered for key TrackPlayer
it crashes on Web cf this issue (https: github.com expo expo issues (Can resolve .. Utilities Platform ), mentioned here (https: stackoverflow.com questions 60746444 but couldn find fix for me
**Steps To Reproduce**
**Code To Reproduce**
this is the repo to reproduce my project: test3 (https: github.com iboxgithub test3)
Paste the results of npx react-native info
Android SDK: Not Found
Android Studio: 2021.1
Paste the exact version you are using
Real device? Or simulator?
What OS are you running?</t>
  </si>
  <si>
    <t>hzi-braunschweig-SORMAS-Project-7975</t>
  </si>
  <si>
    <t>[Persons] System crashes when Hospital Informant clicks on the 'Contact' tab in the 'Persons' directory</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</si>
  <si>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The Hospital Informant doesn have Contacts directory, so he shouldn have Contact filter tab it the Persons directory either. However, this is present and when the user click on Contact the system crashes.
The system crashes and the error message appears also when the hospital informant user clicks on the All
filter or when the user clicks on the Persons directory.
### Steps to Reproduce
&lt;!-- Optional please add more steps if necessary --&gt;
1. Log in with Hospital Informant user.
2. Open the Persons directory
3. Click on the Contact filter tab.
### Actual Behavior
The system crashes.
### Expected Behavior
The Contact filter should not be shown for users without the CONTACTS VIEW user right.
### System Details
&lt;!-- Mandatory you only have to specify the Server URL if the error appeared on publicly available test server --&gt;
Device: Windows 10
SORMAS version: 1.69.0-SNAPSHOT
Android version Browser: Chrome
Server URL: local server and</t>
  </si>
  <si>
    <t>GroupA-SODV2999-CapstoneProject-FindAndPlay-13</t>
  </si>
  <si>
    <t>Navigation causes application to crash on startup due to null reference</t>
  </si>
  <si>
    <t>Caused by: Attempt to invoke virtual method on null object reference</t>
  </si>
  <si>
    <t>2022-02-10</t>
  </si>
  <si>
    <t>Anuken-Mindustry-6565</t>
  </si>
  <si>
    <t>Resource Duplication Bug</t>
  </si>
  <si>
    <t>**Steps to reproduce**: *To recreate this glitch, you need to select block to pick up as payload and delete it before the unit that you are controlling gets to it, resulting in your unit picking up the block despite deleting it and collecting the refund. (Note: it is easier to recreate this issue with slower unit, such as an Oct, or by pausing the game and then selecting and deleting the block)*
**Link(s) to mod(s) used**: *NA*
**Save file**: *https: drive.google.com file view?usp drivesdk (Bug creates no lasting change or corruption, so this save is most likely to be completely normal)*
**(Crash) logs**: *NA because this bug doesn crash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</si>
  <si>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oliexdev-openScale-827</t>
  </si>
  <si>
    <t>Cannot add  reference user, app crashes.</t>
  </si>
  <si>
    <t>getting this error consistently, both on dev and stable versions. My device is Poco x3 and Mi Scale
Build version: 2.4.5-dev 8b12ecdb 2022-01-26
OS version: Android 11 (SDK 30)</t>
  </si>
  <si>
    <t>PojavLauncherTeam-PojavLauncher-2717</t>
  </si>
  <si>
    <t>[BUG] Scoped storage causing crashes?</t>
  </si>
  <si>
    <t>### Describe the bug
Running Minecraft with Forge works well, and ve had no problems with it so far. However, upon installing Labymod, things break and it just crashes every time the game tries to load.
Attached will be the crash log and lastestlog.
### The log file and images videos
### Steps To Reproduce
1. Run 1.8.9
2. Close game, don make any worlds
3. Install Forge using the lastest installer and run Forge 1.8.9, then close
4. Run Labymod installer with the following settings:
a. 1.8.9 Forge Install
b. Toggle sneak, Optifine, Keystrokes, DMG indicator, Skyblock add-ons, and settings profiles
5. Attempt to run Forge, but crashes
### Expected Behavior
The game should launch with Labymod installed and add-ons working as expected.
Device model: Mi 10T
CPU architecture: aarch64
Android version: 11
PojavLauncher version: Latest Release
### Anything else?
line that caught my attention was when the log said Permission Denied. With Android 10 came Scoped Storage, and it might be as result of that that the game doesn run for some reason.</t>
  </si>
  <si>
    <t>2022-02-09</t>
  </si>
  <si>
    <t>nextcloud-android-9811</t>
  </si>
  <si>
    <t>Nextcloud just crashed on startup</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</si>
  <si>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</si>
  <si>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GoogleCloudPlatform-fda-mystudies-4428</t>
  </si>
  <si>
    <t xml:space="preserve">[Android] Issue related to sign in again in enter your passcode screen </t>
  </si>
  <si>
    <t>Click on the Sign in again link in passcode screen and Verify.
App is crashing in the below screnario,
1. Click on the Sign in again link in passcode screen.
2. Lock the phone, and unclock again.
3. Open the app and enter right passcode and Verify.</t>
  </si>
  <si>
    <t>noahvogt-snailmail-1</t>
  </si>
  <si>
    <t>app crashing on sending email when no account is added</t>
  </si>
  <si>
    <t>When no account is logged in set up and the user tries to send an email in the using the Send Button (upper right corner), the App crashes.</t>
  </si>
  <si>
    <t>google-ExoPlayer-9956</t>
  </si>
  <si>
    <t>[Crash] Getting crash with the creation of Exoplayer through builder method</t>
  </si>
  <si>
    <t>We started receiving crash over firebase for Exoplayer. And the error message is as below
ExoPlayer version number 2.13.3
Android version 10 11 12
Android device Samsumg Google LGE Motorola
We just made some changes to the creation of Exoplayer because the construction with builder reported ANR. So we try to avoid this by using kotlin coroutine, and the code looks like as below. However, we were suddenly start receiving crash instead of ANR. Although we are still receiving some ANR, it is not in same place.
private fun initExoPlayer():
.also simpleExoPlayer it
**Stack-trace for ANR before the changes**
main (native): tid systid 3412
#00 pc 0x5e3e8 libc.so
#01 pc 0x131bb3 libart.so
#02 pc 0x4d409b libart.so
#03 pc 0x4d3f21 libart.so
**Stack-trace for crash after the changes**</t>
  </si>
  <si>
    <t>PojavLauncherTeam-PojavLauncher-2713</t>
  </si>
  <si>
    <t>[BUG] Internal Exceptiom: io.netty.timeout.ReadTimeoutException</t>
  </si>
  <si>
    <t>### Describe the bug
trying to play **Hypixle Turbo Cart Races** on 1.8 but, when try to download the resource pack it freezes and kicks me from the game.
### The log file and images videos
### Steps To Reproduce
1. Open PojavLauncher
2. Sign-in to an account
3. Select 1.8 as Minecraft version
4. Click Play
5. Once Minecraft loads, click Multiplayer
6. Now click Add Server
7. In the Server Address slot set it as www.hypicel.net
8. Now join the newly added server
9. Once in server, right-click the compass to open the game menu
10. Now look and click the enchanted jukebox to go to the Classic Games (Near the bottom left)
11. Once teleported, you go to the square slime blocks that say TCR (Turbo Cart Racers) above it. This will move you to the TCR Section
12. Once there, click the character in front of you (This will bring up the TCR menu)
13. Click the Minecart Icon on the top as this will join you in the lobby
14. FINALLY, in the chat type resource to open the resource pack book
15. Now click the Resource Pack link and it will crash :)
### Expected Behavior</t>
  </si>
  <si>
    <t>lordYorden-ToDoListAndroid-25</t>
  </si>
  <si>
    <t>Signup at 2nd time crashes the app.</t>
  </si>
  <si>
    <t>when you open the app after closing it. And try signup the program throws an error.</t>
  </si>
  <si>
    <t>2022-02-08</t>
  </si>
  <si>
    <t>doublesymmetry-react-native-track-player-1403</t>
  </si>
  <si>
    <t>Android crash when I launch TrackPlayer</t>
  </si>
  <si>
    <t>**Describe the Bug**
Android crash when launch TrackPlayer
**Steps To Reproduce**
**Code To Reproduce**
const currentTrack await
if (currentTrack null)
if (audioSession.id session.id)
const setupPlayer await
const updateOptions await
Media controls capabilities
Capabilities that will show up when the notification is in the compact form on Android
Icons for the notification on Android (if you don like the default ones)
Add track to the queue
const addSession await TrackPlayer.add(
Start playing it
**How can Help**
What can you do to help resolve this?
Have you investigated the underlying JS or Swift Android code causing this bug?
Can you create Pull Request with fix?</t>
  </si>
  <si>
    <t>2022-02-07</t>
  </si>
  <si>
    <t>PojavLauncherTeam-PojavLauncher-2703</t>
  </si>
  <si>
    <t>[BUG] Clicking on "Launch a mod installer" does not work on google tv.</t>
  </si>
  <si>
    <t>### Describe the bug
When click the Launch mod installer (Forge, LabyMod, Fabric, etc... button, it says No application can handle this action. know this is most likely an android bug, but is there any way to fix it? ve researcher everywhere on google and even tried using the custom arguments button and instailling from my pc versions.
Also when installed from my pc version of Optifine M5 under C: Users AppData Roaming .minecraft versions to my .minecraft folder on the pojav launcher folder it crashed.
### The log file and images videos
--------- beggining with launcher debug
--------- beginning of main
Added custom env: TMPDIR data user net.kdt.pojavlaunch cache
Added custom env: AWTSTUB WIDTH 1920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POJAV RENDERER opengles2
Added custom env: LIBGL ES
Added custom env: MESA LOADER DRIVER OVERRIDE zink
Added custom env: MESA GLSL VERSION OVERRIDE 460
Added custom env: JAVA HOME data user net.kdt.pojavlaunch runtimes Internal</t>
  </si>
  <si>
    <t>fossasia-pslab-android-2320</t>
  </si>
  <si>
    <t>Accelerometer and Gyroscope instruments crash</t>
  </si>
  <si>
    <t>When trying to open these two instrument, they crash
They should not crash
**Steps to reproduce it**
Try opening Accelerometer or Gyroscope instruments
**LogCat for the issue**
**Screenshots of the issue**
**Would you like to work on the issue?**</t>
  </si>
  <si>
    <t>ASE-Projekte-WS-2021-ase-ws-21-konferenzassistent-39</t>
  </si>
  <si>
    <t>Input-Dialoge bei Meetingseinstellungen leer lassen crasht App</t>
  </si>
  <si>
    <t>PojavLauncherTeam-PojavLauncher-2699</t>
  </si>
  <si>
    <t>[BUG] game is crashing</t>
  </si>
  <si>
    <t>### Describe the bug
First time started PoJavLauncher it got infinite building world even if waited minutes it did nothing
Second time it got crashed with code error:
### The log file and images videos
dont allowed PoJavLauncher to storage access, because it doesnt asked for it
### Steps To Reproduce
1. Start PoJavLauncher
2. Load any version (i loaded 12 2)
3. Close game with close all apps
4. Start that version again
5. Get error:
### Expected Behavior
expect game to launch
Device model: Xiaomi redmi 9C
Android version: 10
PojavLauncher version: crocus-v3 openjdk from play store
### Anything else?</t>
  </si>
  <si>
    <t>2022-02-06</t>
  </si>
  <si>
    <t>PojavLauncherTeam-PojavLauncher-2698</t>
  </si>
  <si>
    <t>[BUG] Old versions fail to start on any other renderer than zink/vulkan</t>
  </si>
  <si>
    <t>### Describe the bug
vgpu or any gl4es renderer crashes after couple seconds in game.
### The log file and images videos
picked vgpu there, but can guarantee you the same happens if pick any gl4es renderer. Edited to zoom in, and compress the file to 10mb. There is also no log file.
### Steps To Reproduce
1. Start pojav launcher
2. Pick any render other than vulkan zink.
3. Start up Minecraft 1.0 (some later and earlier versions do this too)
4. Enter world.
5. The game crashes without crash log, or anything else after couple seconds in the world.
### Expected Behavior
World runs properly, lag free.
Device model: Samsung M51 128G
CPU architecture: aarch64
Android version: 11
PojavLauncher version: v3
### Anything else?</t>
  </si>
  <si>
    <t>PojavLauncherTeam-PojavLauncher-2694</t>
  </si>
  <si>
    <t>[BUG] &lt;1.16.5 forge is crashing when creating world&gt;</t>
  </si>
  <si>
    <t>### Describe the bug
the game says game exited after the loading world comes to 100%, try to reinstall it but still the problem insists
### The log file and images videos
---- Minecraft Crash Report ----
Uh... Did do that?
detailed walkthrough of the error, its code path and all known details is as follows:
-- Head --
-- Affected screen --
-- System Details --
Minecraft Version: 1.16.5
Minecraft Version ID: 1.16.5
Operating System: Linux (aarch64) version Android-11
ModLauncher launch target: fmlclient
ModLauncher naming: srg
mixin-0.8.4.jar mixin PLUGINSERVICE
eventbus-4.0.0.jar eventbus PLUGINSERVICE
object holder definalize PLUGINSERVICE
runtime enum extender PLUGINSERVICE
capability inject definalize PLUGINSERVICE
FML Language Providers:</t>
  </si>
  <si>
    <t>TeamNewPipe-NewPipe-7825</t>
  </si>
  <si>
    <t>UI error crash when rotating screen while "add to playlist" modal is open.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</si>
  <si>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Long hold on any video and press add to playlist. (Alternatively, select the add to playlist option under any video when watching).
2. Rotate the screen while auto-rotate feature is on.
&lt;!-- If you can cause the bug to show up again reliably (and hence don have proper set of steps to give us), please still try to give as many details as possible on how you think you encountered the bug. --&gt;
### Actual behavior
App crashes, and we are sent to home page.
&lt;!-- Tell us what happens with the steps given above. --&gt;
### Expected behavior
App does not crash. Ideally the add to playlist modal is still open, but doesn matter if it isn t.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</si>
  <si>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itsaky-AndroidIDE-99</t>
  </si>
  <si>
    <t>[BUG] Invalid selection range when selecting diagnostic item or search result item.</t>
  </si>
  <si>
    <t>TeamNewPipe-NewPipe-7821</t>
  </si>
  <si>
    <t>Email address for reporting crashes does not work</t>
  </si>
  <si>
    <t>am using the latest version on my Samsung s7 edge phone.
Often am plagued by the Sorry something went wrong -&gt;REPORT popup, even when video loads fine. This always happened.
However the issue is that the email address &lt;crashreport newpipe.schabi.org&gt; which is used automatically if select REPORT does not work Email are rejected suddently with the error message
Please fix this annoyance, thanks. This always happened, it is NOT something introduced recently.</t>
  </si>
  <si>
    <t>2022-02-05</t>
  </si>
  <si>
    <t>PojavLauncherTeam-PojavLauncher-2688</t>
  </si>
  <si>
    <t>Game exited while loading 1.18</t>
  </si>
  <si>
    <t>### Describe the bug
Game crashes while launching 1.18.
### The log file and images videos
--------- beggining with launcher debug
Added custom env: TMPDIR data user net.kdt.pojavlaunch cache
Added custom env: AWTSTUB WIDTH 1680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lib jli: data user net.kdt.pojavlaunch runtimes lib: system lib64: vendor lib64: vendor lib64 hw: data app lib arm64
Added custom env: POJAV RENDERER opengles3
Added custom env: LIBGL ES
Added custom env: MESA LOADER DRIVER OVERRIDE zink
Added custom env: MESA GLSL VERSION OVERRIDE 460
Added custom env: JAVA HOME data user net.kdt.pojavlaunch runtimes
Added custom env: MESA GL VERSION OVERRIDE 4.6</t>
  </si>
  <si>
    <t>canyie-pine-24</t>
  </si>
  <si>
    <t>[Pine related crash on specific ROM] Unable to run Aliucord at all on CrDroid 8</t>
  </si>
  <si>
    <t>Hello, showed the logcats from Aliucord on the Aliucord server, and they directed me to get in touch with you as the issue seems to be related to Pine. hope this is the right place to post.
Aliucord seems to work on every ROM have tried, apart from one ROM which sadly is the ROM wish to use, but can due to Aliucord just simply not working at all.
(I have used other ROMs running Android 12, in fact the current ROM running is PixelExtended Android 12 and Aliucord runs fine without issues)
Aliucord opens, and then freezes on the Aliucord symbol, remains frozen for long period of time, until it finally crashes. While frozen, Aliucord spits the same log over and over in loop... Until it crashes.
am running Xiaomi Redmi Note 10 Pro (sweet) and this issue is on CrDroid (Android 12)
Here the logcat for when Aliucord remains in frozen state:
Here the logcat for when Aliucord crashes:
Both logcats are filtered to only show Warnings and above. hope you can point me in the right direction, or suggest fix.</t>
  </si>
  <si>
    <t>2022-02-04</t>
  </si>
  <si>
    <t>PojavLauncherTeam-PojavLauncher-2683</t>
  </si>
  <si>
    <t>Game crashes when I go into 1.18.1</t>
  </si>
  <si>
    <t>### Describe the bug
When open 1.18.1 and go into world server, game crashes with no error in minute.
### The log file and images videos
--------- beggining with launcher debug
--------- beginning of main
Added custom env: TMPDIR data user net.kdt.pojavlaunch cache
Added custom env: AWTSTUB WIDTH 2400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lib jli: data user net.kdt.pojavlaunch runtimes lib: system lib64: vendor lib64: vendor lib64 hw: data app lib arm64
Added custom env: POJAV RENDERER opengles3
Added custom env: LIBGL ES
Added custom env: MESA LOADER DRIVER OVERRIDE zink
Added custom env: MESA GLSL VERSION OVERRIDE 460
Added custom env: JAVA HOME data user net.kdt.pojavlaunch runtimes</t>
  </si>
  <si>
    <t>kuldeepsinghrai-social-app-9</t>
  </si>
  <si>
    <t>selecting no pic crashes app</t>
  </si>
  <si>
    <t>while clicking on add image in bottom of create post and go to gallery and back pressed without selecting image, crashes app</t>
  </si>
  <si>
    <t>kuldeepsinghrai-social-app-5</t>
  </si>
  <si>
    <t>profile &amp; cover photo same time changing problem</t>
  </si>
  <si>
    <t>App crashes when we change profile and cover photo at the same time</t>
  </si>
  <si>
    <t>PojavLauncherTeam-PojavLauncher-2674</t>
  </si>
  <si>
    <t>[BUG] Forge MouseEventHandler Crash</t>
  </si>
  <si>
    <t>### Describe the bug
This doesnt make any sense just Launch my Forge 1.16.5 36.20 then make new world and its just crash its always saying MouseEventHandler played this mods like day ago and its completely fine but now its just crashes repeatedly:(
My Mods in my Mods Folder:
(Mrcrayfish Furniture Mod 1.16.5)
4.Optifine 1.16.5 HD G8.jar
### The log file and images videos
### Steps To Reproduce
1. Start Pojavlauncher
2. Launch Forge 1.16.5
3. Make New World
4. Its just Crashes
### Expected Behavior
expect to get normal play just like day ago
Device model: Oppo A12
CPU architecture: aarch64
PojavLauncher version: latest from Play store
### Anything else?</t>
  </si>
  <si>
    <t>Marmo-debitum-86</t>
  </si>
  <si>
    <t>Crash: unable to set amount, edit transaction or create refund</t>
  </si>
  <si>
    <t>can use your app properly as it supports only amount less or equal to 999.
After typing digit, the app automatically put space to format thousands. This leads to crash when trying to edit the amount. So cannot input more than 9999. have to type it somewhere else, and copy-paste it into amount field.
cannot edit transaction with amount more than 999 or create return transaction as this will crash the app.
Samsung Galaxy A40</t>
  </si>
  <si>
    <t>2022-02-03</t>
  </si>
  <si>
    <t>material-components-material-components-android-2550</t>
  </si>
  <si>
    <t>[DynamicColors] App crash when opening context menu with onLongClickListener</t>
  </si>
  <si>
    <t>The app doesn crash when dynamic colors are disabled or not available (older Android version).
Here are the error log messages get with the stack trace:
Caused by: The style on this component requires your app theme to be (or descendant).
**Expected behavior:** The context menu is displayed and the app doesn crash.
class App Application()
override fun onCreate()
class MainActivity AppCompatActivity()
override fun Bundle?)
val textView: TextView view)
menu.add(Menu.NONE, R.id.action show snackbar, Menu.NONE, Show snackbar
Hello World! Snackbar.LENGTH LONG).show()
&lt;?xml version 1.0 encoding utf-8 ?&gt;
themes.xml (built with https:
&lt;style name AppTheme parent
&lt;item name colorPrimary color md theme light primary&lt; item&gt;
&lt;item name colorOnPrimary color md theme light onPrimary&lt; item&gt;
&lt;item name color md theme light primaryContainer&lt; item&gt;
&lt;item name color md theme light onPrimaryContainer&lt; item&gt;
&lt;item name colorSecondary color md theme light secondary&lt; item&gt;
&lt;item name colorOnSecondary color md theme light onSecondary&lt; item&gt;</t>
  </si>
  <si>
    <t>aws-amplify-amplify-android-1651</t>
  </si>
  <si>
    <t>Amplify library on Android is missing the detection of "AlreadyConfiguredException" for Kotlin/Java users</t>
  </si>
  <si>
    <t>**Describe the bug**
am using Kotlin to Authenticate user login via Amazon Cognito in login page on Android device. Relaunching the login page would crash the whole app.
In my login page onCreate(), perform the login. Firs time, it works. If close the app and try to relaunch it from Settings Apps, receive this exception:
message Amplify has already been configured., cause null, recoverySuggestion Do not add plugins after calling Amplify.configure()
**Which AWS service(s) are affected?**
clear and concise description of what you expected to happen.
should be able to login logout and re-login. The relogin portion is crashing.
My App simply crashes when try to relaunch. The login of the second time crashes the app.
**Environment Information (please complete the following information):**
have the latest amazonaws libraries, as of today 3, Feb, 2022)
Android Version: version agnostic
Specific to simulators: No
If the same issue has been addressed for Flutter https: github.com aws-amplify amplify-flutter issues 412), can the fix be ported for Kotlin Java</t>
  </si>
  <si>
    <t>deepjavalibrary-djl-1491</t>
  </si>
  <si>
    <t>NPE in SpTokenizer initialization</t>
  </si>
  <si>
    <t>If SpTokenizer is initialized just by passing folder path (as specified in the Javadoc), it crashes with an NPE because code after that assumes the prefix to be non-null. See here (https: github.com deepjavalibrary djl blob extensions sentencepiece src main java ai djl sentencepiece and then here (https: github.com deepjavalibrary djl blob extensions sentencepiece src main java ai djl sentencepiece
### Expected Behavior
That constructor documentation should specify that only file path can be past, which should be validated upfront.
### Error Message
Exception in thread main
## How to Reproduce?
val modelDir Paths.get( name of directory</t>
  </si>
  <si>
    <t>PojavLauncherTeam-PojavLauncher-2669</t>
  </si>
  <si>
    <t>game kept crashing when joining world</t>
  </si>
  <si>
    <t>### Describe the bug
installed halogen mod(forge version of sodium),game kept crashing when joining world,I turned off the compact vertex format and fog occlusion,but the game still kept crashing when joining world,I.also tried to change video renderer,still didn work,then uninstalled pojavlauncher,then redownloaded mc 1.16.5 and its forge(I deleted all mods),still kept crashing,but the game works fine if play 1.16.5 vanilla
### The log file and images videos
### Steps To Reproduce
1. open pojavlauncher
4.click single player
6.wait for world load
### Expected Behavior
expected can join the world successfully
Device model: huawei nova 128G
CPU architecture: don know
Android version: 10
PojavLauncher version: oprnjdk
### Anything else?</t>
  </si>
  <si>
    <t>TeamNewPipe-NewPipe-7783</t>
  </si>
  <si>
    <t>Import/Export database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</si>
  <si>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Settings
2. Press on Content
3. Swipe down to Import database or Export database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File Browser should open to select save database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</si>
  <si>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PojavLauncherTeam-PojavLauncher-2668</t>
  </si>
  <si>
    <t xml:space="preserve">Batmod crashes </t>
  </si>
  <si>
    <t>### Describe the bug
It just crashes
### The log file and images videos
### Steps To Reproduce
1. Install 1.8.9
2. Install batmod
3. run it
### Expected Behavior
expect it to launch
Device model: samsung M51 128g
CPU architecture: aarch64
Android version: 11
PojavLauncher version: latest release
### Anything else?</t>
  </si>
  <si>
    <t>MuntashirAkon-AppManager-665</t>
  </si>
  <si>
    <t>Scanner:crash when tap collum while scan is progress</t>
  </si>
  <si>
    <t>Your issue will be closed without warning if you don check at least two items.
know what my device, OS and App Manager versions are
know how to take logs
know how to reproduce the issue which may not be specific to my device</t>
  </si>
  <si>
    <t>PojavLauncherTeam-PojavLauncher-2664</t>
  </si>
  <si>
    <t>[BUG] MouseEventHandler Crash?</t>
  </si>
  <si>
    <t>### Describe the bug
This doesnt make any sense just Launch my Forge 1.16.5 36.20 then make new world and its just crash its always saying MouseEventHandler btw this is not the first time happens to me.
My Mods in my Mods Folder:
(Mrcrayfish Furniture Mod 1.16.5)
4.Optifine 1.16.5 HD G8.jar
### The log file and images videos
### Steps To Reproduce
2.Launch 1.16.5 Forge
4.Make New World
5. Its just crash
### Expected Behavior
expect to get normal play just like yesterday play this mods yesterday and its completely fine but now its just crashes
Device model: Oppo A12
CPU architecture: aarch64
PojavLauncher version: Latest from Play Store
### Anything else?</t>
  </si>
  <si>
    <t>2022-02-02</t>
  </si>
  <si>
    <t>hzi-braunschweig-SORMAS-Project-7849</t>
  </si>
  <si>
    <t>[Events] System crashes when user tries to filter the events in the table during select a subordinate event flow</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</si>
  <si>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When the user has an event without Date of Event and goes through the select subordinate event flow, if he filters the events in the events table by Date or by Epi Week, when he clicks on Date of event from epi week the system crashes, throwing message stating that An unexpected error occurred
### Steps to Reproduce
&lt;!-- Optional please add more steps if necessary --&gt;
1. Open or create an event that has no Date of Event only Report Date
2. Click on Link Event in the Subordinate Events card.
3. Filter the events by Date of event from epi week
### Actual Behavior
When selecting the Epi Week or the date, an error occurs stating that An unexpected error occurred
### Expected Behavior
No system crash error should appear.
### System Details
&lt;!-- Mandatory you only have to specify the Server URL if the error appeared on publicly available test server --&gt;
Device: Windows 10
SORMAS version: 1.68.0-SNAPSHOT
Android version Browser: Chrome
User Role: NatUser
### Additional Information
&lt;!-- Optional --&gt;</t>
  </si>
  <si>
    <t>massivemadness-Squircle-IDE-110</t>
  </si>
  <si>
    <t>Crash when deleting multiple chars</t>
  </si>
  <si>
    <t>*Please consider making Pull Request if you are capable of doing so.*
2021.1.4 Standard Edition
**Describe the bug**
using the openboard keyboard which allows deleting multiple chars with swipe over the deletion key. Squircle crashes then.
FATAL EXCEPTION: main
Steps to reproduce the behavior:
1. Install openboard
2. Delete multiple chars with swipe
3. See what happens
The chars are deleted.</t>
  </si>
  <si>
    <t>hzi-braunschweig-SORMAS-Project-7839</t>
  </si>
  <si>
    <t>sormas-app DatabaseHelper does not sanitize SQL raw queries</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</si>
  <si>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After mobile app gets upgraded from 1.42.3 to 1.60.3, the app crashes immediately when launched.
Investigating this crash reveals that query is unable to handle apostrophes in data values.
Specifically, in the value of contains an apostrophe which causes an SQL syntax error, crashing the app.
### Steps to Reproduce
&lt;!-- Optional please add more steps if necessary --&gt;
1. Install android app version between 1.36.0 and 1.57.2
2. Under case person information, scroll down to the General Practitioner Name and Contact Details text area.
3. Enter any name containing an apostrophe
5. Close the app
6. Upgrade the app to version 1.58.0 or above
7. Launch the app
8. The app fails to launch, displaying SORMAS has stopped. Open app again
### Expected Behavior
The app should launch successfully after the upgrade.
&lt;!-- Optional --&gt;
### System Details
&lt;!-- Mandatory you only have to specify the Server URL if the error appeared on publicly available test server --&gt;
SORMAS version: 1.60.3</t>
  </si>
  <si>
    <t>2022-02-01</t>
  </si>
  <si>
    <t>ably-ably-java-743</t>
  </si>
  <si>
    <t>`ConcurrentModificationException` when `unsubscribe` then `detach` channel presence listener</t>
  </si>
  <si>
    <t>customer is experiencing crash with ably-java version 1.2.10 (https: github.com ably ably-java releases tag v1.2.10), therefore my understanding is that this is pure JVM (i.e. server type application think it some kind of bot), not Android. They have described the scenario to us:
When the UserA encounters new user join to chatroom he was in it registers the user presence listener.
When UserA no longer needs to track the users presence (not member of any active chat rooms), the listener is removed:
catch (AblyException e)
The error is encountered mostly when user goes offline....
The following is the exception stack:
(some details redacted above)
Hubspot (internal) threads conversing with this customer are here (https: app.hubspot.com live-messages 6939709 inbox and, then, here (https: app.hubspot.com live-messages 6939709 inbox
Issue is synchronized with this Jira Uncategorised (https: ably.atlassian.net browse SDK-1524) by Unito (https: www.unito.io)</t>
  </si>
  <si>
    <t>2022-01-31</t>
  </si>
  <si>
    <t>nextcloud-android-9780</t>
  </si>
  <si>
    <t>Failed to connect using the Android client</t>
  </si>
  <si>
    <t>### Steps to reproduce
1. Start NextCloud client on Android
2. Fill in server data and log in
### Expected behaviour
The application should successfully login
### Actual behaviour
The application verifies my identify couple of times in row (&gt;5) and is crashing.
************ CAUSE OF ERROR ************
Caused by: Accessing result data after operation failed!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t>
  </si>
  <si>
    <t>2022-01-30</t>
  </si>
  <si>
    <t>PojavLauncherTeam-PojavLauncher-2654</t>
  </si>
  <si>
    <t>[BUG] 1.18.1 debug crash with error code -1</t>
  </si>
  <si>
    <t>### Describe the bug
1.18.1 optifine crash
### The log file and images videos
---- Minecraft Crash Report ----
Hey, that tickles! Hehehe!
Caused by: yk: Invalid shaders core rendertype text.json: Couldn compile vertex program (minecraft:shaders core rendertype text.vsh, rendertype text) 0:23: S0001: Type mismatch in arithmetic operation between ivec2 and float
Caused by: Couldn compile vertex program (minecraft:shaders core rendertype text.vsh, rendertype text) 0:23: S0001: Type mismatch in arithmetic operation between ivec2 and float
... 11 more
detailed walkthrough of the error, its code path and all known details is as follows:
-- Head --
-- Initialization --
-- System Details --
Minecraft Version: 1.18.1
Minecraft Version ID: 1.18.1
Operating System: Linux (aarch64) version Android-11
Processor Vendor: 0x53
Frequency (GHz): -0,00
Number of physical packages:
Number of physical CPUs:
Number of logical CPUs:</t>
  </si>
  <si>
    <t>Anuken-Mindustry-6541</t>
  </si>
  <si>
    <t xml:space="preserve">No me cargan los servidores :v in English: I don't load the servers </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</si>
  <si>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</si>
  <si>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PojavLauncherTeam-PojavLauncher-2639</t>
  </si>
  <si>
    <t>[BUG] &lt;Need help with using versions infdev and older&gt;</t>
  </si>
  <si>
    <t>### Describe the bug
When try to launch some versions of infdev you can move the camera other infdev versions you can play because of crashing and other versions that are older than infdev like indev, and rd they crash almost immediately.
the new issue is you can use betacraft on pojavlauncher
### The log file and images videos
will add it soon
### Steps To Reproduce
select old version like old old example rd version or indev p.s. indev and infdev are different
indev is in development and infdev is infinite development and these are old versions of minecraft
### Expected Behavior
when start old version it would behave like it came out (other than the sound)
Device model: samsung galaxy tab
CPU architecture: idk but the images might help
Android version: 7.1.1
PojavLauncher version: play store
### Anything else?
wonder if pojavlauncher and beta craft could team up to get mobile port of beta craft.
links to every time reported these issues</t>
  </si>
  <si>
    <t>2022-01-28</t>
  </si>
  <si>
    <t>Anuken-Mindustry-6537</t>
  </si>
  <si>
    <t>Guardian Bug</t>
  </si>
  <si>
    <t>**Steps to reproduce**: just reached Wave 20 on Biomass Synthesis Facility, waiting to destroy the Guardian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</si>
  <si>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nextcloud-news-android-1055</t>
  </si>
  <si>
    <t>App crashes in Android 12 (io.reactivex.exceptions.UndeliverableException) in the background</t>
  </si>
  <si>
    <t>was not using the app and just in the background there was this crash exception apparently. The only things are low power, energy saving mode and an mobile network to wifi swutch that could have influenced this.
Ah just noticed that the app actually crashes with the same exception when starting it. It loads the feeds, but then just at the end of loading guess, it crashes:
Caused by: Failed to allocate 115468864 byte allocation with 33554432 free bytes and 108MB until OOM, target footprint 188688608, growth limit 268435456
Android 12, CalyxOs
Installed from F-Droid</t>
  </si>
  <si>
    <t>PojavLauncherTeam-PojavLauncher-2633</t>
  </si>
  <si>
    <t>I can't load littletiles mod[BUG] &lt;Short description&gt;</t>
  </si>
  <si>
    <t>### Describe the bug
Littletiles mod crashes my game and when put creativecore on my mods folder it blacks my screen
### The log file and images videos
### Steps To Reproduce
### Expected Behavior
expected that it loads up normall like how the PC players load it
Device model: A12pro
CPU architecture: aarch64
Android version: 11
PojavLauncher version: crocus-v3 openjdk
### Anything else?</t>
  </si>
  <si>
    <t>2022-01-27</t>
  </si>
  <si>
    <t>PojavLauncherTeam-PojavLauncher-2631</t>
  </si>
  <si>
    <t>[BUG]Forge 39.0.0 (1.18.1) crash</t>
  </si>
  <si>
    <t>### Describe the bug
When launch forge 39.0.0, it crashes and says:
### The log file and images videos
--------- beggining with launcher debug
Added custom env: TMPDIR data user net.kdt.pojavlaunch cache
Added custom env: AWTSTUB WIDTH 2400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lib jli: data user net.kdt.pojavlaunch runtimes lib: system lib64: vendor lib64: vendor lib64 hw: data app lib arm64
Added custom env: POJAV RENDERER opengles3
Added custom env: LIBGL ES
Added custom env: MESA LOADER DRIVER OVERRIDE zink
Added custom env: MESA GLSL VERSION OVERRIDE 460
Added custom env: JAVA HOME data user net.kdt.pojavlaunch runtimes
Added custom env: MESA GL VERSION OVERRIDE 4.6</t>
  </si>
  <si>
    <t>ASE-Projekte-WS-2021-ase-ws-21-servus-50</t>
  </si>
  <si>
    <t>Crash when attended Event is deleted</t>
  </si>
  <si>
    <t>As user, want to open the app, without it crashing, when an Event was deleted
Event can be attended
App can be closed
App can be started again, after Event was deleted without crashing</t>
  </si>
  <si>
    <t>PojavLauncherTeam-PojavLauncher-2624</t>
  </si>
  <si>
    <t>[BUG] Red Screen When Joining 1.17 servers</t>
  </si>
  <si>
    <t>### Describe the bug
Red screen on 1.17 1.18 crashing on servers and can install exe
### The log file and images videos
### Steps To Reproduce
### Expected Behavior
Device model:Realme C12
PojavLauncher version:Crocus V3 Open3djk
### Anything else?</t>
  </si>
  <si>
    <t>ably-ably-java-741</t>
  </si>
  <si>
    <t>`IllegalStateException` in `Crypto` `CBCCipher`'s `decrypt` method</t>
  </si>
  <si>
    <t>We ve had this reported by customer using our Flutter Plugin.
ve reported this issue in this repository, however, as the call stack falls entirely within code from this SDK.
Cipher not initialized
They have tens of thousands of Android app users and thus far have just seen one instance of this in their reported crash logs.
See this internal Slack message (https: archives C012DA29VM0 ts C012DA29VM0), which contains link to the Firebase console for this Crashlytics entry, to which some the Ably internal team have access.
**Device**: Realme realme
**OS**: Android 10
**Device state**: background
Issue is synchronized with this Jira Uncategorised (https: ably.atlassian.net browse SDK-1518) by Unito (https: www.unito.io)</t>
  </si>
  <si>
    <t>PojavLauncherTeam-PojavLauncher-2616</t>
  </si>
  <si>
    <t>Minecraft crashes no crash report</t>
  </si>
  <si>
    <t>### Describe the bug
When try pojav117assest patcher
### The log file and images videos
--------- beggining with launcher debug
Added custom env: TMPDIR data user cache
Added custom env: AWTSTUB WIDTH 1556
Added custom env: POJAV NATIVEDIR data app lib arm
Added custom env: REGAL GL VERSION 4.5
Added custom env: REGAL GL VENDOR Android
Added custom env: LIBGL MIPMAP
Added custom env: allow higher compat version true
Added custom env: LIBGL SHRINK
Added custom env: MESA GLSL CACHE DIR data user cache
Added custom env: LIBGL NOINTOVLHACK
Added custom env: force glsl extensions warn true
Added custom env: LIBGL NORMALIZE
Added custom env: LD LIBRARY PATH data user runtimes lib jli: data user runtimes lib: system lib: vendor lib: vendor lib hw: data app lib arm
Added custom env: POJAV RENDERER opengles2
Added custom env: LIBGL ES
Added custom env: VTEST SOCKET NAME data user cache .virgl test</t>
  </si>
  <si>
    <t>2022-01-26</t>
  </si>
  <si>
    <t>Anuken-Mindustry-6533</t>
  </si>
  <si>
    <t>Version 135 from itch.io crash on launch</t>
  </si>
  <si>
    <t>crash on launch see crash log
**Steps to reproduce**: *How you happened across the issue, and what exactly you did to make the bug happen.*
download zip, extract, launch, look at crash log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NA no save as game not start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search found this, but seemed unrelated? https: github.com Anuken Mindustry issues?q</t>
  </si>
  <si>
    <t>2022-01-25</t>
  </si>
  <si>
    <t>TeamNewPipe-NewPipe-7704</t>
  </si>
  <si>
    <t>Fix crash when long-pressing stream while player is starting</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</si>
  <si>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This PR fixes in that could happen when the player queue is null i.e. when the player is starting. It also adds Nullable here and there so that Android Studio linter reports risks of NPEs.
think this PR should be merged before the next release as it just adding an if (... null) but solves big issue.
#### Fixes the following issue(s)
&lt;!-- Prefix issues with Fixes so that GitHub closes them when the PR is merged (note that each Fixes should be in its own item). Also add any other relevant links. --&gt;
And many other duplicates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</si>
  <si>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doublesymmetry-react-native-track-player-1392</t>
  </si>
  <si>
    <t>Event.RemoteDuck: App crash when iPhone receive an incoming call</t>
  </si>
  <si>
    <t>**Describe the Bug**
My App crash when my iPhone receive an incoming call.
Even implementing Event.RemoteDuck async event ..
**Steps To Reproduce**
If added Even implementing Event.RemoteDuck async event .. and async on service.js only if app were on background it ll works fine.
**Code To Reproduce**
Event.RemoteDuck async event
if (event.paused true)
if (wasPausedByDuck true)
Android SDK: Not Found
Android Studio: Not Found
Paste the exact version you are using: 2.1.2
Real device? Or simulator?: Real Device
What OS are you running?: iOS 15.2.1
**How can Help**
read the documentation. double check on example project.</t>
  </si>
  <si>
    <t>Blankj-AndroidUtilCode-1598</t>
  </si>
  <si>
    <t>屏幕适配后，华为手机长按edittext弹出的复制粘贴按钮显示不全</t>
  </si>
  <si>
    <t>## Describe the bug
clear and concise description of what the bug is.
The version of AndroidUtilCode: &lt;!-- e.g. utilcode:1.16.3 or utilcodex:1.16.3 --&gt;
The device: &lt;!-- e.g. Nexus 5X --&gt;
The version of device: &lt;!-- API 27 --&gt;
## The code of bug
put your code here
## The stack of crash
Caused by: should init first
put the stack of crash here
If applicable, add screenshots to help explain your problem.
## Please delete the current line and the following.
Thank you for supporting AndroidUtilCode (https: github.com Blankj AndroidUtilCode).</t>
  </si>
  <si>
    <t>material-components-material-components-android-2532</t>
  </si>
  <si>
    <t>[MaterialCardView] Attempt to invoke virtual method 'void android.graphics.drawable.Drawable.setCallback(android.graphics.drawable.Drawable$Callback)' on a null object reference</t>
  </si>
  <si>
    <t>Version 1.5.0 and above and **Android and below** only
use ActionMode and need to mark items in the list as checked. do not want to show checkedIcon so set it to null as below.
This (setting it to null) causes crash when set click listener to the card.
Issue is not present on 1.4.0</t>
  </si>
  <si>
    <t>2022-01-24</t>
  </si>
  <si>
    <t>popeen-Booksonic-App-239</t>
  </si>
  <si>
    <t>Crash on local address</t>
  </si>
  <si>
    <t>When the app is set to using local address but local address is not set it will cause the app to crash on start until appdata is reset.</t>
  </si>
  <si>
    <t>PojavLauncherTeam-PojavLauncher-2611</t>
  </si>
  <si>
    <t>[BUG] Sodium 1.16.5 crashes without explanation</t>
  </si>
  <si>
    <t>### Describe the bug
When you enter the world server, the game simply crashes. used mods: sodium, fabric api, fabric 1.16.5. downloaded mods from the official website. set the graphics settings to low
### The log file and images videos
### Steps To Reproduce
1. Downloaded fabric 1.16.5
2. Installed fabric api, sodium
3. Launched fa
4.Went into single world (tried to log in to the servers)
5.The game instantly crashed out without errors
### Expected Behavior
expected to be able to go into the world or the server
Device model: honor 9c
CPU architecture: aarch64
Android version: 10
PojavLauncher version:Latest Beta and Latest Release
### Anything else?
treat this project with great respect and want it to develop further.</t>
  </si>
  <si>
    <t>deepjavalibrary-djl-1480</t>
  </si>
  <si>
    <t>JVM warning for disabling stack guard when running with torch native 1.10.0</t>
  </si>
  <si>
    <t>ERROR OpenJDK 64-Bit Server VM warning: You have loaded library root .djl.ai pytorch 64 libtorch cpu.so which might have disabled stack guard. The VM will try to fix the stack guard now.
ERROR It highly recommended that you fix the library with execstack -c &lt;libfile&gt; or link it with -z noexecstack
### Expected Behavior
This message doesn appear with torch native 1.9.1
### Error Message
See above. It doesn seem to cause crash for me so far and not entirely sure about the implications of this warning, but looks like something important enough to look into
## How to Reproduce?
Run pytorch engine with djl 0.15.0 and pytorch native 1.10.0 on linux cpu
## What have you tried to solve it?
Nothing so far. looks like an issue with the native library.
## Environment Info
Please run the command gradlew debugEnv from the root directory of DJL (if necessary, clone DJL first). It will output information about your system, environment, and installation that can help us debug your issue. Paste the output of the command below:
--------------- Hardware --------------
Available processors (cores):
Byte Order: LITTLE ENDIAN
Free memory (bytes): 210618976
Maximum memory (bytes): 3663200256
Total memory available to JVM (bytes): 247463936
Heap committed: 247463936
Heap nonCommitted: 30212096</t>
  </si>
  <si>
    <t>Anuken-Mindustry-6516</t>
  </si>
  <si>
    <t>Banned units are able to be made using logic</t>
  </si>
  <si>
    <t>Windows 11 64bit
Banned units can be made by using logic to force an lower tier unit into reconstructor.
**Steps to reproduce**: *How you happened across the issue, and what exactly you did to make the bug happen.*
open the game
edit map, banning horizon or any other unit
play the map
use logic (payEnter function)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</si>
  <si>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2022-01-22</t>
  </si>
  <si>
    <t>itsaky-AndroidIDE-59</t>
  </si>
  <si>
    <t>AndroidIdE crashed trying to open Terminal</t>
  </si>
  <si>
    <t>patzly-grocy-android-485</t>
  </si>
  <si>
    <t>Crash when adding item to shopping list</t>
  </si>
  <si>
    <t>have few products in the master list, and when try and add one to the shopping list, the app crashes. Not sure how to get logs off my Android, bit if you tell me what you need, sure can get them for you.</t>
  </si>
  <si>
    <t>2022-01-21</t>
  </si>
  <si>
    <t>cgeo-cgeo-12577</t>
  </si>
  <si>
    <t>Android 5 - Crash when opening cache details (NoClassDefError)</t>
  </si>
  <si>
    <t>### Describe your problem!
While checking out release on an Android (API 21) emulator have reproducible crash when trying to open certain (but not all) stored cache.
### How to reproduce?
Open stored list
Click on the cache to open its details
### Actual result after these steps?
### Expected result after these steps?
### c:geo Version
### System information
### Additional Information</t>
  </si>
  <si>
    <t>SATYAJIT1910-MediClock-1</t>
  </si>
  <si>
    <t>Bugs of v1.3</t>
  </si>
  <si>
    <t>The app is crashing in the android 12 devices during an add operation.
Most probable cause is AlarmManager initialization.
The Notifications are not coming when the app is not loaded on the RAM. All the tasks are getting stacked meanwhile. The cause is also elated to the use of AlarmManager. It may be fixed with Worker class</t>
  </si>
  <si>
    <t>PojavLauncherTeam-PojavLauncher-2594</t>
  </si>
  <si>
    <t>[BUG] I Cant install a different instance with Fabric Installer (Chromebook???)</t>
  </si>
  <si>
    <t>### Describe the bug
Every time try to install second instance of fabric installer, it either exits or just does not work at all...
### The log file and images videos
### Steps To Reproduce
1. Download Fabric Launcher 10.12
2. Open ProjavLauncher and Sign-In
3. Click options
4. Click the top-most option
5. Chose the newly installed fabric lancher
6. Install 1.18 like normal
7. Now do steps again
8. It will crash...
### Expected Behavior
expected it to open the window for the fabric installer so can get 1.17 instance of fabric.
Device model: R96-14268.67.0
CPU architecture: x86 64
Android version: 11
PojavLauncher version: crocus-v3 openjdk
### Anything else?
**ALSO** on big thing is that on ***Chromebook...***</t>
  </si>
  <si>
    <t>2022-01-20</t>
  </si>
  <si>
    <t>krlvm-PowerTunnel-Android-106</t>
  </si>
  <si>
    <t>Application list crashes when using search before it has been loaded</t>
  </si>
  <si>
    <t>PojavLauncherTeam-PojavLauncher-2586</t>
  </si>
  <si>
    <t>[BUG] keeps on crashing when trying to install forge 1.8.9</t>
  </si>
  <si>
    <t>### Describe the bug
### The log file and images videos
### Steps To Reproduce
1. Start pojav
3. Click options
4. Launch mod installer
5. Choose forge 1.8.9 file
### Expected Behavior
expect it to install and run
Device model: Samsung a12
CPU architecture: aarch64
Android version: 11
PojavLauncher version: latest version on play store
### Anything else?</t>
  </si>
  <si>
    <t>ASE-Projekte-WS-2021-ase-ws-21-konferenzassistent-29</t>
  </si>
  <si>
    <t>App Crashed auf Android Version 10.0 (API 29)</t>
  </si>
  <si>
    <t>Auf Version 10.0, Api level 29 crashed die App beim erstellen des Foreground Services mit dem Fehler:</t>
  </si>
  <si>
    <t>2022-01-19</t>
  </si>
  <si>
    <t>Azure-azure-sdk-for-android-984</t>
  </si>
  <si>
    <t>[BUG] Android SDK crashing when instantiating CallAgentOptions</t>
  </si>
  <si>
    <t>**Describe the bug**
It not possible to create an instance of CallAgentOptions(). An exception is thrown
***Exception or Stack Trace***
Create project, add to gradle
Anywhere in the code add
CallAgentOptions callOptions new CallAgentOptions()
CallAgentOptions callOptions new CallAgentOptions()
would expect to be able to istantiate CallAgentOptions object to use it as parameter in
**Setup (please complete the following information):**
OS: Android 12
IDE Android Studio
Without trying to use CallAgentOptions can perform call without any issue.
Kindly make sure that you have added all the following information above and checkoff the required fields otherwise we will treat the issuer as an incomplete report
Bug Description Added
Repro Steps Added
Setup information Added</t>
  </si>
  <si>
    <t>flutter-package-images_picker-69</t>
  </si>
  <si>
    <t>crash after open camera on android 30,</t>
  </si>
  <si>
    <t>Doctor summary (to see all details, run flutter doctor -v):
Flutter (Channel stable, 2.8.1, on macOS 12.0.1 21A559 darwin-x64, locale
Android toolchain develop for Android devices (Android SDK version 31.0.0)
Xcode develop for iOS and macOS (Xcode 13.2.1)
Chrome develop for the web
Android Studio (version 2020.3)
Connected device (5 available)
Android 10, device Xiaomi
List&lt;Media&gt; res await
its look like going well, but after click done,
suddenly check device already lost,
but think it because not connecting with my laptop,
then trying with
flutter build apk --release
the apps already force close,
Lost connection to device.</t>
  </si>
  <si>
    <t>TeamNewPipe-NewPipe-7671</t>
  </si>
  <si>
    <t>Swiping doesn't add additional search results in landscape mode</t>
  </si>
  <si>
    <t>&lt;!-- This checklist is COMPULSORY. The first box has been checked for you to show you how it is done. --&gt;
am using the latest version 0.21.15&lt;!--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Rotate your tablet into landscape mode
2. Do search
3. Try to swipe to get more results
### Actual behavior
On tablet that is big enough to display search results grid, the last cell in the grid is empty because initially only the first 20 results are shown. So swiping doesn work and won add the next results. If you rotate to portrait and swipe to add additional results and then rotate back to landscape, swiping also works in landscape mode and adds additional results.
### Expected behavior
Swiping should load additional results if available, even if not all cells in the grid are filled. Or load enough results to fully fill the grid.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</si>
  <si>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2022-01-18</t>
  </si>
  <si>
    <t>jellyfin-jellyfin-androidtv-1361</t>
  </si>
  <si>
    <t>Crashes when playing content</t>
  </si>
  <si>
    <t>### Describe the bug
1. Goto Movies
2. Select movie
3. Play movie
4. After playing for few minutes, the app crashes and restarts
In addition to the crash, the movie is not displayed in the continue watching area. This seems to occur with 1080p content but not 720p content. It might be worth mentioning that can play the same videos on jellyfin in chrome and they work fine. will try to isolate the differences between what works and doesn and try to grab logs when can.
### Application version
### Where did you install the app from?
### Device information
Chromecast with Google TV
### Android version
### Jellyfin server version</t>
  </si>
  <si>
    <t>nextcloud-android-9712</t>
  </si>
  <si>
    <t>Client crash on confirming auto-upload</t>
  </si>
  <si>
    <t>### Steps to reproduce
3. first time crash under those circumstances
### Expected behaviour
expected return to the auto-upload screen in the sttings when pressed OK on the dialog for custom upload directory (OSMand-data-dir, trying to get to the saved GPS-tracks)
### Actual behaviour
### more info
can type on telephone, will continue when at desktop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</si>
  <si>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2022-01-17</t>
  </si>
  <si>
    <t>zeroc-ice-ice-demos-145</t>
  </si>
  <si>
    <t>Swift iOS demo crash showing alert</t>
  </si>
  <si>
    <t>Terminating app due to uncaught exception NSGenericException reason: Your application has presented
UIAlertController 0x12f014600&gt;) of style from
0x12a816e00&gt;). The of UIAlertController
with this style is You must provide location information for this popover through the
alert controller You must provide either sourceView and sourceRect or barButtonItem.
If this information is not known when you present the alert controller, you may provide it in the</t>
  </si>
  <si>
    <t>gsantner-markor-1565</t>
  </si>
  <si>
    <t xml:space="preserve">Crash after rotating the note to landscape or back to portrait </t>
  </si>
  <si>
    <t>## General information
App version: 2.8.5
Android version: 7.1.2 arm64
Device: Lenovo, ViperOS
understand that this issue will be closed without further notice in case didn describe the problem including general information, or didn search (https: github.com gsantner markor issues?q for similar issues requests (https: github.com gsantner markor ).
App will crash when we are inside note and trying to rotate the device to landscape mode or after opening the note in landscape mode and trying to rotate to portrait mode the app itself is OK and no problem and crash the issue happens when we are inside the note and especially edit mode.</t>
  </si>
  <si>
    <t>2022-01-16</t>
  </si>
  <si>
    <t>TeamNewPipe-NewPipe-7662</t>
  </si>
  <si>
    <t>Fix crash when sharing a playlist which is loading</t>
  </si>
  <si>
    <t>#### What is it?
Bugfix (user facing)
#### Description of the changes in your PR
This PR prevents by adding null check for currentInfo when trying to share playlist which is loading. Instead of crashing, the app does now nothing when pressing the Share button on playlist which is loading, like on channels.
#### Fixes the following issue(s)
&lt;!-- Prefix issues with Fixes so that GitHub closes them when the PR is merged (note that each Fixes should be in its own item). Also add any other relevant links. --&gt;
#### APK testing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</si>
  <si>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2022-01-15</t>
  </si>
  <si>
    <t>PojavLauncherTeam-PojavLauncher-2564</t>
  </si>
  <si>
    <t>[BUG] whenever i login app crashes</t>
  </si>
  <si>
    <t>### Describe the bug
couldn join servers so installed testing v3. It required java runtime arm aarch32 (.tar.xz) and choose the one that came with MCinabox. even tried other versions, erased app data, even deleted pojavlauncher folders, still the same
### The log file and images videos
### Steps To Reproduce
1. Open MCinabox
2. Login offline account
3. App crashes
### Expected Behavior
Game crashes after login
Device model: Samsung galaxy v3 2017 SM-J330F
Quad-Core, processor: 1.4GHz Quad-Core ARM Cortex-A53
PojavLauncher version: 3.3.1 (edit)
### Anything else?
My phone is rooted with magisk and before pojavlauncher worked just fine</t>
  </si>
  <si>
    <t>TeamNewPipe-NewPipe-7659</t>
  </si>
  <si>
    <t>Load enough initial items and fix crash in lists (BaseListFragment and descendants)</t>
  </si>
  <si>
    <t>#### What is it?
Bugfix (user facing)
Feature (user facing)
Codebase improvement (dev facing)
Meta improvement to the project (dev facing)
#### Description of the changes in your PR
Fixes #1974 by loading enough initial data until the RecyclerView is scrollable or no more data items can be loaded improved behavior from PR #7638
Fixes #3368 and fixes #4475 by not reusing the footer (and supplying the header dynamically)
#### Before After Screenshots Screen Record
Before: See #1974
#### Fixes the following issue(s)
#### APK testing
The APK can be found by going to the Checks tab below the title. On the left pane, click on CI scroll down to artifacts and click app to download the zip file which contains the debug APK of this PR.
Tips for testing:
The changes can be at best tested with tablet and Grid-mode enabled
#### Due diligence
read the contribution guidelines (https: github.com TeamNewPipe NewPipe blob HEAD .github CONTRIBUTING.md).</t>
  </si>
  <si>
    <t>PojavLauncherTeam-PojavLauncher-2561</t>
  </si>
  <si>
    <t>[BUG] &lt;I can't install Minecraft forge 1.12.2&gt;</t>
  </si>
  <si>
    <t>### Describe the bug
When try to install Minecraft forge version 1.12.2 14.23.5.2860 the app crash and show me error messages
### The log file and images videos
### Steps To Reproduce
2. Enter with your account
3. Tap on the setting button under the versions slot
4. Select The first option
5. Choose the forge version you downloaded
7. The app crashes
### Expected Behavior
expect the game will start with forge
Device model: cph2135 oppo a53
CPU architecture: AArch64 processor rev
Android version: 11.1
PojavLauncher version: crocus-v3 openjdk
### Anything else?</t>
  </si>
  <si>
    <t>TeamNewPipe-NewPipe-7657</t>
  </si>
  <si>
    <t>App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</si>
  <si>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behavior
&lt;!-- Tell us what happens with the steps given above. --&gt;
go to video to download
press on download
swipe to folder you want to save it to
It will then say that the app has crashed
### Expected behavior</t>
  </si>
  <si>
    <t>TeamNewPipe-NewPipe-7655</t>
  </si>
  <si>
    <t>Full-screen doesn't fill bottom half of screen on Android 12</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</si>
  <si>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YouTube video, any resolution
2. Press the full screen button
&lt;!-- If you can cause the bug to show up again reliably (and hence don have proper set of steps to give us), please still try to give as many details as possible on how you think you encountered the bug. --&gt;
### Actual behavior
Full screen is smushed to the top section of the screen. Opening and closing full screen repeatedly will eventually stop the issue.
### Expected behavior
Video fills screen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</si>
  <si>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2022-01-14</t>
  </si>
  <si>
    <t>nextcloud-android-9695</t>
  </si>
  <si>
    <t>[Dev] App crash</t>
  </si>
  <si>
    <t>The application crashed when deleting the user account.
************ CAUSE OF ERROR ************
Caused by: No value present
... 11 more
************ APP INFORMATION ************
Build flavor: versionDev</t>
  </si>
  <si>
    <t>2022-01-13</t>
  </si>
  <si>
    <t>itsaky-AndroidIDE-51</t>
  </si>
  <si>
    <t>[BUG] Unable to delete sysroot directory</t>
  </si>
  <si>
    <t>**Describe the bug**
AndroidIDE crash report
Steps to reproduce the behavior:
1. Try to open terminal
clear and concise description of what you expected to happen.
Device: Samsung j7Pro
AndroidIDE Version 2.0-beta</t>
  </si>
  <si>
    <t>PojavLauncherTeam-PojavLauncher-2545</t>
  </si>
  <si>
    <t>[BUG] LabyMod Freaked Out</t>
  </si>
  <si>
    <t>### Describe the bug
when use GL4ES with labymod at first is crashes
and then run labymod at the seccond time....there is some missing textures and it freaked out for some reason
### The log file and images videos
### Steps To Reproduce
1. Start Labymod 1.16.5
2. Go to MultiPlayer
3. Click addon
### Expected Behavior
Device model: vivo y11 32G
CPU architecture: aarch54
Android version: 11
PojavLauncher version: electric boogaloo
### Anything else?
bring back zink and recompile it for better performance</t>
  </si>
  <si>
    <t>2022-01-12</t>
  </si>
  <si>
    <t>Anuken-Mindustry-6486</t>
  </si>
  <si>
    <t>A few issue with the PPT</t>
  </si>
  <si>
    <t>v7 release build 135
also tested in BE build 22284
Basically founded few issue with the Payload Prop. Tower.
Payload Prop Tower Perfering Shooting than Outputing
Construction Process are Rotated
**Steps to reproduce**: *How you happened across the issue, and what exactly you did to make the bug happen.*
First one Build PPT shooting each other, the payload won output
Second Build PPT tower rotated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</si>
  <si>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OpenTracksApp-OpenTracks-1086</t>
  </si>
  <si>
    <t>[v3.24.0]: Crash while recording/paused when opening charts</t>
  </si>
  <si>
    <t>OpenTracks v3.24.0 crashes while tracking is paused. Just tap to the By time and wait one second.
1. Start tracking.
2. Pause tracking.
3. Tap to the By time
4. Wait one second.
Log in Android studio:
And still below than meters above sea level in v3.24.0
Device: Honor KSA-LX9</t>
  </si>
  <si>
    <t>2022-01-11</t>
  </si>
  <si>
    <t>yasirkula-UnityNativeFilePicker-18</t>
  </si>
  <si>
    <t>Android: java.lang.NumberFormatException: For input string: "msf:56534"</t>
  </si>
  <si>
    <t>**Description of the bug**
when picking up the file on Android
Exception during zip file picking from Downloads folder on Android and app crash right after it.
**Code to repro**
var fileTypes zip
if (path null)
Debug.Log( Operation cancelled
Debug.Log( Picked file: path)
do stuff with file
new string fileTypes
Debug.Log( Permission result: permission)
**Logs for the above**
Any suggestions? think it worked before so maybe just got weird file?</t>
  </si>
  <si>
    <t>SilviaAsmat-TipCalculator-6</t>
  </si>
  <si>
    <t>Handle tip percent too big crash</t>
  </si>
  <si>
    <t>Create error message text for tip percent Invalid tip percent
Show error in edit text inline error message</t>
  </si>
  <si>
    <t>2022-01-10</t>
  </si>
  <si>
    <t>PojavLauncherTeam-PojavLauncher-2533</t>
  </si>
  <si>
    <t>[BUG] 1.18 crashing at red home screen (need support for opengl3.2)</t>
  </si>
  <si>
    <t>### Describe the bug
This is what see everytime try to load 1.18 and 1.18.1. everything is fine with 1.17 but idk why 1.18 doesn work and it keeps asking for opengl 3.2, so can we get some support on that.
### The log file and images videos
### Steps To Reproduce
1. Start Launcher, select 1.18 or 1.18.1 with any renderer
### Expected Behavior
expect the game to launch
Device model: OnePlus A6003
CPU architecture: aarch64
Android version: 11
PojavLauncher version: latest from play store
### Anything else?</t>
  </si>
  <si>
    <t>PojavLauncherTeam-PojavLauncher-2532</t>
  </si>
  <si>
    <t>[BUG] Why does Timeless and Classics Mod Crash</t>
  </si>
  <si>
    <t>### Describe the bug
So just downloaded New Version of this mod called Timeless and Classics for those who dont know what this mod is this is gun mod for 1.16.5 But suddenly its just crash
### The log file and images videos
### Steps To Reproduce
2.Launch the 1.16.5 Forge
### Expected Behavior
Device model: Oppo A12
CPU architecture:8x ARM Cortex-A53 2.30 GHz
PojavLauncher version: crocus-v3 openjdk
### Anything else?</t>
  </si>
  <si>
    <t>lisawray-groupie-417</t>
  </si>
  <si>
    <t>[ANR] com.xwray.groupie</t>
  </si>
  <si>
    <t>**Describe the bug**
We ve been using your library for while, but we ve recently started getting ANRs from your component. For your convenience, ve included two examples of such ANRs. Please take look at these issues and address them so that we receive less ANR from this wonderful library.
main (native): tid systid 5804
#00 pc 0x5e4a8 libc.so
#01 pc 0x131bb3 libart.so
#02 pc 0x4d409b libart.so
#03 pc 0x4d3f21 libart.so
main (runnable): tid systid 21850
Use our application in any low end devices
We do not anticipate such crash.</t>
  </si>
  <si>
    <t>2022-01-09</t>
  </si>
  <si>
    <t>TeamNewPipe-NewPipe-7635</t>
  </si>
  <si>
    <t>System crash wenn adding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</si>
  <si>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was using the NewPipe app
2. and adding videos to the play list when the app froze and
3. also the phone completely froze,
4. only after minute the phone restarted.
It the first serious error ve had with your app, so thought it might be of interest to you.
&lt;!-- If you can cause the bug to show up again reliably (and hence don have proper set of steps to give us), please still try to give as many details as possible on how you think you encountered the bug. --&gt;
### Actual behavior
&lt;!-- Tell us what happens with the steps given above. --&gt;</t>
  </si>
  <si>
    <t>ankidroid-Anki-Android-10121</t>
  </si>
  <si>
    <t>[Bug] Night mode - Reviewer crash</t>
  </si>
  <si>
    <t>###### Reproduction Steps
1. Change to Night Mode
2. Open Reviewer
###### Expected Result
It should let me review the cards.
###### Actual Result
The app crashed
Caused by: Syntax error in regexp pattern near index 47
... 23 more
###### Debug info
AnkiDroid Version 2.16alpha35
Android Version 11
Webview User Agent Mozilla 5.0 (Linux Android 11 SM-M307F Build RP1A.200720.012 wv) AppleWebKit 537.36 (KHTML, like Gecko) Version 4.0 Chrome 97.0.4692.70 Mobile Safari 537.36
Crash Reports Enabled false
DatabaseV2 Enabled true
*Enter an character to confirm the points below:*
have searched for similar existing issues here and on the user forum
(Optional) have confirmed the issue is not resolved in the latest alpha release instructions (https: docs.ankidroid.org</t>
  </si>
  <si>
    <t>SleepingApps-Slurp-106</t>
  </si>
  <si>
    <t>Crash on ProfileView</t>
  </si>
  <si>
    <t>QUando si prova ad aprire la parte di Profile, crasha app</t>
  </si>
  <si>
    <t>2022-01-08</t>
  </si>
  <si>
    <t>PojavLauncherTeam-PojavLauncher-2526</t>
  </si>
  <si>
    <t>[BUG] Crash with all renders on 1.7.10 (except vulkan, but with it 5-10 fps)</t>
  </si>
  <si>
    <t>### Describe the bug
Minecraft 1.7.10 crashes after loading the world in 3-5 seconds on all renders except vulkan. But with it fps 5-10, everything lags.
### The log file and images videos
1. gl4es 1.1.4 (OpenGL ES2) crash after loading world
2. gl4es 1.1.5 (OpenGL ES 2) crash after loading world
3. gl4es 1.1.5 (OpenGL ES 3) crash after loading world
4. **zlink (Vulkan) playable, but very low fps 5-10**
5. vgpu (OpenGL ES 3)
### Steps To Reproduce
1. Start Pojavlauncher
2. Select minecraft 1.7.10 version
4. Loading world
6. After sec crash
### Expected Behavior
expect the game to launches
Device model: Asus Zenfone Pro
CPU architecture: aarch64
Android version: 11
PojavLauncher version: from google play 3.3.1.1 rel 20210321
### Anything else?</t>
  </si>
  <si>
    <t>PojavLauncherTeam-PojavLauncher-2525</t>
  </si>
  <si>
    <t>[BUG] "Halved" lighting in Beta 1.7.3 or older versions.</t>
  </si>
  <si>
    <t>### Describe the bug
** Halved lighting in Beta 1.7.3 or older, nothing extraordinary. Happens on every Android device as far as aware.**
Tested phones: Galaxy J3 2017, Galaxy J5 2017 (my main), Galaxy A10, Galaxy A12, Galaxy S20 FE, Lenovo Tab that lot of samsung phones know xD, but the Lenovo Tab has Snapdragon 425
**This issue fixes itself on Beta 1.8 or newer.**
### The log file and images videos
**This is the behavior with the vanilla b1.7.3. As you can see, halved lighting.**
**This is with OptiFine b1.7.3 HD G. More in Anything else? .**
**Not sure if it helps, but just in case, ve uploaded the latestlog.txt file here:**
### Steps To Reproduce
1. Start PojavLauncher and enable showing of the old-beta version type in the version selector.
2a. Launch b1.7.3 (my friend had weird issue where the supposedly vanilla version had ModLoader in it, not sure why though. If you want to run ModLoader without it crashing, you will definitely need
2b. If this ModLoader issue happens, you will need to copy the vanilla jar from the official Minecraft Launcher or MultiMC and put it in your phone and the correct directory!
3. Create or load into world, go ahead and dig some blocks. Check if they have this halved lighting thing going on.
### Expected Behavior
**After loading into world:** same as Beta 1.8 or newer versions, or rather **no halved lighting.**
Device model: Samsung Galaxy J5 2017 SM-J530F 16GB
CPU architecture: aarch32
Android version: (Pie)
PojavLauncher version: Latest Google Play Store version.
### Anything else?</t>
  </si>
  <si>
    <t>ankidroid-Anki-Android-10108</t>
  </si>
  <si>
    <t>[Bug] 2.16.29alpha crash: Widget - Error receiving broadcast Intent android.intent.action.MEDIA_MOUNTED</t>
  </si>
  <si>
    <t>itsaky-AndroidIDE-45</t>
  </si>
  <si>
    <t>[BUG] Design View Crash App</t>
  </si>
  <si>
    <t>Screenshot com itsaky androidide (https: 33790563
create my android project then open any file res layout .xml then when opening design view the app crashes giving the error in the crash report below
AndroidIDE crash report</t>
  </si>
  <si>
    <t>doublesymmetry-react-native-track-player-1364</t>
  </si>
  <si>
    <t>Mismatch with exoplayer versions</t>
  </si>
  <si>
    <t>## Bug Report
have react native project that uses (https: github.com Giphy and The mismatch in the exoplayer versions causes my app to crash on Android. uses exoplayer 2.13.3, while uses exoplayer 2.11.4.
understand that it isn normally possible for libraries with different exoplayer versions to coexist. am hoping that you could give me some tips or pointers to help me fix this issue. am more than happy to patch one of the libraries locally to fix this issue.
## To Reproduce
1. Have react native app with 2.1.2 and giphy react-native-sdk 1.3.0
2. Start app on Android
3. See mismatch with exoplayer version causing app to crash
## Expected behavior
App launches without crashing.
## Actual Behavior
## Your Environment
Giphy React Native SDK version: 1.3.0
React Native version: 0.66.3
Device info (Simulator Device? OS version? Debug Release?): All android devices</t>
  </si>
  <si>
    <t>Anuken-Mindustry-6473</t>
  </si>
  <si>
    <t>Using GenericCrafter to outputLiquid causes crash</t>
  </si>
  <si>
    <t>Or is it just another user error using GenericCrafter (https: wiki modding 5-types #genericcrafter).
**Steps to reproduce**: went to place Liquid Replicator (Water) in which the game immediately crashes, up on further investigation on if did serious damage caused it to crash again when loaded the save with the original settings (I changed them around back to producing an item just to verify everything else works, which it did)
**Link(s) to mod(s) used**:
No soul reaping needed.
1. crash-report-01 08 2022 01 30 00.txt (https: github.com Anuken Mindustry files 7832758 crash-report-01 08 2022 01 30 00.txt)
2. crash-report-01 08 2022 01 35 59.txt (https: github.com Anuken Mindustry files 7832760 crash-report-01 08 2022 01 35 59.txt)
3. crash-report-01 08 2022 01 57 54.txt (https: github.com Anuken Mindustry files 7832770 crash-report-01 08 2022 01 57 54.txt)
The third crash is from me moving from pre-alpha 134.1 to the lastest afbac48 (Release 6.0 Build 126.2) release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</si>
  <si>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Anuken-Mindustry-6472</t>
  </si>
  <si>
    <t>Привет Антон, Hello anuke</t>
  </si>
  <si>
    <t>have problem on android platform version build 135
The fact is that when put silicon melting game, it simply crashes and so on every time, please do not ignore and fix this bug.</t>
  </si>
  <si>
    <t>2022-01-07</t>
  </si>
  <si>
    <t>mh--corona-warn-companion-android-143</t>
  </si>
  <si>
    <t>Android 11: RaMBLE data cannot be read.</t>
  </si>
  <si>
    <t>Hi, ich habe seit Monaten auf einem Android11-Phone den WAC im RaMBLE-Modus laufen. Funktionierte bis vor einigen Tagen gut, dann crashte das Programm immer bei dem Versuch, Schl ssel und Begegnungen runterzuladen. Hab dann, nachdem ich hier einiges ber das Problem gelesen hatte, die Version 2.3.1 installiert. Die crasht nicht, liefert aber jedes Mal die Fehlermeldung Begegnungen nnen nicht ausgelesen werden. und fragt, ob ich der App erlaubt habe, auf Dateien zuzugreifen (hab ich) und ob ich eine RaMBLE-DB exportiert habe. Ja, hab ich, genauso wie in den Monaten zuvor. Die DB landet am blichen Platz im Download-Ordner und hat eine Gr von ber 60 MB, kann also auch nicht leer sein. Was uft hier falsch? Freu mich ber jeden Hinweis!</t>
  </si>
  <si>
    <t>MuntashirAkon-AppManager-652</t>
  </si>
  <si>
    <t>Crash while changing Mode of operation (2.7.0-1650-DEBUG)</t>
  </si>
  <si>
    <t>Your issue will be closed without warning if you don check at least two items.
know what my device, OS and App Manager versions are
know how to take logs
know how to reproduce the issue which may not be specific to my device
**Describe the bug**
App crashed while changing Mode of operation to ADB over TCP
Steps to reproduce the behaviour:
Open App Manager, change Mode of operation to ADB over TCP
Go back to AppManager home (Onboard Packages)
See dialog that Working on ADB mode then app crashed
Caused by: Cannot create an instance of class
App version code: 395
Android build version: 8704X S001025 190606 ROW
Android release version: 8.1.0
Android SDK version: 27
Android build ID: TB-8704X S001025 190606 ROW
Device brand: Lenovo
Device manufacturer: LENOVO
Device name: TB-8704X
Device model: Lenovo TB-8704X</t>
  </si>
  <si>
    <t>mh--corona-warn-companion-android-142</t>
  </si>
  <si>
    <t>The app crashes when there are many risk encounters and the details for these encounters are viewed</t>
  </si>
  <si>
    <t>Hello, currently have 59 risk encounters and would like to analyze the data, if click on day and scroll bit, the app kicks me out and go in CCTG.</t>
  </si>
  <si>
    <t>2022-01-06</t>
  </si>
  <si>
    <t>OpenTracksApp-OpenTracks-1081</t>
  </si>
  <si>
    <t>Bugfix: use monotonic clock.</t>
  </si>
  <si>
    <t>is not monotonic and might jump forward backward whenever the local device time is updated.
This results in crashes while recording:
1. if the time jumps before start of current segment
2. if the time jumps before the time of the previous trackpoint
Exceptions are nowadays created in TrackStatistics to prevent invalid data, leading to crashes.
We now use clock that is relative to it creation while using the time since boot of the device (guaranteed to be monotonic).</t>
  </si>
  <si>
    <t>mgsx-dev-gdx-gltf-62</t>
  </si>
  <si>
    <t>Procedural models generation causes crashes on Android.</t>
  </si>
  <si>
    <t>compiled code from this tutorial (https: github.com mgsx-dev gdx-gltf blob master gltf test net mgsx gltf procedural and got the following errors:
On Pixel Pro (Android 12):
on Asus ZenFone Pro (Android 10):</t>
  </si>
  <si>
    <t>kike-canaries-canairio_android-127</t>
  </si>
  <si>
    <t>SettingsFixedStation.java line 331 crash</t>
  </si>
  <si>
    <t>Fatal Exception: Error receiving broadcast Intent act RESPONSE SENSOR CONFIG flg 0x10 (has extras) in 6c92b1c
Reported by Crashlytics and relationed with issue #126</t>
  </si>
  <si>
    <t>Benji377-SocyMusic-208</t>
  </si>
  <si>
    <t>App crashes when clicking item in search tab</t>
  </si>
  <si>
    <t>**Describe the bug**
When you try to click one of the listed songs in the Search tab, it makes the app crash
Steps to reproduce the behavior:
1. Go to the search tab
2. Don search anything and click on any of the listed songs
3. The app crashes without warnings
The song should start playing.</t>
  </si>
  <si>
    <t>itsaky-AndroidIDE-43</t>
  </si>
  <si>
    <t>EditorPagerAdpater crashes when trying to close a file</t>
  </si>
  <si>
    <t>**Describe the bug**
When try use terminal and update the sysroot lib after 3--4 attempts it crashes.
**Details (please complete the following information):**</t>
  </si>
  <si>
    <t>PojavLauncherTeam-PojavLauncher-2511</t>
  </si>
  <si>
    <t>Can't login to Microsoft account [BUG] &lt;Short description&gt;</t>
  </si>
  <si>
    <t>### Describe the bug
If you try to login it keeps saying error error error game crash even can sign in with my official Java account
think the developer force coded the launcher to act like this
### The log file and images videos
### Steps To Reproduce
Just try logging in
### Expected Behavior
Game crash or error
Device model: vivo y11
CPU architecture: aarch64
PojavLauncher version: latest
### Anything else?</t>
  </si>
  <si>
    <t>Anuken-Mindustry-6468</t>
  </si>
  <si>
    <t>The buildings of the derelict team are displayed on the minimap as the buildings of my team</t>
  </si>
  <si>
    <t>**Steps to reproduce**: destroy building of derelict teram, and it is displayed on the minimap as the buildings of my team.I was playing in the company when found this bug
**Link(s) to mod(s) used**: Destroy any building of derelict team
**Save file**: https: disk.yandex.ru 8BVftbRFx D5Fg
If you remove the line above without reading it properly and understanding what it means, will reap your soul. Even if you re playing on someone server, you can still save the game to slot.
**(Crash) logs**: It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</si>
  <si>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2022-01-05</t>
  </si>
  <si>
    <t>mh--corona-warn-companion-android-140</t>
  </si>
  <si>
    <t xml:space="preserve">Warn Companion crashes when exporting data from CCTG </t>
  </si>
  <si>
    <t>Screenshot 20220105-120923 Corona Tracing (https: 64130599
Screenshot 20220105-121020 Corona Tracing (https: 64130599
when export data from CCTG Vers. 2.14.1 to Warn Companion, Warn Companion crashes. There is no error message and am always kicked out to the CCTG App.</t>
  </si>
  <si>
    <t>mh--corona-warn-companion-android-137</t>
  </si>
  <si>
    <t>App crashes in RaMBLE Mode</t>
  </si>
  <si>
    <t>Since Jan 4th 2022 the app always crashes while it downloads the Diagnoseschl ssel. Until Jan 3rd 2022 didn have any problems.
My device is not rooted.
Can do anything to do diagnosis why this happens?</t>
  </si>
  <si>
    <t>2022-01-04</t>
  </si>
  <si>
    <t>kike-canaries-canairio_android-126</t>
  </si>
  <si>
    <t>App repeatedly crashes on WiFi fixed station settings</t>
  </si>
  <si>
    <t>**Describe the bug**
was able to connect my device to WiFi using the app, but now each time click on the WiFi fixed station settings the app crashes.
tried an uninstall reinstall but the problem persist.
CanAirIO v0.7.5 rev594
Phone is an Moto G5 plus running AOS 8.1.0</t>
  </si>
  <si>
    <t>Anuken-Mindustry-6467</t>
  </si>
  <si>
    <t>Logic unit control sensor/within instruction output unit that are not binded by the logic.</t>
  </si>
  <si>
    <t>Bug only happen in multiplayer, ve sync every 2minutes or so, to make sure double triple confirm that it not sync issue.
the image above is where my mouse hover above the logic, which shows the mono is currently undercontrol by the logic(diamond shape on the mono), which spins around the logic.
the location of the logic processor is 113,309
this image is where my mouse hovers on the message block to show the message, ve added sensor and of the binded unit, to output the position of the unit to the message block. and ve make sure to sync couple of times to makesure it not desync.
the output of the and location is not the unit that the logic is controlling. 248,255
the image above is the tested in mindustry.ddns.net public sandbox server.
**Steps to reproduce**: Join public multiplayer server, make logic, bind unit and test ucontrol within or sensor feature. there chance that it this bug will happen.(Depending on how busy is the server? possibly? not sure)
ve also tested in multiple community public sandbox server to make sure about this.
Server tested are. Korea Sandbox(V7), Omega Sandbox(V7), Chaotic Neutral Sandbox(V6), mindustry.ddns.net Sandbox(V6), Sakura sandbox(V6)
suggest go to public sandbox multiplayer for convenience sake.
ll also be attaching schematic here(please use pastebin if you felt the file is not safe) and posting link to pastebin that contains the schem for testing, convenience sake that is.
**Link(s) to mod(s) used**: the only mod that use is logic debugger.
**Save file**: ve chosen to not submit save file, ve tested this issue for few day, and have completely confirm that this issue does not happen in single player, also went to public multiplayer sandbox, recreate the bug. then saves the map. then load the game in singleplayer, and the bug went away. You can reap my soul if in any offending way.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</si>
  <si>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SecUSo-privacy-friendly-qr-scanner-115</t>
  </si>
  <si>
    <t>App crashes on scan</t>
  </si>
  <si>
    <t>Tried scanning some barcodes on coupons in the mail and they crash the app. Never had an issue with any others.</t>
  </si>
  <si>
    <t>bounswe-2021SpringGroup9-556</t>
  </si>
  <si>
    <t>Private User Basic Info Is Inaccessible at Profile Page</t>
  </si>
  <si>
    <t>### Platform version, IDE version, browser etc.):
### Steps to reproduce the bug:
1. Search for private user
2. Go to profile page of the private user
### Expected result:
The username, name, surname etc. (User class) of private user is visible at the profile page of private user but the posts are not visible.
### Actual result:
The posts of the private user is invisible. (correct)
But other information to identify the user is also invisible. The API returns 401 code from api user get &lt;user id&gt; endpoint. The application crashes on both frontend and mobile platforms.
### Screenshot(if applicable):
### Error message(if applicable):
### Additional notes:</t>
  </si>
  <si>
    <t>2022-01-03</t>
  </si>
  <si>
    <t>sebastian-blohm-android-1</t>
  </si>
  <si>
    <t>App crashes on screen rotation.</t>
  </si>
  <si>
    <t>Presumably some object gets re-created reset and we re running into null pointer. Need to understand which inflation events get rerun and which objects recreated after rotation.</t>
  </si>
  <si>
    <t>therealsujitk-android-vtop-chennai-12</t>
  </si>
  <si>
    <t>App crashes when swiping through courses</t>
  </si>
  <si>
    <t>App crashes while trying to view the last two courses **Lean Start-up Management** and **Introduction to Innovative Projects**.
### Error Log</t>
  </si>
  <si>
    <t>nextcloud-android-9640</t>
  </si>
  <si>
    <t>Android app: Crash after enter filename for new file while template filename not loaded from server yet</t>
  </si>
  <si>
    <t>The Android app crashes if you create new file and already enter filename while the box for entering filename is still empty (new filename template not yet loaded from server). You have to be fast (or have flaky network connection to have more time to reproduce this) to reproduce this.
### Steps to reproduce
1. Open Android Nextcloud Client
2. Create new Text document
3. While waiting for the empty filename to be loaded from server enter your own characters quickly while the filename field is still empty.
4. Wait until the template for new filename is loaded from server
5. Crash incoming
### Expected behaviour
### Actual behaviour
Android App produced the Stacktrace below
### Can you reproduce this problem on https: try.nextcloud.com?
Not really web problem
### Environment data
************ APP INFORMATION ************
Build flavor: gplay
************ DEVICE INFORMATION ************
************ FIRMWARE ************
************ CAUSE OF ERROR ************
************ APP INFORMATION ************
Build flavor: gplay</t>
  </si>
  <si>
    <t>2022-01-02</t>
  </si>
  <si>
    <t>TeamNewPipe-NewPipe-7608</t>
  </si>
  <si>
    <t>Crash on tap and hold in search results while bg queue is loading</t>
  </si>
  <si>
    <t>&lt;!-- This checklist is COMPULSORY. The first box has been checked for you to show you how it is done. --&gt;
am using the latest version 0.21.15 (see this: comment
am using the older version 0.21.13
checked, but didn find any duplicates (open OR closed) of this issue in the repo. &lt;!-- Seriously, check. --&gt;
gh crash on click and hold search result crash on search result
have read the contribution guidelines given at CONTRIBUTING.md
This issue contains only one bug. will open one issue for every bug report want to file.
crash on click and hold search result https: github.com TeamNewPipe NewPipe issues?q
crash on search result https: github.com TeamNewPipe NewPipe issues?q
### Steps to reproduce the bug
1. Search for anything
2. Press and hold on any search result
3. Tap on Start playing in the bg
4. Quickly repeat step 2, i.e. before the song loads and starts playing
5. Confirmed crash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</si>
  <si>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PojavLauncherTeam-PojavLauncher-2494</t>
  </si>
  <si>
    <t>[BUG] sodium 0.1.0 crashed randomly or idk</t>
  </si>
  <si>
    <t>### Describe the bug
My sodium crashing randomly when changing render distance or idk
prolly bcz watched Hindi tutorial for the sodium
### The log file and images videos
### Steps To Reproduce
Start pojavlauncher blablabla
### Expected Behavior
want to play sodium without crash
Device model: Redmi note 4x
CPU architecture: aarch64
PojavLauncher version: on the log
### Anything else?</t>
  </si>
  <si>
    <t>2022-01-01</t>
  </si>
  <si>
    <t>PojavLauncherTeam-PojavLauncher-2490</t>
  </si>
  <si>
    <t>[BUG] Minecraft 1.12.2 Crash</t>
  </si>
  <si>
    <t>### Describe the bug
played Pojav launcher for To minutes then it crashes by itself
### The log file and images videos
### Steps To Reproduce
1. Open Pojav launcher
2. Play on version 1.12.2
### Expected Behavior
Crash itself When play for to minutes
Device model: Vivo y50
CPU architecture: Aarch64
Android version: 10
PojavLauncher version: playstore version crocus V3 jdk
### Anything else?</t>
  </si>
  <si>
    <t>PojavLauncherTeam-PojavLauncher-2488</t>
  </si>
  <si>
    <t>[BUG] I hate ptrace</t>
  </si>
  <si>
    <t>### Describe the bug
Application crashed when loaded world in vanilla optifine version of 1.18.x
### The log file and images videos
### Steps To Reproduce
1. Start PojavLauncher
2. Start 1.18.1-OptiFine HD H4
3. Load World
### Expected Behavior
expect the game running as normal
Device model: Mi Note
CPU architecture: aarch64
Android version: 11
PojavLauncher version: openjdk
### Anything else?</t>
  </si>
  <si>
    <t>2021-12-31</t>
  </si>
  <si>
    <t>Anuken-Mindustry-6462</t>
  </si>
  <si>
    <t>Crash when host attempts to occupy the same turret as another player</t>
  </si>
  <si>
    <t>**Steps to reproduce**:
1. Open Ground Zero and Host
2. Join as guest player (see command below)
3. Guest occupies duo turret with ctrl-click
4. Host attempts to occupy the same duo
**Link(s) to mod(s) used**: unmodded
**Save file**: occupy-crash.zip (https: github.com Anuken Mindustry files 7796353 occupy-crash.zip) This was created by resetting game data and just launching the campaign.
**(Crash) logs**: occupy-crash.txt (https: github.com Anuken Mindustry files 7796354 occupy-crash.txt)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</si>
  <si>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Anuken-Mindustry-6460</t>
  </si>
  <si>
    <t>[Question] Is there a way to choose what a GenericCrafter produces?</t>
  </si>
  <si>
    <t>In my content, have Item Replicator (*) (Where is number of resources), Is there way could make crafter which takes power and provides list of items to produce then produces selected item? (I really don like Java, but am just about to take up learning it, just to get this one thing implemented)
Or might just leave it the way it is and let players complain and not do anything about it. (Since it looks more like it not possible, but rather just random choice of items list, which is not what want)
Put it in different light, Item Replicator (*) is essentially Item Source just takes power and doesn produce as fast as it can. For those not understanding my question)
**Steps to reproduce**:
**Link(s) to mod(s) used**: M1NEDU5TRY H4CK3D (https: github.com Beanzilla mindustry-hacked)
**Save file**: (Not needed, since this is mod content)
No soul reaping needed. :)
**(Crash) logs**: (Not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1. Yes am aware Questions are supposed to be placed on Discord (However do not use Discord, and NEVER will, just don ask)
2. have looked at Types (https: wiki modding 5-types #genericcrafter) searching for GenericCrafter shows the current item machine am using for Item Replicators. (So one way to solve this is to point me towards better machine that could do what want it to do)
Some Resolution Found</t>
  </si>
  <si>
    <t>nextcloud-android-9636</t>
  </si>
  <si>
    <t>crashed</t>
  </si>
  <si>
    <t>2021-12-30</t>
  </si>
  <si>
    <t>Anuken-Mindustry-6456</t>
  </si>
  <si>
    <t>7.0 Build 135 - Crash at start on M1 Macbook</t>
  </si>
  <si>
    <t>copied the logs at the end but it is super long.
**(Crash) logs**: *Either crash reports from the crash folder, or the file you get when you go into Settings -&gt; Game Data -&gt; Export Crash logs. REQUIRED if you are reporting crash.*
Translated Report (Full Report Below)
Code Type: ARM-64 (Native)
Parent Process: Exited process 71150
User ID: 501
OS Version: macOS 12.0.1 (21A559)
Report Version: 12
Sleep Wake UUID:
Time Awake Since Boot: 830000 seconds
Time Since Wake: 2150 seconds
System Integrity Protection: enabled
Exception Type: EXC CRASH (SIGABRT)
Exception Codes: 0x0000000000000000, 0x0000000000000000
Exception Note: EXC CORPSE NOTIFY
Application Specific Information:
ABORT -&gt; Text Input Sources or Text Services Manager API is being called in two threads concurrently. If you are UI application, you must call TIS TSM API on the main thread. If you are non-UI application (such as cmd-line tool or launchagent that does not run an event loop), you must not call TIS TSM API from multiple threads concurrently.
libsystem kernel.dylib 0x19f8f23d4 open
libsystem kernel.dylib 0x19f8fc6f0 open 64
HIToolbox 0x1a8570540 156</t>
  </si>
  <si>
    <t>Codepath-UIC-Team2-SportCave-33</t>
  </si>
  <si>
    <t xml:space="preserve">BUG: The App Crash When I access my user profile(related to the previous error) </t>
  </si>
  <si>
    <t>When try to access the user profile, the app crash as result of the favorite sports lists flagging errors with the following logs:
Attempt to invoke virtual method java.lang.String on null object reference</t>
  </si>
  <si>
    <t>MuntashirAkon-AppManager-650</t>
  </si>
  <si>
    <t>App list is empty on `AM Debug v2.7.0 Run#1637`</t>
  </si>
  <si>
    <t>Your issue will be closed without warning if you don check at least two items.
know what my device, OS and App Manager versions are
know how to take logs
know how to reproduce the issue which may not be specific to my device
**Describe the bug**
When starting the app, the app list is not populated with apps.
Steps to reproduce the behaviour:
1. Start AM Debug.
2. Wait for the loading animation to stop.
3. See that the app list is empty.
App list should be populated with the installed apps.
App list while loading App list after loading stopped
The app itself didn crash so don have crash stack traces, and data local tmp does not contain log files that were recently updated.
Device: Xiaomi Redmi 3S
OS Version: Android
App Manager Version: v2.7.0 (Debug, Run#1637)
Add any other context about the problem here.</t>
  </si>
  <si>
    <t>2021-12-28</t>
  </si>
  <si>
    <t>PojavLauncherTeam-PojavLauncher-2475</t>
  </si>
  <si>
    <t xml:space="preserve">[BUG] cannot launch 1.18.1 </t>
  </si>
  <si>
    <t>### Describe the bug
When launch 1.18.1 it crashes
### The log file and images videos
### Steps To Reproduce
2. Launch 1.18.1
### Expected Behavior
You know expected it to launch
Device model:galaxy tab
CPU architecture: armv8l
Android version: 11
PojavLauncher version: crouscrus-v3 openjdk
### Anything else?</t>
  </si>
  <si>
    <t>TeamNewPipe-NewPipe-7590</t>
  </si>
  <si>
    <t>Choppy playback</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</si>
  <si>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video
2. Press on play
&lt;!-- If you can cause the bug to show up again reliably (and hence don have proper set of steps to give us), please still try to give as many details as possible on how you think you encountered the bug. --&gt;
### Actual behavior
&lt;!-- Tell us what happens with the steps given above. --&gt;
The playback is choppy. Note that am not talking about the intermittent loading issue.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</si>
  <si>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2021-12-27</t>
  </si>
  <si>
    <t>nextcloud-talk-android-1751</t>
  </si>
  <si>
    <t>Additional fixes related to notification channels</t>
  </si>
  <si>
    <t>Additions to PR #1728
**1. Remove unused notification channels during upgrade**
have not correctly considered app upgrade. There were the following unintended side-effects when upgrading:
the old Calls notification channel was still visible in the system UI but not used,
the channel Message notification channel was not renamed to Messages as expected (registering the channel again with the same ID but new name does not change the name of the channel).
The new code:
removes all unused notification channels,
uses new ID (NOTIFICATION CHANNEL MESSAGES V4) for the Messages channel.
**2. App would crash on pre-Oreo devices with No sound setting**
Null ringtone Uri must be allowed.</t>
  </si>
  <si>
    <t>nextcloud-android-9623</t>
  </si>
  <si>
    <t>App crashes every time when accessing folder with large amount of newly uploaded photos</t>
  </si>
  <si>
    <t>### Steps to reproduce
1. Share folder with another user in your Nextcloud environment
2. Add few thousand photos to said folder
3. Try to access said folder with the Android Nextcloud App
### Expected behaviour
The app should not crash
### Actual behaviour
It does crash... every time try to access that folder
### Can you reproduce this problem on https: try.nextcloud.com?
Please create test demo account and see if this still happens there.
If yes, please open up bug report
If not, please verify server setup and ask for help on forum
### Environment data
Android version: 11
Device model: Samsung Galaxy S10 Lite
Stock or customized system: Stock
Nextcloud app version: 3.18.0
Nextcloud server version: 22.2.0
#### Web server error log
Insert your webserver log here</t>
  </si>
  <si>
    <t>dedis-popstellar-702</t>
  </si>
  <si>
    <t>[BUG] application crash when cast vote</t>
  </si>
  <si>
    <t>### Description (Actual behavior)
During an election if we press cast vote without selecting one of the options available, the application crashes. It happens with FE1
### Expected behavior
The application is not expected to crash.
### How to reproduce
1. Create an election
2. Press cast vote without selecting one of the options
### Version Environment
This bug was reproduced on:
Fe1-Web (please include browser names version)
Fe2-Android (please specify if phone or emulation, and Android version)
Don forget to select your option
crash of the application
### Possible root cause
&lt;img width 1134 alt Screen Shot 2021-12-26 at 11 21 41 pm src https: 61380023</t>
  </si>
  <si>
    <t>2021-12-26</t>
  </si>
  <si>
    <t>lisawray-groupie-416</t>
  </si>
  <si>
    <t>[Crash] ViewPropertyAnimator.java line 1111 - Tmp detached view should be removed from RecyclerView before it can be recycled</t>
  </si>
  <si>
    <t>**Describe the bug**
We are receiving crash, which is becoming more frequent by the day. It generates Fatal Exception, The complete error message that we are receiving is as follows:
We are unable to reproduce this issue locally, but it ranks in the top ten of our Firebase Crashlytics.
We do not anticipate such crash.
We had similar crash and solved it by removing the animation flag from the immediate recyclerview parent.</t>
  </si>
  <si>
    <t>MuntashirAkon-AppManager-649</t>
  </si>
  <si>
    <t>App crashes when loading large app icon</t>
  </si>
  <si>
    <t>Your issue will be closed without warning if you don check at least two items.
know what my device, OS and App Manager versions are
know how to take logs
know how to reproduce the issue which may not be specific to my device
**Describe the bug**
It seems when loading certain app icon, app manager crashes.
Steps to reproduce the behaviour:
1. Install an app with very large icon like this (https: www.apkmirror.com apk linuxct
2. Make it show in the list (search or scroll)
3. App briefly shows no icon or the wrong icon then crashes
4. If you open the details page quickly before the app crashes, it will show without an icon and still Crash
The app showing the icon and not crashing.
If applicable, add screenshots to help explain your problem.
&lt;summary&gt;Click to view&lt; summary&gt;
App version: 2.6.5.1
App version code: 397
Android build version: G975U1UES6GUI1
Android release version: 11
Android SDK version: 30
Android build ID:</t>
  </si>
  <si>
    <t>cgeo-cgeo-12406</t>
  </si>
  <si>
    <t>Variable tab - NPE after selecting patterns from scan listing</t>
  </si>
  <si>
    <t>### Describe your problem!
managed to make the app crash when trying out the Scan listing functions on the variable tab.
No idea if what did makes sense but at least it should not crash.
### How to reproduce?
Go to variable tab
Use Scan Listing
It will find patterns
Select the first two patterns: (3574-Y) and (3742-X)
### Actual result after these steps?
### Expected result after these steps?
### c:geo Version
### System information
Samsung S20, Android 11
### Additional Information</t>
  </si>
  <si>
    <t>2021-12-25</t>
  </si>
  <si>
    <t>nextcloud-android-9619</t>
  </si>
  <si>
    <t>unexpected crash right after installation</t>
  </si>
  <si>
    <t>************ CAUSE OF ERROR ************
Caused by: uid 10538 cannot get user data for accounts of type: nextcloud
... 11 more
************ APP INFORMATION ************
Build flavor: gplay
************ DEVICE INFORMATION ************
************ FIRMWARE ************</t>
  </si>
  <si>
    <t>VishnuSanal-DialogMusicPlayer-9</t>
  </si>
  <si>
    <t>Crash when playing a large file or a .flac</t>
  </si>
  <si>
    <t>**Describe the bug**
App crashes when playing large file (or it could be about .flac files, not sure).
Steps to reproduce the behavior:
1. Play file that at least 50 MB. Try out .flac as well.
Android 10, app v.1.0.1</t>
  </si>
  <si>
    <t>2021-12-24</t>
  </si>
  <si>
    <t>google-gson-2038</t>
  </si>
  <si>
    <t>gson.toJson 抛出 java.lang.AssertionError: java.lang.NoSuchFieldException: ONLINE</t>
  </si>
  <si>
    <t>&lt;!-- Gson version you are using, for example 2.8.8 --&gt;
Java Android version
&lt;!-- Version of the Java or Android platform on which the bug occurred --&gt;
Android 9+as arctic fox
&lt;!-- List relevant build tools and plugins with version number here which might affect Gson --&gt;
ProGuard (attach the configuration file please) version:
&lt;!-- Describe the bug you experienced --&gt;
new enter crash.
found into this code
why **throw new AssertionError(e) ** not
## Expected behavior
&lt;!-- What behavior did you expect? --&gt;
## Actual behavior
&lt;!-- What happened instead? --&gt;
crashed !!! even add try-catch(Exception e)
&lt;!-- Provide exact reproduction steps for reproducing the bug --&gt;
&lt;!-- Provide short code snippet or link to demo project --&gt;
Exception stack trace
&lt;!-- In case an exception occurred, paste the COMPLETE exception stack trace in the code block below or attach it as file --&gt;</t>
  </si>
  <si>
    <t>PojavLauncherTeam-PojavLauncher-2446</t>
  </si>
  <si>
    <t>[BUG] Advanced Compass mod started removing "assets-v0.zip" from settings, although it worked fine before.</t>
  </si>
  <si>
    <t>### Describe the bug
have been playing with the Advanced Compass mod (Fabric 1.17.1) for very long time and everything worked fine, but today it started crashing the game.
haven changed anything.
After some tests, it turned out that it disables assets-v0.zip with any set of mods. bunch of mods or just only fabric api doesn change anything.
### The log file and images videos
### Steps To Reproduce
idk but mod .jar name
### Expected Behavior
expected to play quietly, and not try to understand why perfectly working mod suddenly began to turn off all my resource packs.
Device model: Honor 9C (AKA-L29)
CPU architecture: aarch64
Android version: 10
PojavLauncher version: openjdk
### Anything else?
Oh, sorry, first created post about this problem and only then noticed about the post Mod doesn work</t>
  </si>
  <si>
    <t>ViroCommunity-viro-75</t>
  </si>
  <si>
    <t>ViroVideo is not working</t>
  </si>
  <si>
    <t>Please go through this checklist before opening new issue
Review the documentation (https: docs.viromedia.com
Search for existing issues in: viromedia viro (https: github.com viromedia viro issues) ViroCommunity viro (https: github.com ViroCommunity viro issues)
Use the latest ViroReact release (https: docs.viromedia.com docs releases)
Please provide the following information about your environment:
1. Macbook Pro
2. Device OS Version: iPhone11 iOS 15.3
3. ViroReact: 2.22.0
4. React Native: 0.65.1
ViroVideo crashes with invariant violation: Unrecognized selector sent to instance
Interestingly, Viro360Video works.
## Reproducible Demo
NOTE: ve installed viro react from local download of the viro react to make changes to the viro react source code. All of these issues have been replicated with viro 2.22.0.</t>
  </si>
  <si>
    <t>2021-12-23</t>
  </si>
  <si>
    <t>AniTrend-anitrend-app-463</t>
  </si>
  <si>
    <t>Null pointer exception: ProfileActivity</t>
  </si>
  <si>
    <t>AniTrend Issue Guidelines
Before opening new issue, please take moment to review our **community guidelines** (https: github.com AniTrend anitrend-app blob master CONTRIBUTING.md) to make the contribution process easy and effective for everyone involved.
**You may find an answer in already closed issues**:
## Description Of Bug
&lt;!--- clear and concise description of what the bug is. --&gt;
UserBase would typically not be null, especially on getName but from what can gather in the crashlytics logs it seems that the crash happened while the user was trying to view hidden profile (privacy settings on anilist), so we may need to test that case scenario
## Additional Context
&lt;!--- What are you trying to accomplish? Providing context helps us come up with solution that is most useful in the real world, also include an logs if you have any in this section --&gt;
### Crashlytic Logs
### Stack Trace</t>
  </si>
  <si>
    <t>AniTrend-anitrend-app-462</t>
  </si>
  <si>
    <t>Null pointer exception: ProfileStatsWidget</t>
  </si>
  <si>
    <t>AniTrend Issue Guidelines
Before opening new issue, please take moment to review our **community guidelines** (https: github.com AniTrend anitrend-app blob master CONTRIBUTING.md) to make the contribution process easy and effective for everyone involved.
**You may find an answer in already closed issues**:
## Description Of Bug
&lt;!--- clear and concise description of what the bug is. --&gt;
Seems to be an crash caused an empty bundle param on lines: 153 160
## Additional Context
&lt;!--- What are you trying to accomplish? Providing context helps us come up with solution that is most useful in the real world, also include an logs if you have any in this section --&gt;</t>
  </si>
  <si>
    <t>AniTrend-anitrend-app-460</t>
  </si>
  <si>
    <t>Fix media activity crash on menu item visibility change</t>
  </si>
  <si>
    <t>AniTrend Pull Request
Thank you for contributing! Please take moment to review our **contributing guidelines** (https: github.com AniTrend anitrend-app blob master CONTRIBUTING.md)
to make the process easy and effective for everyone involved.
**Please open an issue** before embarking on any significant pull request, especially those that
add new library or change existing tests, otherwise you risk spending lot of time working
on something that might not end up being merged into the project.
Before opening pull request, please ensure:
&lt;!--- Go over all the following points, and put an in all the boxes that apply. --&gt;
&lt;!--- If you re unsure about any of these, don hesitate to ask. We re here to help! --&gt;
You have followed our **contributing guidelines** (https: github.com AniTrend anitrend-app blob master CONTRIBUTING.md)
double-check your branch is based on develop and targets develop
Pull request has tests
Code is well-commented, linted and follows project conventions
Documentation is updated (if necessary)
Description explains the issue use-case resolved
did not commit files that are excluded in the .gitignore file (Happens if you stage files with Android Studio)
&lt;!--- Describe your changes in detail --&gt;
Fixes crash that would happen when trying to access the
Renames to setMenuItemIcons
Moves malMenuItem into setMenuItemIcons and perform null-ability check on menu item prior to making any changes</t>
  </si>
  <si>
    <t>cal-itp-graas-18</t>
  </si>
  <si>
    <t>route and vehicle dropdowns blank upon first start after QR scan</t>
  </si>
  <si>
    <t>Copied from GRaaS Staging, notes from unreasonableman:
Scanned QR code for TCRTA on ipad, then pressed Start button. Dropdowns were empty. Checked filter params and route bucket files, both looked reasonable. Ran web app on desktop safari wit js console open to debug. Routes showed up. Went back to ipad, quit out of safari there and restarted. Issue did not persist past restart.
This may be harder to debug, but it bad first impression if it happens.
Additional detail: the dropdowns were completely blank, i.e. didn have Select Route or Select Vehicle This suggests either crash or stall, and not filtering issue.</t>
  </si>
  <si>
    <t>commons-app-apps-android-commons-4742</t>
  </si>
  <si>
    <t>App crashes when selecting "star" in menu</t>
  </si>
  <si>
    <t>Every time navigate to the star icon on the bottom menu, the device crashes. do not remember what the star icon represents. Please see the video created below.
**Steps to reproduce:**
1. Open App
2. On the bottom menu with nearby places, etc, and tap the star icon
3. App crashes and asks to send logs.
Logs are posted separate comment below.
**Device and Android version:**
Android version: 12
Device manufacturer: Google
Device model: Pixel 4a
User name: Mds08011
**Commons app version:**
App version name: 3.1.1
Video of how to reproduce the issue:
**Would you like to work on the issue?**</t>
  </si>
  <si>
    <t>TeamNewPipe-NewPipe-7569</t>
  </si>
  <si>
    <t>Crash when downloading (?,?,?,?,?,?,?,?,?)</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</si>
  <si>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video
2. Press on download
3. Download as audio or video of any quality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Not crash, video gets downloaded in the way selecting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</si>
  <si>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2021-12-22</t>
  </si>
  <si>
    <t>nextcloud-android-9605</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</si>
  <si>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
************ APP INFORMATION ************
Build flavor: gplay</t>
  </si>
  <si>
    <t>flutter-package-images_picker-64</t>
  </si>
  <si>
    <t xml:space="preserve">Camera is not opening in android target sdk 31 </t>
  </si>
  <si>
    <t>Using images picker 1.2.9 version
Able to open camera till target sdk 30. But camera is not opening in android target sdk 31.
We are not seeing any crash or exception in log viewer. Tested in One Plus Nord
final images await</t>
  </si>
  <si>
    <t>material-components-material-components-android-2507</t>
  </si>
  <si>
    <t>[TextInputLayout] Render problem 1.6.0-alpha01</t>
  </si>
  <si>
    <t>am facing crash at TextInputLayout after update my Material Android Library to version 1.6.0-alpha01 from 1.5.0-rc01.
1.5 Render good:
1.6 Render problem:
Google Inter Regular (https: fonts.google.com specimen Inter)
&lt;style name Theme.FragmentVM parent
&lt;?xml version 1.0 encoding utf-8 ?&gt;
&lt;?xml version 1.0 encoding utf-8 ?&gt;
layout layout header
**Android API version:** 31
**Material Library version:** Material Android Library version 1.6.0-alpha01</t>
  </si>
  <si>
    <t>2021-12-21</t>
  </si>
  <si>
    <t>PojavLauncherTeam-PojavLauncher-2437</t>
  </si>
  <si>
    <t>[BUG] game crashes with code 1 when trying to install forge</t>
  </si>
  <si>
    <t>### Describe the bug
Game app crashes with code when trying to install Forge
### The log file and images videos
### Steps To Reproduce
1.Trying to install Forge mod installer
### Expected Behavior
Successful forge installation
Device model: GM 20
CPU architecture: aarch64
Android version: 11
PojavLauncher version: crocus-v3 openjdk
### Anything else?
just having trouble installing forge</t>
  </si>
  <si>
    <t>PojavLauncherTeam-PojavLauncher-2435</t>
  </si>
  <si>
    <t>Minecraft 1.18.1 doesn't launch</t>
  </si>
  <si>
    <t>### Describe the bug
So when launch Minecraft 1.18.1 with Java arm64 renderer gl4es 1.1.5 crash without any error pop up
### The log file and images videos
### Steps To Reproduce
1. Start pojav launcher
2. Select renderer gl4es 1.1.5
3. Select runtime Java 17 arm 64
### Expected Behavior
expect the game to launch successfully
Device model: Samsung M51
CPU architecture: aarch64
Android version: 11
PojavLauncher version: latest release
### Anything else?</t>
  </si>
  <si>
    <t>Anuken-Mindustry-6447</t>
  </si>
  <si>
    <t>Modded router ca only carry 1 item</t>
  </si>
  <si>
    <t>Window 10 (sorry linux)
pre-alpha build 135
modded router can only carry one item at once
**Steps to reproduce**: *How you happened across the issue, and what exactly you did to make the bug happen.*
add router with itemCapacity higher than
go to custom game, place and try to use it
-&gt; it wont carry more than item
(i fixed it in my scripted router by changing acceptItem(source, item))
**Link(s) to mod(s) used**: *The mod repositories or zip files that are related to the issue, if applicable.*
EclipseTheOldOne Project-Eclipse (my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mmm yes it happen everywhere guess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 none, router isn that dangerous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</si>
  <si>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Benji377-SocyMusic-206</t>
  </si>
  <si>
    <t>Recreating of the app crashes playerfragment</t>
  </si>
  <si>
    <t>There was bug which was causing the Player fragment crash. Basically every time we changed theme we had to recreate the app and if, for some reason, the user was in Player fragment at that time, it would fail to recreate the app and just crash.
This bug should now be fixed as the themes have been removed. never noticed it happen myself, and never heard of others complaining about it. therefore declare this bug as closed and the app is now completely bug free.
Warning! Bug free means there are no bugs we discovered or someone complained about. As will add new stuff to it, there will definitely be more bugs coming, and sure some of you are easily able to find other bugs too. It just means that right now nobody is concerned about bug.</t>
  </si>
  <si>
    <t>2021-12-20</t>
  </si>
  <si>
    <t>nextcloud-android-9593</t>
  </si>
  <si>
    <t>app crash</t>
  </si>
  <si>
    <t>### Steps to reproduce
1. Click backup now under contacts and calendar
### Expected behaviour
Tell us what should happen
noticed my contacts were not backing up for almost month, so initiated manual backup by clicking the button and shortly after that is when the app crashed.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</si>
  <si>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PojavLauncherTeam-PojavLauncher-2431</t>
  </si>
  <si>
    <t>[BUG] Game crash on 1.18</t>
  </si>
  <si>
    <t>### Describe the bug
The launcher won launch 1.18 1.18.1
### The log file and images videos
### Steps To Reproduce
1. Start Pojav
2. Click on 1.18
3. Click Play
4. Wait for it to load.
5. It will crash before fully loading into menu.
### Expected Behavior
expect for it to exist and load into the game.
Device model: Lenovo S330
CPU architecture: ARM64
Android version: None?
PojavLauncher version: Latest
### Anything else?</t>
  </si>
  <si>
    <t>material-components-material-components-android-2502</t>
  </si>
  <si>
    <t>[TabLayout] tabBackground with drawable crash in pre-lollipop</t>
  </si>
  <si>
    <t>use app:tabBackground to put circle drawable.
in indicator selector.xml
&lt;item android:drawable drawable indicator selected android:state selected true
&lt;item android:drawable drawable indicator normal
did to support backward compatibility for vector drawable in build.gradle
dot indicator with drawable lolipop and beyond is work perfectly fine
**Android API version:** 16
**Material Library version:** 1.4.0</t>
  </si>
  <si>
    <t>PojavLauncherTeam-PojavLauncher-2425</t>
  </si>
  <si>
    <t>Cuando pongo mod se ve pantalla negra[BUG] &lt;Short description&gt;</t>
  </si>
  <si>
    <t>### Describe the bug
Cuando pongo mod la pantalla se ve negra si pongo optifine se crashea si junto tal mod
### The log file and images videos
### Steps To Reproduce
### Expected Behavior
Juegos se cerr -1
### Anything else?</t>
  </si>
  <si>
    <t>2021-12-19</t>
  </si>
  <si>
    <t>nextcloud-android-9588</t>
  </si>
  <si>
    <t>Was testing to play audio file (.MP3) on android app. Rest, please look into the crash log</t>
  </si>
  <si>
    <t>### Steps to reproduce
1. Did setup nextcloudpi on docker which is in armbian
2. Did setup user, domain, etc.
3. Installed the app, tried uploading MP3 files and tried to play them.
### Expected behaviour
if the player plugin was not present, the app could have looked for external MP3 players or give out message saying nextcloud doesn recognise the file
### Actual behaviour
struggled to play it for some time with just nextcloud logo and got crash report after some time.
### Can you reproduce this problem on https: try.nextcloud.com?
Please create test demo account and see if this still happens there.
If yes, please open up bug report
If not, please verify server setup and ask for help on forum
### Environment data
Android version: color os 11 (android 11)
Device model: Reno 5g (global edition)
Stock or customized system:
Nextcloud app version:
Nextcloud server version:
#### Web server error log
Insert your webserver log here</t>
  </si>
  <si>
    <t>microsoft-appcenter-sdk-android-1587</t>
  </si>
  <si>
    <t>Crash when installing in app update</t>
  </si>
  <si>
    <t>Got crash report after migrating to 4.4.1
Strongly consider using FLAG IMMUTABLE, only use FLAG MUTABLE if some functionality depends on the PendingIntent being mutable, e.g. if it needs to be used with inline replies or bubbles.
### **Repro Steps**
Do an in app update on Android 12 device.
1. Which SDK version are you using?
2. Which OS version did you experience the issue on?
3. What device version did you see this error on? Were you using an emulator or physical device?
4. What third party libraries are you using?
5. Please enable verbose logging for your app using before your call to and include the logs here:</t>
  </si>
  <si>
    <t>trojan-gfw-igniter-399</t>
  </si>
  <si>
    <t>0.10.4 beta crashes on Android 12</t>
  </si>
  <si>
    <t>TeamNewPipe-NewPipe-7550</t>
  </si>
  <si>
    <t>Unable to import newpipe backup</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</si>
  <si>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Settings
2. Go to content
3. Press on import database
&lt;!-- If you can cause the bug to show up again reliably (and hence don have proper set of steps to give us), please still try to give as many details as possible on how you think you encountered the bug. --&gt;
### Actual behavior
&lt;!-- Tell us what happens with the steps given above. --&gt;
When try to import newpipebackup.zip file by clicking import database, the app just crashes without any warning. On 2nd or third crash, it displays crash log given below.
### Expected behavior
The settings, history, playlists subs contained in the backup should have been restored.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</si>
  <si>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2021-12-18</t>
  </si>
  <si>
    <t>nextcloud-android-9585</t>
  </si>
  <si>
    <t>App don't work without android webview</t>
  </si>
  <si>
    <t>### Steps to reproduce
### Expected behaviour
Tell us what should happen
### Actual behaviour
Tell us what happens
app crash when paste my server address and press enter
### Can you reproduce this problem on https: try.nextcloud.com?
Please create test demo account and see if this still happens there.
If yes, please open up bug report
If not, please verify server setup and ask for help on forum
### Environment data
Device model: Oneplus pro
Stock or customized system: Lineage os 18.1 (without gapps and with android web view uninstalled cause it developed by google)
Nextcloud app version: 20211211
Nextcloud server version: don know, just use opsone-cloud
#### Web server error log
Insert your webserver log here
#### Nextcloud log (data nextcloud.log)
Insert your Nextcloud log here
************ CAUSE OF ERROR ************</t>
  </si>
  <si>
    <t>2021-12-17</t>
  </si>
  <si>
    <t>twilio-video-quickstart-android-692</t>
  </si>
  <si>
    <t>The app is crashing running latest 7.0.3</t>
  </si>
  <si>
    <t>After upgrading to 7.0.3 we started inconsistently seeing crash when trying to unpublishTrack() on room localParticipant. We couldn reproduce the crash on 6.4.0
The SID is
### Steps to Reproduce
1. Create Video call and publish LocalVideoTrack using publishTrack()
2. Unpublish LocalVideoTrack using unpublishTrack()
sometimes you have to repeat the steps to get it, sometimes it happens right away.
think the crash happens here
There weren many logs related to this, the only thing saw that could be related is
the app is targeting Android API 31 and running on Android 12 using the latest Twilio video API 7.0.3.
#### Video Android SDK
#### Android API
#### Android Device
Samsung S20 Android 12</t>
  </si>
  <si>
    <t>PojavLauncherTeam-PojavLauncher-2412</t>
  </si>
  <si>
    <t>[BUG] Game crashes with error code -1 when opening 1.18</t>
  </si>
  <si>
    <t>### Describe the bug
Whenever try to launch Minecraft 1.18 or 1.18.1 The game opens shows me the Mojang logo for short time and then crashes with the error code -1
Screenshot net kdt pojavlaunch (https: 62642672
This also happens when trying to install optifine 1.18 or 1.18.1
Screenshot net kdt pojavlaunch (https: 62642672
It works just fine when trying to Install older versions though
### The log file and images videos
### Steps To Reproduce
Open Minecraft 1.18
### Expected Behavior
It opens the game and shows me the title screen
Device model: Poco F3
CPU architecture: Arm64
Android version: Android 11
PojavLauncher version: Latest Version from play store
### Anything else?
ve tried uninstalling and reinstalling but still, nothing :(</t>
  </si>
  <si>
    <t>PojavLauncherTeam-PojavLauncher-2407</t>
  </si>
  <si>
    <t>[BUG]polav launcher new build will crash when ill open 1.12.2 forge with immersive railloading</t>
  </si>
  <si>
    <t>### Describe the bug
Application exited with code
### The log file and images videos
Immersive railloading will crash
### Steps To Reproduce
Pls artdeel fix the bug
### Expected Behavior
Device model: Vivo Y11
CPU architecture: adreno
Android version: android
PojavLauncher version: crocus-3 openjdk
### Anything else?</t>
  </si>
  <si>
    <t>2021-12-16</t>
  </si>
  <si>
    <t>GrapheneOS-PdfViewer-130</t>
  </si>
  <si>
    <t>gluonhq-substrate-1069</t>
  </si>
  <si>
    <t>FileChooser dialog causes segmentation fault core dump in native javafx</t>
  </si>
  <si>
    <t>**Summary of the issue**
Native JavaFX application crashes (segmentation fault core dump) when opening FileChooser dialog.
The FileChooser dialog has worked as expected in previous versions of graalvm (20.3.0).
**Steps to Reproduce**
As described here: https: stackoverflow.com questions 70369244
What have done is:
1. Git Clone Gluon samples
2. add the code snippet below
3. native compile the HelloFXML sample
4. native run the HelloFXML sample. This causes segmentation fault.
public class HelloController
FXML private Button button
FXML private Label label
FXML private ResourceBundle resources
public void initialize()
label.text System.getProperty( javafx.version ))
Optional&lt;File&gt; openFile select file
private Optional&lt;File&gt; getOpenFile(Window window, String title)
Path storedLocation Paths.get( tmp
FileChooser fileChooser new FileChooser()</t>
  </si>
  <si>
    <t>microsoft-appcenter-sdk-android-1584</t>
  </si>
  <si>
    <t>NullPointerException with StartServiceLog causes crash</t>
  </si>
  <si>
    <t>Thanks for your interest in using the App Center SDK for Android.
If your issue is not related to using our Android SDK but rather about the product experience like the portal or CI, please create an issue on https: github.com Microsoft appcenter instead.
We updated the app from 4.3.1 to 4.4.1, and during the course of or testing we noticed that the app crashes during login. We couldn reproduce this in other devices though, only in Pixel 3a that on Android 12. We tried it in an emulator but we couldn reproduce it.
### **Repro Steps**
Please list the steps used to reproduce your issue.
1. Enter email and login
2. App crashes
apologise if details are scarce but just like to bring this to your attention, as we have logs from the error that may provide some insight on your end.
1. Which SDK version are you using?
2. Which OS version did you experience the issue on?
3. What device version did you see this error on? Were you using an emulator or physical device?
Pixel 3a (physical device)
4. What third party libraries are you using?
Auth0 for login, Sentry for logging errors, etc.
5. Please enable verbose logging for your app using before your call to and include the logs here:</t>
  </si>
  <si>
    <t>OTTAA-Project-OTTAAProject-118</t>
  </si>
  <si>
    <t>Popup menu bug</t>
  </si>
  <si>
    <t>**Describe the bug**
The app crash because the system tries to show popup menu for an invalid context
This crash is usually caused by your app trying to display dialog using previously-finished Activity as context. For example, this can happen if an Activity triggers an AsyncTask that tries to display dialog when it is finished, but the user navigates back from the Activity before the task is completed.
Steps to reproduce the behaviour:
didn find ways to find this bug,</t>
  </si>
  <si>
    <t>2021-12-15</t>
  </si>
  <si>
    <t>cgeo-cgeo-12326</t>
  </si>
  <si>
    <t>DeadSystemException - c:geo crashes on opening cache details</t>
  </si>
  <si>
    <t>### Describe your problem!
user on support mail has the problem, that c:geo crashes each time he tries to open details of cache.
Restart of the device did not help.
The stacktrace shows that maybe.
Any idea advice (other than reinstalling c:geo)?
### How to reproduce?
### Actual result after these steps?
### Expected result after these steps?
### c:geo Version
### System information
## System information
Device type: SM-G715FN (xcoverproeea, samsung)
Android version: 11
Screen resolution: 1080x2104px (411x801dp)
Pixel density: 2.8875
System font scale: 1.1 used scale: 1.1
Sailfish OS detected: false
Google Play services: enabled 21.45.16 (150400-414021728)
Sensor and location:
Low power mode: inactive</t>
  </si>
  <si>
    <t>2021-12-14</t>
  </si>
  <si>
    <t>PojavLauncherTeam-PojavLauncher-2393</t>
  </si>
  <si>
    <t>[BUG] Instantly Crash Whent Loaded World In forge 1.12.2</t>
  </si>
  <si>
    <t>### Describe the bug
Application Exited With Code
And Coremod Error
### The log file and images videos
### Steps To Reproduce
Start Forge 1.12.2 with 11-12 mod
Mr Crayfish Device mod
2.click World that Use 11 mod to play
3.Got Blue amd some Stripe Screen And
4.Got Application Exited With Code
### Expected Behavior
Normally Playing No crash Low fps or high fps
Device model: Mi 10 Ram gb (Allocated 2.5-2.9 gb)
CPU architecture: aarch64
Android version: 10
PojavLauncher version: Google Play Store Lastest Release chorus Gplay Release
### Anything else?
If play some world it instantly got Same thing</t>
  </si>
  <si>
    <t>opensrp-opensrp-client-reveal-1547</t>
  </si>
  <si>
    <t>App Crashing on clicking Detect Case for Case confirmation plan on Thai-Prev</t>
  </si>
  <si>
    <t>An issue has been noted on the Thailand preview instance, where the App is crashing on clicking Detect case
app V5.3.26 rc8
install the app
add new structure
add new family member
click on detect case.
Observe how that app is crashing and one has to login again.
this has been tested on the structure below.</t>
  </si>
  <si>
    <t>TeamNewPipe-NewPipe-7537</t>
  </si>
  <si>
    <t>Application Crash when playing background playlist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</si>
  <si>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0.21.14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Open any playlist on YouTube
Press play in background
### Actual behavior
Upon pressing the button, the application crashes.
### Expected behavior
Upon pressing the button, the button should not crash and play the playlist.
### Screenshots Screen recordings
User Action: ui error
Request: ACRA report
Content Country: FR
Content Language: fr-FR</t>
  </si>
  <si>
    <t>2021-12-13</t>
  </si>
  <si>
    <t>PojavLauncherTeam-PojavLauncher-2388</t>
  </si>
  <si>
    <t>[BUG] Game crashed while starting</t>
  </si>
  <si>
    <t>### Describe the bug
don know, the game just crashed. give log (including screenshot) below.
### The log file and images videos
PojavLauncher crash report
Time: 12 Des 2021 08.25.07
Device: CPH1909 CPH1909
Android version: 8.1.0
Crash stack trace:
Launcher version: crocus-v3 openjdk
### Steps To Reproduce
When start the game, it shows the message that screen shot above.
### Expected Behavior
The game should launch. didn have this kind of problem before.
Device model: Oppo A5S 32G
CPU architecture: aarch64
Android version: 8.1.0
PojavLauncher version: crocus-v3 openjdk
### Anything else?</t>
  </si>
  <si>
    <t>nextcloud-android-9539</t>
  </si>
  <si>
    <t>Nexcloud crashes on file upload and freez when open It on wifi:
************ CAUSE OF ERROR ************
************ APP INFORMATION ************
Build flavor: gplay
************ DEVICE INFORMATION ************
************ FIRMWARE ************</t>
  </si>
  <si>
    <t>2021-12-12</t>
  </si>
  <si>
    <t>TeamNewPipe-NewPipe-7533</t>
  </si>
  <si>
    <t>Attempting to open press-and-hold menu while a video is playing force-crashes the app.</t>
  </si>
  <si>
    <t>am using the latest version 0.21.14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video in any mode (in-player, popup, or background).
2. Press and hold on different video, as if attempting to enqueue it.
### Actual behavior
1. The app instantly crashes back to your device launcher.
### Expected behavior
1. menu would appear, to enqueue, add to playlist, etc.
### Screenshots Screen recordings
(Unable to provide screenshots, due to instant crashing.)
(No error message log appeared.)
&lt;!-- Please fill this section if you did not provide log generated by NewPipe --&gt;
### Device info
Android version Custom ROM version: Android 10 (JOYUI 11 21.11.05)
Device model: Xiaomi Black Shark Pro (128GB Storage 8GB RAM)</t>
  </si>
  <si>
    <t>TeamNewPipe-NewPipe-7528</t>
  </si>
  <si>
    <t>Video loading / buffering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</si>
  <si>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NewPipe
2. Long press on video until the menu appears
3. Select Start playback in the background or Start playback in pop-up
4. While the video is loading buffering, do step three on another or the same video
5. The crash error appears
&lt;!-- If you can cause the bug to show up again reliably (and hence don have proper set of steps to give us), please still try to give as many details as possible on how you think you encountered the bug. --&gt;
### Actual behavior
&lt;!-- Tell us what happens with the steps given above. --&gt;
If you choose to start video in the background or in the pop-up, it can happen if the video is still loading in the background and you want to add another one to the playlist, so that NewPipe then crashes.
### Expected behavior
&lt;!-- Tell us what you expect to happen. --&gt;</t>
  </si>
  <si>
    <t>mh--corona-warn-companion-android-134</t>
  </si>
  <si>
    <t>Hangup/crash with Austrian RPI</t>
  </si>
  <si>
    <t>This issue report corresponds with the same report in CCTG (https: codeberg.org cwa-android issues 202)
Today was in Austria and had CCTG running. Now it spends endless minutes checking recorded contacts, and finally it crashed.
exported the data into Corona Warn App Companion. It has feature to activate deactivate certain countries. With Austria disabled, it runs the check. With Austria enabled, it also hangs endlessly and eventually crashes.
So make wild guess: Something is wrong with whereever both apps download diagnosis data from Austria. That source could be down or disturbed. But even if that is the case, apps must never hang or crash, they should exit gracefully with an error message, IMHO.
Also, it would be helpful if an updated version of Companion could be released that does not constantly reload diagnosis data that has already been downloaded previously. Now that we have almost million diagnosis keys, some way shape or form of load reduction is necessary, and IMHO the first move could be to only download and process new keys... Often, companion simply quits. Sometimes it just the screensaver lock screen kicking in (Android 9), and when Companion gets fullscreen again, it starts to download all keys anew...</t>
  </si>
  <si>
    <t>2021-12-11</t>
  </si>
  <si>
    <t>PojavLauncherTeam-PojavLauncher-2381</t>
  </si>
  <si>
    <t>I have an error installing Forge [error -1]</t>
  </si>
  <si>
    <t>### Describe the bug
Forge installations are fast, and when want to go to the installed forge, Minecraft crashes with an error of -1
### The log file and images videos
### Steps To Reproduce
3.Logged into Minecraft Forge
### Expected Behavior
expected that would start playing Minecraft with mods!
Device model: Poco x3 pro
Android version: 12.5.5
PojavLauncher version: Latest from google play
### Anything else?</t>
  </si>
  <si>
    <t>PojavLauncherTeam-PojavLauncher-2371</t>
  </si>
  <si>
    <t>[BUG] &lt;can't launch old versions of minecraft&gt;</t>
  </si>
  <si>
    <t>### Describe the bug
When try to launch versions older than some infdev versions they crash almost instantly and and the version of infdev you can look around the earliest version that you can look around in is alpha 1.01 and some older versions that crash almost instantly in the moments before the crash so please fix this!!!
### The log file and images videos
### Steps To Reproduce
launch the oldest version of minecraft and launch infdev
### Expected Behavior
the oldest version of minecraft will crash and indev you can look around
Device model: samsung tab and kindle hd forgot the number
CPU architecture: unknown
Android version: samsung 7? kindle at least the apps think:-)
PojavLauncher version: playstore
### Anything else?</t>
  </si>
  <si>
    <t>2021-12-10</t>
  </si>
  <si>
    <t>BloodCall-BloodCall-26</t>
  </si>
  <si>
    <t>Firebase considers hospitals as users and crashes.</t>
  </si>
  <si>
    <t>When LauncherActivity is created if the user is already logged in it redirects him to the home page Firebase considers hospitals as users and tries to do the same and crashes Find way around this it can probably happen if we check under which tree is the account info on our realtime database.</t>
  </si>
  <si>
    <t>PojavLauncherTeam-PojavLauncher-2370</t>
  </si>
  <si>
    <t>[BUG] 1.18.1 crashes</t>
  </si>
  <si>
    <t>### Describe the bug
runs only on zink with strong lags. On Gl4es 1.1.5 (opengl 3) does not start at all. know this will be duplicate problem but am writing this so you know with on which device the game fails to start.
Screenshot 20211210 224917 net kdt pojavlaunch (https: 75908293
### The log file and images videos
### Steps To Reproduce
1. Downloaded the resource assets v0 for new versions of minecraft! (Followed the instructions for starting snapshots 21w37a)
2. Opened Pojavlauncher
3. Chose java 17
4. chose render gl4es 1.1.5 (opengl 3) (on others too tried)
5. Launched minecraft 1.18.1
6. The game crashed (read more in latestlog)
### Expected Behavior
Device model: huawei honor 9c AKA-L29 64
CPU architecture: aarch64 kirin 710a
Android version: 10
PojavLauncher version: Latest Release
### Anything else?</t>
  </si>
  <si>
    <t>PojavLauncherTeam-PojavLauncher-2369</t>
  </si>
  <si>
    <t>minecraft 1.18.1 crashes (1.18 works fine)</t>
  </si>
  <si>
    <t>### Describe the bug
but it works on another phone testet (samsung galaxy s5)
And my phone is samung galaxy s9+
### The log file and images videos
### Steps To Reproduce
Start 1.18 on pojavlauncher.
### Expected Behavior
experted the game to launch
Device model: samsung galaxy s9 plus and s5
CPU architecture: arm64 s9 plus and arm s5
Android version: 10 on s9 plus and android 11 on s5
PojavLauncher version: latest google play version
### Anything else?</t>
  </si>
  <si>
    <t>Anuken-Mindustry-6424</t>
  </si>
  <si>
    <t>Incoming phone calls disable the sound until I restart the game.</t>
  </si>
  <si>
    <t>**Steps to reproduce**: *Play normally, then receive phonecall while the game is unpaused and running. Regardless of whether or not answer the call, the game sound is disabled until restart the game.*
**Link(s) to mod(s) used**: *No mods*
**Save file**: (https: github.com Anuken Mindustry files 7693855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</si>
  <si>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voxeet-voxeet-uxkit-reactnative-52</t>
  </si>
  <si>
    <t>Get gradle error "Unable to load Maven meta-data from ..."</t>
  </si>
  <si>
    <t>got error below, maybe the voxeet maven repository is down
What went wrong:
Execution failed for task
Could not resolve all files for configuration
project :app project :notifee react-native
project :app project datetimepicker
project :app project masked-view
project :app project analytics
project :app project app
project :app project crashlytics
project :app project messaging
project :app project remote-config
project :app project picker
project :app project :sentry react-native
project :app project :appcenter
project :app project
project :app project :appcenter-crashes
project :app project
project :app project :react-native-auth0
project :app project</t>
  </si>
  <si>
    <t>doublesymmetry-react-native-track-player-1346</t>
  </si>
  <si>
    <t>App is crashing when capabilities added in TrackPlayer.updateOptions.  Version: 2.2.0-beta10</t>
  </si>
  <si>
    <t>**Describe the bug**
When capabilities added in track player app crashed
Add capabilities using function crashed the app
SKIP TO NEXT,
SKIP TO PREVIOUS,
Android Studio Logcat</t>
  </si>
  <si>
    <t>2021-12-09</t>
  </si>
  <si>
    <t>nextcloud-android-9491</t>
  </si>
  <si>
    <t>PlayerService crash (again)</t>
  </si>
  <si>
    <t>************ CAUSE OF ERROR ************
************ APP INFORMATION ************
Build flavor: gplay
************ DEVICE INFORMATION ************
************ FIRMWARE ************</t>
  </si>
  <si>
    <t>deepjavalibrary-djl-1408</t>
  </si>
  <si>
    <t>jvm crash at processInput with paddlepaddle</t>
  </si>
  <si>
    <t>Error Message Summary:
----translator for object detection
NDList manager, Image input)
image image.transpose(2, 0, 1).flip(0) HWC -&gt; CHW BGR -&gt; RGB
Shape shape image.getShape()
NDArray im shape manager.create(new float shape.get(0) 1.0f,shape.get(1) 1.0f
NDArray scale factor manager.create(new float 1.0f, 1.0f
array, (int) (shape.get(1) shrink), (int) (shape.get(0) shrink))
array array.transpose(2, 0, 1).flip(0) HWC -&gt; CHW BGR -&gt; RGB
NDArray mean manager.create(new float 104f, 117f, 123f new Shape(3, 1, 1))
array array.expandDims(0) make batch dimension
return new NDList(im shape, image, scale factor)</t>
  </si>
  <si>
    <t>PojavLauncherTeam-PojavLauncher-2357</t>
  </si>
  <si>
    <t>[BUG] I hate this because of the memory. when I have 2gb ram and select 600mb of memory it crash when i play all version. And when I use 300mb memory its not crash</t>
  </si>
  <si>
    <t>### Describe the bug
### The log file and images videos
### Steps To Reproduce
### Expected Behavior
Device model: Itel p36
CPU architecture: armv7 aarch32
Android version: 9.0
PojavLauncher version: 3.3.1.1
### Anything else?</t>
  </si>
  <si>
    <t>aws-amplify-amplify-android-1599</t>
  </si>
  <si>
    <t>Crash caused by NullPointerException when parsing GraphQLResponse.Error with null/missing message</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</si>
  <si>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 Please include any relevant guides or documentation you re referencing
### Describe the bug
Yesterday during the US-EAST-1 outage was seeing app crashes caused by thrown while deserializing The full stacktrace is:
The stacktrace indicates the error message was either null or missing. would not expect this to cause crash. Instead default message could to be supplied or an exception thrown and handled.
Here are two possible fixes for the crash. Each has fix and test to verify the fix.
can provide any additional info you need and open PR with fix if you would like.
### Reproduction steps (if applicable)
See unit tests in links provided above.
### Code Snippet
### Log output
### GraphQL Schema
### Additional information and screenshots</t>
  </si>
  <si>
    <t>Anuken-Mindustry-6417</t>
  </si>
  <si>
    <t>Modded Error on Read of units</t>
  </si>
  <si>
    <t>**Steps to reproduce**:
*step 1: open map*
*step 2: spawn unit*
*step 3: exit map*
*step 4: open map*
**Link(s) to mod(s) used**:
**Save file**: *null*
If you remove the line above without reading it properly and understanding what it means, will reap your soul. Even if you re playing on someone server, you can still save the game to slot.
**(Crash) logs**: *not crash game but corruption file*
Error reading region entities .*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</si>
  <si>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2021-12-08</t>
  </si>
  <si>
    <t>NordicSemiconductor-Android-BLE-Library-338</t>
  </si>
  <si>
    <t>NullPointerException in internalConnect</t>
  </si>
  <si>
    <t>We received the following stack trace in crash report. We are using 2.3.1.
Based on the line numbers, it looks like this.connectRequest is null</t>
  </si>
  <si>
    <t>PojavLauncherTeam-PojavLauncher-2356</t>
  </si>
  <si>
    <t>The launcher crashes when I'm offline</t>
  </si>
  <si>
    <t>### Describe the bug
When open in offline it crashes
### The log file and images videos
Uploading SVID 20211208 191604 1.mp4
### Steps To Reproduce
1.Open the launcher
3.Thn it crashes
### Expected Behavior
How to fix this?
Device model: Huawei MatePad
CPU architecture: armv7 32bit
Android version: 10
### Anything else?</t>
  </si>
  <si>
    <t>garrettramela-gwu-mobile-app-5</t>
  </si>
  <si>
    <t>Correct strength training activity layout transition from the home page.</t>
  </si>
  <si>
    <t>When clicking on the strength training category from the home page, WRKT crashes and doesn work properly.</t>
  </si>
  <si>
    <t>PojavLauncherTeam-PojavLauncher-2354</t>
  </si>
  <si>
    <t>[BUG] Minecraft 1.18.1 up crashing using renderer gl4es 1.1.5</t>
  </si>
  <si>
    <t>### Describe the bug
So downloaded the latest release and installed the jre17 and the assets which changed to version but entering game just saying game exited for some reason only on renderer gl4es 1.1.5 but other renderers were working fine but still want the gl4es 1.1.5 cause it doesn have the bugged out banners, dyed sheeps etc. Pls can help? Or is there java arg?
### The log file and images videos
### Steps To Reproduce
1. download the version 1.18.1 rc1 and download the jre17 and assets-v0.zip
2. set my renderer to gl4es 1.1.5 and set my runtime to jre17 from java
3. edited the options.txt on the .minecraft folder and put on the resourcepack line assets-v0.zip
4. launched the game and crashed
### Expected Behavior
Expect game to run well
Device model: RMX2189 11
CPU architecture: arm 64
Android version: 11
### Anything else?
Here video clip</t>
  </si>
  <si>
    <t>TeamNewPipe-NewPipe-7513</t>
  </si>
  <si>
    <t>Live listening FC</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</si>
  <si>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Connect to not stable network.
2. Open live video (of songs for example).
3. Listen it in background.
&lt;!-- If you can cause the bug to show up again reliably (and hence don have proper set of steps to give us), please still try to give as many details as possible on how you think you encountered the bug. --&gt;
### Actual behavior
&lt;!-- Tell us what happens with the steps given above. --&gt;
The app shows an error about the interruption of the video data and once opened again in foreground it crashes.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</si>
  <si>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2021-12-07</t>
  </si>
  <si>
    <t>TeamNewPipe-NewPipe-7511</t>
  </si>
  <si>
    <t>Rnadom bug - Ratings are enabled, but the Like button is missing</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</si>
  <si>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There are no special steps to do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</si>
  <si>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PojavLauncherTeam-PojavLauncher-2347</t>
  </si>
  <si>
    <t>[BUG] assets-v0.zip options not working</t>
  </si>
  <si>
    <t>### Describe the bug
so basically my log says 1.18 that assets-v0.zip is no longer compatible btw when im offline launch PojavLauncher it crashes
### The log file and images videos
file is options.txt located in SAF AndroidData files
### Steps To Reproduce
launch pojavlauncher and play 1.18 have the runtime running and after that see assets-v0.zip is no compatable in options anymore in log after of that launch after minecraft almost done it crash
### Expected Behavior
thought its working but it crash
Device model:Samsung Galaxy A11 32GB
CPU architecture:8x ARM Cortex-A53 1.80 GHz 32 bits
### Anything else?
btw when im offline launch pojavlauncher it crashes</t>
  </si>
  <si>
    <t>nextcloud-android-9472</t>
  </si>
  <si>
    <t>":" crashes the app</t>
  </si>
  <si>
    <t>### Steps to reproduce
1. Add new account
2. Input URL of the server
3. insert 192.168.15.5:8283 which my Truenas server deploys next cloud
4.it gives me this message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t>
  </si>
  <si>
    <t>2021-12-06</t>
  </si>
  <si>
    <t>PojavLauncherTeam-PojavLauncher-2342</t>
  </si>
  <si>
    <t>[BUG] Crashed Pojavlancher</t>
  </si>
  <si>
    <t>### Describe the bug
The game crashes while running
### The log file and images videos
(I ran without fabric and the problem remained)
### Steps To Reproduce
2.Run the game
3.Enter the world and the server
4.The game freezes for few minutes and crash
### Expected Behavior
wanted it not to crash during the game because was playing BedWars on game server, it suddenly crashes during the game
realized the problem still exists
Device model:Redmi Note
CPU architecture: arm64
Android version: 11
PojavLauncher version: crocus..
### Anything else?
Version 1.18 font is not known.
Sodium does not run in version 1.17 and above.</t>
  </si>
  <si>
    <t>2021-12-05</t>
  </si>
  <si>
    <t>muralimanohar2002-Chatting-App-3</t>
  </si>
  <si>
    <t xml:space="preserve">[Bug] App crash if scrolled while adding reaction </t>
  </si>
  <si>
    <t>As we touch on chat to add reaction and start scrolling with reaction bar opened, the app gets crashed.</t>
  </si>
  <si>
    <t>BloodCall-BloodCall-13</t>
  </si>
  <si>
    <t>Sign up fails if you dont upload picture</t>
  </si>
  <si>
    <t>If you dont upload picture the user is never added to the datebase (somewhere there is null exception) and when you try to login it goes to never ending crashing loop of it trying to get the user data that dont exist in the database</t>
  </si>
  <si>
    <t>PojavLauncherTeam-PojavLauncher-2336</t>
  </si>
  <si>
    <t>[BUG] Android 11(SDK 30): crash when add new java runtime</t>
  </si>
  <si>
    <t>### Describe the bug
when press **runtime manager** -&gt; **add new**, it crashes
also, when launch mod installer, it crashes
### The log file and images videos
### Steps To Reproduce
runtime manager -&gt; add new -&gt; crash
option -&gt; launch mod installer -&gt; crash
### Expected Behavior
open files and choose file folder
Device model: VSmart Star
CPU architecture: aarch64
Android version: 11
PojavLauncher version: Google Play latest latest success action build custom compilation (modified runtime and mainfest)
### Anything else?</t>
  </si>
  <si>
    <t>PojavLauncherTeam-PojavLauncher-2332</t>
  </si>
  <si>
    <t>Optifine crashes on the actions [Fix scroll crashing 1.13+]</t>
  </si>
  <si>
    <t>### Describe the bug
Installing or opening Optifine caused any version of Minecraft to crash with the message Game exited
### The log file and images videos
### Steps To Reproduce
1. Start Pojavlauncher
2. Open Optifine
3. Have game launch
### Expected Behavior
expected the game to launch like normal
### Anything else?</t>
  </si>
  <si>
    <t>2021-12-04</t>
  </si>
  <si>
    <t>cgeo-cgeo-12242</t>
  </si>
  <si>
    <t>c:geo crashes on resume in CacheDetailActivity</t>
  </si>
  <si>
    <t>### Describe your problem!
### How to reproduce?
1. Open cache details
2. Put c:geo into background
3. Do something that uses lots of memory and causes the CacheDetailActivity to be suspended
4. Switch back to c:geo
### Actual result after these steps?
### Expected result after these steps?
### c:geo Version
### System information
### Additional Information</t>
  </si>
  <si>
    <t>PojavLauncherTeam-PojavLauncher-2330</t>
  </si>
  <si>
    <t>No X11 DISPLAY variable was set</t>
  </si>
  <si>
    <t>### Describe the bug
No X11 DISPLAY variable was set, but this program performed an operation which requires it.
### The log file and images videos
### Steps To Reproduce
start minecraft forge 1.12.2
### Expected Behavior
basically, popup window should appear, and you should click it, but the game crashes after the minecraft loading screen.
Device model: pixel XL
Android version: 11
PojavLauncher version: latest
### Anything else?</t>
  </si>
  <si>
    <t>PojavLauncherTeam-PojavLauncher-2329</t>
  </si>
  <si>
    <t>[BUG] Mod Launching crashes the game</t>
  </si>
  <si>
    <t>### Describe the bug
So, similar to the issue with custom skins crashing the game, installing mods, texture packs and Shaders prior to version 1.13 1.16.5 crashes the game (Have not tried Optifine, but Optifine is still mod, so...).
### The log file and images videos
### Steps To Reproduce
1. Download any version (In my case, version 1.16.5).
2. Download the same Forge Fabric Optifine version as the downloaded Minecraft version.
3. Install the client in PojavLauncher.
4. Open up the modded version of that Minecraft version.
Open up the modded version of that Minecraft version with or without mods installed.
### Expected Behavior
was able to play with the mods installed.
Device model: POCO M3
CPU architecture: Octa-core Max 2.0GHz
Android version: Android 10
PojavLauncher version: crocus-v3 openjdk
### Anything else?</t>
  </si>
  <si>
    <t>MuntashirAkon-AppManager-645</t>
  </si>
  <si>
    <t>AM Crashes on trying to change fixed system permissions</t>
  </si>
  <si>
    <t>Your issue will be closed without warning if you don check at least two items.
know what my device, OS and App Manager versions are
know how to take logs
know how to reproduce the issue which may not be specific to my device (not sure if it not specific, but could be thing for all fixed permissions)
**Describe the bug**
AM crashes trying to revoke fixed system permission for system app (root mode).
Steps to reproduce the behaviour:
1. Open AM
4. AM Crashes
The permission should be denied and AM should not crash.
App version: 2.5.24-PRE
App version code: 383
Android build version: 1834
Android release version: 10
Android SDK version: 29
Android build ID: 2021-03-18 09-20 3.1 ad716f8
Device brand: ONYX
Device manufacturer: ONYX
Device name: Note3
Device model: Note3</t>
  </si>
  <si>
    <t>PojavLauncherTeam-PojavLauncher-2327</t>
  </si>
  <si>
    <t>[BUG] Changing to a custom skin crashes the game entirely</t>
  </si>
  <si>
    <t>### Describe the bug
So, have read the comments on my last bug report (currently closed) that the versions ve downloaded has been migrated to new directory.
But the problem is, when tried to change to custom skin have, why does PojavLauncher crash on me?
### The log file and images videos
Screenshot ru zdevs zarchiver (https: 84720161
Screenshot ru zdevs zarchiver (https: 84720161
Screenshot ru zdevs zarchiver (https: 84720161
### Steps To Reproduce
How it started:
1. Download skin.
2. Open up ZArchiver (the file explorer used to change to my custom skin).
3. Duplicate the skin as copy.
4. Rename them steve.png and alex.png respectively.
### Expected Behavior
was able to open up the world on the version that my custom skin was in and roam freely.
Device model: POCO M3
CPU architecture: Octa-core Max 2.0GHz
Android version: Android 10
PojavLauncher version: crocus-v3 openjdk
### Anything else?</t>
  </si>
  <si>
    <t>nextcloud-android-9450</t>
  </si>
  <si>
    <t>automatic crash report</t>
  </si>
  <si>
    <t>2021-12-03</t>
  </si>
  <si>
    <t>QGdev-OpenWeather-1</t>
  </si>
  <si>
    <t>Application crash - IndexOutOfBoundsException</t>
  </si>
  <si>
    <t>Application is crashing while any places excepted the last one, and try to extend place view of any place after the removed place
Type of crash:
Card listeners declared with place array position and not with reference to the place object</t>
  </si>
  <si>
    <t>florschBf-THB_TicTacToe-24</t>
  </si>
  <si>
    <t>Websocket reconnect onResume() crasht die App</t>
  </si>
  <si>
    <t>branch develop connectPlayers, Klasse</t>
  </si>
  <si>
    <t>nextcloud-android-9441</t>
  </si>
  <si>
    <t>App crashes while syncing keepass file from /e/cloud documents folder</t>
  </si>
  <si>
    <t>### Steps to reproduce
1. Open app
2. Tab on .kdbx file in documents
3. See crash log
### Expected behaviour
### Actual behaviour
crashes with null pointer
### Environment data
Device model: fairphone
Stock or customized system:
Nextcloud app version: 20211119
Nextcloud server version:
#### Web server error log
Insert your webserver log here
#### Nextcloud log (data nextcloud.log)
************ CAUSE OF ERROR ************
************ APP INFORMATION ************
Build flavor: versionDev
************ DEVICE INFORMATION ************
************ FIRMWARE ************</t>
  </si>
  <si>
    <t>TeamNewPipe-NewPipe-7486</t>
  </si>
  <si>
    <t>crash when going back to history</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</si>
  <si>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history, scroll down and select any video.
2. open the video in full screen and after it plays, exit the full screen.
3. go back to history and scroll all the way to top.
### Actual behavior
&lt;!-- Tell us what happens with the steps given above. --&gt;
it will show the background, popup, and playall button even tho page is not at top yet, and once you scroll up to top, newpipe crashes. also like to mention that the report button shown often in screen record doesn do anything when pressing it.
### Ex pected behavior
&lt;!-- Tell us what you expect to happen. --&gt;
report button should work and also those three buttons shouldn appear unless user scrolls to the top and yeah shouldn crash.
### Screenshots Screen recordings
&lt;!-- If your bug includes crash (where you re shown the Error Report page with bunch of info), tap on Copy formatted report at the bottom and paste it here: --&gt;</t>
  </si>
  <si>
    <t>nadavsuissa-WeStudent-19</t>
  </si>
  <si>
    <t>login with nothing crashes</t>
  </si>
  <si>
    <t>if you try to press login when in mail there is nothing the app crushes.</t>
  </si>
  <si>
    <t>2021-12-02</t>
  </si>
  <si>
    <t>deepjavalibrary-djl-1398</t>
  </si>
  <si>
    <t>Direct Memory can't free</t>
  </si>
  <si>
    <t>find the same problem of djl pytorch inference api which also exist in libtorch java only api. The memory of JVM is stable but the whole memory of server increased several days until crashed it seems like caused by direct memory. found this issue of libtorch java only api, so try to use djl pytorch inference api but it can be solved
My predict part code such as:
float predictor createPredictor()
catch (Exception e)
infoLogger.error( predict error: ,e)</t>
  </si>
  <si>
    <t>cgeo-cgeo-12211</t>
  </si>
  <si>
    <t>Crash when long tapping coordinate of cache</t>
  </si>
  <si>
    <t>### Describe your problem!
Nightly crashes when long tapping on the coordinate field in cache details.
### How to reproduce?
Long tap coords
### Actual result after these steps?
### Expected result after these steps?
### c:geo Version
2021.12.01-6697118 developer build
### System information
### Additional Information</t>
  </si>
  <si>
    <t>2021-12-01</t>
  </si>
  <si>
    <t>Anuken-Mindustry-6394</t>
  </si>
  <si>
    <t>Startup crash caused by changing a sound in a mod.</t>
  </si>
  <si>
    <t>**Steps to reproduce**: *I have been working on mod. changed sound in mod by replacing the wrong sound with the correct sound and removing the old one. The sound changed was in my mod was titled 303-fire.ogg compressed the mod into zip and loaded the updated version of the mod into Mindustry and relaunched the game. Upon startup, the game immediately crashed. The sound was the only thing changed in the mod when updated the mod. This could be caused by mistake made but have searched through my mod thoroughly and have not found anything irregular that could have caused the crash. If you search through my mod apologize in advance for my messy scripts. am relatively new to java script.*
**Link(s) to mod(s) used**: *(https: drive.google.com drive folders Bmp?usp sharing)*
**Save file**: *(https: drive.google.com file view?usp sharing)*
**(Crash) logs**: *(https: drive.google.com file 1BecOs7 view?usp sharing)*
**I have updated to the latest release (https: github.com Anuken Mindustry releases) to make sure my issue has not been fixed.**
**I have searched the closed and open issues to make sure that this problem has not already been reported.**</t>
  </si>
  <si>
    <t>TeamNewPipe-NewPipe-7470</t>
  </si>
  <si>
    <t>Crash after long press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</si>
  <si>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F-Droid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Video selection (and have autoplay on click disabled)
2. Press on the video
3. Press on play in the bottom right corner
4. Immediately: long press on another video in the feed
5. CRASH null object reference (the queue size has not yet been set by NewPipe.
suggest setting the queue size to or before requesting the video contents and then setting the queue size, just to avoid the bug OR try catching the null object and doing nothing (the user will just be irritated, but the app wont crash)
&lt;!-- If you can cause the bug to show up again reliably (and hence don have proper set of steps to give us), please still try to give as many details as possible on how you think you encountered the bug. --&gt;
### Actual behavior
&lt;!-- Tell us what happens with the steps given above. --&gt;
The app crashes after long click has been performed
### Expected behavior</t>
  </si>
  <si>
    <t>2021-11-30</t>
  </si>
  <si>
    <t>PojavLauncherTeam-PojavLauncher-2307</t>
  </si>
  <si>
    <t>[BUG] 1.18 is not working</t>
  </si>
  <si>
    <t>### Describe the bug
The Game Altomatically closes
### The log file and images videos
Screenshot 20211130-133415 PojavLauncher (Minecraft Java Edition for Android) (https: 93351407
### Steps To Reproduce
1-First Download 1.18
2-Second Enter 1.18
3-Now wait while
4-That it, you made the bug.
### Expected Behavior
Tried To Play In Version 1.18.
Device model: SM-A207M (a20sub)
CPU architecture: 8x ARM Cortex-A53 1,80 GHz
Android version: 11
PojavLauncher version: Crocus-v3 openjdk
### Anything else?
When enter the app and select 1.18 it crashes on the loading bar</t>
  </si>
  <si>
    <t>nextcloud-android-9400</t>
  </si>
  <si>
    <t>"Use picture as" crashes receiving application</t>
  </si>
  <si>
    <t>### Steps to reproduce
1. Use dot menu for picture
2. Choose Use picture as...
3. Choose any of the possible receiving apps and complete the selection
### Expected behaviour
Photo should be set as whatever you chose
### Actual behaviour
Receiving app crashes
### Environment data
Android version: 11
Device model: emulator
Stock or customized system: stock
Nextcloud app version: 3.18.0
Nextcloud server version: 22
Reverse proxy: no
Example with trying to set the photo as contact picture (Contacts app):</t>
  </si>
  <si>
    <t>Anuken-Mindustry-6389</t>
  </si>
  <si>
    <t>Modded attributes crash with attribute weather</t>
  </si>
  <si>
    <t>**Steps to reproduce**:
*1. Spore floats on BetaMindy*
*2. Cover yourself in BetaMindy*
*3. Wait for it to Spore(storm)*
**Link(s) to mod(s) used**: *sk7725 BetaMindy*
**Save file**: *null*
If you remove the line above without reading it properly and understanding what it means, will reap your soul. Even if you re playing on someone server, you can still save the game to slot.
Mindustry has crashed. How unfortunate.
#b59e72 Demo of Chaos Itself dev-mode:2.3.2, exogenesis: blue 1.4, ldb:1.3.2, override-lib:1.0.1, revision:12.2, test-utils:0.1, uaw:0.7.4, ui-lib:2.16.6, waisa:2.3.3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</si>
  <si>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deltachat-deltachat-android-2156</t>
  </si>
  <si>
    <t>App crashes when attaching image after search in-chat</t>
  </si>
  <si>
    <t>This bug was reported by the Italian DC community, thanks!
Delta Chat version: 1.24
Steps to reproduce the problem:
1. open chat
2. search for something in chat
3. end the search
4. click the attachment button, select an image from the images thumbnails
5. app crashes with</t>
  </si>
  <si>
    <t>MuntashirAkon-AppManager-638</t>
  </si>
  <si>
    <t>Regressions with 2.6.5</t>
  </si>
  <si>
    <t>Your issue will be closed without warning if you don check at least two items.
know what my device, OS and App Manager versions are
know how to take logs
know how to reproduce the issue which may not be specific to my device
**Describe the bug**
Not crash in those case. 2.6.4 doesn crash in this case. or show misinformation.
App version: 2.6.5
App version code: 396
Android build version:
Android release version: 11
Android SDK version: 30
Android build ID: lineage miatoll-userdebug 11 RD2A.211001.002 release-keys
Device brand: Redmi
Device manufacturer: Xiaomi
Device name: curtana
Device model: Redmi Note Pro
Device product name: lineage miatoll
Device hardware name: qcom
ABIs (32bit): armeabi-v7a, armeabi
ABIs (64bit): arm64-v8a</t>
  </si>
  <si>
    <t>2021-11-29</t>
  </si>
  <si>
    <t>oliexdev-openScale-803</t>
  </si>
  <si>
    <t>Random crashes A12</t>
  </si>
  <si>
    <t>**Describe the bug**
The application just crashes randomly when using it.
Open and use the application.
Reproduced with latest dev version (https: github.com oliexdev openScale releases tag travis-dev-build): yes
Build version: 2.4.5-dev 7b1d9266 2021-11-26
OS version: Android 12 (SDK 31)</t>
  </si>
  <si>
    <t>nextcloud-android-9390</t>
  </si>
  <si>
    <t>App Android crash</t>
  </si>
  <si>
    <t>Neamar-KISS-1839</t>
  </si>
  <si>
    <t>Better compadibility with the google app's shortcuts</t>
  </si>
  <si>
    <t>**Describe the bug**
Because of incompatibilities kiss or the google app may crash if ask it to add shortcut to the launcher
1. Open Google app
2. Type weather
3. Add weather to home screen
4. Google or Kiss app may crash
weather shortcut is added to kiss
App version: 3.16.1
App installed via: (f-droid, Play Store, debug APK): play store
It is not typical shortcut and it also works with other launchers.
also sent bug report to Google but suspect that it is more of an Incompadibility with kiss</t>
  </si>
  <si>
    <t>PojavLauncherTeam-PojavLauncher-2298</t>
  </si>
  <si>
    <t>My Launcher Always Crashing When Play Online</t>
  </si>
  <si>
    <t>### Describe the bug
just Play PojavLauncher and play multiplayer server 10 minutes after that my Launcher crashed
Im Using google play version
### The log file and images videos
### Steps To Reproduce
2.Login With Online Account
3.Playing 1.8.8 Multiplayer Server
4.10 Minutes Playing And My Launcher Crashed
### Expected Behavior
Crashed everytime playing
Device model:Redmi Note 128G
PojavLauncher version:crocus v3 openjdk
### Anything else?</t>
  </si>
  <si>
    <t>CMPUT301F21T23-HabitTracker-191</t>
  </si>
  <si>
    <t>Fix habit creation bug</t>
  </si>
  <si>
    <t>This issue concerns bug fixes.
Fix bug that crashes the app when no title is entered.
Fix bug that crashes the app when no date is entered.</t>
  </si>
  <si>
    <t>CMPUT301F21T09-BudgetProjectName-279</t>
  </si>
  <si>
    <t>Fix a bug in View Habit Details and View Habit Event Screen</t>
  </si>
  <si>
    <t>&lt;!-- Description of PR --&gt;
## Description of Changes
Right now, the app would crash when we delete habit event and then try to view another habit event of the same habit.
This change would address this issue.
&lt;!-- Provide list of changes here --&gt;
&lt;!-- Prefer an animated gif --&gt;
Screenshots included (if necessary)
Code is well commented
Closes #ISSUE ID</t>
  </si>
  <si>
    <t>CMPUT301F21T23-HabitTracker-188</t>
  </si>
  <si>
    <t>Bug fix on sharing with old habits</t>
  </si>
  <si>
    <t>Newly created habits are supported, but this allows for old ones to still show up on sharing, this caused crash before but doesn hurt to add.
-Added new progress UI Mockup
-Added change order UI Mockup</t>
  </si>
  <si>
    <t>CMPUT301F21T41-Habbit-119</t>
  </si>
  <si>
    <t>App crashes when pressing Log-in/Register Account buttons while their respective text fields are empty</t>
  </si>
  <si>
    <t>2021-11-28</t>
  </si>
  <si>
    <t>CMPUT301F21T19-Habitappt-262</t>
  </si>
  <si>
    <t>fixed bug where deleting an event after viewing it crashed the app wi…</t>
  </si>
  <si>
    <t>th no error message</t>
  </si>
  <si>
    <t>PojavLauncherTeam-PojavLauncher-2292</t>
  </si>
  <si>
    <t>### Describe the bug
Doest let me play minecraft just crashes every single time login into any server very poor app
### The log file and images videos
### Steps To Reproduce
Just start the app and join any server and it crashes
### Expected Behavior
The game crashes every single time and can also play any version higher than 1.12
Device model: OnePlus Nord 12 256 gb
CPU architecture: 64x
Android version: 10
PojavLauncher version: latest play store version
### Anything else?</t>
  </si>
  <si>
    <t>TeamNewPipe-NewPipe-7452</t>
  </si>
  <si>
    <t>Show an alert dialog when no appropriate file manager was found</t>
  </si>
  <si>
    <t>#### What is it?
Bugfix (user facing)
Feature (user facing)
Codebase improvement (dev facing)
Meta improvement to the project (dev facing)
#### Description of the changes in your PR
See the linked issue for more details about the problem
If no file-manager (or SAF compatible) file manager is installed on device now an alert shows up
#### Before After Screenshots Screen Record
Before: &lt;App crashed&gt;
#### Fixes the following issue(s)
Fixes #7113 and more than 10 other issues where users managed to have no file-manager.
#### APK testing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
### How to test this?
To test this you have to get rid of all your file-managers (may led to data loss or other side effects). This may require disabling system apps.
strongly recommend doing this on an emulator only!
How to do it on an emulated Android 10 device:</t>
  </si>
  <si>
    <t>2021-11-27</t>
  </si>
  <si>
    <t>TeamNewPipe-NewPipe-7450</t>
  </si>
  <si>
    <t>Crash when importing Youtube subscriptions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</si>
  <si>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Subscritions import from Youtube
2. Press on IMPORT FILE
4. Can be produced every time
&lt;!-- If you can cause the bug to show up again reliably (and hence don have proper set of steps to give us), please still try to give as many details as possible on how you think you encountered the bug. --&gt;
### Actual behavior
&lt;!-- Tell us what happens with the steps given above. --&gt;
AP UI crashed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</si>
  <si>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PojavLauncherTeam-PojavLauncher-2286</t>
  </si>
  <si>
    <t>[BUG] 1.18 Release Candidate renderer problem</t>
  </si>
  <si>
    <t>### Describe the bug
Pojavlauncher crashed when joined the world in 1.18-rc3 with gl4es 1.1.5 renderer.
### The log file and images videos
### Steps To Reproduce
1. Start Pojavlauncher
2. Start 1.18-rc3
### Expected Behavior
expect to join the world
### Anything else?</t>
  </si>
  <si>
    <t>CMPUT301F21T41-Habbit-111</t>
  </si>
  <si>
    <t>Navigating away from the map fragment before it finds current location causes app to crash</t>
  </si>
  <si>
    <t>2021-11-26</t>
  </si>
  <si>
    <t>Anuken-Mindustry-6381</t>
  </si>
  <si>
    <t>platform: windows 10</t>
  </si>
  <si>
    <t>Anuken-Mindustry-6374</t>
  </si>
  <si>
    <t>liquids in full liquid producers have reaction particles to reacting liquids in conduits</t>
  </si>
  <si>
    <t>**Steps to reproduce**: attach conduit to full liquid producer (ex cryofluid mixer, melter) and fill the conduit with fluid that will react with the output of the producer.
**Link(s) to mod(s) used**: the bug works in vanilla but just in case my mod is attached, the chaos mixer output would react with the oxygen input.
**(Crash) logs**: none,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</si>
  <si>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MuntashirAkon-AppManager-633</t>
  </si>
  <si>
    <t>Crash on installer (split apks) - Android 12</t>
  </si>
  <si>
    <t>App Manager in itself launches works in Android 12, but some features cause crash.
One such features is the Installer module.
Steps to Reproduce:
Galaxy Fold on Android 12 Beta</t>
  </si>
  <si>
    <t>nextcloud-android-9365</t>
  </si>
  <si>
    <t>Login crashes when server URL contains invalid characters</t>
  </si>
  <si>
    <t>2021-11-25</t>
  </si>
  <si>
    <t>Anuken-Mindustry-6370</t>
  </si>
  <si>
    <t>Wrong water icon on Serpulo preview</t>
  </si>
  <si>
    <t>**Steps to reproduce**: Update to 135 and open campaign.
**Link(s) to mod(s) used**: The same as in https: github.com Anuken Mindustry issues 6351
**Save file**: The same as in https: github.com Anuken Mindustry issues 6351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</si>
  <si>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dedis-popstellar-624</t>
  </si>
  <si>
    <t>[BUG] Correct an error crashing a server when receiving an error</t>
  </si>
  <si>
    <t>OTTAA-Project-OTTAAProject-109</t>
  </si>
  <si>
    <t>Text to speech alert dialog</t>
  </si>
  <si>
    <t>**Describe the bug**
this error happens when the text-to-speech engine is not available
Steps to reproduce the behavior:
1.init the application
The app can crash when the app shows this message</t>
  </si>
  <si>
    <t>SceneView-react-native-sceneform-5</t>
  </si>
  <si>
    <t>Crash on hot reload.</t>
  </si>
  <si>
    <t>open an issue so keep tracking of this.
There an issue triggered when hot-reloading occurs.
The crash happens as the arFragment is being inflated on hot-reloading but it already was when the component is loaded when mounted.
Preventing the initialisation method from being triggered again in the same session would be enough and solve the problem.</t>
  </si>
  <si>
    <t>dedis-popstellar-620</t>
  </si>
  <si>
    <t>[BUG] AbstractEventCreationFragment allows start time in past</t>
  </si>
  <si>
    <t>### Description (Actual behavior)
allows start time in past.
It will crash when creating an election in past.
### Expected behavior
should not allow date time in past for the start.
### How to reproduce
1. Create Lao
2. Try to create Rollcat Election
3a. Set date to today
4a. Set time hour before
3b. Set time hour before
4b. Set date to today
### Version Environment
This bug was reproduced on:
### Possible root cause
There is no check for time in</t>
  </si>
  <si>
    <t>2021-11-24</t>
  </si>
  <si>
    <t>brodeurlv-fastnfitness-240</t>
  </si>
  <si>
    <t>BodyMeasures import crashes the app.</t>
  </si>
  <si>
    <t>**Describe your issue**
the app crashes every time try to import the export BodyMeasures username.csv So can transfer my weighttracking to the new phone (weight is the only thing use the app for).
Steps to reproduce the behavior:
1. Export Database
2. Try to import: export BodyMeasures username.csv
3. App crashes
File should be imported.
**Desktop (please complete the following information):**
Device: Huawai P10 Mi Mix 2s
OS: Andoid (old phone) Andoid 10 (new phone)
Database version: 24</t>
  </si>
  <si>
    <t>PojavLauncherTeam-PojavLauncher-2275</t>
  </si>
  <si>
    <t>The pojav background cannot be started because it is not deleted</t>
  </si>
  <si>
    <t>### Describe the bug
pojav pojav just went to play video game (enter the game) rest (exit), rest enough to continue to play video game (re-enter), found no restart, need to reinstall the runtime Delete pojav background, restart pojav launcher can continue, but quit the game, do not delete restart will crash!
### The log file and images videos
### Steps To Reproduce
2.Exit the game
Solution, but trouble:
3.Enter the game
1.Delete pojav background
### Expected Behavior
Can you fix it?
CPU architecture: MediaTek 800
Android version: 10 Harmony OS
PojavLauncher version: openjdk
### Anything else?
Solution operation. After entering the game, exit and carry out solution again
It not as convenient as before. Quit. You don need to delete the background. You can start it again</t>
  </si>
  <si>
    <t>mI-PIV-app-203</t>
  </si>
  <si>
    <t>User-defined images not processing</t>
  </si>
  <si>
    <t>With all default parameters, the and user defined video, the app is crashing during single pass processing.</t>
  </si>
  <si>
    <t>hzi-braunschweig-SORMAS-Project-7352</t>
  </si>
  <si>
    <t>App crashes when trying to create immunizations for event participants</t>
  </si>
  <si>
    <t>### Bug Description
The Android app crashes when trying to create an immunization for an event participant even for events with disease.
Relates to #7167
### Steps to Reproduce
1. Create or select and event with disease.
2. Navigate to immunizations
3. Click the edit icon person edit fragment opens
4. Navigate to immunisations and try to create new immunisation by clicking the icon.
5. App crashes
### Expected Behavior
The app should not crash.
&lt;!-- Mandatory you only have to specify the Server URL if the error appeared on publicly available test server --&gt;
Device: Android version 11
SORMAS version: 1.65.1
Android version Browser:
Server URL: https:
User Role: Surveillance officer contact officer
### Additional Information
&lt;!-- Optional --&gt;</t>
  </si>
  <si>
    <t>2021-11-23</t>
  </si>
  <si>
    <t>dedis-popstellar-616</t>
  </si>
  <si>
    <t>[BUG] Go backend crash when failed to handle message and when connected to witness server</t>
  </si>
  <si>
    <t>### Description (Actual behavior)
When there are at least two servers (1 organizer witnesses) and if server receive an error it crashed.
### Expected behavior
### How to reproduce
1. Setup an organizer server and witnes server connected to it
2. Connect to organizer with android
3. Send an invalid message (for example roll call#create with start time in the past)
4. Organizer server crashed
### Version Environment
This bug was reproduced on:
The server crash
### Possible root cause
Maybe the servers try to propagate the receive message to others but when it an invalid message, errors are maybe not correctly send handle. When there is only single server (organizer), it doesn crash.
It seems that the crash happends with SIGSEGV on be1-go hub standard hub message handling.go:105.
organizer server log https: pastebin.com jjxadM1m
witness server log https: pastebin.com tjcN4rY2</t>
  </si>
  <si>
    <t>Rapsssito-react-native-background-actions-113</t>
  </si>
  <si>
    <t>Unable to start service com.asterinet.react.bgactions.RNBackgroundActionsTask@ebe9ce4 with Intent { cmp=com.app/com.asterinet.react.bgactions.RNBackgroundActionsTask (has extras) }: java.lang.NullPointerException: Attempt to invoke virtual method 'java.lang.Class java.lang.Object.getClass()' on a null object reference</t>
  </si>
  <si>
    <t>am getting this error on production, and it causes crashes for some of the users, any ideas on how to solve this?</t>
  </si>
  <si>
    <t>nextcloud-android-9348</t>
  </si>
  <si>
    <t>Nextcloud Android app keeps crashing</t>
  </si>
  <si>
    <t>1. Open Nextcloud
2. Browse to Instant upload folder
************ CAUSE OF ERROR ************
************ APP INFORMATION ************
Build flavor: generic
************ DEVICE INFORMATION ************
************ FIRMWARE ************</t>
  </si>
  <si>
    <t>Giua-app-Giua-App-75</t>
  </si>
  <si>
    <t>L'app crasha cercando di aprire una Attività nell'Agenda</t>
  </si>
  <si>
    <t>Build version: 0.6.1-stable
OS version: Android (SDK 28)</t>
  </si>
  <si>
    <t>gluonhq-substrate-1047</t>
  </si>
  <si>
    <t>iOS 15.x, Crash during Startup (Also happens on the Devoxx app)</t>
  </si>
  <si>
    <t>iOS 15.x, Crash during Startup
This does not happen with iOS 14.x.
It both reproducible on the devoxx app (https: github.com devoxx MyDevoxxGluon commits master) from the AppStore, and on my proprietary app.
was not able to reproduce it on the ResistorCalculator App probably because it starts very very fast.
was able to reproduce it on all iOS could get my fingers on.
So it happens quite frequently. For some unknown reason it sometimes happens nearly always, and other times it doesn happen very often.
Some topics found in another community, with similar error:
This suggests it correlates with how much is happening during the startup or when the application is used.
Especially because the complexity during startup correlates with the crash frequency. This explains why the ResistorCalculator app isn affected.
the latest version of the gluon gradle plugin 1.0.8
Both iPad and iPhone
Couldn test it on iOS15.x, because didn have device available
To my current knowledge, this basically breaks GluonMobile for newer iOS devices, so hope you can fix this quickly.
Maybe there is already workaround known?
Here is the crash report generated by apple:</t>
  </si>
  <si>
    <t>2021-11-22</t>
  </si>
  <si>
    <t>lottie-react-native-lottie-react-native-820</t>
  </si>
  <si>
    <t>Lottie crashes on Android - new LottieValueCallback&lt;&gt;(colorFilter);</t>
  </si>
  <si>
    <t>### Lottie crashes on Android before running the app. This error occured after updating to RN 0.6.6.
if (colorFilters null &amp;&amp; colorFilters.size() 0)
for (int colorFilters.size() i++)
if (current.getType( color ReadableType.Map)
color color ), view.getContext())
color current.getInt( color
String path current.getString( keypath
SimpleColorFilter colorFilter new
String pathWithGlobstar path .**
String keys ))
KeyPath keyPath new KeyPath(keys)
### RN 0.6.6</t>
  </si>
  <si>
    <t>MuntashirAkon-AppManager-632</t>
  </si>
  <si>
    <t>App is crashing when backup volume (SD card) is unavailable or unmounted</t>
  </si>
  <si>
    <t>Your issue will be closed without warning if you don check at least two items.
know what my device, OS and App Manager versions are
know how to take logs
know how to reproduce the issue which may not be specific to my device
**Describe the bug**
AM debug crashing when backup volume(SD card) is unavailable or unmounted
Steps to reproduce the behaviour:
1. Go to setting,set backup volume as SD card
2. Remove SD card
3. Try to backup any app and AM is crashing
Suggestion- AM should notify users that SD card is removed, Select or change backup volume
If applicable, add screenshots to help explain your problem.
App version: 2.7.0-1586-DEBUG
App version code: 395
Android build version:
Android release version: 12
Android SDK version: 31
Android build ID: SD1A.210817.036.A8
Device brand: POCO
Device manufacturer: Xiaomi</t>
  </si>
  <si>
    <t>osamaqarem-react-native-image-colors-41</t>
  </si>
  <si>
    <t>Android crash</t>
  </si>
  <si>
    <t>See on the image more details on the device
Happens when calling cache: true</t>
  </si>
  <si>
    <t>PojavLauncherTeam-PojavLauncher-2270</t>
  </si>
  <si>
    <t>Sodium Extra Not Working</t>
  </si>
  <si>
    <t>### Describe the bug
Installed the sodium extra mod then when open the video setting it crash bruhhhhhh
### The log file and images videos
### Steps To Reproduce
Install sodium extra mod
Open video settings
Then It Crash
### Expected Behavior
expected to boost my fps
Device model: Oppo A5s
CPU architecture: aarch64
Android version: 10
PojavLauncher version: Latest Release
### Anything else?</t>
  </si>
  <si>
    <t>PojavLauncherTeam-PojavLauncher-2263</t>
  </si>
  <si>
    <t xml:space="preserve">[BUG] VirGL does not start shaders </t>
  </si>
  <si>
    <t>### Describe the bug
When you run on VirGL shaders, even the weakest game freezes and crashes.
### The log file and images videos
### Steps To Reproduce
1. Start by Pojavlauncher
chose render on VirGL
Allocated 1.5GB of RAM
launched minecraft 1.16.5 optifine
chose the shader needed (tea shaders) and at this point the game froze and crashed.
### Expected Behavior
expected shaders to start
Device model: honor 9c 64
CPU architecture: aarch 64
Android version: 10
PojavLauncher version: 3e5f04a v3 openjdk
### Anything else?</t>
  </si>
  <si>
    <t>2021-11-21</t>
  </si>
  <si>
    <t>Anuken-Mindustry-6351</t>
  </si>
  <si>
    <t>Unit icons getting missing on Serpulo</t>
  </si>
  <si>
    <t>**Steps to reproduce**: Set sector icon as unit. Close the game. Open the game. That icon is missing.
Screenshot io anuke mindustry (https: 33349024
Screenshot io anuke mindustry (https: 33349024
**Link(s) to mod(s) used**:
**Save file**: https: drive.google.com file Vox9ZW view?usp drivesdk
**(Crash) logs**: No crash this time.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</si>
  <si>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2021-11-20</t>
  </si>
  <si>
    <t>nextcloud-android-9326</t>
  </si>
  <si>
    <t>crash in Huawei phone</t>
  </si>
  <si>
    <t>PojavLauncherTeam-PojavLauncher-2258</t>
  </si>
  <si>
    <t>While playing like 10 min on pojav lastest version app just crashes it freezes on gray screen and makes you to login again it just puts you back at login screen pls fix it</t>
  </si>
  <si>
    <t>### Describe the bug
Just crashes randomly
### The log file and images videos
### Steps To Reproduce
### Expected Behavior
### Anything else?</t>
  </si>
  <si>
    <t>2021-11-19</t>
  </si>
  <si>
    <t>MuntashirAkon-AppManager-631</t>
  </si>
  <si>
    <t>SSAID  not shown up in Android 12</t>
  </si>
  <si>
    <t>Your issue will be closed without warning if you don check at least two items.
know what my device, OS and App Manager versions are
know how to take logs
know how to reproduce the issue which may not be specific to my device
**Describe the bug**
clear and concise description of what the bug is.
Steps to reproduce the behaviour:
1. Go to ...
2. Click on ....
3. Scroll down to ....
4. See error
clear and concise description of what you expected to happen.
If applicable, add screenshots to help explain your problem.
If applicable, add crash logs to help us figure out the problem.
Device: e.g. One Plus Pro
OS Version: e.g. Android 10
App Manager Version: e.g. v2.5.13
Mode: root adb no-root
Add any other context about the problem here.</t>
  </si>
  <si>
    <t>TeamNewPipe-NewPipe-7424</t>
  </si>
  <si>
    <t>Onlongclick, got a nullpointer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</si>
  <si>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Swipe to my subscription.
2. click into lasted updated video, open one, when it load slowly, close wifi.
3. long touched upper position of screen.
4. back to last fragment, long click any video, crash.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</si>
  <si>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mh--corona-warn-companion-android-133</t>
  </si>
  <si>
    <t>OutOfMemoryError while opening exposure.db from CCTG</t>
  </si>
  <si>
    <t>Hi since today the app crashes one minute after export the exposure.db from the CCTG app. Yesterday everything was fine.
captured the moment in ADB logcat. have 5400 tokens. that too much?
Restarting the app, the phone had no effect.</t>
  </si>
  <si>
    <t>PojavLauncherTeam-PojavLauncher-2256</t>
  </si>
  <si>
    <t>Pojavlauncher latest version:  3e5f04a v3_openjdk crash in 1.7.10</t>
  </si>
  <si>
    <t>### Describe the bug
### The log file and images videos
### Steps To Reproduce
2.launch minecraft 1.7.10
3.play for 1-10 minute
### Expected Behavior
Device model: galaxy j2
CPU architecture: areech 32
Android version: 5.1.1
### Anything else?
Please fix this problem as soon as possible</t>
  </si>
  <si>
    <t>btcontract-wallet-112</t>
  </si>
  <si>
    <t>Crash on opening pending invoice details</t>
  </si>
  <si>
    <t>There are several pending invoices that have, they might have already expired (I might have created them yesterday, don remember the exact date and it not displayed anywhere). When open any of them the app consistently crashes with the following log:
It doesn happen with the fresh invoices created today, they open normally.</t>
  </si>
  <si>
    <t>nextcloud-android-9313</t>
  </si>
  <si>
    <t>Crash on mp3 playback</t>
  </si>
  <si>
    <t>### Steps to reproduce
1. Start playing an mp3 file with the apps media player (it does not matter if the file is downloaded or streamed)
2. Pause playback and lock screen (or wait until it locks itself)
3. Unlock phone and click play
### Expected behaviour
The playback should continue
### Actual behaviour
Toast message the build-in media player is unable to play the media file
When clicking on back the app crashes (see exception below)
### Environment data
Android version: 11
Device model: Mi A3
Stock or customized system: Stock Android One
Nextcloud app version: 30170190
Nextcloud server version: 22.2.0
********** CAUSE OF ERROR **********
********** APP INFORMATION **********
Build flavor: generic
********** DEVICE INFORMATION **********
********** FIRMWARE **********</t>
  </si>
  <si>
    <t>OTTAA-Project-OTTAAProject-106</t>
  </si>
  <si>
    <t>Share Pictograms Pictures Bug</t>
  </si>
  <si>
    <t>**Describe the bug**
This issue happens when the user tries to share phrase such as picture and system no find one or more icons from the pictograms.
Steps to reproduce the behaviour:
1. Go to the gallery
2. Click on the search icon
3. Search castle
4. Click twice at the option
5. repeat the steps again
6. select the share button
7. select the image icon
8. select your favourite social media
9. the app crash
The system should be shown download icon when the pictogram is empty.</t>
  </si>
  <si>
    <t>2021-11-18</t>
  </si>
  <si>
    <t>PojavLauncherTeam-PojavLauncher-2254</t>
  </si>
  <si>
    <t>[BUG] Controllers not supported with Android 12</t>
  </si>
  <si>
    <t>### Describe the bug
Any Controller try crashes the entire game after one single controller input. Everything else works just fine otherwise.
### The log file and images videos
### Steps To Reproduce
1. Start game with android 12 and any controller connected to phone
2. Press any input after startup
3. Grats your game crashes.
### Expected Behavior
Basically not crash
Device model: Samsung S21 5G
CPU architecture: Snapdragon 888
Android version: 12
PojavLauncher version: Any
### Anything else?</t>
  </si>
  <si>
    <t>OTTAA-Project-OTTAAProject-104</t>
  </si>
  <si>
    <t>Crash when Entering the App</t>
  </si>
  <si>
    <t>**Describe the bug**
The app chrashes when the user tries to open in.
1. Touch OTTAA Project icon in the launcher
After touching the app icon, the screen will turn white and OTTAA logo will be shown in the middle of the screen,
below the logo, it will appear Iniciando sesi then Cargando datos del usuario and then the app will crash and
will show the failure message attached below.
bug inicio (https: 78824577
**Smartphone (please complete the following information):**
Device: Lenovo Tab M10</t>
  </si>
  <si>
    <t>SmartPack-SmartPack-Kernel-Manager-116</t>
  </si>
  <si>
    <t>Switching to the "SmartPack" section sometimes causes a crash</t>
  </si>
  <si>
    <t>Steps to reproduce:
1. Switch to any other section
2. Switch to the SmartPack section
3. Repeat steps and until app crashes
Using version 16.8, can reproduce on both the F-Droid and Google Play versions.</t>
  </si>
  <si>
    <t>ankidroid-Anki-Android-9914</t>
  </si>
  <si>
    <t xml:space="preserve">[Bug] v2.16alpha33 crashes when changing Decks in Card Browser and Statistics </t>
  </si>
  <si>
    <t>###### Reproduction Steps
1. Open Card Browser or Statistics
2. Tap on the deck on top to change it
###### Expected Result
Deck selector pops up
###### Actual Result
###### Debug info
AnkiDroid Version 2.16alpha33
Android Version 11
Model Redmi Note Pro
Webview User Agent Mozilla 5.0 (Linux Android 11 Redmi Note Pro Build RP1A.200720.011 wv) AppleWebKit 537.36 (KHTML, like Gecko) Version 4.0 Chrome 96.0.4664.45 Mobile Safari 537.36
Crash Reports Enabled true
DatabaseV2 Enabled true
have searched for similar existing issues here and on the user forum
(Optional) have confirmed the issue is not resolved in the latest alpha release instructions (https: docs.ankidroid.org</t>
  </si>
  <si>
    <t>google-gson-2020</t>
  </si>
  <si>
    <t>java.lang.NoSuchFieldException: UNAVAILABLE</t>
  </si>
  <si>
    <t>Java Android version
Android compileSdk 31, target Java 1.8
After upgrading from gson 2.8.8 to 2.8.9, we started seeing the following exception:
This happens when gson is creating the EnumTypeAdapter for the following class:
enum class CallingStatus
This enum is written in kotlin, and the class is not kept by proguard (The serialized name annotations should be telling gson how to parse this)
If log out this info on release build like follows:
it.name it.get(null) (it.get(null) as CallingStatus).name
## Expected behavior
Gson doesn crash creating type adapter
## Actual behavior
Gson crashes creating type adapter
1. Create an enum class in kotlin and do not cover it with proguard
2. Build the project and try and create the type adapter
Exception stack trace</t>
  </si>
  <si>
    <t>2021-11-17</t>
  </si>
  <si>
    <t>MuntashirAkon-AppManager-629</t>
  </si>
  <si>
    <t>Create shortcut</t>
  </si>
  <si>
    <t>**Describe the bug**
Create shortcut button in activity section make nothing.
Steps to reproduce the behaviour:
1. Go to activities tab.
2. Click on create shortcut on some activity.
Shortcut is created.
Cant add logs because logd is removed. And no crashes at all.
Device: Fly FS526 Power Plus
OS Version: Android
App Manager Version: v2.6.4
Mode: root, Magisk.
Default launcher is removed. Current default launcher is Holo Launcher.</t>
  </si>
  <si>
    <t>2021-11-16</t>
  </si>
  <si>
    <t>MuntashirAkon-AppManager-628</t>
  </si>
  <si>
    <t>MuntashirAkon-AppManager-627</t>
  </si>
  <si>
    <t>google-ExoPlayer-9696</t>
  </si>
  <si>
    <t>Fatal Exception: java.lang.SecurityException</t>
  </si>
  <si>
    <t>We are getting these crash reports on Android 11, and we don know how to reproduce them:
Package android does not belong to 10255
can see there is patch for here: https: github.com google ExoPlayer commit which looks quite similar to the one we are seeing not saying it the same. Has this been fixed in any version of ExoPlayer to avoid this?</t>
  </si>
  <si>
    <t>PojavLauncherTeam-PojavLauncher-2247</t>
  </si>
  <si>
    <t>[BUG] bugs and bugs</t>
  </si>
  <si>
    <t>### Describe the bug
have some bugs
1.i can use all of rams my device have gb ram can use 1100 mb if use 1100 or 1000 or 900 mb game crash.
2.i can playing in 1.17+ and make crash even though followed all steps.
3.i can playing forge of any version app colosed if entered in any world
4.1.13+ make crash and app exiting
### The log file and images videos
### Steps To Reproduce
can playing correctly
### Expected Behavior
Device model: X96Q 2gb ram 16 gb storage
CPU architecture: arm
Android version: 10
PojavLauncher version: lasted release
### Anything else?
please fix this bugs</t>
  </si>
  <si>
    <t>2021-11-15</t>
  </si>
  <si>
    <t>ViroCommunity-viro-61</t>
  </si>
  <si>
    <t>App crashes on IOS</t>
  </si>
  <si>
    <t>Hi, any idea why app crashes on IOS, even on example from app store? React Viro is working on Android. Maybe because of issue (https: github.com viromedia viro issues 836) or issue (https: github.com viromedia viro issues 852)? How to solve this?</t>
  </si>
  <si>
    <t>PojavLauncherTeam-PojavLauncher-2241</t>
  </si>
  <si>
    <t>[BUG] Crash Pojavlauncher (2) Crash suddenly</t>
  </si>
  <si>
    <t>### Describe the bug
Pojavlauncher crashes for the 2nd time! Crash suddenly, no error code or any error message
### The log file and images videos
### Steps To Reproduce
1. Start Pojavlauncher
2. Enter the map
3. (Later) Crash suddenly
### Expected Behavior
hope Pojavlauncher quickly fix this sudden crash
Device model: Vivo Y21s 6GB 128GB
CPU architecture: aarch 64 (Helio G80)
Android version: 11
PojavLauncher version: Lastest Release on CH Play
### Anything else?</t>
  </si>
  <si>
    <t>nextcloud-android-9263</t>
  </si>
  <si>
    <t>runtime exception</t>
  </si>
  <si>
    <t>### Steps to reproduce
### Expected behaviour
next cloud does not crash
### Actual behaviour
occasional crashing, do not know how to reproduce this
### Error message
************ CAUSE OF ERROR ************
... 10 more
************ APP INFORMATION ************
Build flavor: gplay
************ DEVICE INFORMATION ************
************ FIRMWARE ************</t>
  </si>
  <si>
    <t>2021-11-14</t>
  </si>
  <si>
    <t>mh--corona-warn-companion-android-131</t>
  </si>
  <si>
    <t>App crashes when opening database via CCTG share</t>
  </si>
  <si>
    <t>Export database from CCTG
App lounches, displays wihte screen and App was closed Dialog appears
lineage-os (Android 7.1.2)
logcat (exert, ask if you need the full log):</t>
  </si>
  <si>
    <t>Anuken-Mindustry-6335</t>
  </si>
  <si>
    <t>My campaign mode are refreshed for no reason, I worked for over a month, whats going on and can I have my history back ?</t>
  </si>
  <si>
    <t>oliexdev-openScale-791</t>
  </si>
  <si>
    <t>Backup crashing on Android 12</t>
  </si>
  <si>
    <t>**Describe the bug**
App crashes when backup is clicked.
Steps to reproduce the behavior:
1. Go to Settings
2. Click on Backup
3. See error
Reproduced with latest dev version (https: github.com oliexdev openScale releases tag travis-dev-build): 2.4.3-dev 49ae42b5 2021-11-12
Backup menu should open.
Build version: 2.4.3-dev 49ae42b5 2021-11-12
OS version: Android 12 (SDK 31)
Strongly consider using FLAG IMMUTABLE, only use FLAG MUTABLE if some functionality depends on the PendingIntent being mutable, e.g. if it needs to be used with inline replies or bubbles.</t>
  </si>
  <si>
    <t>Anuken-Mindustry-6333</t>
  </si>
  <si>
    <t>Attempted to make my own ForceProjector which crashes on placement</t>
  </si>
  <si>
    <t>wanted to make my own Force Projector with slightly larger range and less downtime for when it goes down, but it appears the wiki isn clear enough for me to follow it to make my own. (Or quite simply, missed something that may be obvious)
**Steps to reproduce**: The quickest way that have found is to make sure my mod (which is currently not released but may soon be released via git repo) is enabled, then enter any map in sandbox mode then go to the Defense tab (The one will walls) to select the Hex Field (my remake of the Force Projector) place it and watch your client blow up.
**Link(s) to mod(s) used**: Both of the mods that currently have installed along with the current version of my mod mindustry-hacked will be added.
(At this time was still using 126.1, but now upgraded to 134.1 pre-rel)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have searched thru closed issues up to page then quite simply gave up, since not many of them are related much to custom modding.
see on the wiki ForceProjector (https: wiki-testing modding 5-types #forceprojector) but have all those fields on the Hex Field (as defined in mindustry-hacked content blocks defense hex-field.hjson), or at least think do.
feel as though solution, though it would take while to complete, would be to add .hjson files that depict or even define the games built-in stuff (weapons, walls, power generators, battery, and what not) as way to show how to mod that item. (But this is just someone lost and confused)</t>
  </si>
  <si>
    <t>PojavLauncherTeam-PojavLauncher-2234</t>
  </si>
  <si>
    <t>Why my 1.8.9 CRASH</t>
  </si>
  <si>
    <t>### Describe the bug
go to my world in 1.8.9 version CRASH (game exited)
Don say enable VBO it doesn work.
### The log file and images videos
### Steps To Reproduce
1. go to pojav
2. select 1.8.9
3. go to world or server
4. crash (game exited)
### Expected Behavior
want to play 1.8.9 pls fix it
Device model: samsung galaxy A71
CPU architecture: aarch 64
Android version: 11
PojavLauncher version: Latest you guys made
### Anything else?
Pls fix it don say enable VBO it doesn work for me
Pls don close this so fast.</t>
  </si>
  <si>
    <t>2021-11-13</t>
  </si>
  <si>
    <t>MuntashirAkon-AppManager-621</t>
  </si>
  <si>
    <t>installation popup crashes</t>
  </si>
  <si>
    <t>know what my device, OS and App Manager versions are
Google Pixel 4a (5G)
AM version 2.6.4
know how to take logs
know how to reproduce the issue which may not be specific to my device
**Describe the bug**
When trying to install something from f-droid, the conformation popup shows for the blink of an eye and crashes. The crash started after updating the device to Android 12.
Steps to reproduce the behaviour:
1. Go to f-droid and try to install any app using the AppManager
Conformation dialog with version information etc should popup.
App version: 2.6.4
App version code: 394
Android build version: 7757856
Android release version: 12
Android SDK version: 31
Android build ID: SP1A.211105.003
Device brand: google
Device manufacturer: Google
Device name: bramble
Device model: Pixel 4a (5G)</t>
  </si>
  <si>
    <t>2021-11-12</t>
  </si>
  <si>
    <t>nextcloud-android-9254</t>
  </si>
  <si>
    <t>3.18.0 RC5: search crashing</t>
  </si>
  <si>
    <t>tried different searches, get almost every time this crash:
************ CAUSE OF ERROR ************
... 18 more
Caused by: calling this from your main thread can lead to deadlock
... 19 more
************ APP INFORMATION ************
Build flavor: gplay
************ DEVICE INFORMATION ************
************ FIRMWARE ************</t>
  </si>
  <si>
    <t>TeamNewPipe-NewPipe-7396</t>
  </si>
  <si>
    <t>NewPipe crashes when changing resolution settings on WSA (Windows Subsystem for Android)</t>
  </si>
  <si>
    <t>Installed NewPipe on Windows Subsystem for Android via sideloaded F-Droid.
OK checked, but didn find any duplicates (open OR closed) of this issue in the repo.
OK have read the contribution guidelines given at https: github.com TeamNewPipe NewPipe blob HEAD .github CONTRIBUTING.md.
OK This issue contains only one bug. will open one issue for every bug report want to file.
to reproduce b&gt;&lt; summary&gt;&lt;p&gt;
#### 1. Install Windows 11 build 22494.1000 (or above)
*I own not supported device processor if it matters?*
#### 2. Download WSA from store.rg-adguard (https:
Download 1.8.32822.0 neutral 8wekyb3d8bbwe* ***.msixbundle*** (around 1.2GB)
#### 3. Install WSA via powershell
Add-AppPackage -path ... 1.7.32822.0 neutral
#### 4. Start Windows Subs..., activate developer mode and copy the IP
*You may open the folders to force start.*
#### 5. Download F-Droid.apk (https: f-droid.org
#### 6. Download platform-tools (https: dl.google.com android repository and install F-Droid
Unzip, open cmd and run
... adb.exe connect IPfromWSA
... adb.exe install pathtoF-Droid.apk
#### 7. Install NewPipe via F-Droid and start it
#### 8. Watch any video and try to open the resolution settings</t>
  </si>
  <si>
    <t>2021-11-11</t>
  </si>
  <si>
    <t>PojavLauncherTeam-PojavLauncher-2229</t>
  </si>
  <si>
    <t>1.8.9 &amp; LC(LunarClient) crash</t>
  </si>
  <si>
    <t>### Describe the bug
It go into menu when go to my world it crash enabled VBO it doen work for me
can play on hypixel 1.8.9
### The log file and images videos
### Steps To Reproduce
1.open 1.8.9 or Lunar Client
2.go to world GAME EXITED
### Expected Behavior
Plssssssss fix it it my dreeeaam
Device model: Samsung galaxy A71
CPU architecture: aarch64
Android version: 11
PojavLauncher version: Latest
### Anything else?
Don say use VBO use it doesn work</t>
  </si>
  <si>
    <t>Anuken-Mindustry-6326</t>
  </si>
  <si>
    <t>Typing in the game using Pinyin input method cannot display the candidate box</t>
  </si>
  <si>
    <t>Anuken-Mindustry-6324</t>
  </si>
  <si>
    <t>MultiEffect overrides children</t>
  </si>
  <si>
    <t>**Steps to reproduce**: *Make MultiEffect, add child, set baseRotation or startDelay Double check that MultiEffect is the issue by removing the MultiEffect and using the child directly*
**Link(s) to mod(s) used**: *I was testing using my own test mod but believe you can reproduce using any hjson*
**Save file**: *it has my **inaccessible** mod but ok*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</si>
  <si>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2021-11-10</t>
  </si>
  <si>
    <t>aws-aws-iot-device-sdk-java-v2-188</t>
  </si>
  <si>
    <t>BasicPubSub crash</t>
  </si>
  <si>
    <t>Confirm by changing to below to ensure that it bug:
ve searched for previous similar issues (https: github.com aws issues) and didn find any solution
using ATS data type endpoint: the endpoint should look like
**Describe the bug**
The error getting is below. When add the CRT log there are no additional errors. Note that in the error there hardcoded path to the file C: Program Files (x86) Jenkins workspace aws-crt-java crt aws-c-mqtt source packets.c: which doesn appear on my computer. This may be related to issues #53 and #123, as the errors appear to be similar.
**SDK version number**
1.2.4 but also tested with latest 1.5.3
**Platform OS Hardware Device**
expect the program to send and receive messages normally. Without the line added it works without issue.
The output getting is:
Fatal error condition occurred in C: Program Files (x86) Jenkins workspace aws-crt-java crt aws-c-mqtt source packets.c:23: cur.ptr &amp;&amp; cur.len</t>
  </si>
  <si>
    <t>TeamNewPipe-NewPipe-7391</t>
  </si>
  <si>
    <t>NewPipe crashes when de/activating subtitles in Samsung Dex mode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</si>
  <si>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open Newpipe in Samsung Dex (I tried it Dex for Windows, probably also happens in native Dex), watch video, try to activate or deactivate subtitles crash ensues.
1. Go to ...
2. Press on ....
3. Swipe down to ....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</si>
  <si>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mI-PIV-app-190</t>
  </si>
  <si>
    <t>Exiting Calibration Crash</t>
  </si>
  <si>
    <t>The app crashes if user follows the Create Camera Calibration Take Calibration Image and then exits without taking an image.</t>
  </si>
  <si>
    <t>OneBusAway-onebusaway-android-1084</t>
  </si>
  <si>
    <t>Android 12 causes device reboot while OBA is running</t>
  </si>
  <si>
    <t>ve gotten the following reports from two different users, so it seems there is bug in Android 12 that triggered by OBA that causes device reset.
not sure there is much we can do here as no app should be able to trigger this, so it definitely an Android bug. But going to open this issue we can track it.
ve suggested that users upgrade to the v2.9.x beta to see if that avoids the issue.
&gt;Unfortunately, recently, ve found that opening the app will occasionally cause my whole phone to crash and restart (no error message, just immediate restart boot screen). The behavior seems to happen consistently when open the app for the first time on any given day, but then typically isn an issue again for the remainder of the day. This has been going on for at least week or so and may have started when upgraded to Android 12, but not totally confident on the timing.
&gt;App Version: 2.8.0
OS Version: 12 31
Google Play Services App: 21.39.18 (190400-407637301)
Google Play Services Library: 12451000
&gt;Every time first open the app at this location and tap on the screen, my phone resets. After the reset the app works fine. It only seems to happen at this location and has been going on since updated to Android 12.
&gt;Before updating, the app would freeze up at this location and it would take few minutes and telling Android to wait for the app to respond before it would finally unfreeze.
&gt;App Version: 2.8.0
OS Version: 12 31
Google Play Services App: 21.39.18 (190400-407637301)
Google Play Services Library: 12451000
**Steps to reproduce:**
App shouldn be able to trigger device reset
App triggers device reset
**Device and Android version:**
Pixel 4XL and Pixel 4a both running Android 12</t>
  </si>
  <si>
    <t>2021-11-09</t>
  </si>
  <si>
    <t>yasirkula-UnityNativeShare-130</t>
  </si>
  <si>
    <t>Android 12/S+ Native Share requires FLAG_IMMUTABLE Flag</t>
  </si>
  <si>
    <t>**Description of the bug**
When calling NativeShare.Share() on my Pixel on Android 12, my app crashes with the error:
On phone running Android 12, initialize NativeShare object, and then call the NativeShare.Share function.
The app should crash with the given error.
Please provide the following info if this is Unity 3D repository.
Unity version: 2020.3.15f2
Platform: Android on phones running Android 12+
Device: Pixel 3, Android 12
How did you download the plugin: Package Manager</t>
  </si>
  <si>
    <t>getsentry-sentry-java-1798</t>
  </si>
  <si>
    <t>Sentry Performance crash: Caused by java.lang.NullPointerException: Attempt to invoke virtual method 'int java.util.ArrayList.size()' on a null object reference</t>
  </si>
  <si>
    <t>Android -&gt; If yes, which Device API (and compileSdkVersion targetSdkVersion Build tools) version?
Device API: Galaxy S8, Android
Android Studio -&gt; If yes, which version?
Gradle -&gt; If yes, which version?
Android Gradle Plugin:
Yes -&gt; If yes, which version?
Sentry Android Gradle Plugin:
Yes -&gt; If yes, which version?
Platform installed with:
The version of the SDK:
have the following issue:
Caused by Attempt to invoke virtual method int on null object reference
**Steps to reproduce:**
Add Plaid SDK to your app, launch Platypus Oauth Account, proceed with the fake account until you get crash.
Could not reproduce on Android 11, but it happens 100% of the time on Android (any manufacturer).
Let me know if you need more info.
Stack trace is posted above.
No runtime crash.
This is different from this crash: https: github.com getsentry sentry-java issues 1780</t>
  </si>
  <si>
    <t>2021-11-08</t>
  </si>
  <si>
    <t>PojavLauncherTeam-PojavLauncher-2218</t>
  </si>
  <si>
    <t>[BUG] &lt;VirGL&gt;</t>
  </si>
  <si>
    <t>### Describe the bug
seems like crashes on any version but not 1.7.10
### The log file and images videos
IDK what to put so
### Steps To Reproduce
1. Start launcher
2. set VirGL
3. Launch 1.16.5
5. Launch 1.7.10
6. open as nothing happened
### Expected Behavior
game launches on 1.7.10 with VirGL but not on others versions
Device model: NX659J
CPU architecture: Arm64
Android version: 11 root
PojavLauncher version: (Duy, you put 69 at final?)
### Anything else?
again, IDK what to put
Never gonna give you up
Never gonna let you down</t>
  </si>
  <si>
    <t>PojavLauncherTeam-PojavLauncher-2217</t>
  </si>
  <si>
    <t>[BUG] Controller inputs crash on latest development build</t>
  </si>
  <si>
    <t>### Describe the bug
trying to use my Razer Kishi with this, but any time so much as press button when in the java environment, the game immediately crashes. The game works just fine if not using it, or if it just plugged in and continue to use touch controls.
ve provided the latestlog, along with the crash log got and was told to copy when the app closed.
### The log file and images videos
--------- beggining with launcher debug
Added custom env: TMPDIR data user cache
Added custom env: AWTSTUB WIDTH 2282
Added custom env: REGAL GL VERSION 4.5
Added custom env: REGAL GL VENDOR Android
Added custom env: LIBGL MIPMAP
Added custom env: allow higher compat version true
Added custom env: MESA GLSL CACHE DIR data user cache
Added custom env: force glsl extensions warn true
Added custom env: LIBGL NORMALIZE
Added custom env: LD LIBRARY PATH data user runtimes lib jli: data user runtimes lib: system lib64: vendor lib64: vendor lib64 hw: data app lib arm64
Added custom env: POJAV RENDERER opengles3
Added custom env: LIBGL ES
Added custom env: MESA LOADER DRIVER OVERRIDE zink
Added custom env: MESA GLSL VERSION OVERRIDE 460
Added custom env: JAVA HOME data user runtimes</t>
  </si>
  <si>
    <t>TeamNewPipe-NewPipe-7379</t>
  </si>
  <si>
    <t>java.lang.NullPointerException: Attempt to read from field on a null object reference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</si>
  <si>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*I think this could be connected to #6696, though? They seem to have the same or similar error in logs, can tell if this is the same bug or not.
### Steps to reproduce the bug
1. Go to ...
2. Press on ....
3. Swipe down to ....
&lt;!-- If you can cause the bug to show up again reliably (and hence don have proper set of steps to give us), please still try to give as many details as possible on how you think you encountered the bug. --&gt;
can reproduce that but opened short video (https: www.youtube.com watch?v f3WW-Q4LAug), clicked play and entered fullscreen mode. The video was playing in landscape without the image (only sound) for couple seconds, was touching the screen while was waiting for it to load, it switched to portrait and the app crashed
### Actual behavior
&lt;!-- Tell us what happens with the steps given above. --&gt;
### Expected behavior
&lt;!-- Tell us what you expect to happen. --&gt;
Video loading normally without crashing</t>
  </si>
  <si>
    <t>penfeizhou-APNG4Android-123</t>
  </si>
  <si>
    <t>libanimation-decoder-gif.so导致crash</t>
  </si>
  <si>
    <t>PojavLauncherTeam-PojavLauncher-2215</t>
  </si>
  <si>
    <t>[BUG] crashed when instalizing the game</t>
  </si>
  <si>
    <t>### Describe the bug
### The log file and images videos
### Steps To Reproduce
1. Start pojavlauncher
2. Launch labymod client.
4. crashes (game exited)
### Expected Behavior
expected it launched but it crashes
Device model: vivo 1904
CPU architecture: Ram
Android version: 11
PojavLauncher version: lastest version 3.3.1.1
### Anything else?</t>
  </si>
  <si>
    <t>canyie-pine-21</t>
  </si>
  <si>
    <t>Pending hook crashes on Android 12</t>
  </si>
  <si>
    <t>Running Pine hooks resulted in crash
Any plans to support Android 12 asap?
Seems to be issue with Crashes immediately on Android 12 Google Pixel released public factory image.
tag canyie canyie</t>
  </si>
  <si>
    <t>NekoX-Dev-NekoX-663</t>
  </si>
  <si>
    <t>Nekogram crashes when multitasking/using dual apps/multi-window</t>
  </si>
  <si>
    <t>Whenever try to bring up OpenBoard to type in Nekogram while it set as dual app, the keyboard never appears (despite the Back button rotating to point downward) and Nekogram freezes until it crashes.</t>
  </si>
  <si>
    <t>2021-11-07</t>
  </si>
  <si>
    <t>rnyholm-skvirrel-64</t>
  </si>
  <si>
    <t>Active PE monitoring crashes during monitoring criteria check if PE of parcelable stock is unset</t>
  </si>
  <si>
    <t>There could be cases when there are no PE ratio available from yahoo finance, in those cases it will be unset in the parcelable stock therefore no exception can be thrown during checkup of criteria, if unset matching criteria met should be false</t>
  </si>
  <si>
    <t>deltachat-deltachat-android-2124</t>
  </si>
  <si>
    <t>app crashes exporting several attachments at the same time</t>
  </si>
  <si>
    <t>this issue is likely related to the new api-30 changes
Android version: 11
Delta Chat version: 1.24.2
Steps to reproduce the problem: select more than one attachment and press export attachments</t>
  </si>
  <si>
    <t>doublesymmetry-react-native-track-player-1327</t>
  </si>
  <si>
    <t>`java.lang.IllegalStateException` bug in production app</t>
  </si>
  <si>
    <t>**Describe the bug**
bug in production app.
Unfortunately, it is causing the app to have single-digit crash rate.
have been unable to reliably reproduce on my device. The issue can be reproduced, but it not clear to me how to reproduce reliably.
**Environment (please complete the following information):**
This issue occurs in production across number of devices in production. OS Android to 11
Android SDK: Not Found
Android Studio: 4.0
What version are you using?
Audio is fired from an ordinary screen that manages BackgroundTimer Download logic, and few API calls.</t>
  </si>
  <si>
    <t>sunilpaulmathew-sNotz-15</t>
  </si>
  <si>
    <t>when I try to go to settings, it just crashes.</t>
  </si>
  <si>
    <t>the problem happens if you try with yourphone language in Spanish, but if you set to English it works.
am noob, jet.
but do non know why and what more info can give.</t>
  </si>
  <si>
    <t>cgeo-cgeo-12060</t>
  </si>
  <si>
    <t>Mapsforge crash in emulator</t>
  </si>
  <si>
    <t>### Describe your problem!
Running master in emulator it crashs when displaying any Mapsforge map. went back two weeks in time (in the branch) and the same is happening there.
### How to reproduce?
Pixel API 30 Play Store image as basis
### Actual result after these steps?
### Expected result after these steps?
### c:geo Version
### System information
### Additional Information</t>
  </si>
  <si>
    <t>2021-11-06</t>
  </si>
  <si>
    <t>rnyholm-skvirrel-62</t>
  </si>
  <si>
    <t>App crashes from time to time on real device during startup</t>
  </si>
  <si>
    <t>material-components-material-components-android-2462</t>
  </si>
  <si>
    <t>[TextField] Crash during fragment recreaton</t>
  </si>
  <si>
    <t>Caused by: Failed to resolve attribute at index 13: TypedValue 0x2 0x7f040002 -1
No crash occurs
The suspected TextInputLayout
style style select text
**Android API version:**
**Material Library version:**
Reproduced on 1.4.0 and 1.5.0-alpha02</t>
  </si>
  <si>
    <t>2021-11-05</t>
  </si>
  <si>
    <t>colabobio-herald-test-7</t>
  </si>
  <si>
    <t>Flutter activity crashes when back button is pressed on Android</t>
  </si>
  <si>
    <t>This link explain the issue fix:</t>
  </si>
  <si>
    <t>hzi-braunschweig-SORMAS-Project-7167</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</si>
  <si>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The Android app crashes when trying to create an immunization for an event participants.
### Steps to Reproduce
&lt;!-- Optional please add more steps if necessary --&gt;
1. Select participant of an event with no disease, navigate to immunizations
2. Click the edit icon person edit fragment opens
3. navigate to immunizations again
4. Click the icon to create an immunization app crashes
1. Select participant of an event with disease, navigate to immunizations
2. Click the icon to create an immunization app crashes
### Expected Behavior
&lt;!-- Optional --&gt;
The app should not crash.
For events with no disease, it should not be possible to create immunizations for event participants.
&lt;!-- Optional --&gt;
### System Details
&lt;!-- Mandatory you only have to specify the Server URL if the error appeared on publicly available test server --&gt;
SORMAS version: 1.64.1</t>
  </si>
  <si>
    <t>PojavLauncherTeam-PojavLauncher-2206</t>
  </si>
  <si>
    <t>### Describe the bug
crash 1.8.9 very annoying please fix this bug, and if you play using Lunar Client 1.8.9
### The log file and images videos
crash 1.8.9 very annoying please fix this bug, and if you play using Lunar Client 1.8.9
### Steps To Reproduce
### Expected Behavior
Device model:Asus ROG Phone 12 256
CPU architecture: aarch64
Android version: 11
PojavLauncher version: crocus-v3 openjdk
### Anything else?</t>
  </si>
  <si>
    <t>OTTAA-Project-OTTAAProject-99</t>
  </si>
  <si>
    <t>Gender null pointer exception</t>
  </si>
  <si>
    <t>**Describe the bug**
The app crash when the user login at the first time.
Because the user doesn have the gender.</t>
  </si>
  <si>
    <t>2021-11-04</t>
  </si>
  <si>
    <t>TeamNewPipe-NewPipe-7357</t>
  </si>
  <si>
    <t>Newpipe crashed on pluging in the charger.</t>
  </si>
  <si>
    <t>User Action: ui error
Request: ACRA report
Content Country: US
Content Language: en-US
App Language: en US
OS: Linux Android 11 30
log b&gt;&lt; summary&gt;&lt;p&gt;</t>
  </si>
  <si>
    <t>nextcloud-android-9196</t>
  </si>
  <si>
    <t>App crashes when trying to upload a file from external storage larger than remaining internal storage</t>
  </si>
  <si>
    <t>possible duplicate of #8707
### Steps to reproduce
1. Have file on an SD card that is larger than your remaining internal storage
2. Upload this file with the app (read-only)
3. Agree to move file instead of copying because of insufficient space left
### Expected behaviour
The file should preferably be uploaded to the Nextcloud server without being copied or moved anywhere. At least, the app should recognize that moving file from an SD card to internal storage does not help when the internal storage is insufficient.
### Actual behaviour
The app crashes and asks me to file bug report.
### Can you reproduce this problem on https: try.nextcloud.com?
Yes, can reproduce this error
### Environment data
Android version: 10
Device model: SM-G965F
Stock or customized system: stock
Nextcloud app version: 30170190
Nextcloud server version: 22.2.0
Reverse proxy: Nginx
#### Web server error log
#### Nextcloud log (data nextcloud.log)</t>
  </si>
  <si>
    <t>2021-11-03</t>
  </si>
  <si>
    <t>hashgraph-hedera-sdk-java-756</t>
  </si>
  <si>
    <t>2.3.0 sdk-jdk7 version crashes on some Android versions</t>
  </si>
  <si>
    <t>Here the error in the console:
Caused by: Syntax error in regexp pattern near index 5:
Something about this regex, Android doesn like. Only some versions though.
Downgrading to 2.2.0 fixes the issue.
### Steps to reproduce
1. build our Android app with 2.3.0 jar as dependency and run it.
### Additional context
### Hedera network
### Operating system</t>
  </si>
  <si>
    <t>aryan-vishwakarma-Operations-2</t>
  </si>
  <si>
    <t>Error in powerMod function</t>
  </si>
  <si>
    <t>App crashes in case of a^b mod a, reason being, case for 0^b mod not included</t>
  </si>
  <si>
    <t>aryan-vishwakarma-Operations-1</t>
  </si>
  <si>
    <t>Error</t>
  </si>
  <si>
    <t>If expression is not valid, app crashes.</t>
  </si>
  <si>
    <t>green-green-avk-AnotherTerm-22</t>
  </si>
  <si>
    <t xml:space="preserve">Crash on version MkIIIv38 and upwards- android 4.4.4 </t>
  </si>
  <si>
    <t>installed the app from google playstore. After creating shell profile clicked to run it, but as soon as clicked the app crashed. So then seach for the project( amazing by the way) and tried alll previos versions up to MkIIIv37 which ran perfectly (i am currently running it). Am not sure if the problem is my phone.
Phone Samsung galaxy tab lite sm-t116, kernel version 3.10.17, android 4.4.4, rooted with super su.</t>
  </si>
  <si>
    <t>jellyfin-jellyfin-androidtv-1236</t>
  </si>
  <si>
    <t>Android TV app crash</t>
  </si>
  <si>
    <t>### Describe the bug
Android TV app crashed. we need to clear the application cache and data to able to use it again.
### Application version
### Where did you install the app from?
### Device information
Sony Android TV
### Android version
### Jellyfin server version</t>
  </si>
  <si>
    <t>googleads-googleads-mobile-flutter-422</t>
  </si>
  <si>
    <t>Load ads crash the app in release mode</t>
  </si>
  <si>
    <t>&lt;!-- Thank you for using Google Mobile Ads for Flutter!
If you have found bug or if our documentation doesn have an answer
to what you re looking for, then fill out the template below. Please read
the Flutter team guide to filing bug first: https: flutter.dev docs resources bug-reports
## Plugin Version
## Steps to Reproduce
When run the app in debug mode it run without any problem, but when run in release mode the crash happen with first ad load and it stop the app.
1- have tried to use test unit-id and my app id, both have the same issue.
2- have added meta-data in my app manifest correctly.
&lt;summary&gt;flutter run --release --verbose&lt; summary&gt;
&lt;summary&gt;flutter doctor -v&lt; summary&gt;
Flutter (Channel stable, 2.5.2, on Microsoft Windows Version 10.0.19042.1288 locale en-US)
Flutter version 2.5.2 at C: Src flutter
Engine revision 6ac856380f
Dart version 2.14.3
Android toolchain develop for Android devices (Android SDK version 29.0.3)
Android SDK at C: Users mahmo AppData Local Android sdk
Platform android-31, build-tools 29.0.3
Android license status unknown.
Run flutter doctor --android-licenses to accept the SDK licenses.</t>
  </si>
  <si>
    <t>itsaky-AndroidIDE-21</t>
  </si>
  <si>
    <t>LogSender: IllegalThreadStateException</t>
  </si>
  <si>
    <t>LogSender crashes when it is started with the following stacktrace:</t>
  </si>
  <si>
    <t>jellyfin-jellyfin-androidtv-1235</t>
  </si>
  <si>
    <t xml:space="preserve">GCWGTV App Crashes after open with Server off </t>
  </si>
  <si>
    <t>### Describe the bug
1. Start app with server off (Jellyfin Tray App closed and pc with wifi off). pd: with server on it logins automatically.
2. App crashes
### Application version
### Where did you install the app from?
### Device information
Chromecast with GoogleTV
### Android version
### Jellyfin server version</t>
  </si>
  <si>
    <t>2021-11-02</t>
  </si>
  <si>
    <t>VishnuSanal-Quotes-65</t>
  </si>
  <si>
    <t>NPE on List.size();</t>
  </si>
  <si>
    <t>**Describe the bug**
App crashed unexpectedly. (When opened app 2nd time, just after testing #6 Not sure if it related)
Probably time crash.
FATAL EXCEPTION: main
**Smartphone (please complete the following information):**
Device: Lenovo Tab4 plus
Andorid Version: 8.1.0
App Version: 2.6.0 (50)</t>
  </si>
  <si>
    <t>material-components-material-components-android-2455</t>
  </si>
  <si>
    <t>[dialog] ?attr/colorControlHighlight used for android:background</t>
  </si>
  <si>
    <t>?attr is color value while android:background expects drawable. Using simple color values for android:background works but using color selector causes crash because it being interpreted as drawable.
This makes it impossible to set color ripples to anything else than primitive color values.
common thing is to use color selector to apply an alpha to another color attribute as explained e.g. here: https: material.io blog (section Color with alpha ).
So basically following the guidelines from the Material Design blog with Material Components for Android leads to crash when showing dialogs
**Expected behavior:** No crash
1. Create color selector, e.g.
&lt;!-- In res color primary 60.xml --&gt;
&lt;item android:alpha 0.6 android:color ?attr colorPrimary
2. In your app theme set
&lt;item name color primary 60.xml&lt; item&gt;
3. Create and show Material dialog:
**Android API version:** 30 possibly all 26 and 28, possibly 28 and lower. 29+ works fine.
**Material Library version:** master, the issue can be clearly seen in source code. Search for in mrtl alert dialog.xml and m3 alert dialog.xml files in this repository.
define proper color drawable that uses ?attr and set that in android:background
use different color why would ripple color be used for backgrounds?</t>
  </si>
  <si>
    <t>doublesymmetry-react-native-track-player-1322</t>
  </si>
  <si>
    <t>Android 12 RuntimeException: Unable to start service com.guichaguri.trackplayer.service.MusicService with Intent</t>
  </si>
  <si>
    <t>**Describe the bug**
We ve just started seeing crashes reported by Pixel users running the latest Android 12.
1. built react native using Bitrise as don have working Android development environment
2. run app using simulator (browserstack.com)
3. App crashes as soon as soon as library is initialised
(runs without error on iOS)
**Environment (please complete the following information):**
info Fetching system and libraries information...
(Use node --trace-warnings ... to show where the warning was created)
API Levels: 29, 30, 31
Build Tools: 29.0.2, 30.0.2, 30.0.3, 31.0.0
System Images: android-30 Google APIs Intel x86 Atom
Android NDK: Not Found
Android Studio: 4.2
using version 2.1.2
testing on simulator on browserstack.com running Android 12 beta
Targeting S+ (version 31 and above) requires that one of FLAG IMMUTABLE or FLAG MUTABLE be specified when creating PendingIntent.
Strongly consider using FLAG IMMUTABLE, only use FLAG MUTABLE if some functionality depends on the PendingIntent being mutable, e.g. if it needs to be used with inline replies or bubbles.</t>
  </si>
  <si>
    <t>Woosmap-geofencing-android-sdk-53</t>
  </si>
  <si>
    <t>Geofencing Android SDK - Application crash when user enters in a geofence</t>
  </si>
  <si>
    <t>Caused by: no protocol: null v2 Token</t>
  </si>
  <si>
    <t>CMPUT301F21T06-TheHabitController-15</t>
  </si>
  <si>
    <t>Steven branch</t>
  </si>
  <si>
    <t>this branch has updates that fixes the crashing issue</t>
  </si>
  <si>
    <t>PojavLauncherTeam-PojavLauncher-2196</t>
  </si>
  <si>
    <t>[BUG] minecraft 1.18 experimental Snapshot not working!!</t>
  </si>
  <si>
    <t>### Describe the bug
trying to play minecraft 1.18 experimental Snapshot, the Mojang logo hasn shown up yet, it crashed, ve used assets v0 shaderpack, it still crashes
### The log file and images videos
### Steps To Reproduce
open my PojavLauncher and select 1.18 experimental Snapshot when enter the game it crashes!!
### Expected Behavior
Minecraft 1.18 experimental Snapshot not working on pojav launcher crocus V3 jdk
Device model: Vivo y50 128G
CPU architecture: Aarch64
Android version: 10
PojavLauncher version: latest release version crocus V3 jdk
### Anything else?</t>
  </si>
  <si>
    <t>PojavLauncherTeam-PojavLauncher-2194</t>
  </si>
  <si>
    <t xml:space="preserve">[BUG] pojav launcher 1.17 crashing </t>
  </si>
  <si>
    <t>### Describe the bug
have problem when play survival 1.17 it crashes and then there is no crash record
### The log file and images videos
### Steps To Reproduce
enter my survival world
Minutes later it crashes!!
### Expected Behavior
Crash itself when play survival
Device model: Vivo y50 128G
CPU architecture: Aarch64
Android version: 10
PojavLauncher version: Latest Release version crocus V3 jdk
### Anything else?</t>
  </si>
  <si>
    <t>Anuken-Mindustry-6282</t>
  </si>
  <si>
    <t>payload jumping over empty spaces (plus a random crash)</t>
  </si>
  <si>
    <t>think the video explains it well enough
**Steps to reproduce**: *How you happened across the issue, and what exactly you did to make the bug happen.*
you need to place the propulsion tower, then the conveyor else the bug wont work
**Link(s) to mod(s) used**: *The mod repositories or zip files that are related to the issue, if applicable.*
testing utilities, but was not used to activate the bug
**Save file**: *The (zipped) save file you were playing on when the bug happened.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before found out about this issue, it said mindustry had crashed for some reason, so mods have been disabled. exported crash files, and cant upload it here because it for some reason does not have .txt at the end, but opened it on notepad and got this...
where did this come from part (https: 87596406
where did this come from part (https: 87596406
this crash log is most likely completely unrelated, but still posted it here. and no, dont know how it happened or what did.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</si>
  <si>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2021-11-01</t>
  </si>
  <si>
    <t>Anuken-Mindustry-6281</t>
  </si>
  <si>
    <t>Bug with unit cap</t>
  </si>
  <si>
    <t>**Steps to reproduce**: Well checked and its bc changed the enemy team to the same color as the player team like: Player team:sharded enemy team:sharded and then this happened
**Link(s) to mod(s) used**: *The mod repositories or zip files that are related to the issue, if applicable.*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</si>
  <si>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PojavLauncherTeam-PojavLauncher-2188</t>
  </si>
  <si>
    <t>Crash with code 1</t>
  </si>
  <si>
    <t>### Describe the bug
The game crash and pop-up appear say ng ng tr ch tho you can read the log for more information, this happen to all minecraft version played in new pojav version, the old version dont this bug, tried write something in jvm like xmx but dont work
### The log file and images videos
### Steps To Reproduce
What? Sorry idk what is this
### Expected Behavior
can play minecraft java again, too simple?
Device model: Samsung galaxy j2 prime
CPU architecture: 4x arm cortex a-53 1,44 GHz
Android version: 6.0.1
PojavLauncher version: lastest (19:47 11 2021, d1m11y2021CE, UTC+7)
API level: 23
### Anything else?</t>
  </si>
  <si>
    <t>PojavLauncherTeam-PojavLauncher-2187</t>
  </si>
  <si>
    <t>[BUG] Crash on the starting mojang screen 1.17.1</t>
  </si>
  <si>
    <t>### Describe the bug
hit start, game launches the red mojang loading screen appears and loads to maybe like 90% and then crashes without any message on the screen. On relaunch crash report is displayed with discription: rendering overlay.
Is there something can do to start the game?
### The log file and images videos
### Steps To Reproduce
1.start pojav launcher and launch 1.17.1
### Expected Behavior
hit the start for 1.17.1 and game crashes after loading to like 90% on the red mojang studios screen. No message appears on the screen. Game crashes and launcher is exited.
Device model: Oppo CPH1823
CPU architecture: aarch64
Android version: 10
PojavLauncher version: Latest Release
### Anything else?</t>
  </si>
  <si>
    <t>AlexBernabeAlv-ClimAlert-1</t>
  </si>
  <si>
    <t>Prevent server from crashing if it cannot find the file with the API keys</t>
  </si>
  <si>
    <t>2021-10-31</t>
  </si>
  <si>
    <t>doublesymmetry-react-native-track-player-1321</t>
  </si>
  <si>
    <t xml:space="preserve">App get crash while initialising the Track Player </t>
  </si>
  <si>
    <t>am using and into my project. The version of my library are:-
but when initialise the track player app get crash.
am assuming that the expoPlayer version of and getting mismatch.
**I am getting the below error at the time of crash:-**
&lt;img width 958 alt track1Issue src https: 54262572
Can any one help me to fix this issue.
Thanks in advance</t>
  </si>
  <si>
    <t>Anuken-Mindustry-6272</t>
  </si>
  <si>
    <t>Item source payload NullPointer</t>
  </si>
  <si>
    <t>**Steps to reproduce**: Control unit capable of carrying blocks and pick up an item source
**Link(s) to mod(s) used**: All mods mentioned in the attached crash report have been disabled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</si>
  <si>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2021-10-30</t>
  </si>
  <si>
    <t>nextcloud-android-9178</t>
  </si>
  <si>
    <t>Error while synchronizing  (file reception )</t>
  </si>
  <si>
    <t>### Steps to reproduce
1. Nothing special was done, uploaded file twice in while from another device.
2. My android device is showing notification file reception in progress (translated)
3. When tapping on the notification, nextcloud opens up, and shows stack trace (attached)
### Expected behaviour
expected the file view to be opened normally
### Actual behaviour
got an ap crash instead
### Can you reproduce this problem on https: try.nextcloud.com?
Please create test demo account and see if this still happens there.
If yes, please open up bug report
If not, please verify server setup and ask for help on forum
### Environment data
Android version: 10
Device model: Nokia 5.1 plus
Stock or customized system: stock
Nextcloud app version: 3.16.1
Nextcloud server version:
#### Web server error log
Insert your webserver log here</t>
  </si>
  <si>
    <t>HiddenRamblings-TagMo-306</t>
  </si>
  <si>
    <t>Cant set bank count to 1</t>
  </si>
  <si>
    <t>Can set amiibo bank count to 1, says Active beyond new count
Also, if the current bank count is 1, and you click on the current used bank slot, crash occurs.</t>
  </si>
  <si>
    <t>CMPUT301F21T02-Heebit-149</t>
  </si>
  <si>
    <t>Bug: If you create a habit for an event,  then click on the habit from a list, it crashes</t>
  </si>
  <si>
    <t>nextcloud-android-9173</t>
  </si>
  <si>
    <t>Not open auto uploads dirs</t>
  </si>
  <si>
    <t>Not opened conflict resolver window
crash wen try open auto uploads dir
************ CAUSE OF ERROR ************
************ APP INFORMATION ************
Build flavor: gplay
************ DEVICE INFORMATION ************
************ FIRMWARE ************</t>
  </si>
  <si>
    <t>2021-10-29</t>
  </si>
  <si>
    <t>nextcloud-android-9171</t>
  </si>
  <si>
    <t>3.18.0 RC2: search sometimes crashes</t>
  </si>
  <si>
    <t>************ CAUSE OF ERROR ************
************ DEVICE INFORMATION ************ Brand: OnePlus Device: OnePlus7T Model: HD1903 Id: RKQ1.201022.002 Product: OnePlus7T EEA
************ FIRMWARE ************ SDK: 30 Release: 11 Incremental: 2108182246</t>
  </si>
  <si>
    <t>Anuken-Mindustry-6256</t>
  </si>
  <si>
    <t>loader confuses water for ammo</t>
  </si>
  <si>
    <t>the title explains the issue
**Steps to reproduce**: *How you happened across the issue, and what exactly you did to make the bug happen.*
someone told me
put payload loader with water, put another one in the front with thorium, then send salvo through the water one, then the thorium one. then put anything thats not the same team in range.
**Link(s) to mod(s) used**: *The mod repositories or zip files that are related to the issue, if applicable.*
testing utilities, to switch teams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</si>
  <si>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dedis-popstellar-553</t>
  </si>
  <si>
    <t>Fix two bug that crash the app on some view</t>
  </si>
  <si>
    <t>Add null check to getPreviewSize() in CameraPreview.java #552
Rename tab back to tab home properties in the tab properties.xml #546</t>
  </si>
  <si>
    <t>2021-10-28</t>
  </si>
  <si>
    <t>dedis-popstellar-552</t>
  </si>
  <si>
    <t>[BUG] Camera preview crash the app (Connect to LAO or scan)</t>
  </si>
  <si>
    <t>### Description (Actual behavior)
When accessing view with the camera preview for example connecting to LAO or adding witness, the app crash with this error
### Expected behavior
### How to reproduce
1. Click on Connect
### Version Environment
This bug was reproduced on:
##### Environment (as applicable):
Device 1: Emulator, Pixel API 29
Device 2: Oneplus 2, Android 10
Replace the code on CameraPreview at line 100 (https: github.com dedis student 21 pop blob fe2-android app src main java com github dedis popstellar ui qrcode by that (it was that before PR #512)
if (size null)
Not possible to scan anything.
### Possible root cause
CameraPreview, line 100 (https: github.com dedis student 21 pop blob fe2-android app src main java com github dedis popstellar ui qrcode even if it has the annotation RecentlyNonNull and even if Android Studio says that Condition size null is always true it can return null. And if it null, the app crash the line just after.</t>
  </si>
  <si>
    <t>PojavLauncherTeam-PojavLauncher-2174</t>
  </si>
  <si>
    <t>1.8.9 Crash</t>
  </si>
  <si>
    <t>### Describe the bug
When go to servers with 1.8.9 it going to freeze and go back into pojavlauncher login page without crash loghow to fix it
### The log file and images videos
### Steps To Reproduce
1.Go to pojav
2.Launch 1.8.9 ver
3.Go in the server
### Expected Behavior
Device model: Samsung galaxy a71 128G
CPU architecture: aarch64
Android version: 11
PojavLauncher ver: 3.3.1.1 latest ver
### Anything else?</t>
  </si>
  <si>
    <t>PojavLauncherTeam-PojavLauncher-2173</t>
  </si>
  <si>
    <t>21w43a Crashing</t>
  </si>
  <si>
    <t>### Describe the bug
When launch 21w43a, it crashes and says Application exited with code tried to change renderer and jvm arguments, it still not working.
And yes have assets-v0.zip
(I dunno it bug)
### The log file and images videos
### Steps To Reproduce
### Expected Behavior
Device model: Samsung A71 128GB
CPU architecture: aarch64
Android version: 11
PojavLauncher version: Latest Version
### Anything else?</t>
  </si>
  <si>
    <t>Anuken-Mindustry-6249</t>
  </si>
  <si>
    <t>Platfrom: Windows</t>
  </si>
  <si>
    <t>dedis-popstellar-546</t>
  </si>
  <si>
    <t>[BUG] The android application cannot open the Witness Messages UI</t>
  </si>
  <si>
    <t>### Description (Actual behavior)
When clicking on the Witness Messages in an LAO ui, the app crashes.
### Expected behavior
The UI should be opened
### How to reproduce
1. Go to any LAO UI
2. Click on the Witness Messages button
### Version Environment
This bug was reproduced on:
Fe1-Web (please include browser names version)
Fe2-Android (emulation, Pixel API 29)
##### Environment (as applicable):
Device: Pixel emulator on Windows
No workaround found
The witness messages cannot be seen
### Possible root cause
It seems that there are duplicated ids in the UIs. And the tab back id points to both Button and ConstraintLayout.
This create class cast exception when Button is expected where ConstraintLayout is given.</t>
  </si>
  <si>
    <t>AniTrend-anitrend-app-453</t>
  </si>
  <si>
    <t xml:space="preserve">GlideImagePlugin causes crash when malformed url is received </t>
  </si>
  <si>
    <t>AniTrend Issue Guidelines
Before opening new issue, please take moment to review our **community guidelines** (https: github.com AniTrend anitrend-app blob master CONTRIBUTING.md) to make the contribution process easy and effective for everyone involved.
**You may find an answer in already closed issues**:
## Description Of Bug
&lt;!--- clear and concise description of what the bug is. --&gt;
Since GlideImagePlugin.kt is heavily used by our markdown parser which has lot of user generated content, we cannot always guarantee that the url for images is valid, and as such line 49 throws
## Expected Behaviour
&lt;!--- clear and concise description of what you expect to happen. --&gt;
Quickest solution would be to wrap the URL invocation call inside try catch such as the following to avoid potential crashes:
val url runCatching
headers.addHeader( User-Agent USER AGENT FEDORA)
else -&gt; Do nothing
Alternatively we could also move the header building logic outside of GlideImagePlugin and into separate class e.g. GlideHeaderBuilder which would also making testing easier
## Additional Context
&lt;!--- What are you trying to accomplish? Providing context helps us come up with solution that is most useful in the real world, also include an logs if you have any in this section --&gt;
aused by unknown protocol: data</t>
  </si>
  <si>
    <t>Anuken-Mindustry-6245</t>
  </si>
  <si>
    <t>Mindustry unable to find maps causing the mod unplayable.</t>
  </si>
  <si>
    <t>Build Alpha 134
When opened mod, that is large, the game said content error, missing &lt;map&gt; or something, and reinstalled it many times, didnt do anything.
**Steps to reproduce**: *How you happened across the issue, and what exactly you did to make the bug happen.*
downloaded exotic mod, then, restarted the game, after that, the game said it couldnt find the map, and then, couldnt play campaign, custom, and editor.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It happened ONLY in main menu.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</si>
  <si>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Anuken-Mindustry-6244</t>
  </si>
  <si>
    <t>Fail to start v134 server with docker openjdk</t>
  </si>
  <si>
    <t>Using openjdk:11 (also tried openjdk:16)
This works when v133 and before
**Steps to reproduce**: *How you happened across the issue, and what exactly you did to make the bug happen.*
run server in openjdk:11 docker.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see preview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</si>
  <si>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nextcloud-android-9160</t>
  </si>
  <si>
    <t>Crash after mp3 playback</t>
  </si>
  <si>
    <t>### Steps to reproduce
1. Click on mp3 file to play, play until the end
2. Hit the back bottom in the top left corner
### Expected behaviour
back to folder overview
### Actual behaviour
crash. Also crashes with other actions after completing playback
#### Nextcloud log (data nextcloud.log)
************ CAUSE OF ERROR ************
************ APP INFORMATION ************
Build flavor: gplay
************ DEVICE INFORMATION ************
************ FIRMWARE ************</t>
  </si>
  <si>
    <t>2021-10-27</t>
  </si>
  <si>
    <t>openboard-team-openboard-463</t>
  </si>
  <si>
    <t>OpenBoard crashes on opening numeric pad</t>
  </si>
  <si>
    <t>**Describe the bug**
Quite similar to #176 (https: github.com dslul openboard issues 176)
When numeric pad opens, keyboard crashes. It doesn happen when typing numbers otherwise, only when form or website, etc requires numers in way that opens the numbers pad.
Usin OpenBoard 1.4.3
Steps to reproduce the behavior:
1. Go to any site or form requiring numeric entry
2. Click on number entry field
Number pad opens, ability to enter numbers.
**Smartphone (please complete the following information):**
Device: Asus Zenpad 10 P027</t>
  </si>
  <si>
    <t>NordicSemiconductor-Android-DFU-Library-315</t>
  </si>
  <si>
    <t>Crash on DFU update on Android 12 - mutable flag missing on PendingIntent</t>
  </si>
  <si>
    <t>**DFU Bootloader version (please complete the following information):**
SDK version: 31
Bonding used: yes
Library version: 1.11.1
**Device information (please complete the following information):**
Device: Pixel 4A
OS: Android 12
**Describe the bug**
When the app tries to trigger the flow, the app crashes as pending intent is missing mandatory flags (see stack trace below):
private fun startDfuService(
if (deviceName null)</t>
  </si>
  <si>
    <t>didi-DoraemonKit-927</t>
  </si>
  <si>
    <t>【iOS15 】- release真机crash，debug正常</t>
  </si>
  <si>
    <t>It is recommended to refer to the following process before submitting issues https: github.com didi DoraemonKit issues 745
If you still cannot solve your problem, you can submit your issue according to the following template
Please complete the following informations.
Android iOS? OS version? Brand?
Expected behavior and actual behavior.
Steps to reproduce the problem.
More informations such as error messages and stack traces are welcomed.
issues DoKit https: github.com didi DoraemonKit issues 745
OS Version: iPhone OS 15.0.2 (19A404)
Release Type: User
Baseband Version: 7.02.00
Report Version: 104
Exception Type: EXC CRASH (SIGABRT)
Exception Codes: 0x0000000000000000, 0x0000000000000000
Exception Note: EXC CORPSE NOTIFY
Triggered by Thread:
Application Specific Information:
libsystem kernel.dylib 0x1bca06a48 pthread kill
libsystem pthread.dylib 0x1dce428d8 pthread kill 208
libsystem c.dylib 0x18d8ed0c0 abort 120</t>
  </si>
  <si>
    <t>didi-DoraemonKit-926</t>
  </si>
  <si>
    <t>fix(iOS): fishhook crash</t>
  </si>
  <si>
    <t>Use vm region() get protection of DATA CONST -&gt; la symbol ptr section</t>
  </si>
  <si>
    <t>2021-10-26</t>
  </si>
  <si>
    <t>doublesymmetry-react-native-track-player-1313</t>
  </si>
  <si>
    <t>Android background execution</t>
  </si>
  <si>
    <t>**Describe the bug**
It seems that the player cannot be controlled when the app is in background. If the audio stops, it is not possible to start it again on different track without unlocking the phone. Any attempt to play some tracks results in app crash with the following exception
start to play some audio while app is foregrounded
lock the screen
await for the track to end (no other tracks should be in the queue now)
the try to start another track by sending websocket message
**Environment (please complete the following information):**
React native info
API Levels: 28, 29, 30
Build Tools: 28.0.3, 29.0.2, 30.0.3
System Images: android-29 Intel x86 Atom 64, android-29 Google APIs Intel x86 Atom, android-30 Google APIs Intel x86 Atom
Android NDK: Not Found
Android Studio: 4.1
Testing on real device</t>
  </si>
  <si>
    <t>PojavLauncherTeam-PojavLauncher-2169</t>
  </si>
  <si>
    <t>[BUG] &lt;when I increase ram to more than 277 it crash And say exite code 1  &gt;</t>
  </si>
  <si>
    <t>### Describe the bug
when increase ram to more than 277 it crash And say exite code
### The log file and images videos
### Steps To Reproduce
### Expected Behavior
Game needs to start haven enough ram but it should start when give ram to 300 or 400 or more
Device model: Samsung galaxy tab
CPU architecture: 32bit
PojavLauncher version: jdk crouks
### Anything else?
know spelling And some information is wrong but plz help</t>
  </si>
  <si>
    <t>PojavLauncherTeam-PojavLauncher-2168</t>
  </si>
  <si>
    <t>[BUG] game crashes if resized on samsung DeX</t>
  </si>
  <si>
    <t>### Describe the bug
... 11 more
### The log file and images videos
--------- beggining with launcher debug
unused DT entry:
has unsupported flags DT FLAGS
(ignoring unsupported flags)
unused DT entry:
has unsupported flags DT FLAGS
(ignoring unsupported flags)
unused DT entry:
has unsupported flags DT FLAGS
(ignoring unsupported flags)
unused DT entry:
has unsupported flags DT FLAGS
(ignoring unsupported flags)
unused DT entry:
has unsupported flags DT FLAGS
(ignoring unsupported flags)
unused DT entry:</t>
  </si>
  <si>
    <t>nextcloud-android-9147</t>
  </si>
  <si>
    <t>WebView android.view.InflateException crash in account_setup_webview</t>
  </si>
  <si>
    <t>Hello, the Android app keeps crashing, clesring cahche and deleting Data or reinstall doesnt help.
am even unable to login to my cloud, even though it works fine on browsers.
************ CAUSE OF ERROR ************
... 26 more
... 35 more
... 37 more
************ APP INFORMATION ************
Build flavor: gplay
************ DEVICE INFORMATION ************
************ FIRMWARE ************</t>
  </si>
  <si>
    <t>2021-10-25</t>
  </si>
  <si>
    <t>MetatransApps-Android_APK_2DGravity-2</t>
  </si>
  <si>
    <t>F-Droid Version crashes</t>
  </si>
  <si>
    <t>Android Version: 8.1.0
The app doesnt open at all.
It just stoppes when try to open it.</t>
  </si>
  <si>
    <t>2021-10-24</t>
  </si>
  <si>
    <t>TeamNewPipe-NewPipe-7305</t>
  </si>
  <si>
    <t>Enqueueing videos quickly crashes the app in version 0.21.13</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</si>
  <si>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Start NewPipe
2. Long press any video to trigger the actions menu and select start playing in popup or start playing in the background
3. While the first video is still being added to the playback queue and it hasn started playing (hourglass icon displayed), long press another video or even the same one
&lt;!-- If you can cause the bug to show up again reliably (and hence don have proper set of steps to give us), please still try to give as many details as possible on how you think you encountered the bug. --&gt;
### Actual behavior
&lt;!-- Tell us what happens with the steps given above. --&gt;
Before the actions menu is triggered for the second video, the app crashes
### Expected behavior</t>
  </si>
  <si>
    <t>Anuken-Mindustry-6223</t>
  </si>
  <si>
    <t>Conveyor Animation in modding is broken</t>
  </si>
  <si>
    <t>v7 pre-release build 133
so make conveyor that require power in my mod
when it doesn have anypower and no item on it, the animation still play
but when it doesn have any power and (at least 1) item on it, it stopped the animation.
**Steps to reproduce**: *How you happened across the issue, and what exactly you did to make the bug happen.*
make modded conveyor that consume power in hjson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</si>
  <si>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Anuken-Mindustry-6222</t>
  </si>
  <si>
    <t>Plastanium conveyor payload loading</t>
  </si>
  <si>
    <t>**Steps to reproduce**: *Place payload source that makes plastanium conveyors, redirect it into payload loader provide the payload loader with any resource..*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</si>
  <si>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2021-10-23</t>
  </si>
  <si>
    <t>material-components-material-components-android-2442</t>
  </si>
  <si>
    <t>Error for not using Theme.AppCompat theme when not on Version 1.1.0 of Material</t>
  </si>
  <si>
    <t>encountered this issue for the second time in my Android Apps.
just tried to set up Back4App for my App.&lt;br
While setting it up my App always crashed when starting.
Here is the issue on Github
always got this error:
The Question is why do get this error: You need to use Theme.AppCompat theme (or descendant) with this activity. &lt;br
The starting-activity has this theme &lt;style name SplashTheme parent
When changed the Version of material to 1.1.0 the app runs properly.
My Question is why do have to use Material Version 1.1.0?
**Expected behavior:** The App should properly work also on Version 1.4.0
style of the splashscreen:
&lt;!-- SplashScreen background--&gt;
&lt;style name SplashTheme parent
&lt;item name mipmap splash screen final&lt; item&gt;
&lt;item name color black&lt; item&gt;
**Android API version:**
**Material Library version:**
with issue 1.4.0
without issue 1.1.0
Nexus Api 29</t>
  </si>
  <si>
    <t>Etar-Group-Etar-Calendar-1025</t>
  </si>
  <si>
    <t>possible Bug: app crashes when invoking settings of a DecSync CC calendar</t>
  </si>
  <si>
    <t>When tapping on calendar from DecSync CC (https: github.com 39aldo39 DecSyncCC) in the settings of Etar the app crashes. So it is not possible to change the settings of that calendar in Etar.
It does not happen with calender from another app.
not sure if this is issue with Etar or DecSync CC. If the latter is the case please let me know so can create an issue there.</t>
  </si>
  <si>
    <t>Anuken-Mindustry-6221</t>
  </si>
  <si>
    <t>UI misplacement</t>
  </si>
  <si>
    <t>**Steps to reproduce**:
run the following code.
let dialog new BaseDialog(
dialog.cont.add( This is the key.
Here are the result.
**Link(s) to mod(s) used**: *Vars.enableConsole true*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</si>
  <si>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cgeo-cgeo-11959</t>
  </si>
  <si>
    <t>Crash when trying to open GPX with cgeo</t>
  </si>
  <si>
    <t>### Describe your problem!
Current nightly crashes when try to open GPX from my file explorer (in order to import the caches).
### How to reproduce?
Have GPX or zipped GPX on your file system
Use file explorer to tap the file and select to open with cgeo
### Actual result after these steps?
App crashes and starts up again on dashboard, no import action
### Expected result after these steps?
Show list selection to select list to import the GPX
### c:geo Version
### System information
Samsung Galaxy Tab S4
### Additional Information</t>
  </si>
  <si>
    <t>cgeo-cgeo-11958</t>
  </si>
  <si>
    <t>Crash on opening the calculator dialog, if the plain-format has an incomplete formula</t>
  </si>
  <si>
    <t>### Describe your problem!
Crash on opening the calculator dialog, if the plain-format has an incomplete formula
### How to reproduce?
Adding waypoint with plain-formula. Variables will be filled later, so the formula contains at least one variable, which has no value set.
Saving the waypoint.
Then, whem gathering the value of the variable, opening the formula for the waypoint again.
### Actual result after these steps?
Calculator-dialog does not open, crash of c:geo, list of waypoint is shown
### Expected result after these steps?
Calculator-dialog should open with the formula
### c:geo Version
### System information
--------- beginning of crash
### Additional Information
Parsing Geopoint from string can throw an exception, if the strings does not represent valid coordinates, so try-block should be placed around it</t>
  </si>
  <si>
    <t>2021-10-22</t>
  </si>
  <si>
    <t>mI-PIV-app-173</t>
  </si>
  <si>
    <t>User-defined camera crash</t>
  </si>
  <si>
    <t>Crash when user selects high speed frame rates.</t>
  </si>
  <si>
    <t>cgeo-cgeo-11951</t>
  </si>
  <si>
    <t>Crashing on startup with API21-23</t>
  </si>
  <si>
    <t>### Describe your problem!
Trying to run current master on an Android device (tested my old ZTE Android phone and could also reproduce in API 21 emulator) it crashes on startup.
Logcat from emulator:
### How to reproduce?
Install current master on API21 (Android 5) device or emulator
### Actual result after these steps?
### Expected result after these steps?
### c:geo Version
master of 22.10.2021
### System information
### Additional Information</t>
  </si>
  <si>
    <t>XBigTK13X-snowgloo-48</t>
  </si>
  <si>
    <t>Android broadcast service cast crash</t>
  </si>
  <si>
    <t>Possible related issues.</t>
  </si>
  <si>
    <t>norkator-apcupsd-monitor-69</t>
  </si>
  <si>
    <t>Add missing background colour in theme</t>
  </si>
  <si>
    <t>App crashed with light theme because of this.</t>
  </si>
  <si>
    <t>TeamNewPipe-NewPipe-7290</t>
  </si>
  <si>
    <t>can't connect on cellular, works on wifi</t>
  </si>
  <si>
    <t>am using the latest version 0.21.10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turn off wifi, use mobile data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User Action: requested stream
Request: https: www.youtube.com watch?v Fw7BB7xSYbw
Content Country: US
Content Language: en-US
App Language: en US
OS: Linux Android 11 30</t>
  </si>
  <si>
    <t>2021-10-21</t>
  </si>
  <si>
    <t>MuntashirAkon-AppManager-605</t>
  </si>
  <si>
    <t>cant uninstall this app</t>
  </si>
  <si>
    <t>have Samsung S21 Ultra 5G with Android 11 no root, original state. The app manager v2.6.4 was installed from F-Droid.
can not uninstall the app manager. After some trys the package installer will crash. Other apps can removed without any problems.</t>
  </si>
  <si>
    <t>voxeet-voxeet-uxkit-android-33</t>
  </si>
  <si>
    <t>Hi, just now got crash when crating conference.
Please do me favor!
Thank you very much!
Here is the log: error log (https: 1.log)</t>
  </si>
  <si>
    <t>Anuken-Mindustry-6200</t>
  </si>
  <si>
    <t>Sector 19 is a complete copy of sector Ruinous Shores</t>
  </si>
  <si>
    <t>**Steps to reproduce**: *Just were capturing sectors*
**Link(s) to mod(s) used**: *i play without modifications*
If you remove the line above without reading it properly and understanding what it means, will reap your soul. Even if you re playing on someone server, you can still save the game to slot.
**(Crash) logs**: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</si>
  <si>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2021-10-20</t>
  </si>
  <si>
    <t>PojavLauncherTeam-PojavLauncher-2148</t>
  </si>
  <si>
    <t>### Describe the bug
### The log file and images videos
The file does not rush for chrome, threw the file on Google disk here is the linkhttps: drive.google.com file view?usp drivesdk
### Steps To Reproduce
launch the launcher, choose. the version is launched then instantly crashes
### Expected Behavior
Device model: Dexp k18 32
CPU architecture: Xz
PojavLauncher version: the last
### Anything else?</t>
  </si>
  <si>
    <t>PojavLauncherTeam-PojavLauncher-2147</t>
  </si>
  <si>
    <t>Microsoft login on quest not working</t>
  </si>
  <si>
    <t>### Describe the bug
when press on microsoft login the program crashes
### The log file and images videos
### Steps To Reproduce
press on microsoft login
### Expected Behavior
login with microsoft acc
### Anything else?</t>
  </si>
  <si>
    <t>nextcloud-android-9120</t>
  </si>
  <si>
    <t>Crash when trying to view "Details" of txt file from within reading view</t>
  </si>
  <si>
    <t>### Steps to reproduce
1. Tap on .txt file to open it
2. File opens in read-only view
3. Tap on burgermenu (3-dots on top-right) -&gt; Tap on Details -&gt; crash with report
**CAUSE OF ERROR**
Build flavor: gplay</t>
  </si>
  <si>
    <t>nextcloud-android-9110</t>
  </si>
  <si>
    <t>App crashes when changing theme</t>
  </si>
  <si>
    <t>************ CAUSE OF ERROR ************
Caused by: Receiver not registered: 14efd12
... 16 more
************ APP INFORMATION ************
Build flavor: gplay
************ DEVICE INFORMATION ************
************ FIRMWARE ************</t>
  </si>
  <si>
    <t>2021-10-19</t>
  </si>
  <si>
    <t>PojavLauncherTeam-PojavLauncher-2144</t>
  </si>
  <si>
    <t>1.17.1 crashes</t>
  </si>
  <si>
    <t>### Describe the bug
It exits with application code -1
### The log file and images videos
---- Minecraft Crash Report ----
Hey, that tickles! Hehehe!
Caused by: wz: Invalid shaders core rendertype lines.json: Couldn compile vertex program (Default, rendertype lines) 0:70: S0004: Remainder operands must be of signed unsigned integer types.
... 118 more
Caused by: Couldn compile vertex program (Default, rendertype lines) 0:70: S0004: Remainder operands must be of signed unsigned integer types.
... 119 more
detailed walkthrough of the error, its code path and all known details is as follows:
-- Head --
-- Overlay render details --
Overlay name: eae
-- Last reload --
Reload reason: initial
-- System Details --
Minecraft Version: 1.17.1
Minecraft Version ID: 1.17.1
Operating System: Linux (aarch64) version Android-11
Processor Vendor: 0x41</t>
  </si>
  <si>
    <t>Anuken-Mindustry-6196</t>
  </si>
  <si>
    <t>Mindustry Crashes when joining a server.</t>
  </si>
  <si>
    <t>**Steps to reproduce**: *Just click on Join button and then select the Server IO Attack
**Link(s) to mod(s) used**: *Only Schematic mods were used 1. https: github.com Slotterleet Basic-Schematics 2. https: github.com pixecoz
If you remove the line above without reading it properly and understanding what it means, will reap your soul. Even if you re playing on someone server, you can still save the game to slot. (Well its server, can get the file, also cant join the server so cant save to slot too as mentioned below don reap my soul)
**(Crash) logs**: *Well:*
Mindustry has crashed. How unfortunate.
Mods: basic-schematics:1, schematics-pack:8, revision:12.3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</si>
  <si>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nextcloud-android-9105</t>
  </si>
  <si>
    <t>Nextcloud for Android crashes</t>
  </si>
  <si>
    <t>************ CAUSE OF ERROR ************
************ APP INFORMATION ************
Build flavor: gplay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</si>
  <si>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2021-10-18</t>
  </si>
  <si>
    <t>Anuken-Mindustry-6188</t>
  </si>
  <si>
    <t>Liquid container in payload loader crashes the game</t>
  </si>
  <si>
    <t>**Steps to reproduce**: *Easiest way is to use sandbox block to make container (liquid) and put it directly to loader, or with help of payload conveyors.*
**Link(s) to mod(s) used**: *All mods are listed in crash log, although none of which should have any impact on payload mechanics.*
If you remove the line above without reading it properly and understanding what it means, will reap your soul. Even if you re playing on someone server, you can still save the game to slot.
Mindustry has crashed. How unfortunate.
11 Mods: ldb:1.3.1, override-lib:1.0.1, pictologic:1.5.7, ui-lib:2.16.6, unit-factory:2.4.2, betamindy:0.9, braindustry:1.4.2, dev-mode:2.3.2, roomba:1.1, rtfm:2.14.8, time-control:0.2
NullPointer: Attempt to invoke virtual method int on null object reference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</si>
  <si>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hzi-braunschweig-SORMAS-Project-6994</t>
  </si>
  <si>
    <t>Android app crashes for non-numerical input in immunization / number of doses</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</si>
  <si>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Android app crashes upon entering non-numerical character in Immunization -&gt; number of doses.
### Steps to Reproduce
&lt;!-- Optional please add more steps if necessary --&gt;
1. In the Android app, go to Immunization tab
2. select vaccination as means of immunization
3. insert non-numerical character in the number of doses field
### Expected Behavior
&lt;!-- Optional --&gt;
&lt;!-- Optional --&gt;
### System Details
&lt;!-- Mandatory you only have to specify the Server URL if the error appeared on publicly available test server --&gt;
SORMAS version: 1.65.0-SNAPSHOT
Android version Browser:
### Additional Information
&lt;!-- Optional --&gt;</t>
  </si>
  <si>
    <t>Anuken-Mindustry-6184</t>
  </si>
  <si>
    <t>Somehow can't play the game</t>
  </si>
  <si>
    <t>&lt;i can play the game anymore&gt; still happening in the pre-release b133
So, ran into some problems
my computer have openGL 3.1, but when open the game it say openGL support problems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&lt;sorry it not game bug&gt;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</si>
  <si>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mI-PIV-app-168</t>
  </si>
  <si>
    <t>Floor background</t>
  </si>
  <si>
    <t>The app is crashing when try to run the floor background subtraction&gt;view results. assume this is the problem as it works with only the two frame subtraction method changed</t>
  </si>
  <si>
    <t>2021-10-17</t>
  </si>
  <si>
    <t>MuntashirAkon-AppManager-600</t>
  </si>
  <si>
    <t>Crash when re-installing app</t>
  </si>
  <si>
    <t>Your issue will be closed without warning if you don check at least two items.
know what my device, OS and App Manager versions are
know how to take logs
know how to reproduce the issue which may not be specific to my device
**Describe the bug**
Not able to re-install any system app which is uninstalled with app manager. It crashes.
Steps to reproduce the behaviour:
1.Uninstall any system app (usually bloat)
2. Try to re-install it with app manager
App should re-install without crash
Device: Redmi note 10 pro
OS Version: Android 12
App Manager Version: Latest debug</t>
  </si>
  <si>
    <t>PojavLauncherTeam-PojavLauncher-2140</t>
  </si>
  <si>
    <t>[BUG] &lt;servers crash on 1.12.2 optifine&gt;</t>
  </si>
  <si>
    <t>### Describe the bug
Whenever enter server on 1.12.2 with 1.1.4 renderer the pojav launcher crashes(this bug only happens on 1.12.2
### The log file and images videos
### Steps To Reproduce
1.start 1.12.2 optifine
### Expected Behavior
expects the launcher to do not crash on servers
Device model: vivo 1804
CPU architecture: aarch32
### Anything else?</t>
  </si>
  <si>
    <t>canyie-pine-18</t>
  </si>
  <si>
    <t>Pine.disableProfileSaver() causes SIGILL ILL_ILLOPC on MiUi 12</t>
  </si>
  <si>
    <t>App crashes instantly when launched
Only happens on MIUI 12 (Android 11), works fine on other Android 11 roms.
--------- beginning of crash
Some examples of affected phones (probably just all MIUI 12 phones):
Mi 9T MIUI Global 12.1.1
Poco X3 NFC MIUI Global 12.5.1.0
Redmi Note 10 Pro MIUI Global 12.5.3</t>
  </si>
  <si>
    <t>Anuken-Mindustry-6177</t>
  </si>
  <si>
    <t>Lack of v132 blocks in tech tree</t>
  </si>
  <si>
    <t>**Steps to reproduce**: *Update mindustry. Open rech-tree. New blocks are nowhere to be found. Moreover core database shows, that those blocks are locked.*
**Link(s) to mod(s) used**: *Pure vanilla*
If you remove the line above without reading it properly and understanding what it means, will reap your soul. Even if you re playing on someone server, you can still save the game to slot.
**(Crash) logs**: *Doesn crash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</si>
  <si>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PojavLauncherTeam-PojavLauncher-2139</t>
  </si>
  <si>
    <t>Too many crashes</t>
  </si>
  <si>
    <t>### Describe the bug
recently started playing on hypixel using this Launcher (with my Premium account) and even though it pretty useful for quickly dell ing stuff, there is one problem: the amount of times this thing crashes in just minutes!
### The log file and images videos
here the log
### Steps To Reproduce
1. Start Pojavlauncher
2. Go on Hypixel (or probably any other server)
3. Go in skyblock and try going to the hub by going through the portal
4. You ll probably crash (if not Replay this few times)
### Expected Behavior
expect the game to run smoothly
Device model: Mi Pro 128gb
CPU architecture: aarch64
Android version: 10
PojavLauncher version: version 3.3.1.1
### Anything else?
It is also possible that my device is just not good enough to run Pojavlauncher but dont think this is the case</t>
  </si>
  <si>
    <t>Giua-app-Giua-App-62</t>
  </si>
  <si>
    <t xml:space="preserve">I'app crasha all'avvio </t>
  </si>
  <si>
    <t>Build version: 0.5.40-manual-build
OS version: Android (SDK 28)</t>
  </si>
  <si>
    <t>Anuken-Mindustry-6174</t>
  </si>
  <si>
    <t>Deconstructor is not 100% efficency</t>
  </si>
  <si>
    <t>**Steps to reproduce**: *Put just enough items in to make block in constructor, put deconstructor at the end of the line, conveyor line from deconstructor to constructor. by third pass, it cannot build it back.*
**Link(s) to mod(s) used**: *none*
**Save file**: https: cdn.discordapp.com attachments 875543055820804147 899127189931458580 why.msav because github wont let me attach files*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too bad its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</si>
  <si>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cgeo-cgeo-11919</t>
  </si>
  <si>
    <t>Crashes when handling with lists</t>
  </si>
  <si>
    <t>Short note from field.
Keep having lots of crashes while crawling lists and viewing caches.</t>
  </si>
  <si>
    <t>2021-10-16</t>
  </si>
  <si>
    <t>fossasia-pslab-android-2260</t>
  </si>
  <si>
    <t>fix: bottom sheet in instruments crashing app</t>
  </si>
  <si>
    <t>Upgraded bottom sheet to Android-X
**Screen shots for the changes**:
have used resources from strings.xml dimens.xml and colors.xml without hard-coding any value.
No modifications done at the end of resource files strings.xml dimens.xml or colors.xml
have reformatted code and fixed indentation in every file included in this pull request
My code does not contain any extra lines or extra spaces.
have requested reviews from maintainers.</t>
  </si>
  <si>
    <t>myselfdeepdas-MusiLo-6</t>
  </si>
  <si>
    <t>App crashes on going back from player screen to home screen</t>
  </si>
  <si>
    <t>Please add hacktoberfest label and assign it to me</t>
  </si>
  <si>
    <t>Anuken-Mindustry-6167</t>
  </si>
  <si>
    <t xml:space="preserve">Copying a instruction with """ crashes the game </t>
  </si>
  <si>
    <t>Trying to copy instruction with three double quotes crashes the game.
**Steps to reproduce**: *How you happened across the issue, and what exactly you did to make the bug happen.*
1. add print instruction
3. copy instruction
4. Mindustry.exe has stopped working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 on GitHub Mobile, so ll just base64 the files and put them here.*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*in base64 pastebin*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</si>
  <si>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PDFTron-pdftron-flutter-137</t>
  </si>
  <si>
    <t>Config Options Ignored When Opening Doc Using Widget View</t>
  </si>
  <si>
    <t>**Describe the bug**
&lt;!--- clear and concise description of what the bug is. --&gt;
In the publish-prep branch, when tried to open document using the PDFTron Widget version of the viewer, the configs passed into the openDocument method were ignored. When the same config options were passed into the Plugin View, they were working as expected. first noticed this in my personal project, then confirmed the issue was also present in the sample project provided by PDFTron.
**Steps to Reproduce the Problem**
&lt;!--- Steps to reproduce the issue. Screenshot if it is UI related--&gt;
1. Check out the publish-prep branch (may not be specific to this branch)
2. Uncomment the code in the build method of main.dart to use the widget version of the viewer
3. Comment out the call to showViewer() in the initState method so that doesn get called and use the plugin version instead of waiting for the widget version to be opened in
4. Copy the config values from the showViewer method, paste them in before the document is opened, and uncomment them
5. Run the build, and check to see if the correct tools and buttons were disabled
6. All tools that are supposed to be disabled are still enabled
&lt;!--- clear and concise description of what you expected to happen. --&gt;
In my case, the Share Button, Search Button, Create Line Tool, and Create Rectangle Tool were all supposed to be disabled based on the config values set up.
&lt;!--- If applicable, add screenshots to help explain your problem. --&gt;
**Platform Device Information (please complete the following information if applicable):**
Device: iPhone 11, iPhone 12 Pro Max
OS: iOS 14.5, iOS 15
&lt;!-- Add any other context about the problem here. --&gt;
This issue may also be present on Android, but haven been able to test on that platform. When have tried to view document with the Widget View in my local project, the document just never displays. When try in the example project, the app crashes when trying to open the document after downloading.</t>
  </si>
  <si>
    <t>2021-10-15</t>
  </si>
  <si>
    <t>fossasia-pslab-android-2258</t>
  </si>
  <si>
    <t>Wavegenerator does not open up</t>
  </si>
  <si>
    <t>Opening wave generator instrument crashes the app
App should not crash
**Steps to reproduce it**
Open wave generator
**LogCat for the issue**
Caused by: the Argument: TICK COUNT must be limited between (0-50), Now is 51
... 36 more
**Screenshots of the issue**
**Would you like to work on the issue?**</t>
  </si>
  <si>
    <t>fossasia-pslab-android-2257</t>
  </si>
  <si>
    <t>Logic Analyzer does not open up</t>
  </si>
  <si>
    <t>Opening Logic Analyzer crashes the app
App should not crash
**Steps to reproduce it**
Open Logic Analyzer
**LogCat for the issue**
... 30 more
**Screenshots of the issue**
**Would you like to work on the issue?**</t>
  </si>
  <si>
    <t>fossasia-pslab-android-2256</t>
  </si>
  <si>
    <t>Oscilloscope does not open up</t>
  </si>
  <si>
    <t>Opening oscilloscope crashes the app
App should not crash
**Steps to reproduce it**
**LogCat for the issue**
... 30 more
**Screenshots of the issue**
**Would you like to work on the issue?**</t>
  </si>
  <si>
    <t>fossasia-pslab-android-2255</t>
  </si>
  <si>
    <t>Multimeter view doesn't open up</t>
  </si>
  <si>
    <t>Opening Multimeter instrument crashes the app
App should not crash
**Steps to reproduce it**
**LogCat for the issue**
... 30 more
**Screenshots of the issue**
**Would you like to work on the issue?**</t>
  </si>
  <si>
    <t>TeamNewPipe-NewPipe-7251</t>
  </si>
  <si>
    <t xml:space="preserve">App crashes when playing back any content </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</si>
  <si>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--&gt; My device is Lenovo M10 HD 2nd Gen.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</si>
  <si>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Anuken-Mindustry-6155</t>
  </si>
  <si>
    <t>Planet Constructor Params swaped</t>
  </si>
  <si>
    <t>Planet Constructor Params have changed in order, causing crash due to no such method error on mod content loading
**Steps to reproduce**:
-install mod which uses old planet constructor to create new planet
-start up the game.
**Link(s) to mod(s) used**: **
**Save file**: *Unable to produce, crash happens the instant content loading gets to mod planet
Uploading crash-report-10 15 2021 13 17 12.txt ()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</si>
  <si>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SmartPack-PackageManager-64</t>
  </si>
  <si>
    <t>Bug: Crashes When Clicking Yahoo! Mail App</t>
  </si>
  <si>
    <t>did notice that when tried to export Yahoo! Mail app, even before got to exporting it, your app crashed. Just clicking on the app in the list seemed to crash this app. Just wanted to make you aware since you seem pretty good about responding to issues which am thankful for.</t>
  </si>
  <si>
    <t>norkator-apcupsd-monitor-67</t>
  </si>
  <si>
    <t>App crashes when trying to access settings menu on A7</t>
  </si>
  <si>
    <t>Hi! Marcus and really like using your app. It has already proven it usefulness in couple of power outages, when could not use regular computer to check the remaining time on my UPS use for my network equipment. Thanks for making it!
Unfortunately, my newer-ish phone, an Honor 8X with Android 10, broke. Now back at my older Huawei P9 Lite, which stopped at Android 7. Can say it unusable, it is actually better in some ways than the newer phones.
ve started to have this issue on previous version of this app and the issue still persists with the newest version.
Whenever tap onto the gear icon in the top right corner of the main screen in your app, it is supposed to take me to the settings menu. Instead, the screen goes black for sec and then the app closes by itself.
Just to clarify, installed your app onto my older phone just not too long ago, so can really confirm if this issue didn occur in an older version of the app.
should be able to send you logcat (debug level, my device is rooted) from my device when this issue occurs. For now, finally going to get that log and try to find out what going on.
FATAL EXCEPTION: main
Caused by: AppCompat does not support the current theme features: windowActionBar: false, false, false, false, windowNoTitle: false
Edit 2: There many warnings occuring right before the app crashes that read:
Each warning contains different hex values and numbers.</t>
  </si>
  <si>
    <t>2021-10-14</t>
  </si>
  <si>
    <t>stefan-niedermann-nextcloud-notes-1374</t>
  </si>
  <si>
    <t xml:space="preserve">App crash during note editing: IndexOutOfBoundsException </t>
  </si>
  <si>
    <t>For the second time, the app crashed during note editing with the error show below.
was in transit, so one cause might be that the Internet connection broke during sync while editing.
App Version: 3.4.13
App Version Code: 3004013
App Flavor: fdroid
Files App Version Code: 30170090
OS API Level: 28
Model (and Product): ONEPLUS A3003 (OnePlus3)</t>
  </si>
  <si>
    <t>TeamNewPipe-NewPipe-7249</t>
  </si>
  <si>
    <t>Donate-Button crashes App on Android TV</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</si>
  <si>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Info in mainMen
2. Press on Give Back Donate Button
&lt;!-- If you can cause the bug to show up again reliably (and hence don have proper set of steps to give us), please still try to give as many details as possible on how you think you encountered the bug. --&gt;
### Actual behavior
The App crashes.
### Expected behavior
Display Infos how to donate to the project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No Screenshots available, NewPipe running on an Android TV Philips 55PUS7305</t>
  </si>
  <si>
    <t>cgeo-cgeo-11880</t>
  </si>
  <si>
    <t>Crash on selecting c:geo as navigation target in Lab Adventures app</t>
  </si>
  <si>
    <t>### Describe your problem!
Got reports from several users, and can reproduce myself with current beta.
Selecting c:geo as navigation target for lab adventure or one of its stages leads to c:geo crashing instead of opening the list to create new UDC or add waypoint to recent UDC.
### How to reproduce?
open lab adventure app
select lab adventure
tap on navigation symbol and select c:geo as navigation target
### Actual result after these steps?
### Expected result after these steps?
### c:geo Version
### System information
### Additional Information
taken from one of my own logcats:</t>
  </si>
  <si>
    <t>2021-10-13</t>
  </si>
  <si>
    <t>cgeo-cgeo-11878</t>
  </si>
  <si>
    <t>Crash or "hang" when trying to open from AL App</t>
  </si>
  <si>
    <t>### Describe your problem!
We have three reports for current beta on support mail, that c:geo crashes or hangs when trying to invoke the navigation from the adventure lab app to generate new target in c:geo.
### How to reproduce?
Use Groundspeak Adventure Lab app
Select location of an adventure
Invoke navigation and select to open it with c:geo
### Actual result after these steps?
Crash or hang
### Expected result after these steps?
### c:geo Version
### System information
### Additional Information
Not yet find the time to reproduce</t>
  </si>
  <si>
    <t>NightscoutFoundation-xDrip-1850</t>
  </si>
  <si>
    <t>Xdrip variant crash</t>
  </si>
  <si>
    <t>Xdrip variant 1, 13.10.2021. and also 4.10.2021. when go to settings, alarm and alerts, glucose level alert list xdrip crash and restart. Same behavior on settings for missed reading alert.
Also xdrip variants don have separate names like they have before. Both xdrip on my phone have the same name, just :xdrip. Before there will be xdrip and xdrip variant for example. This is important because can identify from whom is glucose level in notification area. In variants from June 2021 names are ok and xdrip don crash on alerts settings.
Thank you for your work.</t>
  </si>
  <si>
    <t>k9mail-k-9-5736</t>
  </si>
  <si>
    <t>Missing Internet Permission</t>
  </si>
  <si>
    <t>K9 keeps crashing while attempting to show pictures in an email.
K-9 Mail version: 5.806
Android version: 11
FATAL EXCEPTION: main</t>
  </si>
  <si>
    <t>TeamNewPipe-NewPipe-7234</t>
  </si>
  <si>
    <t>Crash upon launching the app</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</si>
  <si>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0.21.12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Open NewPipe.
&lt;!-- If you can cause the bug to show up again reliably (and hence don have proper set of steps to give us), please still try to give as many details as possible on how you think you encountered the bug. --&gt;
### Actual behavior
&lt;!-- Tell us what happens with the steps given above. --&gt;
Crash with an exception (see further). The results are inconsistent.
Additionally, the app consistently crashes an exception while putting playing video in fullscreen by turning the phone sideways.
### Expected behavior
&lt;!-- Tell us what you expect to happen. --&gt;</t>
  </si>
  <si>
    <t>2021-10-12</t>
  </si>
  <si>
    <t>nextcloud-android-9089</t>
  </si>
  <si>
    <t>Crash at start of application</t>
  </si>
  <si>
    <t>### Steps to reproduce
1. Start the App
2. Wait for the circle to stop moving
3. Read the crash notice
### Expected behaviour
The app should pull the actualized list of dorectories and data from the server.
### Actual behaviour
The App crashes during the loading of the actualized directory and data list.
### Environment data
Android version: 11
Device model: OnePlus 7T
Stock or customized system: Stock
Nextcloud app version: 30170090
Nextcloud server version: 22.2.0
Reverse proxy: yes
************ CAUSE OF ERROR ************
************ APP INFORMATION ************
Build flavor: gplay
************ DEVICE INFORMATION ************
************ FIRMWARE ************</t>
  </si>
  <si>
    <t>opensrp-opensrp-client-eusm-94</t>
  </si>
  <si>
    <t>App crashes when "looks good" is confirmed via the pop up</t>
  </si>
  <si>
    <t>Client description of the issue
We have End User Monitors in the field right now, they have reported problem which have been able to replicate at distance. This relates to mission 2021 Octobre Anosy Supply in the production instance.
When clicking looks good on any of the products positioned in any of the service points with active supplies in this mission, whenever you confirm the looks good via the popup, the app crashes. The data is not saved.
This was reported from the field this morning, have just been trying again (I not in the field but had included myself in the mission team in order to quality control) and have recreated the problem each time. tried with different products in service points Centre Vonjy Taolagnaro CSB Mandiso and CSB Mandromondromotra Every single time, the app crashes when click on looks good confirmation popup. Effectively, the app is completely unusable.
Can you look into that urgently please?
It real disappointment, this was good opportunity to roll out EUSM with team of Supply colleagues in the field, including Chief Supply. Now they have zero functionality on EUSM.</t>
  </si>
  <si>
    <t>openid-AppAuth-Android-755</t>
  </si>
  <si>
    <t>NullPointerException prepareAuthorizationRequestIntent</t>
  </si>
  <si>
    <t>### Crash Logs
Version: Android 11, SDK 27 29 30
Identity provider: Azure B2C
### Issue Description
saw so many crash logs that, have mentioned above in Playstore Crashlytics that affecting so many users. Lets us know, what is the fix for this.</t>
  </si>
  <si>
    <t>opensrp-opensrp-client-unicef-tunisia-133</t>
  </si>
  <si>
    <t>App location hierachy is not loading</t>
  </si>
  <si>
    <t>**Describe the bug**
When logged onto the app, the location hierarchy is not loading at the top of the app. Tapping on the location hierarchy crashes the app for the app.
Steps to reproduce the behavior:
Log onto the Tunevacc app with demo user. Observe.
Once logged in, the location should be showing at the top bar of the app.
**Desktop (please complete the following information):**
OS: e.g. iOS
Browser e.g. chrome, safari
Version e.g. 22
**Smartphone (please complete the following information):**
Device: e.g. iPhone6
OS: e.g. iOS8.1
Browser e.g. stock browser, safari
Version e.g. 22
Add any other context about the problem here.</t>
  </si>
  <si>
    <t>enviroCar-enviroCar-app-842</t>
  </si>
  <si>
    <t>App Crashes while clicking on the area just above the eye icon in sign in</t>
  </si>
  <si>
    <t>Click on the background just above the eye icon, On the area where background contains Munster name.
Same can be observed in sign up. Click on area where background contains Munster text, App crashes.</t>
  </si>
  <si>
    <t>nextcloud-android-9084</t>
  </si>
  <si>
    <t>Crash report: just uploading a picture</t>
  </si>
  <si>
    <t>### Steps to reproduce
don know how reproducible it is, but let me describe what did:
1. take picture
2. choose share with -&gt; Nextcloud
3. navigate to another folder and share
### Expected behaviour
pic gets uploaded
### Actual behaviour
Nopidopie, nothing happened, so opened the app which did show me crash (see below).
after starting the app again, it did start to upload it.
### Can you reproduce this problem on https: try.nextcloud.com?
am using cloud.nextcloud.com
### Environment data
Android version: Samsung S10e think it android 10
Nextcloud app version: beta
Nextcloud server version: cloud.nc.c, latest
Reverse proxy: nope
have only the android log:
************ CAUSE OF ERROR ************
... 11 more</t>
  </si>
  <si>
    <t>2021-10-11</t>
  </si>
  <si>
    <t>openid-AppAuth-Android-754</t>
  </si>
  <si>
    <t>ChromeCustomTab crash when I click in password input</t>
  </si>
  <si>
    <t>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Identity provider: (?)
### Issue Description
have an app that uses AppAuth for login and in the form, when the user clicks in the password input, browser is closed.
This problem has been reproduced in 94.0.4606.80 Chrome version only and don know if fix might be necessary, or if it would be chrome problem.
think that this Chrome version is only available for Android 10 and 11 versions.
Any help would be appreciated.</t>
  </si>
  <si>
    <t>nextcloud-android-9082</t>
  </si>
  <si>
    <t>Nextcloud app crashes.</t>
  </si>
  <si>
    <t>### Steps to reproduce
1. browse to folder in the nextcloud app
2. repeatable on every access to the same folder having 54 entries.
3. folder includes normal picturescand subfolders.
### Expected behaviour
Tell us what should happen
Refresh of folder
### Actual behaviour
Tell us what happens
App crashes. See log below.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</si>
  <si>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TeamNewPipe-NewPipe-7223</t>
  </si>
  <si>
    <t>Newpipe crashed</t>
  </si>
  <si>
    <t>Opened Newpipe and it crashed
User Action: ui error
Request: ACRA report
Content Country: GB
Content Language: en-IN
App Language: en IN
OS: Linux Android 10 29
log b&gt;&lt; summary&gt;&lt;p&gt;</t>
  </si>
  <si>
    <t>smartdevicelink-sdl_java_suite-1751</t>
  </si>
  <si>
    <t>SdlRouterService crashes if SDL app sets targetSdkVersion to 31, and running on Android 12</t>
  </si>
  <si>
    <t>### Bug Report
SdlRouterService causes crash if the SDL app sets targetSdkVersion to 31, and running on Android 12.
##### Reproduction Steps
1. open app build.gradle, and change targetSdkVersion to 31.
2. build the app, and run on Android 12 beta device
##### Expected Behavior
The app should run normally even if the app targetSdkVersion is 31. Please note that sdl java suite library targetSdkVersion (which is 30 in release 5.3.0 RC branch) will be overridden by app targetSdkVersion.
##### Observed Behavior
The app crashes by fatal exception below:
Caused by: Targeting S+ (version 31 and above) requires that one of FLAG IMMUTABLE or FLAG MUTABLE be specified when creating PendingIntent.
Strongly consider using FLAG IMMUTABLE, only use FLAG MUTABLE if some functionality depends on the PendingIntent being mutable, e.g. if it needs to be used with inline replies or bubbles.
##### OS Version Information
Android Version: Android 12 beta (SPB5.210812.002)
SDL Android Version: release 5.3.0 RC branch (commit
Testing Against: the crash has nothing to do with head unit, but you have to at least setup bluetooth pairing with head unit.
##### Test Case, Sample Code, and or Example App
PR will be submitted later.</t>
  </si>
  <si>
    <t>Anuken-Mindustry-6131</t>
  </si>
  <si>
    <t>ладно</t>
  </si>
  <si>
    <t>2021-10-10</t>
  </si>
  <si>
    <t>Aliucord-Aliucord-113</t>
  </si>
  <si>
    <t>Occasional crashing on startup after 96.3 update</t>
  </si>
  <si>
    <t>### Discord Account
### What happens when the bug or crash occurs?
When opening Aliucord, the app may occasionally crash. These crashes appear to be random.
### What is the expected behaviour?
Aliucord should not crash on startup.
### How do you recreate this bug or crash?
1. Force stop Aliucord
2. Start Aliucord
3. Repeat if crash does not occur (or use RestartButton if installed).
4. The app should crash upon startup.
This crash does not generate log within Aliucord. Here is logcat instead:
### Request Agreement
did indeed check to make sure the bug or crash report is applicable!</t>
  </si>
  <si>
    <t>2021-10-09</t>
  </si>
  <si>
    <t>cgeo-cgeo-11815</t>
  </si>
  <si>
    <t>Crash on setting base folder</t>
  </si>
  <si>
    <t>### Describe your problem!
### How to reproduce?
1. Install application
2. Open app on an OnePlus with Android 11
### Actual result after these steps?
The app crashes
### Expected result after these steps?
Not sure, never pass these steps
### c:geo Version
### System information
## System information
Device type: IN2013 (OnePlus8 EEA, OnePlus)
Android version: 11
Android build: IN2013 15 210731
Screen resolution: 1080x2162px (384x768dp)
Pixel density: 2.8125
System font scale: 1.0 used scale: 1.0
Sailfish OS detected: false
Google Play services: enabled 21.36.14 (150400-395708125)
HW acceleration: enabled (default state)</t>
  </si>
  <si>
    <t>Anuken-Mindustry-6124</t>
  </si>
  <si>
    <t>Core DB won't show effect entries</t>
  </si>
  <si>
    <t>**Steps to reproduce**: *Play campaign open core DB, try clicking on status effects*
**Link(s) to mod(s) used**: *None*
**Save file**: *Not required, because universal*
**(Crash) logs**: *Not crash*
*Place an (no spaces) between the brackets to confirm that you have read the line below.*
**I have updated to the latest release (https: github.com Anuken Mindustry releases) to make sure my issue has not been fixed.** (Itch.io release)
**I have searched the closed and open issues to make sure that this problem has not already been reported.**
Also please don reap my soul</t>
  </si>
  <si>
    <t>TeamNewPipe-NewPipe-7213</t>
  </si>
  <si>
    <t>Fix crash on missing title when sharing livestream</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</si>
  <si>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Just quick fix of stacktrace reported by TiA4f8R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</si>
  <si>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2021-10-08</t>
  </si>
  <si>
    <t>nextcloud-android-9076</t>
  </si>
  <si>
    <t>Crash of client after upgrade from NC18 to NC22</t>
  </si>
  <si>
    <t>### Steps to reproduce
1. no idea, sorry. The app keeps crashing ever since upgraded to NC22
2. upon starting the app, it run for ca. seconds, then freezes
3. sometimes the trace window pops up, offering to create bug report.
### Expected behaviour
Tell us what should happen
used to be able to open the app and browse my NC instance
### Actual behaviour
Tell us what happens
The app opens, and reacts normally for 2-3 seconds. If am quick, can open sttings before the app freezes, or browse to subfolder. Once the app freezes, it will not als ake anymore.
### Can you reproduce this problem on https: try.nextcloud.com?
Please create test demo account and see if this still happens there.
If yes, please open up bug report
If not, please verify server setup and ask for help on forum
### Environment data
lineageos ginkgo based on android 10
redmi note 8)
Stock or customized system:
Nextcloud app version:
Nextcloud server version:</t>
  </si>
  <si>
    <t>nextcloud-android-9075</t>
  </si>
  <si>
    <t>hamburger menu crashes app</t>
  </si>
  <si>
    <t>### Steps to reproduce
1. Open application
2. Tap to open hamburger menu
### Expected behaviour
hamburger menu opens
configure contacts sync
### Actual behaviour
### Environment data
Device model: pixel 5a 5g
Stock or customized system: Nova launcher KLWP
Reverse proxy: Traefik
************ CAUSE OF ERROR ************
************ APP INFORMATION ************
Build flavor: gplay
************ DEVICE INFORMATION ************
************ FIRMWARE ************</t>
  </si>
  <si>
    <t>Anuken-Mindustry-6120</t>
  </si>
  <si>
    <t>Array Index out of Bounds" Crash without error log when working with Microprocessors</t>
  </si>
  <si>
    <t>**Steps to reproduce**: *I was playing around with Differential Generators and Load balancing (using microprocessors). added another block (like you usually do) and the game crashed with an Array Index out of Bounds error. dont know exactly how many Blocks added but the last one added was Print block using the Duplicate button on another block..*
**Link(s) to mod(s) used**: *No mods used.*
**(Crash) logs**: *NO CRASH LOG FOUND No Logs Found (https: 15960617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</si>
  <si>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material-components-material-components-android-2416</t>
  </si>
  <si>
    <t>[MaterialTimePicker] Input mode is not changed when clicking on keyboard icon when the app is returned from background</t>
  </si>
  <si>
    <t>Steps to reproduce the issue:
Open implemented TimePicker in the app.
Move your app to background.
Move your app from background to foreground and click on keyboard icon or clock icon,
Following behaviors is observed for
version 1.4.0 crash occurs with the following stack-trace:
version 1.5.0-alpha04 the keyboard icon doesn transition the picker to keyboard input mode.
**Expected behavior:** The timepicker should change the input mode.
**Source code:** The source code implementation is same as per the documentation.
Also, the issue can be observed with the catalog sample app in this repository.
**Android API version:** API 30
**Material Library version:**</t>
  </si>
  <si>
    <t>2021-10-07</t>
  </si>
  <si>
    <t>OTTAA-Project-OTTAAProject-91</t>
  </si>
  <si>
    <t>Preference Get User Uid error</t>
  </si>
  <si>
    <t>bug is firebase crashlytics report
the system show this message:</t>
  </si>
  <si>
    <t>nextcloud-android-9069</t>
  </si>
  <si>
    <t>PlayerService crash</t>
  </si>
  <si>
    <t>XBigTK13X-snowgloo-33</t>
  </si>
  <si>
    <t>Saving a new playlist on Android causes a crash</t>
  </si>
  <si>
    <t>Also, not having anything in the queue doesn report that no playlist was created.</t>
  </si>
  <si>
    <t>2021-10-06</t>
  </si>
  <si>
    <t>TeamNewPipe-NewPipe-7204</t>
  </si>
  <si>
    <t>annoying crash</t>
  </si>
  <si>
    <t>User Action: ui error
Request: ACRA report
Content Country: US
Content Language: en-US
App Language: en US
OS: Linux samsung j2y18lteser j2y18lte:7.1.1 NMF26X G998BXWU2ASK1:user release-keys 11 25
log b&gt;&lt; summary&gt;&lt;p&gt;</t>
  </si>
  <si>
    <t>fossasia-pslab-android-2240</t>
  </si>
  <si>
    <t>Dependabot throw error on upgrading open street maps</t>
  </si>
  <si>
    <t>We need to use the latest version of open street maps
Dependabot throws an error as if we upgrade open maps, it will crash the app
**Steps to reproduce it**
Check PR #2233
**LogCat for the issue**
47 Execution failed for task
48 Manifest merger failed Attribute application allowBackup value (true) from
is also present at value (false).
49 Suggestion: add tools:replace android:allowBackup to &lt;application&gt; element at to override.
**Screenshots of the issue**
**Would you like to work on the issue?**</t>
  </si>
  <si>
    <t>TeamNewPipe-NewPipe-7203</t>
  </si>
  <si>
    <t>Cannot import Youtube subscriptions from youtube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</si>
  <si>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Click Subscriptions button
2. Click Import from YouTube
3. Click IMPORT FILE
&lt;!-- If you can cause the bug to show up again reliably (and hence don have proper set of steps to give us), please still try to give as many details as possible on how you think you encountered the bug. --&gt;
### Actual behavior
The app crashes.
### Expected behavior
The app should give the option to select the zip archive or csv file from your phone storage containing the youtube subscriptions downloaded from google takeout.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t>
  </si>
  <si>
    <t>2021-10-05</t>
  </si>
  <si>
    <t>capacitor-community-google-maps-114</t>
  </si>
  <si>
    <t>App crashes on creating map</t>
  </si>
  <si>
    <t>**Describe the bug**
installed this plugin, updated the specific files as described and built the app. The build was successful but the app crashes at the point of creating the map. checked the api key and it is okay since it works well when use it elsewhere. This is the crash log
Steps to reproduce the behavior:
1. Install the plugin
2. Build the app
3. Run the app
4. See error
The map should display when the app is run.</t>
  </si>
  <si>
    <t>dedis-popstellar-479</t>
  </si>
  <si>
    <t>[BUG] Clicking on Launch without a lao name crash app</t>
  </si>
  <si>
    <t>### Description (Actual behavior)
The app crash if we try to launch lao with an empty name.
### Expected behavior
The launch button should be disable if the name is empty.
### How to reproduce
1. Launch android app
2. Click on Launch tab
3. Click on Launch button
### Version Environment
This bug was reproduced on:
### Possible root cause
When CreateLao is created in the launchLao(), it will try to generate LaoId but Hash.hash throws an exception if one of the value is empty.</t>
  </si>
  <si>
    <t>2021-10-04</t>
  </si>
  <si>
    <t>aws-amplify-aws-sdk-android-2655</t>
  </si>
  <si>
    <t>UnsupportedOperationException in setAuthenticationParameter(AuthenticationDetails.java:229)</t>
  </si>
  <si>
    <t>**Describe the bug**
The property is declared as Map&lt;String, String&gt; which is an immutable key-value pair. But, in the line of 229, there is call to mutation process put(String key, String value)
code sample or steps:
hashMapOf( USERNAME to email),
**Which AWS service(s) are affected?**
The continuation could continue the task without app crash due to of put process
Screen Shot 2021-10-04 at 17 28 49 (https: 8645266
Screen Shot 2021-10-04 at 17 26 59 (https: 8645266
Screen Shot 2021-10-04 at 17 28 08 (https: 8645266
**Environment Information (please complete the following information):**
Android Version: Android 30 x86
Specific to simulators: There is no different process both for real device and simulator, the issue could affect both of them.
Add any other context about the problem here.</t>
  </si>
  <si>
    <t>nextcloud-android-9053</t>
  </si>
  <si>
    <t xml:space="preserve">Crash with request to send bug report </t>
  </si>
  <si>
    <t>### Expected behaviour
normal upload of local files
### Actual behaviour
crash with request to send bug report to GitHub
### Can you reproduce this problem?
Yes, ever since about month. Just have to open Nextcloud client on Android and wait variable amount of time (usually few minutes. Haven quite figured out if it only starts when app tries to upload file or it updates the file list from server.
### Environment data
Device model: Fairphone
Stock or customized system: OS
Nextcloud app version: 3.17.0
Nextcloud server version: latest
#### Web server error log
Insert your webserver log here
#### Nextcloud log (data nextcloud.log)
************ CAUSE OF ERROR ************
************ APP INFORMATION ************
Build flavor: generic
************ DEVICE INFORMATION ************
************ FIRMWARE ************</t>
  </si>
  <si>
    <t>2021-10-03</t>
  </si>
  <si>
    <t>jellyfin-jellyfin-androidtv-1176</t>
  </si>
  <si>
    <t>Version 0.12 getting OOM killed on Chromecast</t>
  </si>
  <si>
    <t>using Jellyfin on Chromecast with Google TV, and since the 0.12 update the app crashes after couple minutes of video playback. This looked like https: github.com jellyfin jellyfin-androidtv issues 1152, but switching backends (exoplayer vs libvlc) didn help, so decided to get look using ADB.
It looks like the device is running low on memory, and ultimately Jellyfin is getting OOM killed:
Before Android decides to kill Jellyfin, bunch of other apps and components are killed, but each of those only release 10s of MBs. Jellyfin using 1.2G seems like the culprit here (since the device only has 2GB of memory).
using Jellyfin server 10.7.7 on Linux.</t>
  </si>
  <si>
    <t>jMonkeyEngine-jmonkeyengine-1614</t>
  </si>
  <si>
    <t>explicitly deleting a native object should clear its phantom reference</t>
  </si>
  <si>
    <t>1. https: 44846
2. https: 44942
The impact of this issue includes infrequent and crashes in applications that explicitly delete native objects.
The suggested fix is to add ref2.clear() immediately after assert ref null ref ref2 in</t>
  </si>
  <si>
    <t>IEEE-VIT-weatherbes-android-22</t>
  </si>
  <si>
    <t>application is crashing</t>
  </si>
  <si>
    <t>when installed this application using android studio then ut shows the Enter city screen and after pressing go it starts loading and crashes after seconds</t>
  </si>
  <si>
    <t>2021-10-02</t>
  </si>
  <si>
    <t>Anuken-Mindustry-6088</t>
  </si>
  <si>
    <t>crash to desktop after random amount of time</t>
  </si>
  <si>
    <t>**Steps to reproduce**: just play for few minutes apparently. the game was working fine yesterday, but today joined my friend, hosting through steam from few states away, and this is happening.
**Link(s) to mod(s) used**:
my friend named the save crashreport before sending it to me
If you remove the line above without reading it properly and understanding what it means, will reap your soul. Even if you re playing on someone server, you can still save the game to slot.
read the line above before deleting, don worry
**(Crash) logs**: crash-report-10 01 2021 17 39 51.txt (https: github.com Anuken Mindustry files 7270510 crash-report-10 01 2021 17 39 51.txt)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</si>
  <si>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2021-10-01</t>
  </si>
  <si>
    <t>dedis-popstellar-468</t>
  </si>
  <si>
    <t>Open roll call crashes on Fe1-Web</t>
  </si>
  <si>
    <t>### Description (Actual behavior)
When the organizer tries to open an existing roll call, the user interface crashes with the error: TypeError: timestamp.before is not function The full stack trace has been copied at the end of this issue for clarity.
### Expected behavior
expected to be able to open the roll call
### How to reproduce
1. Start fe1-web and be1-go
2. Create an organization
2. Create roll call
2. Go to the LAO main view
2. Click on OPEN ROLL CALL
4. Error gets displayed
### Version Environment
This bug was reproduced on:
Fe1-Web (Chrome 93)
OS: Mac OS Big Sur 11.5.2
Browser: Chrome 93
No workaround known
roll call can be run on the Fe1-Web front-end.
### Possible root cause
The stack trace above seems to indicate that requestOpenRollCall is called with the wrong arguments in EventRollCall.tsx</t>
  </si>
  <si>
    <t>jellyfin-jellyfin-androidtv-1160</t>
  </si>
  <si>
    <t>Media playback speed/smoothness bad</t>
  </si>
  <si>
    <t>**Describe the bug**
After the 12 update the video playback is slower and crappier than in version 11. Over LAN, based on jellyfin dashboard, the container bitrate was about 4-8mbps (it varied) and video was being actively transcoded, which was caused by media exceeding the client container bitrate limit (Automatic on Android TV).
So tried setting the limit manually to 100mbps. And it worked the video was playing directly. The annoying part was that it was pausing all the time as if it was buffering.
Clicking back on TV remote from the video player caused crash and it was annoying.
feel like this is bug because this is the only Jellyfin client that caused me these errors. On the very same TV it works perfectly when using Kodi with Jellyfin plugin.
&lt;!-- Steps to reproduce the behavior: --&gt;
1. Change to manual bitrate limit
2. Play high quality media
3. (click back on tv remote)
My bitrate shouldnt be limited that much in the first place since am on the same LAN with fairly good connection.
After changing bitrate manually to more realistic limit, the video should play smoothly without weird pauses.
Dont have access to logs. The crashes have been reported online automatically.
**System (please complete the following information):**
Android TV or Fire TV version: Android
Device manufacturer: Sony
Device model: Bravia 4K GB ATV3
Jellyfin server version: 10.7.7
The jellyfin server is running behind HTTP reverse proxy.</t>
  </si>
  <si>
    <t>2021-09-30</t>
  </si>
  <si>
    <t>k9mail-k-9-5711</t>
  </si>
  <si>
    <t>Crash after removing account</t>
  </si>
  <si>
    <t>**Describe the bug**
Deleting an account crashes the app
Steps to reproduce the behavior:
1. Go *Account settings* screen for an account
2. Select *Remove account* from the menu
Android version: 8.1.0
Model: Lenovo Tabriz plus (TB-8704X)
Originally reported here: https: forum.k9mail.app 3317</t>
  </si>
  <si>
    <t>Anuken-Mindustry-6080</t>
  </si>
  <si>
    <t>Mechanical Pump problem</t>
  </si>
  <si>
    <t>As remember from previous builds (back when the map was flat, couple years ago) at this moment already had Mechanical Pump (maybe after The Craters? am not sure), so this looks like bug.
And in Fungal Pass have working pre-build Mechanical Pumps, but after destroying enemy base no Mechanical Pump tech appeared, so looks like bug.
And saw one question about How to research Mechanical Pump? somewhere in the internet, so, maybe it is not only my problem.
**Link(s) to mod(s) used**: No mods, plain steam version, restarted from scratch, no previous tech imported.
**Save file**: mindustry-saves.zip (https: github.com Anuken Mindustry files 7259490
That is zipped content of my C: steam steamapps common Mindustry saves saves
If there is some other saves or something, will happily provide them
**(Crash) logs**: No crash.
**I have updated to the latest release (https: github.com Anuken Mindustry releases) to make sure my issue has not been fixed.** No did not, used latest at the moment steam version 126.3
**I have searched the closed and open issues to make sure that this problem has not already been reported.** did.</t>
  </si>
  <si>
    <t>UweTrottmann-SeriesGuide-819</t>
  </si>
  <si>
    <t>Kotlin for in crashes with Iterator.hasNext() null pointer on Android 5.1</t>
  </si>
  <si>
    <t>for (Iterator var shows.iterator() var.hasNext())
Caused by Attempt to invoke interface method boolean on null object reference
shows is definitely not null. If it would be .iterator() should already throw with NPE. So iterator() may return null?! Note shows is always an ArrayList
Only reports on some Android 5.1 devices.
Not sure if this is Kotlin issue or Android issue.</t>
  </si>
  <si>
    <t>opensrp-opensrp-client-path-zeir-215</t>
  </si>
  <si>
    <t>Sent reports crashing</t>
  </si>
  <si>
    <t>Trying to access the sent reports using Android force closes the app. How tested this: activated manual sync on the HIA2 reports, waited 30minutes and checked the reports.
Android 10 not generating any HIA2 reports. Also not showing any of the submitted reports.</t>
  </si>
  <si>
    <t>LiamAbyss-Scorpion-17</t>
  </si>
  <si>
    <t>app crashes since update v0.5+</t>
  </si>
  <si>
    <t>Since version 5, the application crashes when the new info icon on course is pressed
The problem happens when opening scorpion for the first time. Once the application has crashed, it closes at each new attempt to start.
To open it again, have to delete all the data from the application (and reconnect) but the problem still occurs.
Device: POCO f1 (Xiaomi)
OS: MIUI 11.0.9 (Android 10)
Do you think you could look at the problem to solve it?
Thanks for the development of this app which is really more convenient than Aurion! see new updates regularly this month, it great!</t>
  </si>
  <si>
    <t>2021-09-29</t>
  </si>
  <si>
    <t>nextcloud-android-9034</t>
  </si>
  <si>
    <t>Media Player crashes</t>
  </si>
  <si>
    <t>smartdevicelink-sdl_java_suite-1741</t>
  </si>
  <si>
    <t xml:space="preserve">java.lang.IndexOutOfBoundsException Crash: SdlRouterService.java line 3275 </t>
  </si>
  <si>
    <t>### Bug Report
Fatal Exception: Index: 0, Size:
##### Reproduction Steps
Unfortunately, no reproduction steps, crash from Crashlytics board.
Per crash reports, app was backgrounded at the time of crash.
##### OS Version Information
Android Version: Android 11 Android 10 Android Android
SDL Android Version: 5.2.0
Testing Against: Unfortunately, no test steps, crash from Crashlytics board.
##### Test Case, Sample Code, and or Example App
Unfortunately, no test steps, crash from Crashlytics board.
Fatal Exception: Index: 0, Size:</t>
  </si>
  <si>
    <t>2021-09-28</t>
  </si>
  <si>
    <t>PojavLauncherTeam-PojavLauncher-2077</t>
  </si>
  <si>
    <t>Bug When My At a Phone that has aarch32</t>
  </si>
  <si>
    <t>### Describe the bug
Any phone that has aarch32 will crash
Past version work properly with aarch32
New version keep crashing
Works with aarch64 and up
### The log file and images videos
### Steps To Reproduce
Have phone that has aarch 32
Install pojav launcher
Install any version (1.17 not)
After installing play it
BOOM Crash WTF.
### Expected Behavior
When play in any aarch32 phones the pojav crash even in when install it from the first time
The pojav launcher works perfectly
The new update keep crashing
Device model:Samsung j6+
PojavLauncher version: latest version from playstore
### Anything else?</t>
  </si>
  <si>
    <t>Anuken-Mindustry-6070</t>
  </si>
  <si>
    <t>sound glitching</t>
  </si>
  <si>
    <t>sound keeps randomly glitching out and playing the sound for removing or placing block and when leave the server it goes away but it comes back again the second rejoin.
**Steps to reproduce**: *How you happened across the issue, and what exactly you did to make the bug happen.*
randomly keeps happening when build delete stuff
**Link(s) to mod(s) used**: *The mod repositories or zip files that are related to the issue, if applicable.*
haven updated the mods that use in few months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</si>
  <si>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Anuken-Mindustry-6067</t>
  </si>
  <si>
    <t>Steam version doesn't launch, leaves no crash logs.</t>
  </si>
  <si>
    <t>Verifying game files
Replacing steam files with itch.io files
Redownloading the game
Switching to v7 beta version
Switching to v7 beta leads to the same result, except this time **game actually creates crash log**.
**Steps to reproduce**: Launch the game through Steam.
**Save file**: There only steam autocloud.vdf file inside saves folder which is probably used for cloud saving, so most likely game didn create any save files.
**Crash log from v7 beta**:
Mindustry has crashed. How unfortunate.
&lt;no mod init&gt;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</si>
  <si>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nextcloud-android-9020</t>
  </si>
  <si>
    <t>App Crashes on Accessing "Hamburger" Menu</t>
  </si>
  <si>
    <t>### Steps to reproduce
1. Install Next Cloud (or dev stream, doesn matter) from F-Droid on CalyxOS
2. Open app and use then close, Hamburger menu works just fine.
3. Close App
4. Reopen app and attempt to access Hamburger menu. Repeat as many times as you wish, outcome is the same.
### Expected behaviour
App should not crash at step 4. Menu should be displayed and accessible.
### Actual behaviour
App crashes at step and provides log as the below.
### Can you reproduce this problem on https: try.nextcloud.com?
Not server issue. Only occurs on any device using CalyxOS
Other android device (OnePlus Pro) has zero Issues when connecting to same server.
### Environment data
11 (CalyxOS 2.9.0)
Stock or customized system:
Nextcloud app version:
Nextcloud server version:
#### Nextcloud log (data nextcloud.log) #### This is from the app as it crashes!
**CAUSE OF ERROR**
Build flavor: generic</t>
  </si>
  <si>
    <t>2021-09-27</t>
  </si>
  <si>
    <t>PojavLauncherTeam-PojavLauncher-2075</t>
  </si>
  <si>
    <t>[BUG] Randomly crashed after 5-10 minutes</t>
  </si>
  <si>
    <t>### Describe the bug
When try to play minecraft, after every 5-10 minutes, the screen freezes on picture. hear the sounds of what am doing, but the picture of the game freezes and crashes after while.I tried to play without keyboard and mouse, the result is the same. Tried to hide root from Pojav, same.
### The log file and images videos
### Steps To Reproduce
1. Starting Pojav (Settings 1960m RAM)
2. Enter in game (1.17.1)
3. Enter in the world.
4. Wait some minutes.
### Expected Behavior
wanted to be able to play with keyboard and mouse without problems.
Device model: POCO X3 NFC
CPU architecture: aarch64
Android version: 11
PojavLauncher version: openjdk
And custom rom with root (For improve fps in game).
### Anything else?</t>
  </si>
  <si>
    <t>GoogleCloudPlatform-fda-mystudies-4157</t>
  </si>
  <si>
    <t>[Android] [Standalone] App is crashing when click on automated push notification for resource added</t>
  </si>
  <si>
    <t>1. Install the standalone android app and signup login
2. Enroll into study
3. Add resource to the study and publish from the Study Builder
4. Once push notification received, click on that and verify</t>
  </si>
  <si>
    <t>NordicSemiconductor-Android-DFU-Library-312</t>
  </si>
  <si>
    <t>Android 12 support</t>
  </si>
  <si>
    <t>**DFU Bootloader version (please complete the following information):**
SDK version: e.g. SDK 16
Bonding used: yes
Library version: e.g. 1.9.1
**Device information (please complete the following information):**
Device: Any device running Android 12
OS: Android 12
**Describe the bug**
App crashes when trying to perform DFU
Strongly consider using FLAG IMMUTABLE, only use FLAG MUTABLE if some functionality depends on the PendingIntent being mutable, e.g. if it needs to be used with inline replies or bubbles.</t>
  </si>
  <si>
    <t>LawnchairLauncher-lawnchair-2238</t>
  </si>
  <si>
    <t>[Bug] Crash when opening Firefox search widget</t>
  </si>
  <si>
    <t>When opened Firefox search widget from homescreen Lawnchair crashed and the system changed the default launcher to the stock one. The crash log is attached here:
use the latest version of Lawnchair 11 (Alpha 6.1)</t>
  </si>
  <si>
    <t>Keidan-HexViewer-120</t>
  </si>
  <si>
    <t>double opening and app crash</t>
  </si>
  <si>
    <t>open the file via the ** open ** menu
without closing anything, we open the same file through the ** sequential opening ** menu.
we close the application by pressing the back button several times (the triangle at the bottom of the screen)</t>
  </si>
  <si>
    <t>2021-09-26</t>
  </si>
  <si>
    <t>LiamAbyss-Scorpion-9</t>
  </si>
  <si>
    <t>Fix a bug where the app crashes when there are no teachers assigned to a course</t>
  </si>
  <si>
    <t>nextcloud-android-9012</t>
  </si>
  <si>
    <t>crash on search</t>
  </si>
  <si>
    <t>### Steps to reproduce
1. Search on android client
### Expected behaviour
### Actual behaviour
### Can you reproduce this problem on https: try.nextcloud.com?
Please create test demo account and see if this still happens there.
If yes, please open up bug report
If not, please verify server setup and ask for help on forum
### Environment data
Android version: latest
Device model: pixel 3a
Stock or customized system:
Nextcloud app version:
Nextcloud server version:
#### Web server error log
Insert your webserver log here
#### Nextcloud log (data nextcloud.log)
************ CAUSE OF ERROR ************
************ APP INFORMATION ************
Build flavor: gplay</t>
  </si>
  <si>
    <t>PojavLauncherTeam-PojavLauncher-2072</t>
  </si>
  <si>
    <t>[BUG] Unknown Crash</t>
  </si>
  <si>
    <t>### Describe the bug
After pressing play button it immediately crashed
### The log file and images videos
### Steps To Reproduce
1.Start pojav launcher
2.Press play button
### Expected Behavior
expect the game to lunch
Device model: Huawei Med-L29
CPU architecture: 32-bit x86
Android version: Android 10
PojavLauncher version: openjdk
### Anything else?</t>
  </si>
  <si>
    <t>2021-09-25</t>
  </si>
  <si>
    <t>Nostradongus-Financify-5</t>
  </si>
  <si>
    <t>Changing to a taken email in Account Settings makes app crash</t>
  </si>
  <si>
    <t>Changing to taken email will make the app crash.
How to trigger:
(1) Navigate to Account Settings
(2) Attempt to change email to taken one
(3) Save changes</t>
  </si>
  <si>
    <t>2021-09-24</t>
  </si>
  <si>
    <t>PojavLauncherTeam-PojavLauncher-2066</t>
  </si>
  <si>
    <t>[BUG] minecraft1.7.10, which can't use VBO crashed.</t>
  </si>
  <si>
    <t>### Describe the bug
can play minecraft 1.8 perfectly by selecting using VBOs in options.
However, in minecraft 1.7.10,I cannot find using VBOs in options so that minecraft crashed when entering world.
can play 1.7.10 for moment with optifine, then it still crashed.
### The log file and images videos
### Steps To Reproduce
1. install minecraft 1.7.10
2. select world
3. minecraft crashed with no log!
4. install minecraft 1.8.3
5. select world
6. step occured.
7. using VBOs in 1.8.3
8. 1.8.3 worded well.
### Expected Behavior
version 1.7.10 should work well after entering world.
Device model: Huawei Matepad 11
Android version: 10
PojavLauncher version: google play version and latest CI artifacts
### Anything else?</t>
  </si>
  <si>
    <t>mapbox-mapbox-gl-native-android-702</t>
  </si>
  <si>
    <t>Location reuses feature object</t>
  </si>
  <si>
    <t>We have raise condition on the location component feature. Currently we reuse the features object and pass that to gl-native. gl-native however parses this asynchronous and by that time we could already have updated it on the main thread. This currently results in crash and is something we want to patch.
The feature object mentioned can be found in https: github.com mapbox blob MapboxGLAndroidSDK src main java com mapbox mapboxsdk location</t>
  </si>
  <si>
    <t>2021-09-23</t>
  </si>
  <si>
    <t>PojavLauncherTeam-PojavLauncher-2062</t>
  </si>
  <si>
    <t>1.17 optifine patches doesn't work with me</t>
  </si>
  <si>
    <t>### Describe the bug
it says this access denied idk why?
also if tried to do the same thing in 1.17 build its crash the app so used the Google play build
### The log file and images videos
Screenshot 20210923 132546 net kdt pojavlaunch (https: 79517194
### Steps To Reproduce
2.Install optifine for 1.17.1
3. install the patch 1. 17 thing
4.it should say patch 1.17!
### Expected Behavior
it should work
Device model: Huawei Nova 3i
PojavLauncher version: Google Play Build
### Anything else?</t>
  </si>
  <si>
    <t>nextcloud-android-9000</t>
  </si>
  <si>
    <t>crash when listening to music</t>
  </si>
  <si>
    <t>was listening to 201KB hook from stay The Kid Laroy
After pressing the button to go back this happened .. It doesn matter if press the triangle on the bottom or the button from Nextcloud</t>
  </si>
  <si>
    <t>jellyfin-jellyfin-androidtv-1152</t>
  </si>
  <si>
    <t>Jellyfin crashes everytime you back out from a playing movie</t>
  </si>
  <si>
    <t>As the subject says, every time press on the back return button on the remote control from playing movie, the application crashes and exits out to the home screen. You have to run Jellyfin again to play another movie. This cycle continues if you want to switch to another movie regardless where the movie is played from any library you added.
Android TV 10.1 (kernel 4.4.55)</t>
  </si>
  <si>
    <t>react-native-share-react-native-share-1099</t>
  </si>
  <si>
    <t>iOS 15 - Clicking on Share icon crashes app</t>
  </si>
  <si>
    <t>### Steps to reproduce
### Expected behaviour
Tell us what should happen
### Actual behaviour
Tell us what happens instead
**React Native version**:
**React Native platform platform version**: iOS 9.0, Android 5.0, etc
**Typescript version** (if using typescript): 3.8+ required, what version is in your environment?
### Link to repo (highly encouraged)</t>
  </si>
  <si>
    <t>2021-09-22</t>
  </si>
  <si>
    <t>TeamNewPipe-NewPipe-7144</t>
  </si>
  <si>
    <t>Migration error after updating to 0.21.10</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</si>
  <si>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Update to latest version 0.21.10 from 0.21.9
2. Open the app
&lt;!-- If you can cause the bug to show up again reliably (and hence don have proper set of steps to give us), please still try to give as many details as possible on how you think you encountered the bug. --&gt;
### Actual behavior
&lt;!-- Tell us what happens with the steps given above. --&gt;
The app crashes with the error log below.
### Expected behavior
&lt;!-- Tell us what you expect to happen. --&gt;</t>
  </si>
  <si>
    <t>TeamNewPipe-NewPipe-7141</t>
  </si>
  <si>
    <t>Crash when opening downloads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</si>
  <si>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1. Open the app.
2. Open the menu.
3. Open the downloads.
4. The app closes.
### Actual behavior
&lt;!-- Tell us what happens with the steps given above. --&gt;
The app often just closes. There is no crash report, no nothing.</t>
  </si>
  <si>
    <t>2021-09-21</t>
  </si>
  <si>
    <t>Anuken-Mindustry-6032</t>
  </si>
  <si>
    <t>Schematic search function ignores Numbers</t>
  </si>
  <si>
    <t>Screenshot 2021-09-21 193427 (https: 57239116
**Steps to reproduce**: *Open Schematics folder, type in numbers, see that the output wont change*
**Link(s) to mod(s) used**: *vanilla*
**Save file**: *It on every save. can upload my schem folder if you like*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</si>
  <si>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react-native-share-react-native-share-1095</t>
  </si>
  <si>
    <t>Startup crash on iOS 12 when using Xcode 13</t>
  </si>
  <si>
    <t>### Steps to reproduce
1. Build and run on iOS 12 device
### Expected behaviour
Works without crashing
### Actual behaviour
Crash on app startup
**React Native version**: 0.65.1
**React Native platform platform version**: iOS 12.4
**Typescript version** (if using typescript): 4.4.3
### Link to repo (highly encouraged)</t>
  </si>
  <si>
    <t>commons-app-apps-android-commons-4642</t>
  </si>
  <si>
    <t>Crash on upload wizard's depictions screen (and depiction not selected)</t>
  </si>
  <si>
    <t>1. Open app (latest master)
2. Upload this picture: https: drive.google.com file view?usp sharing
3. App asks Is this picture of XYZ? tap Yes
4. In the depictions screen, XYZ is not selected as depiction (problem 1)
5. Tap Next acknowledge the warning.
6. Crash (problem 2):
Caused by: Expected string but was BEGIN OBJECT at line column 24 path $.commonsCategories
... 14 more
Same problems when uploading any picture from Nearby.
No crash if the picture has no depiction meant for pre-selection.</t>
  </si>
  <si>
    <t>LSPosed-LSPosed-1151</t>
  </si>
  <si>
    <t>[Bug] cannot open manager</t>
  </si>
  <si>
    <t>### Steps to reproduce
Install lsposed 6053 from latest actions on master
Restart and add shortcut to launcher
### Expected behaviour
Normally opens lsposed manager
### Actual behaviour
Manager wont open
And shell crashes
### Xposed Module List Xposed
Disable flag secure 2.0
### Magisk Module List Magisk
Riru safetynet patch 2.1.0
Magisk props config
Advanced charging controller
Disable screenshot and camera sounds
### LSPosed version LSPosed
### Android version
### Magisk version Magisk
### Riru version Riru
### CI Version CI</t>
  </si>
  <si>
    <t>PojavLauncherTeam-PojavLauncher-2054</t>
  </si>
  <si>
    <t>Pls fix this</t>
  </si>
  <si>
    <t>### Describe the bug
Cannot not run latest iris version.
### The log file and images videos
### Steps To Reproduce
1.Download iris shader
2.Iris Shader crashes.
### Expected Behavior
expect the installation to work smoothly.
CPU architecture: arm64-v8a armeabi-v7a armeabi
PojavLauncher version: Latest version
### Anything else?</t>
  </si>
  <si>
    <t>nextcloud-android-8992</t>
  </si>
  <si>
    <t>Chose wrong login, and crashed on backing out of the SSO DIALOG</t>
  </si>
  <si>
    <t>Azizadx-Newsly-22</t>
  </si>
  <si>
    <t xml:space="preserve">Bookmarking From General Category </t>
  </si>
  <si>
    <t>mekedi-mkt check why it crashing when saving from General cat. All the other categories are working fine.</t>
  </si>
  <si>
    <t>k9mail-k-9-5683</t>
  </si>
  <si>
    <t>All draft emails in gmail account are encrypted</t>
  </si>
  <si>
    <t>**Describe the bug**
have several Gmail and Gapps accounts. Recently found that all the emails in Draft are shown as *encrypted *, and when click it, the app just crashes.
Steps to reproduce the behavior:
1. Open Gmail account
2. Open Draft folder
3. Click one of the emails
4. App crashes
Emails should be opened
**Environment (please complete the following information):**
K-9 Mail version: 5.806
Android version: 11
Account type: IMAP</t>
  </si>
  <si>
    <t>2021-09-20</t>
  </si>
  <si>
    <t>Anuken-Mindustry-6025</t>
  </si>
  <si>
    <t>Modded Message Block text getting limited when print using processor</t>
  </si>
  <si>
    <t>v7 build 131
as you can see, the left message block is writed in by hand
and the right one is writed by processor, it getting limited to the normal message text size
**Steps to reproduce**: *How you happened across the issue, and what exactly you did to make the bug happen.*
1.use modded message that have more text than normal message
2.use logic print command on the message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</si>
  <si>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2021-09-19</t>
  </si>
  <si>
    <t>Anuken-Mindustry-6024</t>
  </si>
  <si>
    <t>cant play "naval fortress" sector</t>
  </si>
  <si>
    <t>cant play the naval fortress sector beacuse it was created on sector had already conquered
what can do to play the intended naval sector?
**Steps to reproduce**: *How you happened across the issue, and what exactly you did to make the bug happen.*
today wanted to conquer some campaign sectors and noticed that there were named sectors hadn beaten yet (coastline and then naval fortress).
cleared the first one but when exited the sector to look at the map it didn show me where the second sector was
so looked the sector up in the sector list and realized it spawned on sector conquered before v7 (or maybe before those sectors were added), sector #216 (difficulty: easy resources: copper lead scrap sand water).
then loaded the sector that naval fortress was supposed to be (not launched to it, just went to it) and it was just like left it, few drills, some duos and walls.
so destroyed my base using the console with the command Groups.build.each(b &gt;b.kill()) hoping that by re-launching to the sector in question the map would change and could play on it.
the sector loss sector popped up as usual and created backup save just in case anything weird could happen.
launched the sector but the map didnt change, and it certainly didnt look like extreme threat sector with naval units since there werent even coal, titanium or thorium ores and just few water pools here and there.
the sector after destroyed the base using the console
the sector when re-launched to it
**Link(s) to mod(s) used**: *The mod repositories or zip files that are related to the issue, if applicable.*
dont think mods are related to this issue, but here are the ones use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my save file is too big (47103 KB) and github doesnt let me upload it so please tell me how can send it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t>
  </si>
  <si>
    <t>Anuken-Mindustry-6023</t>
  </si>
  <si>
    <t>Items.copper is null</t>
  </si>
  <si>
    <t>**Steps to reproduce**: *Create mod, using (https: github.com Anuken
**(Crash) logs**: *Mindustry has crashed. How unfortunate.
Caused by: Couldn load dependencies of asset: contentinit
**I have searched the closed and open issues to make sure that this problem has not already been reported.**</t>
  </si>
  <si>
    <t>vinzscam-react-native-file-viewer-117</t>
  </si>
  <si>
    <t>java.lang.NullPointerException: Attempt to invoke virtual method 'java.lang.String android.app.Activity.getPackageName()' on a null object reference</t>
  </si>
  <si>
    <t>Firstly, thanks for your work on this project!
Today used patch-package (https: github.com ds300 patch-package) to patch 2.1.4 for the project working on based on crash log collected via AppCenter.
Here is the diff that solved my problem:
diff --git node modules android build .transforms node modules android build .transforms
new file mode 100644
--- dev null
+++ node modules android build .transforms
diff --git node modules android build .transforms debug com vinzscam BuildConfig.dex node modules android build .transforms debug com vinzscam BuildConfig.dex
new file mode 100644
Binary files dev null and node modules android build .transforms debug com vinzscam BuildConfig.dex differ
diff --git node modules android build .transforms debug com vinzscam FileProvider.dex node modules android build .transforms debug com vinzscam FileProvider.dex
new file mode 100644
Binary files dev null and node modules android build .transforms debug com vinzscam FileProvider.dex differ
diff --git node modules android build .transforms debug com vinzscam node modules android build .transforms debug com vinzscam
new file mode 100644
Binary files dev null and node modules android build .transforms debug com vinzscam differ
diff --git node modules android build .transforms debug com vinzscam node modules android build .transforms debug com vinzscam
new file mode 100644
Binary files dev null and node modules android build .transforms debug com vinzscam differ
diff --git node modules android build .transforms debug com vin</t>
  </si>
  <si>
    <t>MuntashirAkon-AppManager-587</t>
  </si>
  <si>
    <t>App Manager initialises forever if DNSCrypt is enabled (via InviZible)</t>
  </si>
  <si>
    <t>Info hidden for privacy
Your App Manager is truly amazing and makes me love enjoy android again.
Thank you so much.
Hopefully it ok to send you an email.
The bug problem am facing on devices is not crash its fail to start
as soon as start -InviZible Pro- App (from F-Droid)
to keep my DNS safe (only DNS crypt) App Manager will stay on Initialising screen,
and will not go past that, no matter how long you wait...
Tried to exclude App Manager and other things without any effect.
its very weird that it effect App Manager like that, both apps work play well with other apps.
will do anything to find solution, both apps are irreplaceable
Really hope and will appreciate if you can look into it, or tell my what can do try.
Thank you again.
Name hidden for privacy</t>
  </si>
  <si>
    <t>LSPosed-LSPosed-1144</t>
  </si>
  <si>
    <t>[Bug] fatal err when hook zygoteSendArgsAndGetResult</t>
  </si>
  <si>
    <t>### Steps to reproduce
public void loadPackageParam) throws Throwable
if android )) return
protected void param) throws Throwable
protected void param) throws Throwable
Object result param.getResult()
### Expected behaviour
### Actual behaviour
wait for while 2min in average)
then system server keep crash.
1. May be attributed to some optimization procedures on R.
2. And the demo worked well on Android Framework SDK 29
### Xposed Module List Xposed
this dev demo only
### Magisk Module List Magisk
MagiskHide Props Config:v6.0.2-v132
### LSPosed version LSPosed
### Android version
### Magisk version Magisk
### Riru version Riru</t>
  </si>
  <si>
    <t>PojavLauncherTeam-PojavLauncher-2046</t>
  </si>
  <si>
    <t>[BUG] crash in version minecraft 1.13.2</t>
  </si>
  <si>
    <t>### Describe the bug
choose video settings and it crashes
### The log file and images videos
### Steps To Reproduce
2.start minecraft 1.13.2
3.I choose Java default
4.I choose renderer vgpu
5.I choose video settings and
### Expected Behavior
Please fix :(
Device model:Oppo A5 2020
PojavLauncher version: crocus-v3 openjdk
### Anything else?
just want to play Minecraft version 1.13.2 please:(</t>
  </si>
  <si>
    <t>PojavLauncherTeam-PojavLauncher-2044</t>
  </si>
  <si>
    <t>1.15.2 with OptiFine crash (2 gb ram phone)</t>
  </si>
  <si>
    <t>### Describe the bug
This bug is sh!t
### The log file and images videos
### Steps To Reproduce
1- cleaned my memory but still crash
2- tried change the ram
### Expected Behavior
Everything worked fine, until it started to crash
Device model: Samsung J7 neo
CPU architecture: 32bits
PojavLauncher version: latest
### Anything else?
When play ANY VERSION with OptiFine,wow crash</t>
  </si>
  <si>
    <t>2021-09-18</t>
  </si>
  <si>
    <t>nextcloud-android-8989</t>
  </si>
  <si>
    <t>nextcloud-android-8988</t>
  </si>
  <si>
    <t>### Steps to reproduce
************ CAUSE OF ERROR ************
************ APP INFORMATION ************
Build flavor: gplay
************ DEVICE INFORMATION ************
************ FIRMWARE ************</t>
  </si>
  <si>
    <t>TeamNewPipe-NewPipe-7122</t>
  </si>
  <si>
    <t>Unable to import subscriptions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</si>
  <si>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0.21.9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subscriptions
2. Press on import from previous export
3. Choose the import file
&lt;!-- If you can cause the bug to show up again reliably (and hence don have proper set of steps to give us), please still try to give as many details as possible on how you think you encountered the bug. --&gt;
### Actual behavior
&lt;!-- Tell us what happens with the steps given above. --&gt;
When the subscription file is selected the app crashes
### Expected behavior
&lt;!-- Tell us what you expect to happen. --&gt;
Subscriptions imported successfully
### Screenshots Screen recordings</t>
  </si>
  <si>
    <t>PojavLauncherTeam-PojavLauncher-2042</t>
  </si>
  <si>
    <t>Game crashes if i allocate more than 256mb</t>
  </si>
  <si>
    <t>### Describe the bug
Whenever try to load pojav launcher on any version my game crashes if allocate more ram than 300 mb it took me weeks to fighure out why my game was crashing everytime it was because default is 938 mb this makes mh game lag so much even tried different JVM agreements but it does not increase fps
### The log file and images videos
### Steps To Reproduce
dont really know if its just with my device but on my other phone pojav launcher does not crash with full ram allocated but would like if this bug gets fixed
### Expected Behavior
expected the game to run minecraft instead of saying game exited
Device model: Vivo Y55s
CPU architecture: ARMv7 processor rev4 (v7l)
Android version: 6.0.1
PojavLauncher version: openjdk
### Anything else?</t>
  </si>
  <si>
    <t>GrapheneOS-Auditor-120</t>
  </si>
  <si>
    <t>Auditor crashes when Display Size set to Largest</t>
  </si>
  <si>
    <t>When screen size is set to largest, auditor crashes when the camera is opened for auditoring or auditeeing.</t>
  </si>
  <si>
    <t>2021-09-17</t>
  </si>
  <si>
    <t>nextcloud-android-8985</t>
  </si>
  <si>
    <t>Android: Clear storage crashes app</t>
  </si>
  <si>
    <t>doublesymmetry-react-native-track-player-1266</t>
  </si>
  <si>
    <t>App crashes, while playing audio</t>
  </si>
  <si>
    <t>**Describe the bug**
When playing audio, suddenly, the app starts to lag significantly. This is the warning that pops up at that time
Please report: Excessive number of pending callbacks: 501. Some pending callbacks that might have leaked by never being called from native code: 7292 7293 module TrackPlayerModule method getBufferedPosition 7294 module TrackPlayerModule method getDuration 7295 module TrackPlayerModule method getPosition 7296 module TrackPlayerModule method getBufferedPosition 7297 module TrackPlayerModule method getDuration 7322 module TrackPlayerModule method getPosition 7323 module TrackPlayerModule method getBufferedPosition 7324 module TrackPlayerModule method getDuration 7336 7337 7338 7339 7340 module TrackPlayerModule method getBufferedPosition 7341 module TrackPlayerModule method getDuration 7342 module TrackPlayerModule method getPosition 7343 module TrackPlayerModule method getBufferedPosition 7344 module TrackPlayerModule method getDuration 7345 module TrackPlayerModule method getPosition 7346
**Environment (please complete the following information):**
API Levels: 28, 29, 30, 31
Build Tools: 28.0.3, 29.0.2, 31.0.0
Android NDK: Not Found
Android Studio: 4.2
import React, useState, useEffect, useContext from react
import BackArrow from .. .. assets icons back arrow BackArrow
import Download from .. .. assets icons download Download
import Slider from slider
import Delete from .. .. assets icons delete Delete
import useKeepAwake from expo-keep-awake
import Context from .. context TrackContext
import as FileSystem from expo-file-system
import TrackPlayer, from
import Toast from
SKIP TO NEXT,
SKIP TO PREVIOUS</t>
  </si>
  <si>
    <t>Krow10-Lab1-Calc-11</t>
  </si>
  <si>
    <t>App crash on dark theme</t>
  </si>
  <si>
    <t>When user switches to dark theme (from system ui), app crashes on launch.</t>
  </si>
  <si>
    <t>2021-09-16</t>
  </si>
  <si>
    <t>mI-PIV-app-148</t>
  </si>
  <si>
    <t>Vector color picker crashing app</t>
  </si>
  <si>
    <t>hzi-braunschweig-SORMAS-Project-6726</t>
  </si>
  <si>
    <t>[Android App] Adding an immunization for a Contact will crash the app</t>
  </si>
  <si>
    <t>### Steps to Reproduce
1. Create new Contact on the mobile app
2. Edit the contact and try adding new immunization
### Expected Behavior
The user is able to add new immunization for contact on the android app
### Actual Behavior
The app crashes and brings the user to the PIN screen
### System Details
&lt;!-- Mandatory you only have to specify the Server URL if the error appeared on publicly available test server --&gt;
Device: Oneplus Nord
SORMAS version: 1.64.0-snapshoot
Android version Browser:
User Role: SurvOff
### Additional Information
&lt;!-- Optional --&gt;</t>
  </si>
  <si>
    <t>opensrp-opensrp-client-path-zeir-209</t>
  </si>
  <si>
    <t>Advanced search crashing the app</t>
  </si>
  <si>
    <t>Trying to search for child using any of the parameters force closes the app.</t>
  </si>
  <si>
    <t>google-ExoPlayer-9436</t>
  </si>
  <si>
    <t>NPE in 'android.media.session.ISession.getController()'</t>
  </si>
  <si>
    <t>ve noticed this log in my crashlytics:
When trying create Audio notification style within my AudioService (an Android Service which plays audio files).
building that notification in this way:
MediaSessionCompat mediaSession new name))
not being able to replicate it because in every test do can play audios and notification is visible (and AudioService has been created successfully).
What wrong in my code? What is the right way to prevent this and play audios within Services in versions above API 21?
Thanks in advance!
ExoPlayer version number 2.9.6
Android version 11
Android device 50% samsung devices</t>
  </si>
  <si>
    <t>Anuken-Mindustry-6005</t>
  </si>
  <si>
    <t>I don't know why, I don't know how.</t>
  </si>
  <si>
    <t>Template is gone due to the fact that this crash log was sent to me without any information myself. cannot provide save file.
Apparently leaving SolidPump attribute field as null crashes the game.
My best guess is the person placed the block(which is Exotic Energia Borer) or loaded it in save that don have, and the game crashed.
If you remove the line above without reading it properly and understanding what it means, will reap your soul. Even if you re playing on someone server, you can still save the game to slot.
understand but can provide one
unidentified flying crash log (https: github.com Anuken Mindustry files 7173735 crash-report-09 16 2021 06 49 09.txt)
If you need save or solid means of reproduction, notify me and ll try to reproduce it myself.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</si>
  <si>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2021-09-15</t>
  </si>
  <si>
    <t>PojavLauncherTeam-PojavLauncher-2036</t>
  </si>
  <si>
    <t>Entrar no mundo e crashar</t>
  </si>
  <si>
    <t>### Describe the bug
Toda vez que eu entro num mundo meu jogo crasha pfv resolvam esse erro meu celular Android 11 sansung a01
### The log file and images videos
### Steps To Reproduce
In cio um mundo jogo fecha
### Expected Behavior
Espero que resolvam isso grato:)
Device model: a01
CPU architecture: octa core
PojavLauncher version: mais recente
### Anything else?</t>
  </si>
  <si>
    <t>2021-09-14</t>
  </si>
  <si>
    <t>aws-amplify-aws-sdk-android-2635</t>
  </si>
  <si>
    <t>[s3] java.lang.NullPointerException - TransferNetworkConnectionType.isConnected</t>
  </si>
  <si>
    <t>**Describe the bug**
Some users are getting this crash:
It started to happen after upgraded version 2.26.0 to 2.29.0
The issue happened in Android 7, Android 10, and Android 11 (I could not reproduce, checking the crash reports).
Multiple brands, (Samsung, oppo, Huawei)</t>
  </si>
  <si>
    <t>PojavLauncherTeam-PojavLauncher-2033</t>
  </si>
  <si>
    <t>### Describe the bug
You can have fashion when do fashion, it crashes me
### The log file and images videos
### Steps To Reproduce
have installed the mod. turned on the pojav launcher and chose the option and install resources, chose the file and it kicked me
### Expected Behavior
expected it to work and everything would turn out well
Device model: oppo a53
CPU architecture: Qualcomm SM4250 miordzeniowy
Android version: 11
PojavLauncher version: crocus-v3 openjdk
### Anything else?</t>
  </si>
  <si>
    <t>iZettle-sdk-android-39</t>
  </si>
  <si>
    <t>java.lang.IllegalStateException when CardPaymentActivity invokes setRequestedOrientation() in release-1.14.15</t>
  </si>
  <si>
    <t>Crash with stack:
Steps to Reproduce
We can reproduce, the crashes come from Google Play Console reports, but suspect it is this issue:
User is running
Huawei HUAWEI MediaPad T3 10
Android 8.0 (SDK 26)
## Failure Logs</t>
  </si>
  <si>
    <t>nextcloud-android-8977</t>
  </si>
  <si>
    <t>Nextcloud Android Client crashes when loading folder list on fresh installation</t>
  </si>
  <si>
    <t>### Steps to reproduce
1. Install Nextcloud Android Client
2. Navigate to folder that has subfolder, each having lots of nested files (some gigabytes of data if it matters).
3. Nextcloud client shows the loading indicator.
### Expected behaviour
It should not crash.
### Actual behaviour
Android client crashed.
### Can you reproduce this problem on https: try.nextcloud.com?
### Environment data
************ APP INFORMATION ************
Build flavor: gplay
************ DEVICE INFORMATION ************
************ FIRMWARE ************
Nextcloud server version:
There are no errors in the server logs.
#### Nextcloud log (data nextcloud.log)
************ CAUSE OF ERROR ************
************ APP INFORMATION ************
Build flavor: gplay</t>
  </si>
  <si>
    <t>2021-09-13</t>
  </si>
  <si>
    <t>k9mail-k-9-5665</t>
  </si>
  <si>
    <t xml:space="preserve">App crashing in Split-Screen (5.900) </t>
  </si>
  <si>
    <t>**Describe the bug**
K-9 is crashing with activated Split-Screen.
Activate always use Split-Screen and K-9 is crashing while starting. Activate Split-Screen for landscape and K-9 is crashing if device ist put in landscape mode.
K-9 Mail version: 5.900
Android version: and 10
Device: Huawei Mate 20 Pro, Huawei Tablet</t>
  </si>
  <si>
    <t>PojavLauncherTeam-PojavLauncher-2026</t>
  </si>
  <si>
    <t>CALL OF DUTY MODERN WARFARE MOD crashing on all versions can this be resolved?</t>
  </si>
  <si>
    <t>### Describe the bug
Application exited with code -1
### The log file and images videos
### Steps To Reproduce
don really know what this area is but just go into forge 1.8.9 go into my world and try to use the mod and the launcher crasha (I can describe this area)
### Expected Behavior
(this video is not mine)
Device model: Moto g8 power 64G
CPU architecture: aarch64
Android version: 11
PojavLauncher version: crocus-v3 opengjdk
### Anything else?</t>
  </si>
  <si>
    <t>PojavLauncherTeam-PojavLauncher-2024</t>
  </si>
  <si>
    <t>[BUG] pojavlaucher crash com mais de 300 MB de ram</t>
  </si>
  <si>
    <t>### Describe the bug
Pojavlaucher crash quando coloco mais de 300 MB de ram mais meu celular tem 1G liberado
Meu celular 32 bits
Espero que resolvam esse bug pfvr
### The log file and images videos
### Steps To Reproduce
Entro no pojavlaucher coloco 400 MB de ram (meu celular aguenta) entro na vers pojavlaucher crasha
### Expected Behavior
Espero que eu consiga jogar com mais de 300 MB de ram
### Anything else?</t>
  </si>
  <si>
    <t>AlphaWallet-alpha-wallet-android-2014</t>
  </si>
  <si>
    <t>App crashes when you hit "Request Payment"</t>
  </si>
  <si>
    <t>When you go to My Wallet Address and hit the top-right icon for Request Payment the app crashes.</t>
  </si>
  <si>
    <t>amplitude-Amplitude-Android-299</t>
  </si>
  <si>
    <t>EventExplorerInfoActivity crash</t>
  </si>
  <si>
    <t>&lt;!--- Please fill out the template to the best of your ability --&gt;
## Expected Behavior
## Current Behavior
There is crash when click in the Bubble to open
## Possible Solution
seems that the is not added in the manifest, from amplitud manually added to my project but this should be in the amplitude manifest
## Steps to Reproduce
1. install sdk
3. click in the bubble
SDK Version: 2.32.1
Android API Level: android 12 RC
Device: Pixel 3XL</t>
  </si>
  <si>
    <t>Krow10-Lab1-Calc-7</t>
  </si>
  <si>
    <t>App crash when entering invalid input</t>
  </si>
  <si>
    <t>## Device Samsung Galaxy S20 FE Android 11.0
Enter input so as to show the result in scientific notation (with the *e*).
Tap the button.
#### Expected result
Result moves as new input.
#### Actual result</t>
  </si>
  <si>
    <t>MuntashirAkon-AppManager-577</t>
  </si>
  <si>
    <t>Crashed while force stopping Gardine app, while on split view</t>
  </si>
  <si>
    <t>know what my device, OS and App Manager versions are
know how to take logs
know how to reproduce the issue which may not be specific to my device
**Describe the bug**
Crashed while force stopping Gardine (https: github.com yauhen-l gardine) app from AM. Gardine is an Accessibility app (plus Display over other apps), probably something related to that? IDK
It crashes every time (if reproduce the same behaviour), not just one-time crash.
1. while on Gardine app home screen click on the device split view
2. open AM on another split part, go to Gardine app try to force stop it
It should stop Gardine app as usual it does stopped Gardine but AM crashed at the same time...
App version: 2.6.3
App version code: 392
Android build version: 8704X S001025 190606 ROW
Android release version: 8.1.0
Android SDK version: 27
Android build ID: TB-8704X S001025 190606 ROW
Device brand: Lenovo
Device manufacturer: LENOVO
Device name: TB-8704X
Device model: Lenovo TB-8704X
Device product name: TB-8704X</t>
  </si>
  <si>
    <t>2021-09-12</t>
  </si>
  <si>
    <t>material-components-material-components-android-2370</t>
  </si>
  <si>
    <t>[TextView &amp; AppBarLayout (maybe more)] Material3 crash with light theme</t>
  </si>
  <si>
    <t>Using theme with as parent, my app crashes when running light theme. The dark theme works fine. Here are parts of the stack trace regarding the AppBarLayout:
Caused by: Failed to resolve attribute at index 13: TypedValue 0x2 0x7f0300f1 10
If take out the AppBarLayout from the project, the app simply crashes on the next TextView:
Caused by: Failed to resolve attribute at index 6: TypedValue 0x2 0x101009b
It looks like there is an attribute somewhere, that only exists in the light theme, which both TextView and AppBarLayout use, that can be read or found somehow.
There shouldn be crash.
My app does use ViewBinding if that could be the cause of the issue. Other than that use simple AppBarLayout:
layout layout activity settings toolbar content
My main theme is based on with the parent theme being replaced with
**Android API version:** 31
**Material Library version:** 1.5.0-alpha03</t>
  </si>
  <si>
    <t>VishnuSanal-DialogMusicPlayer-1</t>
  </si>
  <si>
    <t>App crashed while opening a .mp3 file</t>
  </si>
  <si>
    <t>FATAL EXCEPTION: Timer-0
FATAL EXCEPTION: main</t>
  </si>
  <si>
    <t>PojavLauncherTeam-PojavLauncher-2020</t>
  </si>
  <si>
    <t xml:space="preserve">[BUG] with Vics modern warfare mod </t>
  </si>
  <si>
    <t>### Describe the bug
Loading into mojang screen then it crashes
### The log file and images videos
### Steps To Reproduce
2.loading into the mojang screen then it crashes
### Expected Behavior
expect it wouldn crash
Device model:Huawei Matepad T8
CPU architecture: aarch 32
Android version: 10
PojavLauncher version: latest vgpu tests
### Anything else?</t>
  </si>
  <si>
    <t>george2209-PlanesAndShips-8</t>
  </si>
  <si>
    <t>Load the OBJ files inside the OpenGL Context.</t>
  </si>
  <si>
    <t>the issue is that the OBJ canvans are created outside the OpenGL context.
We need to implement loader that still runs in the background however once the thread is done it will trigger the creating of the OpenGL context.
1. Load an OBJ file and look for:
Draw method running
No App crash because of OBJs loaded outside the context.
Definition of DONE:
1. All OBJs are succesfuly loaded
2. The OBJs are initialized inside the OpenGL context life span.</t>
  </si>
  <si>
    <t>getsentry-sentry-java-1711</t>
  </si>
  <si>
    <t>Android SDK crashes on Unity player</t>
  </si>
  <si>
    <t>While trying to add the Android SDK to the Unity SDK through https: github.com getsentry sentry-unity pull 307:
Building from main branch, with the SDK added but no DSN given, the app fails to launch with:</t>
  </si>
  <si>
    <t>2021-09-11</t>
  </si>
  <si>
    <t>capacitor-community-google-maps-98</t>
  </si>
  <si>
    <t>Android SetCamera Crash</t>
  </si>
  <si>
    <t>**Describe the bug**
The android app crash after calling setCamera</t>
  </si>
  <si>
    <t>nextcloud-android-8963</t>
  </si>
  <si>
    <t>Nextcloud App crashes when opening side menu</t>
  </si>
  <si>
    <t>### Steps to reproduce
1. Completely reset and restart and login into the nextcloud app
2. Open the left side menu the first time (works fine)
3. Opening the side menu the second time leads to the crash even with killing and restarting the app
### Expected behaviour
the side menu should appear
### Actual behaviour
the app shows the error log
### Can you reproduce this problem on https: try.nextcloud.com?
problem doesn appear with demo account but also not able to add some external links to the menu bar there, because have no rights to change settings for the external link app
further information: with the previous version of the app the problem didn not occur the server configuration did not change
one assumption: ve got some external links configured on the server -&gt; maybe this leads to too small side menu in the app to fit all of them?
### Environment data
Android version: see log below
Device model: see log below
Stock or customized system: stock
Nextcloud app version: see log below
Nextcloud server version: latest stable release (afaik 21.0.3)
#### Web server error log
Insert your webserver log here</t>
  </si>
  <si>
    <t>2021-09-10</t>
  </si>
  <si>
    <t>Krow10-Lab1-Calc-1</t>
  </si>
  <si>
    <t>App crash on exception when launched from a real device</t>
  </si>
  <si>
    <t>## Device Samsung Galaxy S20 FE Android 11.0
Build signed apk from project.
Copy *.apk* file to phone and install.
Run app and try to provoke exception (division by zero, invalid expression, ...)
#### Expected result
#### Actual result</t>
  </si>
  <si>
    <t>PojavLauncherTeam-PojavLauncher-2004</t>
  </si>
  <si>
    <t>### Describe the bug
Hello, would like to report such problem that am kicked out of the game and did not do it before, think it is due to the fact that updated android to 11 and had 10 before before that, Minecraft worked very well until updated to Android 11 Now it even can move to do anything in Minecraft
### The log file and images videos
### Steps To Reproduce
cannot find the error
### Expected Behavior
the game starts normally but when in the world it crashes me
Device model: oppo a53
CPU architecture: Qualcomm SM4250 miordzeniowy
Android version: 11
PojavLauncher version crocus-v3 openjdk
### Anything else?</t>
  </si>
  <si>
    <t>2021-09-09</t>
  </si>
  <si>
    <t>norkator-apcupsd-monitor-53</t>
  </si>
  <si>
    <t>Wrong IPM UPS name leads to crash</t>
  </si>
  <si>
    <t>nextcloud-android-8959</t>
  </si>
  <si>
    <t>Nextcloud crashed</t>
  </si>
  <si>
    <t>************ CAUSE OF ERROR ************
************ APP INFORMATION ************
Build flavor: generic
************ DEVICE INFORMATION ************
************ FIRMWARE ************</t>
  </si>
  <si>
    <t>Anuken-Mindustry-5961</t>
  </si>
  <si>
    <t>แตะคลิปเพื่อวางในช่องข้อความ</t>
  </si>
  <si>
    <t>2021-09-08</t>
  </si>
  <si>
    <t>google-ExoPlayer-9407</t>
  </si>
  <si>
    <t>Crash in Android 7 lenovo devices, while releasing the player</t>
  </si>
  <si>
    <t>App is crashing while releasing the player,
Device Android Lenevo devices
Version of library consumed in the app 2.14.1
Below is the crash report captured by Firebase,</t>
  </si>
  <si>
    <t>nextcloud-android-8957</t>
  </si>
  <si>
    <t>app crashes if trying to remove all data after removing local directory</t>
  </si>
  <si>
    <t>### Steps to reproduce
1. Use file manager to delete the local nextcloud folder
2. Go to app settings (in android, not in app)
3. Click on remove cache and then remove all data, and confirm
### Expected behaviour
all data is wiped
### Actual behaviour
#### Nextcloud log (data nextcloud.log)
************ CAUSE OF ERROR ************
************ APP INFORMATION ************
Build flavor: gplay
************ DEVICE INFORMATION ************
************ FIRMWARE ************</t>
  </si>
  <si>
    <t>Anuken-Mindustry-5958</t>
  </si>
  <si>
    <t>Inexplicable interpolation crashes</t>
  </si>
  <si>
    <t>**Steps to reproduce**: *Kill Fearless.*
**Link(s) to mod(s) used**:
exotic free no virus (https: github.com Anuken Mindustry files 7125697
***THIS SPECIFIC MOD FILE IS REQUIRED.***
If you remove the line above without reading it properly and understanding what it means, will reap your soul. Even if you re playing on someone server, you can still save the game to slot.
**(Crash) logs**: crash 1631072499238.txt (https: github.com Anuken Mindustry files 7125714 crash 1631072499238.txt)*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</si>
  <si>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Anuken-Mindustry-5955</t>
  </si>
  <si>
    <t>Turrets suddenly stopped shooting despite having ammo</t>
  </si>
  <si>
    <t>Steps to recreate: don know how to deliberately cause this, just go into game and put some turrets down, then wait
Mod links: https: github.com QmelZ hackustry, https: github.com Sharlottes UnitInfo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</si>
  <si>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2021-09-07</t>
  </si>
  <si>
    <t>opensensorhub-osh-android-30</t>
  </si>
  <si>
    <t>App crashes on multi-camera phones</t>
  </si>
  <si>
    <t>MuntashirAkon-AppManager-574</t>
  </si>
  <si>
    <t>Crashed while uninstalling Spotify app through AM</t>
  </si>
  <si>
    <t>know what my device, OS and App Manager versions are
know how to take logs
know how to reproduce the issue which may not be specific to my device
**Describe the bug**
Crashed while uninstalling Spotify through AM. guess it is something related to split apks or storage (my internal storage was almost full when uninstalled Spotify app)
Just go to App Info then click on Uninstall.
It should uninstall Spotify app normally it does uninstalled it. But AM crashed at the same time.
App version: 2.6.3 (F-Droid version)
App version code: 392
Android build version: 8704X S001025 190606 ROW
Android release version: 8.1.0
Android SDK version: 27
Android build ID: TB-8704X S001025 190606 ROW
Device brand: Lenovo
Device manufacturer: LENOVO
Device name: TB-8704X
Device model: Lenovo TB-8704X
Device product name: TB-8704X
Device hardware name: qcom
ABIs (32bit): armeabi-v7a, armeabi</t>
  </si>
  <si>
    <t>OpenTracksApp-OpenTracks-942</t>
  </si>
  <si>
    <t>Android12: request BLE scan permission before scanning in SettingsActivity</t>
  </si>
  <si>
    <t>Fun question: did you also test with BLE devices?
don have any devices to connect to, but noticed that the app does not ask for the BLUETOOTH SCAN permission. It crashes here https: github.com OpenTracksApp OpenTracks blob main src main java de dennisguse opentracks settings bluetooth if you don manually give permission in the settings.
Originally posted by timoschwarzer in https: github.com OpenTracksApp OpenTracks pull</t>
  </si>
  <si>
    <t>capacitor-community-google-maps-97</t>
  </si>
  <si>
    <t>Error in Android Device</t>
  </si>
  <si>
    <t>**Describe the bug**
The app crashes in Android when it goes to background and is opened multiple times. found this error Android Native
Steps to reproduce the behavior:
1. Put Background
2. Open App
3. Do 1, multiple times</t>
  </si>
  <si>
    <t>RelymeApp-RelymeAndroid-1</t>
  </si>
  <si>
    <t>BaseFragment Issue</t>
  </si>
  <si>
    <t>Application crashes on launch :sad momen:</t>
  </si>
  <si>
    <t>nextcloud-android-8951</t>
  </si>
  <si>
    <t>Crash while picking data for upload</t>
  </si>
  <si>
    <t>### Steps to reproduce
1. Press the SD card icon
2. Pick Camera folder
3. Push top left icon (arrow backwards) to cancel
4. Push cancel button next to upload because 3. didn work
5. Repeat 3. and 4. until it crashes
### Expected behaviour
it should go back to file listing
### Actual behaviour
### Can you reproduce this problem on https: try.nextcloud.com?
It an app bug not nextcloud bug
### Environment data
Stock or customized system:
Nextcloud app version:
Nextcloud server version:
************ CAUSE OF ERROR ************
************ APP INFORMATION ************
Build flavor: gplay
************ DEVICE INFORMATION ************
************ FIRMWARE ************</t>
  </si>
  <si>
    <t>TeamNewPipe-NewPipe-7068</t>
  </si>
  <si>
    <t>Fixed restarting not working properly</t>
  </si>
  <si>
    <t>#### What is it?
Bugfix (user facing)
Feature (user facing)
Codebase improvement (dev facing)
Meta improvement to the project (dev facing)
#### Description of the changes in your PR
The current method https: github.com TeamNewPipe NewPipe blob app src main java org schabi newpipe util doesn seem to work as expected. It fails to restart the app completely which causes invalid states when e.g. migrating the database and results in an appcrash.
#### Before After Screenshots Screen Record
Also note that it migrates the settings after the app crashes as seen in the log
#### APK testing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</si>
  <si>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2021-09-06</t>
  </si>
  <si>
    <t>google-ExoPlayer-9392</t>
  </si>
  <si>
    <t>IllegalStateException when releasing DefaultDrmSession</t>
  </si>
  <si>
    <t>We are seeing weird crash (on Firebase Crashlytics) after bumping to **2.14.2** (from 2.13.2) with the following stacktrace:
We haven been able to reproduce it locally.
The incidence is low, few out of 25K day and not device specific, happening across all brands. Although Huawei devices have 40% of the share.
We use Dash with Widevine encryption.
thought this issue was related: https: github.com google ExoPlayer issues 9193 but it might be is not.
We ll update the status in the upcoming weeks once we move to 2.15.0.</t>
  </si>
  <si>
    <t>muxinc-mux-stats-sdk-exoplayer-152</t>
  </si>
  <si>
    <t>ConcurrentModificationException when calling updateCustomerData</t>
  </si>
  <si>
    <t>Mux library version: 2.5.2 for Exoplayer 2.14.1+
There have been some reports of crash when attempting to update the video data. The application will crash with an error:
This happens when calling:
realise this version of updateCustomerData call has recently been deprecated. We will probably switch to use the new approach, but it be good to fix this problem, or at least verify it won happen with data)
Note that it probably won be possible to switch to the new call as long as this issue isn fixed: https: github.com muxinc issues 137</t>
  </si>
  <si>
    <t>PojavLauncherTeam-PojavLauncher-1988</t>
  </si>
  <si>
    <t>I can't create Minecraft worlds, can't play online , Can't play forge Minecraft and Minecraft fabric</t>
  </si>
  <si>
    <t>### Describe the bug
entered the game version 1.8.9 and went into multiplayer mode, but the game crashed And so is the survival mode
Forge and fabric While in the game, it crashed
### The log file and images videos
### Steps To Reproduce
2Enter the game with version 1.8.9
3Create Minecraft World
4Flashed out Pojavlauncher screen
### Expected Behavior
Mong nh ph tri tr
Device model: Oppo A37f
CPU architecture: aarch64
Android version: 5.1.1
PojavLauncher version: crocus-3 opejdk
### Anything else?</t>
  </si>
  <si>
    <t>Anuken-Mindustry-5944</t>
  </si>
  <si>
    <t>Inactive sector defense calculations do not match outcome when active</t>
  </si>
  <si>
    <t>In my save game, have lost both the Nuclear Production Complex and the Impact 0078 to the enemy repeatedly while concentrating on other sectors. In both cases had reached wave 200 without any issues, but lost them while being away at much earlier waves (e.g. wave 135). So the calculations seem to be grossly underestimating my defensive power.
This isn game breaking, but can be really annoying when having multiple sectors under attack, as you have to keep cycling which sector you play actively.
**Steps to reproduce**: In my save file, the Impact 0078 is in state where it should fall with the next set of waves (might take longer, hard to say), but would hold if viewed actively.
**Link(s) to mod(s) used**: This is vanilla save.
**(Crash) logs**: No crash.
**I have updated to the latest release (https: github.com Anuken Mindustry releases) to make sure my issue has not been fixed.**
**I have searched the closed and open issues to make sure that this problem has not already been reported.**</t>
  </si>
  <si>
    <t>2021-09-05</t>
  </si>
  <si>
    <t>Anuken-Mindustry-5941</t>
  </si>
  <si>
    <t>Server wont start</t>
  </si>
  <si>
    <t>get this error: java -jar server.jar
**Steps to reproduce**: *How you happened across the issue, and what exactly you did to make the bug happen.*
ran java -jar server.jar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Save file (https: drive.google.com file 1reT view?usp drivesdk)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See **Issues** section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</si>
  <si>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PojavLauncherTeam-PojavLauncher-1984</t>
  </si>
  <si>
    <t>[BUG] The application / game crashed with code 1 when launching the Lunar Client</t>
  </si>
  <si>
    <t>### Describe the bug
When launching the Lunar Client on new assembly of PojavLauncher, the game crashes with the inscription The application game crashed with code (sorry if there is mistake somewhere, don speak English myself
### The log file and images videos
--------- beggining with launcher debug
Added custom env: TMPDIR data user cache
Added custom env: AWTSTUB WIDTH 2400
Added custom env: REGAL GL VERSION 4.5
Added custom env: REGAL GL VENDOR Android
Added custom env: LIBGL MIPMAP
Added custom env: allow higher compat version true
Added custom env: MESA GLSL CACHE DIR data user cache
Added custom env: force glsl extensions warn true
Added custom env: LIBGL NORMALIZE
Added custom env: POJAV RENDERER opengles3 vgpu
Added custom env: LIBGL ES vgpu
Added custom env: MESA LOADER DRIVER OVERRIDE zink
Added custom env: MESA GLSL VERSION OVERRIDE 460
Added custom env: JAVA HOME data user runtimes
Added custom env: MESA GL VERSION OVERRIDE 4.6
Added custom env: allow glsl extension directive midshader true</t>
  </si>
  <si>
    <t>leandrosimoes-react-native-android-notification-listener-27</t>
  </si>
  <si>
    <t>Context.startForegroundService() did not then call Service.startForeground()</t>
  </si>
  <si>
    <t>was checking reports from google crashes and ANR so found my app is crashing because of this issue.
Can you explain me why my app is crashing with this and what will be the solution?</t>
  </si>
  <si>
    <t>PojavLauncherTeam-PojavLauncher-1977</t>
  </si>
  <si>
    <t>[BUG] Restarting pojavlauncher may reset control map</t>
  </si>
  <si>
    <t>### Describe the bug
spent lot of time editing control map,but found restarting pojavlauncher may reset control map
### The log file and images videos
### Steps To Reproduce
2.Edit control map
3.Restart pojavlauncher or make crash
4.Try step multiple times
5.The control map reset by itself !!!
### Expected Behavior
expect the control map won be reset
Device model: HUAWEI MatePad 10.4 128G
CPU architecture: aarch64
Android version: 10
PojavLauncher version: Latest Release
### Anything else?</t>
  </si>
  <si>
    <t>cgeo-cgeo-11628</t>
  </si>
  <si>
    <t>Cannot read bookmark list</t>
  </si>
  <si>
    <t>### Describe your problem!
single user has problem, that he (PM) can not access the bookmark lists but gets an error toast, that it can be read.
asked for debug log.
With activated debug logging the app crashes when trying to open the List PQ menu.
### How to reproduce?
Main menu Open Lists Pocket-Queries overview
### Actual result after these steps?
Error toast cannot read bookmark list
### Expected result after these steps?
Bookmark lists shown
### c:geo Version
### System information
### Additional Information
cannot reproduce and it also works for the users partner (on another account) with same device.
Seems to be account specific. Date format?</t>
  </si>
  <si>
    <t>2021-09-04</t>
  </si>
  <si>
    <t>nextcloud-android-8938</t>
  </si>
  <si>
    <t>App crashes when hit full screen</t>
  </si>
  <si>
    <t>### Steps to reproduce
1. Play the music
2. App crashes when hit full screen
### Expected behaviour
Tell us what should happen
App doesn flash back
### Actual behaviour
Tell us what happens
100% App crashes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The latest version of the app released
Nextcloud server version:
#### Web server error log
Insert your webserver log here</t>
  </si>
  <si>
    <t>Benji377-SocyMusic-189</t>
  </si>
  <si>
    <t>App stuck at loading screen on Android 11</t>
  </si>
  <si>
    <t>**Describe the bug**
App doesn properly start on Android 11 Oxygen OS. It gets to blank screen and just nothing happens. The app strangely doesn even crash
The app should always start. think there is component we use in the app which is not supported in Android 11 and therefore prevents the app from starting.
The good guy over at Reddit that reported the issue was so kind to upload the image to Imgur (https: imgur.com B2WrjPW)
am planning to add setting in the app to activate debug mode which would write everything the app does in log files. We could also make this option active by default so that even if the app fails to start or users are unable to get to the settings it we could ask them to send us the logs and figure out issues more easily.</t>
  </si>
  <si>
    <t>nextcloud-android-8937</t>
  </si>
  <si>
    <t>Play mp3 crash</t>
  </si>
  <si>
    <t>### Steps to reproduce
1. Play mp3 and wait for phone sleep
### Expected behaviour
Tell us what should happen
Juat play the same song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t>
  </si>
  <si>
    <t>2021-09-03</t>
  </si>
  <si>
    <t>Azure-azure-sdk-for-android-862</t>
  </si>
  <si>
    <t>[BUG] Crash upon starting listening for real time chat events</t>
  </si>
  <si>
    <t>**Describe the bug**
To long Log tag on Android running API 25
***Exception or Stack Trace***
Add code snippet found below to your App and connect. Important bit is adding event handler to receive real time notification. Then just launch the App send some message to that user. That should create the crash believe.
App won crash will be able to listen to new messages.
If applicable, add screenshots to help explain your problem.
**Setup (please complete the following information):**
OS: Android 5.0, 6.0, 7.1.1
IDE Android Studio Arctic Fox 2020.3.1 Patch
Build built on August 7, 2021
Runtime version: amd64
Current Desktop: X-Cinnamon</t>
  </si>
  <si>
    <t>Benji377-SocyMusic-187</t>
  </si>
  <si>
    <t>Enabling the SD card in settings crashes SocyMusic</t>
  </si>
  <si>
    <t>My music all lives on the SD card. When go to SocyMusic Settings and enable searching the SD card for music, the app hangs, then crashes.
have almost 6,000 songs. Everything is organized in directories:
assume that how everyone stores their music, but maybe not.</t>
  </si>
  <si>
    <t>PojavLauncherTeam-PojavLauncher-1964</t>
  </si>
  <si>
    <t>[BUG] &lt;downloaded all versions crashed&gt;</t>
  </si>
  <si>
    <t>### Describe the bug
install pojavlauncher lastest build from action but if download 1.17,1.17.10(all version) keep crashing when start game
### The log file and images videos
### Steps To Reproduce
1.download versions with assets
2.start game and then crash and put me on main menu of pojavlauncher
### Expected Behavior
use artdeel update egl bridge.c from action build
Device model: samsung m21
CPU architecture: arrch 64
Android version: 11
PojavLauncher version: 3.3.1.1 dl-everything
### Anything else?
Plz fix this never experience this on old versions of pojav</t>
  </si>
  <si>
    <t>Anuken-Mindustry-5928</t>
  </si>
  <si>
    <t>Game insta dies when i capture zone 142 in 130.1</t>
  </si>
  <si>
    <t>**Steps to reproduce**: *try to capture sector 142 on my save and it will crash
**Link(s) to mod(s) used**: *extra utilities mod,heavy armament industries,
ReVision,unit information,vanilla enchanced.
**Save file**: *https: drive.google.com file view?usp drivesdk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</si>
  <si>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myxor-WhoRules-14</t>
  </si>
  <si>
    <t xml:space="preserve">When no vasalls are configured the "vote" button should not be shown on the home screen </t>
  </si>
  <si>
    <t>Otherwise the app crashes on voting</t>
  </si>
  <si>
    <t>2021-09-02</t>
  </si>
  <si>
    <t>MuntashirAkon-AppManager-569</t>
  </si>
  <si>
    <t>When executing block component on an application, it keeps crashing.</t>
  </si>
  <si>
    <t>Your issue will be closed without warning if you don check at least two items.
know what my device, OS and App Manager versions are
know how to take logs
know how to reproduce the issue which may not be specific to my device
**Describe the bug**
clear and concise description of what the bug is.
Steps to reproduce the behaviour:
1. Go to ...
2. Click on ....
3. Scroll down to ....
4. See error
clear and concise description of what you expected to happen.
If applicable, add screenshots to help explain your problem.
If applicable, add crash logs to help us figure out the problem.
Device: e.g. One Plus Pro
OS Version: e.g. Android 10
App Manager Version: e.g. v2.5.13
Mode: root adb no-root
Add any other context about the problem here.
When executing block component on an application, it keeps crashing and does not display the component disable status correctly. At the same time, the related ifw and AM own conf files are fine.</t>
  </si>
  <si>
    <t>TeamNewPipe-NewPipe-7041</t>
  </si>
  <si>
    <t>(0.21.9) crash........again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</si>
  <si>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newpipe find any videos to download
2. Try to download it and newpipe will crashed
&lt;!-- If you can cause the bug to show up again reliably (and hence don have proper set of steps to give us), please still try to give as many details as possible on how you think you encountered the bug. --&gt;
### Actual behavior
&lt;!-- Tell us what happens with the steps given above. --&gt; app crash again.......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</si>
  <si>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nextcloud-android-8926</t>
  </si>
  <si>
    <t>App crashes when selecting 'Open With'</t>
  </si>
  <si>
    <t>### Steps to reproduce
1. App crashes when selecting three dots next to file and selecting Open With
### Expected behaviour
selection of apps should open to choose from.
### Actual behaviour
### Can you reproduce this problem on https: try.nextcloud.com?
Please create test demo account and see if this still happens there.
If yes, please open up bug report
If not, please verify server setup and ask for help on forum
### Environment data
Android version: 11 Grapheneos
Device model: Google Pixel
Stock or customized system:
Nextcloud app version:
#### Web server error log
************ CAUSE OF ERROR ************
************ APP INFORMATION ************
Build flavor: generic
************ DEVICE INFORMATION ************
************ FIRMWARE ************</t>
  </si>
  <si>
    <t>material-components-material-components-android-2352</t>
  </si>
  <si>
    <t>java.lang.ClassCastException: android.graphics.Rect cannot be cast to java.lang.Integer</t>
  </si>
  <si>
    <t>We are having crashes with following logs for one of our PlayStore apk as below:
We are not able to reproduce this issue in our dev environment
**Expected behavior:** No crash
we are using
But from logs we can see that the crash goes beyond the custom implementation &lt;there is no reference of our custom class&gt;
Had there been direct major issue in our implementation we could been able to see during our internal testing or in few of the multiple crashes. But as we don have any of its reference, using the above code,
**is there any probable solution for this issue that we can try at our end**
**Android API version:** versions 7, 9, 10, 11</t>
  </si>
  <si>
    <t>2021-09-01</t>
  </si>
  <si>
    <t>PojavLauncherTeam-PojavLauncher-1952</t>
  </si>
  <si>
    <t>1.17+optifine crash</t>
  </si>
  <si>
    <t>### Describe the bug
### The log file and images videos
### Steps To Reproduce
1open mod installer
2select optifine 1.17.1
3some logs and game exit
### Expected Behavior
expect to play Minecraft with optifine
Device model: Samsung galaxy m31
CPU architecture: aarch64
Android version: 11
PojavLauncher version: pojavlauncher openjdk
### Anything else?</t>
  </si>
  <si>
    <t>opensrp-opensrp-client-path-zeir-201</t>
  </si>
  <si>
    <t>App crashing at login</t>
  </si>
  <si>
    <t>v.2.0.3-prod(latest release) and v.2.0.2 prod (whats on playstore)
App crashing at log-in.</t>
  </si>
  <si>
    <t>LSPosed-LSPosed-1034</t>
  </si>
  <si>
    <t>[BUG] Magisk Manager with random package name crashes after installing LSPosed V1.5.2</t>
  </si>
  <si>
    <t>If you encountered boot loop, please make sure you have disabled all unrelated Xposed and Magisk modules before submit an issue
In any case, the title should be in English
** What happened?**
LSPosed V1.5.2 Magisk Manager Magisk Manager
Such as bootloop, module not loaded, etc
**Xposed Xposed Module List**
If module not working, please narrow down which specific module not working.
Mostly we can help with module-specific issue, please contact their author first.
**Magisk Magisk Module List**
** Related Logs**
Please capture log with debug version, otherwise it won help us locating the issue
Caused by: Attempt to invoke virtual method java.lang.Class on null object reference
... 11 more
Caused by: Attempt to invoke virtual method java.lang.Class on null object reference
... 11 more
Caused by: Attempt to invoke virtual method java.lang.Class on null object reference
... 11 more
Caused by: Attempt to invoke virtual method java.lang.Class on null object reference
... 11 more
Caused by: Attempt to invoke virtual method java.lang.Class on null object reference</t>
  </si>
  <si>
    <t>hzi-braunschweig-SORMAS-Project-6571</t>
  </si>
  <si>
    <t>[Actions] Error when sorting by Action date</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</si>
  <si>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On Action Directory page, when sorting the actions by action date, the system crashes and user gets an error message.
### Steps to Reproduce
&lt;!-- Optional please add more steps if necessary --&gt;
1. Go to Events.
2. Select Actions.
3. Sort by action date.
### Actual Behavior
The system crashes, user gets an error message.
### Expected Behavior
The actions are sorted by action date.
### System Details
&lt;!-- Mandatory you only have to specify the Server URL if the error appeared on publicly available test server --&gt;
Device: Windows 10
SORMAS version: 1.64.0-SNAPSHOT
Android version Browser: Chrome
Server URL: https: sormas-ui #!events ?userFilterIncluded true&amp;eventDateType EVENT DATE
User Role: NatUser
### Additional Information</t>
  </si>
  <si>
    <t>nextcloud-android-8920</t>
  </si>
  <si>
    <t>Nextcloud Android App can't connect, crashes afterwards</t>
  </si>
  <si>
    <t>### Steps to reproduce
************ CAUSE OF ERROR ************
Screenshot com nextcloud client (https: 89780012
Caused by: Receiver not registered: 689038e
... 13 more
************ APP INFORMATION ************
Build flavor: gplay
************ DEVICE INFORMATION ************
************ FIRMWARE ************
Screenshot com nextcloud client (https: 89780012
Screenshot com nextcloud client (https: 89780012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t>
  </si>
  <si>
    <t>2021-08-31</t>
  </si>
  <si>
    <t>TeamNewPipe-NewPipe-7034</t>
  </si>
  <si>
    <t>Android TV Playback Speed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</si>
  <si>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0.21.9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Open any video on Newpipe app on Android TV
2. Try to change playback speed
3. The app crashes with unrecoverable playback error
&lt;!-- If you can cause the bug to show up again reliably (and hence don have proper set of steps to give us), please still try to give as many details as possible on how you think you encountered the bug. --&gt;
### Actual behavior
&lt;!-- Tell us what happens with the steps given above. --&gt;
It always crashes with unrecoverable playback error
### Expected behavior</t>
  </si>
  <si>
    <t>nextcloud-android-8918</t>
  </si>
  <si>
    <t>App crash android 11</t>
  </si>
  <si>
    <t>### Steps to reproduce
1. Open app do what you want
2. Press back button for exit
3. Crash with log...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</si>
  <si>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hzi-braunschweig-SORMAS-Project-6553</t>
  </si>
  <si>
    <t>[Case Directory] Error when selecting Follow-up on Case Directory</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</si>
  <si>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On Case Directory page, when user selects Follow Up the system crashes and user gets an error message.
### Steps to Reproduce
&lt;!-- Optional please add more steps if necessary --&gt;
1. Go to Cases (Case Directory)
2. From the top of the page, select the Follow-up button.
### Actual Behavior
The system crashes, user gets an error message.
### Expected Behavior
The follow-ups of the cases appear listed.
### System Details
&lt;!-- Mandatory you only have to specify the Server URL if the error appeared on publicly available test server --&gt;
Device: Windows 10
SORMAS version: 1.64.0-SNAPSHOT
Android version Browser: Chrome
Server URL: https: sormas-ui #!cases DATE
User Role: NatUser
### Additional Information</t>
  </si>
  <si>
    <t>PojavLauncherTeam-PojavLauncher-1934</t>
  </si>
  <si>
    <t>[BUG] Flywheel crash</t>
  </si>
  <si>
    <t>### Describe the bug
wanted to play Minecraft with forge and create mod. Create mod requires flywheel and so put the create mod and flywheel jar into mods folder. When push the start button play Minecraft (1.16.5 forge mod) it didn crash but when it finished loading it crashed
### The log file and images videos
### Steps To Reproduce
1. Load PojavLauncher
2. Download the 1.16.5 Forge mod jar and install the mod
3. Download the 1.16.5 Create mod and the 1.16 flywheel mod and put the mods into the mods folder
4. Choose version as 1.16.5 Forge
5. Push start button
### Expected Behavior
expected it to not crash
Device model: Redmi 9a 32Gb
CPU architecture: aarch64
Android version: 10
PojavLauncher version: 3.3.1.1
### Anything else?</t>
  </si>
  <si>
    <t>2021-08-30</t>
  </si>
  <si>
    <t>PojavLauncherTeam-PojavLauncher-1933</t>
  </si>
  <si>
    <t>commons-app-apps-android-commons-4594</t>
  </si>
  <si>
    <t>If you click "deny and don't ask again", the app will crash</t>
  </si>
  <si>
    <t>If you click deny and don ask again the app will crash or flash all the time
**Steps to reproduce:**
1. Install and open commons
2. Skip the tutorial and log in
3. Click nearby
4. Click DENY
5. Click YES
6. Click DENY AND DON ASK AGAIN
**Device and Android version:**
Android version: Android 10.0
EMUI version: 11.0.0
**Commons app version:**
App version: 3.0.3
ezgif com-gif-maker (3) (https: 15941953</t>
  </si>
  <si>
    <t>TeamNewPipe-NewPipe-7021</t>
  </si>
  <si>
    <t>Newpipe can access storage without permission.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</si>
  <si>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am using the latest version 0.21.9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Deny storage permission for Newpipe
2. Open Newpipe and download any video
3. Starts download without asking for storage permission in pop-up notification
&lt;!-- If you can cause the bug to show up again reliably (and hence don have proper set of steps to give us), please still try to give as many details as possible on how you think you encountered the bug. --&gt;
### Actual behavior
deny Newpipe access to device storage permission but the app can still freely access and download videos and audio.
### Expected behavior
After pressing the download button pop-up notification to appear asking if want to give Newpipe storage permission.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</si>
  <si>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Anuken-Mindustry-5896</t>
  </si>
  <si>
    <t>Generation Blend's Ignore missing wall tiles.</t>
  </si>
  <si>
    <t>Blend generation settings all have wall tiles, *except* ignore.
**Steps to reproduce**: *How you happened across the issue, and what exactly you did to make the bug happen.*
Generation&gt;Add Blend&gt; Click Ignore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</si>
  <si>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2021-08-29</t>
  </si>
  <si>
    <t>nextcloud-android-8912</t>
  </si>
  <si>
    <t>Upload files</t>
  </si>
  <si>
    <t>### Steps to reproduce
1. Select upload files from the nextcloud menu
### Expected behaviour
Tell us what should happen
The app should open file explorer to select files to upload
### Actual behaviour
Tell us what happens
The app crashed and show the error message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No web server log
#### Nextcloud log (data nextcloud.log)
************ CAUSE OF ERROR ************</t>
  </si>
  <si>
    <t>jellyfin-jellyfin-androidtv-1118</t>
  </si>
  <si>
    <t>Fail to install on Sony KD-55X8000C , which runs Android 7</t>
  </si>
  <si>
    <t>**Describe the bug**
Installer crashes right after clicking on 0.12.0-beta.5 apk
&lt;!-- Steps to reproduce the behavior: --&gt;
1. Go to file manager
2. Click on
3. Installer crashes
v0.11.5 is OK, v0.12.0 (beta beta5) is NOT OK
Don know how to achieve install log, any ideas?
&lt;!-- If applicable, add screenshots to help explain your problem. --&gt;
**System (please complete the following information):**</t>
  </si>
  <si>
    <t>TeamNewPipe-NewPipe-7012</t>
  </si>
  <si>
    <t>0.21.9 crashes while Listening</t>
  </si>
  <si>
    <t>Newpipe 0.21.9 crashes while listening to music.
Don know if this is the same Wlan disconnect issue that posted here https: github.com TeamNewPipe NewPipe issues 5168 (https: github.com TeamNewPipe NewPipe issues 5168)
Device is Galaxy S4 GT-I9505 with Lineageos 18.1
After Crash Wlan is enabled but disconnected continuously</t>
  </si>
  <si>
    <t>PojavLauncherTeam-PojavLauncher-1920</t>
  </si>
  <si>
    <t>[BUG]  0828/140643.281656:ERROR:elf_dynamic_array_reader.h(61)</t>
  </si>
  <si>
    <t>### Describe the bug
When playing 1.7.10, it randomly crashes when loading into new world.
### The log file and images videos
### Steps To Reproduce
start Pojav Launcher
Load into world
### Expected Behavior
Expected for it to be fine
Device model: google pixel
CPU architecture: idk
Android version: 11.0
PojavLauncher version: newest
### Anything else?</t>
  </si>
  <si>
    <t>2021-08-28</t>
  </si>
  <si>
    <t>nextcloud-android-8910</t>
  </si>
  <si>
    <t>After authentication failure, nextcloud android app crashes without any way to recover the situation</t>
  </si>
  <si>
    <t>### Steps to reproduce
1. something goes wrong on the server side that makes connections time out or return 401
2. Try and sync using the android app
### Expected behaviour
Android app should error and present you with the new credentials screen, or retry prompt or similar?
### Actual behaviour
Android app crashes entirely
Reopening the app takes you back to the crash, there doesn seem to be any way to get back to working state from here.
### Can you reproduce this problem on https: try.nextcloud.com?
Not directly, however the client app probably shouldn ever crash without any form of recovery?
### Environment data
Stock or customized system: Lineageos stock
Nextcloud server version: 21.0.3
### Server Logs
Snippet from the server log showing some of the flows of 401 etc:
************ CAUSE OF ERROR ************
************ APP INFORMATION ************
Build flavor: generic
************ DEVICE INFORMATION ************
************ FIRMWARE ************</t>
  </si>
  <si>
    <t>MuntashirAkon-AppManager-566</t>
  </si>
  <si>
    <t>Crash when click on Instruction (WebView uninstalled)</t>
  </si>
  <si>
    <t>know what my device, OS and App Manager versions are
know how to take logs
know how to reproduce the issue which may not be specific to my device
**Describe the bug**
App crashes when go to instructions page (Android System WebView disabled)
Steps to reproduce the behaviour:
1. Uninstall Android System WebView app
2. Click on upper-right-cornor dot icon
3. Click on Instructions
know its sounds silly why would you disable WebView try to open Instructions page. But in my opinion it should say instruction page requires Android System WebView app plz enable update it or something instead of crashing
App version: 2.6.3
App version code: 392
Android build version: 8704X S001025 190606 ROW
Android release version: 8.1.0
Android SDK version: 27
Android build ID: TB-8704X S001025 190606 ROW
Device brand: Lenovo
Device manufacturer: LENOVO
Device name: TB-8704X
Device model: Lenovo TB-8704X</t>
  </si>
  <si>
    <t>PojavLauncherTeam-PojavLauncher-1914</t>
  </si>
  <si>
    <t>[BUG] editing controls crash the pojavlauncher</t>
  </si>
  <si>
    <t>### Describe the bug
Custom controls crash the pojavlauncher
### The log file and images videos
### Steps To Reproduce
1. Start the pojavlauncher
2.open custom controls then edit SEC.
### Expected Behavior
Device model: Galaxy-j2
CPU architecture: aarch32
Android version: 5.1.1
PojavLauncher version: v3.3.1.1 rel 3db1eec
### Anything else?</t>
  </si>
  <si>
    <t>PojavLauncherTeam-PojavLauncher-1913</t>
  </si>
  <si>
    <t>Crash PoJavLauncher</t>
  </si>
  <si>
    <t>when try to play my game crash</t>
  </si>
  <si>
    <t>2021-08-27</t>
  </si>
  <si>
    <t>cgeo-cgeo-11558</t>
  </si>
  <si>
    <t>c:geo crashing with SecurityException on opening cache details</t>
  </si>
  <si>
    <t>### Describe your problem!
From support email:
My cgeo crashes every time try to read cache details. Map shows position and when click on cache it comes up ok but when press More Details it seems to lose connection as it goes back to start and can see it saying logging on
Tried reinstalling no joy.
Logfile contains several errors like the following:
User claims that after putting new SD card into the phone the error vanished.
Anyway Does someone have an idea what happening here?
### How to reproduce?
in cache popup select more details
### Actual result after these steps?
crash, c:geo restarts (main screen, logging in)
### Expected result after these steps?
no crash, but cache details opening
### c:geo Version
### System information
## System information
Device type: SM-G950U (dreamqltesq, samsung)
Screen resolution: 1080x2076px (360x668dp)
Sailfish OS detected: false
Google Play services: enabled 21.26.21 (100408-387928701)</t>
  </si>
  <si>
    <t>deltachat-deltachat-android-2043</t>
  </si>
  <si>
    <t>Sluggish performance after opening connectivity view while no network available</t>
  </si>
  <si>
    <t>Fairphone FP2 (Lineage OS 18.1 build RQ3A.210705.001 from 2021-08-20).
Delta Chat version:
1.22.0 (nightly build from 2021-08-24).
No lags occur after opening connectivity view while no network available.
Lags occur after opening connectivity view while no network available. Response time makes the user believe that the app hangs has crashed.
Steps to reproduce the problem:
-- Disable WLAN and mobile data.
-- Open connectivity view in Delta Chat.
-- Try to go back. (Result: Delta Chat barely responds.)
-- Quota info displays One moment...</t>
  </si>
  <si>
    <t>2021-08-26</t>
  </si>
  <si>
    <t>LSPosed-LSPosed-1017</t>
  </si>
  <si>
    <t>[BUG] Scroll to bottom in Log fragment crashes after cleaning logs</t>
  </si>
  <si>
    <t>If you encountered boot loop, please make sure you have disabled all unrelated Xposed and Magisk modules before submit an issue
In any case, the title should be in English
** What happened?**
Scroll to bottom in Log fragment crashes after cleaning logs
Such as bootloop, module not loaded, etc
**Xposed Xposed Module List**
If module not working, please narrow down which specific module not working.
Mostly we can help with module-specific issue, please contact their author first.
**Magisk Magisk Module List**
** Related Logs**
Please capture log with debug version, otherwise it won help us locating the issue</t>
  </si>
  <si>
    <t>nextcloud-android-8902</t>
  </si>
  <si>
    <t>Nextcloud App Crashes</t>
  </si>
  <si>
    <t>### Steps to reproduce
1. Clicking the hamburger button
### Expected behaviour
Clicking the hamburger button should open option menu.
### Actual behaviour
The app crashes
### Can you reproduce this problem on https: try.nextcloud.com?
Please create test demo account and see if this still happens there.
If yes, please open up bug report
If not, please verify server setup and ask for help on forum
### Environment data
************ APP INFORMATION ************
Build flavor: gplay
************ DEVICE INFORMATION ************
************ FIRMWARE ************
#### Web server error log
Insert your webserver log here
#### Nextcloud log (data nextcloud.log)
************ CAUSE OF ERROR ************</t>
  </si>
  <si>
    <t>Anuken-Mindustry-5869</t>
  </si>
  <si>
    <t>Team identifier is wrong</t>
  </si>
  <si>
    <t>The team identifier is wrong.
The team of this block is on Sharded, but the game thinks the team of this block is on my team(Crux).
**Steps to reproduce**: *How you happened across the issue, and what exactly you did to make the bug happen.*
Create world, build sharded missile launcher, change your team to crux and click on the block.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It happens everywhere, ve tested it.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</si>
  <si>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nextcloud-android-8901</t>
  </si>
  <si>
    <t>Crash app</t>
  </si>
  <si>
    <t>### Steps to reproduce
1. Play media
2. Comeback to playing media sometimes later
3. The media won stop and nextcloud app crashes
### Expected behaviour
Tell us what should happen
### Actual behaviour
nextcloud app crashes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</si>
  <si>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TeamNewPipe-NewPipe-6983</t>
  </si>
  <si>
    <t>Can't Import/Export in anything above version 2.5</t>
  </si>
  <si>
    <t>this might be device specific issue but, whenever try to import, export or even change where my files are downloaded Newpipe crashes and gives me an error
ill attach the error report below
User Action: ui error
Request: ACRA report
Content Country: US
Content Language: en
App Language: en
OS: Linux Android 10 29
log b&gt;&lt; summary&gt;&lt;p&gt;
P.S. if you fix this issue then THX TON !!!
if not Then......
ALSO THX TON FOR MAKING NEWPIPE IN THE FIRST PLACE!!!</t>
  </si>
  <si>
    <t>TeamNewPipe-NewPipe-6977</t>
  </si>
  <si>
    <t>Android TV Unrecoverable Playback Error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</si>
  <si>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0.21.9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any video on sideloaded Newpipe app on android tv
2. Try to use the back button (return button) on TV remote
3. Crashes with unrecoverable playback error
&lt;!-- If you can cause the bug to show up again reliably (and hence don have proper set of steps to give us), please still try to give as many details as possible on how you think you encountered the bug. --&gt;
### Actual behavior
&lt;!-- Tell us what happens with the steps given above. --&gt;
It crashes with unrecoverable playback error
### Expected behavior
&lt;!-- Tell us what you expect to happen. --&gt;
It shouldn crash as it didn crash in 0.21.8
### Screenshots Screen recordings</t>
  </si>
  <si>
    <t>PojavLauncherTeam-PojavLauncher-1901</t>
  </si>
  <si>
    <t>No block outline</t>
  </si>
  <si>
    <t>### Describe the bug
There is no outline around any block so want outline around blocks
### The log file and images videos
--------- beggining with launcher debug
--------- beginning of crash
--------- beginning of main
Using GLES 2.0 backend
Using GLES 2.0 backend
Hardware Full NPOT detected and used
Extension GL EXT blend minmax detected and used
FBO are in core, and so used
PointSprite are in core, and so used
CubeMap are in core, and so used
BlendColor is in core, and so used
Blend Subtract is in core, and so used
Blend Function and Equation Separation is in core, and so used
Texture Mirrored Repeat is in core, and so used
Extension GL OES mapbuffer detected
Extension GL OES element index uint detected and used
Extension GL OES packed depth stencil detected and used</t>
  </si>
  <si>
    <t>2021-08-25</t>
  </si>
  <si>
    <t>Anuken-Mindustry-5857</t>
  </si>
  <si>
    <t>Broken Logic</t>
  </si>
  <si>
    <t>130+ happened in all.
The logic likes to break when switch sectors in the campaign. would have bots on turrets and leave to handle something else then when come back, the logic would be broken then flares would be either at the command center or connected to multiple logic projectors.
**Steps to reproduce**: *How you happened across the issue, and what exactly you did to make the bug happen.*
didn do anything to it but move sectors.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</si>
  <si>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Benji377-SocyMusic-170</t>
  </si>
  <si>
    <t>Recreation of the app makes it crash</t>
  </si>
  <si>
    <t>**Describe the bug**
As described in #169 noticed strange issue while changing themes. At first, thought it had something to do with the new class created and I, therefore, proceeded with inserting Timber.e( Error after every line that would print the values and data of the lines. did this to assure that everything was working and actually it did! It successfully initialized the new class, set the listener, and called it when the theme changed. But what happened afterward is strange thing. It looks like when the MainActivity gets recreated something gets initialized in the wrong state and therefore makes the app crash. Unfortunately in the Log, it doesn reference any line or file specifically. You can look at the error code below or reproduce it yourself and see if you can understand something from it.
1. Open the app and swipe or click on the settings tab.
2. Select the themes option and chose new theme.
3. App crashes as soon as the new theme is selected.
When new theme is selected the following happens:
1. The listener detects change in the theme
2. Inside the listener it checks if the key of the preference matches the one specified in the Application class
3. If that is the case, the recreate() method gets called. This assures that no restart of the app is needed to set the new theme but it gets set in real-time
4. As soon as the app starts again, the new theme gets set
Because of this bug, the fourth stage doesn get reached immediately, but the app crashes first. If you then reopen the app you will notice that the theme has been changed successfully.
Here is the error message, it can be achieved by simply changing the theme in the settings:</t>
  </si>
  <si>
    <t>2021-08-24</t>
  </si>
  <si>
    <t>nextcloud-android-8893</t>
  </si>
  <si>
    <t>Reoccuring app crash when opening app</t>
  </si>
  <si>
    <t>### Steps to reproduce
1. Open app
### Expected behaviour
It should show my files
### Actual behaviour
It shows an older file structure (old files that aren in my root folder anymore) and after few seconds crashes. also reset my app, deleted cache local files, same behaviour every time.
### Can you reproduce this problem on https: try.nextcloud.com?
Please create test demo account and see if this still happens there.
If yes, please open up bug report
If not, please verify server setup and ask for help on forum
### Environment data
*********** APP INFORMATION ************
Build flavor: gplay
*********** DEVICE INFORMATION ************
*********** FIRMWARE ************
Stock or customized system:
Running in nextcloud:apache docker instance.
Nextcloud server version:
traefik reverse proxy
#### Android App Error Log</t>
  </si>
  <si>
    <t>PojavLauncherTeam-PojavLauncher-1892</t>
  </si>
  <si>
    <t xml:space="preserve">[BUG] &lt;Login crashes&gt; </t>
  </si>
  <si>
    <t>### Describe the bug
game crash when trying to log in with saved accounts
### The log file and images videos
### Steps To Reproduce
1. Start PojavLauncher
2. Click on login
### Expected Behavior
Device model: Redmi S2
CPU architecture: arm64
Android version: 10
PojavLauncher version: latest build
### Anything else?</t>
  </si>
  <si>
    <t>PojavLauncherTeam-PojavLauncher-1889</t>
  </si>
  <si>
    <t xml:space="preserve">Loading screen Pojavalauncher launcher android fix bug </t>
  </si>
  <si>
    <t>### Describe the bug
The stuck loading of Minecraft java on Android can fix the loading screen when download mods and you will see the loading issue was stopped and crash again anything else why the nether update is slower loading when you download mods 1.16.5
### The log file and images videos
My photo picture on my YouTube channel
### Steps To Reproduce
1.start your pojavalauncher
2.you see the red screen
3.look at the white loading screen
4.now if you see the stuck loading go here
5.create world flat may fast loading
6.create world infinite now wait it until the loading
7.now is finished now download mods 1.16.5
8.after download mods 1.16.5 look at your stuck loading screen
### Expected Behavior
For more stuck loading on your pojavalauncher when installing mods subscribe to my channel
For pc are not stuck loading screen but in mobile java edition is crash again
Android version: 6245
PojavLauncher version:1.16.5 and 1.12.2 mods
### Anything else?
Anyone did you fix the screen of pojavalauncher</t>
  </si>
  <si>
    <t>Anuken-Mindustry-5850</t>
  </si>
  <si>
    <t>Android Version Number 130.1</t>
  </si>
  <si>
    <t>*103.1 mean 130.1*
You messed up 130.1 and made 103.1
**Steps to reproduce**: *How you happened across the issue, and what exactly you did to make the bug happen.*
Download on itch.io.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can t, cause there is no apk file there XD **I have updated to the latest release (https: github.com Anuken Mindustry releases) to make sure my issue has not been fixed.**
**I have searched the closed and open issues to make sure that this problem has not already been reported.**</t>
  </si>
  <si>
    <t>PojavLauncherTeam-PojavLauncher-1887</t>
  </si>
  <si>
    <t>[BUG] &lt;Game code 1 crashes, external mouse disappears&gt;</t>
  </si>
  <si>
    <t>### Describe the bug
Today opened the game and it crashed with code 1. didn do anything
have tried to download the resource again, but the result is the same. have downloaded it times, and have tried to delete options. txt but the result is the same
Looks like these bugs, it only exists in Android 11, not just me
### The log file and images videos
### Steps To Reproduce
Start PojavLauncher &gt;Start game In this way
### Expected Behavior
hope the developer team can fix it soon. really like playing PojavLauncher
Device model: IQOO z3 8+3 128G
CPU architecture: aarch64
Android version: 11
PojavLauncher version: openjdk
### Anything else?</t>
  </si>
  <si>
    <t>Anuken-Mindustry-5847</t>
  </si>
  <si>
    <t>The game crashes when trying to edit wave settings in level editor.</t>
  </si>
  <si>
    <t>**Steps to reproduce**:
*1. Open the level editor and create new level.
2. Open editor menu and then map information.
3. Try to edit the wave settings*
**Link(s) to mod(s) used**: *None*
**(Crash) logs**: *Crash report: (sorry, don know how to attach the file)
Mindustry has crashed. How unfortunate.
Report this at https: github.com Anuken Mindustry issues new?labels bug&amp;template bug report.md
Failed resolution of: Ljava util Comparator$-CC
ClassNotFound: Didn find class on path: DexPathList zip file data app FydVRDFK9S-kSQ base.apk data app FydVRDFK9S-kSQ lib arm64, data app FydVRDFK9S-kSQ base.apk! lib arm64-v8a, system lib64, system ext lib64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</si>
  <si>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2021-08-23</t>
  </si>
  <si>
    <t>PojavLauncherTeam-PojavLauncher-1886</t>
  </si>
  <si>
    <t>And again, problem with Create</t>
  </si>
  <si>
    <t>### Describe the bug
after launch minecraft crashes
### The log file and images videos
### Steps To Reproduce
1. Start PojavLauncher
2. Wait, before game Loads
3. Minecraft crashes
### Expected Behavior
expect game launch, but it not happen
Device model: Honor 8X
CPU architecture: aarch64
Android version: 10
PojavLauncher version: openjdk
### Anything else?</t>
  </si>
  <si>
    <t>ankidroid-Anki-Android-9442</t>
  </si>
  <si>
    <t>[Bug] CardTemplateEditor crash</t>
  </si>
  <si>
    <t>###### Reproduction Steps
The google auto-testing robots crashed in CardTemplateEditor as they spam-click-tested the latest release.
Some combination of field editing then touch field add button and boom
###### Expected Result
No crash ever
###### Actual Result
FATAL EXCEPTION: Thread-6
###### Debug info
Last alpha build
Not sure which PR did it there needs to be unit test that reproduces it, then you may git bisect based on that if the issue isn obvious, but the history is full of no one but Akshay0701 in the file recently so Akshay you are probably most familiar? https: github.com ankidroid Anki-Android commits master AnkiDroid src main java com ichi2 anki
*Enter an character to confirm the points below:*
have searched for similar existing issues here and on the user forum
(Optional) have confirmed the issue is not resolved in the latest alpha release instructions (https: docs.ankidroid.org</t>
  </si>
  <si>
    <t>Anuken-Mindustry-5838</t>
  </si>
  <si>
    <t>Crashing on launching to recently lost Fungal Pass</t>
  </si>
  <si>
    <t>**Steps to reproduce**:
Roughly as follows
1. Launch to Fungal Pass from Windswept Islands
2. Capture Fungal Pass
3. Launch to 210 (left side sector)
4. Win attacks on Fungal Pass
5. Lose attack on Fungal Pass
6. Launch from 210
7. Win back Fungal Pass
8. Lose Fungal Pass
9. Lose 210
10. Attempt to launch from Stained Mountains to Fungal Pass, causes crash.
11. After each crash, the resources are used.
**Link(s) to mod(s) used**: None.
**Save file**: export.zip https: drive.google.com drive folders 11HakQ5 Vi4nk-z0jD veR HDFyobtEfE?usp sharing (directly from export data)
**(Crash) logs**: crashes.txt in https: drive.google.com drive folders 11HakQ5 Vi4nk-z0jD veR HDFyobtEfE?usp sharing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</si>
  <si>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2021-08-22</t>
  </si>
  <si>
    <t>PojavLauncherTeam-PojavLauncher-1881</t>
  </si>
  <si>
    <t>[BUG] 1.17.1 crashes</t>
  </si>
  <si>
    <t>### Describe the bug
1.17.1 is crashing and saying Game Exited ve given it 2000 RAM and running on Samsung s20
### The log file and images videos
### Steps To Reproduce
1. Choose version 1.17
2. Press play
3. Black screen will appear and message saying Game exited will appear
4. No crash log
### Expected Behavior
expected the game to launch so can play on my server
Device model: Samsung Galaxy s20
Android version: 11
PojavLauncher version: Latest
### Anything else?</t>
  </si>
  <si>
    <t>hackslash-nitp-Messsy-Admin-52</t>
  </si>
  <si>
    <t>Bug in report issue image upload.</t>
  </si>
  <si>
    <t>App crashes when the user tries to upload an image.</t>
  </si>
  <si>
    <t>k9mail-k-9-5600</t>
  </si>
  <si>
    <t>Crash on startup after updating to 5.804</t>
  </si>
  <si>
    <t>**Describe the bug**
After updating to 5.804 through F-Droid the app crashes on startup. Trying to downgrade to 5.803 or 5.802 via F-Droid also fails (but that is probably different issue).
Steps to reproduce the behavior:
1. Install the update to 5.804 via F-Droid
2. Start the app
App should not crash.
**Environment (please complete the following information):**
K-9 Mail version: 5.804
Android version: 7.0
Device: Lenovo K6 (k33a48)
Account type: IMAP
Add any other context about the problem here.
don know how to enable logs as currently can start the app at all</t>
  </si>
  <si>
    <t>Anuken-Mindustry-5833</t>
  </si>
  <si>
    <t>Microprocessors, Draw image, rotation param.</t>
  </si>
  <si>
    <t>**Steps to reproduce**: Set small display (display1) and controller. Program:
Draw flush: display1
**Link(s) to mod(s) used**: no mods
**Save file**: rotation bug.zip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image rotation search string</t>
  </si>
  <si>
    <t>Anuken-Mindustry-5831</t>
  </si>
  <si>
    <t xml:space="preserve">Logic image rotation errors </t>
  </si>
  <si>
    <t>2021-08-21</t>
  </si>
  <si>
    <t>oliexdev-openScale-768</t>
  </si>
  <si>
    <t>Crash on startup</t>
  </si>
  <si>
    <t>Today after starting OpenScale from the reminder notification, as do almost every day, the app crashed after briefly flashing the UI. After the error restarted the app and everything worked as expected.
have not been able to reproduce the issue. As far as know nothing has changed on my device. ve used OpenScale for long time, including month on the current OS version, and never had problem until now.
hope this stack trace is useful. realize that it not lot to go on.
Build version: 2.3.5
OS version: Android 12 (SDK 31) (beta 3.1)</t>
  </si>
  <si>
    <t>Anuken-Mindustry-5826</t>
  </si>
  <si>
    <t xml:space="preserve">Agries/flying units overlay issues </t>
  </si>
  <si>
    <t>Pre alpha: 130
Simple overlay issues between flying units and agries with the agries reactor, please note that even though other units are not contained in the bug file, this does apply to other flying units.
**Steps to reproduce**: *How you happened across the issue, and what exactly you did to make the bug happen.*
flew an eclipse over an agries, then tested with other flying units
&lt;img width 981 alt Screen Shot 2021-08-21 at 19 01 PM src https: 82851415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</si>
  <si>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k9mail-k-9-5595</t>
  </si>
  <si>
    <t>Crash when cutting text from To field</t>
  </si>
  <si>
    <t>**Describe the bug**
Crash when cutting text from To field in new message screen.
Steps to reproduce the behavior:
1. Create new email
2. Type abc in To field
3. Select the text you just input and long press to bring up the edit menu
4. Select cut
5. App crash
Should not crash.
**Environment (please complete the following information):**
K-9 Mail version: 5.804
Device: FxTec Pro1
Account type: IMAP
Does not crash if doing cut using keyboard shortcut rather than touch input
Please take some time to retrieve logs (https: github.com k9mail k-9 wiki LoggingErrors) and attach them here:</t>
  </si>
  <si>
    <t>PojavLauncherTeam-PojavLauncher-1875</t>
  </si>
  <si>
    <t>vk : Failed to CreateGraphicsPipeline</t>
  </si>
  <si>
    <t>### Describe the bug
try to load the shader with Zink, but every time the program crashes, the log prints Failed to
But actually want to know how pojav can make zink output image to pojav window.
Still using the EGL bridge?
### The log file and images videos
### Steps To Reproduce
Start MC1.12.2 with pojav and zink, and compile the shader with OptiFine F5.
### Expected Behavior
want it to load some simple shaders.
Device model: LG v35
CPU architecture: aarch64
PojavLauncher version: (zink newest)
### Anything else?</t>
  </si>
  <si>
    <t>cgeo-cgeo-11504</t>
  </si>
  <si>
    <t>Crash of c:geo [java.lang.ArrayIndexOutOfBoundsException]</t>
  </si>
  <si>
    <t>### Describe your problem!
For some reason, am not sure of, c:geo version: 2021.08.15 crashes and restarted
In the logs see an exception for this time
### How to reproduce?
No idea at the moment
### Actual result after these steps?
### Expected result after these steps?
### c:geo Version
### System information
## System information
Device type: SM-A705FN (a70qeea, samsung)
Android version: 11
Screen resolution: 1080x2198px (411x837dp)
Sailfish OS detected: false
Google Play services: disabled 21.26.21 (150400-387928701)
HW acceleration: enabled (default state)
Sensor and location:
Low power mode: inactive
Compass capabilities: yes
Rotation vector sensor: present</t>
  </si>
  <si>
    <t>Anuken-Mindustry-5821</t>
  </si>
  <si>
    <t>Closing issues on Steam</t>
  </si>
  <si>
    <t>Everytime try to close the game on Steam, is it because of mod restart or press quit or whatever, steam doesnt recognize the game being closed, and its nowhere in task manager, so have to restart steam everytime want to reload mods or just quit and come back to play later
**Steps to reproduce**:
Open the game on Steam. Usually it happens after change something with mods, so try downloading or disabling enabling mod and restarting the game. After that, Steam thinks the game is still running and have to restart
**Link(s) to mod(s) used**: (also happens without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</si>
  <si>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2021-08-20</t>
  </si>
  <si>
    <t>Anuken-Mindustry-5818</t>
  </si>
  <si>
    <t>Mod browser bug (Probably)</t>
  </si>
  <si>
    <t>Wrong search for my modification in the mod browser.Correcting the repository, the problem could be in the old name. changed the name to new one, but my mod identifies it by the keyword sil (it should be music
**Steps to reproduce**: *How you happened across the issue, and what exactly you did to make the bug happen.*
Created my own modification XD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The bug does not depend on the save file.
Reinstalled the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it is bug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</si>
  <si>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NordicSemiconductor-Android-nRF-Mesh-Library-447</t>
  </si>
  <si>
    <t>java.lang.NullPointerException: Attempt to invoke interface method 'void no.nordicsemi.android.mesh.InternalTransportCallbacks.onMeshPduCreated(int, byte[])' on a null object reference</t>
  </si>
  <si>
    <t>**Describe the bug**
Exception may thrown if Invoke too often.
Invoke method with high frequency. User send via trigger UI, the interval around seconds.
Let app client catch the exception to avoid app crash.
Device: Samsung Galaxy S7
Library Version: v3.1.6</t>
  </si>
  <si>
    <t>muxinc-mux-stats-sdk-exoplayer-144</t>
  </si>
  <si>
    <t>Removed VideoComponent listener and now capturing firstFrameRendered …</t>
  </si>
  <si>
    <t>Tim Bobker reported the crash related to VideoComponent listener. This is fix.</t>
  </si>
  <si>
    <t>Anuken-Mindustry-5812</t>
  </si>
  <si>
    <t>Cant fix controls after importing data</t>
  </si>
  <si>
    <t>**Steps to reproduce**: *Exported data from my PC. Then imported that data to my Iphone.
Everything loaded fine, except now my controls are all for keyboard and mouse, and there is no toggle in settings like there used to be for keyboard and mouse controls.*
**Link(s) to mod(s) used**: *None*
**Save file**: *no save file as this is bug with the menu*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</si>
  <si>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2021-08-19</t>
  </si>
  <si>
    <t>TeamNewPipe-NewPipe-6943</t>
  </si>
  <si>
    <t>UI crashing if i tap download tab</t>
  </si>
  <si>
    <t>Anuken-Mindustry-5804</t>
  </si>
  <si>
    <t>Shocked effect is not applied properly</t>
  </si>
  <si>
    <t>**Steps to reproduce**: Shoot enemy units with turrets that use surge ammunition (Swarmer, cyclone), using an arc, or pulsar.
**Link(s) to mod(s) used**: Not Modded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</si>
  <si>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Anuken-Mindustry-5803</t>
  </si>
  <si>
    <t>Typing [[ in chat crashes the game</t>
  </si>
  <si>
    <t>**Steps to reproduce**: Type in either dev mode, or chat (Single player Multiplayer)
**Link(s) to mod(s) used**:
dev mode https: github.com DeltaNedas dev-mode
pictologic https: github.com DeltaNedas pictologic
timecontrol https: github.com sk7725 TimeControl
ui lib https: github.com DeltaNedas ui-lib
waisa https: github.com DeltaNedas waisa
**Save file**: unnecessary, reproducible in both single player, and multiplayer (Using dev mode and typing also crashes)
Mindustry has crashed. How unfortunate.
Mods: dev-mode:2.3.2, pictologic:1.5.7, time-control:0.2, ui-lib:2.16.6, waisa:2.3.3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</si>
  <si>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2021-08-18</t>
  </si>
  <si>
    <t>Anuken-Mindustry-5802</t>
  </si>
  <si>
    <t>Power void status indicator</t>
  </si>
  <si>
    <t>Power void has permanent off block status indicator, even if it isn even meant to have one
**Steps to reproduce**: *How you happened across the issue, and what exactly you did to make the bug happen.*
Place power void, turn on block status indicators.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</si>
  <si>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Anuken-Mindustry-5797</t>
  </si>
  <si>
    <t>Attack maps without crux core are not playable as attack gamemode, unless you open them first in the editor.</t>
  </si>
  <si>
    <t>Attack maps without crux core do not show the attack gamemode option.
However, if you open the map in the editor, go back to custom game, the attack gamemode option appears.
Not sure if worded it properly, so here video.
**Steps to reproduce**: *How you happened across the issue, and what exactly you did to make the bug happen.*
Shown in video above.
**Link(s) to mod(s) used**: *The mod repositories or zip files that are related to the issue, if applicable.*
Happens without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Not applicable. think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</si>
  <si>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GoogleCloudPlatform-fda-mystudies-4033</t>
  </si>
  <si>
    <t>[Android] App is crashing when App name is changed in the new version when upgraded</t>
  </si>
  <si>
    <t>Anuken-Mindustry-5796</t>
  </si>
  <si>
    <t>The server crashed during play</t>
  </si>
  <si>
    <t>**Steps to reproduce**: *Play game in any mode.*
*The problem appears irregularly.*
**(Crash) logs**: hs err pid2765.log (https: github.com Anuken Mindustry files 7008300 hs err pid2765.log)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</si>
  <si>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material-components-material-components-android-2339</t>
  </si>
  <si>
    <t>[MaterialTimePicker] Crash on inflate picker</t>
  </si>
  <si>
    <t>tried to add time picker to my project but it got crashed each time when try to call it whatever params set. ve try run it on 1.4.0 and 1.5.0-alpha02 versions.
After some investigation found that crash appears when my app theme is extended from and works good for
**Expected behavior:** Time picker dialog is appeared on screen.
MaterialTimePicker picker new
time picker dialog
&lt;style name AppThemeInspection parent
&lt;!-- Customize your theme here. --&gt;
&lt;item name colorPrimary color item&gt;
&lt;item name colorPrimaryDark color item&gt;
&lt;item name colorAccent color item&gt;
&lt;item name style item&gt;
&lt;item name style item&gt;
**Android API version:** 31(Android 12 Beta 4)
**Material Library version:** 1.4.0
Caused by: Failed to resolve attribute at index 36: TypedValue 0x2 0x7f0402f7</t>
  </si>
  <si>
    <t>guolindev-PermissionX-116</t>
  </si>
  <si>
    <t>Android 12 Permission deny crash</t>
  </si>
  <si>
    <t>found this crash on Android 12 (Pixel device).
Steps to reproduce it:
Deny the permission (I tried Microphone permission) times and crash occurs as soon as app attempts to display the dialog via: permissions, String message, String positiveText, String negativeText)
Here the crash logs
Please dop not hesitate to let me know if can provide you with any further information.</t>
  </si>
  <si>
    <t>2021-08-17</t>
  </si>
  <si>
    <t>Anuken-Mindustry-5787</t>
  </si>
  <si>
    <t>Derelict units kill cores without resistance</t>
  </si>
  <si>
    <t>**Steps to reproduce**: Start any map with Enemy Team set to Derelict, and start wave.
**Link(s) to mod(s) used**: logic-debugger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(Although similar problem has been reported before, it was closed and wasn quite the same as this)</t>
  </si>
  <si>
    <t>2021-08-16</t>
  </si>
  <si>
    <t>PojavLauncherTeam-PojavLauncher-1855</t>
  </si>
  <si>
    <t>Idk why but my game crashes</t>
  </si>
  <si>
    <t>### Describe the bug
When open my game it crashes completely after
min or half min for some reason think it bug only on my android ui (Funtouchos)
It will be nice if you fix this
### The log file and images videos
### Steps To Reproduce
2.start game (any version)
3.load up world
4.play for min or half
### Expected Behavior
expected the game to not crash
Device model:Vivo v9 pro
CPU architecture:8x ARM Cortex-A53 2.21 GHz
Latest version (playstore one)</t>
  </si>
  <si>
    <t>Rapsssito-react-native-tcp-socket-120</t>
  </si>
  <si>
    <t>java.lang.IllegalArgumentException TcpSocketsNo socket with id [X]</t>
  </si>
  <si>
    <t>ve been getting some automated crash reports delivered to me with this error along with general user reports of frequent network interruptions. The full stack trace is
## Steps to reproduce
haven been able to reproduce this myself, unfortunately. don do anything very special in my setup though, just run TCP server and then open up connections to it. The connections just hang out occasionally sending and receiving packets. My users have reported that the connection seems to drop lot and my error handling code automatically reconnects them.
## Current behavior
Client sockets apparently sometimes crash.
## Expected behavior
Sockets stay open without error.
## Relevant information
OS Android, various versions (8-11)</t>
  </si>
  <si>
    <t>Anuken-Mindustry-5784</t>
  </si>
  <si>
    <t>Periodical disconnect on servers with a lot of units</t>
  </si>
  <si>
    <t>When there lot of units on servers, periodically get disconnected with any of those errors:
actually reported this before in https: github.com Anuken Mindustry issues 5679 (happens on crawler arena) but reported it again since noticed it happening on vanilla servers
**Steps to reproduce**: *How you happened across the issue, and what exactly you did to make the bug happen.*
Be on .pl attack with 700 units alive did not happen when hosted and joined dedicated server no matter how much units were spawned
Usually *needs* at least around 500 units to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</si>
  <si>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Anuken-Mindustry-5783</t>
  </si>
  <si>
    <t>Crash on startup: Couldn't load shared library 'libsdl-arc64.so' for target: Linux, 64-bit</t>
  </si>
  <si>
    <t>**Steps to reproduce**: usr lib jvm bin java -jar Mindustry.jar
**Link(s) to mod(s) used**: none
If you remove the line above without reading it properly and understanding what it means, will reap your soul. Even if you re playing on someone server, you can still save the game to slot.
Failed to initialize Discord RPC you are likely using JVM &lt;16.
Caused by: Couldn load shared library libsdl-arc64.so for target: Linux, 64-bit
Caused by: tmp arc d36ec2de libsdl-arc64.so: lib x86 64-linux-gnu libc.so.6: version GLIBC 2.33 not found (required by tmp arc d36ec2de libsdl-arc64.so)
Caused by: tmp arc d36ec2de libsdl-arc64.so: lib x86 64-linux-gnu libc.so.6: version GLIBC 2.33 not found (required by tmp arc d36ec2de libsdl-arc64.so)
Failed to save local crash report.: Could not initialize class
Additionally, after failing to launch, mindustry leaves file named libsdl-arc64.so and directory .temp in the current directory.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</si>
  <si>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Rapsssito-react-native-tcp-socket-119</t>
  </si>
  <si>
    <t>Crashing main thread if both server and socket created iOS</t>
  </si>
  <si>
    <t>it seems that main thread is getting all the workload on ios and when data received on server and trying to connect to socket at the same time, it crashes the app. For our app, we need to create server on specific port and listen for any data it may receive and in same time be able to connect to socket if nessasary. know that probably most of the users of this library is not using the library in this configuration, however, our app requires us to configure it this way. if there is any suggests would be happy to try.
Once again, our configuration is consist of one port 8100, which created when app is started and one which is created whenever we are trying to connect to port 9100.
## Steps to reproduce
Steps to reproduce the behavior:
2. At random time send data to data listener and in same time try connecting to array of ip addresses with
3. it should crash the app and point to main thread on xcode
## Current behavior
iOS app crashes whenever both server and socket connection is establish at the same time with data being process on server data listener
## Expected behavior
App should not be crashing when there is two different types of connections.
## Relevant information
OS iOS 14.6</t>
  </si>
  <si>
    <t>nextcloud-android-8862</t>
  </si>
  <si>
    <t>Side menu crash</t>
  </si>
  <si>
    <t>PojavLauncherTeam-PojavLauncher-1852</t>
  </si>
  <si>
    <t>BUG with Optifine, GL4ES and VGPU</t>
  </si>
  <si>
    <t>### Describe the bug
When activate the Render Region option the chunks bug, used vgpu and in version 1.12.2 (I also tested on 1.16.5), unfortunately with GL4ES 1.1.4 and 1.1.5 the game crashes when opening with Optifine (on 1.12.2) and if you don open it with Optifine the game runs on the base of FPS (Already that in all versions with all renderers)
### The log file and images videos
had previously posted about the bug, but didn know where it came from, unfortunately don have an image or video at the moment.
### Steps To Reproduce
start the Launcher and use vgpu
open 1.12.2 with optifine (Also on 1.16.5)
in the settings: Render Regions OFF (Ok)
Render Regions ON (Bug Chunks)
### Expected Behavior
just hope can activate this option with the vgpu renderer or maybe use gl4es 1.1.5 on 1.12.2 with optifine without the game crashing.
Device model: Galaxy A01
CPU architecture: aarch32
Android version: 11
PojavLauncher version: openjdk
### Anything else?</t>
  </si>
  <si>
    <t>2021-08-15</t>
  </si>
  <si>
    <t>Anuken-Mindustry-5763</t>
  </si>
  <si>
    <t>Crash when changing sector icon before sector is played</t>
  </si>
  <si>
    <t>**Steps to reproduce**: just went into freshly installed game, clicked Campaign and changed the icon of Ground Zero.
**Link(s) to mod(s) used**: None
**Save file**: *The (zipped) save file you were playing on when the bug happened.* Originally my game didn generate save because have not entered the sector played at all when the crash happened. But went ahead and grabbed this for you though.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</si>
  <si>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2021-08-14</t>
  </si>
  <si>
    <t>nextcloud-android-8856</t>
  </si>
  <si>
    <t>Crash when switching to dark theme</t>
  </si>
  <si>
    <t>### Steps to reproduce
1. Switch to dark theme
### Expected behaviour
It should switch to dark theme without crashing
### Actual behaviour
It crashes when attempting to switch to dark theme
### Can you reproduce this problem on https: try.nextcloud.com?
This question is irrelevant to this problem
### Environment data
************ CAUSE OF ERROR ************
Caused by: Receiver not registered: 3de8912
... 10 more
************ APP INFORMATION ************
Build flavor: versionDev
************ DEVICE INFORMATION ************
************ FIRMWARE ************</t>
  </si>
  <si>
    <t>TeamNewPipe-NewPipe-6920</t>
  </si>
  <si>
    <t>App crashes whenever I try to download content or when I go see my downloads</t>
  </si>
  <si>
    <t>When ever try to download video as an audio or video file. Or whenever go to the Downloads menu the app crashes. This has been occuring for the past recent updates of Newpipe. And after installing the recent updates, decided to report it.
User Action: ui error
Request: ACRA report
Content Country: US
Content Language: en-US
App Language: en US
OS: Linux Android 11 30
log b&gt;&lt; summary&gt;&lt;p&gt;
Version of Newpipe Installed:
NewPipe Version 0.21.8</t>
  </si>
  <si>
    <t>Keidan-HexViewer-102</t>
  </si>
  <si>
    <t>the application crashes if you enter a large address</t>
  </si>
  <si>
    <t>1) the file opens
2) click go to the address
3) enter the value of very large number of 20 numbers
4) the app is crashing
the application does not check what the user has entered and does not check that this value can be very large</t>
  </si>
  <si>
    <t>2021-08-13</t>
  </si>
  <si>
    <t>Keidan-HexViewer-96</t>
  </si>
  <si>
    <t>the app is crashing</t>
  </si>
  <si>
    <t>1. updated the app
2. opening the application
3. click on recently open
4. the app is crashing
think the problem is checking the permission for files after updating the application</t>
  </si>
  <si>
    <t>Anuken-Mindustry-5760</t>
  </si>
  <si>
    <t>Crash when player team has builder AI - but ocasionally doesn't.</t>
  </si>
  <si>
    <t>The game crashes if the player team has builder AI.
Oddly enough, if you load the save file, it ll work just fine.
**Steps to reproduce**: *How you happened across the issue, and what exactly you did to make the bug happen.*
Enable builder AI in the enemy team
Switch player team and enemy team.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</si>
  <si>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TeamNewPipe-NewPipe-6916</t>
  </si>
  <si>
    <t>ui crash</t>
  </si>
  <si>
    <t>User Action: ui error
Request: ACRA report
Content Country: EG
Content Language: en-GB
App Language: en GB
OS: Linux Android 11 30
log b&gt;&lt; summary&gt;&lt;p&gt;</t>
  </si>
  <si>
    <t>nikita36078-J2ME-Loader-821</t>
  </si>
  <si>
    <t>Worms 2010 problem</t>
  </si>
  <si>
    <t>Samsung Galaxy Tab 3V
**Description of the issue:**
Most version of worms 2010 crashed when it is CPU turn (sometimes it crash on CPU 2nd turn).</t>
  </si>
  <si>
    <t>Benji377-SocyMusic-155</t>
  </si>
  <si>
    <t>PlayerFragment crashes when opened with the system-wide dark mode</t>
  </si>
  <si>
    <t>**Describe the Bug**
had this bug that confused the heck out of me. The player fragment kept crashing with an exception that didn understand at all. After some googling and dubugging found that it was due to the playerBackground style attribute used to set different backgrounds in the player fragment. remembered not having this error few days ago so was so confused at first. Then it hit me: had turned on the dark mode. If you have the system-wide dark mode turned on in the settings (the one introduced in android 9), the app uses the (night) version of themes.xml which in our case does not set the playerBackground attribute.
Updating the night themes.xml should fix the crash. Ideally we should have light versions of the themes in our normal themes file and dark versions in the night themes file.
Steps to reproduce the behavior:
1. Turn on system-wide dark mode in settings.
2. Open any song.</t>
  </si>
  <si>
    <t>2021-08-12</t>
  </si>
  <si>
    <t>nextcloud-android-8852</t>
  </si>
  <si>
    <t>App crashes after returning from lockscreen after audio ended playing</t>
  </si>
  <si>
    <t>### Steps to reproduce
1. Go to folder with an audio file, e.g. MP3 and play it with the internal player
2. Put your phone into standby, so it plays the music in the background
3. Wait until the song has ended
4. Unlock your phone again
5. You will see the player with the warning Der interne Player kann die Mediendatei nicht abspielen
5. Try to tap on the top left arrow to get back to the folder view
5. Nextcloud crashes instantly
Reproducible every time.
### Expected behaviour
After coming back from the lockscreen you should be able to play the audio again or to go back to the folder view
### Actual behaviour
First an error is popping up, then the whole app crashes
### Can you reproduce this problem on https: try.nextcloud.com?
This has nothing to do with the server backend
### Environment data
Android version: 10
Device model: Oneplus A5000
Stock or customized system: OxygenOS
Nextcloud app version: 3.17.0 RC3</t>
  </si>
  <si>
    <t>Anuken-Mindustry-5749</t>
  </si>
  <si>
    <t>Spawning in any team except sharded results in an instant gameover</t>
  </si>
  <si>
    <t>Android (Probably happens in all platforms)
Whenever try to enter map with different player team, it results in an instant gameover.
**Steps to reproduce**: *How you happened across the issue, and what exactly you did to make the bug happen.*
1. Open up Mindustry BE 21655
2. Go to custom game, then change your default player team to any team(except Sharded)
**Link(s) to mod(s) used**: *The mod repositories or zip files that are related to the issue, if applicable.*
Also none, as this happens everywhere.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</si>
  <si>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Anuken-Mindustry-5746</t>
  </si>
  <si>
    <t>Redundant Pump/Conduit Placement Possible on the Edge of Space Tiles</t>
  </si>
  <si>
    <t>**Steps to reproduce**: *How you happened across the issue, and what exactly you did to make the bug happen.* Accidental conduit placement in sandbox map on the edge of space tiles.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Game works fine.
*Place an (no spaces) between the brackets to confirm that you have read the line below.*
**I have updated to the latest release (https: github.com Anuken Mindustry releases) to make sure my issue has not been fixed.** Unfortunately, am not using the latest BE edition. This was on Pre-Alpha 129.2.
**I have searched the closed and open issues to make sure that this problem has not already been reported.**</t>
  </si>
  <si>
    <t>dashevo-dash-wallet-708</t>
  </si>
  <si>
    <t>Crash on start on version v7.3.1</t>
  </si>
  <si>
    <t>ve just updated the application from f-droid and crash after showing the loading screen. After some tries, popup offer send crash report, but it also fails.
ve also tried to downgrade to version 7.0.9 (the last release on f-droid, that were using) and it fails with an: unknown error
currently using HavocOS without Google Play Services.</t>
  </si>
  <si>
    <t>2021-08-11</t>
  </si>
  <si>
    <t>Anuken-Mindustry-5742</t>
  </si>
  <si>
    <t>Sounds in game are getting wierd</t>
  </si>
  <si>
    <t>**Steps to reproduce**: Entering to the campaing then leaving, then going into custom game and then getting back to campaing. Here is how did it https: youtu.be QRhvxt1LdRg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</si>
  <si>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twilio-video-quickstart-android-668</t>
  </si>
  <si>
    <t>Failed vpx_codec_flush 146: ctx is nullptr</t>
  </si>
  <si>
    <t>Hi, updated twilio video android sdk from 5.10.2 to 6.2.1 (I checked 6.4.0 and the same error happens), and new error happened on some devices.
This crash always happens in the Xiaomi Redmi 9T.
It also happens on the Android Emulator Pixel API 30 x86 64.
In the Android Emulator Pixel API 30 x86 works fine, so it seems to be related to x86 64 somehow in the case of the emulator.
On the other devices that tested, it worked well!
### Steps to Reproduce
1. Start video call
2. wait 15 seconds
3. is should crash
#### Reproduces how Often
Fatal error in: gen sdk android generated base jni .. .. .. .. .. .. .. src sdk android src jni jni generator helper.h, line 94
last system error:
--------- beginning of crash
All relevant version information for issue.
#### Video Android SDK
#### Android API
#### Android Device
Android Emulator Pixel API 30 x86 64</t>
  </si>
  <si>
    <t>TeamNewPipe-NewPipe-6905</t>
  </si>
  <si>
    <t>Viewing download queue causes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</si>
  <si>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--&gt; 1. Go to top left hamburger menu from main screen
2. Press on Downloads
3. Watch app crash
&lt;!-- If you can cause the bug to show up again reliably (and hence don have proper set of steps to give us), please still try to give as many details as possible on how you think you encountered the bug. --&gt;
### Actual behavior
&lt;!-- Tell us what happens with the steps given above. --&gt;
Application flashes several times, then crashes and gives me Guru Medication (log included below)
### Expected behavior
&lt;!-- Tell us what you expect to happen. --&gt;
expect to see the downloads queue and history, as did before with v0.21.4 and v0.2103 before it.
### Screenshots Screen recordings</t>
  </si>
  <si>
    <t>Anuken-Mindustry-5738</t>
  </si>
  <si>
    <t>The game crashes when I launch from one place to another</t>
  </si>
  <si>
    <t>**Steps to reproduce**:
&lt;summary&gt;(Crash) logs&lt; summary&gt;
**I have updated to the latest release (https: github.com Anuken Mindustry releases) to make sure my issue has not been fixed.**
**I have searched the closed and open issues to make sure that this problem has not already been reported.**</t>
  </si>
  <si>
    <t>Anuken-Mindustry-5737</t>
  </si>
  <si>
    <t>Cant Load Campaign Sectors In Android 4.4</t>
  </si>
  <si>
    <t>**Steps to reproduce**: *To Launch To New Sector*
**Link(s) to mod(s) used**: *No Mod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</si>
  <si>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cgeo-cgeo-11452</t>
  </si>
  <si>
    <t>Fatal crash on startup</t>
  </si>
  <si>
    <t>### Describe your problem!
users reports, that since the beta versions he needs several tries to get c:geo started.
On unsuccessful startups c:geo hangs for couple of seconds on startup screen then ends again.
The log shows some fatal crashes.
What we tried so far:
Deleted all offline maps and themes and activated online OSM map
Clear orphaned files
did now ask the user to set the active map to Google maps as do see mapsforge involvement in the stacktraces.
Waiting for answer.
Any other debugging ideas?
### How to reproduce?
### Actual result after these steps?
### Expected result after these steps?
### c:geo Version
### System information
## System information
Device type: CLT-L29 (CLT-L29, HUAWEI)
Android version: 10
Android build: CLT-L29
Screen resolution: 1080x2037px (360x679dp)</t>
  </si>
  <si>
    <t>2021-08-10</t>
  </si>
  <si>
    <t>Anuken-Mindustry-5725</t>
  </si>
  <si>
    <t>Water pump on lava</t>
  </si>
  <si>
    <t>**bleeding-edge build 21634**
**for some reason the pumps on the lava shows what they are extracting water, but they aren doing anything**
**idk just joined and it was like that**
** File :p (https: www.mediafire.com file jp53fqerof4hg4k something file) **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</si>
  <si>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2021-08-09</t>
  </si>
  <si>
    <t>nextcloud-android-8837</t>
  </si>
  <si>
    <t xml:space="preserve">crash uploading folder </t>
  </si>
  <si>
    <t>### Steps to reproduce
1. Select folder to upload
2. Not enough space warning, select move
### Expected behaviour
### Actual behaviour
************ CAUSE OF ERROR ************
Caused by: Attempt to invoke virtual method boolean on null object reference
... 11 more
************ APP INFORMATION ************
Build flavor: versionDev
************ DEVICE INFORMATION ************
************ FIRMWARE ************
on dev 20210803</t>
  </si>
  <si>
    <t>mahmudur85-PjDroid-16</t>
  </si>
  <si>
    <t>I can not loadLibrary("pjsua2")</t>
  </si>
  <si>
    <t>You have moved the repository from jcenter to mavenCentral. Thank you very much!
However, switching repositories does not work well.
For example, using the sample project, switch from the local library to mavenCentral
implementation project( :pjdroid
and run the sample project.
However, in the following sentence.
The app crashes.
The logcat say the following statement
When It try to load the library in mavenCentral, it doesn seem to be able to find libpjsua2.so.
Could you please fix that?</t>
  </si>
  <si>
    <t>forrestguice-SuntimesCalendars-43</t>
  </si>
  <si>
    <t>App crash when clicking the "Open Calendar" button.</t>
  </si>
  <si>
    <t>**Environment Info **
APK Version: 0.5.4 (14)
Android version 6.0.1
**Expected behavior **
The app pop up dialog, which prompts that The device lacks calendar application
**Repro Steps **
1. The calendar application is not installed in the device.
2. Click the Navigation button in the top right-hand corner of app.
3. Click the Open Calendar button, then the app will crash.
**The stack trace:**
FATAL EXCEPTION: main
**Do you confirm this bug? Thank you.**</t>
  </si>
  <si>
    <t>PojavLauncherTeam-PojavLauncher-1814</t>
  </si>
  <si>
    <t>[BUG] Crashing when I select"Select Account"</t>
  </si>
  <si>
    <t>### Describe the bug
Crashing when select the select account button.
### The log file and images videos
### Steps To Reproduce
1. Launch PojavLauncher
2. Select Account
### Expected Behavior
expected that this will not crash.
PojavLauncher version: Latest Actions version openjdk
### Anything else?
Just crashing when tap this button.</t>
  </si>
  <si>
    <t>Anuken-Mindustry-5713</t>
  </si>
  <si>
    <t>Launch error</t>
  </si>
  <si>
    <t>**Steps to reproduce**: *Like stated above. Launched and changed to certain zones classified as export ones. Tried to export from them to where was, but couldn anymore like if didn launch when did.*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report)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</si>
  <si>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2021-08-07</t>
  </si>
  <si>
    <t>PojavLauncherTeam-PojavLauncher-1804</t>
  </si>
  <si>
    <t>[BUG] Keyboard any tap key but its crash</t>
  </si>
  <si>
    <t>### Describe the bug
PojavLauncher has unexpectedly crashed
try keyboard tap any key but crash but please fix
### The log file and images videos
### Steps To Reproduce
1. Start Pojavlauncher
2. Play Launch
3. Tap Singleplayer
4. Play World
5. Tap Chat
6. Tap Keyboard
7. Tap Any Key
8. Its Crash
### Expected Behavior
PojavLauncher has unexpectedly crashed
Device model: Samsung Galaxy A7 2018
CPU architecture: aarch64
Android version: 10
PojavLauncher version: openjdk
### Anything else?</t>
  </si>
  <si>
    <t>Anuken-Mindustry-5710</t>
  </si>
  <si>
    <t>option : Capture core on Destruction with Aegires</t>
  </si>
  <si>
    <t>When Capture core on Destruction is enabled in Settings.
Usually, when destroying enemy cores with ally units, they are converted to ally cores, but when destroying cores with Aegires attacks, they are converted to neutral buildings.
ezgif com-gif-maker (https: 77824588
**Steps to reproduce**: *How you happened across the issue, and what exactly you did to make the bug happen.*
Only Aegires attacks cause this bugs.
**Link(s) to mod(s) used**: *The mod repositories or zip files that are related to the issue, if applicable.*
Time control for fast testing.
Testing utilities same.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</si>
  <si>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Anuken-Mindustry-5706</t>
  </si>
  <si>
    <t>Compatibility issue with StatusEffect v6 -&gt; v7</t>
  </si>
  <si>
    <t>**Steps to reproduce**: sk7725 BetaMindy icy is one example. Apply it and then apply either its opposites or affinities to make it crash in v7. This does not crash in v6.*
**Link(s) to mod(s) used**: *sk7725 BetaMindy, MeepofFaith testing-utilities (for applying them)*
**Save file**: *crash*
If you remove the line above without reading it properly and understanding what it means, will reap your soul. Even if you re playing on someone server, you can still save the game to slot.
Mindustry has crashed. How unfortunate.
#b59e72 Demo of Chaos Itself new-horizon:1.9.1 Beta, test-utils:0.14, testers:0.25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</si>
  <si>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Anuken-Mindustry-5703</t>
  </si>
  <si>
    <t>Core desync in coreCapture Mode</t>
  </si>
  <si>
    <t>Core disappear when destory, in multiplayer coreCapture mode.
Use sync can see core again.
**Steps to reproduce**: *How you happened across the issue, and what exactly you did to make the bug happen.*
Join multiplayer coreCapture server. And destory core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</si>
  <si>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2021-08-06</t>
  </si>
  <si>
    <t>Anuken-Mindustry-5702</t>
  </si>
  <si>
    <t>Too many Puddle object</t>
  </si>
  <si>
    <t>See heap dump. More than 182MB Puddle.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</si>
  <si>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Anuken-Mindustry-5701</t>
  </si>
  <si>
    <t>Enemies in sector 224 not spawning</t>
  </si>
  <si>
    <t>**Steps to reproduce**: Launch in sector 224, wait or skip waves.
**Link(s) to mod(s) used**: None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</si>
  <si>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GoogleCloudPlatform-fda-mystudies-3996</t>
  </si>
  <si>
    <t>[iOS] App crashes in study activities screen on completing consent review process in a scenario</t>
  </si>
  <si>
    <t>1. Signing and enroll into study
2. Update consent from SB and enable Enforce e-consent flow again for enrolled participants
3. Publish updates
4. Open the study and navigate to study activities
5. Don complete the consent review.
6. Kill and relaunch the app and navigate to study activities
7. Complete the consent review process
8. Refresh the study activities after completing.
9. Observe app crashes
Issue not observed when user completes the consent review process in the 1st try</t>
  </si>
  <si>
    <t>2021-08-05</t>
  </si>
  <si>
    <t>GoogleCloudPlatform-fda-mystudies-3991</t>
  </si>
  <si>
    <t>[iOS] App crashes on submitting incorrect option for comprehension test in a scenario</t>
  </si>
  <si>
    <t>1. Freshly install the app
2. Click on Get Started
3. Click on any study having comprehension Test configured
4. Click on Participate. Navigated to signin screen
5. Signin successfully
6. Enroll the study and fail the comprehension test
7. Observe app crashes
1. Issue not observed when user signin participate enroll the study fail the comprehension test
2. Issue not observed when fail the comprehension test during review consent post enrolling into study</t>
  </si>
  <si>
    <t>hzi-braunschweig-SORMAS-Project-6294</t>
  </si>
  <si>
    <t>[Mobile APP] Double click on event status leads to app crash</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</si>
  <si>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When creating an event via the app, the app crashes if you click on the event status several times.
### Steps to Reproduce
&lt;!-- Optional please add more steps if necessary --&gt;
1. Log in on the app
2. Go to events
3. Create new event
4. Click on event status several times
### Expected Behavior
app is not crashing
&lt;!-- Optional --&gt;
### System Details
&lt;!-- Mandatory you only have to specify the Server URL if the error appeared on publicly available test server --&gt;
Device: Nexus 10
SORMAS version: 1.62.1
Android version Browser: Android 9.0
Server URL: https: sormas-rest
User Role: Contact Officer Surveillance Officer</t>
  </si>
  <si>
    <t>flutter-package-images_picker-44</t>
  </si>
  <si>
    <t>openCamera sometime its working and sometime its Not work, crash the App In debugging mode</t>
  </si>
  <si>
    <t>DON DELETE THIS TEMPLATE! USE IT TO WRITE YOUR ISSUE.
If you delete this and you don give me enough info,
how would you expect me to solve your issue? Thanks.
Also, before posting new issue, make sure to check the following points!
You may already find an answer to your problem!
have read the Get Started Installation (https: inappwebview.dev docs get-started installation section
have read and done the Get Started Setup Android (https: inappwebview.dev docs get-started setup-android section
have read and done the Get Started Setup iOS (https: inappwebview.dev docs get-started setup-ios section
have already searched for the same problem
Doctor summary (to see all details, run flutter doctor -v):
Flutter (Channel stable, 2.0.6, on Microsoft Windows Version 10.0.19042.1110
Android toolchain develop for Android devices (Android SDK version 30.0.3)
Chrome develop for the web
Android Studio (version 4.1.0)
VS Code (version 1.58.2)
Connected device (3 available)
Device information: &lt;!-- Manufacturer and model --&gt;
Future openCamera(int from) async
List&lt;Media&gt; img await
if (img null)</t>
  </si>
  <si>
    <t>google-ExoPlayer-9257</t>
  </si>
  <si>
    <t>ArrayIndexOutOfBoundsException in guessMediaTimeBasedOnElapsedRealTime</t>
  </si>
  <si>
    <t>We recently started using in our app, and we re seeing low-medium volume crashes that we haven been able to reproduce locally:
Examining the code, you can see how entering in playback state other than PLAYBACK STATE PLAYING could lead to this crash:
private void realtimeMs, long mediaTimeMs)
if STATE PLAYING)
if (mediaTimeMs C.TIME UNSET)
long previousMediaTimeMs 1)
long realtimeMs, previousMediaTimeMs
mediaTimeMs C.TIME UNSET
private long realtimeMs)
(long) ((realtimeMs previousRealtimeMs)
long mediaTimeEstimateMs previousMediaTimeMs
return new long realtimeMs, mediaTimeEstimateMs
happy to put up PR to make the code more robust, but wondering if this instead points to us using the analytics improperly in our app since couldn find any other reports of this same crash.
ExoPlayer version number: 2.14.0
Android version: All (our minSDK is 19)
Android device: Various</t>
  </si>
  <si>
    <t>2021-08-04</t>
  </si>
  <si>
    <t>PojavLauncherTeam-PojavLauncher-1790</t>
  </si>
  <si>
    <t>[BUG] Game suddenly closes without a crash report while playing</t>
  </si>
  <si>
    <t>### Describe the bug
So while im playing on 1.12.2 ,game suddenly closes without any reports or something else,it puts me on either menu of PojavLauncher or Home Screen of my phone. also use the JMV Launcher Argument for 3gb rams which found from GitHub Page of PojavLauncher. If there is any solution or am doing something wrong, please help.Thanks!
### The log file and images videos
### Steps To Reproduce
1. Start the Launcher
2. Open the World
3. Playing for few minutes
4. Game suddenly closes without report
### Expected Behavior
expect to play the game without closing without crash report in minutes.
Device model: Huawei Smart 2019
CPU architecture: aarch64
Android version: 10
PojavLauncher version: version 3.3.1.1 rel 20210321 (Play Store)
### Anything else?
also have Forge 1.12.2 (Latest) OptiFine 1.12.2 (Latest), Refined Storage, FTB Ultimine, MegaQuarry ,Just Enough Items installed. All mods work perfectly without any problem OptiFine aswell.
ussualy have about 1gb free ram so give 1gb ram to Launcher (basically all of it).</t>
  </si>
  <si>
    <t>Anuken-Mindustry-5699</t>
  </si>
  <si>
    <t>Navy units do not turn when moving towards a processor.</t>
  </si>
  <si>
    <t>**Steps to reproduce**:
Step 1: Create risso unit and put it in pool of water (happens with every navy unit but these steps use risso).
Step 2: Place processor of any type with the instructions
ucontrol move thisx thisy
Make sure that the risso is not next to the processor via Ctrl+Left Clicking the unit and moving it away from the processor.
Make the risso turn 90 degrees so that its side is facing the processor.
Press and observe the unit move sideways towards the processor.
**Link(s) to mod(s) used**: https: github.com DeltaNedas dev-mode (never entered any commands in this session)
If doing this step wrong, please inform me.
**(Crash) logs**: No crash logs found.
**I have updated to the latest release (https: github.com Anuken Mindustry releases) to make sure my issue has not been fixed.**
**I have searched the closed and open issues to make sure that this problem has not already been reported.**</t>
  </si>
  <si>
    <t>TeamNewPipe-NewPipe-6843</t>
  </si>
  <si>
    <t>Subscription error</t>
  </si>
  <si>
    <t>&lt;!--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&lt;!-- Please fill this out when you do not provide log generate by NewPipe --&gt;</t>
  </si>
  <si>
    <t>cgeo-cgeo-11412</t>
  </si>
  <si>
    <t>Crash when switching to another app while using coordinate calculator</t>
  </si>
  <si>
    <t>### Describe your problem!
The app is crashing when switch to another app (e.g. to copy formula) while am on the coordinate calculator.
Not reproducible for me.
### How to reproduce?
Select coordinate calculator
Fill some fields
Switch to another app
Switch back to c:geo
### Actual result after these steps?
### Expected result after these steps?
### c:geo Version
### System information
### Additional Information
Stacktrace of the user shows two things. Not sure which is related but probably both need to be solved (or are already solved based on the related issues?):</t>
  </si>
  <si>
    <t>Anuken-Mindustry-5697</t>
  </si>
  <si>
    <t>**Steps to reproduce**: Start the game on Ubuntu (command used: java -jar Mindustry.jar)
If you remove the line above without reading it properly and understanding what it means, will reap your soul. Even if you re playing on someone server, you can still save the game to slot.
Caused by: Couldn load shared library libsdl-arc64.so for target: Linux, 64-bit
Caused by: tmp arc 6aa18953 libsdl-arc64.so: libSDL2-2.0.so.0: cannot open shared object file: No such file or directory
Caused by: tmp arc 6aa18953 libsdl-arc64.so: libSDL2-2.0.so.0: cannot open shared object file: No such file or directory
Failed to save local crash report.: Could not initialize class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</si>
  <si>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TeamNewPipe-NewPipe-6842</t>
  </si>
  <si>
    <t>Clicking the 1st comment of this youtube video to expand exists &amp; crashes newpipe to homescreen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</si>
  <si>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this video url: https: www.youtube.com watch?v cVKBqmYljnk
2. Press on the 1st comment when comments are loaded
&lt;!-- If you can cause the bug to show up again reliably (and hence don have proper set of steps to give us), please still try to give as many details as possible on how you think you encountered the bug. --&gt;
### Actual behavior
&lt;!-- Tell us what happens with the steps given above. --&gt;
Newpipe exists to the homescreen which believe is form of crash. This does not invoke Guru Meditation or any other bug report pop-up
### Expected behavior
&lt;!-- Tell us what you expect to happen. --&gt;
Expand the comment with ellipsis ...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</si>
  <si>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googleads-googleads-mobile-flutter-330</t>
  </si>
  <si>
    <t>[google_mobile_ads] App crashes on API 31</t>
  </si>
  <si>
    <t>&lt;!-- Thank you for using Google Mobile Ads for Flutter!
If you have found bug or if our documentation doesn have an answer
to what you re looking for, then fill out the template below. Please read
the Flutter team guide to filing bug first: https: flutter.dev docs resources bug-reports
## Plugin Version
## Steps to Reproduce
&lt;!-- You must include full steps to reproduce so that we can reproduce the problem. --&gt;
import package:flutter material.dart
import package:google mobile ads google mobile ads.dart
class MyApp extends StatelessWidget
Widget build(BuildContext context)
class MyHomePage extends StatefulWidget
MyHomePage( Key? key, required this.title super(key: key)
final String title
MyHomePageState createState() MyHomePageState()
class MyHomePageState extends State&lt;MyHomePage&gt;
Widget build(BuildContext context)
You have pushed the button this many times:
def localProperties new Properties()
def localPropertiesFile rootProject.file( local.properties</t>
  </si>
  <si>
    <t>PojavLauncherTeam-PojavLauncher-1784</t>
  </si>
  <si>
    <t xml:space="preserve">[BUG] 1.17 crashes </t>
  </si>
  <si>
    <t>### Describe the bug
Soooo was trying to play Minecraft 1.17.1 on my Google pixel and it just crashes everytime try to play 1.17.1
### The log file and images videos
### Steps To Reproduce
Just start 1.17.1 on Google pixel its not working
### Expected Behavior
That it starting up not crashing with the error code
Device model: Google pixel
CPU architecture: Qualcomm, Octa-Core (64 Bit)
1. CPU: Snapdragon 765G (Cortex-A76), 2,40 GHz
2. CPU: Snapdragon 765G (Cortex-A76), 2,20 GHz
3. CPU: Snapdragon 765G (Cortex-A55), 1,80 GHz
Speicher 8,0 GB RAM
128,00 GB Speicher
Android version: 11
PojavLauncher version: version 3.3.1.1 rel 20210321
### Anything else?</t>
  </si>
  <si>
    <t>PojavLauncherTeam-PojavLauncher-1783</t>
  </si>
  <si>
    <t>[BUG] somebody help me with this</t>
  </si>
  <si>
    <t>### Describe the bug
What causes this error? Elf dynamic array reader.h (61) tag not found
he takes me out of the game for this if someone can give me solution to this it would be great
### The log file and images videos
### Steps To Reproduce
2.I create world
3.0.000001 second later it closes
### Expected Behavior
No crash :)
Device model: Lg 51
CPU architecture: 32
Android version: 10
PojavLauncher version: play store
### Anything else?
the version. 1.12.2 opens perfect without this error the problem goes from 1.7.10 and older</t>
  </si>
  <si>
    <t>nextcloud-android-8804</t>
  </si>
  <si>
    <t>Android client crashes on startup after reinstalling server</t>
  </si>
  <si>
    <t>My home server died and took down my Nextcloud instance with it. reinstalled fresh instance of Nexcloud on new server. manually restored my user account with the same username password as it had previously. The eNxcloud Android client now crashes on startup. This did not happen with the old server.
Workaround was to delete the app and reinstall. Deleting all app data did not resolve the issue.
### Expected behaviour
Should not crash
### Actual behaviour
Crashes on startup
### Environment data
Stock or customized system:
Nextcloud app version:
Build flavor: gplay
Nextcloud server version:
Nextcloud 22.0.0 (Stable)
************ CAUSE OF ERROR ************
************ APP INFORMATION ************
Build flavor: gplay
************ DEVICE INFORMATION ************
************ FIRMWARE ************
#### Web server error log
This web server error might be associated with the app crash. It appears to happen at around the same time.
1. var www nextcloud apps files lib AppInfo Application.php line 106:</t>
  </si>
  <si>
    <t>material-components-material-components-android-2324</t>
  </si>
  <si>
    <t>[CircularProgressIndicator] Crash in CircularProgressIndicator</t>
  </si>
  <si>
    <t>am getting crash report from firebase
This crash on android 10 and 11 mostly.
material library version 1.4.0</t>
  </si>
  <si>
    <t>deltachat-deltachat-android-2012</t>
  </si>
  <si>
    <t>Crash when going back to the chat list</t>
  </si>
  <si>
    <t>app crashed when going back from chat to the chatlist, the issue seems to be that the Context is still not attached to the when core event is received and loadChatlistAsync() is called to refresh the chatlist but getContext() null at that time so crashes.
Android version: 10
Delta Chat version: 1.21.1</t>
  </si>
  <si>
    <t>Anuken-Mindustry-5693</t>
  </si>
  <si>
    <t>Rebound zoom controls does not work in editor.</t>
  </si>
  <si>
    <t>If you rebind the zoom action, you can use it just fine in-game, but not in the editor.
**Steps to reproduce**: *How you happened across the issue, and what exactly you did to make the bug happen.*
Rebind zoom to anything other than default
Go to level editor, attempt to zoom in.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</si>
  <si>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2021-08-03</t>
  </si>
  <si>
    <t>openid-AppAuth-Android-726</t>
  </si>
  <si>
    <t>checkArgument crashing, if ui_locales has been set manually with earlier versions of AppAuth.</t>
  </si>
  <si>
    <t>&lt;!-- Thank your for your input! Before you submit your issue, please make sure you followed our checklist and check the appropriate boxes by putting an in the --&gt;
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Integration: native Kotlin
Identity provider: Both KeyCloak and ID4
### Issue Description
&lt;!-- Please include what happening, expected behavior, and any relevant code samples --&gt;
Having set ui locales in earlier versions manually...
After updating from 0.8.1 to 0.9.1 the app is crashing, due to the previous ui locales parameter being saved in AuthState.
Crashing with the following message Parameter ui locales is directly supported via the authorization request builder, use the builder method instead
Caused by Parameter ui locales is directly supported via the authorization request builder, use the builder method instead
Will return to 0.8.1 for now.</t>
  </si>
  <si>
    <t>Anuken-Mindustry-5691</t>
  </si>
  <si>
    <t>hard to explain (check the detailed bug description)</t>
  </si>
  <si>
    <t>bassicaly, if you click on the impact (to see how much power its making,etc.) and quickly switch to an enemy team and tap it again, the game thinks you are on the team (ex: if the impact was made by sharded and you are crux, you still see the info),
then if you destroy it, let polies immediately rebuild (with sandbox or with reborn mindustry anarchy server) and switch back, it thinks you are not its team, even if you are. here is video if its too confusing
**Steps to reproduce**: *How you happened across the issue, and what exactly you did to make the bug happen.*
sorta already explained how, but see the video if you dont understand
**Link(s) to mod(s) used**: *The mod repositories or zip files that are related to the issue, if applicable.*
testing utilities, only to switch teams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dont think you need it, but here it is anyway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</si>
  <si>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TeamNewPipe-NewPipe-6831</t>
  </si>
  <si>
    <t>Denial Of Service video loading</t>
  </si>
  <si>
    <t>Few videos make my phone crash and reebot in BIOS phone Xiaomi A2
Video make crash
Video don make crash</t>
  </si>
  <si>
    <t>JoseJuanSE-Neo-Alexandria-96</t>
  </si>
  <si>
    <t>fix bug with pdf not liked</t>
  </si>
  <si>
    <t>When try to open pdf that was not liked. Then it crash, this should be fixed if do the cloud version of saved feature.</t>
  </si>
  <si>
    <t>2021-08-02</t>
  </si>
  <si>
    <t>gluonhq-substrate-973</t>
  </si>
  <si>
    <t>Undefined symbol JVM_GetStackAccessControlContext</t>
  </si>
  <si>
    <t>can build my app for Android without problem on cloud Linux server and install it on my phone locally on Mac but when try to run it, it immediately crashes with the following message:
This was already mentioned at the end of the closed issue https: github.com gluonhq substrate issues 970
### Expected Behavior
It should run and not crash.
### Current Behavior
### Steps to Reproduce
cannot provide simple example
### Your Environment
Built on cloud instance of Ubuntu at Hetzner with 1.0.3 and APK copied to macOS and installed via adb on Samsung Galaxy S7.</t>
  </si>
  <si>
    <t>iNPUTmice-lttrs-android-118</t>
  </si>
  <si>
    <t>Crash during Setup</t>
  </si>
  <si>
    <t>This shouldn crash
This should lead to endless loading</t>
  </si>
  <si>
    <t>PojavLauncherTeam-PojavLauncher-1771</t>
  </si>
  <si>
    <t>[BUG] When I start the game with "-Dfile.encoding=GB2312", the game will crash</t>
  </si>
  <si>
    <t>### Describe the bug
When start the game with -Dfile.encoding GB2312 the game will crash
### The log file and images videos
### Steps To Reproduce
2.Enter -Dfile.encoding GB2312 to the JVM startup parameters
3.Start any game version
### Expected Behavior
expect the game to launches
Device model: redmi note7 64
CPU architecture: aarch64
Android version: 10
PojavLauncher version: Latest Release
### Anything else?</t>
  </si>
  <si>
    <t>TeamNewPipe-NewPipe-6823</t>
  </si>
  <si>
    <t xml:space="preserve">Can't Download anything or open Downloads it crashes the app instantly </t>
  </si>
  <si>
    <t>User Action: ui error
Request: ACRA report
Content Country: US
Content Language: en-US
App Language: en US
OS: Linux samsung beyond0qltesq beyond0q:11 RP1A.200720.012 G970USQU5GUE2:user release-keys 11 30
log b&gt;&lt; summary&gt;&lt;p&gt;</t>
  </si>
  <si>
    <t>2021-08-01</t>
  </si>
  <si>
    <t>Anuken-Mindustry-5685</t>
  </si>
  <si>
    <t>Graphics bug</t>
  </si>
  <si>
    <t>**Steps to reproduce**: Place Segment turret, move your camera so it not on your screen, and make something shoot Segment. Segment laser should not appear. Same for ore digging, just move your camera so you can see the ore you are digging.
**Link(s) to mod(s) used**: none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</si>
  <si>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Anuken-Mindustry-5684</t>
  </si>
  <si>
    <t>Steam Workshop not working</t>
  </si>
  <si>
    <t>Linux (Kubuntu 20.04 LTS)
Steam Workshop is not working. sub to an item on the Workshop, Steam doesn even try to download it. In-game, the Workshop option is missing, and cannot see workshop schematics or maps.
**Steps to reproduce**: *How you happened across the issue, and what exactly you did to make the bug happen.*
don quite know why this is happening. It might be Steam issue, but don know, since Steam Workshop works just fine for other games.
**Link(s) to mod(s) used**: *The mod repositories or zip files that are related to the issue, if applicable.*
don think these are related, but the only mod have enabled is Logic Debugger.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This is visible immediately in the title screen, which cannot save.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isn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</si>
  <si>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nextcloud-android-8797</t>
  </si>
  <si>
    <t>Crash after pressing back on login screen</t>
  </si>
  <si>
    <t>### Steps to reproduce
1. Somehow get forcefully logged out (I suspect this happened because my home networks dynamic IPv4 address changed and my DynDNS script hadn kicked in yet.)
2. Get presented with login screen
3. Press back button to return to file list
4. Wait few seconds for crash to happen (loading circle was showing)
### Expected behaviour
App should never crash
### Actual behaviour
App crashed after tapped back on login screen and upon opening the app again hours later
### Environment data
Device model: Huawei Smart
Stock or customized system: Standard OS that came with device
Nextcloud app version: 3.17.0 RC1 (f-droid)
Nextcloud server version: Nextcloud 22 deployed via docker Running on https: nextcloud.jotoho.de
Docker image hash:
Reverse proxy: Yes, Caddy.
#### Web server error log
(Unavailable right now. Writing this from my phone after being asked by app to report the crash. If necessary, can probably fill this in later.)
#### Nextcloud log (data nextcloud.log)
************ CAUSE OF ERROR ************</t>
  </si>
  <si>
    <t>Anuken-Mindustry-5681</t>
  </si>
  <si>
    <t>Cannot use config to change the command of the unit command center</t>
  </si>
  <si>
    <t>wanted to create logic to change the command of the command center.
The status of the command center was detected, but it was not possible to change commands using config.
All other blocks are possible, but only command center is impossible.
**Steps to reproduce**: *How you happened across the issue, and what exactly you did to make the bug happen.*
maybe always in build 129.1
**Link(s) to mod(s) used**: *The mod repositories or zip files that are related to the issue, if applicable.*
It is not affected by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</si>
  <si>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AHSAppDevTeam-Arcadia-High-Mobile-Android-7</t>
  </si>
  <si>
    <t>FCM Background Service crashes when app is closed</t>
  </si>
  <si>
    <t>### The Bug:
When the app is running, the method of the returns valid value, but when the app is closed, this method returns null value. The application context is required for the to load the article associated with the the incoming message.
### Possible Reason for the Bug:
After researching StackOverflow questions and reading GitHub issues, there seems that the there might be buggy release of the firebase messaging library for Android. This reason is further reinforced by the fact that the method works properly in the old app. solution might be to upgrade or downgrade firebase-bom:28.3.0</t>
  </si>
  <si>
    <t>Anuken-Mindustry-5679</t>
  </si>
  <si>
    <t>spontaneous disconnects in multiplayer at high unit counts</t>
  </si>
  <si>
    <t>when playing crawler arena at .pl *and there lot (1000+) of units* (and apparently not only i) periodically get disconnected with an Unknown network error saying either Malformed input at &lt;number&gt; or Incorrect number of bytes (&lt;number&gt; remaining) used to deserialize object: &lt;number&gt; think this is likely related to internet connection problems but still making this issue in case it possible to prevent this
**Steps to reproduce**: *How you happened across the issue, and what exactly you did to make the bug happen.*
play the crawler arena gamemode on .pl on late (23+) waves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</si>
  <si>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2021-07-31</t>
  </si>
  <si>
    <t>Anuken-Mindustry-5678</t>
  </si>
  <si>
    <t>GZ captured at beginning</t>
  </si>
  <si>
    <t>**Steps to reproduce**: Capture GZ. Reset campaign saves. (I also reset research.) Then launch back to GZ. The sector should be captured
**Link(s) to mod(s) used**: was using Betamindy (https: github.com sk7725 BetaMindy), Exogenesis (https: github.com AureusStratus ExoGenesis) and several js mods, but doubt they would affect something like this
**Save file**: Here it is (https: github.com Anuken Mindustry files 6911678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</si>
  <si>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Anuken-Mindustry-5677</t>
  </si>
  <si>
    <t>Game crashes while loading sector</t>
  </si>
  <si>
    <t>**Steps to reproduce**: start the game, start playing campaign, go to that specific sector, and the game crashes while or right after loading it.
**Link(s) to mod(s) used**: All mods had been disabled for several days worth of gameplay time when the crash occured, and none of the mods added or edited game content (one is texture pack, the others are for generating schematics from images). Will update with links if somehow suspected of being related anyway.
Mindustry has crashed. How unfortunate.
Mods: pictologic:1.5.7, ui-lib:2.16.6,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Given that this is an issue with the latest builds and that there was no other open issue at the time, assumed checking closed issues was unnecessary.</t>
  </si>
  <si>
    <t>flutter-package-images_picker-41</t>
  </si>
  <si>
    <t xml:space="preserve">Black screen shows after camera is closed only on android </t>
  </si>
  <si>
    <t>DON DELETE THIS TEMPLATE! USE IT TO WRITE YOUR ISSUE.
If you delete this and you don give me enough info,
how would you expect me to solve your issue? Thanks.
Also, before posting new issue, make sure to check the following points!
You may already find an answer to your problem!
have read the Get Started Installation (https: inappwebview.dev docs get-started installation section
have read and done the Get Started Setup Android (https: inappwebview.dev docs get-started setup-android section
have read and done the Get Started Setup iOS (https: inappwebview.dev docs get-started setup-ios section
have already searched for the same problem
Flutter version latest (master)
Plugin version latest
Android version 11
Device information: &lt;!-- Manufacturer and model --&gt; It works fine on some of the mobile but crashes on POCO M2 PRO 4GB. No problem in IOS build.
Whenever click photo using this library the app shows black screen.
After clicking the image it should show the image in the UI but it shows black screen and sometimes crashes.
&lt;img src https: 57598532 width 200 height 400
It shows black screen on some devices after clicking the image. am attaching video of the current behavior on poco m2 pro. It only happens on some of the android devices, works fine on IOS. The issue occurs only when the image is selected through the camera.
## Steps to reproduce
### Picking the image like this
Future getImage(bool isCam) async</t>
  </si>
  <si>
    <t>2021-07-30</t>
  </si>
  <si>
    <t>nextcloud-android-8793</t>
  </si>
  <si>
    <t>Start error</t>
  </si>
  <si>
    <t>Just started the app from my phone and it instantly crashes.
************ CAUSE OF ERROR ************
************ APP INFORMATION ************
Build flavor: gplay
************ DEVICE INFORMATION ************
************ FIRMWARE ************</t>
  </si>
  <si>
    <t>Anuken-Mindustry-5675</t>
  </si>
  <si>
    <t>enemies stuck</t>
  </si>
  <si>
    <t>before start, wanna tell you that dont want you to recreate it (i dont know how it happened), want you to see it. its in server
bleeding edge 21561
its map, and enemies dont pathfind correctly
**Steps to reproduce**: *How you happened across the issue, and what exactly you did to make the bug happen.*
dont know, joined and it already was in effect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sorry, but want you to see it, will post it later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the server is the nydus server, the only server in bleeding edge, go there and see the bug, because dont know how to recreate</t>
  </si>
  <si>
    <t>Anuken-Mindustry-5672</t>
  </si>
  <si>
    <t>"Borderless Window" setting only makes game fullscreen</t>
  </si>
  <si>
    <t>**Steps to reproduce**: Disable Fullscreen and enable Borderless Window Press the Windows key and observe that the screen blinks which indicates that Mindustry was actually fullscreen.
**Link(s) to mod(s) used**: None
**Save file**: Irrelevant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</si>
  <si>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PojavLauncherTeam-PojavLauncher-1756</t>
  </si>
  <si>
    <t>Lunching game</t>
  </si>
  <si>
    <t>### Describe the bug
The problem is when lunch the ver. 1.16.5 (and other versions) it crashes...
And when lunch Minecraft it keeps saying String index out of range
wouldn consider it as crash cause there no crash log...
Every version of Pojavlauncher do the same thing...
### The log file and images videos
Here the log (I think, just copied it):
### Steps To Reproduce
1. Open Pojavlauncher
2. Select version Minecraft
3. Lunch Minecraft
### Expected Behavior
expected it to run normally...
Device model: Realme RMX2020 32G
CPU architecture: Aarch64
Android version: 10
PojavLauncher version: Latest Release Version openjdk
### Anything else?
wish there way to fix this...</t>
  </si>
  <si>
    <t>GoogleCloudPlatform-fda-mystudies-3974</t>
  </si>
  <si>
    <t>[SB] [Copy last published version] Study activities are getting duplicated for the original study post copying last published version for the study</t>
  </si>
  <si>
    <t>1. Create new study
2. Add all contents and add activities
3. Launch the study
4. Edit the study again and edit basic info section only
5. Let study be in draft
6. Copy the last published version for the study. Successfully copied
7. Check last published version for the study and check API response for
**Issue should be handled in SB and Study datastore i.e GetStudyActivityLis API**
1. Due to above issue, iOS mobile app is crashing on navigating to study activities list
2. Issue observed for questionnaires and active tasks
2. Issue not observed for exporting last published version</t>
  </si>
  <si>
    <t>MuntashirAkon-AppManager-536</t>
  </si>
  <si>
    <t>App manager loading non stop while scanning "battery log" app by hwangti</t>
  </si>
  <si>
    <t>Your issue will be closed without warning if you don check at least two items.
know what my device, OS and App Manager versions are
don know how to take logs. because the log viewer doesn show anything at redmi
know how to reproduce the issue which may not be specific to my device
**Describe the bug**
When try to scan an app with package name (google play) the application keeps loading without reaching the end. It been hours but nothing has changed
This happened when tried it on appmanager version above v2.6.0
Unfortunately the app doesn crash. just weird things like keeps loading while scanning certain apps (since new version v2.6.1)
Device: 1.redmi (only), 2.redmi note
OS Version: 1.(8.1), 2.(9)
App Manager Version: v2.6.1, v2.6.2
Things like endless app scanning also happen to some other apps, unfortunately can remember all of them. and what remember the most is when scanned that battery log apps.</t>
  </si>
  <si>
    <t>TeamNewPipe-NewPipe-6806</t>
  </si>
  <si>
    <t>UI crashes on download related actions on Android 11</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</si>
  <si>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0.21.7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Downloads
2. UI crashes and see error report screen
3. Go to video and click Download
4. UI crashes and see error report screen
&lt;!-- If you can cause the bug to show up again reliably (and hence don have proper set of steps to give us), please still try to give as many details as possible on how you think you encountered the bug. --&gt;
### Actual behavior
&lt;!-- Tell us what happens with the steps given above. --&gt;
UI crashes and go to error report screen
### Expected behavior
&lt;!-- Tell us what you expect to happen. --&gt;
Go to Downloads screen or show download video dialog.</t>
  </si>
  <si>
    <t>TeamNewPipe-NewPipe-6805</t>
  </si>
  <si>
    <t>Crashed when opening after installing latest update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</si>
  <si>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Have download in progress.
2. Minimize app.
3. Install latest update.
4. Try to open app.
&lt;!-- If you can cause the bug to show up again reliably (and hence don have proper set of steps to give us), please still try to give as many details as possible on how you think you encountered the bug. --&gt;
### Actual behavior
App crashed upon opening. Appears to be connected to the download in progress.
&lt;!-- Tell us what happens with the steps given above. --&gt;
### Expected behavior
&lt;!-- Tell us what you expect to happen. --&gt;
### Screenshots Screen recordings</t>
  </si>
  <si>
    <t>2021-07-29</t>
  </si>
  <si>
    <t>PhenoApps-Field-Book-299</t>
  </si>
  <si>
    <t>[BUG] ArrayIndexOutOfBoundsException Study with no plots</t>
  </si>
  <si>
    <t>**Describe the bug**
When BrAPI study with plots is imported the app will crash when navigating to the collect activity.
Steps to reproduce the behavior:
1. Post to studies:
studyName Empty Test
2. Click on Empty Test in field editor
3. Click on Collect Activity
App should notify that no plots exist when navigating to collect activity.</t>
  </si>
  <si>
    <t>nextcloud-android-8785</t>
  </si>
  <si>
    <t>Notification Bar won't disappear until "activities" tab is opened.</t>
  </si>
  <si>
    <t>### Steps to reproduce
1. Press add file button
2. Press upload file without selecting any file
3. TubCloud uploading files... Stays in notifications
Crash log which appears always when open Activities tab (maybe it also crashes when do so?):
************ CAUSE OF ERROR ************
Caused by: For input string: 2147721481
************ APP INFORMATION ************
Build flavor: gplay
************ DEVICE INFORMATION ************
************ FIRMWARE ************</t>
  </si>
  <si>
    <t>XiangRongLin-NewPipe-preuinified-6</t>
  </si>
  <si>
    <t>Can't open any video in 0.21.7+</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</si>
  <si>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Click on any video, any at all.
&lt;!-- If you can cause the bug to show up again reliably (and hence don have proper set of steps to give us), please still try to give as many details as possible on how you think you encountered the bug. --&gt;
### Expected behavior
&lt;!-- Tell us what you expect to happen. --&gt;
Open the video
### Actual behaviour
&lt;!-- Tell us what happens instead. --&gt;
Newpipe crashes and shows the error report (below)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stream</t>
  </si>
  <si>
    <t>PojavLauncherTeam-PojavLauncher-1745</t>
  </si>
  <si>
    <t>[BUG] couldnt hear sound in game.</t>
  </si>
  <si>
    <t>### Describe the bug
Application exited with code in loading second later
And cant hear sound in game like UI sound,mob sound,walking sound,and others (all) couldnt download assets file. So need assets file??? Then sounds come on game?
Sometime mouse not work
If optifine game identify crash
### The log file and images videos
### Steps To Reproduce
1. Start pojavlauncher
2. Log in
### Expected Behavior
Device model:samsung M21 64 gb
CPU architecture: 64
Android version: 11
PojavLauncher version: 3.3.1.1
### Anything else?
How to fix these</t>
  </si>
  <si>
    <t>getodk-collect-4747</t>
  </si>
  <si>
    <t>Don't crash if creating project name file fails</t>
  </si>
  <si>
    <t>#### Software and hardware versions
#### Problem description
We re seeing crashes when the app creates the project name file in the project directory sometimes.
#### Steps to reproduce the problem
#### Expected behavior
We should just catch an error here and log timber exception.
#### Other information</t>
  </si>
  <si>
    <t>2021-07-28</t>
  </si>
  <si>
    <t>stefan-niedermann-nextcloud-notes-1308</t>
  </si>
  <si>
    <t xml:space="preserve">Crash  when there a long press and swipe over a note </t>
  </si>
  <si>
    <t>### bug Describing
the app crash when there are Long press and swipe to the outside of the note border.
it happens in the Grid view and also in the default view.
### To Reproduce
1. Long press over any note.
2. Swipe to the outside border of the note.
3. Boom CRASH
### More Info
App Version: 3.4.11
App Version Code: 3004011
App Flavor: fdroid
Files App Version Code: 30160190
OS API Level: 29
Model (and Product): Mi 9T (davinci)</t>
  </si>
  <si>
    <t>getodk-collect-4743</t>
  </si>
  <si>
    <t>EDIT action for forms will crash if there are no projects</t>
  </si>
  <si>
    <t>#### Software and hardware versions
#### Problem description
Trying to open form from URI or shortcut when there are no projects causes crash.
#### Steps to reproduce the problem
1. Create shortcut for form
2. Delete all the projects in Collect
3. Click on shortcut
#### Expected behavior
Collect should warning dialog and then close when the dialog is dismissed.
#### Other information
Caused by List is empty.</t>
  </si>
  <si>
    <t>gluonhq-substrate-970</t>
  </si>
  <si>
    <t>Cannot locate symbol "JNI_OnLoad_awt"</t>
  </si>
  <si>
    <t>can build my app for Android without problem on cloud Linux server and install it on my phone locally on Mac but when try to run it, it immediately crashes with the following message:
This looks very much like the bug reported here: https: github.com oracle graal issues 3406
This stops me from creating and using any Android app with JavaFX. Is there any solution or workaround for this problem?
### Expected Behavior
It should run and not crash.
### Current Behavior
### Steps to Reproduce
cannot provide simple example myself but see link above.
### Your Environment
Built on cloud instance of Ubuntu at Hetzner with 1.0.3 and APK copied to macOS and installed via adb on Samsung Galaxy S7.</t>
  </si>
  <si>
    <t>getodk-collect-4741</t>
  </si>
  <si>
    <t>App can crash if user navigates away during QR code camera permission request</t>
  </si>
  <si>
    <t>#### Software and hardware versions
#### Problem description
This is caused by the permission listener being called from Fragment that might not exist anymore if the user navigates away and returns to the app. It likely that this problem exists in more places than just the QR code scanner.
#### Steps to reproduce the problem
1. Enable Don Keep Activities in Android developer settings
2. Load up the app and click Configure with QR code
3. Navigate away and back to the app
4. Grant the camera permission
The app will crash.
#### Expected behavior
The app shouldn crash and the QR code scanner should start working when the permission is granted.
The easiest way to fix this is to wrap the listener logic in check for isAdded() in the fragment. It would be good to check that there aren other parts of the app that this explodes in as well.
#### Other information
An example stack trace:
Caused by Fragment e3de41b not attached to an activity.</t>
  </si>
  <si>
    <t>opensrp-opensrp-client-chw-1842</t>
  </si>
  <si>
    <t>CRVS App Release - Feedback</t>
  </si>
  <si>
    <t>Issues found after review
Birth Death certification and Out of Area icons to be updated
Change Out of area registration to Out of area birth
On child registration, take picture app logs out crashes review Firebase crashlytics
Out of area death DOB limiting to adult only (over 5yrs)
Out of area birth death registrations do not show up on death birth certification (summary)
Out of Area registration remove checkbox for Surname same as family name- registrants not linked to any families
Death certificate issuance date limited to today date</t>
  </si>
  <si>
    <t>TeamNewPipe-NewPipe-6783</t>
  </si>
  <si>
    <t>Unable to import database since version 0.21.6</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</si>
  <si>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0.21.7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Export .zip file of the settings history from NewPipe by going to Settings Content Export database.
2. Attempt to import this .zip file back into NewPipe by going to Settings Content Import database.
### Actual behaviour
During the import stage, rather than allowing the .zip file containing the exported DB to be selected, the file picker instead goes *inside* the .zip file, showing the exported files inside the zip file. Naturally, selecting one of these files results in the import failing as it is expecting .zip file.
### Expected behaviour
During the import stage, what should happen is that the file picker should allow the .zip file to be selected, to allow the import to succeed.
### Screenshots Screen recordings
Below is screen recording of me:
1. Exporting the settings to .zip
2. Attempting to import the .zip back into NewPipe. When the file picker does not let me select the .zip and instead goes into the .zip, attempt to select one of the files inside the .zip in case that works, but (inevitably) this leads to crash during import.
### Device info</t>
  </si>
  <si>
    <t>2021-07-27</t>
  </si>
  <si>
    <t>nextcloud-android-8772</t>
  </si>
  <si>
    <t>andoid app crashes when nextcloud server is destoryed</t>
  </si>
  <si>
    <t>### Steps to reproduce
1. Create nextcloud server
2. Connect android app to it
3. Destroy nextcloud server
4. Go back to the app and it crashes with NPE.
### Expected behaviour
should invalidate any sessions and go back to login scree
### Actual behaviour
### Can you reproduce this problem on https: try
### Environment data
Stock or customized system:
Nextcloud app version:
Nextcloud server version:
#### Web server error log
Insert your webserver log here
#### Nextcloud log (data nextcloud.log)
Insert your Nextcloud log here</t>
  </si>
  <si>
    <t>PhenoApps-Field-Book-295</t>
  </si>
  <si>
    <t>[BUG] App crashes when brapi object with non-string additional info fields are present</t>
  </si>
  <si>
    <t>**Describe the bug**
This isn an issue with Field Book, but with the brapi client library: https: github.com Breeding-Insight brapi.
wanted to put this here so we know that this issue causes breaking changes in Field Book.
See issue: https: github.com Breeding-Insight brapi issues 41</t>
  </si>
  <si>
    <t>k9mail-k-9-5457</t>
  </si>
  <si>
    <t>Crash on "empty trash"</t>
  </si>
  <si>
    <t>**Describe the bug**
Application crashes once try to empty trash on imap folder
1. Go to deleted items folder
2. Click on ...
3. Click on empty trash
4. application crash
expect no crash
K-9 Mail version: 5.800
Device: ZTE Axon
Account type: IMAP
Please take some time to retrieve logs (https: github.com k9mail k-9 wiki LoggingErrors) and attach them here:
--------- beginning of crash
--------- beginning of system</t>
  </si>
  <si>
    <t>TeamNewPipe-NewPipe-6779</t>
  </si>
  <si>
    <t>the app is crashing when typing in the search area</t>
  </si>
  <si>
    <t>User Action: ui error
Request: ACRA report
Content Country: TR
Content Language: tr
App Language: tr
OS: Linux samsung r7naxx r7:11 RP1A.200720.012 N770FXXU7EUE2:user release-keys 11 30
log b&gt;&lt; summary&gt;&lt;p&gt;</t>
  </si>
  <si>
    <t>nextcloud-android-8771</t>
  </si>
  <si>
    <t>Nextcloud app keeps crashing</t>
  </si>
  <si>
    <t>### Steps to reproduce
1. Install nextcloud app from fdroid repo 3.16.1 or 3.17.0 RC1
2. Login to account
3. The app crashes
### Expected behaviour
Login to account and load data...
### Actual behaviour
### Environment data
Android version: 11
Device model: Pixel 3a
Stock or customized system: GrapheneOS
Nextcloud app version: 3.16.1 or 3.17.0 RC1
Nextcloud server version: 21.0.3
************ CAUSE OF ERROR ************
************ APP INFORMATION ************
Build flavor: generic
************ DEVICE INFORMATION ************
************ FIRMWARE ************</t>
  </si>
  <si>
    <t>nextcloud-android-8769</t>
  </si>
  <si>
    <t>Android app keeps crashing</t>
  </si>
  <si>
    <t>google-ExoPlayer-9227</t>
  </si>
  <si>
    <t>Fatal signal 11 (SIGSEGV), code 1 (SEGV_MAPERR)</t>
  </si>
  <si>
    <t>When ExoPlayer video is playing app is getting crash on few devices like one plus (Android 10) and moto 10 (Android 11) Error is getting like this Fatal signal 11 (SIGSEGV), code (SEGV MAPERR) Sent bug report on mail dev.exoplayer gmail.com</t>
  </si>
  <si>
    <t>Anuken-Mindustry-5654</t>
  </si>
  <si>
    <t>author:me</t>
  </si>
  <si>
    <t>PojavLauncherTeam-PojavLauncher-1734</t>
  </si>
  <si>
    <t>[BUG] version 1.7.10 crashes</t>
  </si>
  <si>
    <t>### Describe the bug
try to play version 1.7.10 but 10 to 20 seconds after entering the world it closes have tried with optifine also with forgue and it always closes at 10 to 20 seconds and sorry if it is not understood well am in google translator also tried raising and lowering the ram but nothing works
### The log file and images videos
### Steps To Reproduce
1.start pojav launcher
2.select version 1.7.10
3.I create new world
4.After loading the world, 10 to 20 seconds pass and it closes or sometimes closes immediately after entering the world
### Expected Behavior
that the game continue normal
Device model: LG k51s
CPU architecture: 64 bits (32 bits mode)
Android version: 10
PojavLauncher version: play store
### Anything else?
Help pls :(</t>
  </si>
  <si>
    <t>2021-07-26</t>
  </si>
  <si>
    <t>cgeo-cgeo-11332</t>
  </si>
  <si>
    <t>Opening a trackable crashes c:geo</t>
  </si>
  <si>
    <t>### Describe your problem!
When trying to swipe to the inventory tab of cache, trying to open trackable searching for its tracking code or clicking on trackable in your inventory, c:geo crashes.
### How to reproduce?
Search for TB59M9P
### Actual result after these steps?
Crasnh while loading trackable
### Expected result after these steps?
Trackable details shown
### c:geo Version
### System information
### Additional Information</t>
  </si>
  <si>
    <t>Benji377-SocyMusic-134</t>
  </si>
  <si>
    <t>Queue viewer button still doesn't work as expected</t>
  </si>
  <si>
    <t>To the left of the star-shaped checkbox, there is button that would take you to the queue list and basically do the same as when you click the same button in the menu bar. The problem is that once you click on it, there is no way you can go back. It doesn matter what you try you always end up crashing the app.
Now there are two things to consider:
1. Should this button replace the one in the menu and we, therefore, replace the one in the menu with something else
2. Should this button do something else without replacing an already existing function?
Let me know what you think and if you have some different suggestions on this</t>
  </si>
  <si>
    <t>Anuken-Mindustry-5650</t>
  </si>
  <si>
    <t>Derelict air units still attack</t>
  </si>
  <si>
    <t>Derelict air units still attack.
**Steps to reproduce**: *How you happened across the issue, and what exactly you did to make the bug happen.*
In any way possible, spawn derelict air units, used derelict payload source(fixed in bleeding edge or build&gt; 128.2).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Screenshot and save:
&lt;img width 159 alt Bug2 src https: 87551951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do have to even tell you at this point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</si>
  <si>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TeamNewPipe-NewPipe-6767</t>
  </si>
  <si>
    <t>App crash when opening the list of downloads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</si>
  <si>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0.21.7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the hamburger menu.
2. Press the download menu item.
3. App crashes and restarts with the exception details.
&lt;!-- If you can cause the bug to show up again reliably (and hence don have proper set of steps to give us), please still try to give as many details as possible on how you think you encountered the bug. --&gt;
### Actual behavior
&lt;!-- Tell us what happens with the steps given above. --&gt;
The app crashes and restarts with the exception log pasted below
### Expected behavior
&lt;!-- Tell us what you expect to happen. --&gt;
The list of downloads should be shown.
### Screenshots Screen recordings</t>
  </si>
  <si>
    <t>k9mail-k-9-5446</t>
  </si>
  <si>
    <t>Version 5.800 is not working on Android 12 Beta 3</t>
  </si>
  <si>
    <t>**Describe the bug**
After updating on 5.800, k9mail is not working correctly on Android 12 Beta
K9mail is showing the list of mails, without icons on it, and clicking on one of them is freezing the application.
The previous solution to remove updates of webview is not working anymore. tried to remove updates, reboot the phone, it always the same.
will try to rollback k9mail version.
Steps to reproduce the behavior:
1. You need to use android 12 beta
2. Open k9mail
3. Icons of emails are not shown correctly
4. Clic on an email
5. App should crash during animation on opening mail
6. Mail will not be shown, app is freezing
**Environment (please complete the following information):**
K-9 Mail version: 5.800
Android version: Android 12 Beta
Device: Google pixel 4a 5G
Account type: IMAP</t>
  </si>
  <si>
    <t>sachuss-Raksha-SOS-Alert--23</t>
  </si>
  <si>
    <t>App crashes when sos button is pressed while gps is off.</t>
  </si>
  <si>
    <t>Steps to reproduce:
1. Launch the app turn.
2. You will be asked to turn on the GPS. Turn on GPS
3. Now press SOS button. In my case the SMS was not sent.
4. Now turn off GPS before the SMS is sent.
guess the crash happens may be because app is trying to get the location and GPS got turned off in between acquiring the location.</t>
  </si>
  <si>
    <t>CTemplar-android-399</t>
  </si>
  <si>
    <t>Crashes during drafting of reply</t>
  </si>
  <si>
    <t>Pixel 4a running CalyxOS, Android 11.
F-droid Mobile App v1.5.0
### Steps to reproduce
1. Received email from ProtonMail address.
2. Clicked reply at the bottom of app screen.
3. Near immediate crash of app. Message was saved in Drafts.
4. Re-entered app, entered Drafts, clicked on saved draft to construct reply.
5. Immediate crash.
### Expected behavior
Allow me to construct reply email.
### Actual behavior
Instant and repeated crashes.
Including (low quality lol) screen recording below.</t>
  </si>
  <si>
    <t>Anuken-Mindustry-5648</t>
  </si>
  <si>
    <t>Retusa and Cyrce do not use ammo.</t>
  </si>
  <si>
    <t>With ammo enabled, Retusa and Cyerce don use ammo when shooting *or* using their heal beam weapons.
**Steps to reproduce**: *How you happened across the issue, and what exactly you did to make the bug happen.*
On save with ammo enabled, shoot with Retusa or Cyerce.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</si>
  <si>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Anuken-Mindustry-5647</t>
  </si>
  <si>
    <t>Crash when supplying unit with power.</t>
  </si>
  <si>
    <t>Linux, although ve reproduced the bug in windows too.
Units that use power as ammo, when refilling, crash the game.
**Steps to reproduce**: *How you happened across the issue, and what exactly you did to make the bug happen.*
On map with ammo on, refill unit s(had this crash happen with t3 crawler) ammo with battery.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</si>
  <si>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Anuken-Mindustry-5646</t>
  </si>
  <si>
    <t>Conduit bridge visual bug</t>
  </si>
  <si>
    <t>**Steps to reproduce**:
-Place conduit bridges
-Disable one of them with logic
-Connect disabled one to 2nd one.
(also contains screenshot)
no crash log and no mods used.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</si>
  <si>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2021-07-25</t>
  </si>
  <si>
    <t>k9mail-k-9-5442</t>
  </si>
  <si>
    <t>Version 5.800 crashes on Android 11, OnePlus 7T</t>
  </si>
  <si>
    <t>have problem after the new version 5.800 was automatically installed.
After the first start the database was updated and everything looked good, but wanted to bring back the previous look by setting smaller font sizes.
So what did was to set the font size for subjects to small think. Afterwards nothing seemed to have changed and quit K9 to start it again afterwards. It crashed and it now crashes every time try to start it. (Even if force quit from Android)
As soon as press the icon see the screen gets grey and disappears again.
Is there anything can do to avoid the crash? don want to loose all the settings if reinstall it completely...</t>
  </si>
  <si>
    <t>k9mail-k-9-5433</t>
  </si>
  <si>
    <t>AccountImageLoader/Glide crash</t>
  </si>
  <si>
    <t>From the Google Play developer console.
App version: 5.800</t>
  </si>
  <si>
    <t>TeamNewPipe-NewPipe-6761</t>
  </si>
  <si>
    <t>When I press download button, Newpipe crashes</t>
  </si>
  <si>
    <t>User Action: ui error
Request: ACRA report
Content Country: UA
Content Language: uk-UA
App Language: uk UA
OS: Linux Android 11 30
log b&gt;&lt; summary&gt;&lt;p&gt;</t>
  </si>
  <si>
    <t>Anuken-Mindustry-5643</t>
  </si>
  <si>
    <t>Keyboard mode doesn't work on iPad</t>
  </si>
  <si>
    <t>iPad pro 3rd gen 12inch
Dragging with the mouse
results in objects being placed (so the setting does do something), but the keyboard does nothing.
**Steps to reproduce**: Open up game, and turn on the setting by navigating to Menu Settings Game and checking the Mouse+Keyboard Controls option
**Link(s) to mod(s) used**: No Mods used.
**Save file**: (https: github.com Anuken Mindustry files 6873356
**(Crash) logs**: The game doesn crash, don have any crash logs to post (please don reap my soul)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</si>
  <si>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Anuken-Mindustry-5642</t>
  </si>
  <si>
    <t>Payload Source cannot be deactivated</t>
  </si>
  <si>
    <t>Apparently, when you try to disable payload source using logic it will still spawn payloads.
This also allows derelict payload sources to spawn units and blocks.
**Steps to reproduce**: *How you happened across the issue, and what exactly you did to make the bug happen.*
1. Place Payload Source and set it to unit)
2. Place Logic Processor and set the enabled of the source to 0.
1. Place and configure derelict Payload Source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screenshot of the issue to display disabled sharded payload source(left) and derelict payload source(right):
&lt;img width 274 alt Bug src https: 87551951
Also save file(different from image but still does the steps to reproduce for you)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</si>
  <si>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PojavLauncherTeam-PojavLauncher-1728</t>
  </si>
  <si>
    <t>[BUG] 1.17 doesn't work at all</t>
  </si>
  <si>
    <t>### Describe the bug
gave it lot of memory and it still says game crashes
Why and pls fix it
### The log file and images videos
### Steps To Reproduce
1. Start the launcher
2. Choose version 1.17
3. Hit the button play
.4 the game crashes
### Expected Behavior
expect that will be able to play 1.17 without crashing thx
Device model: Samsung 10
CPU architecture: idk sry
Android version: 11
PojavLauncher version: v3
### Anything else?</t>
  </si>
  <si>
    <t>2021-07-24</t>
  </si>
  <si>
    <t>nextcloud-android-8764</t>
  </si>
  <si>
    <t>Automated bug report after app crash</t>
  </si>
  <si>
    <t>### Steps to reproduce
1. Upload bunch of files
### Expected behaviour
The files should be uploaded
### Actual behaviour
The entire app crashes
### Can you reproduce this problem on https: try.nextcloud.com?
No, can even reproduce the bug again on my own server.
### Environment data
Android version: 10
Device model: GS290
Stock or customized system: Stock
Nextcloud app version: 3.16.1
Nextcloud server version: 20.0.7
Reverse proxy: yes
#### Web server error log
Insert your webserver log here
#### Nextcloud log (data nextcloud.log)
************ CAUSE OF ERROR ************
************ APP INFORMATION ************</t>
  </si>
  <si>
    <t>doublesymmetry-react-native-track-player-1210</t>
  </si>
  <si>
    <t>Issues with Samsung Galaxy devices (NullPointerException in MusicBinder, MusicModule IllegaStatelException)</t>
  </si>
  <si>
    <t>**Describe the bug**
can very much describe the bug, just see lot of crashes happening with mostly Samsung Galaxy (around 70% of the devices are Samsung Galaxy) and some Xiaomi s. noticed two crashes that are very common in my app.
This is the most common crash. The other one that is most common is:
have no clue how to reproduce it. never experienced the problem myself.
**Environment (please complete the following information):**
Run react-native info in your project and share the content.
What version are you using?
Are you testing on real device or in the simulator? Which OS version are you running?
Real devices. see these crashes in Play Console, mostly reported on Android 11 and Android 10.
In Home.js (mainscreen)
const setup async ()
**The Player.js (player)**
const navigation this.props
const streamID streamID NO-ID
const start async ()
Add track to the queue
The snippet to update the metadata
const trackId await
**The snippet that actions to certain statusses (set the correct button or reset the stream when the new stream mountpoint is not the same as the stream of previous mountpoint)**
const navigation this.props</t>
  </si>
  <si>
    <t>2021-07-23</t>
  </si>
  <si>
    <t>PojavLauncherTeam-PojavLauncher-1723</t>
  </si>
  <si>
    <t>Problem on Realme 5i</t>
  </si>
  <si>
    <t>### Describe the bug
My android version 10 ram 4gb but why cant run 1.16.5?
After press play the application comes out
### The log file and images videos
### Steps To Reproduce
No crash error detected
### Expected Behavior
tried 1.12.2 and it runs normally
Device model: Realme 5i
CPU architecture: Snapdragon 664
Android version: 10
PojavLauncher version: 3.3.1.1 rel 20210321
### Anything else?</t>
  </si>
  <si>
    <t>MuntashirAkon-AppManager-525</t>
  </si>
  <si>
    <t>Crash on Log export</t>
  </si>
  <si>
    <t>exporting logs zip crashes the app:
App version: 2.6.2
App version code: 389
Android build version: 0d2dbb77b5
Android release version: 11
Android SDK version: 30
Android build ID: lineage cheryl-userdebug 11 RQ3A.210705.001 0d2dbb77b5
Device brand: razer
Device manufacturer: Razer
Device name: cheryl
Device model: Phone
Device product name: lineage cheryl
Device hardware name: qcom
ABIs (32bit): armeabi-v7a, armeabi
ABIs (64bit): arm64-v8a
System language: en
In-App Language: en
Is there something, that am doing wrong?</t>
  </si>
  <si>
    <t>Anuken-Mindustry-5633</t>
  </si>
  <si>
    <t>mega control.exe has stopped working</t>
  </si>
  <si>
    <t>tried to control mega, but it turned weirdly and woudnt move. when left it looked like the game thought never controlled it in the first place, it would move extremely fast to go to the spot it would be as if didnt control it
**Steps to reproduce**: *How you happened across the issue, and what exactly you did to make the bug happen.*
just controlled mega, thats it
**Link(s) to mod(s) used**: *The mod repositories or zip files that are related to the issue, if applicable.*
time control and testing utilities, neither used when it happened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</si>
  <si>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PojavLauncherTeam-PojavLauncher-1713</t>
  </si>
  <si>
    <t>Can't look around in infdev and old versions crash</t>
  </si>
  <si>
    <t>### Describe the bug
have started playing the version inf-20100618 wanted to find cool structures and win the game but can because CAN LOOK AROUND!!! when try it changes the slots in the hot bar and am not touching the hot bar please fix this can even cut down tree
and older than infdev crashes
### The log file and images videos
### Steps To Reproduce
You just try to look around without mouse
launch version older than infdec
### Expected Behavior
You be able to look around
and older than infdev to not crash
Android version: it thinks it is but it kindle
PojavLauncher version: latest version for Appstore Google play
### Anything else?
In version before it has weird behavior trying to look around
this also happens on my samsung</t>
  </si>
  <si>
    <t>2021-07-22</t>
  </si>
  <si>
    <t>TeamNewPipe-NewPipe-6736</t>
  </si>
  <si>
    <t>Crash when sharing playlist which hasn't yet loaded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</si>
  <si>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am using the latest version 0.21.7
checked, but didn find any duplicates (open OR closed) of this issue in the repo.
have read the contribution guidelines (https: github.com TeamNewPipe NewPipe blob HEAD .github CONTRIBUTING.md)
This issue contains only one bug. will open one issue for every bug report want to file.
### Steps to reproduce the bug
1. Search for playlist
2. Press on the playlist
3. Tap the share button at the top before the videos load
am able to reproduce this easily with longer playlists such as this one (https: www.youtube.com playlist?list PLQNcGmVgygljxhsB ooCHqWVN2myXNCBh). am also on slower phone data, which helps.
### Actual behavior
NewPipe crashed and immediately relaunched with Guru Meditation crash report (what does this mean?)
### Expected behavior
expect the share dialog to appear without crashing the app.
### Screenshots Screen recordings
User Action: ui error
Request: ACRA report
Content Country: US</t>
  </si>
  <si>
    <t>isl-org-OpenBot-211</t>
  </si>
  <si>
    <t xml:space="preserve">App crashes in Object Tracking fragment, when "Auto Mode" switch is activated </t>
  </si>
  <si>
    <t>App crashes in the **Object Tracking Fragment** when the **Auto Mode** switch is activated.
Steps to reproduce the behavior:
1. Go to **Object Tracking**
2. Turn on the **Auto Mod**e switch
3. App may immediately crash
In the textview **controlInfo** is being updated from **child** thread. It should be **called from the main thread**, in this way:
protected void control)
%.0f,%.0f left, right)))
In the same way, the is updating another text view:
public void ipAddress)
This is similar to this issue (https: github.com intel-isl OpenBot issues 209)
Here is the gif for better explanation:
ezgif com-gif-maker (1) (https: 50874919
**Smartphone (please complete the following information):**
Device: e.g. Samsung J7
OS: e.g. Android</t>
  </si>
  <si>
    <t>isl-org-OpenBot-209</t>
  </si>
  <si>
    <t>App crashes in Autopilot fragment, when "Auto Mode" switch is activated</t>
  </si>
  <si>
    <t>App crashes in the **Autopilot fragment** when the **Auto Mode** switch is activated.
Steps to reproduce the behavior:
1. Go to **Autopilot**
2. Turn on the **Auto Mode** switch
3. App may immediately crash
In the textview **controlInfo** is being updated from **child** thread. It should be **called from the main thread**, in this way:
protected void control)
%.0f,%.0f left, right)))
In the same way, the is updating another text view:
public void ipAddress)
Here is the gif for better explanation:
ezgif com-gif-maker (https: 50874919
**Smartphone (please complete the following information):**
Device: e.g. Samsung J7
OS: e.g. Android
Add any other context about the problem here.</t>
  </si>
  <si>
    <t>TeamNewPipe-NewPipe-6729</t>
  </si>
  <si>
    <t>Application get crash with downloads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</si>
  <si>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behavior
&lt;!-- Tell us what happens with the steps given above. --&gt;
Go on youtube (for example)
Select any video
Click on share button and select newpipe
Select any video or audio quality and press OK
You got crash error (everytime if you try theses steps)</t>
  </si>
  <si>
    <t>2021-07-21</t>
  </si>
  <si>
    <t>Anuken-Mindustry-5630</t>
  </si>
  <si>
    <t>Block status not showing</t>
  </si>
  <si>
    <t>Block status won show when the setting is on
**Steps to reproduce**: *How you happened across the issue, and what exactly you did to make the bug happen.*
Just turn the setting then go in game and place block that would normally show the status.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An issue with graphics, not the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</si>
  <si>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nextcloud-android-8747</t>
  </si>
  <si>
    <t>Anuken-Mindustry-5628</t>
  </si>
  <si>
    <t>b o o m... reposted (with new info)</t>
  </si>
  <si>
    <t>dont think can tell you how much hate to repost bug, but have new info and dont want someone to go insane over losing sector like did
bleeding edge 21467
was saving up for nucleus when almost everything died, the only things that survived where some walls and vaults placed and the sector was cleared, had to clear it again
**Steps to reproduce**: *How you happened across the issue, and what exactly you did to make the bug happen.*
there are only things can think of that could have caused it.
1. the overdrives spammed to get more thorium
2. the extreme and eradication base next to it
3. the defense (it was cryofluid salvo)
**Link(s) to mod(s) used**: *The mod repositories or zip files that are related to the issue, if applicable.*
testing utilities and time control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</si>
  <si>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nextcloud-android-8745</t>
  </si>
  <si>
    <t>Mobile app crashed whole managing photos</t>
  </si>
  <si>
    <t>### Steps to reproduce
The crash occurred while was simultaneously uploading photos and browsing the media folder from my mobile device.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 CAUSE OF ERROR ************
************ APP INFORMATION ************
Build flavor: gplay
************ DEVICE INFORMATION ************
************ FIRMWARE ************</t>
  </si>
  <si>
    <t>nextcloud-android-8744</t>
  </si>
  <si>
    <t>Log in from domain name error</t>
  </si>
  <si>
    <t>### Steps to reproduce
1. Log in with domain name
2. Instant crash
### Expected behaviour
Tell us what should happen
app should log into server
### Actual behaviour
Tell us what happens
App crashes with error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CAUSE OF ERROR ************
************ APP INFORMATION ************
Build flavor: gplay</t>
  </si>
  <si>
    <t>PojavLauncherTeam-PojavLauncher-1705</t>
  </si>
  <si>
    <t>100 mods crash in 2mins</t>
  </si>
  <si>
    <t>### Describe the bug
Can keep up! Did the system time change, or is the server overloaded? Running 2850ms behind, skipping 57 tick(s)
### The log file and images videos
### Steps To Reproduce
1. Add mods
2. Start the pojavlauncher
3. Off all setting
4. Start the game
5. Crash after 2mins of play
### Expected Behavior
Overloaded running need to fix
Device model: mi 9t pro
CPU architecture: aarch64
Android version: 10
PojavLauncher version: latest updates on github action
### Anything else?
Can keep up! Did the system time change, or is the server overloaded? Running 2850ms behind, skipping 57 tick(s)</t>
  </si>
  <si>
    <t>2021-07-20</t>
  </si>
  <si>
    <t>mhulyalkar-2fit-19</t>
  </si>
  <si>
    <t>App crashes if back track from WorkoutActivity</t>
  </si>
  <si>
    <t>Popup window tries to open but workoutactivity is not running</t>
  </si>
  <si>
    <t>material-components-material-components-android-2309</t>
  </si>
  <si>
    <t>[motion] Get crash reports when using container anim between two activities</t>
  </si>
  <si>
    <t>Get crash report when using container anim between two activities.
It very similar to https: github.com skydoves
Everything worked fine, but got some crash reports as below:
Just refer to the sample code from this repo
**Android API version:**
**Material Library version:**
Material Android Library version: 1.3.0
Moto G4 Play(7.1.1)</t>
  </si>
  <si>
    <t>Anuken-Mindustry-5623</t>
  </si>
  <si>
    <t>229 crash</t>
  </si>
  <si>
    <t>**Steps to reproduce**: A.*
**Link(s) to mod(s) used**: **
**Save file**: *https: mega.nz file
**(Crash) logs**: *https: mega.nz file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</si>
  <si>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Anuken-Mindustry-5622</t>
  </si>
  <si>
    <t>table.background(Tex.inventory) causes NoSuchFieldError</t>
  </si>
  <si>
    <t>**Steps to reproduce**: *Install latest BetaMindy github action, game crashes on startup.*
The code lines of the crash log stacktrace:
**Link(s) to mod(s) used**: *sk7725 BetaMindy*
**Save file**: *crash on startup*
If you remove the line above without reading it properly and understanding what it means, will reap your soul. Even if you re playing on someone server, you can still save the game to slot.
Mindustry has crashed. How unfortunate.
19 Mods: betamindy:1.0
#b59e72 Demo of Chaos Itself commandustry:0.5, dev-mode:2.3.2, diversetech:0.1.0, hackustry:4, largeunits:0.1, ldb:1.3.2, new-horizon:1.8.7.1 Fix, notepad:2.0.0, override-lib:1.0.1, rtfm:2.14.10, test-utils:0.14, time-control:0.2, uaw:0.4, ui-lib:2.16.6, unit-factory:2.4.2, aeromindustry:1, bundles:13, classicified:1.4
NoSuchFieldError: No static field inventory of type Larc scene style NinePatchDrawable in class Lmindustry gen Tex or its superclasses (declaration of mindustry.gen.Tex appears in base.apk)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</si>
  <si>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k9mail-k-9-5420</t>
  </si>
  <si>
    <t>Crash upon deleting emails</t>
  </si>
  <si>
    <t>K9 mail crashes frequently, seemingly related to me deleting emails. The is sometimes bit of delay though between deleting the emails and the crash. ve been able to reproduce this twice in the past few minutes, see the attached logs.
running 5.738, Android 10, on Nokia 7.2</t>
  </si>
  <si>
    <t>nextcloud-android-8735</t>
  </si>
  <si>
    <t>3.17.0 RC2: crash while posting comment</t>
  </si>
  <si>
    <t>### Steps to reproduce
1. open the detail view of file
2. fill in comment
3. post it, app will crash
************ CAUSE OF ERROR ************
Caused by: Trying to execute sync operation without storage provider! Please use client, storageManager) instead
************ APP INFORMATION ************
Build flavor: gplay
************ DEVICE INFORMATION ************
************ FIRMWARE ************</t>
  </si>
  <si>
    <t>Benji377-SocyMusic-118</t>
  </si>
  <si>
    <t>Queuefragment doesn't close</t>
  </si>
  <si>
    <t>**Describe the bug**
Since we have the new Playerfragment, there are new buttons on it. Three new buttons actually:
Queue-button: When you click on it, the queue opens up and then should close down again
Star-button: Adds the song or removes it from the favorite playlist
Playlist-button: Should open fragment where you can choose the playlist and add the song to it
tried to add the Queue-button and it seems to work beside all the warnings, but when you try to close it again it just crashes the app.
Steps to reproduce the behavior:
1. Click on any song
2. Click on the button to open up the queue. NOT THE ONE ON THE MENU
3. Try to exit the Fragment again
4. App is crashed
think something like when you normally open the queue from the menu should happen. The menu bar should change so that you can click on it and close it again</t>
  </si>
  <si>
    <t>2021-07-19</t>
  </si>
  <si>
    <t>nextcloud-android-8733</t>
  </si>
  <si>
    <t>Webpack crash</t>
  </si>
  <si>
    <t>PojavLauncherTeam-PojavLauncher-1699</t>
  </si>
  <si>
    <t xml:space="preserve">[BUG] Preliminary support for 1.17 doesn't work </t>
  </si>
  <si>
    <t>### Describe the bug
can send videos, ll do it with screenshots
Screenshot 20210719 163133 com lenovo anyshare gps (https: 75908293
Screenshot 20210719 163144 com lenovo anyshare gps (https: 75908293
Screenshot 20210719 163155 com lenovo anyshare gps (https: 75908293
Screenshot 20210719 163234 com duapps recorder (https: 75908293
### The log file and images videos
### Steps To Reproduce
1.Opened pojavlauncher openjdk noruntime
2.Downloaded and installed jre 17
3. Opened the file manager and went to the path: pojavlauncher .minecraft. edited options.txt changed the path to the resource pack there (resourcePacks: assets-v0.zip
4. Opened pojavlauncher, chose renderer gl4es 1.1.5 (OpenGl es 2)
5. Launched minecraft 1.17 and this crash occurred
### Expected Behavior
expected the game to start, but there was an error
Device model:honor 9c 64G
### Anything else?</t>
  </si>
  <si>
    <t>Anuken-Mindustry-5616</t>
  </si>
  <si>
    <t>Editor Undo/Redo Bug</t>
  </si>
  <si>
    <t>Undoing, then redoing placing block in editor turns the block derelict.
**Steps to reproduce**: *How you happened across the issue, and what exactly you did to make the bug happen.*
1. Place any block in editor(eg. any core, plastanium wall, duo).
3. Redo and look at the block team.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Editor bug, save not required.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isn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</si>
  <si>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jellyfin-jellyfin-androidtv-1027</t>
  </si>
  <si>
    <t>FireTV media playback fails when connecting through IPv6</t>
  </si>
  <si>
    <t>**Describe the bug**
When connecting to Jellyfin server through its IPv6 address, the app loads fine into the library view, but crashes when trying to play any file
1. Connect from fireTV (likely any androidTV) app to server through its ipv6 address
2. Log in, get into library, observe things working there
3. Attempt to open file to watch it.
4. Observe it crashing.
The app playing back the media without crashing.
(server address redacted)
Caused by: unexpected host:
Caused by: unexpected host:
**System (please complete the following information):**
Android TV or Fire TV version: Fire OS
Device manufacturer: JVC
Device model: JVC Fire TV
Jellyfin server version: 10.7.6</t>
  </si>
  <si>
    <t>nextcloud-android-8732</t>
  </si>
  <si>
    <t>NullPointerException: App crashes at startup after showing Folders</t>
  </si>
  <si>
    <t>### Steps to reproduce
1. Open the Android app. The folder list ist shown.
2. Folder list is automatically refreshed.
have two accounts in the app, and right before this error started to happen, in fast succession, changed between these and furthermore the dialog to add new account opened briefly (not on purpose, believe might have touched the wrong menu option when trying to switch the account again) and was aborted.
### Expected behaviour
App shows folders and does not crash
### Actual behaviour
App crashes with Parameter password is null.
### Can you reproduce this problem on https: try.nextcloud.com?
no, it problem with the Android app and can change the accounts there anyway as it crashes now each time right after startup. The problem occurs even in flight mode.
### Environment data
Android version: 7.0
Device model: see below
Stock or customized system: stock
Nextcloud app version: 3.16.1
Nextcloud server version: unknown
Reverse proxy: unknown
#### Web server error log
Problem occurs in flight mode. No access to server.
#### Android App Error report</t>
  </si>
  <si>
    <t>Anuken-Mindustry-5610</t>
  </si>
  <si>
    <t>b o o m</t>
  </si>
  <si>
    <t>bleeding edge 24167
was at impact 0078, saving up thor and sil for nucleus when.. *BOOM* everything died. had beaten the sector too :(
**Steps to reproduce**: *How you happened across the issue, and what exactly you did to make the bug happen.*
dunno what did
**Link(s) to mod(s) used**: *The mod repositories or zip files that are related to the issue, if applicable.*
time control and testing utilities, dont know how to get zip file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sorry man, lost the sector so no save
but have evidence that cleared it, here
and here is evidence that died there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(x)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</si>
  <si>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2021-07-18</t>
  </si>
  <si>
    <t>Anuken-Mindustry-5609</t>
  </si>
  <si>
    <t>"Jump" destination doesn't copy correctly</t>
  </si>
  <si>
    <t>**Steps to reproduce**: Copy jump function.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</si>
  <si>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Anuken-Mindustry-5607</t>
  </si>
  <si>
    <t>did mindustry.pl server die?</t>
  </si>
  <si>
    <t>PojavLauncherTeam-PojavLauncher-1689</t>
  </si>
  <si>
    <t>Sodium and iris mod doesn't work in 1.17.1</t>
  </si>
  <si>
    <t>### Describe the bug
When enter world with sodium mod the game crash
### The log file and images videos
--------- beggining with launcher debug
Added custom env: TMPDIR data user cache
Added custom env: AWTSTUB WIDTH 2400
Added custom env: REGAL GL VERSION 4.5
Added custom env: REGAL GL VENDOR Android
Added custom env: LIBGL MIPMAP
Added custom env: allow higher compat version true
Added custom env: MESA GLSL CACHE DIR data user cache
Added custom env: HOME storage emulated games PojavLauncher .minecraft
Added custom env: force glsl extensions warn true
Added custom env: LIBGL NORMALIZE
Added custom env: POJAV RENDERER opengles3
Added custom env: LIBGL ES
Added custom env: MESA LOADER DRIVER OVERRIDE zink
Added custom env: MESA GLSL VERSION OVERRIDE 460
Added custom env: MESA GL VERSION OVERRIDE 4.6
Added custom env: allow glsl extension directive midshader true</t>
  </si>
  <si>
    <t>Anuken-Mindustry-5606</t>
  </si>
  <si>
    <t>Neutral structures are not usable by player</t>
  </si>
  <si>
    <t>Neutral structures on the map cannot be used, only dismantled
**Steps to reproduce**: *How you happened across the issue, and what exactly you did to make the bug happen.*
Play campaign, try to use existing structures (it used to be possible and it was nice feature!)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am not sure, hopefully, .local share Mindustry saves save is good enough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is it going to trash my campaign status? Or is it enough to backup .local share Mindustry saves
**I have searched the closed and open issues to make sure that this problem has not already been reported.** https: github.com Anuken Mindustry issues?q neutral+structures https: github.com Anuken Mindustry issues?q campaign+structures</t>
  </si>
  <si>
    <t>Anuken-Mindustry-5603</t>
  </si>
  <si>
    <t>daggers not shoooting right</t>
  </si>
  <si>
    <t>bleeding edge 21467
while was commanding, some daggers were shooting straight, while wasnt
**Steps to reproduce**: *How you happened across the issue, and what exactly you did to make the bug happen.*
**Link(s) to mod(s) used**: *The mod repositories or zip files that are related to the issue, if applicable.*
used time control and testing utilities, dont know how to get the zip file for them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this is it but the map is done
If you remove the line above without reading it properly and understanding what it means, will reap your soul. Even if you re playing on someone server, you can still save the game to slot.
also have video showing the bug
**(Crash) logs**: *Either crash reports from the crash folder, or the file you get when you go into Settings -&gt; Game Data -&gt; Export Crash logs. REQUIRED if you are reporting crash.*
*Place an (x)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</si>
  <si>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GitKj-RxmindApp-1</t>
  </si>
  <si>
    <t>Back button crashes app</t>
  </si>
  <si>
    <t>nextcloud-android-8728</t>
  </si>
  <si>
    <t>Android app crashes after changing password</t>
  </si>
  <si>
    <t>### Steps to reproduce
1. Change password
2. Launch the app in Android
### Expected behaviour
Tell us what should happen prompt you password has changed
Tell us what happens
************ CAUSE OF ERROR ************
Caused by: Parameter specified as non-null is null: method parameter password
************ APP INFORMATION ************
Build flavor: gplay
************ DEVICE INFORMATION ************
************ FIRMWARE ************</t>
  </si>
  <si>
    <t>nextcloud-android-8725</t>
  </si>
  <si>
    <t>NPE checking if user changes in FIleDisplayActivity</t>
  </si>
  <si>
    <t>### Steps to reproduce
1. Fresh installation
2. Login via webflow
### Expected behaviour
### Actual behaviour
Crashes right away
### Can you reproduce this problem on https: try.nextcloud.com?
### Environment data
Android version: 11
Device model: OP9Pro
Stock or customized system:Stock
Nextcloud app version:3.10 Alpha latest-master
Nextcloud server version: 20
Changed line which crashes has been introduced via https: github.com nextcloud android pull 8658 so also looping in ezaquarii for help</t>
  </si>
  <si>
    <t>2021-07-17</t>
  </si>
  <si>
    <t>cgeo-cgeo-11251</t>
  </si>
  <si>
    <t>Cannot instantiate class: cgeo.geocaching.apps.navi.NavigationSelectionActionProvider</t>
  </si>
  <si>
    <t>This error shows up when refreshing cache using developer build based on current release branch. Did not check with master
No crash associated.</t>
  </si>
  <si>
    <t>Anuken-Mindustry-5596</t>
  </si>
  <si>
    <t>jvm crash</t>
  </si>
  <si>
    <t>**Steps to reproduce**: *After running mindustry v128 or later, exit. This will cause the jvm to crash, creating hs err pid****.log file in the same mindustry data folder as the SteamLibrary steamapps common Mindustry folder.*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hs err pid10888.log (https: github.com Anuken Mindustry files 6834498 hs err pid10888.log)*
**JVM version**: AdoptOpenJDK 16 (https: adoptopenjdk.net ?variant hotspot)*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</si>
  <si>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TeamNewPipe-NewPipe-6687</t>
  </si>
  <si>
    <t>Crashing when downloading because of SAF</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</si>
  <si>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video
2. Press on download
download any video or go to see download folder in the app, app restarts couple of time and crashes
happening only if enable SAF, its default in 0.21.6 also happens in 0.21.5 if enabled it
but in 0.21.5, could atleast see my downloads folder, in 0.21.6 it crashes in both cases, seeing the downloads folder or downloading video audio
&lt;!-- If you can cause the bug to show up again reliably (and hence don have proper set of steps to give us), please still try to give as many details as possible on how you think you encountered the bug. --&gt;
### Actual behavior
&lt;!-- Tell us what happens with the steps given above. --&gt;
### Expected behavior
&lt;!-- Tell us what you expect to happen. --&gt;
### Screenshots Screen recordings</t>
  </si>
  <si>
    <t>PojavLauncherTeam-PojavLauncher-1682</t>
  </si>
  <si>
    <t>Game exited on latest action</t>
  </si>
  <si>
    <t>### Describe the bug
Latest action release crashes with game exited everytime try to play. even install java runtime
### The log file and images videos
### Steps To Reproduce
1. Fix the app so that it doesn crash
### Expected Behavior
expected for the game to launch normally
Device model: Acer Chromebook 315
CPU architecture: x86 64
Android version: 10
PojavLauncher version: Update bug report.yml
### Anything else?</t>
  </si>
  <si>
    <t>Anuken-Mindustry-5595</t>
  </si>
  <si>
    <t>Core Capture and the console command to kill all builds combined can stop the game from running.</t>
  </si>
  <si>
    <t>think the title explains it all.
**Steps to reproduce**: *How you happened across the issue, and what exactly you did to make the bug happen.*
Turn on Core Capture, then enter the command line below:
**Link(s) to mod(s) used**: *The mod repositories or zip files that are related to the issue, if applicable.*
Only the dev console is needed, sure.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Game stops responding no matter what map play on, therefore not save specific.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</si>
  <si>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cgeo-cgeo-11248</t>
  </si>
  <si>
    <t>Map doesn't support vector drawables for markers</t>
  </si>
  <si>
    <t>Replace marker.png with vector drawable -&gt; crash on loading the map:
moving-bits any chance you could take look at that? It blocker for me.</t>
  </si>
  <si>
    <t>2021-07-16</t>
  </si>
  <si>
    <t>nextcloud-android-8716</t>
  </si>
  <si>
    <t>Login crash after temp. 2FA activation</t>
  </si>
  <si>
    <t>### Steps to reproduce
1. Activate 2FA
2. deactivate 2FA
3. Open nextcloud app
### Expected behaviour
Login should work
### Actual behaviour
### Can you reproduce this problem on https: try.nextcloud.com?
### Environment data
Stock or customized system:
Nextcloud app version:
Nextcloud server version: 22
Reverse proxy: apache
#### Web server error log
Insert your webserver log here
#### Nextcloud log (data nextcloud.log)
************ CAUSE OF ERROR ************
************ APP INFORMATION ************
Build flavor: gplay
************ DEVICE INFORMATION ************</t>
  </si>
  <si>
    <t>TeamNewPipe-NewPipe-6682</t>
  </si>
  <si>
    <t>Import and export database does not work with Android tv Xiaomi mi box version 9</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</si>
  <si>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settings contents import or export database
2. Try the intended action
&lt;!-- If you can cause the bug to show up again reliably (and hence don have proper set of steps to give us), please still try to give as many details as possible on how you think you encountered the bug. --&gt;
### Actual behavior
It is shown toast saying that there are no installed app to the desired action. Old versions worked fine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</si>
  <si>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TeamNewPipe-NewPipe-6680</t>
  </si>
  <si>
    <t>Import and export does not work in android tv</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</si>
  <si>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settings content import or export database
2. See the bug
&lt;!-- If you can cause the bug to show up again reliably (and hence don have proper set of steps to give us), please still try to give as many details as possible on how you think you encountered the bug. --&gt;
### Actual behavior
Android shows toast saying that there is no installed app to the desired action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</si>
  <si>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TeamNewPipe-NewPipe-6669</t>
  </si>
  <si>
    <t>Could not get like/dislike count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</si>
  <si>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don know, it arrived while was watching video.
&lt;!-- If you can cause the bug to show up again reliably (and hence don have proper set of steps to give us), please still try to give as many details as possible on how you think you encountered the bug. --&gt;
### Actual behavior
&lt;!-- Tell us what happens with the steps given above. --&gt;
The video continued to work.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</si>
  <si>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2021-07-15</t>
  </si>
  <si>
    <t>Anuken-Mindustry-5585</t>
  </si>
  <si>
    <t>Array index broken: NoSuchMethodError: rhino.ScriptRuntime.getObjectIndex</t>
  </si>
  <si>
    <t>**Steps to reproduce**:
rtfm (https: github.com DeltaNedas rtfm) just crashed on startup.
Or, console run
for (let up.size i++)
obj up.get(i) .toString() up.get(i) .toString()
**Link(s) to mod(s) used**: See above.
**(Crash) logs**: rtfm crashed on str of line const translate str str str
lang Object DLrhino Context )Ljava lang Object
rtfm main.js NoSuchMethodError: lang Object DLrhino Context )Ljava lang Object
**I have updated to the latest release (https: github.com Anuken Mindustry releases) to make sure my issue has not been fixed.**
**I have searched the closed and open issues to make sure that this problem has not already been reported.**</t>
  </si>
  <si>
    <t>nextcloud-android-8706</t>
  </si>
  <si>
    <t>Android client fails to start</t>
  </si>
  <si>
    <t>### Steps to reproduce
1. Open the client
2. See crash trace
### Expected behaviour
access to the files
### Actual behaviour
************ CAUSE OF ERROR ************
... 11 more
************ APP INFORMATION ************
Build flavor: gplay
************ DEVICE INFORMATION ************
************ FIRMWARE ************</t>
  </si>
  <si>
    <t>ably-ably-java-686</t>
  </si>
  <si>
    <t>Remove use of forClass method in push activation state machine implementation</t>
  </si>
  <si>
    <t>See here (https: github.com ably ably-java blob android src main java io ably lib push
Why do we need to do this?
We have customer who is experiencing crash, which am pretty sure is coming from an exception thrown here.
See this internal thread (https: archives CKAPDADC6 p1626334221082100).
We should probably work on https: github.com ably ably-java issues 685 before trying to investigate this issue, as that code encapsulates this.
Issue is synchronized with this Jira Uncategorised (https: ably.atlassian.net browse SDK-1041) by Unito (https: www.unito.io)</t>
  </si>
  <si>
    <t>ably-ably-java-685</t>
  </si>
  <si>
    <t>Push Activation State Machine exception handling needs improvement</t>
  </si>
  <si>
    <t>There are places where we catch Exception and then re-throw as uncaught RuntimeException (e.g. here (https: github.com ably ably-java blob android src main java io ably lib push which would almost always be inappropriate and heavy handed.
Answers to this question (https: stackoverflow.com questions 2416316 perhaps illustrate the point better than could describe myself, in respect as to why catch (Exception) is almost always bad idea.
Plus, throwing RuntimeException will cause the application process to crash. Thus, we effectively have engineered in critical failure state when suspect something lighter weight could have been implemented.
customer has been seeing crashes on Android devices at runtime which pass through this exception handling path. Our manner of handling these exceptions is making it more difficult to debug that issue internal thread (https: archives CKAPDADC6
Issue is synchronized with this Jira Uncategorised (https: ably.atlassian.net browse SDK-1040) by Unito (https: www.unito.io)</t>
  </si>
  <si>
    <t>Anuken-Mindustry-5583</t>
  </si>
  <si>
    <t>java.lang.NoSuchMethodError: rhino.ScriptRuntime.delete</t>
  </si>
  <si>
    <t>**Steps to reproduce**:
Install dev-mode (https: github.com DeltaNedas dev-mode), press F8 to open the console, run let a:0 delete
**Link(s) to mod(s) used**: See above.
**(Crash) logs**: Mod Crashed. Tried on Java SE 1.8.0 221 and Open JDK 16.0.1.
java.lang.Object java.lang.Object, rhino.Context, boolean)
delete-crash main.js NoSuchMethodError: java.lang.Object java.lang.Object, rhino.Context, boolean)
**I have updated to the latest release (https: github.com Anuken Mindustry releases) to make sure my issue has not been fixed.**
**I have searched the closed and open issues to make sure that this problem has not already been reported.**</t>
  </si>
  <si>
    <t>google-ExoPlayer-9193</t>
  </si>
  <si>
    <t>ExoPlayer crashing while trying to release `DefaultDrmSession` (`Assertions.checkState`)</t>
  </si>
  <si>
    <t>small percentage of our users are facing crashes within Exoplayer 2.13.3
am trying to understand if there is something we aren handling properly with the DRM Session Manager?
This is how we create the session manager:
TYPE AUDIO, C.TRACK TYPE VIDEO)
additional configuration omitted for brevity</t>
  </si>
  <si>
    <t>nextcloud-android-8700</t>
  </si>
  <si>
    <t>2021-07-14</t>
  </si>
  <si>
    <t>PojavLauncherTeam-PojavLauncher-1673</t>
  </si>
  <si>
    <t>1.17 and 1.17.1 Unable to launch[BUG]</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</si>
  <si>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Minecraft Java 1.17 and 1.17.1 Unable to launch(Temporary method to play was followed step by step)
**Add log file if you want to see your bug fixed !**
### To Reproduce:
Indicate steps to reproduce the buggy behavior:
1. Start PojavLauncher
2. Put in Default arguments( -Xms768m -Xmx800m)
3. Choose renderer (OpenGL 2)
4. Allocated the right amount of ram to the game.
5. Start Download process( 1.17.jar assets)
7. Screen fades to black and crashes.
### Expected behavior:
expected the app to launch the 1.17 version of the game because ve followed every step on how to run Minecraft Java 1.17, Even though did everything step by step, The game still crashed.
### Screenshots or videos:
*Upload here screenshots or videos of the buggy behavior, if possible.*
Device Model OPPO A31</t>
  </si>
  <si>
    <t>nextcloud-android-8699</t>
  </si>
  <si>
    <t>Android app crashes after selecting folders to auto-upload</t>
  </si>
  <si>
    <t>************ CAUSE OF ERROR ************
Now the the app only freezes crashes on wifi, on mobile data it works fine.
Here what the app produced
Now the app also crashes in mobile data.
### Steps to reproduce
1. Select camera folders to auto upload
2. Wait for them to load
3. Try re opening the app
### Expected behaviour
Whilst on background activity the pictures and videos should keep uploading and the app should work normally
### Actual behaviour
App doesn open and crashes randomly, also the file upload stops
### Can you reproduce this problem on https: try.nextcloud.com?
Not sure can add another account since my app crashes
### Environment data
Samsung Galaxy s10+
Stock or customized system:
Samsung ONE UI 3.1
Nextcloud app version:
Nextcloud server version:</t>
  </si>
  <si>
    <t>Anuken-Mindustry-5579</t>
  </si>
  <si>
    <t>about idle logic command</t>
  </si>
  <si>
    <t>released v7b128 (also happen in other version)
the Logic command:Unit,Idle didn do that they need to do, it say don move but keep mining, building but it actually didn do anything
**Steps to reproduce**: *How you happened across the issue, and what exactly you did to make the bug happen.*
used bind and logic control: Idle to polys (and also monos) and they didn do anythings (no mining no building) it happen in survival and sandbox mode
**Link(s) to mod(s) used**: *The mod repositories or zip files that are related to the issue, if applicable.*
auto updater (prob not related
cliff (prob not related
developer mode (prob not related, didn execute any commands
item grabber (prob not related
Logic Debugger v1.3.1
mind-util Utility mod (prob not related
Override Lib v1.0.1 (used to run Logic debugger)
TimeControl (not using while testing bug)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</si>
  <si>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lisawray-groupie-398</t>
  </si>
  <si>
    <t>IndexOutOfBoundsException: Wanted item at 5 but there are only 5 items</t>
  </si>
  <si>
    <t>**Describe the bug**
my RecyclerView Adapter use updateAsync(groups) to update all items. But sometimes it crashes with the following trace (taken from the Crashlytics):
Fatal Exception: Wanted item at but there are only items
Caused by Wanted item at but there are only items
cannot reproduce it myself. IMO it happens when an item is deleted from the list.</t>
  </si>
  <si>
    <t>Anuken-Mindustry-5577</t>
  </si>
  <si>
    <t>Homing</t>
  </si>
  <si>
    <t>release v7 (b128)
all the homing bullet still targeting the derelict team destroyed building
**Steps to reproduce**: *How you happened across the issue, and what exactly you did to make the bug happen.*
just kill some detelict message block, after that the bullets still homing to the destroyed building
**Link(s) to mod(s) used**: *The mod repositories or zip files that are related to the issue, if applicable.*
auto updater (prob not related
cliff (prob not related
developer mode (prob not related, didn execute any commands
item grabber (prob not related
Logic Debugger v1.3.1
mind-util Utility mod (prob not related
Override Lib v1.0.1 (used to run Logic debugger)
TimeControl (not using while testing bug)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sadly if we quit and join back to the save the building updated and bullets don homing to destryed building anymore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</si>
  <si>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commons-app-apps-android-commons-4503</t>
  </si>
  <si>
    <t>Send logs button on settings doesnt work</t>
  </si>
  <si>
    <t>Currently the only way for user to send logs to us is waiting app to be crashed. However, user should be able to send logs without having to wait app to crash. Actually we have button to send logs in settings page. It does not work and should be fixed.
**Steps to reproduce:**
Go to settings and click send logs button, nothing will happen.
**Would you like to work on the issue?**</t>
  </si>
  <si>
    <t>2021-07-13</t>
  </si>
  <si>
    <t>iZettle-sdk-android-36</t>
  </si>
  <si>
    <t>java.lang.AssertionError at com.izettle.payments.android.bluetooth.c.lock (c.java:77) in release-1.14.15</t>
  </si>
  <si>
    <t>Witnessing several crashes with the following stack from the Google Play Developer Console
Steps to Reproduce
We can reproduce, the crashes come from Google Play Console reports.
User is running
Android 8.0 (SDK 26)
## Failure Logs</t>
  </si>
  <si>
    <t>jellyfin-jellyfin-androidtv-1015</t>
  </si>
  <si>
    <t>Client for Android TV crash after connect to server</t>
  </si>
  <si>
    <t>**Describe the bug**
Client for Android TV crash after connect to server
1. Open Jellyfin
2. Select user (no pswrd)
7585 7643 ACRA at
7585 7643 ACRA at Builders
7585 7643 ACRA at Source:1)
7585 7643 ACRA at
7585 7643 ACRA at
7585 7643 ACRA at
7585 7643 ACRA at
7585 7643 ACRA at
7585 7643 ACRA at
2832 2832 SELinux avc: denied find for service meminfo pid 7658 uid 10032 scontext u:r:untrusted tcontext u:object r:meminfo service:s0 tclass service manager permissive
**System (please complete the following information):**
Server 10.08 (linuxserver docker)
Device Android TV box</t>
  </si>
  <si>
    <t>avluis-Hentoid-810</t>
  </si>
  <si>
    <t>Issue: App stutters, crashes and freezes with extremely large libraries, especially in advanced search.</t>
  </si>
  <si>
    <t>bit embarrassing but just wanted to report this issue. Probably low priority as can imagine most people download enough for this to be major issue.
&lt;!-- What version of Hentoid you re running, for example: 1.2.0r3 1.2.1r1 1.2.1r2
It essentially the version number from the About Screen --&gt;
**Hentoid Version**: v1.14.10 although issues have occurred with older versions too, usually the most up to date version across the past month or three.
&lt;!-- What devices you managed to get the issue to come up on? For example:
fails on Galaxy S4 GT-I9500 4.4.2, works fine on Nexus 6P 5.1 and Genymotion Nexus 5.0.1 --&gt;
**Device Android Version**: Snapdragon 845 ,6GB RAM, Android 10
&lt;!-- Share the details of your issue in prose, detailing actual and expected behavior. --&gt;
**Issue details Repro steps**: When handling extremely large libraries of 15,000+ entries or 3-400+GB the app begins to suffer from several errors:
Tags in advanced search are slow to load and can hang freezing the app and requiring the app to be force closed through the settings
Subsequently opening the app and going into advanced search will result in another crash if you do not wait at least 15-30 seconds
After selecting tag in advanced search, you need to wait 10-30 seconds before searching for another, or it can eventually get stuck looking for available tags after 3-6 tags and require hard restart.
Scrolling up and down the library slowly will result in temporary .5-2 second stutters or freezes
Selecting comic for deletion results in it instantly acting as if you selected then deselected it. To properly select it you must press down as if to select then scroll up or down before it detects your selection. think it something to do with the long press action.
Reinstalling the app and restoring the library results in significant improvements to the tag issues although they still exist and are significant.
&lt;!-- What is the error message that you got in the log? --&gt;
**Stack trace LogCat**: No error log, just freezes and crashes
&lt;!-- Bonus points if you attach relevant screenshot or screen recording --&gt;
Also curious but could too low RAM have anything to do with this?</t>
  </si>
  <si>
    <t>Anuken-Mindustry-5571</t>
  </si>
  <si>
    <t>affinities and required tiles broke</t>
  </si>
  <si>
    <t>&lt;img width 1280 alt Screen Shot 2021-07-12 at 17 29 PM src https: 75851043
&lt;img width 1280 alt Screen Shot 2021-07-12 at 17 34 PM src https: 75851043
required tiles aren even mentioned
&lt;img width 1280 alt Screen Shot 2021-07-12 at 17 47 PM src https: 75851043
same as spore press, but with required tiles this time
**Steps to reproduce**: *How you happened across the issue, and what exactly you did to make the bug happen.* open info pages for above blocks, as well as silicon crucibles and watex, cuz those are the only other blocks can think of with affinities.
**Link(s) to mod(s) used**: *The mod repositories or zip files that are related to the issue, if applicable.* none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</si>
  <si>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2021-07-12</t>
  </si>
  <si>
    <t>PojavLauncherTeam-PojavLauncher-1667</t>
  </si>
  <si>
    <t>[BUG] Blazingpack Client Crash</t>
  </si>
  <si>
    <t>wanna try blazingpack client (Banned client on hypixel) on cracked servers or no anti cheat servers.
### Describe the bug
when run blazingpack client it just Game Exited
### To Reproduce:
Indicate steps to reproduce the buggy behavior:
1. Start PojavLauncher
... *(Downloading blazingpack client copy to .minecraft --&gt; version)*
### Expected behavior:
expected No crash information
### Screenshots or videos:
Device Model Acer Chromebook 714
CPU architecture x86-64
PojavLauncher Version Latest Release version 3.3.1.1 rel 20210321</t>
  </si>
  <si>
    <t>opensrp-opensrp-client-giz-malawi-402</t>
  </si>
  <si>
    <t>App crash when trying to access the client profile</t>
  </si>
  <si>
    <t>From the Main OPD register, when the user taps on patient who was seen today, the app crashes. This is happening only for female patients.</t>
  </si>
  <si>
    <t>PojavLauncherTeam-PojavLauncher-1661</t>
  </si>
  <si>
    <t xml:space="preserve">[BUG] not work skyfactory 4 </t>
  </si>
  <si>
    <t>### Describe the bug
when try to run sky factory openGL throws an error
### To Reproduce:
Indicate steps to reproduce the buggy behavior:
1. Start PojavLauncher
download from crystal launcher modpack skyfactory run skyfactory on crystal how to start close and copy the .minecraft file to pojav launcher
### Expected behavior:
shutdown minecraft without crash information
Device Model Xiaomi Poco f3 256
CPU architecture Kryo 585
Android Version android 11</t>
  </si>
  <si>
    <t>2021-07-11</t>
  </si>
  <si>
    <t>nextcloud-android-8686</t>
  </si>
  <si>
    <t>App crashes after listening to a track and trying to navigate back</t>
  </si>
  <si>
    <t>### Steps to reproduce
1. Nd c.
2. ************ CAUSE OF ERROR ************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</si>
  <si>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PojavLauncherTeam-PojavLauncher-1658</t>
  </si>
  <si>
    <t>[BUG] Java 17 incompatible</t>
  </si>
  <si>
    <t>used java-17 JRE and the application crashed
--------- beggining with launcher debug
--------- beginning of system
--------- beginning of main
Added custom env: TMPDIR data user cache
Added custom env: AWTSTUB WIDTH 1600
Added custom env: REGAL GL VERSION 4.5
Added custom env: REGAL GL VENDOR Android
Added custom env: LIBGL MIPMAP
Added custom env: allow higher compat version true
Added custom env: MESA GLSL CACHE DIR data user cache
Added custom env: HOME storage emulated games PojavLauncher .minecraft
Added custom env: force glsl extensions warn true
Added custom env: LIBGL NORMALIZE
Added custom env: POJAV RENDERER opengles2
Added custom env: LIBGL ES
Added custom env: MESA LOADER DRIVER OVERRIDE zink
Added custom env: MESA GLSL VERSION OVERRIDE 460
Added custom env: JAVA HOME data user jre runtime
Added custom env: MESA GL VERSION OVERRIDE 4.6</t>
  </si>
  <si>
    <t>Anuken-Mindustry-5562</t>
  </si>
  <si>
    <t>Multiplayer connection closed</t>
  </si>
  <si>
    <t>Every attempt made by me and some others on Macs to join any sort of Multiplayer server has resulted in Connection Closed pop-up that occurs when you turn off your computer when on multiplayer server.
**Steps to reproduce**: *How you happened across the issue, and what exactly you did to make the bug happen.*
1. Attempt to join Multiplayer Server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Not in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</si>
  <si>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2021-07-10</t>
  </si>
  <si>
    <t>nextcloud-android-8685</t>
  </si>
  <si>
    <t>Startup crash: SQLiteBlobTooBigException: Row too big to fit into CursorWindow</t>
  </si>
  <si>
    <t>### Steps to reproduce
1. Everytime open the app.
### Environment data
Stock or customized system: LineageOS
************ CAUSE OF ERROR ************
************ APP INFORMATION ************
Build flavor: generic
************ DEVICE INFORMATION ************
************ FIRMWARE ************</t>
  </si>
  <si>
    <t>Anuken-Mindustry-5561</t>
  </si>
  <si>
    <t>handshake failure when loading mod browser</t>
  </si>
  <si>
    <t>&lt;img width 707 alt Screen Shot 2021-07-10 at 12 04 59 PM src https: 75851043
**Steps to reproduce**: *How you happened across the issue, and what exactly you did to make the bug happen.*
download pre-alpha from itch, open mod browser. error also pops up again every time type letter into the search bar in the browser or hit ok when trying to import from github directly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doesn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</si>
  <si>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Anuken-Mindustry-5560</t>
  </si>
  <si>
    <t>logic Polygon displaying bug</t>
  </si>
  <si>
    <t>when display polygon (using the Draw:poly command), there wierd part the have less transparency than other)
**Steps to reproduce**: *How you happened across the issue, and what exactly you did to make the bug happen.*
used hyper processor, and large display, it seem like only happen with rotating polygon (tested)
**Link(s) to mod(s) used**: *The mod repositories or zip files that are related to the issue, if applicable.*
auto updater (prob not related
cliff (prob not related
developer mode (prob not related, didn execute any commands
item grabber (prob not related
Logic Debugger v1.3.1
mind-util Utility mod (prob not related
Override Lib v1.0.1 (used to run Logic debugger)
TimeControl (not using while testing bug)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---&lt;no crash, so none&gt;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</si>
  <si>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TeamNewPipe-NewPipe-6639</t>
  </si>
  <si>
    <t>Fix crash when refreshing feed after importing database or subscriptions</t>
  </si>
  <si>
    <t>#### What is it?
Bugfix (user facing)
Feature (user facing)
Codebase improvement (dev facing)
Meta improvement to the project (dev facing)
#### Description of the changes in your PR
Close database before restarting the app
#### Fixes the following issue(s)
Fixes crash when refreshing feed after importing database or subscriptions.
User Action: requested feed
Request: Loading feed
Content Country: US
Content Language: en
App Language: en GB
OS: Linux Android 10 29
log b&gt;&lt; summary&gt;&lt;p&gt;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t>
  </si>
  <si>
    <t>PojavLauncherTeam-PojavLauncher-1651</t>
  </si>
  <si>
    <t>[BUG] a strange bug on a12</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</si>
  <si>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(Since the mouse bug has been fixed pls fix this bug)
The bug is giving me insane speed and the texture particles stretch? im bad at explaining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2. Play any world
3. few seconds it is gonna give me insane speed
4. textures about to stretch
5. Game crashed
### Expected behavior:
expected to play normally</t>
  </si>
  <si>
    <t>PojavLauncherTeam-PojavLauncher-1649</t>
  </si>
  <si>
    <t>[BUG] Unable to open the create mod for 1.16.5. Crash a few seconds after entry. Is this a problem with the renderer</t>
  </si>
  <si>
    <t>sorry, come from China, don know English, can only use software translation to complete the conversation with you.
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2. Add the create mod to the mods folder, which is the only mod in the folder.
3. Start the game(The correct version of Forge is installed)
4. The game only shows the picture inside and crashes few seconds later.
### Expected behavior:
look forward to providing solution, which helps me lot.
### Screenshots or videos:</t>
  </si>
  <si>
    <t>theheraldproject-herald-for-android-217</t>
  </si>
  <si>
    <t>Crash In Android SDK 28 device</t>
  </si>
  <si>
    <t>small number of devices provide invalid advertised manufacturer data, and this leads to crash on Android SDK 28 and earlier. Android SDK 29+ has fixed this issue by adding check. Herald can avoid this crash by checking if the advertised manufacturer data is valid. This will enhance support for Android SDK 28 and earlier.
**Smartphone and App information (REQUIRED):**
Device: LGE V30
Device exact model (if known): LGE V30 H933
OS exact version: Android (SDK 28)
Herald demonstration app version: v1.3.0
Have you reproduced this issue on the latest develop Herald branch?: No, but due to lack of access to the device.
This issue was reported in the App Google Play Console.
**Severity (Project team may edit this section after reporting)**
Please provide the following metrics (optional, can be filled in by project team if left blank):-
Likely How Widespread: LOW
Reproducability: It is very likely to be reproduced on the affected device.
Steps to reproduce the behavior:
1. Connect the device to computer with ADB logcat enabled
2. Enable bluetooth
3. Install and run the latest Herald-for-Android demo app on an LGE V30 device running Android
4. Wait until the app begins scanning
4.a Alternatively, put breakpoint in method in ConcreteBLEDatabase
4.b Evaluate line for crash
The scan should continue without any issues</t>
  </si>
  <si>
    <t>2021-07-09</t>
  </si>
  <si>
    <t>opensrp-opensrp-client-chw-1829</t>
  </si>
  <si>
    <t>BA CHW  - FP form crashes when submitting</t>
  </si>
  <si>
    <t>1. Open user profile page
2. Open the FP registration form from three dot drop down
3. Fill the form and submit
1. What device did you use to test this?
2. What username did you use to test this? So as to get similar results possible due to the number of families?</t>
  </si>
  <si>
    <t>nextcloud-talk-android-1439</t>
  </si>
  <si>
    <t>Bugfix/1429/avoid crash after no supported api exception</t>
  </si>
  <si>
    <t>not yet tested (i failed to install the old nextcloud versions</t>
  </si>
  <si>
    <t>nextcloud-talk-android-1435</t>
  </si>
  <si>
    <t>App crashes immediately when receiving a picture</t>
  </si>
  <si>
    <t>**Steps to reproduce**
Installed the latest Version (12.1.0) from Google Play Store on an Android 7.0 Device.
App crashes immediately when receiving picture from chat participant.
The App crashes without any error message.
Samsung Galaxy S7
Android OS version: 7.0
Talk version: 12.1.0 (v11.1.0 works well)
Nextcloud version: 19.0.12
Talk version: 9.0.10
Custom Signaling server configured: no
Custom TURN server configured: no
Custom STUN server configured: no
Server log (data nextcloud.log): Logfile contains no entries from the day the crash happens
**Output of adb logcat:**
Then installed the Talk QA 1420.apk from #1420, same error occured.
**adb logcat for 1420.apk:**
Talk app 12.1.0 works well on my 2nd phone with Android 10.
Thanks for help.</t>
  </si>
  <si>
    <t>nextcloud-talk-android-1429</t>
  </si>
  <si>
    <t>app crashes after start (--&gt; Avoid crash after NoSupportedApiException)</t>
  </si>
  <si>
    <t>There are definitely too many users with outdated nextcloud installations. This currently leads to crash after startup!
## Steps to reproduce
1. start app with outdated server that does not support required API
### Expected behaviour
show Warning that Server needs to be updated
### Actual behaviour
app crashes immediately after start with the following exception:</t>
  </si>
  <si>
    <t>norkator-apcupsd-monitor-40</t>
  </si>
  <si>
    <t>People are experiencing new crashes after latest updates.</t>
  </si>
  <si>
    <t>PojavLauncherTeam-PojavLauncher-1644</t>
  </si>
  <si>
    <t>Optifine 1.17 Always crash</t>
  </si>
  <si>
    <t>Describe the bug
When click the start bottom in 1.17 optifine always crash
Indicate steps to reproduce the buggy behavior:
Chosen 1.17 optifine
Start the pojavlauncher
expected the game to be in full screen or not zoomed in
Device Model: xiaomi 9t pro
CPU architecture: aarch64
Android Version: EMUI 4.0 (Android 10)
PojavLauncher Version: version 3.3.1.1 rel 20210321</t>
  </si>
  <si>
    <t>Anuken-Mindustry-5555</t>
  </si>
  <si>
    <t>powergrid turns off with combustion generators if 0 consumption, even with batteries connected</t>
  </si>
  <si>
    <t>Steam build 126.3
in the rare instant you have powerdraw on your grid, you ll see the whole grid turning on and off if you cant supply enough coal to the generators, even though your batteries are full, and all the nodes are connected to the battery rather than directly to the combustion generators.
See gif: https: gyazo.com
It happens regardless if it connected to building (Mixer, graphene press, etc) as long as the buildings aren consuming power.
**Steps to reproduce**: *How you happened across the issue, and what exactly you did to make the bug happen.*
1. place drill on coal.
2. convey coal into combustion generator.
3. make sure the generator is undersupplied with coal, so it will turn off due to lack of coal (very important)
3. place battery immediately next to generator so it gets charged.
4. place power node.
5. connect node to battery, rather than directly to the generator.
6. wait for the battery to get fully charged.
7. watch the power node turn on and off in sync of the generator running out of coal.
**Link(s) to mod(s) used**: *The mod repositories or zip files that are related to the issue, if applicable.*
None, total clean game. just started it today and experienced this 1.5 hours in.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think uploaded sivefile zip to this report, but cant see it anywhere. ll double check right are submitting this :)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t>
  </si>
  <si>
    <t>2021-07-08</t>
  </si>
  <si>
    <t>Anuken-Mindustry-5553</t>
  </si>
  <si>
    <t>Incinerator Block Status Misleading</t>
  </si>
  <si>
    <t>**Steps to reproduce**: *How you happened across the issue, and what exactly you did to make the bug happen.* probably learned after trying to power an incinerator with single solar panel. To reproduce the bug, simply place an incinerator and give it less than 30 sec power. The combustion generator is an example of power input.
**Link(s) to mod(s) used**: *The mod repositories or zip files that are related to the issue, if applicable.* Vanilla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</si>
  <si>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nextcloud-android-8680</t>
  </si>
  <si>
    <t>crash at some times</t>
  </si>
  <si>
    <t>### Steps to reproduce
1. open nextcloud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</si>
  <si>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Anuken-Mindustry-5552</t>
  </si>
  <si>
    <t>Unable to Export Game Data and Save Files</t>
  </si>
  <si>
    <t>Bleeding Edge 21396
was trying to export saves to my device so can post separate bug report, but this happened.
**Steps to reproduce**: *How you happened across the issue, and what exactly you did to make the bug happen.*
You can export save files and game data.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can save the game data so...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happened.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</si>
  <si>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dariuszseweryn-RxAndroidBle-758</t>
  </si>
  <si>
    <t>Uncaught exception: SingleResponseOperation.timeoutFallbackProcedure</t>
  </si>
  <si>
    <t>An exception stack trace below) happens within RxAndroidBle causing our app to crash.
This happens to some of our customers on Android 11 as they use our ble product.
It not known what causes the issue, but we expect the exception to be passed to our app, where we could take action there. Log the issue, disconnect etc.
Device: few from OPPO, samsung, HUAWEI, Xiaomi
OS: Android 11
Library version: 1.10.5</t>
  </si>
  <si>
    <t>TeamNewPipe-NewPipe-6622</t>
  </si>
  <si>
    <t>Fix crash when using Repeat Button in tablet layout</t>
  </si>
  <si>
    <t>#### What is it?
Bugfix (user facing)
Feature (user facing)
Codebase improvement (dev facing)
Meta improvement to the project (dev facing)
#### Description of the changes in your PR
Fixes ClassCastException when using the repeatButton with the tablet layout
#### Fixes the following issue(s)
&lt;!-- Prefix issues with Fixes so that GitHub closes them when the PR is merged (note that each Fixes should be in its own item). Also add any other relevant links. --&gt;
Fixes crash reported in the 0.21.6 RC, see https: github.com TeamNewPipe NewPipe issues for more info on the crash.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On the website the APK can be found by going to the Checks tab below the title and then on artifacts on the right.
#### Due diligence
read the contribution guidelines (https: github.com TeamNewPipe NewPipe blob HEAD .github CONTRIBUTING.md).</t>
  </si>
  <si>
    <t>Blankj-AndroidUtilCode-1517</t>
  </si>
  <si>
    <t xml:space="preserve">AppUtils.getAppVersionName()返回null </t>
  </si>
  <si>
    <t>AndroidUtilCode 1.30.6&lt;!-- utilcode:1.16.3 utilcodex:1.16.3 --&gt;
Bug 6T&lt;!-- Nexus 5X --&gt;
Android 30&lt;!-- API 27 --&gt;
put your code here
Caused by: should init first
put the stack of crash here</t>
  </si>
  <si>
    <t>nextcloud-talk-android-1417</t>
  </si>
  <si>
    <t>App Crash on Android 5.1.1</t>
  </si>
  <si>
    <t>## Steps to reproduce
1. Install the latest Version from the Google Play Store on an Android 5.1.1 EMUI 3.1 Huawei Device
2. You tap the App Icon, the Splash screen shows for about seconds and then the App crashed without any error message
### Expected behaviour
The App should just start normally
### Actual behaviour
The App crashes without any error message. But Video Calls are still possible
## Device information
**Android version:** 5.1.1
**Talk version:** 12.1.0
## Server information
**Nextcloud version:** 21.0.3
**Talk version:** 11.2.2 (no update available)
**Custom Signaling server configured:** no
**Custom TURN server configured:** yes
**Custom STUN server configured:** no
### Server log (data nextcloud.log)
Logfile contains no entries from the day the crash happens</t>
  </si>
  <si>
    <t>2021-07-07</t>
  </si>
  <si>
    <t>Keidan-HexViewer-67</t>
  </si>
  <si>
    <t>application crash when deleting lines</t>
  </si>
  <si>
    <t>create new issue because the crashes reported in #63 are different, indeed the second crash described requires another type of patch.</t>
  </si>
  <si>
    <t>cgeo-cgeo-11140</t>
  </si>
  <si>
    <t>Crash when attempting to open a cache from a link.</t>
  </si>
  <si>
    <t>&lt;!-- Fill in the following form by adding your text below the explanation comments. --&gt;
&lt;!-- You can use the preview tab above to review your issue before submitting it. --&gt;
## Bug description
Crash when clicking on link http: coord.info GC6TW0V from an email. This cache was already stored in the app as active, but the email was an archive notification.
### Steps to reproduce the problem
&lt;!-- Describe step-by-step how to reproduce the problem --&gt;
Click on link.
### Actual result after these steps
&lt;!-- Describe the actual issue problem behavior in detail, which happens after the steps above --&gt;
### Expected result after these steps
&lt;!-- Describe what you expected to happen instead (correct behavior) --&gt;
App should open cache details.
## c:geo version
&lt;!-- You will find the c:geo version in c:geo Menu -&gt; About c:geo --&gt;
&lt;!-- Yes No (or describe under what conditions) --&gt;
No. It crashed on two seperate attempts. Then brought the app to foreground and subsequent attempt was successful.
## System information
&lt;!-- Attach system information here if available (see c:geo Menu -&gt; About c:geo -&gt; Swipe right to System) --&gt;
&lt;!-- Keep the apostrophe at beginning and end to have it properly formatted --&gt;
Device type: Pixel XL (crosshatch, google)</t>
  </si>
  <si>
    <t>trackerforce-splitmate-android-app-43</t>
  </si>
  <si>
    <t>New/Edit Item - Details are accepting blank values causing the app to crash</t>
  </si>
  <si>
    <t>When adding new item detail, such as price or volume, when the value is not filled and the user submits the change causes the app to crash.
Ignore or auto-remove item detail that does not contain any value.</t>
  </si>
  <si>
    <t>cgeo-cgeo-11136</t>
  </si>
  <si>
    <t>Chrome Webview not avalable</t>
  </si>
  <si>
    <t>Beta users report (and can reproduce on master), that the menu option User Chrome Webview is disabled and no longer usable.
Users which previously had activated it, seem to experience crash when trying to open with browser (this however cannot reproduce).</t>
  </si>
  <si>
    <t>Keidan-HexViewer-63</t>
  </si>
  <si>
    <t>application crashes</t>
  </si>
  <si>
    <t>open the file
everything is empty nothing, you need to open new file
press the menu to open</t>
  </si>
  <si>
    <t>Anuken-Mindustry-5549</t>
  </si>
  <si>
    <t>Payload driver units begone</t>
  </si>
  <si>
    <t>When unit is shot with payload driver and the game is paused while the unit is still in the air it remains in place, all normal. However, when the unit is past halfway to the receiving driver visual bug occurs when you zoom into the unit, it disappears.
**Steps to reproduce**: *How you happened across the issue, and what exactly you did to make the bug happen.*
1.Set us payload driver system
2. Pause the game with the units halfway to the receiving driver
3. Zoom in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</si>
  <si>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Marmo-debitum-35</t>
  </si>
  <si>
    <t>Crash when clicking on a person</t>
  </si>
  <si>
    <t>Just that clicking on any of the people in People crashes the app. Version is 1.3.2.</t>
  </si>
  <si>
    <t>commons-app-apps-android-commons-4498</t>
  </si>
  <si>
    <t>Splitting screens on some pages will cause the app to crash</t>
  </si>
  <si>
    <t>Splitting screens on some pages will cause the app to crash
**Steps to reproduce:**
1. Install and open commons
2. Skip the tutorial
3. Click the search icon in the top right corner
4. Enter any character, such as
5. Click any picture
6. Split screen
**Device and Android version:**
OS version1: MIUI 11.3.3
OS version2: Android 8.0
**Commons app version:**
App version: 3.0.2
ezgif com-gif-maker (1) (https: 15941953</t>
  </si>
  <si>
    <t>mvysny-aedict-962</t>
  </si>
  <si>
    <t>Crash on search</t>
  </si>
  <si>
    <t>got crash every time type (french dictionary).
It appears when type the last from dennen
&lt;img src https: 626863 width 300 &gt;&lt;img src https: 626863 width 300</t>
  </si>
  <si>
    <t>Anuken-Mindustry-5548</t>
  </si>
  <si>
    <t>Tsunami/wave sound bug</t>
  </si>
  <si>
    <t>bleeding-edge build 21391
Whenever you try to shoot tsunami or wave while it disabled with logic, it will still make spraying sound. sure this is not intended,
as this is not the case with other turrets
**Steps to reproduce**: *How you happened across the issue, and what exactly you did to make the bug happen.*
Place down tsunami and logic processor. Put the following code into processor:
control enabled tsunami1
control enabled wave1
control enabled tsunami1
control enabled wave1
Link it to tsunami, enter tsunami and shoot.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Couldn figure out how to upload on mobile, so uploaded it on mega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</si>
  <si>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2021-07-06</t>
  </si>
  <si>
    <t>PojavLauncherTeam-PojavLauncher-1630</t>
  </si>
  <si>
    <t>1.17 crash</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</si>
  <si>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Every time give it to play it enters, and the moment comes out of nowhere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2. select the second option of the renderer
3. select 1.17
4. give him to play
### Expected behavior:
expected ...To enter the version
### Screenshots or videos:
*Upload here screenshots or videos of the buggy behavior, if possible.*</t>
  </si>
  <si>
    <t>PojavLauncherTeam-PojavLauncher-1627</t>
  </si>
  <si>
    <t xml:space="preserve">[BUG] &lt;Short description&gt; why it keep crashing when i tried to open a 1.14.2 </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</si>
  <si>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Device Model e.g. Mi Pro 128
CPU architecture e.g. aarch64
Android Version e.g. 10
PojavLauncher Version e.g Latest Release version 3.3.1.1 rel 20210206</t>
  </si>
  <si>
    <t>PojavLauncherTeam-PojavLauncher-1626</t>
  </si>
  <si>
    <t>[BUG] why when i install optifine 1.17, it crashes..</t>
  </si>
  <si>
    <t>BugBattle-Android-SDK-11</t>
  </si>
  <si>
    <t>App crashes with NullPointerException when takeScreenshot is invoked</t>
  </si>
  <si>
    <t>Hey there friends,
We noticed plethora of crashes (in production) originating from bug battle on Android, specifically when users try to invoke it with screenshot.
Another stacktrace also includes the following error:
Here stack trace:
Are we doing something wrong, or is this just bug?
We re using: 4.0.1
and this happens on various devices and os versions (https: jkuPRbbA)
Is that feature stable, or should we defer from using it?</t>
  </si>
  <si>
    <t>2021-07-05</t>
  </si>
  <si>
    <t>proyecto26-react-native-inappbrowser-284</t>
  </si>
  <si>
    <t>App crashes on RN 0.60 with latest version.</t>
  </si>
  <si>
    <t>### Make sure to check the demo app(s) for sample usage
### Make sure to check the existing issues in this repository
### If the demo apps cannot help and there is no issue for your problem, tell us about it
Please, ensure your title is less than 63 characters long and starts with capital
### Which platform(s) does your issue occur on?
emulator or device.
### Please, provide the following version numbers that your issue occurs with:
### Please, tell us how to recreate the issue in as much detail as possible.
Open URL by using:
The issue occurs:
### Is there any code involved?
provide code example to recreate the problem
(EVEN BETTER) provide .zip with application or refer to repository with application where the problem is reproducible.</t>
  </si>
  <si>
    <t>material-components-material-components-android-2285</t>
  </si>
  <si>
    <t>[datepicker.MaterialCalendarGridView] crash on select a date range across two months (second month with 6 weeks)</t>
  </si>
  <si>
    <t>See #2195 (updated)</t>
  </si>
  <si>
    <t>Anuken-Mindustry-5543</t>
  </si>
  <si>
    <t>Crash (When shooting and aim to enemy)</t>
  </si>
  <si>
    <t>**Steps to reproduce**: *When aimed to enemy got crash so thinked its client problem*
**Link(s) to mod(s) used**: *No mods*
**Save file**: *Its works on every my save.*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</si>
  <si>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mtotschnig-MyExpenses-852</t>
  </si>
  <si>
    <t>Selecting a template of a type different than the previously selected one does not work</t>
  </si>
  <si>
    <t>On the edit screen, using the menu allowing to select an existing template either leads to broken screen, for example (selecting transfer template when the form was previously for transaction) or crashing (selecting category template when the form was previously for transfer).</t>
  </si>
  <si>
    <t>2021-07-04</t>
  </si>
  <si>
    <t>Anuken-Mindustry-5541</t>
  </si>
  <si>
    <t>Derelict Cores' inventory can be accessed.</t>
  </si>
  <si>
    <t>Derelict cores can be accessed, as shown on the image.
**Steps to reproduce**: *How you happened across the issue, and what exactly you did to make the bug happen.*
Step 1: Add derelict core to map
Step 2: Go to the core in game and click on it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</si>
  <si>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PojavLauncherTeam-PojavLauncher-1620</t>
  </si>
  <si>
    <t>When I tried to run 1.17, it crashed after mojang[BUG] &lt;Short description&gt;</t>
  </si>
  <si>
    <t>&lt;Details&gt;&lt; &gt;&lt;b&gt; b&gt;&lt;
.*( bug )*
Mi Pro 128
-PojavLauncher REL 20210206
&lt;Details&gt;&lt; &gt;&lt;b&gt; b&gt;&lt;</t>
  </si>
  <si>
    <t>PojavLauncherTeam-PojavLauncher-1618</t>
  </si>
  <si>
    <t>I already download the 1.12 but when i play a few seconds its always crash</t>
  </si>
  <si>
    <t>MuntashirAkon-AppManager-505</t>
  </si>
  <si>
    <t>Can't manage app in work profile</t>
  </si>
  <si>
    <t>Your issue will be closed without warning if you don check at least two items.
know what my device, OS and App Manager versions are
know how to take logs
know how to reproduce the issue which may not be specific to my device
**Describe the bug**
Tried to manage work profile app will result AM crash
Steps to reproduce the behaviour:
1. Open AM With ADB Over TCP Mode
2. Click on app choose work profile
3. Try to disable or enable
4. AM crash
If applicable, add screenshots to help explain your problem.
App version: 2.6.0
App version code: 385
Android build version: 1608537052
Android release version: 10
Android SDK version: 29
Android build ID: RMX2030EX 11 C.67
Device brand: realme
Device manufacturer: realme</t>
  </si>
  <si>
    <t>PojavLauncherTeam-PojavLauncher-1617</t>
  </si>
  <si>
    <t>[BUG] Pojavlauncher crash for an unknown reason</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</si>
  <si>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The launcher used to work fine before now it never does.
**Add log file if you want to see your bug fixed !**
### To Reproduce:
Indicate steps to reproduce the buggy behavior:
1. Start PojavLauncher
2. Pick any renderer
... *(your set of actions to reproduce the bug)*
### Expected behavior:
expected ... The game to start?
### Screenshots or videos:
*Upload here screenshots or videos of the buggy behavior, if possible.*
Device Model: Infinix note
CPU architecture: think its 32 not sure
Android Version: 10
PojavLauncher Version Latest Release action</t>
  </si>
  <si>
    <t>Anuken-Mindustry-5528</t>
  </si>
  <si>
    <t>Executable from Itch fails</t>
  </si>
  <si>
    <t>**Steps to reproduce**: *I downloaded the files for Linux from Itch. unzipped them all into the same directory. attempted to run it.*
**Link(s) to mod(s) used**: *No mods used.*
**Save file**: *This didn occur in-game.*
91m 1m 0m File not found: version.properties (internal)
91m 1m 0m Failed to parse version.
91m 1m 0m Failed to save local crash report.:
Caused by: Couldn load shared library libsdl-arc64.so for target: Linux, 64-bit
Caused by: Unable to read file for extraction: libsdl-arc64.so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</si>
  <si>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2021-07-03</t>
  </si>
  <si>
    <t>MuntashirAkon-AppManager-504</t>
  </si>
  <si>
    <t>set appops by name in profile cause AM to crash.</t>
  </si>
  <si>
    <t>Your issue will be closed without warning if you don check at least two items.
know what my device, OS and App Manager versions are
know how to take logs
know how to reproduce the issue which may not be specific to my device
**Describe the bug**
clear and concise description of what the bug is.
Steps to reproduce the behaviour:
1. Go to Profile
2. Set new Profile
3. Click on Configurations
4. Click on app ops
5. type WRITE SETTINGS
6. Click on save
7. See crash
successfully add appops by name.
App version: 2.6.2
App version code: 389
Android build version: 1624278295
Android release version: 11
Android SDK version: 30</t>
  </si>
  <si>
    <t>amplitude-Amplitude-Android-286</t>
  </si>
  <si>
    <t>Fatal Exception: android.database.CursorWindowAllocationException</t>
  </si>
  <si>
    <t>&lt;!--- Please fill out the template to the best of your ability --&gt;
## Expected Behavior
Crashlytics for our App reporting this error lot
following is the crash log
## Current Behavior
&lt;!--- What went wrong? --&gt;
## Possible Solution
&lt;!--- (Not obligatory) Suggest fix reason --&gt;
## Steps to Reproduce
&lt;!--- Please provide clear sequence of steps to reproduce this bug --&gt;
&lt;!--- Include code and images, if relevant --&gt;
SDK Version: &lt;!-- E.g. v2.28.0 --&gt;
Android API Level: &lt;!-- E.g. 8.1.0 --&gt;
Device: &lt;!--- E.g. Samsung Galaxy S20--&gt;</t>
  </si>
  <si>
    <t>2021-07-02</t>
  </si>
  <si>
    <t>Anuken-Mindustry-5524</t>
  </si>
  <si>
    <t>Unstable Alpha for Linux on Itch can't be unzipped.</t>
  </si>
  <si>
    <t>**Steps to reproduce**: *I downloaded the unstable alpha for Linux on Itch and tried to unzip the file with XArchiver. It didn work.*
**Link(s) to mod(s) used**: *Unrelated to mods.*
**Save file**: *Unrelated to in-game things.*
**(Crash) logs**: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</si>
  <si>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Anuken-Mindustry-5521</t>
  </si>
  <si>
    <t>Server Crash</t>
  </si>
  <si>
    <t>**Steps to reproduce**: Open server with any default map (may need slow io server)
**Link(s) to mod(s) used**: MDTSteamLobbyPlugin (https: github.com shugen002 action artifact version)
don think this crash related to my plugin.
Seems more than one default map: Ancient Caldera Shattered Tendrils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</si>
  <si>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2021-07-01</t>
  </si>
  <si>
    <t>nextcloud-android-8648</t>
  </si>
  <si>
    <t xml:space="preserve">Android app crashed </t>
  </si>
  <si>
    <t>************ CAUSE OF ERROR ************
************ APP INFORMATION ************
Build flavor: gplay
************ DEVICE INFORMATION ************
************ FIRMWARE ************
### Steps to reproduce
1. Open app
### Expected behaviour
app does not crash
### Actual behaviour</t>
  </si>
  <si>
    <t>microg-GmsCore-1506</t>
  </si>
  <si>
    <t>Maps crashes instantaneously</t>
  </si>
  <si>
    <t>**Describe the bug**
Maps v10.24.3 crashes instantaneously upon launch. This version used to work on Microg v0.2.19. Upgraded to v10.38.3 to make sure this is not random maps bug, but that version also crashes immediately.
Android Version: 11
Custom ROM: LineageOS 18.1
Was working with microg v0.2.19</t>
  </si>
  <si>
    <t>Anuken-Mindustry-5519</t>
  </si>
  <si>
    <t>Steam Multiplayer connect fail.</t>
  </si>
  <si>
    <t>**Steps to reproduce**: ask someone to create server and join the server.
**Link(s) to mod(s) used**: none
**Save file**: any map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</si>
  <si>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trackerforce-splitmate-android-app-40</t>
  </si>
  <si>
    <t>App crashes when enabling dark mode while using non-Economic mode</t>
  </si>
  <si>
    <t>User must first log into the account and then change to Dark mode.
After closing the app, the crash happens when the user loads the app again.
This issue does not happen while using the Economic mode.</t>
  </si>
  <si>
    <t>nextcloud-android-8645</t>
  </si>
  <si>
    <t>crash when tried to change account after server reset</t>
  </si>
  <si>
    <t>### Steps to reproduce
1. Add account(s) in application from nextcloud server (self hosted on yunohost for exemple)
2. uninstall and reinstall nextcloud server, and create same account again.
3. open the android application again, tried to refresh files or tried to change current account
### Expected behaviour
no crash and allow remove, refresh, reconnect account
### Actual behaviour
crash when tried to remove refresh reconnect account from reseted nextcloud server
### Can you reproduce this problem on https: try.nextcloud.com?
think can because not able to manage test account name and pass
### Environment data
Stock or customized system:
Nextcloud app version:
Build flavor: generic
Nextcloud server version:
21.0.2 on yunohost</t>
  </si>
  <si>
    <t>2021-06-30</t>
  </si>
  <si>
    <t>jellyfin-jellyfin-androidtv-989</t>
  </si>
  <si>
    <t>libVLC player crashing during playback</t>
  </si>
  <si>
    <t>**Describe the bug**
&lt;!-- clear and concise description of what the bug is. --&gt;
libVLC player crashes during playback. ve noticed it during playback of files with H.264 video codec, with ASS subtitles.
&lt;!-- Steps to reproduce the behavior: --&gt;
1. Set player choice to auto
2. Play file with SSA ASS subtitles
&lt;!-- clear and concise description of what you expected to happen. --&gt;
Playback occurs smoothly without incident.
&lt;!-- Please paste any log errors. --&gt;
**System (please complete the following information):**
Android TV or Fire TV version: Android
Device manufacturer: Sony
Device model: X900F
Jellyfin server version: 10.7.6</t>
  </si>
  <si>
    <t>k9mail-k-9-5374</t>
  </si>
  <si>
    <t xml:space="preserve"> an IllegalStateException 'Couldn't get domain from email address' in account setup</t>
  </si>
  <si>
    <t>**Describe the bug**
Sorry for my second issue, but did find another crash caused by an Couldn get domain from email address As used the automated testing tools, the value set to email account and password are random and did not know them exactly. Immediately after click on MANUAL SETUP or NEXT to continue, the error occured and the app crashed.
Steps to reproduce the behavior:
1. Go to page Set up new account
2. Edit the email address and password, both are set to random values
3. Click MANUAL SETUP and enter page Account type
4. Click IMAP and the app crashes
**Environment (please complete the following information):**
K-9 Mail version: 5.734
Android version: 6.0
Device: x86 Android emulator provided by Google
Account type: IMAP</t>
  </si>
  <si>
    <t>k9mail-k-9-5373</t>
  </si>
  <si>
    <t>A crash of "got an activity result that wasn't meant for us"</t>
  </si>
  <si>
    <t>**Describe the bug**
am doing some test on K9mail with automated testing tools just like Monkey. Several days ago, found an error message for logcats, shown as follows. However, no suspicious actions have found around the occurance of the bug. Would you please find the root cause and fix the bug?
**Environment (please complete the following information):**
K-9 Mail version: 5.734
Android version: 6.0
Device: x86 Android emulator provided by Google
Account type: IMAP</t>
  </si>
  <si>
    <t>hariimurti-NontonTV-5</t>
  </si>
  <si>
    <t>Android 4.4.4</t>
  </si>
  <si>
    <t>crashes on start in Android 4.4.4</t>
  </si>
  <si>
    <t>opensrp-opensrp-client-reveal-1464</t>
  </si>
  <si>
    <t>Fix crash for dynamic tasking when adding structure</t>
  </si>
  <si>
    <t>When adding structure, in dynamic tasking, the app crashes with error
Failed resolution of: Lcom ibm fhir model type Canonical</t>
  </si>
  <si>
    <t>bttv-android-bttv-166</t>
  </si>
  <si>
    <t>App Crashing when open the list of Firends/Direct Messages</t>
  </si>
  <si>
    <t>## Bug Report
Clicking the icon to open the direct message starts loading and then crashes
**Expected behavior code**
Open the list with Friends (default) and tab to select direct message
bttv-android version: v0.8.1-beta
Android version: Pie,
Device: Moto G6 Plus
**Additional context Screenshots**</t>
  </si>
  <si>
    <t>Anuken-Mindustry-5511</t>
  </si>
  <si>
    <t>Put a comma in a print operation deletes all commands</t>
  </si>
  <si>
    <t>**Steps to reproduce**:
Add print command and any other random commands
Add comma to the end of the print line (should read as: print frog if you copy to clipboard)
Close the interface
Re-open the interface
All commands will be deleted
**Link(s) to mod(s) used**: None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</si>
  <si>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2021-06-29</t>
  </si>
  <si>
    <t>ankidroid-Anki-Android-9164</t>
  </si>
  <si>
    <t>[Bug] 2.16alpha2: App crashes if phone volume is changed while reviewing</t>
  </si>
  <si>
    <t>###### Reproduction Steps
1. Enter any deck and start reviewing card
2. Change the phone volume using the physical buttons on the side
###### Expected Result
App shouldn crash
###### Actual Result
App crashes (volume does change)
###### Other info
Doesn seem to happen on any other screen, just on review. Happens both for cards with and without audio.
###### Debug info
AnkiDroid Version 2.16alpha2
Android Version 10
Model ONEPLUS A6013
Webview User Agent Mozilla 5.0 (Linux Android 10 ONEPLUS A6013 Build QKQ1.190716.003 wv) AppleWebKit 537.36 (KHTML, like Gecko) Version 4.0 Chrome 91.0.4472.120 Mobile Safari 537.36
Crash Reports Enabled true
DatabaseV2 Enabled true
have searched for similar existing issues here and on the user forum
(Optional) have confirmed the issue is not resolved in the latest alpha release instructions (https: docs.ankidroid.org</t>
  </si>
  <si>
    <t>Anuken-Mindustry-5510</t>
  </si>
  <si>
    <t>Unit shield conflicts with the shield of force field ability</t>
  </si>
  <si>
    <t>The shield of unit from the spawn group data will overwrite the shield from the force field ability. This will make the shield of force field ability be determined by the shield from spawn group data.
After searching the source code, found that an unit is assigned shield on Line 86 in SpawnGroup.java, and the code in use the same attribute.
**Steps to reproduce**: *How you happened across the issue, and what exactly you did to make the bug happen.*
Make map which will spawn Otc with million shield, then its force shield will also have million health.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Use this map for test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</si>
  <si>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Anuken-Mindustry-5508</t>
  </si>
  <si>
    <t>Core capture derelict cores preventing gameover</t>
  </si>
  <si>
    <t>Derelict cores at the end of pvp match prevent gameover despite nobody being able to spawn on that team
**Steps to reproduce**: *How you happened across the issue, and what exactly you did to make the bug happen.*
Have cores only of derelict and any single other team alive in pvp (core capture) match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couldn get proper save file, should be easy enough to test or just find in code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</si>
  <si>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Anuken-Mindustry-5507</t>
  </si>
  <si>
    <t>Missing/Lost launch resources</t>
  </si>
  <si>
    <t>**Selected loadout, lots of them, to reclaim lost sector Fungal pass**: *Explain your issue in detail.*
**Lost sector fungal pass. Returned to Tar fields, replaced its icon by the Tech icon. Waited an hour. Tapped on Fungal pass, did few adjustments on the loadout screen, at first was only going to use nothing but changed my mind and included graphite, silicon, glass, copper, lead, 500 plastanium. **: *How you happened across the issue, and what exactly you did to make the bug happen.*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</si>
  <si>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defold-extension-gpgs-37</t>
  </si>
  <si>
    <t>Cloud save data crash</t>
  </si>
  <si>
    <t>When try use gpgs.snapshot commit and close(), the just crashs.
Galaxy A01 Core, Android 10
Defold version: 1.2.183
#14 pc 0x2e498 ...sKw lib arm libCircleWiggle.so ZN7 jobjectP10 jmethodIDz+32
#15 pc 0x2cf3c ...sKw lib arm libCircleWiggle.so ZL31GpgsDisk State+756</t>
  </si>
  <si>
    <t>ankidroid-Anki-Android-9161</t>
  </si>
  <si>
    <t>[Bug] 2.15.4: CreateDeckDialog.createNewDeck - NullPointerException</t>
  </si>
  <si>
    <t>From Google Play. Number crash</t>
  </si>
  <si>
    <t>nataly-milman-os-planner-31</t>
  </si>
  <si>
    <t>UI's createTask issue</t>
  </si>
  <si>
    <t>Task creation activity fails on an emulated Android device:
Pixel 4a API 30
Android 11.0 (Google APIs)
--------- beginning of crash</t>
  </si>
  <si>
    <t>Anuken-Mindustry-5506</t>
  </si>
  <si>
    <t>Some changes in setting.bin cause error wipe</t>
  </si>
  <si>
    <t>### NOTE: already know that this problem got reported lot, just come here to give Anuke extra informations, if there is.
was editing the setting.bin *(let call it necromancy)* in the save file, and try to load it in Mindustry *127.1*, what happen is, uhhh, let the pictures speak for themselves.
Screenshot (9) (https: 85090668
Every sector in Serpulo got resetted, all items, waves, research, all gone. only building were remained, that why in the research below tells that got all the material
Screenshot (10) (https: 85090668
In the background is Tar Fields, as you can see, the building are still there, but waves got resetted and material got automatically research when it enters the core.
**Another Note:** setting.bin looks fine. but **sure** that the problem is the setting.bin itself
and the necromancy that do is changing UUID ** (Don ask why) **
**Steps to reproduce**: *How you happened across the issue, and what exactly you did to make the bug happen.*
change something in setting.bin (or in this case uuid then load the save in Mindustry (make sure to click Clear Game Data first to make it pure save) see the problem.
**Link(s) to mod(s) used**: No mod used (while having the problem)
**Save file**: MS-G2-TEST.zip (https: github.com Anuken Mindustry files 6732577 MS-G2-TEST.zip)
(it will tell that have BetaMindy (https: github.com sk7725 BetaMindy) in setting.bin, but as noted above. disabled all mod when do the necromancy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this got reported many times, as said.</t>
  </si>
  <si>
    <t>Anuken-Mindustry-5500</t>
  </si>
  <si>
    <t>Payload router sends two blocks at once</t>
  </si>
  <si>
    <t>**Steps to reproduce**: *Place block creator, (i don know exactly the name) place conveyor and payload router next to it and make the outputs. You ll see that sometimes two blocks pass through the same output, like in this screenshot:*
**Link(s) to mod(s) used**: *None.*
**Save file**: Router. (https: 1drv.ms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</si>
  <si>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2021-06-28</t>
  </si>
  <si>
    <t>Anuken-Mindustry-5498</t>
  </si>
  <si>
    <t>Class not found when importing mod on Android</t>
  </si>
  <si>
    <t>mod fails to load because betamindy.Betamindy is not found
**Steps to reproduce**: open mindustry on android, import any mod coded in java.
**Link(s) to mod(s) used**: https: github.com sk7725 BetaMindy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</si>
  <si>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nextcloud-android-8633</t>
  </si>
  <si>
    <t xml:space="preserve">Crash-Report </t>
  </si>
  <si>
    <t>### Steps to reproduce
1. Sync Files
2. Got crash
************ CAUSE OF ERROR ************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t>
  </si>
  <si>
    <t>PojavLauncherTeam-PojavLauncher-1599</t>
  </si>
  <si>
    <t>Whenever I log onto hypixel my game crashes(Vanilla 1.8.9)</t>
  </si>
  <si>
    <t>google-ExoPlayer-9124</t>
  </si>
  <si>
    <t>stop() cause crash</t>
  </si>
  <si>
    <t>the crash log is follow:
version is 2.24.1</t>
  </si>
  <si>
    <t>TeamNewPipe-NewPipe-6584</t>
  </si>
  <si>
    <t>App crashes when the repeat button is pressed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</si>
  <si>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0.21.2? to 0.21.5 (bug does not exist in legacy version)
### Steps to reproduce the bug
1. Open any video
2. Go to the notifications menu
3. Press the repeat button. It should pop up the error after second or two.
&lt;!-- If you can cause the bug to show up again reliably (and hence don have proper set of steps to give us), please still try to give as many details as possible on how you think you encountered the bug. --&gt;
### Actual behaviour
&lt;!-- Tell us what happens with the steps given above. --&gt;
When you press the repeat button, an error screen showing crash log shows up, and forced to exit the app.
### Expected behavior
&lt;!-- Tell us what you expect to happen. --&gt;
When you press the repeat button, the video loops without any crashes.</t>
  </si>
  <si>
    <t>TeamNewPipe-NewPipe-6582</t>
  </si>
  <si>
    <t>Can't update feed. Shows network error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</si>
  <si>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What New
2. Press on Refresh feed or swipe down
&lt;!-- If you can cause the bug to show up again reliably (and hence don have proper set of steps to give us), please still try to give as many details as possible on how you think you encountered the bug. --&gt;
### Actual behaviour
&lt;!-- Tell us what happens with the steps given above. --&gt; Shows Network Error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</si>
  <si>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2021-06-27</t>
  </si>
  <si>
    <t>AEFeinstein-mtg-familiar-549</t>
  </si>
  <si>
    <t>java.lang.IllegalStateException in CursorAdapter</t>
  </si>
  <si>
    <t>Familiar only has two CursorAdapters, ResultListAdapter and already overrides getView() so guessing the crash here is result of ResultListAdapter Lets override the other getView() do some exception handling, and see what happens.</t>
  </si>
  <si>
    <t>Anuken-Mindustry-5492</t>
  </si>
  <si>
    <t>crash on a server</t>
  </si>
  <si>
    <t>**Steps to reproduce**: *the game randomly crash*
**Link(s) to mod(s) used**: *override-lib, logicDebugger, developer-mod*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</si>
  <si>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PojavLauncherTeam-PojavLauncher-1595</t>
  </si>
  <si>
    <t>[BUG] The game will crash when I add -Dfile.encoding=GB2312 to JVM Launch arguments.</t>
  </si>
  <si>
    <t>TeamNewPipe-NewPipe-6578</t>
  </si>
  <si>
    <t>This error occured after beginning to watch video on peer tube.
paused the video in order to switch apps to Chrome. The video was in portrait, and accidentally missed the Android switch app button and clicked something inside the app in the bottom right hand corner, and the it crashed.
User Action: ui error
Request: ACRA report
Content Country: GB
Content Language: en-GB
App Language: en GB
OS: Linux Android 6.0 23
log b&gt;&lt; summary&gt;&lt;p&gt;</t>
  </si>
  <si>
    <t>2021-06-26</t>
  </si>
  <si>
    <t>Anuken-Mindustry-5485</t>
  </si>
  <si>
    <t>Crash when trying to copy incompletely deconstructed boulder with F button</t>
  </si>
  <si>
    <t>ve not tested that on alpha versions, only last release build 126.2*
**Steps to reproduce**: *I command unit to destroy boulder with right click, cancel destroing with left click, then press button and select the incompletely undestroyed boulder to copy, game crash immediately
ve not tested that on alpha versions, only last release build 126.2*
**Link(s) to mod(s) used**: *no mods, clean version.*
**Save file**: *ok, Ive get it, dont hurt me. Last save file where ve got crush attached, it campaign. But ve tred it several times -- same way crush on any map.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</si>
  <si>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Anuken-Mindustry-5482</t>
  </si>
  <si>
    <t>Screen sharing on discord makes level editor UI flicker.</t>
  </si>
  <si>
    <t>Steam build 127.1
When screen sharing mindustry, the ui of the level editor flickers, it seems to also depend on the FPS of the screen sharing.
**Steps to reproduce**: *How you happened across the issue, and what exactly you did to make the bug happen.*
Join voice chat in discord, start screensharing mindustry, go to the level editor.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</si>
  <si>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Anuken-Mindustry-5481</t>
  </si>
  <si>
    <t>Mindustry v127.1 Multiplayer Crashing when joining game - Bug Report</t>
  </si>
  <si>
    <t>**Steps to reproduce**: Join friend via an invite, the right click join menu or in game. All ways cause the crash.
**Link(s) to mod(s) used**: No mods used
**Save file**: https: drive.google.com file view?usp sharing
**(Crash) logs**: https: drive.google.com file view?usp sharing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</si>
  <si>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Anuken-Mindustry-5478</t>
  </si>
  <si>
    <t>Crash after join to pvp server</t>
  </si>
  <si>
    <t>**Steps to reproduce**: *join to .pl pvp server, this crash is very rare*
**Link(s) to mod(s) used**: yes have mods what is showed in logs, but all are disabled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Server save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Mindustry has crashed. How unfortunate.
Mods: dev-mode:2.3.2, pvpnotifs:0.1, ui-lib:2.16.6, unitinfo:0, waisa:2.3.3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</si>
  <si>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commons-app-apps-android-commons-4482</t>
  </si>
  <si>
    <t>NPE from Explore</t>
  </si>
  <si>
    <t>From user on our crash report forum:
USER COMMENT Clicked on picture in search results of the explore tab.
APP VERSION CODE 1016
APP VERSION NAME 3.0.1
ANDROID VERSION 11
PHONE MODEL Mi Lite
STACK TRACE Attempt to invoke virtual method void on null object reference
**Commons app version:**
v3.0.1 beta release</t>
  </si>
  <si>
    <t>PojavLauncherTeam-PojavLauncher-1591</t>
  </si>
  <si>
    <t>It's crashing</t>
  </si>
  <si>
    <t>Anuken-Mindustry-5476</t>
  </si>
  <si>
    <t>Broken window scaling</t>
  </si>
  <si>
    <t>&lt;img width 1280 alt Screen Shot 2021-06-25 at 10 19 24 PM src https: 75851043
**Steps to reproduce**: *How you happened across the issue, and what exactly you did to make the bug happen.*
downloaded the new version from the itch.io app. open it up and the screen is small while it loads. thought it would fix itself when it finished loading but nope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NA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NA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</si>
  <si>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Anuken-Mindustry-5474</t>
  </si>
  <si>
    <t>Crash when joining steam servers</t>
  </si>
  <si>
    <t>steam build 127
When joining server hosted by steam user, the player joining crashes
**Steps to reproduce**: *How you happened across the issue, and what exactly you did to make the bug happen.*
one player hosts server via Steam and invites another player, the second player crashes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Doesn seem applicable, tried many saves and all of them crashed, as well as different hosts.
But anyways, here the save file tried playing on.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</si>
  <si>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2021-06-25</t>
  </si>
  <si>
    <t>Anuken-Mindustry-5467</t>
  </si>
  <si>
    <t>Player can spawn use other team core</t>
  </si>
  <si>
    <t>Use this code in client, can spawn using green core, there is no team check in server.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see the code in master https: github.com Anuken Mindustry blob core src mindustry input may fix in 7.0</t>
  </si>
  <si>
    <t>Anuken-Mindustry-5463</t>
  </si>
  <si>
    <t>help i just loaded a mod and any mod it always says error in mindustry pls Anuken helpp.</t>
  </si>
  <si>
    <t>android samsung tab 4.4.4
my tablet is samsung 4.4.4 and mindustry version v6.0.126.2
cant use mod because it errors
**Steps to reproduce**: *How you happened across the issue, and what exactly you did to make the bug happen.*
just imported this mod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</si>
  <si>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PojavLauncherTeam-PojavLauncher-1589</t>
  </si>
  <si>
    <t>[BUG] it just crashes out of nowhere</t>
  </si>
  <si>
    <t>TeamNewPipe-NewPipe-6570</t>
  </si>
  <si>
    <t xml:space="preserve"> Fix crash when connecting to a Bluetooth device </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</si>
  <si>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The last weeks and NewPipe versions had the issue that as soon as my phone connected via BT with my car NewPipe crashed as for some reason onCompleted was called.
Maybe am the only one and this is specific issue with my current car car software, but as we have the same null checks in other listener methods, felt it doesn hurt to add it here as well.
#### Fixes the following issue(s)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On the website the APK can be found by going to the Checks tab below the title and then on artifacts on the right.
#### Due diligence
read the contribution guidelines (https: github.com TeamNewPipe NewPipe blob HEAD .github CONTRIBUTING.md).</t>
  </si>
  <si>
    <t>nextcloud-android-8626</t>
  </si>
  <si>
    <t>crash on selecting Auto Upload in settings</t>
  </si>
  <si>
    <t>### Steps to reproduce
1. Go to Settings Auto Upload
### Expected behaviour
Auto upload settings should appear
### Actual behaviour
Screen goes black after long delay, then the Nextcloud splash screen appears, and then it opens my files page
### Can you reproduce this problem on https: try.nextcloud.com?
Please create test demo account and see if this still happens there.
If yes, please open up bug report
If not, please verify server setup and ask for help on forum
### Environment data
Android version: 11
Device model: realme X2 pro
Stock or customized system: realme ui 2.0 Beta
Nextcloud app version: dev 20210624 and 3.16.1
Nextcloud server version:
#### Web server error log
Insert your webserver log here
#### Nextcloud log (data nextcloud.log)
Insert your Nextcloud log here</t>
  </si>
  <si>
    <t>2021-06-24</t>
  </si>
  <si>
    <t>Anuken-Mindustry-5457</t>
  </si>
  <si>
    <t>Sector view error message piles up.</t>
  </si>
  <si>
    <t>**Steps to reproduce**: You need two mindustry clients to reproduce this effect. First, take one client and host campaign server. Then connect to that server with the other client. Using the other client, press and then spam couple times. The message Only the host can view sectors should appear. But if you reproduced this effect correctly, you will have to click the ok button as many times as you pressed to escape the message box.
**Link(s) to mod(s) used**: No mods used.
**Save file**: am 100% sure that this issue has nothing to do with save file.
**(Crash) logs**: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wasn 100% sure what to search, for since don know if the planet view thing is called planet map, or sector view, or something else. Sorry if have wasted your time.</t>
  </si>
  <si>
    <t>Blankj-AndroidUtilCode-1515</t>
  </si>
  <si>
    <t>isIDCard18Exact 不支持身份证X/Y结尾的</t>
  </si>
  <si>
    <t>AndroidUtilCode &lt;!-- utilcode:1.16.3 utilcodex:1.16.3 --&gt;
Bug &lt;!-- Nexus 5X --&gt;
Android &lt;!-- API 27 --&gt;
put your code here
Caused by: should init first
put the stack of crash here</t>
  </si>
  <si>
    <t>PojavLauncherTeam-PojavLauncher-1583</t>
  </si>
  <si>
    <t>Always crash in 1.12.2 forge</t>
  </si>
  <si>
    <t>Describe the bug
Always crash in 1.12.2 forge even only mods insert
Add log file if you want to see your bug fixed
You may need to activate an option in your file explorer to see hidden files and folders.
Do NOT paste the whole log text Instead, add it as file on this issue.
Indicate steps to reproduce the buggy behavior:
... (your set of actions to reproduce the bug)
Launch forge 1.12.2
Modify video settings
Play for 4m
Game hung and crash always crash
expected the game not crashed
Screenshots or videos:
Upload here screenshots or videos of the buggy behavior, if possible.
Device Model e.g. Mi Pro 128 Mi 9t
CPU architecture e.g. aarch64 aarch64
Android Version e.g. 10 10
PojavLauncher Version Latest Actions version 3.3.1.1 rel 20210619</t>
  </si>
  <si>
    <t>material-components-material-components-android-2272</t>
  </si>
  <si>
    <t>[Slider] IllegalStateException on Huawei (Android 9)</t>
  </si>
  <si>
    <t>We keep experiencing but only on Huawei devices and only Android 9. When using another device on same user account, no crashes occur. Current version 1.4.0-beta01
Fatal Exception: Value(475.0) must be equal to valueFrom(100.0) plus multiple of stepSize(100.0) when using stepSize(100.0)</t>
  </si>
  <si>
    <t>PojavLauncherTeam-PojavLauncher-1582</t>
  </si>
  <si>
    <t>[BUG] crashes</t>
  </si>
  <si>
    <t>When try to download something crashes when open version sometimes crashes but what complain about is this code when try to change the section crashes and it does not let me do anything Could not execute method for android:onClick
... 11 more
Caused by: Attempt to read from field java.lang.String on null object reference
... 13 more</t>
  </si>
  <si>
    <t>morenoh149-react-native-contacts-625</t>
  </si>
  <si>
    <t>App crashes when trying to add a contact from app only on Testflight, working ok running locally.</t>
  </si>
  <si>
    <t>using function like this:
Contacts.PERMISSION AUTHORIZED Contacts.PERMISSION UNDEFINED Contacts.PERMISSION DENIED
if (permission undefined
console.log( Response response)
if (response authorized
return Alert.alert( Contact Added! text: OK
console.log( Something Wrong Getting contacts e)
Sorry, something went wrong
Sorry, We could not access your contacts list.
console.log( Permission Error er)
if (permission authorized
console.log( Response response)
if (response authorized
return Alert.alert( Contact Added! text: OK
console.log( Something Wrong Getting contacts e)
Sorry, something went wrong
Sorry, We could not access your contacts list.
console.log( Permission Error er)
if (permission denied
If you want to add new contacts, Go to Settings Inthority Contacts and grant permission to acces contacts</t>
  </si>
  <si>
    <t>2021-06-23</t>
  </si>
  <si>
    <t>PojavLauncherTeam-PojavLauncher-1579</t>
  </si>
  <si>
    <t>Modpacks crash in 1.12.2</t>
  </si>
  <si>
    <t>Describe the bug
When play for 3m the game hung and crash
Add log file if you want to see your bug fixed
You may need to activate an option in your file explorer to see hidden files and folders.
Do NOT paste the whole log text Instead, add it as file on this issue.
Indicate steps to reproduce the buggy behavior:
... (your set of actions to reproduce the bug)
Launch forge 1.12.2
Modify video settings
Walking for 3m the game hung and crash
expected the modpack will not crash
Screenshots or videos:
Upload here screenshots or videos of the buggy behavior, if possible.
Device Model e.g. Mi Pro 128 mi 9t
CPU architecture e.g. aarch64 aarch64
Android Version e.g. 10 10
PojavLauncher Version Latest Actions version 3.3.1.1 rel 20210619</t>
  </si>
  <si>
    <t>TeamNewPipe-NewPipe-6558</t>
  </si>
  <si>
    <t>Fix null pointer exception when displaying SearchFragment</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</si>
  <si>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Fixes null pointer exception when starting SearchFragment
It seems due to #6394 updating the FragmentX library there was
change to the order of lifecycle calls, as such onResume() was no longer
before creating null pointer exception when
using service in as it is only set in onResume().
By moving the initialization of service to onStart() which still happens
before this crash can be avoided. This commit also
adds check for null service to prevent future crashes for similar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t>
  </si>
  <si>
    <t>muxinc-mux-stats-sdk-exoplayer-116</t>
  </si>
  <si>
    <t>Dash hls mime type detection</t>
  </si>
  <si>
    <t>needed to merge cdn header crash fix branch in order to use Dash in test.
ExoPlayer do not provide the metadata on HLS and Dash streams so we are now monitoring for m3u8 manifest file or mpd manifest file and set the mimeType to be application x-mpegURL for HLS and application dash+xml for dash.</t>
  </si>
  <si>
    <t>PojavLauncherTeam-PojavLauncher-1577</t>
  </si>
  <si>
    <t>The Modpacks crash</t>
  </si>
  <si>
    <t>Describe the bug
When play the Modpacks for 2-3m my game hung and crash
Modpacks server pack link:
Add log file if you want to see your bug fixed
You may need to activate an option in your file explorer to see hidden files and folders.
Do NOT paste the whole log text Instead, add it as file on this issue.
You may need to activate an option in your file explorer to see hidden files and folders.
Do NOT paste the whole log text Instead, add it as file on this issue.
1. Start PojavLauncher
... *(your set of actions to reproduce the bug)*
2. Launch forge 1.12.2
3. Modified the setting
4. Select the world
5. Walking 3m
6. Game hung and crash
### Expected behavior:
expected modpack will not crashed
### Screenshots or videos:
*Upload here screenshots or videos of the buggy behavior, if possible.*
Device Model e.g. Mi Pro 128 mi 9t</t>
  </si>
  <si>
    <t>2021-06-22</t>
  </si>
  <si>
    <t>inaturalist-react-native-inat-camera-67</t>
  </si>
  <si>
    <t>Alternating camera errors, Android 8</t>
  </si>
  <si>
    <t>Someone using Moto Z2 Play, Android 8.0.0 ran into both of these errors an app crash within minute session. They said the errors happened:
1. while they were trying to run the classifier on various plants and
2. while switching between the photo library and the camera
Not sure if there anything we can do here, but am curious why they might be getting more than one type of error.</t>
  </si>
  <si>
    <t>Anuken-Mindustry-5448</t>
  </si>
  <si>
    <t>Polygonal Core protection blocks building in the edit in-game of the editor, while the regular protection doesn't.</t>
  </si>
  <si>
    <t>Polygonal Core protection blocks building in the edit-in game menu of the editor, while normal one does not
**Steps to reproduce**: *How you happened across the issue, and what exactly you did to make the bug happen.*
Step 1: Make map with cores of different teams
Step 2: Go in the Edit in-game mode, see that on default, normal core protection zone is active and it basicly set to regardless of the configuration for it on the rules.
Step 3: Enable polygonal core protection on the rules
step 4: go back to Edit in-game, see how with poly. building gets blocked.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</si>
  <si>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IdoSagiv-CommuniDog-103</t>
  </si>
  <si>
    <t>Clicking the Login button without entering input- crashes the app</t>
  </si>
  <si>
    <t>What is the bug:
One needs to enter input in order to log in. When clicking on the login button without entering input- crashes the app.
Picture of the bug:</t>
  </si>
  <si>
    <t>IdoSagiv-CommuniDog-101</t>
  </si>
  <si>
    <t>Moving back from the Register page return to the wrong page</t>
  </si>
  <si>
    <t>What is the bug:
When one is on the register page and clicks on the system back button the Profile page is shown instead of the Login page.
Because the Profile page needs the user information- this bug crashes the app.
Photo of the bug:
1. Navigate to the register page.
2. Click on the system back button.</t>
  </si>
  <si>
    <t>Anuken-Mindustry-5447</t>
  </si>
  <si>
    <t>Boss Healthbar still shows when HUD is off.</t>
  </si>
  <si>
    <t>While the HUD is off, the healthbar is still visible
**Steps to reproduce**: *How you happened across the issue, and what exactly you did to make the bug happen.*
Disable HUD while guardian is in the map
Observe how the healthbar, unlike the rest of the HUD, isn gone.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</si>
  <si>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Rapsssito-react-native-background-actions-91</t>
  </si>
  <si>
    <t>Fatal Exception: java.lang.IllegalStateException "Not allowed to start service Intent" (with solution)</t>
  </si>
  <si>
    <t>Today used patch-package (https: github.com ds300 patch-package) to patch 2.6.0 for the project working on.
Looking at my Firebase logs saw this crash:
Since can fail, moved it inside the try catch block. The caller should get rejected promise and handle the error gracefully.
Here is the diff that solved my problem:
diff --git node modules android src main java com asterinet react bgactions node modules android src main java com asterinet react bgactions
index 862a220..b43f703 100644
--- node modules android src main java com asterinet react bgactions
+++ node modules android src main java com asterinet react bgactions
-45,13 +45,12 public class extends
final bgOptions new options)
Start the task
catch (Exception e)
Start the task
&lt;em&gt;This issue body was partially generated by patch-package (https: github.com ds300 patch-package issues 296).&lt; em&gt;</t>
  </si>
  <si>
    <t>MuntashirAkon-AppManager-486</t>
  </si>
  <si>
    <t>Uninstalling?</t>
  </si>
  <si>
    <t>can uninstall your app. It keeps crashing package manager</t>
  </si>
  <si>
    <t>2021-06-21</t>
  </si>
  <si>
    <t>MuntashirAkon-AppManager-485</t>
  </si>
  <si>
    <t xml:space="preserve">initializing forever (2.6.1) </t>
  </si>
  <si>
    <t>Your issue will be closed without warning if you don check at least two items.
know what my device, OS and App Manager versions are
know how to take logs
know how to reproduce the issue which may not be specific to my device
**Describe the bug**
AM are initializing forever (not even req for ADB)
Steps to reproduce the behaviour:
1. Find Apk file then open it via AM
2. (sometime am can instal apk and sometime not by stuck on initializing)
3. if am can instal apk then bug are triggered now everytime you launch AM it won work anymore in ADB over TCP
AM can connect to ADB over TCP
If applicable, add crash logs to help us figure out the problem.
Device: Realne 5i
OS Version: Android
App Manager Version: 2.6.0
installing APK via AM only to trigger the glitch after you success trigger the glitch AM will stuck in initializing screen forever
Re enable usb debugging (after disable pls revoke all req then enable the usb debugging back)
also used latest sdk platform tools.zip binary to run ADB over TCP</t>
  </si>
  <si>
    <t>nextcloud-android-8608</t>
  </si>
  <si>
    <t xml:space="preserve">Crash in Android App </t>
  </si>
  <si>
    <t>The app crashed after login screen and we have screen that contains this error
************ CAUSE OF ERROR ************
************ APP INFORMATION ************
Build flavor: gplay
************ DEVICE INFORMATION ************
************ FIRMWARE ************</t>
  </si>
  <si>
    <t>2021-06-20</t>
  </si>
  <si>
    <t>TeamNewPipe-NewPipe-6537</t>
  </si>
  <si>
    <t>Add support for delivery methods other than progressive HTTP (in the player only)</t>
  </si>
  <si>
    <t>#### What is it?
Bugfix (user facing)
Feature (user facing)
Codebase improvement (dev facing)
Meta improvement to the project (dev facing)
#### Description of the changes in your PR
This PR adds support of YouTube OTF streams and the full support of ended livestreams in NewPipe (these streams cannot be downloaded or played in external players right now).
It also fixes the seek of PeerTube streams which have HLS-only variants of streams.
The support for downloading these streams **will be not added in this PR**.
Some code is inspired from #3803.
For more detailed changes, check the commits.
Fix the crash when pressing the Download button
Add method in ListHelper to return only streams which have delivery method (for e.g. return only HLS streams for PeerTube videos in the player)
Use the PROGRESSIVE HTTP delivery method for external players when possible and add ability to play other variants of streams in these players
Support HLS raw manifests (the manifests which are returned by the extractor and not the URLs of HLS manifests) (if ExoPlayer supports them) (thanks to Redirion for this).
#### Fixes the following issue(s)
Fixes #6860 (some audio streams were recognized as video streams causing crash in res1, String res2) which is caught in this PR. The original error cause was also fixed in the extractor.)
#### Relies on the following changes
#### APK testing
On the website the APK can be found by going to the Checks tab below the title and then on artifacts on the right.</t>
  </si>
  <si>
    <t>PojavLauncherTeam-PojavLauncher-1570</t>
  </si>
  <si>
    <t>[BUG] Sodium Mod Crashing</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</si>
  <si>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installed sodium mod but when select world the game crashing.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2. Launch fabric 1.16.5
3. Modify video settings
4. Select world
5. the game crashed (THE END)
### Expected behavior:
expected sodium mod will not crashed.</t>
  </si>
  <si>
    <t>PojavLauncherTeam-PojavLauncher-1569</t>
  </si>
  <si>
    <t>[BUG] Minecraft 1.14.3 crash on loading screen with optifine</t>
  </si>
  <si>
    <t>### To Reproduce:
Indicate steps to reproduce the buggy behaviour:
1. Start PojavLauncher
.. Logged into my offline account
Selected version 1.14.3 with optifine
### Expected behaviour:
expected when run 1.14.3 with optifine it took more time than other versions and within in loading screen it crashed.
### Screenshots or videos:
*Upload here screenshots or videos of the behaviour
Device Model Samsung M31
CPU architecture aarch64
Android Version 11
PojavLauncher Version latest release.
&lt;details&gt; context&lt; b&gt;&lt; summary&gt;
Add any other context about the problem here.</t>
  </si>
  <si>
    <t>TeamNewPipe-NewPipe-6522</t>
  </si>
  <si>
    <t>Crash when pressing search button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</si>
  <si>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Similar to #6231 but different null pointer exception
1. Go to ...
2. Press on ....
3. Swipe down to ....
&lt;!-- If you can cause the bug to show up again reliably (and hence don have proper set of steps to give us), please still try to give as many details as possible on how you think you encountered the bug. --&gt;
0. Build the app from dev branch
1. Open app
2. Press search button
### Actual behaviour
&lt;!-- Tell us what happens with the steps given above. --&gt;
App crashes (ui error)</t>
  </si>
  <si>
    <t>2021-06-19</t>
  </si>
  <si>
    <t>patzly-grocy-android-426</t>
  </si>
  <si>
    <t>App crashes when trying to consume item</t>
  </si>
  <si>
    <t>As the title says, the app crashes every time try to consume an item. More specifically:
1. Open app
2. Select Consume
3. Type in product name
4. Select product from pop-up list
can consume items without problems on the web app, so (I assume) this is not consistency problem in my database.
App version: 2.0.0-beta02
Server version: 3.0.1
Android version: 11</t>
  </si>
  <si>
    <t>nextcloud-android-8603</t>
  </si>
  <si>
    <t>crashing</t>
  </si>
  <si>
    <t>nextcloud-android-8602</t>
  </si>
  <si>
    <t>Just crash</t>
  </si>
  <si>
    <t>PojavLauncherTeam-PojavLauncher-1564</t>
  </si>
  <si>
    <t>[BUG] Texture glitches when attacking a mob in Minecraft 1.8</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</si>
  <si>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When played Minecraft 1.8, noticed weird texture bug when textures turn black when attacking mob, in previous versions before 1.8 and alpha beta versions, this bug did not exist.
**Add log file if you want to see your bug fixed !**
Here is latestlog.txt
--------- beggining with launcher debug
arg 0x361) (ignoring)
0xf arg 0x33c0) (ignoring)
unused DT entry: DT RPATH (type 0xf arg 0x13b8) (ignoring)
(type 0xf arg 0x6a68) (ignoring)
--------- beginning of system
--------- beginning of crash
--------- beginning of main
arg 0x1c7) (ignoring)
arg 0x8ff) (ignoring)
0xf arg 0x364) (ignoring)
unused DT entry: DT RPATH (type 0xf arg 0xf13) (ignoring)</t>
  </si>
  <si>
    <t>TeamNewPipe-NewPipe-6519</t>
  </si>
  <si>
    <t>reCAPTCHA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</si>
  <si>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with the steps given above. --&gt;
it shows recaptcha challenge requested when open the video
It just crashes when press solve
### Expected behavior
&lt;!-- Tell us what you expect to happen. --&gt;
### Screenshots Screen recordings</t>
  </si>
  <si>
    <t>nextcloud-android-8600</t>
  </si>
  <si>
    <t>Crash on app opening</t>
  </si>
  <si>
    <t>### Steps to reproduce
1. open app
### Expected behaviour
App should show files list
### Actual behaviour
App crashes with the following message:
************ CAUSE OF ERROR ************
Caused by: Couldn read row 0, col from CursorWindow. Make sure the Cursor is initialized correctly before accessing data from it.
### Can you reproduce this problem on https: try.nextcloud.com?
Please create test demo account and see if this still happens there.
If yes, please open up bug report
If not, please verify server setup and ask for help on forum
### Environment data
************ APP INFORMATION ************
Build flavor: generic
************ DEVICE INFORMATION ************
************ FIRMWARE ************
#### Web server error log
Insert your webserver log here
#### Nextcloud log (data nextcloud.log)</t>
  </si>
  <si>
    <t>2021-06-18</t>
  </si>
  <si>
    <t>MuntashirAkon-AppManager-483</t>
  </si>
  <si>
    <t>Net Policy Crashed</t>
  </si>
  <si>
    <t>Your issue will be closed without warning if you don check at least two items.
know what my device, OS and App Manager versions are
know how to take logs
know how to reproduce the issue which may not be specific to my device
**Describe the bug**
change net policy of wireless setting app will auto crash
Steps to reproduce the behaviour:
1. open AM and find wireless setting apps
2. Click that app and try change the net policy
3. AM will crash but instantly take me back to main menu
it should work
App version: 2.6.0
App version code: 385
Android build version: 1608537052
Android release version: 10
Android SDK version: 29
Android build ID: RMX2030EX 11 C.67
Device brand: realme
Device manufacturer: realme
Device name: RMX2030</t>
  </si>
  <si>
    <t>nikita36078-J2ME-Loader-802</t>
  </si>
  <si>
    <t>NokiaUI default pixel format causes issues on "Virtual Me"</t>
  </si>
  <si>
    <t>Tested on v0.14 and v0.17
**Description of the issue:**
The game crashes upon entering new game, with the following error:
The TYPE INT 8888 ARGB value returned by J2ME Loader as the native pixel format causes the game to crash, as it is not supported by the getPixels(short ...) function.
This issue also occurs on real Nokia devices with higher screen depths.
An option to choose the default pixel format could help solving this, but it would likely bloat the menus with feature unuseful for vast majority of games. Is this worth fixing at J2ME Loader side or should the game just get patched instead?</t>
  </si>
  <si>
    <t>MuntashirAkon-AppManager-482</t>
  </si>
  <si>
    <t>remove rules - crash</t>
  </si>
  <si>
    <t>Got this error when trying to remove rules on an app
App version: 2.5.24-PRE
App version code: 383
Android build version: 2105071656
Android release version: 11
Android SDK version: 30
Device hardware name: qcom
ABIs (32bit): armeabi-v7a, armeabi
ABIs (64bit): arm64-v8a
System language: en-US
In-App Language: auto</t>
  </si>
  <si>
    <t>2021-06-17</t>
  </si>
  <si>
    <t>Anuken-Mindustry-5434</t>
  </si>
  <si>
    <t>my account data is corrupted daily.</t>
  </si>
  <si>
    <t>**Steps to reproduce**:i have no idea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</si>
  <si>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IanPeake-FatMaxxer-4</t>
  </si>
  <si>
    <t>try the app in android smartphones, in one the app open but after seconds close (Samsung A52) and in other crash immediately (Huawei Mate 20 Pro) both with android 11.</t>
  </si>
  <si>
    <t>hzi-braunschweig-SORMAS-Project-5849</t>
  </si>
  <si>
    <t>EventParticipantDao.getByCase has a wrong database call</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</si>
  <si>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CASE UUID id caze)
This results in crash because the check is incorrect id shouldn be appended to RESULTING CASE UUID and the equality check should be for caze.getUuid() instead of caze.</t>
  </si>
  <si>
    <t>PojavLauncherTeam-PojavLauncher-1555</t>
  </si>
  <si>
    <t>[BUG] it suddenly go to home page and didn't tell it was crash</t>
  </si>
  <si>
    <t>PojavLauncherTeam-PojavLauncher-1554</t>
  </si>
  <si>
    <t>Crash report</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</si>
  <si>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am playing then add open4es shader then after that the game crashed.
**Add log file if you want to see your bug fixed !**
---- Minecraft Crash Report ----
Who set us up the TNT?
detailed walkthrough of the error, its code path and all known details is as follows:
-- Head --
-- Affected level --
Level name: MpServer
All players: total bjk PlayerLancE 739, MpServer 279.32, 65.62, 289.19
Chunk stats: 35, 44
Level generator: ID 00 default, ver 1. Features enabled: false
Level generator options:
Level spawn location: World: (252,64,252), Chunk: (at 12,4,12 in 15,15 contains blocks 240,0,240 to 255,255,255), Region: (0,0 contains chunks 0,0 to 31,31, blocks 0,0,0 to 511,255,511)
Level time: 851 game time, 851 day time</t>
  </si>
  <si>
    <t>deepjavalibrary-djl-1026</t>
  </si>
  <si>
    <t>JVM crash (Segmentation Fault) when using 0.11.0 and Tensorflow</t>
  </si>
  <si>
    <t>Tensorflow crashes the JVM with Segmentation Fault (SigSegV) when run over large number of records. Runs fine over very small number of records.
### Expected Behavior
We have integrated DJL Tensorflow with Spark. When running small number of records (20-50) everything runs fine. When we run the same code over 1000+ records results in Segmentation Fault.
Interestingly, if we run 100K or 500K records in JUnit, we do not get Segmentation Fault.
Tensorflow is expected to run predict for each row. The Spark (Java) Map Function is as follows:
public String key)
return new MapFunction&lt;Row, Row&gt; ()
private static final long serialVersionUID
final SparkTranslator translator new SparkTranslator()
transient Predictor&lt;Row,Row&gt; predictor
if(predictor null) predictor
public Row call(Row row) throws Exception
Row result &lt;-------- crash here
List&lt;Object&gt; values new ArrayList&lt;Object&gt;()
The SparkTranslator converts the Spark Row into an NDList and vice versa.
### Error Message
fatal error has been detected by the Java Runtime Environment:
SIGSEGV (0xb) at pc 0x0000000131daf959, pid 26917, tid 76295
JRE version: Java(TM) SE Runtime Environment (8.0 72-b15) (build 1.8.0 72-b15)
libtensorflow tensorflow::TF TensorToTensor(TF Tensor const*,</t>
  </si>
  <si>
    <t>2021-06-16</t>
  </si>
  <si>
    <t>TeamNewPipe-NewPipe-6497</t>
  </si>
  <si>
    <t>Crash to lockscreen on opening a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</si>
  <si>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this video (https: www.youtube.com watch?v ybcribf3D3Y)
2. Let the video play, crash occurs.
&lt;!-- If you can cause the bug to show up again reliably (and hence don have proper set of steps to give us), please still try to give as many details as possible on how you think you encountered the bug. --&gt;
### Actual behaviour
&lt;!-- Tell us what happens with the steps given above. --&gt;
System UI crashes to lockscreen
### Expected behavior
&lt;!-- Tell us what you expect to happen. --&gt;
Video should play normally.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</si>
  <si>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PojavLauncherTeam-PojavLauncher-1549</t>
  </si>
  <si>
    <t>[BUG] &lt;game won't staer&gt;</t>
  </si>
  <si>
    <t>&lt;!--my game won starrt
If you don fill in this template, this issue will be marked as invalid and closed.
--&gt; put in the color code for pojav and my game just crashes on startup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expected my game to open
### Screenshots or videos:
*Upload here screenshots or videos of the buggy behavior, if possible.*
Device Model e.g. Mi Pro 128</t>
  </si>
  <si>
    <t>Poing-Studios-godot-admob-android-79</t>
  </si>
  <si>
    <t>[BUG] Close ios app to crash</t>
  </si>
  <si>
    <t>**Describe the bug**
Add admob plugin after close app to crash app.
Steps to reproduce the behavior:
1. Admob plugin add
2. Run in iphone or iphone device
3. show one time interstitial ads.
4. home button press to close app then app crash
Any time app close to free admob instance.
Screenshot 2021-06-15 at 18 56 PM (https: 31446601
**Smartphone (please complete the following information):**
Device: e.g. iPhone8
OS: e.g. iOS14
Version e.g. 3.3</t>
  </si>
  <si>
    <t>nextcloud-android-8588</t>
  </si>
  <si>
    <t>app crashed</t>
  </si>
  <si>
    <t>2021-06-15</t>
  </si>
  <si>
    <t>PojavLauncherTeam-PojavLauncher-1547</t>
  </si>
  <si>
    <t>[BUG] &lt;crash&gt;</t>
  </si>
  <si>
    <t>If you don fill in this template, this issue will be marked as invalid and closed.
--&gt;my game crash when add color pls help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Device Model e.g. Mi Pro 128
CPU architecture e.g. aarch64
Android Version e.g. 10</t>
  </si>
  <si>
    <t>muxinc-mux-stats-sdk-exoplayer-114</t>
  </si>
  <si>
    <t>Cdn header crash fix</t>
  </si>
  <si>
    <t>Fixed crash on bandwidth metric data when playing mpeg dash.</t>
  </si>
  <si>
    <t>TeamNewPipe-NewPipe-6492</t>
  </si>
  <si>
    <t>Youtube Icon seems to be rendered incorrectly</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</si>
  <si>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Open Drawer Menu
&lt;!-- If you can cause the bug to show up again reliably (and hence don have proper set of steps to give us), please still try to give as many details as possible on how you think you encountered the bug. --&gt;
### Actual behaviour
Youtube Icon is missing center triangle.
### Expected behavior
Should show icon similar to Youtube i.e. with triangle at the center of the icon.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</si>
  <si>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k9mail-k-9-5343</t>
  </si>
  <si>
    <t>issue with "Add from Contact" when permission not granted</t>
  </si>
  <si>
    <t>have some issues when don give contact permission to application and Add from Contacts.
**Describe the bug**
On Android 11 toast showed with this message: **No email address could be found for this contact.**
On Android contact added successfully but when click on that in To field, application get crashed.
Steps to reproduce the behavior:
1. Don give contact permission
2. Go to Compose
2. Click on more options then Add from Contacts
3. Select contact
4.1. On Android 11 toast showed with this message: **No email address could be found for this contact.**
4.2. On Android contact added successfully but when click on that name or email in To field, application get crashed.
maybe should not show Add from Contacts when there is no contact permission or handle these situations and show related error message to the user.
**Environment (please complete the following information):**
K-9 Mail version: 5.735-SNAPSHOT
Android version: 7,9,11
Account type: IMAP
error log on Android</t>
  </si>
  <si>
    <t>PojavLauncherTeam-PojavLauncher-1544</t>
  </si>
  <si>
    <t>[F-REQ] please give me jvm arguments my pojav launcher still crash</t>
  </si>
  <si>
    <t>Developer please give me best jvm arguments for pojav launcher my pojav launcher works properly on 512mb but can play survival world please give me lag and crash fixing jvm arguments and tell me how much should have to resolve ram
Phone Redmi 8A daul
Architecture 32 bit
Android version 10
Pojav launcher version leatest</t>
  </si>
  <si>
    <t>nextcloud-android-8578</t>
  </si>
  <si>
    <t>Nextcloud Android App crashes with java.lang.NullPointerException</t>
  </si>
  <si>
    <t>### Steps to reproduce
1. Samsung S5 Neo (Android 6)
2. Nextcloud instance has changed using the same URL (reason mysql update)
3. Android app did not recognise the new instance correctly
4. Cleared cache and data of the app to have the option to start with new url setting and new login data
5. Due to problems with the new instance switched back to the old instance on truenas
6. Cleared the app cache and data again
7. Now Opening the nextcloud App shows every time for an instant the application fronted with the user logged in. Then underneath copied error message appears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Did not happen before the instance change.
### Environment data
Device model: Samsung S5 Neo
Stock or customized system: not rooted, standard version</t>
  </si>
  <si>
    <t>2021-06-14</t>
  </si>
  <si>
    <t>andOTP-andOTP-856</t>
  </si>
  <si>
    <t>App crashing when hiding a tag (remove the checkmark)</t>
  </si>
  <si>
    <t>#### General information
**App version:** v0.9.0
**App source:** Play on Phone GitHub (F-Droid Debug) on Emulator
**Android Version:** 8.0.0 (Phone) 10 (Emulator API 29)
**Custom ROM:** None
#### Expected result
**What is expected?**
The accounts with the tag will hide in the app when the tag check mark is removed
**What does happen instead?**
The app crashes
--------- beginning of crash
#### Steps to reproduce
do clean install
do initial setup using android keystore and none
add account by enter details
issuer: google label: abc secret abc
also select Tags new tag enter name tag ok
click save to add the account
open side menu to filter tags
disable check mark on tag</t>
  </si>
  <si>
    <t>StoyanTinchev-musicial-tesla-coil-35</t>
  </si>
  <si>
    <t>Describe the bug
When play one song from the application then go back to the list with my songs and scroll my notification bar and try to press any button to control the song the application crashes.
Steps to reproduce the behavior:
1. Go to the application
2. Click on song
3. Go back to the list with the songs
4. Try to play the next song from the notification bar
5. Then the app crashes
To play the next song.
Device: Samsung Galaxy A20e</t>
  </si>
  <si>
    <t>2021-06-13</t>
  </si>
  <si>
    <t>IdoSagiv-CommuniDog-13</t>
  </si>
  <si>
    <t>when launching the app on the 1st time- its crashing</t>
  </si>
  <si>
    <t>hi, when launched the app for the 1st time it crashed.
on the 1st time you launch the app, it asks for location permission, and then crashes.
after gave the permission and re-launched it didnt crash and could proceed after the login screen.</t>
  </si>
  <si>
    <t>Anuken-Mindustry-5417</t>
  </si>
  <si>
    <t>A mod crashes like never before; why is a js mod doing the gen</t>
  </si>
  <si>
    <t>Loaded mod testers in 6.3643ms
**Steps to reproduce**: *download sk7725 testers*
**Link(s) to mod(s) used**: *sk7725 testers*
**Save file**: *I didn get to open one, crash at load*
If you remove the line above without reading it properly and understanding what it means, will reap your soul. Even if you re playing on someone server, you can still save the game to slot.
**(Crash) logs**: *I WISH HAD ONE*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</si>
  <si>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nextcloud-android-8572</t>
  </si>
  <si>
    <t>Nextcloud Android app crash shared folder</t>
  </si>
  <si>
    <t>### Steps to reproduce
1. Open Nextcloud app
2. Select shared
### Expected behaviour
Tell us what should happen
See shared files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t>
  </si>
  <si>
    <t>nextcloud-android-8570</t>
  </si>
  <si>
    <t>2021-06-12</t>
  </si>
  <si>
    <t>MuntashirAkon-AppManager-476</t>
  </si>
  <si>
    <t>Unable to open App Details page for some apps most of the time</t>
  </si>
  <si>
    <t>know what my device, OS and App Manager versions are
know how to take logs
know how to reproduce the issue which may not be specific to my device
First of all, thank you for fixing bug 140 167 298. now see all of the apps. :)
**Describe the bug**
Unfortunately, this happens only intermittently (most of the time, but not always). believe have log capture of when it happened. When select an app in app manager, see either Could not fetch package infor or App not installed. App Manager then returns to the list of apps. No other application that interacts with packages has this problem.
App Manager did crash once due to this (but managed to mishit button, and lost those logs :( ). have log of the usual behavior (when see the message, and App Manager returns to the llist of apps.
allocateBuffers: slot without buffer is not FREE
START u0 cmp (has extras) from uid 10171 on display
!!! FAILED BINDER TRANSACTION !!! (parcel size 144)
*** Uncaught remote exception! (Exceptions are not yet supported across processes.)
!!! FAILED BINDER TRANSACTION !!! (parcel size 144)
*** Uncaught remote exception! (Exceptions are not yet supported across processes.)
couldn log to binary event log: overflow.
!!! FAILED BINDER TRANSACTION !!! (parcel size 144)
*** Uncaught remote exception! (Exceptions are not yet supported across processes.)
!!! FAILED BINDER TRANSACTION !!! (parcel size 144)
*** Uncaught remote exception! (Exceptions are not yet supported across processes.)
!!! FAILED BINDER TRANSACTION !!! (parcel size 288)
Duplicate finish request for ActivityRecord 9d8c14 u0 t583</t>
  </si>
  <si>
    <t>nextcloud-android-8569</t>
  </si>
  <si>
    <t>Repeated crash</t>
  </si>
  <si>
    <t>Benji377-SocyMusic-56</t>
  </si>
  <si>
    <t>Strange incompatibility issue with the Popup</t>
  </si>
  <si>
    <t>After coding the popup window, adding style to it, and testing it on the Android studio emulator everything was looking good. But then decided to do one last test on my phone and it crashed the app.
This is the error get:
?attr colorAccent is not set.
think it might just be color missing somewhere. Refer to this StackOverflow answer: https: stackoverflow.com questions 35813050</t>
  </si>
  <si>
    <t>2021-06-11</t>
  </si>
  <si>
    <t>TeamNewPipe-NewPipe-6480</t>
  </si>
  <si>
    <t>Added itemsListHeaderDuration to large-land player</t>
  </si>
  <si>
    <t>#### What is it?
Bugfix (user facing)
Feature (user facing)
Codebase improvement (dev facing)
Meta improvement to the project (dev facing)
#### Description of the changes in your PR
The element was missing in the large-land player which caused crashes on larger devices like TVs or tablets to crash
Problem was caused by #6441 https: github.com TeamNewPipe NewPipe commit
#### Fixes the following issue(s)
#### APK testing
On the website the APK can be found by going to the Checks tab below the title and then on artifacts on the right.
#### Due diligence
read the contribution guidelines (https: github.com TeamNewPipe NewPipe blob HEAD .github CONTRIBUTING.md).</t>
  </si>
  <si>
    <t>PojavLauncherTeam-PojavLauncher-1523</t>
  </si>
  <si>
    <t>My cheat crashes without a license impact ... what to do??? pamagiti ...</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</si>
  <si>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Device Model e.g. Redmi 7a
CPU architecture e.g. aarch64
Android Version e.g. 10
PojavLauncher Version e.g Latest Release version 3.3.1.1 rel 20210206</t>
  </si>
  <si>
    <t>thebergamo-react-native-fbsdk-next-54</t>
  </si>
  <si>
    <t>[iOS] App crashes on startup on 4.3.0 (probable incompatibility with deprecated MixPanel messaging module)</t>
  </si>
  <si>
    <t>is wrapper around the Facebook SDKs for iOS and Android.
GitHub Issues in the thebergamo repository are used exclusively
for tracking bugs in the React Native wrapper around the Facebook SDK.
To report bug in the iOS or Android Facebook SDK, please visit https: bugs
If you need help integrating the React Native Facebook SDK wrapper,
many members of the community use Stack Overflow to ask and answer questions.
Read through the existing questions: https: stackoverflow.com questions tagged frequent
Ask your own: http: stackoverflow.com questions ask?tags react-native-fbsdk
## Bug Report
App is crashing on app startup on iOS.
MPSwizzler unrecognized selector sent to class 0x107ac4aa8
*** Terminating app due to uncaught exception reason: MPSwizzler unrecognized selector sent to class 0x107ac4aa8
*** First throw call stack:
(0x1a46bd9d8 0x1b8a40b54 0x1a45d2070 0x1a46c001c 0x1a46c1f8c 0x1040f1558 0x107a1e488 0x10a811528 0x10a8208a8 0x10a811528 0x10a81f994 0x1a463d5e0 0x1a4637a88 0x1a4636ba0 0x1bb39c598 0x1a6f282f4 0x1a6f2d874 0x10276caf8 0x1a4315568)
*** Terminating app due to uncaught exception reason: MPSwizzler unrecognized selector sent to class 0x107ac4aa8
terminating with uncaught exception of type NSException
## To Reproduce
Update from 4.2.0 to 4.3.0
pod update FBSDKCoreKit FBSDKLoginKit FBSDKShareKit
build and run</t>
  </si>
  <si>
    <t>oliexdev-openScale-740</t>
  </si>
  <si>
    <t>App crash while adding Beurer BF710 scale</t>
  </si>
  <si>
    <t>App crashes while going to the next step after selecting Beurer BF 710. Crash logs:</t>
  </si>
  <si>
    <t>TeamNewPipe-NewPipe-6473</t>
  </si>
  <si>
    <t>NewPipe crashes when switching back to the play queue from the main player.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</si>
  <si>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Play any playlist in the background.
2. Tap on NewPipe notification to open the play queue.
3. Open the kebab menu and select Switch to Main
4. Tap on the currently playing video and tap the play queue icon.
&lt;!-- If you can cause the bug to show up again reliably (and hence don have proper set of steps to give us), please still try to give as many details as possible on how you think you encountered the bug. --&gt;
### Actual behaviour
&lt;!-- Tell us what happens with the steps given above. --&gt;
NewPipe crashes every time.
### Expected behavior
&lt;!-- Tell us what you expect to happen. --&gt;
NewPipe doesn crash and see the play queue again.</t>
  </si>
  <si>
    <t>square-okhttp-6701</t>
  </si>
  <si>
    <t>AssertionError: Method getAlpnSelectedProtocol not supported for object SSL socket over Socket on Android 11</t>
  </si>
  <si>
    <t>getting the crash below on some Android devices (i.e. Android 11, MI SE)
OkHttp version: 4.9.1 (this seems to use
This issue seems to be fixed on grpc 1.32.2: https: github.com grpc grpc-java issues 7519
Is it safe to use grpc v1.32.2 with OkHttp 4.9.1?
Fatal Exception: Method not supported for object SSL socket over Socket address 172.217.167.74,port 443,localPort 47098</t>
  </si>
  <si>
    <t>nextcloud-android-8561</t>
  </si>
  <si>
    <t>Nextcloud App crashing on Android 10</t>
  </si>
  <si>
    <t>### Steps to reproduce
1. added Nextcloud server accounts and could work with the app for several weeks
2. Today switched to another account and the app crashed
3. Even If force to stop the Nextcloud app it always crashed after part of second
4. There is no chance to switch the account before the crash. Even if cut the internet connection using NetGuard the app always crashed
### Expected behaviour
Nextcloud should load the file list from server or tell if the server does not respond
### Actual behaviour
after starting the app the blue logo screen vanishes and the previous file list with rotating circle (hourglass cursor) appears.
home path of my account at https: mark.nl.tab.digital is displayed
approx. 0.5 seconds later white error report with overlay text Loading... appears the message is:
************ CAUSE OF ERROR ************
************ APP INFORMATION ************
Build flavor: gplay
************ DEVICE INFORMATION ************
************ FIRMWARE ************
when switching to another app the app disappears from app switcher menu
unders Android settings apps can still select the app and invoke force stop
### Can you reproduce this problem on https: try.nextcloud.com?
No, probably the error will be gone if restart Android or if remove the app and reinstall it.</t>
  </si>
  <si>
    <t>nextcloud-android-8560</t>
  </si>
  <si>
    <t>nextcloud Android Client crashes</t>
  </si>
  <si>
    <t>### Steps to reproduce
1. Change pw on nextcloud web interface
2. Start nextcloud client on Android
3. When trying to connect, client crashes before requesting new credentials
### Expected behaviour
NC Android client starts and asks for new pw
### Actual behaviour
NC Android client crashes before asking for new credentials
### Can you reproduce this problem on https: try.nextcloud.com?
Please create test demo account and see if this still happens there.
If yes, please open up bug report
If not, please verify server setup and ask for help on forum
### Environment data
************ CAUSE OF ERROR ************
************ APP INFORMATION ************
Build flavor: gplay
************ DEVICE INFORMATION ************
************ FIRMWARE ************
Stock or customized system:
Nextcloud app version:</t>
  </si>
  <si>
    <t>2021-06-10</t>
  </si>
  <si>
    <t>Benji377-SocyMusic-54</t>
  </si>
  <si>
    <t>App crashes when fast forwarding or rewinding</t>
  </si>
  <si>
    <t>The app crashes when you click the fast forward button or the fast rewind button. No idea why.</t>
  </si>
  <si>
    <t>nextcloud-android-8559</t>
  </si>
  <si>
    <t>Nextcloud crashed on logging in</t>
  </si>
  <si>
    <t>### Steps to reproduce
1. logged out of previously added user
2. logged in and was asked to grant access
3. After granting access the error message below appears
4. After opening the app again (not force stopped), can see my files as expected.
### Expected behaviour
see my files (directly)
### Actual behaviour
see the error, before seeing my files (after closing and reopening the app)
### Can you reproduce this problem on https: try.nextcloud.com?
### Environment data
Android version: 11
Device model: SM-A705FN
Stock or customized system: Stock
Nextcloud app version: 30160190
Nextcloud server version: 21
Reverse proxy: don know
#### Nextcloud log (data nextcloud.log)
************ CAUSE OF ERROR ************
************ APP INFORMATION ************</t>
  </si>
  <si>
    <t>PojavLauncherTeam-PojavLauncher-1518</t>
  </si>
  <si>
    <t>[BUG] The game crashes with sodium mod</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</si>
  <si>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Game not starting with sodium stable or alpha mod.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2. Install fabric loader
3. Install sodium mod in mods folder
4. Start that game and join world
### Expected behavior:
It shouldn crash
Device Model Mi 10 256
CPU architecture arm64
Android Version 11</t>
  </si>
  <si>
    <t>nextcloud-android-8558</t>
  </si>
  <si>
    <t>Android app crashed showing debug page</t>
  </si>
  <si>
    <t>### Steps to reproduce
1. Open the android app
2. Loads for few seconds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t>
  </si>
  <si>
    <t>Anuken-Mindustry-5410</t>
  </si>
  <si>
    <t>Guardian Bar Problem</t>
  </si>
  <si>
    <t>In portrait mode Guardian Bar covers the two buttons and cant use them until the gurdian was defeated
**Steps to reproduce**: *How you happened across the issue, and what exactly you did to make the bug happen.* Play mindustry on portrait mode play any map and spawn guardian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</si>
  <si>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Benji377-SocyMusic-53</t>
  </si>
  <si>
    <t>App crashes when clicking on Credits</t>
  </si>
  <si>
    <t>When you click on credits in the menu it looks like nothing happened, but instead, the Aboutfragment replaced the Playerfragment, and when you click on song the app just crashes.</t>
  </si>
  <si>
    <t>patzly-grocy-android-425</t>
  </si>
  <si>
    <t>Cannot scan login QR code with SDK below 24</t>
  </si>
  <si>
    <t>From Matrix chat:
using the F-droid 2.0.0-beta02 version of the app, and having problems with connecting to my server.
the problem is that when scan the QR code, the app crashes with this exception:
not sure why that happens, but think have seen this exception in an other app too. think it was the Element Android app while scanning the QR code for login verification, but not sure right now because the app which catches stack traces has so many of them, that it crashes when loading them..
User has Android 6.</t>
  </si>
  <si>
    <t>nextcloud-android-8557</t>
  </si>
  <si>
    <t>Android last version client error</t>
  </si>
  <si>
    <t>Client crashes and the only way yo restart It is restarting the phone. It happens randomly. The log is:
*********** CAUSE OF ERROR ************
************ APP INFORMATION ************
Build flavor: gplay
************ DEVICE INFORMATION ************
************ FIRMWARE ************</t>
  </si>
  <si>
    <t>nextcloud-android-8555</t>
  </si>
  <si>
    <t>SQL Error after starting the app - SQLiteBlobTooBigException</t>
  </si>
  <si>
    <t>### Steps to reproduce
1. install nextcloud app for android
2. connect it to nextcloud instance
3. shows files, loads few seconds and then crashes with the exception below
### Expected behaviour
should not crash
### Actual behaviour
crashes with an sql error
### Can you reproduce this problem on https: try.nextcloud.com?
Please create test demo account and see if this still happens there.
If yes, please open up bug report
If not, please verify server setup and ask for help on forum
### Environment data
Android version: 11
Device model: oneplus
Stock or customized system: stock
Nextcloud app version: 3.16.1
Nextcloud server version: 21.0.2
Reverse proxy: NGinx
************ CAUSE OF ERROR ************</t>
  </si>
  <si>
    <t>telenordigital-connect-android-sdk-239</t>
  </si>
  <si>
    <t>Fix issues leading to crashes</t>
  </si>
  <si>
    <t>1) Fixed unhandled exception
2) Fixed Android support
3) Version bump</t>
  </si>
  <si>
    <t>Leap-Sample-leap-android-2</t>
  </si>
  <si>
    <t>For a new user, Sample App is crashing when clicked on the doc link in Scanner Screen</t>
  </si>
  <si>
    <t>P.R. is also opened for Leap SDK here (https: github.com JinyAUI core-android-sdk pull 383)</t>
  </si>
  <si>
    <t>Anuken-Mindustry-5406</t>
  </si>
  <si>
    <t>Processors don't update a linked building when replaced with a similar type</t>
  </si>
  <si>
    <t>Release build 126.2
(Not sure if this is reported before new to github) Replacing building with similar type (placing ground factory on an air factory or an overdrive projector on merger) does not update any logic processor that has link to that building, keeping the data of the previous building. Unlinking and relinking the building fixes this.
**Steps to reproduce**: *How you happened across the issue, and what exactly you did to make the bug happen.*
Came across the issue while making logic-based unit factories
The video has the steps but here written guide:
Link any processor to any block that can be replaced by different type of block(ie. copper wall can be replaced with titanium wall, etc.)
Use any sensor block that detects details about the linked block, the example video detects the configuration of T1 factory, printing this to message block helps.
Code used in example video, with message block and unit factory:
sensor result factory1 config
Replace the block with different type of block, demonstration video replaces ground factory with air factory.
Check the output of the code, in this case, the message block, it will print the data of the previous block.
**Link(s) to mod(s) used**: *The mod repositories or zip files that are related to the issue, if applicable.*
No mods were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Zipped world File: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</si>
  <si>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PojavLauncherTeam-PojavLauncher-1515</t>
  </si>
  <si>
    <t>[BUG] muito crash</t>
  </si>
  <si>
    <t>PojavLauncherTeam-PojavLauncher-1514</t>
  </si>
  <si>
    <t>[Bug] Labymod Crash</t>
  </si>
  <si>
    <t>launched labymod 1.8.9 ,then when it loads until 75%,the log said game crashed.
Device Model Samsung Galaxy S8+(SM-G955F)
CPU architecture aarch64
Android Version Android
Java VM ART 2.1.0
OpenGL ES OpenGL ES 3.2
PojavLauncher Version Latest Version(Avalible on Google Play)</t>
  </si>
  <si>
    <t>2021-06-09</t>
  </si>
  <si>
    <t>nextcloud-android-8551</t>
  </si>
  <si>
    <t>Nextcloud crashed on opening the app</t>
  </si>
  <si>
    <t>### Steps to reproduce
1. Open the android app
2. It loads and then crashes with an error displayed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</si>
  <si>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DLMousey-just-a-shopping-list-app-17</t>
  </si>
  <si>
    <t>Add all to cart crash on android 10</t>
  </si>
  <si>
    <t>Not much in the way of stack traces to go off but on Android 10 specifically there seems to be fatal error when using the add all to cart button</t>
  </si>
  <si>
    <t>nextcloud-talk-android-1314</t>
  </si>
  <si>
    <t>App crashs when pressing on participants of a conversation</t>
  </si>
  <si>
    <t>## Steps to reproduce
1. Navigate to group conversation
2. Navigate to the conversation settings
3. Press on random participant (also yourself) and see the app crashing immediately
### Expected behaviour
don*t know, but not crashing. Maybe show information about that person?
### Actual behaviour
The app is crashing and closes immediately
## Device information
**Android version:** LineageOs 18.1 latest nightly
**Talk version:** 12.0.0 Alpha 15
## Server information
**Nextcloud version:** 21.0.2
**Talk version:** 11.2.2
**Custom Signaling server configured:** no
**Custom TURN server configured:** no
**Custom STUN server configured:** no
### Server log (data nextcloud.log)
Nothing about this</t>
  </si>
  <si>
    <t>TeamNewPipe-NewPipe-6462</t>
  </si>
  <si>
    <t>crash when switching to fullscreen from floating window</t>
  </si>
  <si>
    <t>am using the latest version 0.21.4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In app preferences, set video audio behavior open as floaitbg window
2. Open YouTube link from web browser (should open as floating window)
3. Tap on the full screen expand button in top right corner of floating button
### Actual behaviour
Bug report screen with the following details
User Action: ui error
Request: ACRA report
Content Country: US
Content Language: en
App Language: fr FR
OS: Linux Android 10 29
log b&gt;&lt; summary&gt;&lt;p&gt;
### Expected behavior
App opens the page of the video, and continues playing at current time</t>
  </si>
  <si>
    <t>Benji377-SocyMusic-43</t>
  </si>
  <si>
    <t>About fragment only showing in Player fragment</t>
  </si>
  <si>
    <t>If you click on Credit in the dropdown menu while in the MainActivity (Where all songs are listed) nothing happens, but if you click on it while being on the Playerfragment it overlaps the existing fragment and you can see it.
If you try to do it again it crashes the app. It also seems like the Aboutfragment completely replaces the Playerfragment since even if you click on the menu at the bottom of the screen it will reopen the About instead of the Playerfragment.</t>
  </si>
  <si>
    <t>2021-06-08</t>
  </si>
  <si>
    <t>nextcloud-android-8547</t>
  </si>
  <si>
    <t>App crashes at startup.
************ CAUSE OF ERROR ************
************ APP INFORMATION ************
Build flavor: generic
************ DEVICE INFORMATION ************
************ FIRMWARE ************</t>
  </si>
  <si>
    <t>alexvasilkov-GestureViews-172</t>
  </si>
  <si>
    <t>Crash on Redmi 6A - GL error from OpenGLRenderer: 0x502</t>
  </si>
  <si>
    <t>getting crash when trying to show any image with this library with stacktrace similar to this: https: stackoverflow.com questions 19739269
There isn much of an android stacktrace, seems to be coming from the kernel level. This seems to be isolated to this device of mine, but since the images are visible with regular ImageView there likely something within this library that causing this.
ve tried setting my layer type to software and hardware explicitly as well, no luck.</t>
  </si>
  <si>
    <t>CleverTap-clevertap-cordova-102</t>
  </si>
  <si>
    <t>SDK-890 iOS - Fixed AppInbox getAllInboxMessages/ getUnreadInboxMessages crash</t>
  </si>
  <si>
    <t>Updated iOS code to convert object into json</t>
  </si>
  <si>
    <t>PojavLauncherTeam-PojavLauncher-1505</t>
  </si>
  <si>
    <t>first love your work guys thank you
my issue is when play with sodium mod my game crashs tried everything know but nothing works tried with and without fabric abi and it still crashing hope you understand me comment because
also am not that very good at English sorry if say something wrong and not progarmer
thanks for reading my comment
my phone is
Lenovo k12 note
4g ram 128g
play on 1.16.5</t>
  </si>
  <si>
    <t>TeamNewPipe-NewPipe-6450</t>
  </si>
  <si>
    <t>The app crashes when opening a video.</t>
  </si>
  <si>
    <t>&lt;!-- This checklist is COMPULSORY. The first box has been checked for you to show you how it is done. --&gt;
am using the latest version v0.21.3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NewPipe
2. Click on the video (sometimes on video that requires confirmation of age 18+)
### Actual behaviour
&lt;!-- Tell us what happens with the steps given above. --&gt;
ve been experiencing this problem for quite some time, for about two months now.
On versions: v0.21.2, v0.21.3. don know on previous ones.
click on the video and immediately the app crashes with two options:
1) It crashes with prompt to send report
2) Crashes with exit to android desktop. No report.
### Expected behavior
&lt;!-- Tell us what you expect to happen. --&gt;
&lt;!-- If your bug includes crash (where you re shown the Error Report page with bunch of info), tap on Copy formatted report at the bottom and paste it here: --&gt;
User Action: ui error
Request: ACRA report</t>
  </si>
  <si>
    <t>lchua2314-Game-News-App-12</t>
  </si>
  <si>
    <t>JSON Array? Overflow Bug</t>
  </si>
  <si>
    <t>With infinite pagination, the app can crash if the user loads too much data.</t>
  </si>
  <si>
    <t>PojavLauncherTeam-PojavLauncher-1503</t>
  </si>
  <si>
    <t>[BUG] Minecraft Crash on Android 8.1</t>
  </si>
  <si>
    <t>If you don fill in this template, this issue will be marked as invalid and closed.
&lt;details&gt; &lt;summary&gt;&lt;b&gt;Read before submit&lt; b&gt;&lt; summary&gt;
Make sure there was not duplicated issues.&lt;br&gt;
Make sure you have filled this issue template, or this will get rejected.
### To Reproduce:
Indicate steps to reproduce the buggy behavior:
1. Start PojavLauncher
... *(your set of actions to reproduce the bug)*
2. Login my Microsoft account.
3. Press PLAY button.
5. Minecraft crashed!
### Expected behavior:
Minecraft crash report:
---- Minecraft Crash Report ----
Why did you do that?
detailed walkthrough of the error, its code path and all known details is as follows:
-- Head --
-- Initialization --
-- System Details --
Minecraft Version: 1.16.4</t>
  </si>
  <si>
    <t>Karumi-Dexter-279</t>
  </si>
  <si>
    <t>Proguard rules are affecting the whole project</t>
  </si>
  <si>
    <t>use Dexter in my project, enabled Proguard to minimize code size had lot of problems, wanted to see the file names that cause the problems but this line in Proguard configuration file proguard-rules.pro (https: github.com Karumi Dexter blob master dexter
is overriding the whole project configuration and hides source files names, it should be removed so can decide if want to hide source files names for whole project or not
### Expected behaviour
want to show source file names in crash stack trace so can fix the problem
Source file names should be visible if added -keepattributes
### Actual behaviour
All file names are hidden like below
### Steps to reproduce
enable proguard for project that uses Dexter as dependency
add -keepattributes to keep the source file names visible in stack trace
it will not be visible because Dexter Proguard rules override SourceFile directive
### Version of the library
Since 4.1.1 to 6.2.2</t>
  </si>
  <si>
    <t>2021-06-07</t>
  </si>
  <si>
    <t>MuntashirAkon-AppManager-472</t>
  </si>
  <si>
    <t>could not fetch package info for Swype keyboard</t>
  </si>
  <si>
    <t>**Describe the bug**
Not actually bug it might be due to app not in the app manager database
Since app is not open source just want to extract its activities and disable unnecessary ones
Steps to reproduce the behaviour:
1. Go to main screen
2. Click on app called Swype keyboard by nuance (discontinued in 2018)
3. Scroll down to ....
4. See error
Using app property screen
If applicable, add screenshots to help explain your problem.
Not actually since app does not crashed
Device: Xiaomi Redmi pro
OS Version: 11 using custom Rom (Derpfest os)
App Manager Version: v2.6.1 34187 downloaded from telegram release channel
Add any other context about the problem here.</t>
  </si>
  <si>
    <t>Anuken-Mindustry-5393</t>
  </si>
  <si>
    <t xml:space="preserve">i can't write in logic processor </t>
  </si>
  <si>
    <t>**Steps to reproduce**: *have phone or tablet and should have these buttons or anything that disappear and resize the screen when disappearing
open any processor try to write anything it will resize the screen when you complete the writing it will forget what you write when the screen resize was having this also in 126.2 and 126.1 but it had low chance of it, but in the mindustry BE the chance of that happen is 100% so now can code in mindustry BE using Huawei
these some photos of it
look its disappear and the screen resize and it forgets what write the block1 should be test
**Link(s) to mod(s) used**: *noun*
**Save file**: *any processor*
**(Crash) logs**: *noun the game don crash it just don write*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</si>
  <si>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nextcloud-android-8539</t>
  </si>
  <si>
    <t>Crash creating a markdown file (crash on tmeplate chooser dialog)</t>
  </si>
  <si>
    <t>### Steps to reproduce
1. Switch on Bluetooth on android menu bar
2. Open app, click plus to create new text (Markup) document, wait for prompt to enter file name
3. Switch mobile keyboard on
4. App should crash now
### Expected behaviour
Well, the app should not crash the file name should now be editable with the Bluetooth device.
### Actual behaviour
The app crashes and shows Java including stacktrace (see below)
### Can you reproduce this problem on https: try.nextcloud.com?
No, and am not going to. This should very much be local device issue.
### Environment data
Android version: 7.1.1
Device model: Sony Z5 Compact, E5823
Stock or customized system: not customised
Nextcloud app version: 3.16.0
************ CAUSE OF ERROR ************
... 10 more
************ APP INFORMATION ************
Build flavor: gplay</t>
  </si>
  <si>
    <t>material-components-material-components-android-2242</t>
  </si>
  <si>
    <t xml:space="preserve">[MaterialDatePicker] NPE Crash </t>
  </si>
  <si>
    <t>The material date picker crashes sometimes when preselecting date range. Code to invoke the datepicker:
private fun launchDatePicker()
val now 1000
range picker title))
pair: Pair&lt;Long, Long&gt; -&gt;
?: now, it.second ?: now)
**Expected behavior:** Not crash. The date picker does show briefly, but then the whole app crashes. Something to do with the preselected visible date range. Our code preselects the last days up until today.
If manually set the device date to June 6th (instead of the current day, June 7th), then date picker does not crash and works fine. The same goes for June 8th. Only when the device date is June 7th (today) then date picker crashes. quick fix would be nice, since this is causing lot of crashes for users.
Tested on Samsung S20 and Emulator, both Android 11. This happens with both version 1.3.0 and 1.4.0-rc01. Have not tried any other versions devices. screenshot of how the date picker looks right before the crash:</t>
  </si>
  <si>
    <t>PojavLauncherTeam-PojavLauncher-1499</t>
  </si>
  <si>
    <t>[BUG] Meteor client crashes when I open it</t>
  </si>
  <si>
    <t>### Describe the bug
So just wanted to use Meteor Client on my favorite anarchy server, installed it, opened it.
It greets me with crash.
**Add log file if you want to see your bug fixed !**
### To Reproduce:
Indicate steps to reproduce the buggy behavior:
1. Install meteor client
2. Start PojavLauncher
3. Open fabric 1.16.5 with Meteor installed
### Expected behavior:
expected it to run.
Device Model LG Stylo
CPU architecture aarch64
Android Version 10
PojavLauncher Version Latest Release</t>
  </si>
  <si>
    <t>nextcloud-android-8534</t>
  </si>
  <si>
    <t>All Android App Version crashed on login</t>
  </si>
  <si>
    <t>### Steps to reproduce
1. Open Nextcloud app on Android
### Expected behaviour
App opens up and shows folder list
### Actual behaviour
App shows browser list for less than second, then crashes and displays below error log.
### Can you reproduce this problem on https: try.nextcloud.com?
trial under try.nextcloud.com was successfully.
am at loss
### Environment data
Android version: My Wife has Android (Blackberry Android)
Device model: LG G4 My Wife KEYone
Stock or customized system:
Nextcloud app version:
Nextcloud server version:
#### Web server error log
Insert your webserver log here
#### Nextcloud log (data nextcloud.log)
************ CAUSE OF ERROR ************
Caused by: Couldn read row 0, col from CursorWindow. Make sure the Cursor is initialized correctly before accessing data from it.</t>
  </si>
  <si>
    <t>2021-06-06</t>
  </si>
  <si>
    <t>nextcloud-android-8533</t>
  </si>
  <si>
    <t>All Version crashed on login</t>
  </si>
  <si>
    <t>My Wife have the same Problem with her blackbarry Android smartphone.
trial under try.nextcloud.com was successfully.
am at loss
Web server error log
Insert your webserver log here
Nextcloud log (data nextcloud.log)
************ CAUSE OF ERROR ************
Caused by: Couldn read row 0, col from CursorWindow. Make sure the Cursor is initialized correctly before accessing data from it.
************ APP INFORMATION ************
Build flavor: generic
************ DEVICE INFORMATION ************
************ FIRMWARE ************</t>
  </si>
  <si>
    <t>MuntashirAkon-AppManager-471</t>
  </si>
  <si>
    <t>AM 2.6.1 Crash</t>
  </si>
  <si>
    <t>Your issue will be closed without warning if you don check at least two items.
know what my device, OS and App Manager versions are
know how to take logs
know how to reproduce the issue which may not be specific to my device
**Describe the bug**
App manager suddenly crash
Steps to reproduce the behaviour:
1. enable ADB over TCP
2. launch AM v2.6.1
3. AM crash
If applicable, add screenshots to help explain your problem.
App version: 2.6.1
App version code: 387
Android build version: 1608537052
Android release version: 10
Android SDK version: 29
Android build ID: RMX2030EX 11 C.67
Device brand: realme
Device manufacturer: realme
Device name: RMX2030</t>
  </si>
  <si>
    <t>PojavLauncherTeam-PojavLauncher-1497</t>
  </si>
  <si>
    <t xml:space="preserve">keeps crashing when trying to load world, using any forge 1.13.+ versions </t>
  </si>
  <si>
    <t>my game keeps crashing when im using forge 1.13-1.16.5 versions cant really give crash log, cant find it neither is one created. the lastest one is days ago.</t>
  </si>
  <si>
    <t>PojavLauncherTeam-PojavLauncher-1496</t>
  </si>
  <si>
    <t>Crush zink Virson in Android 11</t>
  </si>
  <si>
    <t>--- Describe the bug ---
clear and concise description of what the bug
am send crush file
---- Minecraft Crash Report ----
Hi. Minecraft, and crashaholic.
detailed walkthrough of the error, its code path and all known details is as follows:
-- Head --
-- Initialization --
-- System Details --
Minecraft Version: 1.11.2
Operating System: Linux (aarch64) version Android-11
JVM Flags: total -Xms736M -Xmx736M -Xbootclasspath p: storage emulated games PojavLauncher caciocavallo ResConfHack.jar: storage emulated games PojavLauncher caciocavallo storage emulated games PojavLauncher caciocavallo
Launched Version: 1.11.2
GL Caps: Using GL 1.3 multitexturing.
Using GL 1.3 texture combiners.
Using framebuffer objects because OpenGL 3.0 is supported and separate blending is supported.
Shaders are available because OpenGL 2.1 is supported.
VBOs are available because OpenGL 1.5 is supported.
Using VBOs: Yes
Is Modded: Very likely Jar signature invalidated</t>
  </si>
  <si>
    <t>Anuken-Mindustry-5377</t>
  </si>
  <si>
    <t xml:space="preserve">all captured sector have a warn </t>
  </si>
  <si>
    <t>**Steps to reproduce**: *Just started the game*
**Link(s) to mod(s) used**: *0 mods are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https: fromsmash.com SavesMindustry (https: fromsmash.com SavesMindustry)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</si>
  <si>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Anuken-Mindustry-5373</t>
  </si>
  <si>
    <t>Duct Bridge Bug</t>
  </si>
  <si>
    <t>**Steps to reproduce**: *place blocks like above.*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</si>
  <si>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PojavLauncherTeam-PojavLauncher-1493</t>
  </si>
  <si>
    <t>crash while installing mod in the jvm (forge wurst and fabric API)</t>
  </si>
  <si>
    <t>If you don fill in this template, this issue will be marked as invalid and closed.
--&gt;well it crash when installing mod
&lt;details&gt; &lt;summary&gt;&lt;b&gt;Read before submit&lt; b&gt;&lt; summary&gt;
Make sure there was not duplicated issues.&lt;br&gt;
Make sure you have filled this issue template, or this will get rejected.
### Describe the bug
clear and concise description of what the bug is.
**--------- beggining with launcher debug
--------- beginning of main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videos:https: youtu.be tDzF6nGifWE
*Upload here screenshots or videos of the buggy behavior, if possible.*
Device Model e.g. Mi Pro 128
CPU architecture e.g. aarch64</t>
  </si>
  <si>
    <t>nextcloud-android-8530</t>
  </si>
  <si>
    <t>Crash on first launch on Galaxy Tab S7</t>
  </si>
  <si>
    <t>### Steps to reproduce
1. First launch after installation
### Expected behaviour
App shouldn crash
### Actual behaviour
#### Nextcloud log (data nextcloud.log)
************ CAUSE OF ERROR ************
Caused by: uid 10278 cannot get user data for accounts of type: nextcloud
... 11 more
************ APP INFORMATION ************
Build flavor: gplay
************ DEVICE INFORMATION ************
************ FIRMWARE ************</t>
  </si>
  <si>
    <t>Anuken-Mindustry-5371</t>
  </si>
  <si>
    <t>Tsunami and Meltdown info typo/bug</t>
  </si>
  <si>
    <t>bleeding edge 21174
In the info page for the tsunami pulled up from the build menu or the core database, all ammos have an ammo multiplier of 0x for some reason
also the info page for the meltdown has an incendiary effect instead of melting or burning effect, was wondering if that was bug or intentional
**Steps to reproduce**: *How you happened across the issue, and what exactly you did to make the bug happen.*
happened on the issue while looking through core database, clicked the tsunami and saw the bug, same with melt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</si>
  <si>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2021-06-05</t>
  </si>
  <si>
    <t>falzonv-discreet-launcher-64</t>
  </si>
  <si>
    <t>Crash opening menu if the launcher icon is in a folder</t>
  </si>
  <si>
    <t>This ticket is opened following bug report from xi7 in ticket #59:
v4.0 no work android the launcher icon crash
Thank you for the bug report!
After further investigation it crashes only when the launcher icon is clicked from inside folder (when it is directly in the applications drawer or favorites panel, not in folder, it seems to work normally).
have created this ticket for follow-up.</t>
  </si>
  <si>
    <t>Rosemoe-sora-editor-67</t>
  </si>
  <si>
    <t>Code Editor crashes when press enter (new line)</t>
  </si>
  <si>
    <t>found bug. every time press enter (new line) from my keyboard, it carshes.
(I using Google Keyboard)</t>
  </si>
  <si>
    <t>GoogleCloudPlatform-fda-mystudies-3697</t>
  </si>
  <si>
    <t>[Mobile apps] app is getting crashed when user clicks on the study</t>
  </si>
  <si>
    <t>1. Login to SB
2. Add any activity with custom schedule for the study
3. Launch publish updates
4. In the mobile app click on the particular study for which custom activity is added</t>
  </si>
  <si>
    <t>Anuken-Mindustry-5366</t>
  </si>
  <si>
    <t>Campaign research wiped in Windows hard crash</t>
  </si>
  <si>
    <t>**Steps to reproduce**: Load campaign with some progress. Put kill switch to stack overflow or cause some other hard crash the game. Pull the switch. See if research is wiped out in campaign.
**Link(s) to mod(s) used**: none installed
**Save file**: https: drive.google.com file 1HGsDL view?usp sharing
**(Crash) logs**: None were created?
*Place an (no spaces) between the brackets to confirm that you have read the line below.*
**I have reinstalled from Steam**
**I have searched the closed and open issues to make sure that this problem has not already been reported.**</t>
  </si>
  <si>
    <t>nextcloud-android-8526</t>
  </si>
  <si>
    <t>App crashes when opening .md file</t>
  </si>
  <si>
    <t>### Steps to reproduce
1. Open NC app
2. Tap on .md file
### Expected behaviour
File should open
### Actual behaviour
### Environment data
Android version: 10
Device model: Volla Phone GS290
Stock or customized system: AOSP
Nextcloud app version: 3.16.1
Nextcloud server version: 21.0.1
#### Web server error log
Insert your webserver log here
#### Nextcloud log (data nextcloud.log)
************ CAUSE OF ERROR ************
... 36 more
... 47 more
Caused by: yp: errorCode
... 49 more</t>
  </si>
  <si>
    <t>nextcloud-android-8525</t>
  </si>
  <si>
    <t>### Steps to reproduce
1. Open Nextcloud app on Android
### Expected behaviour
App opens up and shows folder list
### Actual behaviour
App shows browser list for less than second, then crashes and displays below error log.
App also shows failed upload notifications Upload failed, log in again. Wrong username or password
This behaviour has just randomly started, previously everything was working fine. No server updates recently, no change in users or account. Desktop apps and browser version work without problems.
### Can you reproduce this problem on https: try.nextcloud.com?
No, but because can no longer start the app to change login details or add an account.
### Environment data
Android version: 11
Device model: Google Pixel 4a (5G)
Stock or customized system: Stock
Nextcloud app version: 3.16.1 from Google Play Store
Nextcloud server version: 21.0.2
Reverse proxy: none
#### Web server error log
Insert your webserver log here
#### Nextcloud log (data nextcloud.log)</t>
  </si>
  <si>
    <t>mtotschnig-MyExpenses-841</t>
  </si>
  <si>
    <t>app may crash, if Web UI is configured as active in backup, and dynamic feature is not yet loaded</t>
  </si>
  <si>
    <t>On most devices, trying to start the service, if feature is not loaded, should just return null component name, but we have seen report from one device (Crosscall CORE-M4) where this situation leads to crash. We can prevent this situation by
ignoring the Web UI configuration in backup file. It does not make sense to start the web ui, just because it had been active at the moment, when backup was created on different device
as safeguard check if class is found, before starting the service</t>
  </si>
  <si>
    <t>2021-06-04</t>
  </si>
  <si>
    <t>jellyfin-jellyfin-androidtv-934</t>
  </si>
  <si>
    <t>how to get the log file</t>
  </si>
  <si>
    <t>After launching my device crashes.
would like to know how to get the log file?
**System (please complete the following information):**
Android TV: Android
Jellyfin server version: 10.7.5</t>
  </si>
  <si>
    <t>Anuken-Mindustry-5358</t>
  </si>
  <si>
    <t>More payload propulsion tower bugs</t>
  </si>
  <si>
    <t>**Steps to reproduce**: *place two payload propulsion tower(make sure they close to each other with no gap) and make sure the output in facing at each other then put in one payload. Chance of bug occuring are little low, you can increase this by overdriving them. Screenshot will show it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</si>
  <si>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Anuken-Mindustry-5356</t>
  </si>
  <si>
    <t>Payload Propulsion Tower instant transport + no animation line thing</t>
  </si>
  <si>
    <t>**Steps to reproduce**: *idk, this happen in nydus server*
**Link(s) to mod(s) used**: *The mod repositories or zip files that are related to the issue, if applicable.*
**Save file**: *None for some reason*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</si>
  <si>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bttv-android-bttv-85</t>
  </si>
  <si>
    <t>App crash after update</t>
  </si>
  <si>
    <t>after updating the app to 0.6.0 beta the app crashes when opening (even with fresh install).</t>
  </si>
  <si>
    <t>Benji377-SocyMusic-26</t>
  </si>
  <si>
    <t>NotfifcationBar crashes app</t>
  </si>
  <si>
    <t>added the NotificationBar to the PlayerFragment, but when you play song it makes the app crash.</t>
  </si>
  <si>
    <t>mtotschnig-MyExpenses-839</t>
  </si>
  <si>
    <t>Budget Edit crashes upon device orientation change</t>
  </si>
  <si>
    <t>Anuken-Mindustry-5348</t>
  </si>
  <si>
    <t>Fire crashing from java.lang.ArrayIndexOutOfBoundsException</t>
  </si>
  <si>
    <t>Mindustry has crashed. How unfortunate.
14 Mods: endless-rusting: co 6, craftdustry:1.4, exotic-mod:0.1 Alpha, hackustry:3.3.zip, mine?:1, nuke:1, opore-mod:69, pixelcraft:0.9.85, prog-mats:0.39, purple-air:0.2.2, slowk,
**Steps to reproduce**:
Step 1: Get crux flying unit
Step 2: Use weapon which fires projectiles that can cause fire (I had used Prisimdome, modded turret)
Step 3: Shoot the crux flying unit over StaticWall
**Link(s) to mod(s) used**: https: github.com Sh1penfire Endless-rusting
**Save file**: Unable to upload, find in zip
*The (zipped) save file you were playing on when the bug happened.
Please don reep my soul Anuken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</si>
  <si>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Benji377-SocyMusic-20</t>
  </si>
  <si>
    <t>App crashes when clicking the 'back' button</t>
  </si>
  <si>
    <t>The idea of having bar at the bottom is great! can see it when click the back button on the phone, but immediately afterward, the app crahes. When open it back up there is no bar, just the home screen.</t>
  </si>
  <si>
    <t>2021-06-03</t>
  </si>
  <si>
    <t>Anuken-Mindustry-5343</t>
  </si>
  <si>
    <t>Sprites are a jumbled mess</t>
  </si>
  <si>
    <t>Bleeding Edge 21130
Sprites are all jumbled, as shown in the attached picture, aware that the sprites are supposed to be purple, but not like this to my knowledge.
**Steps to reproduce**: *How you happened across the issue, and what exactly you did to make the bug happen.*
Open the game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(I don think this is nessesary, but better be safe than sorry)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</si>
  <si>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StoyanTinchev-musicial-tesla-coil-33</t>
  </si>
  <si>
    <t>Fix delete button bug</t>
  </si>
  <si>
    <t>Fix bug with deletion of files. When try to delete file app crashes.
## Additional context
Also you don need popup menu with only one option so just put rubbish bin picture for deletion of file.</t>
  </si>
  <si>
    <t>Anuken-Mindustry-5337</t>
  </si>
  <si>
    <t>Mindustry BE crashes without a crash report 2: electric boogaloo</t>
  </si>
  <si>
    <t>**Steps to reproduce**: *same as #3952*
**Link(s) to mod(s) used**: *sk7725 BetaMindy, although the outdated one that was not compatible with the current Mindustry, let alone 7.0*
**Save file**: *i didn even get to open map*
If you remove the line above without reading it properly and understanding what it means, will reap your soul. Even if you re playing on someone server, you can still save the game to slot.
**(Crash) logs**: *here the error.pid*
fatal error has been detected by the Java Runtime Environment:
EXCEPTION ACCESS VIOLATION (0xc0000005) at pc 0x00007ff950db4902, pid 15420, tid 7476
JRE version: OpenJDK Runtime Environment AdoptOpenJDK (14.0.2+12) (build 14.0.2+12)
Java VM: OpenJDK 64-Bit Server VM AdoptOpenJDK (14.0.2+12, mixed mode, sharing, tiered, compressed oops, g1 gc, windows-amd64)
No core dump will be written. Minidumps are not enabled by default on client versions of Windows
If you would like to submit bug report, please visit:
https: github.com AdoptOpenJDK openjdk-support issues
The crash happened outside the Java Virtual Machine in native code.
See problematic frame for where to report the bug.
Command Line: C: Users starw AppData Roaming Mindustry be builds
Current thread JavaThread main thread in native, id 7476,
Native frames: (J compiled Java code, interpreted, Vv VM code, native code)
ApplicationListener Larc backend sdl SdlConfig )V+181
Ljava lang String )V+23
Register to memory mapping:</t>
  </si>
  <si>
    <t>nextcloud-android-8520</t>
  </si>
  <si>
    <t>next cloud crash</t>
  </si>
  <si>
    <t>mtotschnig-MyExpenses-836</t>
  </si>
  <si>
    <t>Account widget: Broken handling of hidden and deleted accounts</t>
  </si>
  <si>
    <t>Currently hidden accounts can be selected in the account configuration for single account display, but then leads to crash. Also deleting an account that is shown in widget, leads to crash.
Hidden accounts should not be selectable
When widget is configured for account, that later is deleted, the widget should show warning. When it is later hidden, we continue showing it.</t>
  </si>
  <si>
    <t>commons-app-apps-android-commons-4435</t>
  </si>
  <si>
    <t>Handle migration to prevent crash on start</t>
  </si>
  <si>
    <t>Version 1007, yes email sent.</t>
  </si>
  <si>
    <t>Anuken-Mindustry-5331</t>
  </si>
  <si>
    <t>Bug with calling</t>
  </si>
  <si>
    <t>When you are playing and on phone call, when you or your friend hangs up, the audio completely cuts
**Steps to reproduce**: *How you happened across the issue, and what exactly you did to make the bug happen.*
Open game, call friend, hang up while game is open, glitch happens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</si>
  <si>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MuntashirAkon-AppManager-466</t>
  </si>
  <si>
    <t>AM Does Not Open</t>
  </si>
  <si>
    <t>know what my device, OS and App Manager versions are
know how to take logs
know how to reproduce the issue which may not be specific to my device
**Describe the bug**
The app does not open, it just keeps asking for the keystore password (I have no password, so just click on the notification and press ok).
Steps to reproduce the behaviour:
1. Open the app
2. Open the keystore notification and press Ok.
3. See error
The app should just open normally as in v2.6.0.
If applicable, add screenshots to help explain your problem.
If applicable, add crash logs to help us figure out the problem.
Device: Redmi Note
OS Version: MIUI 11 (Android 7.0)
App Manager Version: v2.6.1 Stable (v2.7.0 DEBUG#1319)
Add any other context about the problem here.</t>
  </si>
  <si>
    <t>mtotschnig-MyExpenses-835</t>
  </si>
  <si>
    <t>Calendar view for plan crashes on some devices</t>
  </si>
  <si>
    <t>2021-06-02</t>
  </si>
  <si>
    <t>Anuken-Mindustry-5330</t>
  </si>
  <si>
    <t>Changing sectors in a co-op campain while sending a message fails to let the new sector load</t>
  </si>
  <si>
    <t>**Steps to reproduce**: Join co-op campaign, have the host change sectors, have the other person type message, when you press enter it fails
**Link(s) to mod(s) used**: None.
**Save file**: https: www.mediafire.com file ogwm2mejcid523f file
*I think this is it, if it something else pLEASE let me know*
If you remove the line above without reading it properly and understanding what it means, will reap your soul. Even if you re playing on someone server, you can still save the game to slot.
**(Crash) logs**: Does not crash, simply goes to main menu.
*Place an (no spaces) between the brackets to confirm that you have read the line below.*
(i have not done) **I have updated to the latest release (https: github.com Anuken Mindustry releases) to make sure my issue has not been fixed.**
searched, not gonna go through all 2000 **I have searched the closed and open issues to make sure that this problem has not already been reported.**</t>
  </si>
  <si>
    <t>AlphaWallet-alpha-wallet-android-1889</t>
  </si>
  <si>
    <t>App crashes when connecting to Ethereum/Matic bridge</t>
  </si>
  <si>
    <t>Anuken-Mindustry-5326</t>
  </si>
  <si>
    <t>Disappearing Servers</t>
  </si>
  <si>
    <t>126.1 to 126.2
The servers are deleted on my PC.
They just vanished to thin air.
It happened once installed 126.1. At first it was completely okay, the servers are showing up in the multiplayer tab, but now everything gone.
was worried got banned from those servers because when looked at my phone, see all of them showing good ping. So just ignored it because got punished by the law (I do not grief).
It took long before got bored playing .io server multiple times. Then saw one member of the ALEX server (one server that just vanished in my pc) in discord. We had DM and explained why was ALEX missing in my multiplayer tab, and redirected me to the admin.
He said wasn banned, even if was, then should still see it, but can join on it because of the long timer yhey give to banned ppl.
Many servers were gone on my PC, but in my phone all of the servers are showing up and with good ping (100-300 ms)
ve also seen ppl complaining some of their servers are missing, please help us.
**Steps to reproduce**: *How you happened across the issue, and what exactly you did to make the bug happen.*
don know, it just happened unconsciously.
**Link(s) to mod(s) used**: *The mod repositories or zip files that are related to the issue, if applicable.*
No mods are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could send screenshots in the comments tab to prove the bug.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</si>
  <si>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2021-06-01</t>
  </si>
  <si>
    <t>nextcloud-android-8510</t>
  </si>
  <si>
    <t>Nextcloud app (3.16.0) crashed</t>
  </si>
  <si>
    <t>### Steps to reproduce
1. App was only running in background. saw notification that new media folder was detected. Touched the message and received the error below
### Actual behaviour
App crashed with error.
This is the first time this crash happened.
************ CAUSE OF ERROR ************
Caused by: Comparison method violates its general contract!
... 11 more
************ APP INFORMATION ************
Build flavor: gplay
************ DEVICE INFORMATION ************
************ FIRMWARE ************
### Environment data
Android version: 11
Device model: Samsung Galaxy S20 FE 5G
Stock or customized system: Stock
Nextcloud app version: 3.16.0
Nextcloud server version: 21.0.2
Reverse proxy: None</t>
  </si>
  <si>
    <t>k9mail-k-9-5324</t>
  </si>
  <si>
    <t>K9 FC after Reply without "Download Complete Message"</t>
  </si>
  <si>
    <t>**Describe the bug**
After searching for (older) email, used Reply and Reply All before selecting Download Complete Message resulted in error. First time returns K9 to the inbox list. After repeated attempts, K9 will FC.
Steps to reproduce the behavior:
1. From inbox or unified inbox, searched for older message
2. found message with Download Complete Message shown at bottom (doesn matter if attachment or not)
3. Did NOT click on Download Complete Message but instead selected Reply (and Reply all same result)
4. After clicking Reply or Reply all, K9 reverted to inbox list of email (did not show new email response)
5. With (2 or 3) repeated attempts, K9 then crashed FC
Reply or Reply All yields new message that can edited typed and sent.
**Environment (please complete the following information):**
K-9 Mail version: 5.734
Android version: 10 (Samsung ver FFUE1)
Device: Galaxy S9 SM-G960F
Account type: IMAP
Log includes two sequences after searched for older email with criteria Winger (1) then selected old email with Download Complete Message then selected Download complete email, message downloaded, then Reply All to message correctly generated an email that could be edited typed email discarded. (2) Selected second older email from same search that included Download Complete Message at bottom, but did not download message, instead proceeded directly to Reply All which generated error, second Reply All generated FC.
--------- beginning of main
--------- beginning of crash</t>
  </si>
  <si>
    <t>mI-PIV-app-112</t>
  </si>
  <si>
    <t>Crashing at "Compute PIV"</t>
  </si>
  <si>
    <t>V0.16 is crashing on multiple phones at the Compute PIV step. Videos are not high res.</t>
  </si>
  <si>
    <t>google-ExoPlayer-9002</t>
  </si>
  <si>
    <t>ACCESS_NETWORK_STATE crash 2.13.3</t>
  </si>
  <si>
    <t>getting report from Crashlytics that some user are having crashes the stacktrace is as shown below:
My manifest permission::
The crash happened on
Android version: 11
Android device: Samsung Galaxy S20 FE 5G</t>
  </si>
  <si>
    <t>Azure-azure-iot-sdk-java-1225</t>
  </si>
  <si>
    <t>NullPointerException in ClientState.quiesce iot-device-client:1.29.4</t>
  </si>
  <si>
    <t>**OS and version used:** Android (mostly ver 10 and 11)
**SDK version used:**
## Description of the issue
Some crashes reported in Crashlytics for version of app that includes
different crashes around ClientState.quiesce
## Console log of the issue
Crashlytics crash info.
ClientState.java line 1330
ClientComms.java line 775
ClientState.java line 1355
Attempt to invoke virtual method void on null object reference
Fatal Exception: Attempt to invoke virtual method void on null object reference</t>
  </si>
  <si>
    <t>TeamNewPipe-NewPipe-6407</t>
  </si>
  <si>
    <t>App crashes if opened after a long time (booted from RAM?)</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</si>
  <si>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Not reproducible reliably, but:
1. Open some video page.
2. Leave Newpipe for long time, and use other apps.
3. Come back to Newpipe.
### Actual behaviour
&lt;!-- Tell us what happens with the steps given above. --&gt;
Crash. Caught by Scoop. Newpipe error activity doesn open for this.</t>
  </si>
  <si>
    <t>2021-05-31</t>
  </si>
  <si>
    <t>k9mail-k-9-5322</t>
  </si>
  <si>
    <t>k9-Mail v5.734 crashes on attempt to open email</t>
  </si>
  <si>
    <t>The app opens without issue but when an attempt is made to open an email the app restarts or closes.
Steps to reproduce the behavior:
1. Open K9-Mail
2. Select an email from the Inbox (or unified inbox)
3. Watch the app crash :(
To be able to view more than just the opening line of the email.
**Environment (please complete the following information):**
K-9 Mail version: 5.734
Google Pixel 4a
Account type: IMAP
Add any other context about the problem here.</t>
  </si>
  <si>
    <t>voxeet-voxeet-uxkit-reactnative-35</t>
  </si>
  <si>
    <t>-[NSNull _fastCStringContents:]: unrecognized selector sent to instance 0x1eb639ee0</t>
  </si>
  <si>
    <t>Our users are recently facing the below crash on iOS this is when the installation is with the develop branch
NSNull unrecognized selector sent to instance 0x1eb639ee0</t>
  </si>
  <si>
    <t>nextcloud-android-8500</t>
  </si>
  <si>
    <t>Crash during login</t>
  </si>
  <si>
    <t>### Steps to reproduce
1. Open Nextcloud App
2. Enter Server. and Credensials
3. ReEnter, because first time was Passworts wrong
4. Login sucessfull and the crash
### Expected behaviour
Tell us what should happen
Enter App and Do things
### Actual behaviour
Tell us what happens
Crash after sucessfull Passworts and starting loging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</si>
  <si>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2021-05-30</t>
  </si>
  <si>
    <t>scoute-dich-browser-515</t>
  </si>
  <si>
    <t>Crash when checking Clear on application exit</t>
  </si>
  <si>
    <t>The browser (v. 7.4.3) crashes everytime open the Settings menu after checking Clear on application exit together with all the boxes above this option.
sure about the bug cause it stopped crashing once cleared the app cache.
using Lenovo A2016b30 with Android 6.0.
hope been helpful. Have good day night and keep it doing the app works great and have really nice features. Willing to use the Dark mode soon.</t>
  </si>
  <si>
    <t>Benji377-SocyMusic-17</t>
  </si>
  <si>
    <t>App crashes from a Null pointer exception if the file selected to play has been deleted or moved</t>
  </si>
  <si>
    <t>If you run the app, switch out of it, delete or move or rename the file, and switch back, then try to play it, the app crashes with the following exception</t>
  </si>
  <si>
    <t>TeamNewPipe-NewPipe-6397</t>
  </si>
  <si>
    <t>Unable to navigate internal storage to export database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</si>
  <si>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0.21.3 &lt;!-- Check https: github.com TeamNewPipe NewPipe releases --&gt;
checked, but didn find any duplicates (open OR closed) of this issue in the repo. &lt;!-- Seriously, check. --&gt;
### Steps to reproduce the bug
1. Go to Settings, Content, Export database
2. Allow permissions if necessary.
3. Navigate to external drive, and attempt to save. NOTE: The default save folder has now changed, locking you out of any ability to ever navigate to viable folder, and effectively making the database unsavable.
4. After save fails (see https: github.com TeamNewPipe NewPipe issues 5198 attempt to navigate back to internal storage.
5. Many folders are not displayed, especially the folder(s) necessary to navigate back to viable internal save folder.
&lt;!-- If you can cause the bug to show up again reliably (and hence don have proper set of steps to give us), please still try to give as many details as possible on how you think you encountered the bug. --&gt;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&lt;!-- Please fill this out when you do not provide log generate by NewPipe --&gt;
### Device info
Android version Custom ROM version: android lineage 16.</t>
  </si>
  <si>
    <t>2021-05-29</t>
  </si>
  <si>
    <t>DIT112-V21-group-10-110</t>
  </si>
  <si>
    <t>Bug- App crash from main menu</t>
  </si>
  <si>
    <t>Sometimes the app crashes and get this error. 50% certain that only get this in the MainActivity. Might be related to how the timer works?</t>
  </si>
  <si>
    <t>TeamNewPipe-NewPipe-6392</t>
  </si>
  <si>
    <t>Unrecoverable Player Error on changing playback speed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</si>
  <si>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any video from Youtube
2. Press on playback speed to open popup menu
3. Try to increase the Tempo *over 1x*:
it works fine when decreasing speed from 1x to 0.75x, or even increasing from 0.75x to 1x.
Just doesn seem to handle anything above 1x.
Changing pitch doesn cause error.
Changing the step doesn help
And the crash happens before pressing ok on the popup menu, as soon as press the increase button and it goes over 1x.
### Actual behaviour
&lt;!-- Tell us what happens with the steps given above. --&gt;
Get toast showing Unrecoverable Player Error occurred</t>
  </si>
  <si>
    <t>nextcloud-android-8492</t>
  </si>
  <si>
    <t>Photos Visualizer crashed on Android App</t>
  </si>
  <si>
    <t>2021-05-27</t>
  </si>
  <si>
    <t>PojavLauncherTeam-PojavLauncher-1439</t>
  </si>
  <si>
    <t>Pojav Launcher zink test crashed</t>
  </si>
  <si>
    <t>nextcloud-news-android-964</t>
  </si>
  <si>
    <t>Crash when using card layout</t>
  </si>
  <si>
    <t>Since the latest update, the app crashes on startup if card layout is enabled.
resetted the app via delete data to reconfigure. Everything worked fine as long as did not choose card layout once more.
App Version: 0.9.9.60
App Version Code: 163
SSO enabled: true
OS API Level: 29
Model (and Product): Mi Lite (pyxis eea)
sp max cache size 500
sp swipe left action
sw use single sign on true
cb ShowOnlyUnread false
cb ShowFastActions true
cb AutoSyncOnStart true
sp news detail actionbar icons
sp swipe right action
sp font size 1.0
sp search in
sp sort order
sp feed list layout
cb oled mode false</t>
  </si>
  <si>
    <t>nextcloud-android-8485</t>
  </si>
  <si>
    <t>Crash on refreshing file list in Photos</t>
  </si>
  <si>
    <t>### Steps to reproduce
1. Upload tons of photos using windows client (several GB worth)
2. Sort photos from InstantUpload folder into appropriate albums.
### Expected behaviour
properly update file list on android device
### Actual behaviour
cannot open Photos folder on android app anymore. It crashes to the below log.
autosync is failing complaining about conflict. Using browser shows the folder as empty with no conflicting image.
### Can you reproduce this problem on https: try.nextcloud.com?
No it requires the android app
Please create test demo account and see if this still happens there.
If yes, please open up bug report
If not, please verify server setup and ask for help on forum
### Environment data
Android version: 11
Device model: pixel 4a
Stock or customized system: Calyx OS
Nextcloud app version: current fdroid as of bug report date.
Nextcloud server version: nextcloudpi 20.0.8
Reverse proxy: none</t>
  </si>
  <si>
    <t>DIT112-V21-group-17-136</t>
  </si>
  <si>
    <t>[PROBLEM] confirmPickupMessage(mailman,receiver) mailman object</t>
  </si>
  <si>
    <t>mailman object not found properly, the the method can find the mailman, if used in another class, it crashes.
related issues #48 #65</t>
  </si>
  <si>
    <t>2021-05-26</t>
  </si>
  <si>
    <t>DIT112-V21-group-17-135</t>
  </si>
  <si>
    <t>[PROBLEM] sendExpectDelivery(mailman,receiver) mailman object</t>
  </si>
  <si>
    <t>mailman object not found properly,
the method can find the mailman, if used in another class, it crashes.
related issue: #32</t>
  </si>
  <si>
    <t>DIT112-V21-group-17-132</t>
  </si>
  <si>
    <t>[PROBLEM] sendPickupMessage(mailman, senderID) mailman object</t>
  </si>
  <si>
    <t>mailman object not found properly, the senderID) the method senderID) can find the mailman, if used in another class, it crashes.</t>
  </si>
  <si>
    <t>DIT112-V21-group-05-64</t>
  </si>
  <si>
    <t>Added green/red light and button for speed limit, fixed bug in landscape</t>
  </si>
  <si>
    <t>Added green red light in the control car page to indicate when the car is on or off.
Added button for the speed limit pop up window in the control car page.
Fixed some bugs where some buttons in landscape mode would make the app crash.</t>
  </si>
  <si>
    <t>DIT112-V21-group-17-129</t>
  </si>
  <si>
    <t>Bugg App crashes after last PR</t>
  </si>
  <si>
    <t>Error in Controller:
When we run the code the app doesn open and it show error in android run</t>
  </si>
  <si>
    <t>KramerJProg-MathQuizApp-22</t>
  </si>
  <si>
    <t>When startActivityForResult is called for bestScore BUG</t>
  </si>
  <si>
    <t>When is hit in the method quizStart(), It is supposed to record the score once quiz is finished. It crashes. Possible walk through for fix
https: www.youtube.com watch?v RU7OIqaKEAU</t>
  </si>
  <si>
    <t>nextcloud-talk-android-1294</t>
  </si>
  <si>
    <t>Error reading user fields for profile editing</t>
  </si>
  <si>
    <t>#1092 added the user profile screen and editing capabilities if available. This broke recently since it seems the API URL has changed or something else is wrong (maybe with the authorization header?). Maybe nickvergessen knows more about it.
URL ist build via:
baseUrl ocsApiVersion cloud user fields
which leads to:
Which now crashes with:</t>
  </si>
  <si>
    <t>DIT112-V21-group-17-123</t>
  </si>
  <si>
    <t>[BUG] App crashes when mailman send pick up notification</t>
  </si>
  <si>
    <t>when the mailman clicks on pick up app crashes</t>
  </si>
  <si>
    <t>opensrp-opensrp-client-chw-1786</t>
  </si>
  <si>
    <t>Togo - App crashes on attempt to login with certain user accounts</t>
  </si>
  <si>
    <t>Client reported an issue with some user accounts that caused the app to crash on every login attempt. The accounts are:</t>
  </si>
  <si>
    <t>nextcloud-android-8479</t>
  </si>
  <si>
    <t>Trying to set an emoji as status crashes the app</t>
  </si>
  <si>
    <t>### Steps to reproduce
1. Open the app
2. Switch account
3. Try to set status
4. Click on the emoji button
### Expected behaviour
can set status
### Actual behaviour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Android version: 10
Device model: Xiaomi Redmi Note</t>
  </si>
  <si>
    <t>mit-cml-appinventor-sources-2490</t>
  </si>
  <si>
    <t>Build server loses some extension info</t>
  </si>
  <si>
    <t>**Describe the bug**
Describe the bug in sufficient detail so that we can understand the issue. You should also describe the steps to reproduce the issue (below) so that we ideally can confirm it.
From the forum (https: removes-permission 33473?u ewpatton): When using different extensions in project, sometimes some extension metadata disappears in the final build, potentially breaking the extension and or causing the app to crash.
Please check off the part of the system that is affected by the bug.
Other... (please describe)
Please describe what you expected to happen before you encountered the bug.
Any metadata added by extensions should appear if it is valid in the final app.
**Steps to reproduce**
Please describe the steps needed to reproduce the bug. If possible, please include minimal example project that demonstrates the issue.
For staff, you should be able to see the whisper post that contains the projects you can use for testing.</t>
  </si>
  <si>
    <t>2021-05-25</t>
  </si>
  <si>
    <t>Bible-Translation-Tools-BTT-Writer-Android-18</t>
  </si>
  <si>
    <t>Crash when tapping project info - System language set to Vietnamese</t>
  </si>
  <si>
    <t>When set the device system language to Vietnamese and open BW Android, tapping on the icon to see project information will crash the app. This could happen with other system language (?)</t>
  </si>
  <si>
    <t>SE2-SS21-Gruppe2-moving-maze-79</t>
  </si>
  <si>
    <t>App crash after merging GameBoard + extra-tile</t>
  </si>
  <si>
    <t>ankidroid-Anki-Android-8931</t>
  </si>
  <si>
    <t xml:space="preserve">V2.15.0. Causes Akebi to crash when trying to add word to Ankidroid. </t>
  </si>
  <si>
    <t>1. Find word in Akebi that is already in Anki database
2. Use Akebi function to send to Ankidroid
have not tested if the same problem occurs with word that is not yet in the Anki database
###### Expected Result
Akebi reports duplicate found or that word has been added.
###### Actual Result
No message. Akebi reloads at home page.
###### Debug info
*Enter an character to confirm the points below:*
have searched for similar existing issues here and on the user forum
(Optional) have confirmed the issue is not resolved in the latest alpha release instructions (https: docs.ankidroid.org</t>
  </si>
  <si>
    <t>k9mail-k-9-5308</t>
  </si>
  <si>
    <t>App crashes when moving a message</t>
  </si>
  <si>
    <t>Please search to check for an existing issue (including closed issues, for which the fix may not have yet been released) before opening new issue: https: github.com k9mail k-9 issues?q is%3Aissue
If you are unsure whether or not you have found bug please post to the support forum instead: https: forum.k9mail.app
**Describe the bug**
The app crashes, when try to delete an email.
In this case, try to delete an email which is 157 times in the send items because the app crashed every time during sending.
k-9 is fresh installed.
Steps to reproduce the behavior:
1. Go to Send Elements
2. Click on on conversation
3. Select an email
4. Click the delete icon
5. The app crashes
The email gets deleted and the app doesn crash
**Environment (please complete the following information):**
K-9 Mail version: 5.734 (latest beta from play store)
Android version: 6.0.1
Device: Lenovo YT3-X90F
Account type: IMAP (It work account from
Add any other context about the problem here.
Please take some time to retrieve logs (https: github.com k9mail k-9 wiki LoggingErrors) and attach them here:</t>
  </si>
  <si>
    <t>nextcloud-android-8473</t>
  </si>
  <si>
    <t>TeamNewPipe-NewPipe-6368</t>
  </si>
  <si>
    <t>App crash while playing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</si>
  <si>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t>
  </si>
  <si>
    <t>Anuken-Mindustry-5290</t>
  </si>
  <si>
    <t>Overdrive Projector/Conveyor/Crucible bug</t>
  </si>
  <si>
    <t>noticed something odd when messing with crucibles and hot tiles. Overdrive projectors overdrive everything except other overdrive projectors, right? This means they also speedup conveyors by their respective amounts too, right?
single titanium conveyor is enough to empty out crucible, even when that crucible is heated by tiles. However, when the crucible is placed on hot tiles for some reason it gets clogged with silicon when overdriven, even if the titanium conveyor is also overdriven by the same amount. Theoretically it shouldn get clogged since both the crucible and the titanium conveyor emptying the silicon out are overdriven by the same amount.
**Steps to reproduce**: *How you happened across the issue, and what exactly you did to make the bug happen.*
-Place crucible on some non-heat tiles and another crucible on some heat tiles. The more heat tiles boost the easier this bug is to reproduce.
-Max out both crucibles with item sources for sand, coal, and pyratite. Keep them full of what they need.
-Place single titanium conveyor, one for each crucible, to empty out the silicon (preferably into an item void).
-Make sure to empty the heat boosted crucible silicon manually until it consistently drops to 0. Notice how it never gets full of silicon even though it boosted by heat and only has titanium conveyor emptying its silicon.
-Place any overdrive projector. It doesn matter if you use regular, regular phase-boosted, or dome. Power it. Make sure it overdrives both the crucible and the titanium conveyor (that empties the silicon from the crucible).
-The unboosted crucible on the cool tiles acts normally. It produces faster and the titanium conveyor moves faster. Because they re overdriven at the same speed the crucible never gets full of silicon because the single conveyor is enough to empty it out.
-The boosted crucible on the heated tiles gets clogged fairly quickly even though it and the titanium conveyor are boosted by the same amount.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have setup for you to play with. Power only of the overdrivers at time. After each test, manually remove silicon from all crucibles until they read silicon. Then pick your favorite overdrive, they all produce the bug, but only at time. The unheated crucible acts normally boosted or not while the heated crucibles fill up with silicon. They shouldn fill up.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</si>
  <si>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Anuken-Mindustry-5289</t>
  </si>
  <si>
    <t>Launch Pads and Possible General Stuff</t>
  </si>
  <si>
    <t>Waving my wet finger in the air going to guess that whilst the game supposedly operates sectors in background what it is actually doing is taking an average for sector whilst you are on it and running with that in the future. As result it is prone to getting horribly wrong answer. You were launching 3000 thorium per minute for four minutes, you turn off your launch pads and immediately leave the sector. The program based on the average assumes you are still launching 3000 thorium per minute and all of your thorium disappears.
Apologies for the ramble.
However might possible solution be to delay the exit for say seconds and run the sector simulation at maximum speed to gain better estimate of the average rates of what is going on. guessing, probably incorrectly, that things run bit faster when you are no longer updating graphics and stuff.
Failing that or even better, perhaps according to some sort of priority, would it be possible to have the program spawn, thread, sectors in background to perform the same sort of action such that the averages are more up to date or consistent. realise that might be big ask but whilst don know much about programming have heard of such things. Perhaps as game option.
Steps to reproduce: Just playing the game.
Link(s) to mod(s) used: No Mods.
Save file: In this case don think you need one. It known to happen. As as aside however under Linux Mint files are saved under .wine dosdevices z: proc number and get deleted when you exit the game. assume proc number is process that gets totally killed on exit.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</si>
  <si>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2021-05-24</t>
  </si>
  <si>
    <t>TeamNewPipe-NewPipe-6364</t>
  </si>
  <si>
    <t>Unit testing `ContentSettingsManagerTest` fails</t>
  </si>
  <si>
    <t>&lt;!--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Run tests in (or simply run gradle test
### Actual behaviour
&lt;!-- Tell us what happens with the steps given above. --&gt;
### Expected behavior
&lt;!-- Tell us what you expect to happen. --&gt;
&lt;!-- If your bug includes crash (where you re shown the Error Report page with bunch of info), tap on Copy formatted report at the bottom and paste it here: --&gt;
&lt;!-- That right, here! --&gt;
&lt;summary&gt;Log for one of the failed tests&lt; summary&gt;</t>
  </si>
  <si>
    <t>nextcloud-android-8460</t>
  </si>
  <si>
    <t>Android Nextcloud crash at startup</t>
  </si>
  <si>
    <t>### Steps to reproduce
1. Just launch app
2. ************ CAUSE OF ERROR ************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Device model: Galaxy A8
Stock or customized system:
Nextcloud app version:
Nextcloud server version:</t>
  </si>
  <si>
    <t>muxinc-mux-stats-sdk-exoplayer-112</t>
  </si>
  <si>
    <t>Ads nullpointer crash</t>
  </si>
  <si>
    <t>Fix for this issue: https: zube.io muxinc mux 17905</t>
  </si>
  <si>
    <t>MuntashirAkon-AppManager-452</t>
  </si>
  <si>
    <t>Android 12 Beta 1 crashes</t>
  </si>
  <si>
    <t>Your issue will be closed without warning if you don check at least two items.
know what my device, OS and App Manager versions are
know how to take logs
know how to reproduce the issue which may not be specific to my device
The app crashes on Android 12 Beta when pressing any of the following tabs: User Permissions, Permissions,Uses Features.
App version: 2.6.0
App version code: 385
Android build version: 7333779
Android release version: 11
Android SDK version: 30
Android build ID: SPB1.210331.013
Device brand: google
Device manufacturer: Google
Device name: sunfish
Device model: Pixel 4a
Device product name: sunfish
Device hardware name: qcom
ABIs (32bit): armeabi-v7a, armeabi
ABIs (64bit): arm64-v8a
System language: en-US</t>
  </si>
  <si>
    <t>Chimerapps-niddler-26</t>
  </si>
  <si>
    <t>Websocket Crash</t>
  </si>
  <si>
    <t>This just happened to me and it crashed the whole app:
FATAL EXCEPTION: OkHttp Dispatcher
Niddler 1.5.3. can reproduce anymore.</t>
  </si>
  <si>
    <t>nextcloud-android-8459</t>
  </si>
  <si>
    <t>Android app crashes while uploading photos and creating odt file</t>
  </si>
  <si>
    <t>the Android app just crashed while it was uploading photos (restarted instant uploads after connection failure) and trying to create new odt file.
************ CAUSE OF ERROR ************
... 11 more
************ APP INFORMATION ************
Build flavor: generic
************ DEVICE INFORMATION ************
************ FIRMWARE ************</t>
  </si>
  <si>
    <t>nextcloud-android-8458</t>
  </si>
  <si>
    <t>android client crashes</t>
  </si>
  <si>
    <t>### Steps to reproduce
1. Attempt to use Android client
### Expected behaviour
can use the client to upload pictures, etc.
### Actual behaviour
get the following dump.
TBH, this Samsung Android tablet is POS. If you get other errors on other android devices, maybe this bug is warranted.
************ CAUSE OF ERROR ************
************ APP INFORMATION ************
Build flavor: gplay
************ DEVICE INFORMATION ************
************ FIRMWARE ************</t>
  </si>
  <si>
    <t>enviroCar-enviroCar-app-740</t>
  </si>
  <si>
    <t>CRASH - When we go to CarselectionFragment (Cars) the app crashes on loading data</t>
  </si>
  <si>
    <t>**Steps to reproduce the bug :**
Sign in to the enviroCar account -&gt; Go to My cars section
The app crashes every time try to go to My Cars section.
1. Samsung F62 APK 30
2. ASUS Zenfone APK 29
am able to reproduce on all the above devices. Screen recording after following the above steps.</t>
  </si>
  <si>
    <t>2021-05-23</t>
  </si>
  <si>
    <t>flutter-package-images_picker-28</t>
  </si>
  <si>
    <t>Open camera and record video return wrong type</t>
  </si>
  <si>
    <t>use this code:
And the res have item with path and thumpath is the same String with the tail .jpeg.
When use this link and show to Image with code line: Image.file( File(path),). My app suddenly crash and in Painting.dart had Exception (Exception: Invalid image data).
am using xiaomi 10t pro.
use this code:
And the res have item with path and thumpath is the same String with the tail .jpeg.
When use this link and show to Image with code line: Image.file( File(path),). My app suddenly crash and in Painting.dart had Exception (Exception: Invalid image data).
am using xiaomi 10t pro.</t>
  </si>
  <si>
    <t>Anuken-Mindustry-5285</t>
  </si>
  <si>
    <t>(Repost) cannot control T Naval in multiplayer</t>
  </si>
  <si>
    <t>**Steps to reproduce**: when play multiplayer or play on the server. can control the naval factory units starting from T1 (risso), T2 (minke), T3 (bryde), T4 (sei), and T5 (omura). but if play Champaign can control them (all Naval factory troops)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</si>
  <si>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PojavLauncherTeam-PojavLauncher-1418</t>
  </si>
  <si>
    <t xml:space="preserve">1.8.9 forge always crash </t>
  </si>
  <si>
    <t>deltachat-deltachat-android-1936</t>
  </si>
  <si>
    <t>app freeze/crash when "Show all locations" menu option is selected</t>
  </si>
  <si>
    <t>Android version: 10
Delta Chat version: 1.20.2</t>
  </si>
  <si>
    <t>2021-05-22</t>
  </si>
  <si>
    <t>Anuken-Mindustry-5281</t>
  </si>
  <si>
    <t>Cannot control T naval in multiplayer</t>
  </si>
  <si>
    <t>**Steps to reproduce**: when play multiplayer or play on the server. can control the naval factory units starting from T1 (risso), T2 (minke), T3 (bryde), T4 (sei), and T5 (omura). but if play Campaign can control them (all Naval factory troops)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</si>
  <si>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nextcloud-android-8454</t>
  </si>
  <si>
    <t>NextCloud android app crash</t>
  </si>
  <si>
    <t>2021-05-21</t>
  </si>
  <si>
    <t>mapbox-mapbox-events-android-530</t>
  </si>
  <si>
    <t>🐞 Crash in background for Android 11</t>
  </si>
  <si>
    <t>The issue is reported in https: github.com mapbox issues 25 and, according to crash logs, there might be something with
SDK Version: v7.0.0
Android OS Version: Android 11
App: External app with Search SDK integration
**Steps to Reproduce**
There are no defined steps, but according to the customer:
have tried many many things but cant reproduce the issue. have noticed that app crashes 98% when it is in background. (ie. activity is not initialized)
Application doesn crash in background.</t>
  </si>
  <si>
    <t>OpenTracksApp-OpenTracks-787</t>
  </si>
  <si>
    <t>3.18.1: App crashes after tap to intervals</t>
  </si>
  <si>
    <t>New error in last version 3.18.1.
**Describe the bug**
When tap to intervals or chart in activity and after that tap to back without waiting for interval values app crashes.
1. Go to some activity.
2. Tap to intervals.
3. Tap to back in your mobile.
4. App crashes.
Device: Honor KSA-LX9</t>
  </si>
  <si>
    <t>PojavLauncherTeam-PojavLauncher-1410</t>
  </si>
  <si>
    <t>Aristos client sigma and meteor crashing</t>
  </si>
  <si>
    <t>Pojavlauncher crashing when using aristos client
When use aristos client on the latest Google play release it loads to the mojang screen but it crashes and screen appears
am using offline account
will add latest log soon.
Please fix this
wanna use hacks instead of impact and wurst
No other client like doesn work.
Device Model Samsung Galaxy M31
CPU architecture e.g. aarch64
Android Version e.g. 10</t>
  </si>
  <si>
    <t>Rapsssito-react-native-background-actions-88</t>
  </si>
  <si>
    <t>Android S requires extra flag on `PendingIntent`</t>
  </si>
  <si>
    <t>was testing our app against Android S, and we re encountering crashes when starting background service. Logcat gave the following error:
that one of FLAG IMMUTABLE or FLAG MUTABLE be specified when creating PendingIntent.
if some functionality depends on the PendingIntent being mutable, e.g. if it needs to be used with inline
replies or bubbles.</t>
  </si>
  <si>
    <t>2021-05-20</t>
  </si>
  <si>
    <t>twilio-video-quickstart-android-639</t>
  </si>
  <si>
    <t>SurfaceTextureHelper crashing due to 0 texture width</t>
  </si>
  <si>
    <t>We re seeing rare crash during calls which seems to stem specifically from Twilio code, with very little context on what going on since it specifically within the AndroidVideoDecoder on separately scheduled thread. Stack trace is:
Fatal Exception: Texture width must be positive, but was
We recently updated to Twilio 6.3.0 and implemented group calls rooms, so it unclear which this is stemming from.
ll also note that the other participants in the room may be connecting from Android, iOS, or Mac OS via the Web, though the majority of them are Mac OS Web users.
### Steps to Reproduce
don have any way to reliably reproduce this, it has happened around 5-8 times over few weeks but can find any common threads or single cause. will note that we ve only seen this for single user device, but our code is currently in somewhat small beta so not sure if that relevant.
It has happened both in the middle of call, and when first joining call.
don think this is relevant, but we do include the code mentioned in this issue (https: github.com twilio issues and the device where we re seeing this crash is one where we use this code. did try adding code to check for width height in these cases and try to bottom out to something non-zero, but that code doesn seem to have detected there, so it never fired and makes me think this workaround isn relevant. Also, there are other devices is our testing group that would be running this code, and none of them have experienced the issue.
#### Expected Behavior
Call video feeds should remain stable.
#### Actual Behavior
Something causes (what appears to be) VideoView to crash when rendering incoming video at some points.
#### Reproduces how Often
This has happened 5-8 times for the same user who has done 15 hours of video calls. We probably have over another 60 hours of video calls across other Android users and haven seen this issue anywhere else. It is worth noting that the single user who encountered this is the only Pixel XL we ve tested on. We have few other Pixel devices (2 XL, 3, 4a, 5) though none of them have ever encountered the issue. This user definitely has the most usage though.
have full Android Bug Report for one instance of this, but none of the logs around the crash are anything interesting mostly chatty expiring lines. don see anything else interesting.
#### Video Android SDK
#### Android API
#### Android Device</t>
  </si>
  <si>
    <t>TeamNewPipe-NewPipe-6333</t>
  </si>
  <si>
    <t>JVM Error on trying to build</t>
  </si>
  <si>
    <t>&lt;!-- This checklist is COMPULSORY. The first box has been checked for you to show you how it is done.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&lt;!-- If you can cause the bug to show up again reliably (and hence don have proper set of steps to give us), please still try to give as many details as possible on how you think you encountered the bug. --&gt;
### Actual behaviour
&lt;!-- Tell us what happens with the steps given above. --&gt;
Unable to start the daemon process.
Error occurred during initialization of VM
Could not reserve enough space for 2097152KB object heap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log b&gt;&lt; summary&gt;&lt;p&gt;
PS D: Setups 17 src NewPipe-patch-2&gt; gradlew assembleDebug
Starting Gradle Daemon, incompatible and stopped Daemons could not be reused, use --status for details
What went wrong:</t>
  </si>
  <si>
    <t>Anuken-Mindustry-5275</t>
  </si>
  <si>
    <t>Controlling payload and picking up units using logic in multiplayer causes client side players to crash</t>
  </si>
  <si>
    <t>**Steps to reproduce**: *This bug is present on all payload units commanded by logic, but using megas is the easiest way to replicate it.*
*Log in to any server as client, and place the schematic given in the save file below. Enter the arc in the schematic and command sizable group of megas (during testing, 70 or so were found to be effective at replicating the bug). Fly the megas over to group of ground units that are small enough for mega to pick up, and hover over them. At this point, the logic should start commanding the megas to pick up the units, and subsequently trigger the crash.*
*If this fails to reproduce the crash, shoot the arc to command the megas to drop the units, and pick them up again. Doing this repeatedly should replicate the crash reliably.*
*Interestingly enough, this behavior is not seen in singleplayer. During an LAN game, the host doing the above will not cause the host to crash, but may result in other connected players crashing instead.*
**Link(s) to mod(s) used**: *No content mods were used however, several testing mods were used to help replicate the bug, which may or may not affect the debugging process.*
If you remove the line above without reading it properly and understanding what it means, will reap your soul. Even if you re playing on someone server, you can still save the game to slot.
(please note: The bug was replicated with LAN game, although the bug should occur as normal on any server. The save file is the server side save file. The crash log was taken from the client computer.)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</si>
  <si>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falzonv-discreet-launcher-55</t>
  </si>
  <si>
    <t>v3.6.0 crashes on Android 5</t>
  </si>
  <si>
    <t>finished installing update v3.6.0, but it crashed when wanted to move from the default launcher to the discrett launcher</t>
  </si>
  <si>
    <t>ankidroid-Anki-Android-8879</t>
  </si>
  <si>
    <t>Crash 2.15beta4 - NullPointerException CardBrowser.onSelectionChanged</t>
  </si>
  <si>
    <t>have no information about how this could have happened other than the crash report here</t>
  </si>
  <si>
    <t>2021-05-19</t>
  </si>
  <si>
    <t>k9mail-k-9-5302</t>
  </si>
  <si>
    <t>Crash when moving an email to a folder since 5.734</t>
  </si>
  <si>
    <t>**Describe the bug**
Since version 5.734 K9 sometimes crashes when move an email to another folder (right after click on the folder name). This doesn happen every time though so it is hard to reproduce consistently, but the changelog for 5.734 noted many internal changes and asked to spot any new bugs. This seems to be related and haven seen similar bug report.
Steps to reproduce the behavior:
1. Select an email
2. Click on Move
3. Select folder
4. K9 crashes (I suddenly see my home screen without any error message or such)
5. Note: when start K9 again, the email actually is moved to the new folder
The email is moved and K9 doesn crash
**Environment (please complete the following information):**
K-9 Mail version: 5.734
Android version: 11
Device: Samsung Galaxy S10
Account type: IMAP
Please take some time to retrieve logs (https: github.com k9mail k-9 wiki LoggingErrors) and attach them here:</t>
  </si>
  <si>
    <t>Anuken-Mindustry-5274</t>
  </si>
  <si>
    <t>Insufficient resources on blowing up core and going back.</t>
  </si>
  <si>
    <t>When try to return to, restart, the sector launching from Tar Fields irrespective of the core size use or the amount of resources assign am told have insufficient resources to launch. It consistently moans about lead but depending on core size other resources may be flagged as insufficient.
Steps to reproduce: As described above.
Link(s) to mod(s) used: No mods used
Save file: insuffresources.zip (https: github.com Anuken Mindustry files 6510926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</si>
  <si>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libgdx-gdx-pay-240</t>
  </si>
  <si>
    <t>NPE on start of the app (getTransactionDate() or getTransactionDate().toDate() is null)</t>
  </si>
  <si>
    <t>#### Issue details, reproduction steps code
App crashes due to the uncaught at the start, probably only if user has made purchase before
#### Version of gdx-pay and or relevant dependencies
#### Please select the affected platforms and payment service implementation</t>
  </si>
  <si>
    <t>nextcloud-android-8437</t>
  </si>
  <si>
    <t>parameter specified as non-null is null</t>
  </si>
  <si>
    <t>### Steps to reproduce
1. Open App
2. App Open and Shows folders, indicating it working to connect
3. -&gt; crash
### Expected behaviour
it should not crash
### Actual behaviour
### Can you reproduce this problem on try.nextcloud
### Environment data
Stock or customized system:
Nextcloud app version:
Nextcloud server version:
#### Web server error log
Insert your webserver log here
#### Nextcloud log (data nextcloud.log)
Insert your Nextcloud log here
Android crash report
************ CAUSE OF ERROR ************
************ APP INFORMATION ************
Build flavor: gplay</t>
  </si>
  <si>
    <t>PojavLauncherTeam-PojavLauncher-1399</t>
  </si>
  <si>
    <t>Pojav crashes on 1.8.9</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</si>
  <si>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You may need to activate an option in your file explorer to see hidden files and folders.
Do NOT paste the whole log text Instead, add it as file on this issue.
### To Reproduce:
Indicate steps to reproduce the buggy behavior:
1. Start PojavLauncher
play any server
### Expected behavior:
### Screenshots or videos:
*Upload here screenshots or videos of the buggy behavior, if possible.*
&lt;details&gt; context&lt; b&gt;&lt; summary&gt;
Add any other context about the problem here.</t>
  </si>
  <si>
    <t>Anuken-Mindustry-5271</t>
  </si>
  <si>
    <t>Game crashes when you i go to the Stained Mountains Sector</t>
  </si>
  <si>
    <t>Anuken-Mindustry-5270</t>
  </si>
  <si>
    <t>Multiplayer desync of logic blocks</t>
  </si>
  <si>
    <t>Steam build 126.3
When logic display is connected to processor and drawn on continually, the logic display seems to desync in multiplayer along with any messages that the processor is printing to.
**Steps to reproduce**: *How you happened across the issue, and what exactly you did to make the bug happen.*
came across this issue while implementing version of Pong. wrote logic program for use with Hyper Processor that clears Large Logic Display and draws several rectangles and polygons onto the display nearly every cycle of the processor. When attempt to run my program in multiplayer, the position of the ball (a small 20-sided polygon drawn and flushed onto the display at different locations nearly every cycle) differs wildly after maybe 30 seconds of active play between the host and the client, along with the values of the two linked messages that indicate score. would expect the pixels that display on the logic display as well as the messages that the processor is printing to to be synchronized between clients.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</si>
  <si>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2021-05-18</t>
  </si>
  <si>
    <t>Anuken-Mindustry-5268</t>
  </si>
  <si>
    <t>game crash</t>
  </si>
  <si>
    <t>**Steps to reproduce**: was just in logic processor and the game crash*
**Link(s) to mod(s) used**: *DeltaNedasdev-mode deltanedasldb DeltaNedasui-lib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</si>
  <si>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tom-anders-Easy_xkcd-258</t>
  </si>
  <si>
    <t>App crashes when opening What-If section</t>
  </si>
  <si>
    <t>Expected behaviour: What-If section opens normally or shows an error message if something fails.
Observed behaviour: The App claims to be loading new articles, before crashing.
App Version: 7.3.9 from F-Droid
APP VERSION NAME 7.3.9
PHONE MODEL redacted
PACKAGE NAME de.tap.easy xkcd
ANDROID VERSION 10
SHARED PREFERENCES default.transcripts fixed true
default.pref zoom scroll true
default.pref custom tabs true
default.pref detect color true
default.pref offline true
default.pref mobile false
default.pref share false
default.pref alt options pref alt
default.widget comicNumber true
default.pref include link false
default.pref fullscreen enabled true
default.pref nav swipe true
default.widget alt true</t>
  </si>
  <si>
    <t>prebid-prebid-mobile-android-263</t>
  </si>
  <si>
    <t>java.util.ConcurrentModificationException in apply(Util.java:417)</t>
  </si>
  <si>
    <t>**Describe the bug**
is thrown when processing The reason for this is that in case of timeout onFinish method execution) will invoke which will in result notify the from worker thread. This is not expected, since notifyDemandFailed method is marked with MainThread and is sometimes leading to concurrent modifications of static HashMap in Util class.
E.g. you can write test which will execute onDemandFailed and onDemandReady from different threads which will in result end up in concurrent modifications.
notifyDemandFailed should be executed from the MainThread. The SDK should not crash.
Here is screenshot of thread which will invoke notifyDemandFailed on timeout.
Screenshot 2021-05-18 at 14 56 48 (https: 79995965</t>
  </si>
  <si>
    <t>Scodun-Bop-It-72</t>
  </si>
  <si>
    <t>SettingsActivity crashes on Android 10</t>
  </si>
  <si>
    <t>### Reproduction steps:
run app on Android 10 device
click settings button
Caused by: This Activity already has an action bar supplied by the window decor. Do not request Window.FEATURE SUPPORT ACTION BAR and set windowActionBar to false in your theme to use Toolbar instead.</t>
  </si>
  <si>
    <t>JohnFai91-com.jason.kslo-45</t>
  </si>
  <si>
    <t>Crash at Intranet</t>
  </si>
  <si>
    <t>Steps to reproduce the behavior:
1. Go Login
1. See error
It should not crash
Build version: 1.1.3
OS version: Android 11 (SDK 30)
Caused by: For input string:</t>
  </si>
  <si>
    <t>PojavLauncherTeam-PojavLauncher-1394</t>
  </si>
  <si>
    <t>Shader crash pojavlauncher</t>
  </si>
  <si>
    <t>PojavLauncherTeam-PojavLauncher-1392</t>
  </si>
  <si>
    <t>[BUG] Multiple errors in Huawei Y5</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</si>
  <si>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Can open minecraft inside phone
**Add log file if you want to see your bug fixed !**
### To Reproduce:
Indicate steps to reproduce the buggy behavior:
1. Start PojavLauncher
2. Run any minecraft version
3. App crashes and reboot to login
Device Model: Huawei Y5
CPU architecture aarch64 (kirin655)
Android Version Android 8.0
PojavLauncher Version latest from Google Play</t>
  </si>
  <si>
    <t>mtotschnig-MyExpenses-825</t>
  </si>
  <si>
    <t>Move command can lead to crash if invoked while category list is filtered</t>
  </si>
  <si>
    <t>Category with one sub category
On Category screen (either opened from transaction form or from Settings), click on search icon an enter as search term
Category now appears without children
Tap and hold on category
Move command is not available in contextual action bar because main category with children cannot be moved.
Move command is available and when invoked crashes the app.</t>
  </si>
  <si>
    <t>2021-05-17</t>
  </si>
  <si>
    <t>cgeo-cgeo-10668</t>
  </si>
  <si>
    <t>Crash on saving filter before adding elements</t>
  </si>
  <si>
    <t>&lt;!-- Fill in the following form by adding your text below the explanation comments. --&gt;
&lt;!-- You can use the preview tab above to review your issue before submitting it. --&gt;
## Bug description
&lt;!-- Enter summarized description of what the bug problem is, that you found --&gt;
tried to save filter and only afterwards applied changes to it. Accepting the filter makes c:geo crash
### Steps to reproduce the problem
&lt;!-- Describe step-by-step how to reproduce the problem --&gt;
Open filter for lists (empty)
Tap disc icon, enter name, save
Add any filter
### Actual result after these steps
&lt;!-- Describe the actual issue problem behavior in detail, which happens after the steps above --&gt;
### Expected result after these steps
&lt;!-- Describe what you expected to happen instead (correct behavior) --&gt;
## c:geo version
&lt;!-- You will find the c:geo version in c:geo Menu -&gt; About c:geo --&gt;
&lt;!-- Yes No (or describe under what conditions) --&gt;
## Additional context
&lt;!-- (optional, remove if not applicable) log files, reference to other similar issues, projects, sources, etc. --&gt;
Log available on request</t>
  </si>
  <si>
    <t>Anuken-Mindustry-5260</t>
  </si>
  <si>
    <t>When rally points can't be reached, units don't move, but once path found, they don't need it</t>
  </si>
  <si>
    <t>**Steps to reproduce**: Here is what mean by that:
below: Units remember the place of the old rally point and use old blocks center to group later, which looks weird and (obviously) resets after save load.
below: Units can reach the bottom CC because the way is blocked.
below: Units can reach the middle CC (built later), but once block the path they *still* try to reach it (*why? the point is not reachable, like for the bottom CC*).
below, more like side note: Units don seem to prioritize reachable rallypoint to unreachable.
So, the general idea which confuses me here: for the same *state* (as player) get different *results*.
**Link(s) to mod(s) used**: no mods
**Save file**: suicide ai test.zip (https: github.com Anuken Mindustry files 6495146 suicide ai test.zip)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</si>
  <si>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square-okhttp-6681</t>
  </si>
  <si>
    <t xml:space="preserve">Unexpected CertificatePinner Invalid pattern Exception </t>
  </si>
  <si>
    <t>got this crash although it was working on okhttp version 3.+</t>
  </si>
  <si>
    <t>patzly-grocy-android-407</t>
  </si>
  <si>
    <t>App Crash after Importing Server Details [v2.0.0 beta 1]</t>
  </si>
  <si>
    <t>The App crashes immediately after importing the QR Code.
Here what did:
clean install of the beta version (uninstalled previous Alpha builds)
Create API Key on Grocy Server
Read API Key in App using Barcode Scanner
After finishing the Server setup the App reproducibly crashes.
When restarting the app it shows up for second and shuts down again.
On the server side see that the API key has been used to the last used timestamp
The connection worked on Alpha
Please let me know if and how can supply more detailed debugging details!</t>
  </si>
  <si>
    <t>PojavLauncherTeam-PojavLauncher-1384</t>
  </si>
  <si>
    <t>Black screen while using Zink Vulkan</t>
  </si>
  <si>
    <t>My phones processor is MTK Helio G95 6GB RAM but when change the render to Zink Vulkan it showing black screen but can hear it and when change the render to others it crashing please fix it</t>
  </si>
  <si>
    <t>Anuken-Mindustry-5255</t>
  </si>
  <si>
    <t>Daggers don't shoot or aim properly at specific wall placement</t>
  </si>
  <si>
    <t>**Steps to reproduce**: use attached map, see gif:
**Link(s) to mod(s) used**: no mods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</si>
  <si>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Anuken-Mindustry-5254</t>
  </si>
  <si>
    <t>Friendly suicideAI (again)</t>
  </si>
  <si>
    <t>**Steps to reproduce**: See map attached, gif of what happens:
If manupulate walls for that core and blow it up (there is one more behind), then things get even trickier:
**Link(s) to mod(s) used**: no mods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</si>
  <si>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nextcloud-android-8426</t>
  </si>
  <si>
    <t xml:space="preserve">App Crash </t>
  </si>
  <si>
    <t>### Steps to reproduce
1. Open app with biometrics
### Expected behaviour
App should open with no error
### Actual behaviour
App crashes after using biometrics to unlock app
### Environment data
Android version: 11
Device model: Samsung Note20
Stock or customized system: Stock
Nextcloud app version: 3.16.0
Nextcloud server version: Latest
#### Nextcloud App Log
************ CAUSE OF ERROR ************
************ APP INFORMATION ************
Build flavor: generic
************ DEVICE INFORMATION ************
************ FIRMWARE ************</t>
  </si>
  <si>
    <t>2021-05-16</t>
  </si>
  <si>
    <t>capacitor-community-admob-102</t>
  </si>
  <si>
    <t>Android app crashing for @capacitor-community/admob@next</t>
  </si>
  <si>
    <t>**Describe the bug**
Adds are visible in the emulator and there is no crash for the emulator. But when tried on the android phone banner is not visible and if tried to call any reward interstitial ads app gets crashed. am using the same code as per the document.
Please find the below logs captured from the firebase crash list</t>
  </si>
  <si>
    <t>MuntashirAkon-AppManager-442</t>
  </si>
  <si>
    <t>Infinite "initializing" screen before eventually crashsing.</t>
  </si>
  <si>
    <t>know what my device, OS and App Manager versions are
know how to take logs
know how to reproduce the issue which may not be specific to my device
When first opening the app, it gets stuck at the initializing screen and crashes after long time.
1. Open app
2. Nothing happens but infinitely initializing with blank app list.
3. wait while
4. App crashes
The app should initialize after seconds as it usually does with full app list.
Screenshot 20210516-060606 AM Debug.jpg (https: 43686736
Screenshot 20210516-060236 Niagara Launcher.jpg (https: 43686736
Galaxy S7 Edge
Debug 2.7.0 #1249
Adb over TCP</t>
  </si>
  <si>
    <t>nextcloud-android-8420</t>
  </si>
  <si>
    <t>Nextcloud App crashing since several days</t>
  </si>
  <si>
    <t>This is my first bug report. did my best to follow the template...still some information don know. Let me know what else is important and or relevant: will look for it. want and like to learn. am happy to start bit on GitHub :+)
Wishing all nice week!
### Steps to reproduce
1. Starting app Nextcloud
2. Starting navigating in folders, looking for file
3. Nextcloud crashes
### Expected behaviour
Nextcloud should not crash while navigating through files and folders. This behaviour is new, since several days.
### Actual behaviour
Nextcloud crashes. wonder what happened to my setup to come to this current problem? can think of the reason.
************ CAUSE OF ERROR ************
### Can you reproduce this problem on https: try.nextcloud.com?
This is too advanced for me today. will try this perhaps soon.
Please create test demo account and see if this still happens there.
If yes, please open up bug report
If not, please verify server setup and ask for help on forum
Parameter specified as non-null is null: method parameter password
Looks like password issue? But the app doesn let me enough time to access my Nextcloud App Settings...
### Environment data
************ APP INFORMATION ************</t>
  </si>
  <si>
    <t>Anuken-Mindustry-5250</t>
  </si>
  <si>
    <t>[Bug] Mindustry doesn't track mouse cursor location (android)</t>
  </si>
  <si>
    <t>The game didn track the mouse cursor location, but if hold left click now the location its follow the cursor, its should be follow the cursor without clicking button!
know anuken will doens want to fix this, but maybe someone will, idk, the only problem playing with mouse and keyboards on mindustry is just this one issue...
**Steps to reproduce**: *How you happened across the issue, and what exactly you did to make the bug happen.*
Just try place building, it will not follow the mouse cursoe
**Link(s) to mod(s) used**: *The mod repositories or zip files that are related to the issue, if applicable.*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</si>
  <si>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MuntashirAkon-AppManager-441</t>
  </si>
  <si>
    <t>Both App Manager and latest AM Debug crash on searching for an app</t>
  </si>
  <si>
    <t>Your issue will be closed without warning if you don check at least two items.
know what my device, OS and App Manager versions are
know how to take logs
know how to reproduce the issue which may not be specific to my device
**Describe the bug**
Both App Manager and latest AM Debug crash. After the scan of the installed apps, searched for an app (Netflix), which crashes. Typing net gives me crash.
Steps to reproduce the behaviour:
1. Start the app
2. And wait
3. Click search button
4. Type net
5. Getting crash everytime
cannot complete the task.
Device: Samsung Galaxy Tab S7+
OS Version: Android 11
App Manager Version: v2.6
Could Netflix or Google Play Services installs possible culprits here?</t>
  </si>
  <si>
    <t>Anuken-Mindustry-5249</t>
  </si>
  <si>
    <t>Sei pathfinding bug</t>
  </si>
  <si>
    <t>Sei gets stuck on natural terrain, such as ground blocks when trying to path find to rally command center because it counts ground blocks as valid path
**Steps to reproduce**: *How you happened across the issue, and what exactly you did to make the bug happen.*
make shape in the sandbox and place seis in the bottom of the u, now make another and they connect via the tops of the s. make sure there is non liquid block in between the two s. and on the bottom of the other U. when the command center is set to rally the seis will sometimes bunch up at the bottom of the first u. This usually happens in multiplayer games with sand blocks. Although have seen it happen else where before. don have exact map of the first time saw this bug because it got removed from the server use. But the zip file below contains replica of the thing am trying to explain. The bug also is random, it only happens sometimes.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</si>
  <si>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mvysny-aedict-957</t>
  </si>
  <si>
    <t>SD Card "Warning" pop up</t>
  </si>
  <si>
    <t>It been while since reported something here ). Anyways, get popup whenever start Aedict saying that it couldn write data to the SD Card and will cause the app to crash (which didn happen though... yet). Is that bug?
(Redmi 9A Android 10 MIUI 12)
Screenshot sk baka aedict3 (https: 17984577</t>
  </si>
  <si>
    <t>2021-05-15</t>
  </si>
  <si>
    <t>nextcloud-android-8417</t>
  </si>
  <si>
    <t>Nextcloud App crashing on faild file download</t>
  </si>
  <si>
    <t>This is about the nextcloud app being unable to download files from connected SMB storage and crashing after faild download.
### Steps to reproduce
1. Open Nextcloud app
2. Go into external storage folder (SMB CIFS)
3. Download item in external storage folder
### Expected behaviour
prompt download successful
ask how to open downloaded file
### Actual behaviour
1. Prompt: Error downloading file
3. Shows Nextcloud crash dialogue
### Can you reproduce this problem on https: try.nextcloud.com?
Please create test demo account and see if this still happens there.
If yes, please open up bug report
If not, please verify server setup and ask for help on forum
### Environment data
Android version: 11
Device model: Umidigi S5 Pro Samsung Galaxy Note
Stock or customized system: S5 custom GSI Note standard
Nextcloud app version: 3.16.0 (latest Playstore release)</t>
  </si>
  <si>
    <t>MuntashirAkon-AppManager-440</t>
  </si>
  <si>
    <t>Crash upon tapping on uninstalled system app</t>
  </si>
  <si>
    <t>Your issue will be closed without warning if you don check at least two items.
know what my device, OS and App Manager versions are
know how to take logs
know how to reproduce the issue which may not be specific to my device
**Describe the bug**
AM crashes with after tapping on uninstalled system app while Package Installer feature is disabled.
1. Go to Settings -&gt; Enable disable features
2. Disable Package Installer
3. Return to app list and uninstall system app (I tested with Android System WebView and Android Easter Egg)
4. Refresh list several times until AM recognizes uninstalled app
5. Click on uninstalled app
6. AM crashes
AM shows message about disabled Package Installer or temporarily enables it automatically to reinstall app
App version: 2.6.0
App version code: 385
Android build version: d759aec521
Android release version: 11
Android SDK version: 30
Android build ID: potato begonia-userdebug 11 RQ2A.210505.003 d759aec521
Device brand: Redmi</t>
  </si>
  <si>
    <t>material-components-material-components-android-2209</t>
  </si>
  <si>
    <t>[MotionLayout] not found</t>
  </si>
  <si>
    <t>wanted to fix the bug (https: github.com material-components issues 1719), so updated to the latest version.
But started to crash the app due to an error
By trial and error, determined that the last version on which the application did not crash due to an error is 1.3.0-alpha02
**Expected behavior:** Bug fix
class StartScreenFragment Fragment()
private lateinit var viewModel:
private lateinit var layout: MotionLayout
override fun LayoutInflater, container: ViewGroup?, savedInstanceState: Bundle?): View?
return start, container, false)
override fun onViewCreated(view: View, savedInstanceState: Bundle?)
override fun onResume()
private fun initViewModel()
is ANIMATION -&gt;
Log.d( State Start Animation
private val state
&lt;ConstraintSet android:id +id invisibleAll
&lt;ConstraintSet android:id +id visibleOnlyLogo
&lt;ConstraintSet android:id +id visibleAll
**Android API version:** 9.0
**Material Library version:** 1.3.0-alpha03 1.4.0-beta01</t>
  </si>
  <si>
    <t>2021-05-14</t>
  </si>
  <si>
    <t>TeamNewPipe-NewPipe-6300</t>
  </si>
  <si>
    <t>Crash on minimizing</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</si>
  <si>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0.21.2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was just watching video in the main and minimised (press the home circle button).
&lt;!-- If you can cause the bug to show up again reliably (and hence don have proper set of steps to give us), please still try to give as many details as possible on how you think you encountered the bug. --&gt;
### Actual behaviour
&lt;!-- Tell us what happens with the steps given above. --&gt;
the crash screen popped up.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</si>
  <si>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Kira060200-banking_app-18</t>
  </si>
  <si>
    <t>Crash on failed login</t>
  </si>
  <si>
    <t>App is crashing if no valid combination of email and password is found</t>
  </si>
  <si>
    <t>nextcloud-android-8403</t>
  </si>
  <si>
    <t>SQLiteBlobTooBigException on Oppo Fins X2 Lite</t>
  </si>
  <si>
    <t>### Steps to reproduce
Just open app on phone ans crash After few second
************ CAUSE OF ERROR ************
************ APP INFORMATION ************
Build flavor: gplay
************ DEVICE INFORMATION ************
************ FIRMWARE ************</t>
  </si>
  <si>
    <t>nextcloud-android-8400</t>
  </si>
  <si>
    <t>App crash in Startup</t>
  </si>
  <si>
    <t>### Steps to reproduce
1. Open App -&gt;crash
2. ************ CAUSE OF ERROR ************
************ APP INFORMATION ************
Build flavor: gplay
************ DEVICE INFORMATION ************
************ FIRMWARE ************
### Expected behaviour
App should start
### Actual behaviour
### Can you reproduce this problem... No, because...
it seems to depend on the amount of files data store.
41000 objects and 200gb For this user
### Environment data
Stock or customized system:
Nextcloud app version:
Nextcloud server version:
#### Web server error log
Insert your webserver log here
#### Nextcloud log (data nextcloud.log)</t>
  </si>
  <si>
    <t>hauke96-GeoNotes-32</t>
  </si>
  <si>
    <t>can't attach photo to note. Android 4.1.1</t>
  </si>
  <si>
    <t>attach photo button ask camera app to choose:
native camera app crashes after confirmation of the taken photo
opencamera (from f-droid) says storage accessing error
(both apps works fine then run from system launcher, but have no permission to write to SD, when run by GeoNotes).
GeoNotes was downloaded from f-droid and from github v1.3.1, installed to SD. Attempt to make it system app was unsuccessful.
Lenovo P770 Android 4.1.1 (however, rooted, extremely customized, cluttered.. so, may be the problem here..)</t>
  </si>
  <si>
    <t>Anuken-Mindustry-5241</t>
  </si>
  <si>
    <t>"Join Game" window resizing causes remote servers list to refresh</t>
  </si>
  <si>
    <t>**Steps to reproduce**: Connect to remote server by IP address, then turn off that server (in my case, it was hosted multiplayer game, not dedicated server). The Remote Servers list in the Join Game menu will list the IP address and say Can connect to host. Whenever you adjust the window size, it changes to Refreshing server... sometimes just for an instant before switching back to Can connect to host. have not checked to see whether this is just GUI bug or whether it actually does reach out to the server again every time the window size changes.
**Link(s) to mod(s) used**: None
**Save file**: This is not an in-game bug.
**(Crash) logs**: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</si>
  <si>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2021-05-13</t>
  </si>
  <si>
    <t>ankidroid-Anki-Android-8822</t>
  </si>
  <si>
    <t>Crash 2.15.0beta1 CardTemplateEditor$CardTemplateFragment.getCurrentTemplate</t>
  </si>
  <si>
    <t>###### Reproduction Steps
Unfortunately nothing in the logcat on this report, so it will have to be deduced from the crash trace working backwards
This was seen on 2.15alpha48 but don remember this code changing before beta, it should still be valid issue
###### Expected Result
Never crashes ever
###### Actual Result
###### Debug info
ANDROID VERSION 11
APP VERSION CODE 321500148
APP VERSION NAME 2.15alpha48
AVAILABLE MEM SIZE 182676721664
BUILD ABIarm64-v8aCPU ABI2DEVICEbeyondx BOARD exynos9820 BOOTLOADER G977NKSU4FUCD BRAND samsung CPU ABI arm64-v8a CPU ABI2 DEVICE beyondx
CPU ABI arm64-v8a
*Enter an character to confirm the points below:*
have searched for similar existing issues here and on the user forum
(Optional) have confirmed the issue is not resolved in the latest alpha release instructions (https: docs.ankidroid.org</t>
  </si>
  <si>
    <t>ankidroid-Anki-Android-8821</t>
  </si>
  <si>
    <t>Crash 2.15alpha49 / 2.15.0beta1 - CardBrowser render</t>
  </si>
  <si>
    <t>Arthur-Milchior think CardCollection is usually your area? Not sure what happened here, looks like the CardBrowser was shutting down prior to the crash, but it still failed in render somehow
The stack trace line numbers are of course problematic (not correct) but hopefully the stack frame method names are enough to locate?
###### Reproduction Steps
logcat from crash report
--------- beginning of main
21 --------- beginning of system
31 --------- beginning of crash
###### Expected Result
###### Actual Result
###### Debug info
ANDROID VERSION 10
APP VERSION CODE 321500149
APP VERSION NAME 2.15alpha49
AVAILABLE MEM SIZE 177545961472
BUILD ABIarm64-v8aCPU ABI2DEVICEHWTAS BOARD TAS BOOTLOADER unknown BRAND HUAWEI CPU ABI arm64-v8a CPU ABI2 DEVICE HWTAS
CPU ABI arm64-v8a
*Enter an character to confirm the points below:*
have searched for similar existing issues here and on the user forum
(Optional) have confirmed the issue is not resolved in the latest alpha release instructions (https: docs.ankidroid.org</t>
  </si>
  <si>
    <t>jellyfin-jellyfin-androidtv-885</t>
  </si>
  <si>
    <t>Crash when trying to play a video, after upgrading server to 10.7.5</t>
  </si>
  <si>
    <t>don know what could add in the description.
The video plays correctly in Jellyfin-web.
also tried playing files that *could* play before the server update (from 10.7.0) and the android-tv app still crashes.</t>
  </si>
  <si>
    <t>miguelpruivo-flutter_file_picker-708</t>
  </si>
  <si>
    <t xml:space="preserve">App crash with IllegalStateException for large pdf file when selected </t>
  </si>
  <si>
    <t>Getting this exception
This is my code
FilePickerResult result await FilePicker.platform
if (result null)
No pdf files selected
assetImage ic health claim pdf.svg
FilePickerResult result await FilePicker.platform
if (result null)
No images selected
assetImage ic health claim gallery.svg
List&lt;Media&gt; res await
No images captured
assetImage ic health claim camera.svg
am using file picker: 3.0.1 images picker: 1.2.4
Crash happens for large files &gt;40MB or if large number of files are selected. tried removing the images picker library but even then the crash occurs. Its very frequent.</t>
  </si>
  <si>
    <t>PojavLauncherTeam-PojavLauncher-1369</t>
  </si>
  <si>
    <t>[BUG] zink test not working on my phone</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</si>
  <si>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want to play minecraft 1.8.9 with zink but it crashed.
**Add log file if you want to see your bug fixed !**
--------- beggining with launcher debug
OpenJDK 64-Bit Server VM warning:
No monotonic clock was available timed services may be adversely affected if the time-of-day clock changes
LWJGL Failed to load library. Possible solutions:
b) Add the JAR that contains the shared library to the classpath.
---- Minecraft Crash Report ----
Caused by: Unable to initialize GLFW
detailed walkthrough of the error, its code path and all known details is as follows:
-- Head --
-- Initialization --
-- System Details --
Minecraft Version: 1.8.9</t>
  </si>
  <si>
    <t>voxeet-voxeet-uxkit-reactnative-33</t>
  </si>
  <si>
    <t>Crash in debug mode and random crash in release mode apk</t>
  </si>
  <si>
    <t>codlab There crash we discussed on call while working with the debug builds is also occurring now with the release apk on random basis when the UI is displayed
It occurs randomly not everytime like it may work times and on 3rd time it may crash
am attaching the screenshots and log file for your reference</t>
  </si>
  <si>
    <t>PojavLauncherTeam-PojavLauncher-1368</t>
  </si>
  <si>
    <t>[BUG] &lt;1.12.2 forge crashes after a while&gt;</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</si>
  <si>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When was playing in my hardcore world for while the launcher crashes randomly yet no crash were reported.
**Add log file if you want to see your bug fixed !**
You may need to activate an option in your file explorer to see hidden files and folders.
Do NOT paste the whole log text Instead, add it as file on this issue.
### To Reproduce:
Indicate steps to reproduce the buggy behavior:
1. Start 1.12.2
2. Create world
3. Now start playing
4. After while the launcher crashes randomly
### Expected behavior:
expected to play peacefully without this fricking strange bug....
### Screenshots or videos:
*Upload here screenshots or videos of the buggy behavior, if possible.*</t>
  </si>
  <si>
    <t>nextcloud-android-8395</t>
  </si>
  <si>
    <t>Android app crashes</t>
  </si>
  <si>
    <t>inaturalist-iNaturalistAndroid-1040</t>
  </si>
  <si>
    <t>Resources$NotFoundExceptions from a Nexus 5x</t>
  </si>
  <si>
    <t>There are number of related crashes, all from Nexus 5x. Any idea what going on? Here are the others:</t>
  </si>
  <si>
    <t>2021-05-12</t>
  </si>
  <si>
    <t>TrackerControl-tracker-control-android-193</t>
  </si>
  <si>
    <t>Tracker Control crashes when opening a specific app</t>
  </si>
  <si>
    <t>updated to version 2021.05.05 (the latest available on f-droid) and while enjoying the new domain-based block allow, the app crashed and two things happened:
all known companies in the apps reverted to last week (but if you click in the apps you can see the selected domains being blocked so the error is just about on the main page)
specific app (which would rather not mention here due to privacy) makes tracker control crash whenever from the main page press on it to see what is being blocked. Once it crashes message appears where can send an email to the devs with what happened. Does it contain any log or what? didn send anything as wasn sure what the message would contain.
Is there way can tell you the name of the app privately?(maybe through private message or email?</t>
  </si>
  <si>
    <t>PojavLauncherTeam-PojavLauncher-1367</t>
  </si>
  <si>
    <t>[BUG] &lt;Can't play infdev and below versions&gt;</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</si>
  <si>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Can play the infdev and below versions, can only play infdev and below versions in some seconds, nothing in log tab and crash tab, when play infdev and below versions, after some seconds, screen change to launcher menu or login menu, but can play other versions.
**Add log file if you want to see your bug fixed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What that mean?
### Screenshots or videos:
*Upload here screenshots or videos of the buggy behavior, if possible.*
(Not enough memory to record video or capture screenshot)
Device Model e.g. Samsung Galaxy J2 Prime
CPU architecture e.g. arm32</t>
  </si>
  <si>
    <t>react-native-share-react-native-share-1024</t>
  </si>
  <si>
    <t>Android App Crashes when closing popup</t>
  </si>
  <si>
    <t>able to share files in both ios and android, but incase of android it gets crash when click back button (after share popup opens)
### Steps to reproduce
Content-Type application json
var base64Dat data:application zip base64, base64Data
console.log( 64- base64Dat)
Share.open( url: base64Dat, title: message:
**React Native version**: 0.63.3
**React Native platform platform version**: Android 10.0
**Typescript version** 4.0.3</t>
  </si>
  <si>
    <t>ankidroid-Anki-Android-8807</t>
  </si>
  <si>
    <t>Crash 2.15alpha49 Tags list editor</t>
  </si>
  <si>
    <t>###### Reproduction Steps
TarekkMA think this might be your area? :thinking:
Here the logcat from the crash report showing user path roughly
###### Expected Result
display tags list editor
###### Actual Result
###### Debug info
*Enter an character to confirm the points below:*
have searched for similar existing issues here and on the user forum
(Optional) have confirmed the issue is not resolved in the latest alpha release instructions (https: docs.ankidroid.org</t>
  </si>
  <si>
    <t>2021-05-11</t>
  </si>
  <si>
    <t>jMonkeyEngine-jmonkeyengine-1548</t>
  </si>
  <si>
    <t>MorphControl doesn't override cloneFields(), jmeClone(), read(), nor write()</t>
  </si>
  <si>
    <t>As was pointed out at the Forum, the MorphControl class supposedly implements JmeCloneable and Savable yet none of the relevant methods are overridden.
Obviously this makes it impossible to load MorphControl from assets.
Also, the OP reported that after cloning model with MorphControl the clone and the original morphed in synchrony.
In my own tests, cloning model with MorphControl resulted in crash:</t>
  </si>
  <si>
    <t>nextcloud-android-8380</t>
  </si>
  <si>
    <t>NullPointerException in FileDetailsFragmentBinding</t>
  </si>
  <si>
    <t>### Steps to reproduce
1. Open nextcloud Android app
### Expected behaviour
Tell us what should happen
### Actual behaviour
Tell us what happens
It crashes at startup.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t>
  </si>
  <si>
    <t>PojavLauncherTeam-PojavLauncher-1359</t>
  </si>
  <si>
    <t>[BUG] Incompatible with Thaumcraft 6</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</si>
  <si>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 To Reproduce:
Indicate steps to reproduce the buggy behavior:
1. Start PojavLauncher
2. Add thaumcraft in MODS folder
### Expected behavior:
expected ....Software crash
### Screenshots or videos:
Crash directly, so there is no valid screenshot
Device Model vivo Y50
CPU architecture 64-bit
Android Version 10
PojavLauncher Version version 3.3.1.1 rel 20210206
&lt;details&gt; context&lt; b&gt;&lt; summary&gt;</t>
  </si>
  <si>
    <t>PojavLauncherTeam-PojavLauncher-1358</t>
  </si>
  <si>
    <t>[BUG] Crash on Android 11</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</si>
  <si>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The game crashes immediately after launch Minecraft (video).
**Add log file if you want to see your bug fixed !**
### To Reproduce:
Indicate steps to reproduce the buggy behavior:
1. Start PojavLauncher
2. Login in or start an offline account
3. Launch Minecraft of any versions.
### Expected behavior:
The app should have opened Minecraft.
### Screenshots or videos:
*Upload here screenshots or videos of the buggy behavior, if possible.*
Device Model: ROG Phone
CPU architecture: Aarch64
Android Version: Android 11
PojavLauncher Version: Latest Release for Android 11 taken from GitHub.</t>
  </si>
  <si>
    <t>defold-extension-gpgs-36</t>
  </si>
  <si>
    <t>Crash when I try to unlock achievement</t>
  </si>
  <si>
    <t>called gpgs.achievement set
And get crash
Android version: PPR1.180610.011
Defold version: 1.2.181
GPGS plugin version: 2.3.0</t>
  </si>
  <si>
    <t>nextcloud-android-8378</t>
  </si>
  <si>
    <t xml:space="preserve">Nextcloud crashed on reopen </t>
  </si>
  <si>
    <t>### Steps to reproduce
1. Upload some pictures via the share menu (don know if that was relevant, was while ago)
2. Open nextcloud app
### Expected behaviour
Nextcloud should open normally
### Actual behaviour
Nextcloud crashed randomly
### Can you reproduce this problem on https: try.nextcloud.com?
the crash was very random, doubt that can reproduce it easily
### Environment data
Android version: 11
Device model: POCO F3
Stock or customized system: stock
Nextcloud app version: see below
Nextcloud server version: 21
Reverse proxy: Caddy
#### Web server error log
Insert your webserver log here
#### Nextcloud log (data nextcloud.log)
************ CAUSE OF ERROR ************</t>
  </si>
  <si>
    <t>2021-05-10</t>
  </si>
  <si>
    <t>nextcloud-talk-android-1233</t>
  </si>
  <si>
    <t>NullPointerException after leaving an errored call with the backbutton</t>
  </si>
  <si>
    <t>## Steps to reproduce
1. Try call
2. No one joins
3. See message about 45s being over blabla
4. Press back button
5. App crashes
### Expected behaviour
Chat is shown
### Actual behaviour</t>
  </si>
  <si>
    <t>Blankj-AndroidUtilCode-1499</t>
  </si>
  <si>
    <t>ToastUtils   layout/utils_toast_view: Error inflating class null</t>
  </si>
  <si>
    <t>AndroidUtilCode 1.30.0 --&gt;
App has crashed, executing
Caused by: Attempt to invoke virtual method boolean on null object reference
put the stack of crash here</t>
  </si>
  <si>
    <t>dariuszseweryn-RxAndroidBle-750</t>
  </si>
  <si>
    <t>UndeliverableException crashing the app but only on Samsung Phones</t>
  </si>
  <si>
    <t>use Crashlytics to monitor crashes and am getting this one but just for Samsung phones. Any ideas? have added error handling for all (connection, write, read, indication).
Screen Shot 2021-05-10 at 19 25 AM (https: 58920139
Screen Shot 2021-05-10 at 18 21 AM (https: 58920139</t>
  </si>
  <si>
    <t>2021-05-09</t>
  </si>
  <si>
    <t>jMonkeyEngine-jmonkeyengine-1544</t>
  </si>
  <si>
    <t>TestMusicPlayer reports unhandled exceptions</t>
  </si>
  <si>
    <t>Discovered in v3.4.0-beta3, while running TestMusicPlayer
loaded monoaural audio file, clicked the pause play button, then dragged the top slider left and right. Diagnostic messages appeared on the console:
Git Hash: fef5fc4
Build Date: 2021-05-08
Device: OpenAL Soft
Vendor: OpenAL Community
Renderer: OpenAL Soft
Version: 1.1 ALSOFT 1.15.1
Supported channels: 64
ALC extensions: ALC ENUMERATE ALL EXT ALC ENUMERATION EXT ALC EXT CAPTURE ALC EXT DEDICATED ALC EXT disconnect ALC EXT EFX ALC EXT thread local context ALC SOFT loopback
AL extensions: AL EXT ALAW AL EXT DOUBLE AL EXT EXPONENT DISTANCE AL EXT FLOAT32 AL EXT IMA4 AL EXT LINEAR DISTANCE AL EXT MCFORMATS AL EXT MULAW AL EXT MULAW MCFORMATS AL EXT OFFSET AL EXT source distance model AL LOKI quadriphonic AL SOFT buffer samples AL SOFT buffer sub data AL SOFTX deferred updates AL SOFT direct channels AL SOFT loop points AL SOFT source latency
Exception in thread AWT-EventQueue-0 OGG Vorbis seeking only supported for time
Note that this is not crash!</t>
  </si>
  <si>
    <t>2021-05-08</t>
  </si>
  <si>
    <t>jMonkeyEngine-jmonkeyengine-1542</t>
  </si>
  <si>
    <t>crash in TestAppStates</t>
  </si>
  <si>
    <t>In v3.4.0-beta3, hit an NPE while running TestAppStates, after left-clicked on the flashing orange panel:
Git Hash: fef5fc4
Build Date: 2021-05-08
Graphics Adapter: null
Driver Version: null
Vendor: NVIDIA Corporation
Renderer: GeForce GT 545 PCIe SSE2
OpenGL Version: 4.6.0 NVIDIA 390.143
GLSL Version: 4.60 NVIDIA
Device: OpenAL Soft
Vendor: OpenAL Community
Renderer: OpenAL Soft
Version: 1.1 ALSOFT 1.15.1
Supported channels: 64
ALC extensions: ALC ENUMERATE ALL EXT ALC ENUMERATION EXT ALC EXT CAPTURE ALC EXT DEDICATED ALC EXT disconnect ALC EXT EFX ALC EXT thread local context ALC SOFT loopback
AL extensions: AL EXT ALAW AL EXT DOUBLE AL EXT EXPONENT DISTANCE AL EXT FLOAT32 AL EXT IMA4 AL EXT LINEAR DISTANCE AL EXT MCFORMATS AL EXT MULAW AL EXT MULAW MCFORMATS AL EXT OFFSET AL EXT source distance model AL LOKI quadriphonic AL SOFT buffer samples AL SOFT buffer sub data AL SOFTX deferred updates AL SOFT direct channels AL SOFT loop points AL SOFT source latency
May 08, 2021 1:57:30 PM create
May 08, 2021 1:57:44 PM callMethod
... 25 more</t>
  </si>
  <si>
    <t>andOTP-andOTP-827</t>
  </si>
  <si>
    <t>Beta2 still crashes on MOTP at least under android 7 or 8 maybe lower versions as well</t>
  </si>
  <si>
    <t>**App source:** Google Play F-Droid GitHub ...
7.1.2 and also on version
Nope, this test is on BQ M5 with stock rom
#### Expected result
**What is expected?**
As you enter the pin for MOTP token and hit accept it should do the MOTP calculation and show it.
**What does happen instead?**
#### Steps to reproduce
Set up MOTP token and then try to generate code entering the numbers of the pin and accepting it. andOTP then crashes.
Any MOTP token will fail, but attaching an example toke anyway, but like said, it happens with any MOTP.</t>
  </si>
  <si>
    <t>LSPosed-LSPosed-553</t>
  </si>
  <si>
    <t>[BUG] NullPointerException in manager</t>
  </si>
  <si>
    <t>If you encountered boot loop, please make sure you have disabled all unrelated Xposed and Magisk modules before submit an issue
In any case, the title should be in English
** What happened?**
Manager sometimes crashes when changing search term in app list. (I think when change search while app list is already being updated, but this doesn cause crash every time, so not sure)
Such as bootloop, module not loaded, etc
**Xposed Xposed Module List**
If module not working, please narrow down which specific module not working.
Mostly we can help with module-specific issue, please contact their author first.
**Magisk Magisk Module List**
POSP Android 11
** Related Logs**
Preceding exception in logcat:
An exception occured during performFiltering()!
Device: Xiaomi Redmi Note Pro
Attempt to invoke interface method java.lang.Object on null object reference
Please capture log with debug version, otherwise it won help us locating the issue</t>
  </si>
  <si>
    <t>nextcloud-android-8368</t>
  </si>
  <si>
    <t>Nextcloud crash android app</t>
  </si>
  <si>
    <t>LSPosed-LSPosed-550</t>
  </si>
  <si>
    <t>[BUG] IndexOutOfBoundsException</t>
  </si>
  <si>
    <t>If you encountered boot loop, please make sure you have disabled all unrelated Xposed and Magisk modules before submit an issue
In any case, the title should be in English
** What happened?**
The LSPosed Manager will crash when sellect the system app
Such as bootloop, module not loaded, etc
**Xposed Xposed Module List**
If module not working, please narrow down which specific module not working.
Mostly we can help with module-specific issue, please contact their author first.
**Magisk Magisk Module List**
** Related Logs**
Please capture log with debug version, otherwise it won help us locating the issue
20210508155535 (https: 65964332</t>
  </si>
  <si>
    <t>nextcloud-android-8367</t>
  </si>
  <si>
    <t>Nextcloud crash when changing account</t>
  </si>
  <si>
    <t>### Steps to reproduce
### Expected behaviour
Tell us what should happen
tried to change from user account to different one
### Actual behaviour
Tell us what happens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</si>
  <si>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Anuken-Mindustry-5219</t>
  </si>
  <si>
    <t>Non sharded fortress cannot shoot over blocks</t>
  </si>
  <si>
    <t>When commanding fortress units that are not on sharded team and attempting to fire over walls, the projectiles explode on the nearest wall, conveyor, etc instead of going over it and acting like an artillery shot.
**Steps to reproduce**: *How you happened across the issue, and what exactly you did to make the bug happen.*
Have wall or obstruction, be commanding fortress unit that is NOT on sharded team and attempt to fire past the wall.
Either be in pvp match or use the mods below to switch teams *if you cant do it yourself already*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much crashing evry tiem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</si>
  <si>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2021-05-07</t>
  </si>
  <si>
    <t>Anuken-Mindustry-5218</t>
  </si>
  <si>
    <t>part of schematic disappears when clearing space (video)</t>
  </si>
  <si>
    <t>**Steps to reproduce**: *place something then try to place schematic over it and try to clear the things block it but then it will make the schematic disappear.*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put closed report tho)</t>
  </si>
  <si>
    <t>Anuken-Mindustry-5217</t>
  </si>
  <si>
    <t>Schematic disappears when clearing space</t>
  </si>
  <si>
    <t>**Steps to reproduce**: *try to place schematic then delete some blocks that are already placed and part of schematic is removed*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</si>
  <si>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dariuszseweryn-RxAndroidBle-749</t>
  </si>
  <si>
    <t>Library crashes when no MAC address specified in ScanFilter</t>
  </si>
  <si>
    <t>**Describe the bug**
Application crash when try scan devices when ScanFilter has null device mac address
Steps to reproduce the behavior:
1. Create ScanFilter and don specify device mac address
Application start scanning bluetooth devices
**Smartphone (please complete the following information):**
Device: Google Pixel 4XL
OS: Android 12 Developer Preview
Library version: 1.12.1
The issue is related to OS only and should not be realted to device of library version (at least few last ones)
The problem here is inside
As the Device Address inside ScanFilter is null the sdk ScanFilter.Builder verifies that the value is not null and throws exception.
toNative() method should set only not null values to the builder. Seems that null chedking was added in Android 12 DP</t>
  </si>
  <si>
    <t>nextcloud-android-8360</t>
  </si>
  <si>
    <t>nextcloud app crash when click conflict notifications</t>
  </si>
  <si>
    <t>### Steps to reproduce
1. app notify me file conflict
2. click the notify message
3. APP cracked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3.16.0 or below
Nextcloud server version:
#### Web server error log
Insert your webserver log here
#### Nextcloud log (data nextcloud.log)</t>
  </si>
  <si>
    <t>Anuken-Mindustry-5214</t>
  </si>
  <si>
    <t>Community servers list not coming on linux(installed via snap), while on android its working</t>
  </si>
  <si>
    <t>PojavLauncherTeam-PojavLauncher-1343</t>
  </si>
  <si>
    <t>[BUG] &lt;1.13 won't launch.&gt;</t>
  </si>
  <si>
    <t>just recently downloaded 1.13, and it just crashed.
Latestlog and latestcrash
pls fix just wanna swim in lava in 2p2j</t>
  </si>
  <si>
    <t>cgeo-cgeo-10550</t>
  </si>
  <si>
    <t>Crash when/after invoking Google Maps navigation</t>
  </si>
  <si>
    <t>&lt;!-- Fill in the following form by adding your text below the explanation comments. --&gt;
&lt;!-- You can use the preview tab above to review your issue before submitting it. --&gt;
## Bug description
&lt;!-- Enter summarized description of what the bug problem is, that you found --&gt;
Reported by beta user on support mail.
### Steps to reproduce the problem
&lt;!-- Describe step-by-step how to reproduce the problem --&gt;
Open cache details of cache
Select Navigation -&gt; Navigation (Driving)
### Actual result after these steps
&lt;!-- Describe the actual issue problem behavior in detail, which happens after the steps above --&gt;
Bounces back to cache details page and often crashes directly after
### Expected result after these steps
&lt;!-- Describe what you expected to happen instead (correct behavior) --&gt;
Navigation app should be started
## c:geo version
&lt;!-- You will find the c:geo version in c:geo Menu -&gt; About c:geo --&gt;
&lt;!-- Yes No (or describe under what conditions) --&gt;
Yes, for the affected user, but not for me.
## System information</t>
  </si>
  <si>
    <t>2021-05-06</t>
  </si>
  <si>
    <t>PojavLauncherTeam-PojavLauncher-1335</t>
  </si>
  <si>
    <t>[BUG] Crash on Samsung Note 10+ on all minecraft versions</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</si>
  <si>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App crashes after while and restarts (video)
**Add log file if you want to see your bug fixed !**
### To Reproduce:
### Screenshots or videos:
*Upload here screenshots or videos of the buggy behavior, if possible.*
Device Model: Samsung Note 10+
CPU architecture: aarch64
Android Version: 11
PojavLauncher Version: Latest stable release</t>
  </si>
  <si>
    <t>2021-05-05</t>
  </si>
  <si>
    <t>uerceg-play-install-referrer-react-native-6</t>
  </si>
  <si>
    <t>Invariant Violation: Native module cannot be null.</t>
  </si>
  <si>
    <t>**Describe the bug**
Running the app on iOS causes the following error: Invariant Violation: Native module cannot be null.
Removing the import line causes iOS to runs correctly.
import PlayInstallReferrer from
To temporarily solve the issue imported the library like this:
const PlayInstallReferrer Platform.OS android require( null
Just running the app on iOS simulator caused the crash in my case...
expect that importing the library doesn create any problem to iOS, it just doesn do anything.
React Native: v0.63.2.
Android API: 29
Device name and model: iOS Simulator
Invariant Violation: Native module cannot be null (https: 15264288</t>
  </si>
  <si>
    <t>opensrp-opensrp-client-reveal-1403</t>
  </si>
  <si>
    <t xml:space="preserve">The app keeps on crashing </t>
  </si>
  <si>
    <t>Login to the app.
Wait for the sync to complete
Turn the internet off
Go to list view
Select an old residential structure(existing)
Click on add new member
Varshana has also been experiencing some app crashes at the same time. used Samsung A21, she used Huawei.
Rkareko we should check Crashylitcs</t>
  </si>
  <si>
    <t>DIT112-V21-group-01-50</t>
  </si>
  <si>
    <t>Arduino messaging lag</t>
  </si>
  <si>
    <t>The app crashes after short while on the drive-screen.
nk-io suggested to update the Arduino sketch to only have one timer for sending camera-frames and the car-speed the lag was eliminated.</t>
  </si>
  <si>
    <t>2021-05-04</t>
  </si>
  <si>
    <t>gsantner-markor-1329</t>
  </si>
  <si>
    <t>Android 4.4 crash when moving files</t>
  </si>
  <si>
    <t>#### General information
**App version: 2.6.0**
**System: Android 4.4.4**
When moving file from one folder to another, the file is copied, then Markor crashes with the following exception. The file has been copied successfully to the target location, but it has not been removed from the source folder.</t>
  </si>
  <si>
    <t>2021-05-03</t>
  </si>
  <si>
    <t>TeamNewPipe-NewPipe-6224</t>
  </si>
  <si>
    <t>Remote Stack Trace Crash</t>
  </si>
  <si>
    <t>am currently using NewPipe version 0.21.2 Github build. am facing this error on previous versions of Newpipe even on my earlier android 10 device.
This crash happens suddenly whenever was watching some content on Newpipe it just exits automatically. After that am unable to open Newpipe again.
To fix this error temporarily cleared app data restored the Playlist channels subscription backup only. If settings also restored then this error again came frequently.
After used this temporary fix same error came again after long usage time period of Newpipe like around 2-3 weeks approx according to my usage.
Device Name: Realme Pro (RMX1971)
Newpipe Version: 0.21.2 Github build
hope soon an workaround will be implemented in next updates.
Thanks for making an awesome app.</t>
  </si>
  <si>
    <t>nextcloud-android-8342</t>
  </si>
  <si>
    <t>Android app crash after login</t>
  </si>
  <si>
    <t>### Steps to reproduce
1. Create QR code for AP login
2. Login using Android app (scan QR)
3. App crash
### Expected behaviour
app does not crash
### Actual behaviour
### Can you reproduce this problem on https: try.nextcloud.com?
Please create test demo account and see if this still happens there.
If yes, please open up bug report
If not, please verify server setup and ask for help on forum
### Environment data
Android version: 10
Device model: OnePlus
Stock or customized system: stock android
Nextcloud app version: 3.15.1
Nextcloud server version: 21
Reverse proxy: traefik
#### Web server error log
No error nor warn in logs</t>
  </si>
  <si>
    <t>2021-05-02</t>
  </si>
  <si>
    <t>nextcloud-android-8341</t>
  </si>
  <si>
    <t>Moving files crash app</t>
  </si>
  <si>
    <t>### Steps to reproduce
1. Select files
2. Move to different fokder
3. Wait for crash
### Expected behaviour
app should not crash. Instead files should be moved
### Actual behaviour
app did not move any file, just crashed after
### Can you reproduce this problem on https: try.nextcloud.com?
Please create test demo account and see if this still happens there.
If yes, please open up bug report
If not, please verify server setup and ask for help on forum
So you expect me to upload private data (pictures and movies) to public cloud?
Sorry, but no.
### Environment data
Android version: 10
Device model: OnePlus6
Stock or customized system: Stock
Nextcloud app version: current
Nextcloud server version:</t>
  </si>
  <si>
    <t>PojavLauncherTeam-PojavLauncher-1325</t>
  </si>
  <si>
    <t>Can my device run it? It's realme 7</t>
  </si>
  <si>
    <t>My device is Realme and am trying to run Zink version from last days but it not playing at all.
My game opens, downlaods 1.16.5 try to run with suggested settings controls appears with black screen, and it sucks
Or else it sends me crash report can even use optifine Please help me out
want to try shaders pls.</t>
  </si>
  <si>
    <t>devgianlu-Timeless-46</t>
  </si>
  <si>
    <t>App crashes when trying to list projects</t>
  </si>
  <si>
    <t>When trying to navigate to Projects the app crashed with in https: github.com devgianlu Timeless blob app src main java com gianlu timeless listing</t>
  </si>
  <si>
    <t>2021-05-01</t>
  </si>
  <si>
    <t>devgianlu-Timeless-45</t>
  </si>
  <si>
    <t>Projects and commits activity crash on 404</t>
  </si>
  <si>
    <t>Projects, commits, public- and private leaderboards currently have no corresponding endpoints in Wakapi (there will be one for projects though, https: github.com muety wakapi issues 196). For leaderboard, an explanatory message is displayed, informing the user of the corresponding feature not being available with the current backend. For projects and commits, however, an activity seems to start and then crash with only short toast message. Maybe this failure could be bit more graceful, too.</t>
  </si>
  <si>
    <t>PojavLauncherTeam-PojavLauncher-1315</t>
  </si>
  <si>
    <t>1.8.9 crashing every Time luner silent crashing labymod crash evreytime pls fix</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</si>
  <si>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Device Model e.g. Mi Pro 128
CPU architecture e.g. aarch64
Android Version e.g. 10</t>
  </si>
  <si>
    <t>2021-04-30</t>
  </si>
  <si>
    <t>Anuken-Mindustry-5176</t>
  </si>
  <si>
    <t>Logic parser crash</t>
  </si>
  <si>
    <t>**Steps to reproduce**:
*Exit the processor, and... the game just froze. Inputting quote is more unpredictable, out of 10 times it clears out all instructions from that processor, and the time it crashes.*
**Link(s) to mod(s) used**: *Not applicable.*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</si>
  <si>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PojavLauncherTeam-PojavLauncher-1312</t>
  </si>
  <si>
    <t>[BUG] &lt;Short description&gt; idont know ts this a bug or something but 1.16.5,1. 16.3 is exiting to the home screen of launcher without any crash report or any notification my phone specs vivo y19 arch64 ram 3gb 3.3.1 version of pojav laucher , my android version is 11</t>
  </si>
  <si>
    <t>Anuken-Mindustry-5167</t>
  </si>
  <si>
    <t>Electric-based turrets consume power when disabled</t>
  </si>
  <si>
    <t>**Steps to reproduce**: Disable turret by processor. Connect to power source (of any kind). When enemy enters its range player can notice power drain as if turret was shooting. Once enemy leaves, turret stops consuming power.
**Link(s) to mod(s) used**: Works with vanilla. Once used *deltanedas unit-factory* to spawn units for testing.
**(Crash) logs**: Bug doesn crash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</si>
  <si>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2021-04-29</t>
  </si>
  <si>
    <t>mollyim-mollyim-android-41</t>
  </si>
  <si>
    <t>Molly Crashes on attempted opening of a group chat</t>
  </si>
  <si>
    <t>am in group chat with other signal users. Whenever try to open this chat to read its contents, Molly crashes instantly, yet if there is notification for new message in said group chat, may access the chat without issue only as long as select the notification.
Attempting to open the chat manually by selecting it within Molly crashes the app.
am in two group chats currently, the one that causes the crashes only holds users including myself. The other chat holds 20+ and causes me no issue.
downloaded and installed Molly from the F-DROID repository and am running Android version 7.0 but my phone informs me whenever check for new updates that it software is up to date.</t>
  </si>
  <si>
    <t>material-components-material-components-android-2195</t>
  </si>
  <si>
    <t>Select date-range across two months.
Open on current month (april 2021 **with weeks**) and select day, move to next month (may **with weeks**) and select the last day (**it invisible!**).
When select the last day, it crashes.
The problem is with
public class MainActivity extends AppCompatActivity
private Handler openPickerHandler new Handler()
private Runnable runOpenPicker new Runnable()
public void run()
Long&gt;&gt; datePicker builder.build()
MATERIAL DATE PICKER
protected void onCreate(Bundle savedInstanceState)
public void onClick(View v)
&lt;?xml version 1.0 encoding utf-8 ?&gt;
&lt;style name parent
&lt;?xml version 1.0 encoding utf-8 ?&gt;
**Android API version:**
Android API 26
**Material Library version:**
Here the stacktrace</t>
  </si>
  <si>
    <t>commons-app-apps-android-commons-4385</t>
  </si>
  <si>
    <t xml:space="preserve">App crash On categoryDetail activity when click on image  after orientation change </t>
  </si>
  <si>
    <t>App crash On categoryDetail activity when click on image after orientation change
**Steps to reproduce:**
1. Open categoryDetail activity
2. change the orientation
3. click on the image
**Device and Android version:**
Android Device :Redmi y3
**Commons app version:**
**Would you like to work on the issue?**</t>
  </si>
  <si>
    <t>nextcloud-android-8326</t>
  </si>
  <si>
    <t>crash when need to relogin</t>
  </si>
  <si>
    <t>### Steps to reproduce
1. Click on invalid user prompt from notifications
### Expected behaviour
### Actual behaviour
### Can you reproduce this problem on https: try.nextcloud.com?
Please create test demo account and see if this still happens there.
If yes, please open up bug report
If not, please verify server setup and ask for help on forum
### Environment data
Android version: 11
Device model: oneplus 7t
Stock or customized system: stock
Nextcloud app version: beta user
Nextcloud server version: 21.0.1
Reverse proxy: nginx
#### Web server error log
Insert your webserver log here
************ CAUSE OF ERROR ************
************ APP INFORMATION ************
Build flavor: gplay</t>
  </si>
  <si>
    <t>2021-04-28</t>
  </si>
  <si>
    <t>nextcloud-android-8325</t>
  </si>
  <si>
    <t>Crashing with old/wrong credentials</t>
  </si>
  <si>
    <t>just switched to private profile that have not been using on my phone for while, so the saved user password is wrong. Switching to the profile immediately crashes the app.
The bad thing is that now cannot enter the app any more.
### Steps to reproduce
1. Add profile to the app and then switch to your default profile A.
2. Change your password server-side (e.g. in your browser or via an external IdM, in my case in LDAP)
3. Back in the app, switch from your default profile to profile B, and see the app crashing
### Expected behaviour
The app should switch from profile to profile (with the changed password), 1. asking for the new credentials, or 2. proposing to use token for the app to avoid having to change the password in the future.
### Actual behaviour
The app crashes when switching from default profile to profile with new password.
### Environment data
Android version: PKQ1
Device model: Xiaomi Mi MIX
Stock or customized system: MIUI 12
Nextcloud app version: 3.16.0 RC2
Nextcloud server version: 19.0.10.1
Reverse proxy: Apache</t>
  </si>
  <si>
    <t>smartdevicelink-sdl_java_suite-1678</t>
  </si>
  <si>
    <t>java.lang.NegativeArraySizeException Crash at SdlPsm.java line 241 com.smartdevicelink.transport.SdlPsm.transitionOnInput</t>
  </si>
  <si>
    <t>### Bug Report
Fatal Exception: -592969471
##### Reproduction Steps
Seeing crash in Firebase Crashlytics dash, unfortunately no reproduction steps to share.
##### Expected Behavior
##### Observed Behavior
##### OS Version Information
Android Version: 46% Android 11, 45% Android 10, 5% Android 7%
SDL Android Version: 4.12.0
According to crash logs. app was always in background when the crash was seen.
##### Test Case, Sample Code, and or Example App
Paste link to PR, gist, or other code that exemplifies this behavior</t>
  </si>
  <si>
    <t>hzi-braunschweig-SORMAS-Project-5268</t>
  </si>
  <si>
    <t>Inconsistencies when saving pathogen tests after recent disease variant introduction</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</si>
  <si>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Issue #5029 added variant to pathogen test.
WEB when the same pathogen test is opened and save without editing any data, there is still popup asking user if they need to override the disease variant, followed by unsaved change message
mobile when multiple positive PCR test of covid19 is created for the same sample, save icon is not responsive and mobile app crashes
mobile For some of the pathogen test often when creating second test of the same sample), disease variant caption is missing on the pathogen test form.
### Steps to Reproduce
&lt;!-- Optional please add more steps if necessary --&gt;
### Expected Behavior
&lt;!-- Optional --&gt;
When POSITIVE pathogen test with confirmed by supervisor YES with disease variant the disease variant of the case is saved, display popup message that asks the user to update the disease variant of the case: You have saved positive pathogen test of different disease variant than the variant specified in the case. Do you want to update the disease variant of the case? options Yes and No Discard
&lt;!-- Optional --&gt;
### System Details
&lt;!-- Mandatory you only have to specify the Server URL if the error appeared on publicly available test server --&gt;
SORMAS version: 1.59
Android version Browser: A7, Tecno
Server URL: https: sormas-ui
User Role: national user, surveillance officer contact officer
### Additional Information</t>
  </si>
  <si>
    <t>hzi-braunschweig-SORMAS-Project-5262</t>
  </si>
  <si>
    <t>Saving case-events in the android app causes the app to crash</t>
  </si>
  <si>
    <t>### Bug Description
Creating case-events in the android app causes the app to exit.
### Steps to Reproduce
&lt;!-- Optional please add more steps if necessary --&gt;
1. Create case.
2. Go to Case Events
3. Create new Event and save
### Expected Behavior
### System Details
&lt;!-- Mandatory you only have to specify the Server URL if the error appeared on publicly available test server --&gt;
SORMAS version: 1.60.0-SNAPSHOT
Android version Browser: Android 11.0
User Role: Surveillance Officer
### Additional Information
&lt;!-- Optional --&gt;</t>
  </si>
  <si>
    <t>nextcloud-android-8316</t>
  </si>
  <si>
    <t>Created new odt file using collabora code server</t>
  </si>
  <si>
    <t>### Steps to reproduce
1. Create new document
2. Enter file name
3. Collabora will execute and report error
************ CAUSE OF ERROR ************
Caused by: Fragment d409b83 not attached to context.
************ APP INFORMATION ************
Build flavor: gplay
************ DEVICE INFORMATION ************
************ FIRMWARE ************
Should have brought up editor screen
### Actual behaviour
Loads Collabora CODE server ans crashes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t>
  </si>
  <si>
    <t>Anuken-Mindustry-5162</t>
  </si>
  <si>
    <t>Conveyors Blend With Middle Bridges</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</si>
  <si>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sortof **I have searched the closed and open issues to make sure that this problem has not already been reported.**</t>
  </si>
  <si>
    <t>2021-04-27</t>
  </si>
  <si>
    <t>PojavLauncherTeam-PojavLauncher-1303</t>
  </si>
  <si>
    <t>zink test crashing problem</t>
  </si>
  <si>
    <t>MuntashirAkon-AppManager-412</t>
  </si>
  <si>
    <t>Unable to block trackers - App manager crash</t>
  </si>
  <si>
    <t>After trying to block trackers app manager crash, after chrash the page app info keeps loading forever, this is the output log,
App version: 2.6.0
App version code: 385
Android build version:
Android release version: 10
Android SDK version: 29
Android build ID: QQ3A.200805.001
Device brand: Xiaomi
Device manufacturer: Xiaomi
Device name: vince
Device model: Redmi Plus
Device product name: havoc vince
Device hardware name: qcom
ABIs (32bit): armeabi-v7a, armeabi
ABIs (64bit): arm64-v8a
System language: es-HN
In-App Language: auto</t>
  </si>
  <si>
    <t>MuntashirAkon-AppManager-410</t>
  </si>
  <si>
    <t>App Info doesn't load for hidden apps</t>
  </si>
  <si>
    <t>**Describe the bug**
am cannot view app that DISABLED BY ISLAND
Steps to reproduce the behaviour:
1. open AM
2. Click on App That Disabled By Island
3. Couldn Fetch Package Info
It Should Work But Due To Glitch Or Something From Island, Other App Cannot View Disabled App By Island
If applicable, add screenshots to help explain your problem.
If applicable, add crash logs to help us figure out the problem.
Device: Realme 5i
OS Version: Android 10
App Manager Version: 2.6.0 Stable Release
Guess This Are Glitch Or Restriction From Island
The Only Solution Is Add Mark On App That Disabled By Island So User Understand If That App Are Disabled by Island</t>
  </si>
  <si>
    <t>MuntashirAkon-AppManager-407</t>
  </si>
  <si>
    <t xml:space="preserve">Does not load on Android TV 10. The opening screen stays on "Initializing" forever. </t>
  </si>
  <si>
    <t>**Describe the bug**
clear and concise description of what the bug is.
Steps to reproduce the behaviour:
1. Go to ...
2. Click on ....
3. Scroll down to ....
4. See error
clear and concise description of what you expected to happen.
If applicable, add screenshots to help explain your problem.
If applicable, add crash logs to help us figure out the problem.
Device: e.g. One Plus Pro
OS Version: e.g. Android 10
App Manager Version: e.g. v2.5.13
Mode: root adb no-root
Add any other context about the problem here.</t>
  </si>
  <si>
    <t>2021-04-26</t>
  </si>
  <si>
    <t>CleverTap-clevertap-android-sdk-168</t>
  </si>
  <si>
    <t>Crash on Android 4.4 after updating SDK to v4.1.0</t>
  </si>
  <si>
    <t>**Describe the bug**
The SDK crashes on init on Android 4.4 devices
Steps to reproduce the behavior:
1. Try to init the SDK v4.1.0 on Android 4.4
The SDK v.4.1.0 does not crash on Android 4.4
**Environment (please complete the following information):**
Device: Nexus Emulator
OS: Android 4.4
CleverTap SDK Version: 4.1.0
Android Studio Version: 4.1.3
After investigating the crash, discovered that the issue was present in SDK 4.0.4, but did not crash the app (it would just log warning if you set kinda secret logging level &gt;2) and thus remained unnoticed:
Since JobService was added in Android 5.0 Lollipop, checking for this on 4.4 won succeed as this class won be present in the classpath. This results in that was somehow handled in SDK v4.0.4, but can see there were some internal changes to that in v4.1.0</t>
  </si>
  <si>
    <t>AOF-Dev-MCinaBox-1060</t>
  </si>
  <si>
    <t>stuck with a white screen every version</t>
  </si>
  <si>
    <t>when want to play normal 1.16.4, it shows me white screen, when take screenshot of that, it shows me black screen
just press the play button and hers the crash
**Smartphone (please complete the following information):**
Device: INFINIX hot
App Version the latest
CPU architecture arm64</t>
  </si>
  <si>
    <t>ivancrg-vis.it-46</t>
  </si>
  <si>
    <t>Fix crash if country not picked</t>
  </si>
  <si>
    <t>TeamNewPipe-NewPipe-6176</t>
  </si>
  <si>
    <t>SoundCloud extraction is broken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</si>
  <si>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0.21.2 RC-2 and latest dev APK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Try to open any SoundCloud stream.
&lt;!-- If you can cause the bug to show up again reliably (and hence don have proper set of steps to give us), please still try to give as many details as possible on how you think you encountered the bug. --&gt;
### Actual behaviour
&lt;!-- Tell us what happens with the steps given above. --&gt;
The stream fails to load, giving an error (see the Logs section).
### Expected behavior
&lt;!-- Tell us what you expect to happen. --&gt;
The stream should load without any errors.
&lt;!-- If your bug includes crash (where you re shown the Error Report page with bunch of info), tap on Copy formatted report at the bottom and paste it here: --&gt;
User Action: requested stream
Request: https: soundcloud.com alanwalker alan-walker-fade</t>
  </si>
  <si>
    <t>PojavLauncherTeam-PojavLauncher-1294</t>
  </si>
  <si>
    <t>[BUG] 1.8 always crashes!!!</t>
  </si>
  <si>
    <t>Always crashes every single time and am F## PISSED
### To Reproduce:
Indicate steps to reproduce the buggy behavior:
1. Start PojavLauncher
... *(your set of actions to reproduce the bug)*
2. Join world or server
3. Crash in 15 sec
### Expected behavior:
expected to not CRASH ...
### Screenshots or videos:
*Upload here screenshots or videos of the buggy behavior, if possible.*
Device Model OPPO A12 64
CPU architecture e.g. aarch64
Android Version e.g.
PojavLauncher Version Version 3.3.1.1 rel 20210417</t>
  </si>
  <si>
    <t>Anuken-Mindustry-5152</t>
  </si>
  <si>
    <t>High Buildspeed = Wacky Movement</t>
  </si>
  <si>
    <t>when units build speed is very high, deconstructing buildings results is weird teleports and other oddities.
**Steps to reproduce**: *How you happened across the issue, and what exactly you did to make the bug happen.*
2. deconstruct lots of blocks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works on any survival world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</si>
  <si>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2021-04-25</t>
  </si>
  <si>
    <t>MuntashirAkon-AppManager-400</t>
  </si>
  <si>
    <t>AM crash during import of blocking rules</t>
  </si>
  <si>
    <t>AM crash when trying to import blocking rules (previously exported from AM).</t>
  </si>
  <si>
    <t>latra-TeamsUp-app-22</t>
  </si>
  <si>
    <t>Corregir error por el cual si no se introduce mail y/o password en el login, crashea</t>
  </si>
  <si>
    <t>adir control de is null or empty antes de realizar el signin</t>
  </si>
  <si>
    <t>Anuken-Mindustry-5150</t>
  </si>
  <si>
    <t>Stable desync of units, producing ghosts</t>
  </si>
  <si>
    <t>**Steps to reproduce**:
1. Modify **server-side only** to replace incoming damage with something small (say, amount 0.001f
2. Make default flare health **server-side only** to 10.
3. Launch attached map on server in sandbox mode.
4. Connect via client. Network between server and client should have ability to lag, or server should be able to lag. shake server window on windows to get this effect in local network.
5. Flare gets produced, flies up.
6. Produce lag, observe flare gets killed on client.
7. Type sync and flare is still alive flying around.
Here is video of how it looks if connect from phone via local Wi-Fi network and produce little lag via shaking server window: https: www.youtube.com watch?v mptzC1KkFow
It is obvious that due to randomness of other places we can get bullet (either produced by player or by turret) to kill unit client-side only in even more cases other than that and later see half of the base being destroyed by ghost.
believe this is due to the fact that client-side proceeds with destroy() here without noticing that the unit may still be alive:
**Link(s) to mod(s) used**: no mods
**Save file**: simple map to test this out:
**(Crash) logs**: not crash
*Place an (no spaces) between the brackets to confirm that you have read the line below.*
**I have updated to the latest release (https: github.com Anuken Mindustry releases) to make sure my issue has not been fixed.** can find them now, but believe saw countless amounts of related issues with answer sync
**I have searched the closed and open issues to make sure that this problem has not already been reported.**</t>
  </si>
  <si>
    <t>2021-04-24</t>
  </si>
  <si>
    <t>nextcloud-android-8307</t>
  </si>
  <si>
    <t>SQlite crashed multiple times</t>
  </si>
  <si>
    <t>### Steps to reproduce
1. Open Nextcloud Android App
### Expected behaviour
### Actual behaviour
on Start, SQlite Database crashes
### Environment data
Device model: Xiaomi Mi
Stock or customized system: Miui 12.5 stock
Nextcloud app version: 3.15.1
Nextcloud server version: newest of stable channel
Reverse proxy: not in use
#### Web server error log
Nothing with relation to this Problem
#### Nextcloud log (data nextcloud.log)
************ CAUSE OF ERROR ************
************ APP INFORMATION ************
Build flavor: gplay</t>
  </si>
  <si>
    <t>Anuken-Mindustry-5149</t>
  </si>
  <si>
    <t>Waves Reset on captured sector when core dies</t>
  </si>
  <si>
    <t>Steam Release 126.2
When the core dies on captured sector, waves reset
**Steps to reproduce**: *How you happened across the issue, and what exactly you did to make the bug happen.*
1. capture sector
2. kill your own core (thorium reactor explosion etc.)
3. launch there again
4. waves are back??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Tested on multiple sectors, issue persists.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</si>
  <si>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openid-AppAuth-Android-694</t>
  </si>
  <si>
    <t xml:space="preserve">Calling AuthorizationManagementActivity.createStartIntent causes the app to crash </t>
  </si>
  <si>
    <t>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Identity provider: our own
### Issue Description
Calling causes the app to crash because is package private.
Can make PR to change it to public?</t>
  </si>
  <si>
    <t>2021-04-23</t>
  </si>
  <si>
    <t>Anuken-Mindustry-5146</t>
  </si>
  <si>
    <t>Exiting in-game causes Steam to think Mindustry is still open</t>
  </si>
  <si>
    <t>**Steps to reproduce**: First, quit the game. Steam thinks Mindustry is open.
**Link(s) to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</si>
  <si>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k9mail-k-9-5271</t>
  </si>
  <si>
    <t>App crashes on opening mail with invalid Sender: header</t>
  </si>
  <si>
    <t>**Describe the bug**
If message with an invalid address of the form ... ... ... in the Sender: header is opened, the app crashes.
1. Arrange for message such as the following to be present in the IMAP folder:
2. View the folder in k9mail and open the message.
View the message as normal, either with the invalid address left alone, or corrected to (in this case) jcb julian julianbradfield.org
**Environment (please complete the following information):**
K-9 Mail version: 5.600
Device: Xiaomi Redmi Go
Account type: IMAP
The above mnwe is constructed this arose in the live by messages sent from hostedemail.com on behalf of one of their customers. have asked the customer to raise bug report with hostedemail.com about their sending of invalid addresses. Nonetheless, k9mail should handle them gracefully!
application crashes, so no logs</t>
  </si>
  <si>
    <t>NordicSemiconductor-Android-DFU-Library-302</t>
  </si>
  <si>
    <t>Attempt to invoke virtual method 'void android.os.Bundle.unparcel()' on a null object reference</t>
  </si>
  <si>
    <t>OnePlus 7T Pro
Gettings this crash at
What am missing?
public class extends Activity
protected void onCreate(Bundle savedInstanceState)
If this activity is the root activity of the task, the app is not running
Start the app before finishing
final Intent intent new Intent(this, MainActivity.class)
ACTIVITY NEW TASK)
copy all extras
Now finish, which will drop you to the activity at which you were at the top of the task stack</t>
  </si>
  <si>
    <t>PojavLauncherTeam-PojavLauncher-1277</t>
  </si>
  <si>
    <t>Osmesa dev test pojavlauncher with Zinc is not working when clicking play button it may be crash</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</si>
  <si>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Redmi note gb ram 64 gb storage
CPU architecture aarch64
Android Version 10</t>
  </si>
  <si>
    <t>mohyghb-MoClock-36</t>
  </si>
  <si>
    <t>updated the add city activity to show empty list when nothing is bein…</t>
  </si>
  <si>
    <t>updated the search hint
now we don let them turn on or off the alarm while selecting
the color for selection has improved
fixed the bug where if the alarm did not have any alarms, cancelling it would crash the app
now the alarms also are updated inside the app when they ring
updated the animation for selectable of world clock and alarm clocks
increased the padding for switch alarm
now the alarm clocks use recycler view instead of list view</t>
  </si>
  <si>
    <t>smartdevicelink-sdl_java_suite-1667</t>
  </si>
  <si>
    <t>IllegalArgumentException when starting video stream with custom RPC MTU</t>
  </si>
  <si>
    <t>### Bug Report
##### Reproduction Steps
1. Set 300000 in smartDeviceLink.ini
2. Connect app with NAVIGATION type
3. Activate app and try to start video stream
##### Expected Behavior
Video stream starts without issue
##### Observed Behavior
App crashes with
##### OS Version Information
Android Version: 6.0.1
SDL Android Version: 5.1.0
Testing Against: SDL Core 7.1.0, SDL HMI develop branch</t>
  </si>
  <si>
    <t>2021-04-22</t>
  </si>
  <si>
    <t>Anuken-Mindustry-5142</t>
  </si>
  <si>
    <t>(Logic) drawn geometry / imagery angles are off by +90° when given an angle between ~270° and 360°</t>
  </si>
  <si>
    <t>**Steps to reproduce**: 0) open mindustry
1) make processor try drawing dagger with an angle of 280 (for example) and flushing that to display
2) observe that the dagger is indeed drawn with an angle of 10 (for example) instead
**Link(s) to mod(s) used**: no mods required
**(Crash) logs**: no crashes
(note that this was recorded with bunch of mods active, but they do not have an impact on this)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</si>
  <si>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nextcloud-android-8303</t>
  </si>
  <si>
    <t>App keeps crashing when opening particular folder</t>
  </si>
  <si>
    <t>Anuken-Mindustry-5138</t>
  </si>
  <si>
    <t>Controll issue</t>
  </si>
  <si>
    <t>**Steps to reproduce**: *How you happened across the issue, and what exactly you did to make the bug happen.*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</si>
  <si>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nextcloud-android-8302</t>
  </si>
  <si>
    <t>Locked AD/LDAP Accounts / APP CRASH ON RELOGIN</t>
  </si>
  <si>
    <t>### Steps to reproduce
1. Nextcloud Server with LDAP AD (latest, but same bahavior on older versions)
2. Android App from Playstore (3.15.1, but same bahavior on older versions since new WebViewLogin), 3.13.1 was ok
3. Log into custom nextcloud instance,
4. Log out Delete Account on Android device
5. Log into account again LDAP Account is locked cause of invalid credentials
### Expected behaviour
Recreation Relogin should not lock AD Account
Nextcloud App runs fine until new WebViewLogin
### Actual behaviour
until Version 3.15.x
Recreation Relogin (only start login process one time) results in locked account... (AD lockout after 5x failed logins)
Server log shows several errors
Login via Browser on Desktop PC runs fine without issues
Issue does not occur if device was rebooted before relogin
Issue also occurs when using Nextcloud Talk and Notes...
with 3.17.x Master Branch (27th. April)
App crashes with Exception (see 2nd comment) on relogin
### Environment data
Android version: Android 8-11</t>
  </si>
  <si>
    <t>PojavLauncherTeam-PojavLauncher-1270</t>
  </si>
  <si>
    <t>Server crashes (pojavlauncher)</t>
  </si>
  <si>
    <t>Phone huawei connected the macro and stood on the server wake up writes shutdown what to do</t>
  </si>
  <si>
    <t>PojavLauncherTeam-PojavLauncher-1266</t>
  </si>
  <si>
    <t>Osmesa dev test pojavlauncher with Zink is crash on my phone when I click play button it is crash plz fix the bug I installed pojavlauncher for shaders but it is not working</t>
  </si>
  <si>
    <t>google-ExoPlayer-8845</t>
  </si>
  <si>
    <t>OOM crash during offline playback of encoded with proprietary encoder flac tracks</t>
  </si>
  <si>
    <t>We re using ExoPlayer (now v.2.12.3) for playback of specific tracks encoded with some custom proprietary encoder and are packed into FLAC container. Unfortunately, can give you more details about the encoder due to NDA...
To make the playback actually work, we use ExoPlayer FLAC extension.
Everything seems to be working fine except for one problem.
We experience OOM crashes during offline playback (when track is downloaded) of quite big files (duration 15 minutes or size 150MB).
Android Studio Profiler during the playback shows constantly increasing memory consumption until OOM crash occurs.
ve spent some time for investigation and realized that these OOM crashes appeared with this commit (https: github.com google ExoPlayer commit
reverted this commit, and it seems that OOM went away.
So, guys, really appreciate it if you could revert the commit on your end, of course, if there is no reason not to do it. If you decide to leave it as is, maybe you could give us some more details about why you need it?</t>
  </si>
  <si>
    <t>2021-04-21</t>
  </si>
  <si>
    <t>NordicSemiconductor-Android-nRF-Mesh-Library-423</t>
  </si>
  <si>
    <t>Crash after updating app from any version 2.4.4 and below to 3.0 and above</t>
  </si>
  <si>
    <t>**Describe the bug**
Downloaded 2.4.4 and added device, bound keys, and added subscriptions. Controlled device from 2.4.4 with no issues. Downloaded 3.1.5 and built app. Device TTL unknown and app crashes when trying to send messages.
Steps to reproduce the behavior:
1. Build 2.4.4 and add device, bind keys, and add subscriptions
2. Update the app to version 3.0 or above
3. Try to control device and app crashes</t>
  </si>
  <si>
    <t>material-components-material-components-android-2186</t>
  </si>
  <si>
    <t>[AppBarLayout] Resources$NotFoundException: design_appbar_state_list_animator.xml</t>
  </si>
  <si>
    <t>Firebase crash log
Caused by Corrupt XML binary file
don understand why the anim resource ID #0x7f020000(design appbar state list animator.xml) is bound to the res mipmap-xxhdpi-v4 ic launcher.png.
can reproduce the bug,This bug only crash on some of Huawei phones
**Android API version:**
Android 8.0.0 8.1.0
**Material Library version:**
To help us triage faster, please check to make sure you are using the latest version (https: github.com material-components releases) of the library.
We also happily accept pull requests (https: github.com material-components pulls).</t>
  </si>
  <si>
    <t>SCCapstone-TabDab-188</t>
  </si>
  <si>
    <t>Entering an empty tip causes app to crash</t>
  </si>
  <si>
    <t>PojavLauncherTeam-PojavLauncher-1263</t>
  </si>
  <si>
    <t xml:space="preserve">[BUG] The Game alway's crash on Osmesas-Devs-Tests </t>
  </si>
  <si>
    <t>hilerio23-TheOfficalScrabbleGame-11</t>
  </si>
  <si>
    <t>isMissing crashes the program</t>
  </si>
  <si>
    <t>If the user doesn play the letter tile where the words intersect it will crash. Probably need to fix the isMissing method somehow maybe by getting the the and coords and analyzing where the hole is</t>
  </si>
  <si>
    <t>Anuken-Mindustry-5133</t>
  </si>
  <si>
    <t>Mass Driver receives items without power</t>
  </si>
  <si>
    <t>The receiver Mass Driver does not need power to function when it should. It just needs to be aligned to the sender Mass Driver.
**Steps to reproduce**:
1. Build two Mass Drivers, one surrounded by item voids and the other surrounded by item sources.
2. Set the item sources to any item.
3. Connect the second to the first.
4. Build power source that connects to the Mass Drivers and wait for them to align.
5. Disconnect the first Mass Driver from the power source.
**Link(s) to mod(s) used**: Mindustry Schematics (https: github.com pixecoz
save-Bug Report.zip (https: github.com Anuken Mindustry files 6347188
If you remove the line above without reading it properly and understanding what it means, will reap your soul. Even if you re playing on someone server, you can still save the game to slot.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</si>
  <si>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2021-04-20</t>
  </si>
  <si>
    <t>TeamNewPipe-NewPipe-6124</t>
  </si>
  <si>
    <t>Crash after trying to delete a video from a playlist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</si>
  <si>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playlist page
2. Press on playlist
3. Try to remove video
&lt;!-- If you can cause the bug to show up again reliably (and hence don have proper set of steps to give us), please still try to give as many details as possible on how you think you encountered the bug. --&gt;
It happens randomly, but today it did happen times. deleted video from my playlist, watched another, and ve tried to delete that one and NewPipe got crashed.
### Actual behaviour
&lt;!-- Tell us what happens with the steps given above. --&gt;
When try to delete it, ut crashes. open the app again, and can delete it.
### Expected behavior
&lt;!-- Tell us what you expect to happen. --&gt;
Deleting video from playlist</t>
  </si>
  <si>
    <t>OpenTracksApp-OpenTracks-722</t>
  </si>
  <si>
    <t>newest bugs after update // voice announcements by distance not working</t>
  </si>
  <si>
    <t>can export my runs anymore. get the message that their was an error for all the exports...
was using voice announcements for every 5km but it kept on announcing without pause. So had to turn off the announcements.
downgrade to older version viva Fdroid always resulted in an error that the installation was aborted.
app crashed several times after the update to 3.17,
Thank you for your good work!</t>
  </si>
  <si>
    <t>Anuken-Mindustry-5131</t>
  </si>
  <si>
    <t>Lancer fires without dealing any damage if placed at 90-degrees angle relative to target</t>
  </si>
  <si>
    <t>**Steps to reproduce**: Launch the attached map (or see gif below).
**Link(s) to mod(s) used**: no mods
**Save file**: map: lancer test.zip (https: github.com Anuken Mindustry files 6340552 lancer test.zip)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</si>
  <si>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PojavLauncherTeam-PojavLauncher-1256</t>
  </si>
  <si>
    <t>[BUG] Labymod installer doesn't work</t>
  </si>
  <si>
    <t>### Describe the bug
So when download the lastest Pojav version from github (3.3.1.1) and then download the lastest labymod installer, and then execute it on Pojav app, it will say No mod detected. Starting JVM When tried it but using the app store version (not sure what Pojav version it is but it is the one uploaded by artdeell able to execute the labymod installer, and after install it, and select to play with the Labymod version, when the Mojang loading screen completes, it crashes, giving this crash report: https: mcpaste.io 7c74e4ae606150d2
### To Reproduce:
1. Download PojavLauncher 3.3.1.1
2. Download Labymod from https: www.labymod.net en download
3. Start PojavLauncher
4. Go to Options Launch mod installer (Forge, Labymod, Fabric, etc...) and select the downloaded Labymod installer.
5. You will get No mod detected. Starting JVM message on the Log Output and PojavLauncher will stop working.
### Expected behavior:
To launch the Labymod installer properly and detect it as Minecraft modification.
### Screenshots or videos:
Screenshot 20210419-210903 PojavLauncher (Minecraft Java Edition for Android) (https: 43190931
Galaxy J7 Prime
CPU architecture aarch64
Android Version 8.1.0
PojavLauncher version 3.3.1.1 rel 20210206</t>
  </si>
  <si>
    <t>NekoX-Dev-NekoX-470</t>
  </si>
  <si>
    <t>Crash and jump out app when open</t>
  </si>
  <si>
    <t>Jump out and crash on version 7.7.2 on android 4.4 redmi note 4g
cant sent bug report because of jump out from app
upload logcat file</t>
  </si>
  <si>
    <t>2021-04-19</t>
  </si>
  <si>
    <t>MuntashirAkon-AppManager-379</t>
  </si>
  <si>
    <t>AM crash when importing rules from Blocker.</t>
  </si>
  <si>
    <t>AM crash when selecting rules file that previously exported from Blocker.</t>
  </si>
  <si>
    <t>k9mail-k-9-5261</t>
  </si>
  <si>
    <t>Crash when clicking compose button in message list widget</t>
  </si>
  <si>
    <t>**Describe the bug**
Clicking the envelope icon in the message list widget crashes the app.
Steps to reproduce the behavior:
1. Set up an account
2. Drag the message list widget to home screen
3. Click the envelope icon (compose message) in the upper right of the home screen widget
4. Observe app crash
**Environment (please complete the following information):**
K-9 Mail version: 5.734-SNAPSHOT
Caused by: Parameter specified as non-null is null: method parameter accountUuid</t>
  </si>
  <si>
    <t>Anuken-Mindustry-5128</t>
  </si>
  <si>
    <t>Blocks with transparency (non-full blocks) don't render right in map editor</t>
  </si>
  <si>
    <t>Tested on steam version
steam build 126.3
**Blocks** that have transparency that don fill the entire square area that they take up (e.g. shock mine, power node, microprocessor) have their backgrounds shown as black instead of as the block under them as it is in the normal game. (Most noticeable with shock mines) Terrain blocks such as pines and boulders work as expected.
You can see that the coal, titanium, and boulders have their transparent areas showing the ground underneath. The other blocks have black replacing their transparent areas instead of the ground underneath, like the boulders.
Reference image: In the Edit in-game option the blocks render as expected.
**Steps to reproduce**: *How you happened across the issue, and what exactly you did to make the bug happen.*
found it when making an attack map.
1. Enter map in the editor
2. Place block with transparent areas (use shock mine for most obvious effect)
3. Notice that the normally transparent areas of the block are black instead of showing the ground.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</si>
  <si>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OpenTracksApp-OpenTracks-721</t>
  </si>
  <si>
    <t>v3.17.0/v3.17.1: crash while using voice announcements</t>
  </si>
  <si>
    <t>Due to #719, using voice announcements leads to crash.
Introduced in v3.17.0 and made worse in v3.17.1.</t>
  </si>
  <si>
    <t>jMonkeyEngine-jmonkeyengine-1527</t>
  </si>
  <si>
    <t>GLRenderer: avoid NPE reported by Pavl_G</t>
  </si>
  <si>
    <t>This attempts to avoid the reported by Pavl at the Forum:
Since this appears to be related to #1408, appreciate review from riccardobl
Stack trace from the reported crash:</t>
  </si>
  <si>
    <t>google-ExoPlayer-8832</t>
  </si>
  <si>
    <t>Hi exoplayer out of memory error</t>
  </si>
  <si>
    <t>when watched video long time it will cause app crash ,and log shows
used in flutter plugin video plugin version is 1.0.0
thanks lot for help me.
relative issue https: github.com flutter flutter issues 80409</t>
  </si>
  <si>
    <t>PojavLauncherTeam-PojavLauncher-1250</t>
  </si>
  <si>
    <t>Minecraft doesn't running with Create Mod v0.3.1c</t>
  </si>
  <si>
    <t>If want to run the Minecraft 1.16.4 with Create mod v0.3.1c, after load screen minecraft crashes
---- Minecraft Crash Report ----
Uh... Did do that?
detailed walkthrough of the error, its code path and all known details is as follows:
-- Head --
-- Overlay render details --
-- System Details --
Minecraft Version: 1.16.4
Minecraft Version ID: 1.16.4
Operating System: Linux (aarch64) version Android-10
JVM Flags: total -Xms3592M -Xmx3592M -Xbootclasspath p: storage emulated games PojavLauncher caciocavallo ResConfHack.jar: storage emulated games PojavLauncher caciocavallo storage emulated games PojavLauncher caciocavallo
ModLauncher launch target: fmlclient
ModLauncher naming: srg
mixin-0.8.2.jar mixin PLUGINSERVICE
eventbus-4.0.0.jar eventbus PLUGINSERVICE
object holder definalize PLUGINSERVICE
runtime enum extender PLUGINSERVICE
capability inject definalize PLUGINSERVICE
FML Language Providers:
Minecraft minecraft 1.16.4 ENQUEUE IM NOSIGNATURE</t>
  </si>
  <si>
    <t>Honeydew-List-Honeydew-List-App-17</t>
  </si>
  <si>
    <t>Crash when leaving tab while it is loading from Firestore</t>
  </si>
  <si>
    <t>**Describe the bug**
The app crashes if the user leaves the fragment while it is loading data from Firestore
Steps to reproduce the behavior:
1. Go to the Tasks tab
2. Quickly switch back to Home before it loads
3. If no crash, quickly repeat and 2.
Crashes should be avoided. Canceling loading data from Firestore when leaving the fragment might fix it.
**Smartphone (please complete the following information):**
Device: Pixel 3a
OS: Android 11</t>
  </si>
  <si>
    <t>SCCapstone-TabDab-181</t>
  </si>
  <si>
    <t>Using letters for the credit card number while registering crashes the app</t>
  </si>
  <si>
    <t>TeamNewPipe-NewPipe-6107</t>
  </si>
  <si>
    <t>App crashes when i download in Pop-up mode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</si>
  <si>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video
2. Press on Pop-up mode
3. Press on the channel and download any video while Pop-up is playing, it crashes.
&lt;!-- If you can cause the bug to show up again reliably (and hence don have proper set of steps to give us), please still try to give as many details as possible on how you think you encountered the bug. --&gt;
### Actual behaviour
&lt;!-- Tell us what happens with the steps given above. --&gt;
The app crashes.
### Expected behavior
&lt;!-- Tell us what you expect to happen. --&gt; Proceed to Download the selected video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</si>
  <si>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2021-04-18</t>
  </si>
  <si>
    <t>Anuken-Mindustry-5124</t>
  </si>
  <si>
    <t>Two bit volume lol</t>
  </si>
  <si>
    <t>**Steps to reproduce**: *when the game is overloaded, when there are too many elements on the map, in short, when the using RAM rises*
**Link(s) to mod(s) used**: *no*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</si>
  <si>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uscki-Wilson-Android-221</t>
  </si>
  <si>
    <t>Feature/improve smobo</t>
  </si>
  <si>
    <t>Improvements to smobo:
Photo view and WiCKI tab no longer shown if not present for person, respectively.
Hopefully no longer crashes on the timer task</t>
  </si>
  <si>
    <t>UweTrottmann-SeriesGuide-785</t>
  </si>
  <si>
    <t>Crash at app start if google-service.json is missing</t>
  </si>
  <si>
    <t>**Describe the issue**
Without file in the app folder the app crashes at startup.
According to the contribution guide (https: github.com UweTrottmann SeriesGuide blob dev CONTRIBUTING.md) the Debug builds should just work
clear and concise description of what the bug is.
Steps to reproduce the behavior:
1. Fork SeriesGuide and clone your fork
2. Select dev branch
3. Import the SeriesGuide folder as new project in Android Studio
4. Select the pureDebug build variant (defined in app build.gradle ).
The app starts without crashes.
From the build.gradle app and the lines
if (project.file( ).exists())
can see that measures were taken to prevent loading google-servies if no google-service.json file is present.
However, calling without having file in the app folder leads to the following exception:
When commenting out line 184 of SgApp.kt
the crash does not occur anymore.</t>
  </si>
  <si>
    <t>LCIS-codepath-Appointsy-17</t>
  </si>
  <si>
    <t>Activity to Fragment crash</t>
  </si>
  <si>
    <t>Fix the Runtime Exception when clicking logging in</t>
  </si>
  <si>
    <t>2021-04-17</t>
  </si>
  <si>
    <t>nextcloud-android-8293</t>
  </si>
  <si>
    <t>nexcloud app crash when accessing documents</t>
  </si>
  <si>
    <t>************ CAUSE OF ERROR ************
************ APP INFORMATION ************
Build flavor: gplay</t>
  </si>
  <si>
    <t>SCCapstone-MobileAssistant-174</t>
  </si>
  <si>
    <t>Entering a number to a power crashes the app</t>
  </si>
  <si>
    <t>For the most part entering number to power crashes the app. Sometimes it won crash it do small power like 1^1.</t>
  </si>
  <si>
    <t>PojavLauncherTeam-PojavLauncher-1236</t>
  </si>
  <si>
    <t>[BUG] Forge 1.8.9 Crashes after joining server</t>
  </si>
  <si>
    <t>### Describe the bug
After fresh instalation of each new build (not release) and latest forge 1.8.9 it crashes after few seconds of joining any server, no mods are used
### To Reproduce:
Indicate steps to reproduce the buggy behavior:
1. Start PojavLauncher
2. Select Forge 1.8.9
3. Join any server
### Expected behavior:
To be playable
### Screenshots or videos:
Device Model: POCO F2 PRO
CPU architecture: aarch64
Android Version: 11
PojavLauncher Version: Each new build after release</t>
  </si>
  <si>
    <t>mtotschnig-MyExpenses-809</t>
  </si>
  <si>
    <t>WebUi server should find available port</t>
  </si>
  <si>
    <t>Currently port is hardcoded to 9000 and crashes if it is already in use</t>
  </si>
  <si>
    <t>PojavLauncherTeam-PojavLauncher-1234</t>
  </si>
  <si>
    <t>[BUG] Sodium always crashes</t>
  </si>
  <si>
    <t>&lt;it crashes when joining server opening world&gt; &lt;keeps crashing Everytime&gt;
### Describe the bug
clear and concise description of what the bug is.
### To Reproduce:
Indicate steps to reproduce the buggy behavior:
1. Start PojavLauncher
2.join server or open world
### Expected behavior:
expected it to not crash...
### Screenshots or videos:
*Upload here screenshots or videos of the buggy behavior, if possible.*
Device Model Oppo a12 64
CPU architecture aarch64
PojavLauncher Version Version 3.3.1.1 rel 20210405</t>
  </si>
  <si>
    <t>nextcloud-android-8291</t>
  </si>
  <si>
    <t>Crash when opening Nextcloud</t>
  </si>
  <si>
    <t>### Steps to reproduce
1. Open the Nextcloud app
3. Stack trace appears
### Expected behaviour
app should function normally
### Actual behaviour
app crashes with stack trace
************ CAUSE OF ERROR ************
************ APP INFORMATION ************
Build flavor: gplay
************ DEVICE INFORMATION ************
************ FIRMWARE ************</t>
  </si>
  <si>
    <t>PojavLauncherTeam-PojavLauncher-1232</t>
  </si>
  <si>
    <t>[BUG] Game crashing (osmesa-dev-tests)</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</si>
  <si>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The game is crashing with both OpenGL ES and Zink.
**Add log file if you want to see your bug fixed !**
### To Reproduce:
1- Minecraft 1.16.5 with OpenGL ES (Shows the Mojang studios screen, and crash)
2- Minecraft 1.16.5 with Zink (Nothing shows, just crash after some seconds)
Device Model: Motorola Moto G6 play
CPU architecture: aarch32
PojavLauncher Version: Latest Release (osmesa-dev-tests) version 3.3.1.1 rel 20210416
&lt;details&gt; context&lt; b&gt;&lt; summary&gt;
This happens with 1.12.2 too.</t>
  </si>
  <si>
    <t>2021-04-16</t>
  </si>
  <si>
    <t>nextcloud-android-8289</t>
  </si>
  <si>
    <t>Android app crashes on folder open</t>
  </si>
  <si>
    <t>### Steps to reproduce
1. Open nextcloud
2. Pick folder
3. It crashes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</si>
  <si>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PojavLauncherTeam-PojavLauncher-1231</t>
  </si>
  <si>
    <t>Everytime tried to play on snapshot it keep crashing some of them are not so pls fix it</t>
  </si>
  <si>
    <t>nextcloud-android-8287</t>
  </si>
  <si>
    <t>Out of memory error with automatic image upload (also data loss)</t>
  </si>
  <si>
    <t>### Steps to reproduce
1. Make 5000 pictures
2. Setup automatic syncing of images for all picture folders
only upload with wifi and cable plugged in
sort images by year
All picture folders from the phone are synced into one phone specific target folder
retry on duplicates (with replace option, keep existing produced corrupted images for me)
### Expected behaviour
Images are uploaded without limiting me in using my phone
(the initial upload of all my images occurs in reasonable time)
### Actual behaviour
Main memory fully consumed by nextcloud
Phone is very slow to the point sometimes have to unplug it from power supply (to stop uploading) in order to use it
get continuous warnings by Android Nextcloud does not react which always accept with Wait
Sometimes the app crashes due to full main memory consumption
get lot duplicated image errors. If resolve them with keep existing sometimes lose data (the existing image is corrupted)
(the initial upload takes ages. The app is installed for two weeks now but the initial images still aren uploaded fully. On very good day 1000 images are uploaded through wifi. But only if have opened the app, connected to power supply and don touch my phone. Today is bad day and not single image was uploaded after 2h)
It feels like Nextcloud is collecting all images for upload at once without caring about the resources. The actual upload then only processes one image at time. have (kinda) unlimited network by uploading through wifi but don have unlimited main memory so the priority of the scan should be otherway round.
The data corruption of images could be result of an incomplete communication with the backend due to the memory issues of the app
### Environment data</t>
  </si>
  <si>
    <t>SCCapstone-PokeCompanion-118</t>
  </si>
  <si>
    <t>App crashes when modifying Pokemon attributes</t>
  </si>
  <si>
    <t>**Steps to recreate error**:
1. Create new Pokemon with all attributes filled in.
2. Attempt to change value for HP (or any attribute) on that Pokemon.
&lt;img src https: 52005500 width 300</t>
  </si>
  <si>
    <t>nextcloud-android-8284</t>
  </si>
  <si>
    <t>Beta crash (fails to sync)</t>
  </si>
  <si>
    <t>The files seem to be stuck spinning (refreshing) forever and then the crashed page pops up randomly (even while in other apps) and by clicking on certain button like the media button.
This only started happening but worked earlier.
Could this be because have records for my external internal ip addresses. doing this because my router doesnt support hairpin NAT.
### Steps to reproduce
### Expected behaviour
App is able to sync correctly out crashing
### Actual behaviour
App gets stuck refreshing files and eventually crashes.
### Can you reproduce this problem on https: try.nextcloud.com?
Please create test demo account and see if this still happens there.
If yes, please open up bug report
If not, please verify server setup and ask for help on forum
### Environment data
Device model: SM-G950U
Stock or customized system:
Nextcloud app version: 3.16.0 RC2
Nextcloud server version: 21 latest stable
#### Web server error log
can get it if you would like.
#### Nextcloud log (data nextcloud.log)</t>
  </si>
  <si>
    <t>2021-04-15</t>
  </si>
  <si>
    <t>SCCapstone-PokeCompanion-116</t>
  </si>
  <si>
    <t xml:space="preserve">App crashes when trying to view Pokemon </t>
  </si>
  <si>
    <t>After adding Pokemon am unable to view information about it.</t>
  </si>
  <si>
    <t>ankidroid-Anki-Android-8610</t>
  </si>
  <si>
    <t>[Bug] AnkiDroid doesn't open: FragmentManager has not been attached to a host</t>
  </si>
  <si>
    <t>--------- beginning of crash
Caused by: FragmentManager has not been attached to host.</t>
  </si>
  <si>
    <t>2021-04-14</t>
  </si>
  <si>
    <t>SCCapstone-TabDab-173</t>
  </si>
  <si>
    <t>Invalid email address twice in a row when registering causes app to crash.</t>
  </si>
  <si>
    <t>square-okhttp-6631</t>
  </si>
  <si>
    <t>[Android] Fatal Exception: kotlin.KotlinNullPointerException in React-native App</t>
  </si>
  <si>
    <t>am working on React-native (v0.63.4) Android and iOS app, in which have receive the crash Fatal Exception: in Firebase Crashlytics (v10.1.0) but the kotlin is not used anywhere. Android folder having all necessary files like build.gradle, MainActivity.java all are using java. This crash was received from production version from app user.
## Device Info:
Crash occurred two times:
Type Crash Crash
-- -- --
Model HUAWEI P20 lite Samsung Galaxy On7 Prime
RAM free 1.51 GB 866.67 MB
Disk free 23.65 GB 15.75 GB
Android Version 8.0.0
Orientation Portrait Portrait
Rooted No No
Build Type arm64-v8a armeabi-v7a
## Crash Logs:
Crash log captured by Firebase Crashlytics.
## How to reproduce
am keep tracking user action via Firebase events and Clevertap Events So follow the same action step by step in Android Simulator (Android 8) but didn get any kind of crash. So it is hard to reproduce in Android Simulator.
## My Investigation
1. As came to know that nothing is wrong with my code. It might be happening with any third party library or dependencies, which is directly or indirectly using Kotlin, for this am sharing my package.json
2. have also found OkHttp footprints in my crash logs. See screenshots. OkHttp also made some major change from version 3.8.0 regarding Kotlin. So guess it can crash cause.
## My Question</t>
  </si>
  <si>
    <t>Anuken-Mindustry-5107</t>
  </si>
  <si>
    <t>Unloaders can't fill a Titanium conveyor.</t>
  </si>
  <si>
    <t>**Steps to reproduce**: *Just open sandbox world, paste this shematic and wait 20 second:
bXNjaAF4nHVUTU 6aX k29tc3T DXE0kCvHj6Frk3X9 XM FZ6i+yGATiXSr6d5J adauxA
**Link(s) to mod(s) used**: *No mods*
**(Crash) logs**: *The game don crash on this bug.*
**I have updated to the latest release (https: github.com Anuken Mindustry releases) to make sure my issue has not been fixed.**
**I have searched the closed and open issues to make sure that this problem has not already been reported.**</t>
  </si>
  <si>
    <t>Anuken-Mindustry-5106</t>
  </si>
  <si>
    <t>Unable to cargo containers/units from payload conveyors using Mega on android</t>
  </si>
  <si>
    <t>**Steps to reproduce**: Control Mega. Put the container unit on payload conveyor (it is possible), but trying to tap-hold to pick up moving container is impossible.
**Link(s) to mod(s) used**: *None.*
ve been testing it on **Lab** custom map.
**(Crash) logs**: This bug doesn crash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</si>
  <si>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JohnFai91-com.jason.kslo-15</t>
  </si>
  <si>
    <t>Fix PdfView crashing bug</t>
  </si>
  <si>
    <t>Prevents the app from crashing because of progaurd rules.</t>
  </si>
  <si>
    <t>JohnFai91-com.jason.kslo-14</t>
  </si>
  <si>
    <t>PdfView crash</t>
  </si>
  <si>
    <t>Build version: 1.0.9-beta
OS version: Android 11 (SDK 30)</t>
  </si>
  <si>
    <t>TeamNewPipe-NewPipe-6074</t>
  </si>
  <si>
    <t>No search results continue to occur on version 0.21.1</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</si>
  <si>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NewPipe
2. Enter anything in the search field
### Actual behaviour
The application crashes, no search results are shown.
### Expected behavior
Search results should be shown.
User Action: searched
Content Country: DE
Content Language: de-DE
App Language: de DE
OS: Linux Android 28</t>
  </si>
  <si>
    <t>deltachat-deltachat-android-1869</t>
  </si>
  <si>
    <t>App crashes due to switching profile tabs while items selected</t>
  </si>
  <si>
    <t>Operating System (Linux Mac Windows iOS Android): Android 10
Delta Chat Version: master
Steps to reproduce the problem:
open group profile
select some member as if you wish to delete the contact
press the Documents tab, menu is still active
press the top bar back row
the same can be done in the opposite direction, selecting document and then switching to the settings group tab, but it doesn happens if you switch to the Gallery tab, **the issue is exactly between Settings and Document tabs**</t>
  </si>
  <si>
    <t>inaturalist-react-native-inat-camera-53</t>
  </si>
  <si>
    <t>java.lang.OutOfMemoryError: inatcamera.classifier.Taxonomy.aggregateScores</t>
  </si>
  <si>
    <t>Seen on Samsung Galaxy S10e, Android 11. Not sure what the best solution is here, but guess we could at least display an error instead of letting the app crash if there not enough memory to classify images.</t>
  </si>
  <si>
    <t>2021-04-13</t>
  </si>
  <si>
    <t>inaturalist-react-native-inat-camera-50</t>
  </si>
  <si>
    <t>signal 7 (SIGBUS), code 2 (BUS_ADRERR): libtensorflowlite_jni.so</t>
  </si>
  <si>
    <t>*** *** *** *** *** *** *** *** *** *** *** *** *** *** *** ***
From Google Play Console. Not sure if there enough info here to address these signal crashes, but leaving them here in case. This one was seen on Samsung Galaxy S8, Android</t>
  </si>
  <si>
    <t>barbeau-gpstest-498</t>
  </si>
  <si>
    <t>Crash when rapidly tapping on "Share" button</t>
  </si>
  <si>
    <t>**Describe the bug**
If after getting fix you rapidly tap on the Share button, you ll see crash with:
Steps to reproduce the behavior:
1. Get fix
2. Rapidly tap on Share button (including on the same place on the screen when the share dialog pops up)
Crash with above stack trace
**App, Device and Android version:**
Samsung Galaxy S21+ Android 11 with master at https: github.com barbeau gpstest commit</t>
  </si>
  <si>
    <t>MuntashirAkon-AppManager-373</t>
  </si>
  <si>
    <t>Not showing any apps after initializing</t>
  </si>
  <si>
    <t>**Describe the bug**
After initializing, it doesn show any app on pre release app manager. However, debug version of app Manger doesn have this issue.
If applicable, add crash logs to help us figure out the problem.
Device: e.g. POCO X3 NFC
OS Version: e.g. Android 11 (Octavi OS
App Manager Version: PRE. v2.5.24
Mode: root adb no-root</t>
  </si>
  <si>
    <t>k9mail-k-9-5249</t>
  </si>
  <si>
    <t>NPE when trying to change folder settings of outbox folder</t>
  </si>
  <si>
    <t>**Describe the bug**
tried to change my folder settings for outbox folder but app crashes.
Steps to reproduce the behavior:
1. Tab on sandwich icon to open side menu
2. Tab on Manage folders
3. Tab on Outbox (2nd list item)
4. App crashes
App should show folder settings
**Environment (please complete the following information):**
K-9 Mail version: actual main (1a68adc8)
Android version: 10
FATAL EXCEPTION: main</t>
  </si>
  <si>
    <t>getsentry-sentry-java-1395</t>
  </si>
  <si>
    <t>Device's memory for Android NDK hard crashes is added on restart</t>
  </si>
  <si>
    <t>Device memory for Android NDK crashes is added on the restart, so these values are not accurate.
Ideally, sentry-native would add this to the event before writing the event to the disk, so on restart, the Android SDK enriches only with static data.</t>
  </si>
  <si>
    <t>nextcloud-android-8275</t>
  </si>
  <si>
    <t>Crash on contact, usb debugging enabled</t>
  </si>
  <si>
    <t>### Steps to reproduce
0. USB debugging connected
1. enable daily backup of contacts
2. Force update
3. Remove cable, nextcloud crashes
### Expected behaviour
sync should start, abort gracefully
### Actual behaviour
### Can you reproduce this problem on https: try.nextcloud.com?
Please create test demo account and see if this still happens there.
If yes, please open up bug report
If not, please verify server setup and ask for help on forum
### Environment data
Android version: 18.1
Device model: discovery
Stock or customized system: lineage os
Nextcloud app version: 3.15.1
Nextcloud server version:
#### Web server error log
Insert your webserver log here</t>
  </si>
  <si>
    <t>TeamNewPipe-NewPipe-6066</t>
  </si>
  <si>
    <t>(Double of #3556)
 Can't add a Channel Group in Main Page Content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</si>
  <si>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into Settings Content Content of Main Page
2. Click add to choose content for Tab
&lt;!-- If you can cause the bug to show up again reliably (and hence don have proper set of steps to give us), please still try to give as many details as possible on how you think you encountered the bug. --&gt;
### Actual behaviour
You cant select Channel Group
### Expected behavior
Add channel group as tab. don think now asking for new feature, this should be possible... maybe... :)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</si>
  <si>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Stephenklop-School-Movie-Android-App-Project-86</t>
  </si>
  <si>
    <t>App crashing for certain users when opening ticket list</t>
  </si>
  <si>
    <t>Stephenklop-School-Movie-Android-App-Project-84</t>
  </si>
  <si>
    <t>App crashing when clicking back button on update password</t>
  </si>
  <si>
    <t>De app crasht wanneer je met een ingelogd account het wachtwoord probeert te wijzigen.</t>
  </si>
  <si>
    <t>Stephenklop-School-Movie-Android-App-Project-80</t>
  </si>
  <si>
    <t>App crashing when opening ticket list</t>
  </si>
  <si>
    <t>2021-04-12</t>
  </si>
  <si>
    <t>Anuken-Mindustry-5099</t>
  </si>
  <si>
    <t>"water" in "Sand water" is not capitalized</t>
  </si>
  <si>
    <t>A, this is an issue with the bundles
water in Sand water is not capitalized, which is an inconsistency with the rest of the floor water tiles.
**Steps to reproduce**: *How you happened across the issue, and what exactly you did to make the bug happen.*
Open Editor, look at the name of Sand water
**Link(s) to mod(s) used**: *The mod repositories or zip files that are related to the issue, if applicable.*
A, this is an issue with the base game.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A, this is an issue with game bundles, which aren saved in save files.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</si>
  <si>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PojavLauncherTeam-PojavLauncher-1209</t>
  </si>
  <si>
    <t>[crash when installing/launching] &lt;when I install/launch it restarts the app and brings me back to the login screen &gt;</t>
  </si>
  <si>
    <t>cgeo-cgeo-10374</t>
  </si>
  <si>
    <t>Crash after refreshing subset of a list of caches</t>
  </si>
  <si>
    <t>&lt;!-- Fill in the following form by adding your text below the explanation comments. --&gt;
&lt;!-- You can use the preview tab above to review your issue before submitting it. --&gt;
## Bug description
&lt;!-- Enter summarized description of what the bug problem is, that you found --&gt;
From support mail:
The user refreshes filtered list of caches. If he tries to scroll through the list after refresh the app crashes
### Steps to reproduce the problem
&lt;!-- Describe step-by-step how to reproduce the problem --&gt;
Open list of many caches (scrolling needed)
Apply filter (user filtered for last update days ago)
After refresh has been completed, scroll down or up through the list
### Actual result after these steps
&lt;!-- Describe the actual issue problem behavior in detail, which happens after the steps above --&gt;
In high percentage of tries, c:geo crashes (return to main menu or dies completely)
### Expected result after these steps
&lt;!-- Describe what you expected to happen instead (correct behavior) --&gt;
Normal list functionality
## c:geo version
&lt;!-- You will find the c:geo version in c:geo Menu -&gt; About c:geo --&gt;
&lt;!-- Yes No (or describe under what conditions) --&gt;</t>
  </si>
  <si>
    <t>opensrp-opensrp-client-native-form-567</t>
  </si>
  <si>
    <t>Fix NumericDatePicker bug</t>
  </si>
  <si>
    <t>Bug in the NumericDatePicker class which sometimes causes crash when one selects date out of the range of allowed dates (min and max dates)</t>
  </si>
  <si>
    <t>MuntashirAkon-AppManager-370</t>
  </si>
  <si>
    <t>if in the poor network, APP launch will consumes very very long time. and other crash.</t>
  </si>
  <si>
    <t>OS Version: Android H2OS
App Manager Version: v2.5.21-pre v2.5.24-pre
if in the poor network,
APP launch will consumes very very long time.
Crashes randomly during use, especially when applying component rule operations
Attached below are saved Logs.</t>
  </si>
  <si>
    <t>PojavLauncherTeam-PojavLauncher-1201</t>
  </si>
  <si>
    <t>[BUG] Not Launching After Using Dev Version</t>
  </si>
  <si>
    <t>am using 6gb ram android phone and after using dev build, can launch any minecraft versions anymore cuz all need to do is to delete all the files, is there any other solutions on this?
There is no crash-report or latestlog giving us to me, and my ram is 6gb ram and allocated 3gb only</t>
  </si>
  <si>
    <t>PojavLauncherTeam-PojavLauncher-1200</t>
  </si>
  <si>
    <t>[BUG] every minecraft version not launching after using dev build</t>
  </si>
  <si>
    <t>XiangRongLin-NewPipe-preuinified-1</t>
  </si>
  <si>
    <t>NewPipe_preunified v0.21.1-legacy - Crash at start</t>
  </si>
  <si>
    <t>First of all, thank you for your support.
tried, but the app crashed as soon as it started.
Screenshots with the error report
attached (Sorry, didn can save it on txt file).</t>
  </si>
  <si>
    <t>PojavLauncherTeam-PojavLauncher-1198</t>
  </si>
  <si>
    <t>[BUG] [Solved] BOOT/BLACKSCREEN LOAD TAKES FOREVER WITH FABRIC - megane-3.1.5+1.16.5.jar</t>
  </si>
  <si>
    <t>### Describe the bug
The game wont boot or Stuck on the blacksceen when having on mods directory.
Log Directory (.minecraft logs)
cant provide any crashlog ,i dont see it crash with the mod yet.
### To Reproduce:
Indicate steps to reproduce the buggy behavior:
1. Pasting the mod on the mods folder
2. Start Pojav Launcher
3. Launch Fabric Client 1.16.5
4. Bug occurrs it wont boot anymore.
### Expected behavior:
expected to see the mojang loading screen but no.
### Screenshots or videos:
*I Will follow up videos or images.*
Device Model Vivo v11i 128
CPU architecture aarch64
Android Version 10
PojavLauncher Version Latest Release version 3.3.1.1 rel 20210206 (3.3.1.1 GPlay Version)
&lt;details&gt; context&lt; b&gt;&lt; summary&gt;
Any other fabric mods loads normally but when join the megane-3.1.5+1.16.5 mod. On the directory its breaking the game. tried adding it Alone on the mods folder still dont work.</t>
  </si>
  <si>
    <t>2021-04-11</t>
  </si>
  <si>
    <t>andOTP-andOTP-806</t>
  </si>
  <si>
    <t>App Crashes When Tapping On Scan QR Code</t>
  </si>
  <si>
    <t>#### General information
**App version:** 0.9.0-beta1
**App source:** GitHub
**Android Version:** 11
**Custom ROM:** LineageOS 18.1
#### Expected result
**What is expected?**
The app launches the QR Scanning normally.
**What does happen instead?**
The app crashes just after tapping on Scan QR Code
#### Steps to reproduce
Tap on the button.
Tap on the Scan QR Code option.
Experiment the crash.</t>
  </si>
  <si>
    <t>mitulbipin-RxMedicus-1</t>
  </si>
  <si>
    <t>RxMedicus Code Refactoring</t>
  </si>
  <si>
    <t>The PR includes fix for one of the major crash issues in UserProfile.java activity.</t>
  </si>
  <si>
    <t>uscki-Wilson-Android-220</t>
  </si>
  <si>
    <t>BB Parser crashes if an element (tag) without content is used</t>
  </si>
  <si>
    <t>API can return an element with emtpy content set, resulting in an out of bounds exception</t>
  </si>
  <si>
    <t>ultrasonic-ultrasonic-415</t>
  </si>
  <si>
    <t>App crashes when pressing the album cover in player</t>
  </si>
  <si>
    <t>## System information
Android API level: 29
Ultrasonic version name: 2.19.2-DEVELOP
Ultrasonic version code: 91
## Additional notes
Include any extra notes here. Otherwise you may remove this section.</t>
  </si>
  <si>
    <t>MuntashirAkon-AppManager-367</t>
  </si>
  <si>
    <t>can't instal apk</t>
  </si>
  <si>
    <t>**Describe the bug**
crash while trying to instal apk from mt manager
Steps to reproduce the behaviour:
1. open mt manager browser apk file
2. click the apk choose instal
3. choose Instal (Am Icon)
4. See error
It Should Working
Device: Realme 5i
OS Version: Android (10)
App Manager Version: v.2.5.20</t>
  </si>
  <si>
    <t>UniRegensburg-unsere-app-fur-die-universitat-regensburg-bib-buddy-158</t>
  </si>
  <si>
    <t>App crash with isbn retrieving</t>
  </si>
  <si>
    <t>App crashes in **ISBN search** if the author exists in different spellings, because then the format last name, first name is not necessarily true. Then the authorList has one element, which is **null**, what then leads to crash because of missing error catching.
The test was done with the ISBN: **9783150012413**
Link to related the dataset: https: portal.dnb.de opac.htm?method true&amp;query nid 118577468
or http: d-nb.info gnd 118577468
Also if the book has **multiple authors**, only the first one is taken over and not all of them, but here don know if it because there split between main and co-authors (ISBN 9780262038904).</t>
  </si>
  <si>
    <t>2021-04-10</t>
  </si>
  <si>
    <t>nextcloud-android-8265</t>
  </si>
  <si>
    <t>Just crashed</t>
  </si>
  <si>
    <t>hintofbasil-Hodl-29</t>
  </si>
  <si>
    <t>Fix app crash on coin details</t>
  </si>
  <si>
    <t>Anuken-Mindustry-5087</t>
  </si>
  <si>
    <t>Polys get stuck when rebuilding if a resource is out</t>
  </si>
  <si>
    <t>The war story, if anyone wants to hear it -):
While playing the campaign, got bad whacking while defending sector 226 (which was the first extreme base tackled so far... having only T3 units available, was really struggling during the initial capture attempts (my core got destroyed at least twice... yes, suck... -)) and only made it by suicide bombing the core, by repeatedly flying several Zenith loaded with 80 units of blast compound each into the enemy core).
So during that defense mission,
my defenses got maimed pretty badly during the last waves wouldn have made it if had not had the deeply layered defenses set up during the original conquest of the sector, where used sniping with long range turrets to destroy as much of the enemy base as possible.
Since this sector is still threatened and since dare not attack the two extinction level sectors next to it that threaten it yet (not until have at least T4 units), had hoped that building load of polys to auto-reconstruct most parts of the base while rebuild and upgrade the defenses would give me quick way to get chance of surviving the next attack. Alas, am somewhat low on phase fabric (yes, have launch pads on several sectors launching phase fabric and more to 226, but am still not that good at mass producing it). had initially built tons of RTGs, since Thorium is abundant on that map and since have some trouble keeping impact reactors happy. So the Polys start rebuilding my hinterland, while am away fixing those battered front lines. After while, go back to check progress and find all polys stuck re- building an RTG, during which they ran out of phase fabric. And instead of moving to some other reconstruction project that would not require phase fabric, they just sit there, their build beam pointed on the RTG, without progress. &gt;:-(
**The issue, in short form:**
Polys get stuck while auto-rebuilding when the block they are trying to rebuild requires resource that is currently out.
Expected behaviour: polys move on to some other reconstruction project nearby not requiring that particular resource.
Nice to have: having basic way to control the area where polys rebuild (without having to dive into writing logic -)).
**Link(s) to mod(s) used**: zero mods
**Save file**: coming soon... have to figure out where to find the campaign save game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</si>
  <si>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2021-04-09</t>
  </si>
  <si>
    <t>sschueller-peertube-android-268</t>
  </si>
  <si>
    <t>after adding a new instance thorium client crashes</t>
  </si>
  <si>
    <t>thorium crashes after added new peertube instance.
log file attached
thx for looking at it
2021-04-09-thorium crash.txt (https: github.com sschueller peertube-android files 6286233</t>
  </si>
  <si>
    <t>jellyfin-jellyfin-androidtv-812</t>
  </si>
  <si>
    <t>Changing theme crashes app in latest debug build</t>
  </si>
  <si>
    <t>**Describe the bug**
If change the theme in the settings on the fire TV app, it will crash the app.
after restart the theme is changed to the new one correctly (dark or emerald(?))
&lt;!-- Steps to reproduce the behavior: --&gt;
1. Go to settings menu
2. Click on change theme
3. app crashes
4. restart app -&gt; theme is changed
change theme without crashing the app
sorry, no idea where to find the logs on the android tv.
Crashreport was auto submitted by the app.
**System (please complete the following information):**
Fire TV 4k
Fire TV Stick 4k
Jellyfin server version: 10.7.1
app version: debug build from few days ago</t>
  </si>
  <si>
    <t>deepjavalibrary-djl-838</t>
  </si>
  <si>
    <t>PaddlePaddle ocr example crashed</t>
  </si>
  <si>
    <t>(A clear and concise description of what the bug is.)
PaddlePaddle ocr example crashed when ocr another picture
### Expected Behavior
(what the expected behavior?)
### Error Message
(Paste the complete error message, including stack trace.)
1me 35m--- Running analysis ir graph build pass 0m
1me 35m--- Running analysis ir graph clean pass 0m
1me 35m--- Running analysis ir analysis pass 0m
32m--- Running IR pass simplify with basic ops pass 0m
32m--- Running IR pass attention lstm fuse pass 0m
32m--- Running IR pass seqconv eltadd relu fuse pass 0m
32m--- Running IR pass seqpool cvm concat fuse pass 0m
32m--- Running IR pass mul lstm fuse pass 0m
32m--- Running IR pass fc gru fuse pass 0m
32m--- Running IR pass mul gru fuse pass 0m
32m--- Running IR pass seq concat fc fuse pass 0m
32m--- Running IR pass squeeze2 matmul fuse pass 0m
32m--- Running IR pass reshape2 matmul fuse pass 0m
32m--- Running IR pass flatten2 matmul fuse pass 0m</t>
  </si>
  <si>
    <t>Anuken-Mindustry-5085</t>
  </si>
  <si>
    <t>Can't download mods.</t>
  </si>
  <si>
    <t>**Steps to reproduce**: Step:1 Download any mods from the mod browser.
**Link(s) to mod(s) used**: No mods were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</si>
  <si>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Anuken-Mindustry-5083</t>
  </si>
  <si>
    <t>Crash While Playing Level 234</t>
  </si>
  <si>
    <t>Direct error window is:
crash has occurred. It has been saved....
Byte write length exceeded: 37808 32767
Unsure if the byte write length is related or not.
**Steps to reproduce**: Unable to reproduce currently
**Link(s) to mod(s) used**: DeltaNedasrtfm.zip (https: github.com Anuken Mindustry files 6279727 DeltaNedasrtfm.zip)
**Save file**: (https: github.com Anuken Mindustry files 6279704
&gt;I will reap your soul.
Best warning have ever seen
Crash Log: crash-report-04 08 2021 11 05 47.txt (https: github.com Anuken Mindustry files 6279673 crash-report-04 08 2021 11 05 47.txt)
Last Log: last log.txt (https: github.com Anuken Mindustry files 6279675 last log.txt)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</si>
  <si>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2021-04-08</t>
  </si>
  <si>
    <t>flackbash-AudioAnchor-102</t>
  </si>
  <si>
    <t>AudioAnchor becomes unresponsive when pressing play on a completed file</t>
  </si>
  <si>
    <t>This was already reported in #84 and in #96.
**Steps to reproduce:**
start the app
select completed file
After some seconds, the log output reads
And AudioAnchor becomes unresponsive or crashes.
**What ve tried so far**
Emptying the onStartCommand() method and only returning START NOT STICKY Same behavior.
Starting playback even though getDuration() such that playback is started along with the foreground service and onCompletion() is immediately called to stop the service again. Same behavior.</t>
  </si>
  <si>
    <t>PojavLauncherTeam-PojavLauncher-1187</t>
  </si>
  <si>
    <t>[BUG] crash after a while</t>
  </si>
  <si>
    <t>&lt;details&gt; &lt;summary&gt;&lt;b&gt;Read before submit&lt; b&gt;&lt; summary&gt;
Make sure there was not duplicated issues.&lt;br&gt;
Make sure you have filled this issue template, or this will get rejected.
crash after while in forge
Device Model meizu m6s 32
CPU architecture aarch64
Android Version 7.1.2
PojavLauncher Version version 3.3.1.1 rel 20210305
&lt;details&gt; context&lt; b&gt;&lt; summary&gt;
This was not at first, but now it has appeared</t>
  </si>
  <si>
    <t>Anuken-Mindustry-5076</t>
  </si>
  <si>
    <t>Legged units do not project shadows</t>
  </si>
  <si>
    <t>**Steps to reproduce**: Acquire legged unit. Best seen on Toxopids
**Link(s) to mod(s) used**: Nah
**Save file**: Any save file. (proceeds to get soul reaped) Seriously, tested on some other saves, old imported saves, new saves, essentially 10 of them.
**(Crash) logs**: No crashin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(probably, there are many</t>
  </si>
  <si>
    <t>2021-04-07</t>
  </si>
  <si>
    <t>PojavLauncherTeam-PojavLauncher-1183</t>
  </si>
  <si>
    <t>Crash Problem:when I open 1.14, it is crashing</t>
  </si>
  <si>
    <t>SCCapstone-TabDab-158</t>
  </si>
  <si>
    <t>Create Bill and Edit Menu crash app, when logged in as vendor</t>
  </si>
  <si>
    <t>SCCapstone-TabDab-155</t>
  </si>
  <si>
    <t>App crashes when camera points to certain barcodes</t>
  </si>
  <si>
    <t>App is unusable in the emulator. Keeps crashing the moment open it (after login).
The camera app works in the emulator, this app has camera permissions:
will try with my phone...</t>
  </si>
  <si>
    <t>aws-amplify-amplify-android-1273</t>
  </si>
  <si>
    <t>App Crash when trying to save item to DataStore offline</t>
  </si>
  <si>
    <t>If go offline and try to save an item the app crashes.
private fun addDevice()
val device Device.builder()...
Log.e( addDevice AddDevice error: it)
FATAL EXCEPTION: OkHttp https: ...
Caused by: DataStoreException message Failure during mutation., cause ApiException message OkHttp client request failed., cause timeout, recoverySuggestion See attached exception for more details. recoverySuggestion Check details.
Caused by: ApiException message OkHttp client request failed., cause timeout, recoverySuggestion See attached exception for more details.
Caused by: timeout</t>
  </si>
  <si>
    <t>Anuken-Mindustry-5071</t>
  </si>
  <si>
    <t xml:space="preserve">Mindustry has crashed </t>
  </si>
  <si>
    <t>Mindustry has crashed. How unfortunate.
Report this at https: github.com Anuken Mindustry issues new?labels bug&amp;template bug report.md
ArcRuntime: Error reading file: sprites sprites.atlas (internal)
ArcRuntime: Error reading file: sprites sprites.atlas (internal)
FileNotFound: sprites sprites.atlas</t>
  </si>
  <si>
    <t>2021-04-06</t>
  </si>
  <si>
    <t>SCCapstone-PokeCompanion-110</t>
  </si>
  <si>
    <t>The app crashes</t>
  </si>
  <si>
    <t>The app keeps crashing of all options of are not updated before updating pokemon. This needs to be handled.</t>
  </si>
  <si>
    <t>Anuken-Mindustry-5070</t>
  </si>
  <si>
    <t>Crashes on startup loading screen</t>
  </si>
  <si>
    <t>Windows 32bit (technically windows arm64 device, but running the 32bit version of the app)
Release build 126.2. think this is the number you re looking for. This is the Itch.io version as was never able to figure out how to use the GitHub release version
Game opens and the initial loading screen gets to about triangles into the loading bar on each side and then crashes.
**Steps to reproduce**: *How you happened across the issue, and what exactly you did to make the bug happen.*
Opened up the game. Waited. Crashed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 save file created yet.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Caused by: Couldn load dependencies of asset: contentcreate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</si>
  <si>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UniRegensburg-unsere-app-fur-die-universitat-regensburg-bib-buddy-155</t>
  </si>
  <si>
    <t>Delete book with option menu causes an app crash</t>
  </si>
  <si>
    <t>When book or multiple books are deleted with the options menu the app crashes when you try to delete another book e.g. with swipe to delete or when you want to change book. Also the selected items are still selected.</t>
  </si>
  <si>
    <t>freezy04-Runtime-Terror-1</t>
  </si>
  <si>
    <t xml:space="preserve">Firebase Null Instance </t>
  </si>
  <si>
    <t>When the user attempts to login null firebase Instance is returned resulting in an app crash</t>
  </si>
  <si>
    <t>PojavLauncherTeam-PojavLauncher-1175</t>
  </si>
  <si>
    <t xml:space="preserve">[BUG] infinite loading </t>
  </si>
  <si>
    <t>When load forge it has an infinite loading screen after selecting play. use version 1.0 of pojavlauncher because when use the latest it crashes. following the tutorial made by LAZZA MCPE can do every other version except for forge please help me
use unc0ver jailbreak</t>
  </si>
  <si>
    <t>SCCapstone-TabDab-154</t>
  </si>
  <si>
    <t>The app crashes while scanning certain QR codes</t>
  </si>
  <si>
    <t>am scanning random generated QR code for scanning. Let me know if there are specific ways to test the scanning functionality.</t>
  </si>
  <si>
    <t>TeamNewPipe-NewPipe-6012</t>
  </si>
  <si>
    <t>v21.0 causing infinite Guru Meditation crash loop</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</si>
  <si>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Newpipe
2. Press on Any video or videos
3. Wait 1-10 minutes for instability
&lt;!-- If you can cause the bug to show up again reliably (and hence don have proper set of steps to give us), please still try to give as many details as possible on how you think you encountered the bug. --&gt;
1. Go to Newpipe
2. Press on Any video or videos
3. Wait 1-10 minutes for instability
### Actual behaviour
&lt;!-- Tell us what happens with the steps given above. --&gt;
LG V20: Android 8.0.0
Updated Newpipe per Newpipe notification about ten days ago. System has been unstable ever since.</t>
  </si>
  <si>
    <t>Landry333-Big-Owl-278</t>
  </si>
  <si>
    <t>BUG-278: Accepting invitation request crashes the app</t>
  </si>
  <si>
    <t>### Related Issue(s):
### Relevant File(s):
### Describe the bug:
When accepting group invitation request, the app will crash.
The reason behind this is because, in the database, the memberGroupIdList is null instead of empty when user is new to the app. So, when the app tries to add the user to group, it will call something like null.add(group) which crashes the app.
### To Reproduce:
Steps to reproduce the behavior:
1. Create new user (let call them user 1)
2. From another account (user 2), invite user into its group
3. From user account, accept their invitation
4. App crashes
### Expected behavior
User should be added to user group successfully.</t>
  </si>
  <si>
    <t>2021-04-05</t>
  </si>
  <si>
    <t>Anuken-Mindustry-5064</t>
  </si>
  <si>
    <t>Memory leak MP</t>
  </si>
  <si>
    <t>**Steps to reproduce**: *Play the game with friend. am the client, other player host. Game freezes after sometime. Game using 16GB ram. PC runs out of memory. Happened twice. map: Nuclear Production Complex.
Also noticed game state is different on both client and host, specifically items in pipes and belts. had couple of mixups, and after cleaning for client it all looks good, while the other client still sees mixed item on belts or liquids in pipes. (might be related)
**Link(s) to mod(s) used**: *no mods*
**Save file**: (https: github.com Anuken Mindustry files 6260699
If you remove the line above without reading it properly and understanding what it means, will reap your soul. Even if you re playing on someone server, you can still save the game to slot.
**(Crash) logs**: *NO crash logs available*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</si>
  <si>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ankidroid-Anki-Android-8487</t>
  </si>
  <si>
    <t>[Bug] Regression CustomStudyDialog filtering on tags will result in a crash</t>
  </si>
  <si>
    <t>think this #8341 introduced bug in CustomStudyDialog it removed the setter for the listener (which is great, since we can relay on it to be there after configuration change) but it assumed the fact that getActivity() would return an activity that does implement the interface.
In the case of CustomStudyDialog the interface was implemented on the dialog, not on its hosing activity
###### Reproduction Steps
1. Open custom study dialog
2. select tag filtering
3. have fun in the tag dialog
4. once you click on ok, it crashes
###### Expected Result
###### Actual Result</t>
  </si>
  <si>
    <t>material-components-material-components-android-2164</t>
  </si>
  <si>
    <t>Error inflating class com.google.android.material.tabs.TabLayout, The style on this component requires your app theme to be Theme.AppCompat (or a descendant).</t>
  </si>
  <si>
    <t>**Expected behavior:** App does not crash.
if &amp;&amp; nextScreen null)
**Android API version:** 29</t>
  </si>
  <si>
    <t>nextcloud-android-8244</t>
  </si>
  <si>
    <t>Files App Crashes Upon Opening an Image Shared on Team Conversation</t>
  </si>
  <si>
    <t>### Steps to reproduce
1. Open Talk,
2. Go to conversation,
3. Tap on an image shared earlier in the group conversation.
### Expected behaviour
The image should simply open up.
### Actual behaviour
Files app crashes!
### Environment data
Android version: 11
Device model: Google Pixel 3XL
Stock or customized system: Stock
Nextcloud Files app version: v3.15.0, build 4804
Nextcloud server version: 21.0.0
#### error log from the app
************ CAUSE OF ERROR ************
************ APP INFORMATION ************
Build flavor: gplay
************ DEVICE INFORMATION ************
************ FIRMWARE ************</t>
  </si>
  <si>
    <t>TeamNewPipe-NewPipe-6010</t>
  </si>
  <si>
    <t>Crash when opening some links from comments.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</si>
  <si>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Example video: https: www.youtube.com watch?v Ws0npSEwEOg
Go to the comment section and tap to the link inside comment and the app will crash. It seems like it specific to og-sg.net can reproduce with other links. The same link from the description works as it should.
&lt;!-- If you can cause the bug to show up again reliably (and hence don have proper set of steps to give us), please still try to give as many details as possible on how you think you encountered the bug. --&gt;
### Actual behaviour
The app will crash.
### Expected behavior
The app should ask to choose an application to open the link.
### Screenshots Screen recordings
User Action: ui error
Request: ACRA report
Content Country: HU</t>
  </si>
  <si>
    <t>SCCapstone-PokeCompanion-103</t>
  </si>
  <si>
    <t>Cannot edit pokemon values</t>
  </si>
  <si>
    <t>When try to edit the values for an existing pokemon the number reverts back, eventually the whole page crashes away:
The values cannot be changed:</t>
  </si>
  <si>
    <t>PojavLauncherTeam-PojavLauncher-1168</t>
  </si>
  <si>
    <t>[BUG] pojav crashing on the latest Google Play release</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</si>
  <si>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Whenever click play the pojavlauncher crashes
**Add log file if you want to see your bug fix**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expected to work properly
### Screenshots or videos:
*Upload here screenshots or videos of the buggy behavior, if possible.*
Device Model Samsung galaxy A30s
CPU architecture aarch64</t>
  </si>
  <si>
    <t>indomie858-app-A-161</t>
  </si>
  <si>
    <t>Added null location check to PlaceViewModel</t>
  </si>
  <si>
    <t>This should prevent the app from crashing due to null pointer exception when clicking on category
See issue #156</t>
  </si>
  <si>
    <t>2021-04-04</t>
  </si>
  <si>
    <t>ankidroid-Anki-Android-8467</t>
  </si>
  <si>
    <t>[Bug] Long pressing a card below the end of the initial ListView crashes</t>
  </si>
  <si>
    <t>###### Reproduction Steps
1. Go to card browser.
2. Long press on card to select it.
3. After the card is selected, long press again.
4. Notice that the app crashes.
###### Expected Result
App should not crash.
###### Actual Result
The app crashes. Here are the logs:
have searched for similar existing issues here and on the user forum
(Optional) have confirmed the issue is not resolved in the latest alpha release instructions (https: docs.ankidroid.org</t>
  </si>
  <si>
    <t>CMPUT301W21T12-WiseTrack-104</t>
  </si>
  <si>
    <t>Experiment Search - Whitespace Error</t>
  </si>
  <si>
    <t>#### Steps to reproduce the issue
1. Go to Search for Experiments
2. Input single space into the search bar
3. Press the search button
4. App will crash
#### What the expected result?
Search results should be returned
#### What the actual result?
#### Additional details screenshot</t>
  </si>
  <si>
    <t>2021-04-03</t>
  </si>
  <si>
    <t>ankidroid-Anki-Android-8459</t>
  </si>
  <si>
    <t>[Bug] 2.14.6 - Android 11 - onRenderProcessGone triggered when app is in background</t>
  </si>
  <si>
    <t>###### Reproduction Steps
1. Open AnkiDroid
2. Open card
3. Move AnkiDroid to background
3. Do something which causes the WebView to OOM Discord Video, open camera, etc...
###### Expected Result
We only show the toast when the app is visible
###### Actual Result
AnkiDroid shows toast: the Fatal Error: WebView renderer crashed. Cause: %s message
###### Debug info
AnkiDroid Version 2.14.6
Android Version 11
Crash Reports Enabled true
have searched for similar existing issues here and on the user forum
(Optional) have confirmed the issue is not resolved in the latest alpha release instructions (https: docs.ankidroid.org</t>
  </si>
  <si>
    <t>PojavLauncherTeam-PojavLauncher-1159</t>
  </si>
  <si>
    <t>[BUG] black sky when using shaders on 32bits device</t>
  </si>
  <si>
    <t>love the shader pack but bug turns the sky into black void in any 32bits device
&lt;details&gt; &lt;summary&gt;&lt;b&gt;Read before submit&lt; b&gt;&lt; summary&gt;
Make sure there was not duplicated issues.&lt;br&gt;
Make sure you have filled this issue template, or this will get rejected.
Bug about the shaders on 32bits device
### Describe the bug
clear and concise description of what the bug is.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2. Turn on the shaders
### Expected behavior:
expected that would be no bug but when turn on the shader the sky turns black and in minute it crashes the game
### Screenshots or videos:
*Upload here screenshots or videos of the buggy behavior, if possible.*</t>
  </si>
  <si>
    <t>OpenTracksApp-OpenTracks-696</t>
  </si>
  <si>
    <t>Crash in ChartFragment</t>
  </si>
  <si>
    <t>Found while testing #680, but not related to changes in #680.
don know how to exactly reproduce this failure, but guess that the ChartFragment is paused and then resumed.
The resume will trigger loading the data via TrackDataHub, but processing might not take place as all methods check if (isResumed())
And therefore clearTrackPoints() might not be executing the data cleanup in ChartFragment.
And then we try to add old TrackPoints again to the TrackStatistics.
And may lead to the crash.
Feels like race condition.
add logcat output
OS: e.g. LineageOS 15.1
Version e.g. v3.2.4</t>
  </si>
  <si>
    <t>OpenTracksApp-OpenTracks-694</t>
  </si>
  <si>
    <t>Auto export weird bug</t>
  </si>
  <si>
    <t>**Describe the bug**
Read To Reproduce.
1. Go to Settings.
2. Set Track export directory
3. Set Instant post-workout export option True).
4. Unset Track export directory Now, still is True but disabled (gray out).
5. Record Track, stop it OT crashes.</t>
  </si>
  <si>
    <t>avluis-Hentoid-781</t>
  </si>
  <si>
    <t>Stabilize the app</t>
  </si>
  <si>
    <t>The app lags whenever you delete lots of titles all at once and not all are deleted, because it crashes. Also both delete buttons don work properly as they also lag when you press on them you need to press more than once to delete something. And when you delete using swipe action sometimes the title stays on the background even though it was deleted. Please try to stabilize the app with the next update on these problems.</t>
  </si>
  <si>
    <t>PojavLauncherTeam-PojavLauncher-1156</t>
  </si>
  <si>
    <t>[BUG] Game instantly crashes when pressing F3+ESC button!</t>
  </si>
  <si>
    <t>&lt;it crashed&gt; &lt;I was just testing world edit and then when pressed the shortcut it instantly crashes&gt;
### Describe the bug
clear and concise description of what the bug is.
And this is latest log:
### To Reproduce:
Indicate steps to reproduce the buggy behavior:
1. Start PojavLauncher
... *(The crash log says render issue, think restarting and doing it again would result in crash.)*
### Expected behavior:
expected invisible menu ...
Oppo A12 (4 64)
Android Version (pie)
Version 3.3.1.1 rel 20210321</t>
  </si>
  <si>
    <t>Anuken-Mindustry-5051</t>
  </si>
  <si>
    <t>Can't zoom in/out when holding a schematic</t>
  </si>
  <si>
    <t>126.2, but this has been going on for long time. just keep forgetting.
You can zoom in out with the middle-mouse wheel. However you can do this when you re holding schematic or you copy blocks for schematic. You can however still zoom in out when holding building that isn for schematic.
**Steps to reproduce**: *How you happened across the issue, and what exactly you did to make the bug happen.*
Click on building on the right GUI but don place it.
Move the middle-mouse button and you ll see you can zoom in out.
Middle-click building on the map.
Again move the middle-mouse button and you ll see you can zoom in out.
The above steps were for clarification. Now for the actual bug:
1a. Either select region containing buildings with the select region key. The save schematic button will now be visible. OR
1b. Open the saved schematics menu click schematic as if you intend to place it down (but don place it).
2. You should see schematic highlight ready to place and build. Don place it!
3. Move the middle-mouse wheel to zoom. You can zoom. This is the bug.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This bug affects everywhere. It doesn matter the save file.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</si>
  <si>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permissions-dispatcher-PermissionsDispatcher-723</t>
  </si>
  <si>
    <t>Application crash after sending it to background (process kill)</t>
  </si>
  <si>
    <t>found problem when system permission dialog appears and we put app to the background.
Code snippet for fragment (for activity is same behaviour):
class TestFragment Fragment()
private lateinit var
override fun onAttach(context: Context)
override fun onViewCreated(view: View, savedInstanceState: Bundle?)
App does not crash
Permissions Dispatcher version 4.8.0 and Permissions Dispatcher KTX version 1.0.4
Android 29, 30
## Reproducible steps
1. To make it easier to reproduce this bug, turn on Don keep activities in developer options
2. Run the app with activity or fragment with permission
3. When pop up asking about permission will appear, send app to background
4. Return to the app
Thank you for the help in advance.</t>
  </si>
  <si>
    <t>2021-04-02</t>
  </si>
  <si>
    <t>Anuken-Mindustry-5048</t>
  </si>
  <si>
    <t>A different mass driver issue</t>
  </si>
  <si>
    <t>126.3 of steam
If there are multiple mass drivers shooting in chain into one receiver and for whatever reason one of the drivers gets depowered the entire chain stops shooting. In the image below (and save file) if you disconnect the middle mass driver the chain will continue shooting. deleted and rebuilt the chain and now if disconnect the far rightmost driver the chain will still continue shooting. It is very inconsistent, but the majority of the time the drivers all just stop shooting.
**Steps to reproduce**: *How you happened across the issue, and what exactly you did to make the bug happen.*
Setup multiple mass drivers shooting into one driver with incinerators voids. Once everything is running depower one mass driver and watch all the drivers stop shooting. If it continues shooting repower that driver and DC different one.
**Link(s) to mod(s) used**: *The mod repositories or zip files that are related to the issue, if applicable.*
**Save file**: *The (zipped) save file you were playing on when the bug happened.
If you remove the line above without reading it properly and understanding what it means, will reap your soul. Even if you re playing on someone server, you can still save the game to slot.
It hath been removethed.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</si>
  <si>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nextcloud-android-8231</t>
  </si>
  <si>
    <t>Crash updating AutoUpload settings after having moved folder</t>
  </si>
  <si>
    <t>Below crash report happened after having reorganised some folders related to auto upload (using the web UI) by moving folders to parent folder and trying to reflect this in the AutoUpload settings.
chose an AutoUpload rule and chose to set the destination folder and navigated to the folder which were now empty. First the previous contents were shown and the application seemed to attempt to refresh the contents showing the busy spinner but then crashed.
************ CAUSE OF ERROR ************
************ APP INFORMATION ************
Build flavor: generic
************ DEVICE INFORMATION ************
************ FIRMWARE ************</t>
  </si>
  <si>
    <t>mohyghb-MoClock-1</t>
  </si>
  <si>
    <t>Timer crashes</t>
  </si>
  <si>
    <t>when it gets to zero the app crashes</t>
  </si>
  <si>
    <t>CJohnson19-foodle-25</t>
  </si>
  <si>
    <t>Cooking a recipe in `SearchActivity` crashed app</t>
  </si>
  <si>
    <t>2021-04-01</t>
  </si>
  <si>
    <t>PojavLauncherTeam-PojavLauncher-1148</t>
  </si>
  <si>
    <t xml:space="preserve">[BUG] Launching forge 1.12.2 with decocraft. Minecraft crashes. </t>
  </si>
  <si>
    <t>PojavLauncherTeam-PojavLauncher-1147</t>
  </si>
  <si>
    <t>[BUG] The game crashes with Scannable mod</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</si>
  <si>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The game crashes when use Scannable to scan blocks
**Add log file if you want to see your bug fixed !**
### To Reproduce:
Indicate steps to reproduce the buggy behavior:
1. Start PojavLauncher
2.Start 1.16.4 forge 35.1.37
3.Use the scanner with Scanner Module: Rare Ores in the game
### Expected behavior:
Display scan results normally
### Screenshots or videos:
Device Model Huawei Honor play3
CPU architecture aarch64
PojavLauncher Version 3.3.1.1 rel 20210330
&lt;details&gt; context&lt; b&gt;&lt; summary&gt;
Add any other context about the problem here.</t>
  </si>
  <si>
    <t>PojavLauncherTeam-PojavLauncher-1143</t>
  </si>
  <si>
    <t>[BUG]When I run forge 1.12.2 with decocraft. Then minecraft crashes. You can fix it!</t>
  </si>
  <si>
    <t>tradle-react-native-udp-159</t>
  </si>
  <si>
    <t>Detox 18 and react-native 0.64.0 compatibility</t>
  </si>
  <si>
    <t>When running gradlew assembleDebug assembleAndroidTest with detox and react-native 0.64.0 installed, the building process crashes due to minSdkVersion too low.
In particular, the lowest required minSdkVersion should be 18 or 21
## Current behavior
The command gradlew assembleDebug assembleAndroidTest crashes.
## Expected behavior
The command gradlew assembleDebug assembleAndroidTest should not crash.
If applicable, add screenshots to help explain your problem.
## Relevant information</t>
  </si>
  <si>
    <t>Anuken-Mindustry-5039</t>
  </si>
  <si>
    <t>so, my core just keeps animating</t>
  </si>
  <si>
    <t>my core keeps animating the spawn thing
**Steps to reproduce**: *How you happened across the issue, and what exactly you did to make the bug happen.*
idk, it just does it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.msav saves dont upload hmm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</si>
  <si>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hauke96-GeoNotes-30</t>
  </si>
  <si>
    <t>Crash after rotating twice</t>
  </si>
  <si>
    <t>1. Rotate the device twice
2. Tap on the map to create note
Now the app crashed for reason don know yet.</t>
  </si>
  <si>
    <t>2021-03-31</t>
  </si>
  <si>
    <t>microg-GmsCore-1431</t>
  </si>
  <si>
    <t>No sound in latest lineage+microg for harpia</t>
  </si>
  <si>
    <t>**Describe the bug**
The latest OTA update broke sound in every application. Even in system settings, no sound is reproduced either through the speakers or using headphone. Some applications like metronome crash and others say they can reproduce sound
Steps to reproduce the behavior:
1. You have perfectly working Moto G4 Play (harpia) using lineage+microg 17.1-20210201 (https: harpia
2. Update the system to lineage+microg 17.1-20210328 (https: harpia
3. Sound is gone
Android Version: 10
Custom ROM: LineageOS 17.1
tried to revert to the previous build, but then couldn even unlock the phone that something crashed
**Please remove the latest OTA update as soon as possible**
tried to talk to the people behind lineage+microg, but it extremely difficult to find any contact. This is maybe not the proper place to talk about this, but hope you guys know how to contact them</t>
  </si>
  <si>
    <t>Rosemoe-sora-editor-41</t>
  </si>
  <si>
    <t xml:space="preserve">Enabling Samsung Keyboard's suggestions option makes the Editor crash. </t>
  </si>
  <si>
    <t>when open the editor for the first time, everything is fine,
but once click on the editor to open the keyboard, it suddenly becomes red. that red color is being used in color.xml in my app as
can you fix it please, it so annoying.</t>
  </si>
  <si>
    <t>nextcloud-android-8226</t>
  </si>
  <si>
    <t>App kees crashing after enabling syncing of photos</t>
  </si>
  <si>
    <t>microsoft-appcenter-sdk-android-1523</t>
  </si>
  <si>
    <t>App crashes on clicking download in release + minified buiilds</t>
  </si>
  <si>
    <t>The app crashes consistently when the user goes to background just before the apk download starts. There is no way from recovering this error when the update is mandatory.
The crash has occurred 684 times on the app affecting more than 200 users
Please describe the issue you are facing using the SDK.
### **Repro Steps**
1. Install old version with appcenter sdk 4.1.1, with following build config
proguardFiles ), proguard-rules.pro
2. Distribute new version with same config
3. When the dialog appears for update click download
4. Clicking download crashes the.
1. Which SDK version are you using?
2. Which OS version did you experience the issue on?
Android to Android 10
3. What device version did you see this error on? Were you using an emulator or physical device?
-Happening on all devices
4. What third party libraries are you using?
has no relation
Fatal Exception: An error occurred while executing doInBackground()
Caused by Verifier rejected class m.j.a.n.j.c.c: java.lang.Object failed to verify: java.lang.Object ): 0x6F expected to be within catch-all for an instruction where monitor is held (declaration of m.j.a.n.j.c.c appears in base.apk)</t>
  </si>
  <si>
    <t>TeamNewPipe-NewPipe-5968</t>
  </si>
  <si>
    <t>App Crashes when no videos in last played and user interacts with playlistController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</si>
  <si>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1.Open the app
2. Watch any video
3. Click on History in navigation pane
4.Clear watch history by clicking on dots in top right corner
is still visible!! interact with it to see the magic (click on Play All button)
&lt;!-- If you can cause the bug to show up again reliably (and hence don have proper set of steps to give us), please still try to give as many details as possible on how you think you encountered the bug. --&gt;
### Actual behaviour
&lt;!-- Tell us what happens with the steps given above. --&gt;
App crashed (TT)
### Expected behavior
&lt;!-- Tell us what you expect to happen. --&gt;</t>
  </si>
  <si>
    <t>Anuken-Mindustry-5035</t>
  </si>
  <si>
    <t>Can't spawn on steam invite multiplayer game</t>
  </si>
  <si>
    <t>**Steps to reproduce**: it happen only if joined my friend through steam invites, the problem only occur on the client and it also happening on my friend when my friend joined me
**Link(s) to mod(s) used**: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</si>
  <si>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prebid-prebid-mobile-android-249</t>
  </si>
  <si>
    <t>ConcurrentModificationException in Util line 530</t>
  </si>
  <si>
    <t>**Describe the bug**
on line 530 in Util
Unfortunately we don have the steps to reproduce the issue only the stackstrace.
The app does not crash.</t>
  </si>
  <si>
    <t>prebid-prebid-mobile-android-248</t>
  </si>
  <si>
    <t>NullPointerException in PrebidServerAdapter line 237</t>
  </si>
  <si>
    <t>**Describe the bug**
on line 237 in
Unfortunately we don have the steps to reproduce the issue only the stackstrace.
The app does not crash.
My guess is this place can cause the crash:
if (line 68), but currently not sure how getAuctionId can return null.
Attempt to read from field java.lang.String n2.e.a.s$a.d on null object reference</t>
  </si>
  <si>
    <t>material-components-material-components-android-2158</t>
  </si>
  <si>
    <t>[MaterialCalendarGridView] NullPointerException in onDraw in 1.3.0</t>
  </si>
  <si>
    <t>don have steps to reproduce, but It occurred on different devices with different android versions. Maybe there is trick with language, most users are using fr
**Expected behavior:** expect the app will not crash
private fun DateTime, to: DateTime, onSubmit: (DateTime, DateTime) -&gt; Unit)
val dialog datePicker.build()
**Android API versions:** 29, 28, 27, 26
**Material Library version:** 1.3.0
Samsung Galaxy S7
Samsung Galaxy S7 edge
Samsung Galaxy A41
Samsung Galaxy Note 10
Samsung Galaxy S9
going to try the latest release 1.4.0-alpha01 of the library. But can reproduce this issue by myself, so the only way is to receive crash information from Firebase, it painful. Maybe someone faced the same issue, will be thankful for any help.</t>
  </si>
  <si>
    <t>Anuken-Mindustry-5029</t>
  </si>
  <si>
    <t>ParticleWeather does not use Time.delta for push force.</t>
  </si>
  <si>
    <t>126.1, but hasn been changed since October of 2020.
ParticleWeather does not use Time.delta when pushing entities, meaning if you slow down time or speed it up, the unit will be pushed at the same speed.
**Steps to reproduce**: *How you happened across the issue, and what exactly you did to make the bug happen.*
Install the mod sk7725 timecontrol modify the time value, start sporestorm (This can be done via weather spawner from testers (https: github.com sk7725 testers)), modify the hitSize of the player unit to have the pushing around be visible, respawn, and watch as the speed of movement is not affected by Time.delta whatsoever.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Not applicable, this is mechanic, not block unit data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</si>
  <si>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TeamNewPipe-NewPipe-5963</t>
  </si>
  <si>
    <t>Fix display of channel details when it has no videos</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</si>
  <si>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in do not throw emptyStateView error if no videos are present as there will be header in list which shows channel metadata and thus should be visible to user as expected by issue fix, also when there is no video the playlistController is hidden to prevent the app crash
showEmptySpace() hides all the views in list including header when there is some error so it should be not called when there is header in the list, so changes are done accordingly in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On the website the APK can be found by going to the Checks tab below the title and then on artifacts on the right.
#### Due diligence
read the contribution guidelines (https: github.com TeamNewPipe NewPipe blob HEAD .github CONTRIBUTING.md).</t>
  </si>
  <si>
    <t>PojavLauncherTeam-PojavLauncher-1136</t>
  </si>
  <si>
    <t>The update _ libs _ mesa _ test version crashed.</t>
  </si>
  <si>
    <t>--------- beggining with launcher debug
--------- beginning of system
--------- beginning of crash
--------- beginning of main
unused DT entry:
has unsupported flags DT FLAGS
(ignoring unsupported flags)
unused DT entry:
has unsupported flags DT FLAGS
(ignoring unsupported flags)
unused DT entry:
0xf arg 0x33c0) (ignoring)
0x81 (ignoring unsupported flags)
unused DT entry:
has unsupported flags DT FLAGS
(ignoring unsupported flags)
unused DT entry:
has unsupported flags DT FLAGS
(ignoring unsupported flags)
0x81 (ignoring unsupported flags)</t>
  </si>
  <si>
    <t>2021-03-30</t>
  </si>
  <si>
    <t>TeamNewPipe-NewPipe-5962</t>
  </si>
  <si>
    <t>App crashed - log attached - UI buttons went to the top of the screen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</si>
  <si>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&lt;!-- If you can cause the bug to show up again reliably (and hence don have proper set of steps to give us), please still try to give as many details as possible on how you think you encountered the bug. --&gt;
### Actual behaviour
&lt;!-- Tell us what happens with the steps given above. --&gt;
This happened out of nowhere.
### Expected behavior
&lt;!-- Tell us what you expect to happen. --&gt;
Should not happen.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</si>
  <si>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popcorn-official-popcorn-android-746</t>
  </si>
  <si>
    <t>App crash when it tries to look for update</t>
  </si>
  <si>
    <t>## Describe the bug
The app crashes on its own when opened. was working normally just second before
## To Reproduce
Not sure how it can be reproduced
## Expected behavior
app should not crash and open normally
### INITIAL Crash logs:
### Subsequent crash logcat
## Smartphone (please complete the following information):
Device: OnePlus 6T
OS: OxygenOS 10.3.9
## Additional context
The crash happens when the app is left ideal for some time and happens on every app start try after that, and keeps happening till the app data is cleared. According to the logcat, it happens when the app tries to look for update. ve not investigated the code properly to find the root cause, just looking at the logs, and looked up the error on google, and came across this: https: stackoverflow.com questions 48828698 The answer provided in this thread is already implemented in the app, so not sure what happened.</t>
  </si>
  <si>
    <t>GoogleCloudPlatform-fda-mystudies-3423</t>
  </si>
  <si>
    <t>[Android] Fetal kick counter activity &gt; App is crashing for the following scenario</t>
  </si>
  <si>
    <t>1. Configure study with Fetal kick counter activity
2. Launch Publish updates
3. In mobile join that particular study
4. Click on Fetal kick counter activity
5. Enter the total number of kick count
6. Click on Edit on the displayed popup
7. Remove the number of kick counts
8. Click on the Back button Next button and observe
AR App is getting crashed
ER It should display validation message to enter the value if the user clicks on Next button</t>
  </si>
  <si>
    <t>square-okhttp-6610</t>
  </si>
  <si>
    <t>Crash: Fatal Exception: java.net.UnknownHostException</t>
  </si>
  <si>
    <t>using okhttp3:3.9.0 retrofit:2.9.0 in my project.
Recently noticed the following crash in firebase crashlytics (I wasn able to reproduce it).
It happens on main flow in my app and didn find any solution, please advise.
Unable to resolve host xxx.example.com No address associated with hostname
android getaddrinfo failed: EAI NODATA (No address associated with hostname)</t>
  </si>
  <si>
    <t>PojavLauncherTeam-PojavLauncher-1134</t>
  </si>
  <si>
    <t>[BUG] 1.8.9 upon launching, the game crashed.</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</si>
  <si>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Upon launching the game, the game crashed.
similar to #974
**Add log file if you want to see your bug fixed !**
### To Reproduce:
Indicate steps to reproduce the buggy behavior:
1. Start PojavLauncher
3. Wait for it to launch the game
### Expected behavior:
expected it would launch the game perfectly fine
### Screenshots or videos:
Device Model Infinix hot 10 play (x688c)
CPU architecture ARMv7
Android Version 10
PojavLauncher Version latest release and the play store version
&lt;details&gt; context&lt; b&gt;&lt; summary&gt;</t>
  </si>
  <si>
    <t>HBiSoft-HBRecorder-60</t>
  </si>
  <si>
    <t>The app is crashing with this exception.</t>
  </si>
  <si>
    <t>**Describe the bug**
The crash is on Crashlytics
**Can it be reproduced in demo app**
Xiaomi Mi A2
SDK version: 30</t>
  </si>
  <si>
    <t>2021-03-29</t>
  </si>
  <si>
    <t>LawnchairLauncher-lawnchair-2115</t>
  </si>
  <si>
    <t>Lawnchair 11 crash on OneUI 3.1</t>
  </si>
  <si>
    <t>S21 Ultra 5G (SM-G998B) had tested it on but force closes on launch</t>
  </si>
  <si>
    <t>crux-lab-sectioned-recycler-view-11</t>
  </si>
  <si>
    <t>Header issue : java.lang.IllegalStateException: The specified child already has a parent. You must call removeView() on the child's parent first.</t>
  </si>
  <si>
    <t>create header view holder in such way:
public AisleHeaderHolder parent)
View view aisle header, parent, false)
and got sometimes such crash, any idea how to resolve it</t>
  </si>
  <si>
    <t>Anuken-Mindustry-5018</t>
  </si>
  <si>
    <t>Ok so i got a problem on mods</t>
  </si>
  <si>
    <t>TeamNewPipe-NewPipe-5947</t>
  </si>
  <si>
    <t>Crash at very early startup, looks like unable to get cache dir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</si>
  <si>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Install NewPipe from apk in Github releases
2. Start NewPipe
### Actual behaviour
When starting the app, the phone appears to freeze. No UI elements are drawn. Swiping to change apps works and the app can then be killed.
### Expected behavior
like for NewPipe to start and be able to be used normally.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NewPipe does not initialize enough to get to crash report dialog.
Adb logcat: newpipe-crash.log (https: github.com TeamNewPipe NewPipe files 6218314 newpipe-crash.log)</t>
  </si>
  <si>
    <t>2021-03-28</t>
  </si>
  <si>
    <t>PojavLauncherTeam-PojavLauncher-1127</t>
  </si>
  <si>
    <t>[BUG] Newest dev build crashes</t>
  </si>
  <si>
    <t>Newest dev build with Mesa crashes on launch
### To Reproduce:
Indicate steps to reproduce the buggy behavior:
1. Download newest dev build (Missing
2. Start Pojavlauncher
3. Open any version (I tried 1.16.3)
4. Wait few seconds
### Expected behavior:
expected it to launch, and it didn even go to the Mojang screen
Device Model Samsung Galaxy Tab s5e
CPU architecture AARCH64
Android Version 10
PojavLauncher Version Latest development build</t>
  </si>
  <si>
    <t>nextcloud-android-8218</t>
  </si>
  <si>
    <t xml:space="preserve">Android 11 auto upload crash </t>
  </si>
  <si>
    <t>### Steps to reproduce
1. Set up auto upload
2. Wait for it to crash (file conflict dialog is shown, But this was with clean directory to upload to
### Expected behaviour
Tell us what should happen
upload without crashing
### Actual behaviour
Tell us what happens
### Can you reproduce this problem on https: try.nextcloud.com?
Please create test demo account and see if this still happens there.
If yes, please open up bug report
If not, please verify server setup and ask for help on forum
************ CAUSE OF ERROR ************
************ APP INFORMATION ************
Build flavor: generic
************ DEVICE INFORMATION ************
************ FIRMWARE ************
### Environment data
Stock or customized system:
Nextcloud app version:</t>
  </si>
  <si>
    <t>PojavLauncherTeam-PojavLauncher-1126</t>
  </si>
  <si>
    <t>[BUG] Game randomly closes while playing, no crash is reported</t>
  </si>
  <si>
    <t>### Describe the bug
While playing the game and actually inside server, PojavLauncher abruptly closed without Minecraft reporting crash.
Sadly, the game logs don display crash, so my logs wouldn be helpful in this case.
### To Reproduce:
Indicate steps to reproduce the buggy behavior:
1. Start PojavLauncher
2. Log in using an online account (have not tried to repro with an offline account)
3. Launch 1.16.5 with Fabric and OptiFabric and OptiFine (have not tried to repro with other versions)
4. Join multiplayer survival server that is vanilla with data packs (have not tried to repro with public servers or local worlds)
5. While playing, the PojavLauncher will close after some minutes.
### Expected behavior:
expected PojavLauncher not to close so could continue to enjoy playing with my friend.
### Screenshots or videos:
Once figure out how to record my phone, will try to record this for the bug report.
Device Model Moto g7 Power
CPU architecture aarch64
Android Version 10
PojavLauncher Version Latest Release
&lt;details&gt; context&lt; b&gt;&lt; summary&gt;</t>
  </si>
  <si>
    <t>TeamNewPipe-NewPipe-5941</t>
  </si>
  <si>
    <t>Rotation crash on „Video not available“ page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</si>
  <si>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video that not available (invalid URL private video whatever)
2. Rotate the screen by 90
&lt;!-- If you can cause the bug to show up again reliably (and hence don have proper set of steps to give us), please still try to give as many details as possible on how you think you encountered the bug. --&gt;
### Actual behaviour
&lt;!-- Tell us what happens with the steps given above. --&gt;
NewPipe throws an UI error
### Expected behavior
&lt;!-- Tell us what you expect to happen. --&gt;
Just rotate the page by 90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</si>
  <si>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cgeo-cgeo-10281</t>
  </si>
  <si>
    <t>cgeo crashes when opening live map</t>
  </si>
  <si>
    <t>cgeo keeps crashing when opening live map
(Individual route was set before upgrading to newest nightly)
Caused by: Binder invocation to an incorrect interface</t>
  </si>
  <si>
    <t>PojavLauncherTeam-PojavLauncher-1118</t>
  </si>
  <si>
    <t>[BUG] 当我使用最新版本时游戏将崩溃https://github.com/PojavLauncherTeam/PojavLauncher/actions/runs/693439875</t>
  </si>
  <si>
    <t>Device Model e.g. redmi note 64
CPU architecture e.g. aarch64
Android Version e.g. 10
PojavLauncher Version e.g Latest Release version 3.3.1.1 rel 20210327
can upload the file because of the network problem.
--------- beggining with launcher debug
--------- beginning of system
--------- beginning of crash
--------- beginning of main
unused DT entry:
has unsupported flags DT FLAGS
(ignoring unsupported flags)
unused DT entry:
DT RPATH (type 0xf arg 0x2196) (ignoring)
has unsupported flags DT FLAGS
(ignoring unsupported flags)
(type 0xf arg 0x4d9) (ignoring)
DT RPATH (type 0xf arg 0x103) (ignoring)
DT RPATH (type 0xf arg 0x23a) (ignoring)
unused DT entry:</t>
  </si>
  <si>
    <t>PojavLauncherTeam-PojavLauncher-1116</t>
  </si>
  <si>
    <t>[BUG] Crash on 1.12 and up</t>
  </si>
  <si>
    <t>### Describe the bug
Launching Minecraft 1.12 and up causes it to crash with Application Game exited with code
Crash log (https: cdn.discordapp.com attachments 825415495938998273 825416526319452260 latestlog.txt)
have also dedicated 2GB RAM to it: -Xms768m -Xmx2048m
### To Reproduce:
1. Start PojavLauncher
2. Launch any version that 1.12 or above
### Expected behavior:
### Screenshots or videos:
Device Model: Xiaomi Redmi Prime (4 64)
CPU architecture: aarch64
Android Version: Android 10 MIUI 12
PojavLauncher Version: Latest Release</t>
  </si>
  <si>
    <t>2021-03-27</t>
  </si>
  <si>
    <t>SDP-group22-Helio-app-177</t>
  </si>
  <si>
    <t>App crashes upon theme change</t>
  </si>
  <si>
    <t>MuntashirAkon-AppManager-340</t>
  </si>
  <si>
    <t>Cannot install apps using AM Installer</t>
  </si>
  <si>
    <t>**Describe the bug**
Every time try to use the installer for installing an apk, the loading popup appears for few seconds and then nothing happens. The install prompt never comes.
Steps to reproduce the behaviour:
1. Go to apk file location
2. Open apk with App Manager to install
3. See error
Prompt to install apk and eventually install it.
If applicable, add crash logs to help us figure out the problem.
Device: Lenovo Tab X304L
OS Version: Lineage OS 16
App Manager Version: 2.5.24 pre-release
opened the apk file from Mixplorer.</t>
  </si>
  <si>
    <t>nextcloud-android-8213</t>
  </si>
  <si>
    <t>Crash when editing shared file permissions</t>
  </si>
  <si>
    <t>Was editing shared file permissions, specifically removing the can edit property. This caused the application to show busy spinner for app. 30 seconds after which changed to another application. When returning to NC the application had crashed.
think there were network problems at the server, or some other still uninvestigated server issue, as was not able to access NC through the webinterface or via iOS application after this.
Concurrently with this there were an iOS upload camera roll with app. 1000 photos running.
************ CAUSE OF ERROR ************
Caused by: Accessing result data after operation failed!
... 11 more
************ APP INFORMATION ************
Build flavor: generic
************ DEVICE INFORMATION ************
************ FIRMWARE ************</t>
  </si>
  <si>
    <t>getsentry-sentry-java-1357</t>
  </si>
  <si>
    <t>Applying immutable map in `SentryEvent#setExtras` causes `UnsupportedOperationException`</t>
  </si>
  <si>
    <t>Android -&gt; If yes, which Device API (and compileSdkVersion targetSdkVersion Build tools) version?
Device API 26
Android Studio -&gt; If yes, which version?
Gradle -&gt; If yes, which version?
Android Gradle Plugin:
Yes -&gt; If yes, which version?
Sentry Android Gradle Plugin:
Platform installed with:
The version of the SDK:
have the following issue:
When applying extra data by Sentry#setExtra and then applying extra data for single event by with immutable map (from Kotlin ), experiencing as SDK tries to edit the immutable map that is passed.
It crashes on the runtime as Java method signatures will accept immutable Kotlin map.
**Steps to reproduce:**
ve prepared reproduction repository (https: github.com wzieba
To check it, please go to SentryProxyTest (https: github.com wzieba blob main app src test java io github Both of the use cases are tested there.
You can also check the results of those tests on CI.
The test with mutable map passes (https: github.com wzieba runs 2208270028?check suite focus true#step:5:132) while test with immutable map throws an exception (https: github.com wzieba runs 2208270028?check suite focus true#step:5:199)
When applying extra with MutableMap everything works fine, the exception is not thrown. When applying extra with Map (which is immutable), is thrown.
Sentry SDK should accept both the mutable and immutable types. For immutable types, if editing is required, it should map Map to mutable type.</t>
  </si>
  <si>
    <t>Anuken-Mindustry-5005</t>
  </si>
  <si>
    <t>can't spawn on multiplayer mode</t>
  </si>
  <si>
    <t>**Steps to reproduce**: after long time ago played with my friend then come back to play it again then it happen.
**Link(s) to mod(s) used**:
Uploading bruh.zip ()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</si>
  <si>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Anuken-Mindustry-4999</t>
  </si>
  <si>
    <t>Maps in campaign do not update when they are changed in later updates and have been launched to before the update was applied</t>
  </si>
  <si>
    <t>MacOS (Big Sur)
When sector is updated or changed in any way, the game doesn update the map accordingly
**Steps to reproduce**: *How you happened across the issue, and what exactly you did to make the bug happen.*
1. Download beta v6 version of mindustry through itch.io client
2. Launch to sector 214 (At that version, it was an enemy base next to frozen forest)
3. Update to latest version
4. You would see that the enemy bases nearby haven disappeared, they just have not been labeled as an enemy base on the planet (Because of this, launched to what thought was easy sector and failed to capture this sector)
**Link(s) to mod(s) used**: *The mod repositories or zip files that are related to the issue, if applicable.*
All mods were disabled. The mods were https: github.com deltanedas rtfm, https: github.com deltanedas dev-mode and https: github.com DeltaNedas ui-lib
**Save file**: *The (zipped) save file you were playing on when the bug happened. THIS IS REQUIRED FOR ANY ISSUE HAPPENING IN-GAME OR IN MULTIPLAYER, REGARDLESS OF WHETHER YOU THINK IT HAPPENS EVERYWHERE. DELETE OR OMIT THIS LINE UNLESS YOU ARE SURE THAT THE ISSUE HAPPENS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**This is issue 4999, which happens to be an issue with prime number.**</t>
  </si>
  <si>
    <t>2021-03-26</t>
  </si>
  <si>
    <t>indomie858-app-A-156</t>
  </si>
  <si>
    <t>[Bug] App crashes when clicking on a category, then backing out, then clicking category again</t>
  </si>
  <si>
    <t>Bug is more apparent on emulator. On phone, it was roughly 4-5 times going back and forth to crash it. Same error everytime</t>
  </si>
  <si>
    <t>mohyghb-Moweb-83</t>
  </si>
  <si>
    <t>fixed the bug where clearing bookmarks caused the app to crash</t>
  </si>
  <si>
    <t>it was because of concurrent modification exception and fixed by iterating through the list backwards</t>
  </si>
  <si>
    <t>mohyghb-Moweb-81</t>
  </si>
  <si>
    <t>Clear all bookmarks crashes app</t>
  </si>
  <si>
    <t>2021-03-25</t>
  </si>
  <si>
    <t>inaturalist-iNaturalistAndroid-1006</t>
  </si>
  <si>
    <t>Prevent crashes from encoding problems in the User-Agent</t>
  </si>
  <si>
    <t>Not even sure this is something we *can* fix, but figured note it.
Caused by Unexpected char 0x2122 at 60 in User-Agent value: iNaturalist 1.21.13 (Build 480 Android -v2.5 aa5017fb 6454 SDK 30 willow Redmi Note 8T willow OS Version 11)</t>
  </si>
  <si>
    <t>Anuken-Mindustry-4992</t>
  </si>
  <si>
    <t>Giving a unit multiple ForceFieldAbility s causes issues.</t>
  </si>
  <si>
    <t>Giving unit multiple ForceFieldAbilities will make the shields regenerate at the same time, regardless of different cooldown times.
**Steps to reproduce**: *How you happened across the issue, and what exactly you did to make the bug happen.*
Open Mindustry, add multiple ForceFieldAbilities with different cooldowns to unit, and have enemy turrets fire at you. When your shield regenerates, instead of just the one with the shortest cooldown regenerating, all of them regenerate. Example code: 1, 1000, 60*5)) 1, 1000, 60*20)) Infinity
**Link(s) to mod(s) used**: *The mod repositories or zip files that are related to the issue, if applicable.*
Not applicable, this issue happens with vanilla.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(Latest saved custom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</si>
  <si>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MuntashirAkon-AppManager-338</t>
  </si>
  <si>
    <t>Am crash on viewing yesterday usage(special case)</t>
  </si>
  <si>
    <t>Am debug 1056 crashes when you try to view yesterday app usage when you flashed custom rom today(when yesterday data is not found missing).
Steps to reproduce the behaviour:
1. Go to Am
2. Click on three dots and then app usage
3. Click on today and select yesterday
4. See error
Add no data found or something instead of crash
Device: Poco m2 pro
OS Version: Arrow OS android 11
App Manager Version: am debug 2.6.0 #1056</t>
  </si>
  <si>
    <t>SDP-group22-Helio-app-166</t>
  </si>
  <si>
    <t>Fix motor state polling crash</t>
  </si>
  <si>
    <t>It works on local hub, but when with hub on DICE it crashes when opening blinds settings.</t>
  </si>
  <si>
    <t>square-okhttp-6605</t>
  </si>
  <si>
    <t>NoClassDefFoundError when trying to instantiate MockWebServer</t>
  </si>
  <si>
    <t>When attempting to use Retrofit and MockWebServer in my project, get the following exception when initializing MockWebServer object in my unit tests. When it is initialized crash
checked same version in okhttps and MockWebServer, please check my gradle:
Koin for Kotlin
Koin AndroidX Scope features
Koin AndroidX ViewModel features
Koin AndroidX Fragment features
Koin AndroidX WorkManager
Koin AndroidX Jetpack Compose</t>
  </si>
  <si>
    <t>doublesymmetry-react-native-track-player-1149</t>
  </si>
  <si>
    <t>crash exception java.lang.NullPointerException</t>
  </si>
  <si>
    <t>found crash in devices samsung, oppo with tracking log:
Crash Location File: MusicModule.java
Crash Location Line Number: 1.
Any suggest for me? thanks</t>
  </si>
  <si>
    <t>indomie858-app-A-147</t>
  </si>
  <si>
    <t>[Bug] Nav app crashing when opening up map</t>
  </si>
  <si>
    <t>2021-03-24</t>
  </si>
  <si>
    <t>deltachat-deltachat-android-1841</t>
  </si>
  <si>
    <t>App crashes when a chat is opened in android 4</t>
  </si>
  <si>
    <t>installed the new version to my uncle phone which has Android 4.4, the app crashes due to incompatibility introduced in #1833
seems it is this issue:
Operating System (Linux Mac Windows iOS Android): Android 4.4
Delta Chat Version: master
Steps to reproduce the problem: open any chat</t>
  </si>
  <si>
    <t>2021-03-23</t>
  </si>
  <si>
    <t>prebid-prebid-mobile-android-247</t>
  </si>
  <si>
    <t>NullPointerException in PrebidServerAdapter.java line 68</t>
  </si>
  <si>
    <t>**Describe the bug**
in line 68
Steps to reproduce the behavior:
Unfortunately we don have the steps to reproduce the issue only the crashlog from crashlytics. The issue occurs when updating to Prebid SDK version 1.10 (https: github.com prebid releases tag 1.10).
The app does not crash
**Smartphone (please complete the following information):**
Model: Huawei P30
RAM free: 1.92 GB
Disk free: 65.99 GB
OS version: Android 10
Model: Galaxy S9
RAM free: 919.2 MB
Disk free: 34.55 GB
OS version: Android 10</t>
  </si>
  <si>
    <t>prebid-prebid-mobile-android-246</t>
  </si>
  <si>
    <t>ConcurrentModificationException in PrebidServerAdapter.java line 67</t>
  </si>
  <si>
    <t>**Describe the bug**
in line 67
Steps to reproduce the behavior:
Unfortunately we don have the steps to reproduce the issue only the crashlog from crashlytics. The issue occurs when updating to Prebid SDK version 1.10 (https: github.com prebid releases tag 1.10).
The app does not crash
**Smartphone (please complete the following information):**
Model: HUAWEI smart 2019
RAM free: 600.56 MB
Disk free: 14.72 GB
OS version: Android 10
Model: Galaxy J4+
RAM free: 437.4 MB
Disk free: 7.65 GB
OS version: Android</t>
  </si>
  <si>
    <t>SeulGeek-FoodForYou-63</t>
  </si>
  <si>
    <t>[BUG] java.lang.IndexOutOfBoundsException: Index: 0, Size: 0</t>
  </si>
  <si>
    <t>process: When user install the app at first time and then click the main category, there is crash.
reason: If network is slow, the API data receives late.
os version: android (API level 28)
test device: Nexus
--&gt; solution handling</t>
  </si>
  <si>
    <t>openid-AppAuth-Android-678</t>
  </si>
  <si>
    <t xml:space="preserve"> ActivityNotFoundException in AuthorizationService Class</t>
  </si>
  <si>
    <t>&lt;!-- Thank your for your input! Before you submit your issue, please make sure you followed our checklist and check the appropriate boxes by putting an in the --&gt;
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Integration: native(Java Kotlin)
Identity provider: Google
### Issue Description
&lt;!-- Please include what happening, expected behavior, and any relevant code samples --&gt;
We are using aapauth library version 0.7.1 for Google signin support. We have seen few crashes in appauth library.
Below is the Crashlytics log from user.</t>
  </si>
  <si>
    <t>gsantner-markor-1292</t>
  </si>
  <si>
    <t>todo.txt: Browse tags/projects does not show up onLongClick</t>
  </si>
  <si>
    <t>#### General information
**latest version of markor**
Android 11 on Samsung Galaxy Note
Nova Launcher Prime
When long-clicking on the tags button in my todo.txt file the add function changes to filtering to filter all tags starting with an
This should be possible with the project button to give an overview of the tasks of all projects (e. g. +something ).
Bug or feature?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</si>
  <si>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PojavLauncherTeam-PojavLauncher-1099</t>
  </si>
  <si>
    <t xml:space="preserve">[BUG] Crash on login </t>
  </si>
  <si>
    <t>### Describe the bug
ve downloaded Pojav Launcher for the first time, ve launched MC 1.12.2 and everything was working, but when quit the app it was impossible to reconnect, the app crash everytime click on play, ve tried to reinstall Pojav Launcher and everytime the first time work perfectly, but after quit the app, crash when login
Moreover there is no log.txt or latestlog.txt and have activated the option to see masked files.
### To Reproduce:
1. Install PojavLauncher
2. Start PojavLauncher
3. Quit PojavLauncher
4. Start PojavLauncher again
### Expected behavior:
expected to log in the launcher
Device Model Xiaomi Blackshark 8GB
CPU architecture aarch64
PojavLauncher Version Latest Release version 3.3.1.1 rel 20210206</t>
  </si>
  <si>
    <t>smartdevicelink-sdl_java_suite-1642</t>
  </si>
  <si>
    <t>Multiframe encryption is not implemented correctly</t>
  </si>
  <si>
    <t>### Bug Report
#### MultiFrame Issues
There is currently discrepancy between how multi-frame packets are encrypted and decrypted. It appears that at least the Java Suite and Core do them in opposite ways. For reference the two methods are Packet Payload Encryption vs Frame Payload Encryption.
##### Packet Payload
This method encrypts the entire payload of packet first, then it chunks up that payload into multiple frames. This requires the receiver to buffer the entire payload of the large packet from all of the multi-frames before it decrypts anything. This leads to the issue that no block should be larger than the max TLS size, however if multi-frames are being sent it can be guaranteed that the encrypted payload would be larger than that.
##### Frame Payload
This method takes the large packet and chunks it up first using the TLS max block size. Then each frame has its payload encrypted individually. This request the receiver to decrypt the data prior to adding it to buffer to rebuild the larger packet complete payload.
#### Multi-Frame fails on Java Suite
The current library assumes that the data size received in the first frame describes the entire payload of what is to come. However this is with the assumption that it is supposed to perform Packet Payload encryption so it buffers the entire multi-frame message prior to decrypting. SDL Core is using Frame Payload encryption though and the data size included in the first frame describes the total number of decrypted bytes to buffer.
#### First Frame incorrect encryption flag
According to the protocol spec the first frame payload must always be bytes and therefore can be encrypted. The library currently marks the packet as encrypted but does not actually encrypt the payload.
#### Incorrect Single Frame Encryption
The Java Suite will allow any packet that is less than the MTU size through as single frame. This includes attempting to encrypt the payload of that same size. However, the max TLS record is usually much less than that of the MTU. This causes the encryption library to crash because it can encrypt that much data. Even if the encryption library handled it, the java suite library only reads out the max TLS record size of bytes so anything larger than that will be lost.
The Java suite will encrypt up to the 16k number of bytes correctly, but anything over that will crash the app.
##### Reproduction Steps
Start the RPC service with encryption enabled.
Have Core send an encrypted OnSystemRequest
Start the RPC service with encryption enabled.
Send an PutFile with size &gt;16k
Notice the library fails</t>
  </si>
  <si>
    <t>2021-03-22</t>
  </si>
  <si>
    <t>barbeau-gpstest-492</t>
  </si>
  <si>
    <t>Remove legacy GpsStatus listener</t>
  </si>
  <si>
    <t>**Describe the bug**
Reported 23 times in the Google Play Developer Console over the last 30 days:
**App, Device and Android version:**
All crashes are with GPSTest version 18076 (v3.8.4) and all on Android 11. Devices are Samsung Galaxy M31, Xiaomi Mi 10T, Xiaomi Mi Note 10 Lite, Samsung Galaxy Flip 5G</t>
  </si>
  <si>
    <t>Anuken-Mindustry-4972</t>
  </si>
  <si>
    <t>I can't join a server yet i have good internet</t>
  </si>
  <si>
    <t>attempt to enter server and it doesn even try to enter the server was able to enter servers before 126.1 so idk what happened
**Steps to reproduce**: *How you happened across the issue, and what exactly you did to make the bug happen.*
Its not reproducible bug something happened with the update and it just broke my ability to join servers
**Link(s) to mod(s) used**: *The mod repositories or zip files that are related to the issue, if applicable.*
No mods and no relevant zip files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This happened in the server menu not in 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</si>
  <si>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mishraaditya595-ScanIt-62</t>
  </si>
  <si>
    <t>App Crashing while opening Camera, some part is not working correctly</t>
  </si>
  <si>
    <t>Some Features are not working in the application. Like scanning image no preview mode error while validating and app crash.
Project stack or language (eg. Frontend):
Operating System (eg Linux): Win 10
Browser (eg. Chrome): Edge
Device (eg. Laptop or Phone): Laptop Phone</t>
  </si>
  <si>
    <t>prebid-prebid-mobile-android-244</t>
  </si>
  <si>
    <t>ArrayIndexOutOfBoundsException in PrebidServerAdapter.java line 73</t>
  </si>
  <si>
    <t>**Describe the bug**
in line 73
Steps to reproduce the behavior:
Unfortunately we don have the steps to reproduce the issue only the crashlog from crashlytics. The issue occurs when updating to Prebid SDK version 1.10 (https: github.com prebid releases tag 1.10).
The app does not crash
**Smartphone (please complete the following information):**
Model: HUAWEI smart 2019
RAM free: 622.86 MB
Disk free: 19.61 GB
OS version: Android 10
Model: Galaxy S20 5G
RAM free: 3.07 GB
Disk free: 67.63 GB
OS version: Android 11
Fatal Exception: src.length 10 srcPos dst.length 10 dstPos length -1</t>
  </si>
  <si>
    <t>prebid-prebid-mobile-android-243</t>
  </si>
  <si>
    <t>ArrayIndexOutOfBoundsException in PrebidServerAdapter.java line 233</t>
  </si>
  <si>
    <t>**Describe the bug**
in line 233
Steps to reproduce the behavior:
Unfortunately we don have the steps to reproduce the issue only the crashlog from crashlytics. The issue occurs when updating to Prebid SDK version 1.10 (https: github.com prebid releases tag 1.10).
The app does not crash
**Smartphone (please complete the following information):**
Model: Galaxy S8
RAM free: 1017.75 MB
Disk free: 6.69 GB
OS version: Android
Model: Galaxy A51
RAM free: 775.22 MB
Disk free: 87.75 GB
OS version: Android 11
Fatal Exception: length 10 index -1</t>
  </si>
  <si>
    <t>TeamNewPipe-NewPipe-5877</t>
  </si>
  <si>
    <t>Number of Videos in Playlist Incorrect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</si>
  <si>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20.11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Go to https: www.youtube.com playlist?list (underscore is part of link)
&lt;!-- If you can cause the bug to show up again reliably (and hence don have proper set of steps to give us), please still try to give as many details as possible on how you think you encountered the bug. --&gt;
### Actual behaviour
Number of videos in playlist shows up as 7,618,291.
### Expected behavior
The number should be 42.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</si>
  <si>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MuntashirAkon-AppManager-324</t>
  </si>
  <si>
    <t>W/NotificationService: Toast already killed. pkg=io.github.muntashirakon.AppManager token=android.os.BinderProxy</t>
  </si>
  <si>
    <t>AM crashes when trying open apk file after 9d4ab56 (https: github.com MuntashirAkon AppManager commit commit.</t>
  </si>
  <si>
    <t>2021-03-21</t>
  </si>
  <si>
    <t>falzonv-discreet-launcher-12</t>
  </si>
  <si>
    <t>Launcher crashes when opening an uninstalled/disabled application</t>
  </si>
  <si>
    <t>This ticket is created following ticket #10 opened by xi7
In the demo video, an application is uninstalled and stay in the list (expected behavior as per v1.2.0).
However, when the application icon is clicked the launcher crashes instead of displaying the expected warning.
This is regression following v1.1.0 where different method of launching applications has been implemented to cover applications from the same package (the existence test is still present but is not used anymore).</t>
  </si>
  <si>
    <t>2021-03-20</t>
  </si>
  <si>
    <t>patzly-grocy-android-378</t>
  </si>
  <si>
    <t>Scanning issues</t>
  </si>
  <si>
    <t>When scanning out product with the consume function the app crashes. Most of the time when it does scan and the app doesn crash... The upc shows as scanned but the product still shows that it required to be filled.</t>
  </si>
  <si>
    <t>PhenoApps-Field-Book-229</t>
  </si>
  <si>
    <t>Import sanitization to prevent SQL injection</t>
  </si>
  <si>
    <t>When imported headers contain or the app crashes. Instead of trying to catch all of these ), they should just be imported correctly as plain text.
Related to #109
Related to https: github.com solgenomics sgn issues 3375</t>
  </si>
  <si>
    <t>2021-03-19</t>
  </si>
  <si>
    <t>Anuken-Mindustry-4959</t>
  </si>
  <si>
    <t>Cannot host multiplayer</t>
  </si>
  <si>
    <t>**Steps to reproduce**:
*1. Create new campaign custom game. Then press **Esc** and click **Host Multiplayer Game**. After that, pop up text Opening Server... appears. Then what happens next is the button doesn change to Invite Friends instead it goes to unclickable state button (Grey color Host Multiplayer Game button), but at the same time the game is no longer paused when pressed Esc.*
*2. When pressed join from friend invitation on Steam, the game does nothing. It just stays in main menu.*
**Link(s) to mod(s) used**: *no mod*
**(Crash) logs**: *The game won let me export crash log since there is no crash. However, got error from last log.txt.*
GL Version: OpenGL 4.5.0 Intel Intel(R) HD Graphics 630
GL Max texture size: 16384
GL Using OpenGL context.
JAVA Version: 1.8.0 72
Shader shaders mesh.vert shaders planet.frag:
Shader shaders default.vert shaders blockbuild.frag:
Shader shaders screenspace.vert shaders shield.frag:
Shader shaders screenspace.vert shaders buildbeam.frag:
Shader shaders default.vert shaders unitbuild.frag:
Shader shaders default.vert shaders darkness.frag:
Shader shaders screenspace.vert shaders light.frag:
Shader shaders screenspace.vert shaders water.frag:
Shader shaders screenspace.vert shaders mud.frag:
Shader shaders screenspace.vert shaders tar.frag:
Shader shaders screenspace.vert shaders slag.frag:</t>
  </si>
  <si>
    <t>katherineyip-cs108project-132</t>
  </si>
  <si>
    <t>DB: App crashes when if the selectedGame has an updated game name</t>
  </si>
  <si>
    <t>2021-03-18</t>
  </si>
  <si>
    <t>ankidroid-Anki-Android-8264</t>
  </si>
  <si>
    <t>[Bug] Notification service crash the app if it runs during sync</t>
  </si>
  <si>
    <t>###### Reproduction Steps
0. Turn on notification
1. Reinstall AnkiDroid
2. Start ankidroid
###### Expected Result
###### Actual Result
Crash with the stacktrace:
My understanding is that the notification service started running. However, sync closed the database, which means that notification suddenly can access the database anymore
One way to deal with it would be to try catch the here and state that notification is not so important that it should crash the program. Or that sync interact with notification, to pause notification until database is reoladed</t>
  </si>
  <si>
    <t>Anuken-Mindustry-4954</t>
  </si>
  <si>
    <t>plastanium walls don't properly block automatic power connections</t>
  </si>
  <si>
    <t>plastanium walls only block automatic node connections when the node is placed after something else(airblasts, factories, generators), but they don block connections when the node is placed after the block
**Steps to reproduce**: *How you happened across the issue, and what exactly you did to make the bug happen.*
found the issue while making schematic, and afterwards to make sure it really was the issue placed down power node entirely surrounded with plastanium walls and tried placing drills, factories, batteries, generators and the like outside the plastanium walls. the node connected through the plastanium walls. this also happened with the large power node, surge tower and power source, as well as through several layers of plastanium walls
**Link(s) to mod(s) used**: *The mod repositories or zip files that are related to the issue, if applicable.*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</si>
  <si>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Anuken-Mindustry-4952</t>
  </si>
  <si>
    <t>TapEvent is not sent to server for unspawned players from PC</t>
  </si>
  <si>
    <t>**Steps to reproduce**: Simply track tap events on server on empty map (with no cores, or just assign wrong team): for mobile client they do appear, but not for PC
**Link(s) to mod(s) used**:
**(Crash) logs**: not crash
**Additional note**: understand this can be left unfixed because initially the event was introduced for tracking greifers, but found another use-case for the feature: on ranked pvp during spectating you get inactive team assigned hence you can see details about any blocks (power status progress health etc.) this would be great way to add such thing on click at tiles, but apparently it works only on mobile now.
The problem in code starts here and doesn seem easily fixable to me but maybe lucky today?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</si>
  <si>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TeamNewPipe-NewPipe-5849</t>
  </si>
  <si>
    <t>App Crash, UI Failure</t>
  </si>
  <si>
    <t>User Action: ui error
Request: App crash, UI failure
Content Country: DE
Content Language: de
App Language: de DE
OS: Linux samsung starltexx starlte:10 QP1A.190711.020 G960FXXUAETG3:user release-keys 10 29
log b&gt;&lt; summary&gt;&lt;p&gt;
... 26 more
... 30 more</t>
  </si>
  <si>
    <t>2021-03-17</t>
  </si>
  <si>
    <t>Anuken-Mindustry-4949</t>
  </si>
  <si>
    <t>Mindustry has crashed. How unfortunate.</t>
  </si>
  <si>
    <t>PojavLauncherTeam-PojavLauncher-1073</t>
  </si>
  <si>
    <t>[BUG] FORGE NOT INSTALLING</t>
  </si>
  <si>
    <t>Whenever install forge for 1.12.2 its crashes and main menu pops up.</t>
  </si>
  <si>
    <t>opensrp-opensrp-client-reveal-1307</t>
  </si>
  <si>
    <t>App crashes when one tries to redownload an offline map</t>
  </si>
  <si>
    <t>Both Thai and English
clicked download on the offline map.
While it was downloading, force stopped it
After force stopping,
Open the app, login
Go to offline maps downloaded
Click on the partially downloaded map and click download
Return to the main Reveal page while download in progress</t>
  </si>
  <si>
    <t>TeamNewPipe-NewPipe-5848</t>
  </si>
  <si>
    <t>Any video fails to play</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</si>
  <si>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Install and run DPI Tunnel with default settings (available from F-Droid). Then open NewPipe, search for anything (e.g. travicka zelena ). List of search results without pictures appears. Then select any video and it crashes see example bug report below.
### Actual behaviour
&lt;!-- Tell us what happens with the steps given above. --&gt;
See steps above.
### Expected behavior
&lt;!-- Tell us what you expect to happen. --&gt;
All videos working (it works e.g. in Chrome for Android).</t>
  </si>
  <si>
    <t>PojavLauncherTeam-PojavLauncher-1071</t>
  </si>
  <si>
    <t>Mod bud</t>
  </si>
  <si>
    <t>---- Minecraft Crash Report ----
Hi. Minecraft, and crashaholic.
... 19 more
... 19 more
detailed walkthrough of the error, its code path and all known details is as follows:
-- System Details --
Minecraft Version: 1.16.4
Minecraft Version ID: 1.16.4
Operating System: Linux (aarch64) version Android-9
JVM Flags: total -Xms512m -Xmx800m
ModLauncher launch target: fmlclient
ModLauncher naming: srg
mixin-0.8.2.jar mixin PLUGINSERVICE
object holder definalize PLUGINSERVICE
runtime enum extender PLUGINSERVICE
capability inject definalize PLUGINSERVICE
FML Language Providers:
Minecraft minecraft 1.16.4 DONE NOSIGNATURE
physics-mod-1.3.4 forge.jar Physics Mod physicsmod 1.0 DONE NOSIGNATURE
Crash Report UUID:</t>
  </si>
  <si>
    <t>Amarpsp10-AMusic-1</t>
  </si>
  <si>
    <t xml:space="preserve">App crashes:  when no songs available in storage    </t>
  </si>
  <si>
    <t>Please provide clear and concise description of what the bug is. (In the section Steps To Reproduce.)
Include screenshots if needed.
Please test using the latest Joplin release to make sure your issue has not already been fixed.
Without the URL the issue is likely to be closed.
OS specifics: 10
Platform can be one of: macOS, Linux, Windows, Android, iOS, terminal (or combination)
OS specifics: e.g. OS version, Linux distribution, Android iOS version...
## Steps to reproduce
1. run app when no song available in storage
2. click on play button and app crash
Issues without reproduction steps are likely to stall.</t>
  </si>
  <si>
    <t>TeamNewPipe-NewPipe-5846</t>
  </si>
  <si>
    <t>App crashed while fetching comments</t>
  </si>
  <si>
    <t>User Action: requested comments
Request: https: m.youtube.com watch?v tFq6Q muwG0
Content Country: IN
Content Language: en
App Language: en IN
OS: Linux Android 28
log b&gt;&lt; summary&gt;&lt;p&gt;
... 30 more</t>
  </si>
  <si>
    <t>square-reader-sdk-flutter-plugin-57</t>
  </si>
  <si>
    <t>Android Release Build Crashes on Start</t>
  </si>
  <si>
    <t>### Describe the issue
have the fluter square reader SDK working perfectly on Android when compiled in debug mode. Compiling in release mode, however, causes the app to crash immediately on startup with the following errors:
have the added the multiDex stuff from the instructions to my build.gradle file.
have tried lot of suggestions from various Stack Overflow pages and nothing has fixed the problem.</t>
  </si>
  <si>
    <t>Anuken-Mindustry-4946</t>
  </si>
  <si>
    <t>Auto bridge bug</t>
  </si>
  <si>
    <t>Bridge conveyors gets built via auto bridge EVEN before unlocking bridge conv
**Steps to reproduce**: *How you happened across the issue, and what exactly you did to make the bug happen.*
1. Go to mindustry
2. Go to campaign
3. Built in straight line
4. See bug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Uploading SVID 20210317 115342 1.mp4
**I have searched the closed and open issues to make sure that this problem has not already been reported.**</t>
  </si>
  <si>
    <t>PojavLauncherTeam-PojavLauncher-1070</t>
  </si>
  <si>
    <t>[BUG] forge 1.16 not working and crashing and random crashes in single player.</t>
  </si>
  <si>
    <t>Forge 1.16 crashes after min. And survival creative world are crashing every 5,10,20 minutes.
&lt;details&gt; &lt;summary&gt;&lt;b&gt;Read before submit&lt; b&gt;&lt; summary&gt;
Make sure there was not duplicated issues.&lt;br&gt;
Make sure you have filled this issue template, or this will get rejected.
### Describe the bug
clear and concise description of what the bug is.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 *(your set of actions to reproduce the bug)*
### Expected behavior:
### Screenshots or videos:
*Upload here screenshots or videos of the buggy behavior, if possible.*
Device Model e.g. Mi Pro 128
CPU architecture e.g. aarch64
Android Version e.g. 10</t>
  </si>
  <si>
    <t>CMPUT301W21T12-WiseTrack-67</t>
  </si>
  <si>
    <t>Commenting</t>
  </si>
  <si>
    <t>Clicking on comment sometimes brings back to Main. Also sometimes crashes when adding response</t>
  </si>
  <si>
    <t>nextcloud-android-8175</t>
  </si>
  <si>
    <t>App crashes when changing file order</t>
  </si>
  <si>
    <t>### Steps to reproduce
1. Open any Folder
2. Change order to recently first
3. Search for anything, but abort search while it loading by using the system back-arrow
4. Change order to A-Z, first
### Expected behaviour
Files should be sorted alphabetically
### Actual behaviour
### Can you reproduce this problem on https: try.nextcloud.com?
No, as it an error within the Android App
### Environment data
Android version: 10
Device model: Huawei SNE-LX1
Stock or customized system: Stock (with Huawei EMUI)
Nextcloud app version: 30150190
Nextcloud server version:
#### Nextcloud log (data nextcloud.log)
************ CAUSE OF ERROR ************
************ APP INFORMATION ************
Build flavor: gplay</t>
  </si>
  <si>
    <t>2021-03-16</t>
  </si>
  <si>
    <t>MrReSc-Headi-4</t>
  </si>
  <si>
    <t>Crash when opening the statistics</t>
  </si>
  <si>
    <t>If the diary is still empty and the statistics page is opened, the app crashes.</t>
  </si>
  <si>
    <t>opentok-opentok-react-native-477</t>
  </si>
  <si>
    <t>Compatibility with React Native 0.64</t>
  </si>
  <si>
    <t>Initializing an OpenTok session results in crash.
**Steps to reproduce**
1. Update your app to React Native 0.64
2. Initialize instance of OpenTok
**What is the current *bug* behavior?**
Full OT.js crash
**What is the expected *correct* behavior?**
Initialization as usual
**Relevant logs and or screenshots**
The NativeEventEmitter export has changed per https: github.com facebook react-native commit
With this method no longer available, OT.js setNativeEvents function will have to be updated.
When patching this locally can get past the crash and everything appears to be running as per usual, but definitely worried about what happening behind the scenes here.
&lt;summary&gt;OT.js Patch&lt; summary&gt;
const setNativeEvents (events)
const eventNames Object.keys(events)
each(events, (eventHandler, eventType)</t>
  </si>
  <si>
    <t>butzist-ActivityLauncher-66</t>
  </si>
  <si>
    <t>Runtime Exception on AllTasksListAdapter.java due to Package manager has died</t>
  </si>
  <si>
    <t>crash logs retrieved from firebase with help of drogga
Web capture 15-3-2021 20338 console firebase google com (https: 55515799</t>
  </si>
  <si>
    <t>inaturalist-iNaturalistAndroid-1001</t>
  </si>
  <si>
    <t>NullPointerException in Observation.toJSONObject</t>
  </si>
  <si>
    <t>pretty sure this is the cause of the crash experience when tap on map marker in Explore. FWIW, this seems to happen for any map marker in Explore, regardless of the observation.
Caused by Attempt to invoke virtual method long on null object reference</t>
  </si>
  <si>
    <t>odedZaken-zuzu-1</t>
  </si>
  <si>
    <t>App crashes when registering a new user due to illegal characters in 'email' field</t>
  </si>
  <si>
    <t>Firebase Database paths must not contain or
Proper email address can be entered</t>
  </si>
  <si>
    <t>2021-03-15</t>
  </si>
  <si>
    <t>PojavLauncherTeam-PojavLauncher-1062</t>
  </si>
  <si>
    <t>[BUG] &lt;game crash&gt;</t>
  </si>
  <si>
    <t>Hi tried to play the version down of 1.10 and if do New world the game crash and the snapshots up from 21w08b the game crash at mojang studios logo please can you fix that</t>
  </si>
  <si>
    <t>PojavLauncherTeam-PojavLauncher-1061</t>
  </si>
  <si>
    <t>[BUG] &lt;No crash information flashback&gt;</t>
  </si>
  <si>
    <t>Can the official repair the loophole of flash back without any error! The same flaw lies in version 1.7.10. flashed back after 23 seconds when entered the archive, and crashed after seconds when became vampire. This is very annoying. Please fix it</t>
  </si>
  <si>
    <t>NSU-SP21-CSE486-1-1712265-SP21-CSE486-S01-8</t>
  </si>
  <si>
    <t>Assignment_app_bug</t>
  </si>
  <si>
    <t>Lab2 assignment crashing. After build it says **operation success** but app **opens and auto closes**. Checked manifest.xml. But found no problem Maybe have to rebuild it.</t>
  </si>
  <si>
    <t>ankidroid-Anki-Android-8221</t>
  </si>
  <si>
    <t>[Bug] Random crashes in "Add note" screen</t>
  </si>
  <si>
    <t>###### Reproduction Steps
1. Click and then Add in Decks screen to open Add note screen.
2. Select my custom note type ParentingCloze with many fields and custom card templates with custom Javascript in it.
3. Enter the content of the fields and make some clozes.
4. One time it crashed in this screen, when was doing some editing or previewing, do not remember what exactly did before the crash. The second time it crashed after clicked the prereview button.
spent minutes trying to reproduce the problem, but was not able to. It worked this time.
lost in total about 40 minutes of my work because of the crashes, since the data already entered were lost.
###### Expected Result
###### Actual Result
###### Debug info
AnkiDroid Version 2.14.6
Android Version 10
Crash Reports Enabled true
*Enter an character to confirm the points below:*
have searched for similar existing issues here and on the user forum
(Optional) have confirmed the issue is not resolved in the latest alpha release instructions (https: docs.ankidroid.org</t>
  </si>
  <si>
    <t>PojavLauncherTeam-PojavLauncher-1059</t>
  </si>
  <si>
    <t>[BUG] Chlorine mod keep crashing when it enters the world.</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</si>
  <si>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Yeah you know Chlorine mod is the same as Sodium but for forge. When it entered the world, it was force close.
**Add log file if you want to see your bug fixed !**
### To Reproduce:
Indicate steps to reproduce the buggy behavior:
1. Start PojavLauncher
2. Open 1.16.5 forge version
3. Enter the world
### Expected behavior:
expected can use this mod, so give more fps for the forge loader.
### Screenshots or videos:
*Upload here screenshots or videos of the buggy behavior, if possible.*
Device Sony Xperia XZ2
CPU aarch64 Snapdragon 845
PojavLauncher GooglePlay Version
&lt;details&gt; context&lt; b&gt;&lt; summary&gt;</t>
  </si>
  <si>
    <t>2021-03-14</t>
  </si>
  <si>
    <t>UniRegensburg-unsere-app-fur-die-universitat-regensburg-bib-buddy-119</t>
  </si>
  <si>
    <t>Note related bugs</t>
  </si>
  <si>
    <t>There are some small bugs related to notes.
1. **Blobs have limited size of 1MB** which might cause the app to crash on potentially creating too large voice notes.
2. Creating **new text note** in editor and leaving it (going back to the BookNotesFragment) is causing its itemView to be **selected on default** could not find the reason yet.</t>
  </si>
  <si>
    <t>PojavLauncherTeam-PojavLauncher-1057</t>
  </si>
  <si>
    <t>Every time the game freeze the game keep crashing.</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</si>
  <si>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clear and concise description of what the bug is.
playing Vic Modern Warfare Mod then suddenly the game freeze and crashed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4. Create World
5. Open inv choose gun
6. The game freeze
7. Last it crashed
### Expected behavior:
expected the game will run smoothly, no freezing and no crashing.</t>
  </si>
  <si>
    <t>ElderDrivers-EdXposed-851</t>
  </si>
  <si>
    <t xml:space="preserve">[BUG] </t>
  </si>
  <si>
    <t>Hi jim wu, when you out the new update from edxposed, My latest debug or master version issue with jasi patcher app, and my whole phone apps its crash when jasi patcher edxposed framework is active.</t>
  </si>
  <si>
    <t>2021-03-13</t>
  </si>
  <si>
    <t>cgeo-cgeo-10138</t>
  </si>
  <si>
    <t>NPE in Routing logic should be safeguarded</t>
  </si>
  <si>
    <t>In preparation of geocaching tour imported GPX yesterday, which was generated by https: www.project-gc.com
After that notices, that c.geo keeps crashing under certain conditions. am not 100% sure, that the GPX causes it but it seems likely as it happens on two devices, where c:geo was running stable until imported the same GPX.
Import the attached zipped GPX (in zipped format) into new list Fav around
Open the list
Map the list (using OSM map)
Leave the map, return to the list
Leave the list to the mainscreen and either wait some seconds or do some other action (e.g. try to open the settings)
This procedure reproducibly crashes my c:geo 2021.03.12-NB
am unsure about the corresponding error log, as somehow the logfile shows different problems or no exceptions logs at all while trying to produce this problem. Here is what found so far, but you might want to try it yourself using the attached GPX.
The problem might even be unrelated to these stacktraces.</t>
  </si>
  <si>
    <t>ankidroid-Anki-Android-8178</t>
  </si>
  <si>
    <t>[Bug] Rust - Check Database OOM</t>
  </si>
  <si>
    <t>Caused by: Failed to allocate 169408 byte allocation with 118096 free bytes and 115KB until OOM, target footprint 536870912, growth limit 536870912
Better handling of Rust DB Streaming
Maybe: instead of 1000 rows, determine how to count the size of protobuf as we stream it into byte array, and stop at certain point
Or vary the number of rows: since we re getting FieldData, rows can be arbitrarily large
Maybe this isn blocker if we can fail forward and move this to Rust in V2.16.X.
https: github.com david-allison-1 issues 14 provide lambda to the backend which contains Are we low on OOM
Maybe catch the OOM here and use fallback which won fail? This will be slow but better than crashing.</t>
  </si>
  <si>
    <t>nextcloud-android-8166</t>
  </si>
  <si>
    <t>Crash when trying to share folder</t>
  </si>
  <si>
    <t>### Steps to reproduce
1. Open Nextcloud App
2. Tap the Share icon on folder
3. Type the name of the other user (on same server)
### Expected behaviour
It should share to the other use
### Actual behaviour
get an immediate crash. If re-try it crashes again.
Sharing from the web interface works fine.
### Can you reproduce this problem on https: try.nextcloud.com?
Yes, just tried on try.nextcloud.com and got the same crash sharing to random account there.
### Environment data
Android version: 11
Device model: S21 Ultra
Stock or customized system: Stock
Nextcloud app version: 30150090 (installed from F-Droid)
Nextcloud server version: 20.0.8 running in docker using the official nextcloud docker
Reverse proxy: Yes nginx
#### Web server error log
root bigtuckey cat nextcloud crash log</t>
  </si>
  <si>
    <t>2021-03-12</t>
  </si>
  <si>
    <t>TarekElDick-COEN390_GroupProject_BearCare-39</t>
  </si>
  <si>
    <t>Task #3.4 Fix bug where entering temperature page crashes app</t>
  </si>
  <si>
    <t>Particularly in the emulator, when we enter the temperature activity, the app crashes. It clearly is not connecting to any device over bluetooth, but that should not cause crash.</t>
  </si>
  <si>
    <t>mtotschnig-MyExpenses-785</t>
  </si>
  <si>
    <t>Long press on result pane in calculator crashes if clipboard is empty</t>
  </si>
  <si>
    <t>k9mail-k-9-5200</t>
  </si>
  <si>
    <t>K9 crashes when addressing a Domain with an emoji</t>
  </si>
  <si>
    <t>When want to paste an emoji email address, the activity crashes and get back to the welcome screen.
(sorry, opened this issue via FastHub and the prefilled template data is missing here. will complete it as soon as get to PC.)</t>
  </si>
  <si>
    <t>PojavLauncherTeam-PojavLauncher-1043</t>
  </si>
  <si>
    <t>[BUG] a lot of problem with recent versions (1.13+)</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</si>
  <si>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have two problems with recent Minecraft versions (1.13+) 1. cannot launch the game with fabric otherwise my game crashes with code ... 2. There are massive lags with these versions so have to play on 1.12- and find that real shame ...
CPU architecture: ARMv7
Android Version: 10
PojavLauncher Version: version 3.3.1.1 rel 20210206</t>
  </si>
  <si>
    <t>TeamNewPipe-NewPipe-5812</t>
  </si>
  <si>
    <t>Crash when opening very quickly the search window after NewPipe launch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</si>
  <si>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NewPipe and very quickly click on the search icon as soon as it appears
&lt;!-- If you can cause the bug to show up again reliably (and hence don have proper set of steps to give us), please still try to give as many details as possible on how you think you encountered the bug. --&gt;
### Actual behaviour
### Expected behavior
No crash and possibility to search
&lt;!-- If your bug includes crash (where you re shown the Error Report page with bunch of info), tap on Copy formatted report at the bottom and paste it here: --&gt;
User Action: ui error
Request: App crash, UI failure
Content Country: FR
Content Language: fr
App Language: fr FR</t>
  </si>
  <si>
    <t>nextcloud-android-8164</t>
  </si>
  <si>
    <t>App crashes on start</t>
  </si>
  <si>
    <t>### Steps to reproduce
1. start app
### Expected behaviour
### Actual behaviour
after last update: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CAUSE OF ERROR ************
************ APP INFORMATION ************
Build flavor: versionDev
************ DEVICE INFORMATION ************
************ FIRMWARE ************
#### Web server error log
Insert your webserver log here</t>
  </si>
  <si>
    <t>PojavLauncherTeam-PojavLauncher-1041</t>
  </si>
  <si>
    <t>[BUG] &lt;Game crashes as soon as i click play</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</si>
  <si>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The game crashes as soon as click on play
**Add log file if you want to see your bug fixed !**
Log.txt file (https: drive.google.com file view?usp drivesdk)
Do NOT paste the whole log text Instead, add it as file on this issue.
### To Reproduce:
Indicate steps to reproduce the buggy behavior:
1. Start PojavLauncher
3.Click on play
4.see the error
### Expected behavior:
game should run
### Screenshots or videos:
Device Model Lg stylus
CPU architecture aarch32
PojavLauncher Version 3.3.1.1</t>
  </si>
  <si>
    <t>indomie858-app-A-142</t>
  </si>
  <si>
    <t>[Bug] App crash when starting navigation, then backing out</t>
  </si>
  <si>
    <t>Noticed when was working on the null entrance location issue</t>
  </si>
  <si>
    <t>libgdx-libgdx-6450</t>
  </si>
  <si>
    <t>OpenAL Music Crashes on LWJGL3</t>
  </si>
  <si>
    <t>#### Issue details
Playing music on LWJGL3 crashes sometimes possibly due to synchronization issues.
#### How to reproduce
Based on my assessment, it possible for (https: github.com libgdx libgdx blob master backends gdx-backend-lwjgl3 src com badlogic gdx backends lwjgl3 audio to be called from multiple threads causing buffer exception if 2+ threads manipulate tempBuffer at the same time. Attached is player-submitted crash report. An example would be calling play from non-render thread while the render-thread updates the audio at the same time.
#### Proposed solution
Maybe the easiest solution is to simply make the method synchronized:
private synchronized boolean fill (int bufferID)
#### Version of LibGDX and or relevant dependencies
libGDX 1.9.14 with LWJGL 3.2.3
#### Please select the affected platforms
Desktop with LWJGL3</t>
  </si>
  <si>
    <t>iNPUTmice-lttrs-android-77</t>
  </si>
  <si>
    <t>A swiped item should not trigger a selection</t>
  </si>
  <si>
    <t>When swiping and remaining in half swiped position the long press selection tracker kicks in.
This is a) annoying and b) can cause crashes like this:</t>
  </si>
  <si>
    <t>2021-03-11</t>
  </si>
  <si>
    <t>ultrasonic-ultrasonic-390</t>
  </si>
  <si>
    <t>Crashes when playing audio</t>
  </si>
  <si>
    <t>## Problem description
Sometimes expirience random crashes.
### Steps to reproduce
Not yet clear
## System information
**Ultrasonic version**: Latest on F-Droid
**Android version**: Lineage 17.1
**Device info**: *not provided
## Additional notes
Fatal signal 11 (SIGSEGV), code (SEGV MAPERR), fault addr 0x0 in tid 29016 (Thread-8), pid 28948 (oire.ultrasonic)</t>
  </si>
  <si>
    <t>TeamNewPipe-NewPipe-5808</t>
  </si>
  <si>
    <t>Comment crash on specific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</si>
  <si>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Open newpipe.
2. Open this video. https: www.youtube.com watch?v oT3XR1e1Aoo
3. Wait for it to load and it will appear. It appears only on specific videos
&lt;!-- If you can cause the bug to show up again reliably (and hence don have proper set of steps to give us), please still try to give as many details as possible on how you think you encountered the bug. --&gt;
### Actual behaviour
&lt;!-- Tell us what happens with the steps given above. --&gt;
The comments section didn load giving me an error when loading video.
### Expected behavior</t>
  </si>
  <si>
    <t>PhenoApps-Field-Book-222</t>
  </si>
  <si>
    <t>[BUG] Java time API 26 or later</t>
  </si>
  <si>
    <t>**Describe the bug**
Can resolve java time class which looks to be only available on API 26 or later.
1. Set brapi version to V2
2. Try to import study and field book will crash
Import works without error
**Device Info (please complete the following information):**
Model: Nexus 6P API 23
Field Book Version brapi v2</t>
  </si>
  <si>
    <t>Raheemshah2809-Relax-app-1</t>
  </si>
  <si>
    <t xml:space="preserve">Issue with displaying year of the date, the application crashes </t>
  </si>
  <si>
    <t>Issue with displaying year of the date, the application crashes.
line 238 and onwards seems to be the cause.
Urgent wihtout it doesnt work</t>
  </si>
  <si>
    <t>2021-03-10</t>
  </si>
  <si>
    <t>Anuken-Mindustry-4919</t>
  </si>
  <si>
    <t>Bridges build out of order in the build queue link incorrectly</t>
  </si>
  <si>
    <t>When you put things into the build queue and run out of material, the player will build things out of order. This is normal. Sometimes though when it decides to build bridges out of order the bridges don remember which direction they re linked to and link randomly. ve never had this occur with schematics or click+hold placing to build line of bridges. It only occurs when placing bridges down manually one-by-one. The order they link is determined solely by the order they get built. It happens rarely and is difficult to figure out exactly how to recreate.
**Steps to reproduce**: *How you happened across the issue, and what exactly you did to make the bug happen.*
1. Make sure the core has enough copper lead.
2. Make sure you have source of copper lead going into the core. For best results, make the sources slow.
3. Start building ton of scatters, enough to exhaust all of your copper or lead.
4. Immediately start placing bridges (one at time, not click+hold) and take note of the order you placed them. Make sure every bridge can link up to nearby bridge.
5. At some point the copper will run out and the player will go through the normal process of building item per scatter to keep them on the map to be finished later.
6. It will then get to the bridges and do the same process (because we re out of copper or lead).
7. At this point get different results depending on how fast the sources are and when placed the bridges in comparison to the scatters. Sometimes the bridges will link in the correct order and sometimes they won t. The order they link is determined solely by the order they get built.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</si>
  <si>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nextcloud-android-8148</t>
  </si>
  <si>
    <t>crash nextcloud dev android after start aplication #8105</t>
  </si>
  <si>
    <t>### Steps to reproduce
1. Click on Nextcloud app
### Expected behaviour
So should open
### Actual behaviour
App opens with spinning circle (loading) then crashes within seconds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Build flavor: versionDev
Nextcloud server version:
#### Web server error log
Insert your webserver log here
#### Nextcloud log (data nextcloud.log)
************ CAUSE OF ERROR ************</t>
  </si>
  <si>
    <t>comcore-app-2</t>
  </si>
  <si>
    <t>Dark mode GUI crash</t>
  </si>
  <si>
    <t>run my phone with dark mode enabled, so all of the apps use dark theme (from values-night themes.xml instead of values themes.xml ). When tried to run the main branch of the app on my phone, it immediately crashed with the following error from the GUI:
Caused by: This Activity already has an action bar supplied by the window decor. Do not request Window.FEATURE SUPPORT ACTION BAR and set windowActionBar to false in your theme to use Toolbar instead.
think this is because the dark mode theme hasn been configured, since when run it without dark mode it works fine. Maybe we could have separate dark theme, or if that too much work we could set it to disable dark mode for the app?</t>
  </si>
  <si>
    <t>vladescualexandra-iBudget-14</t>
  </si>
  <si>
    <t>Bug: App crashes if no icon is selected when adding a category.</t>
  </si>
  <si>
    <t>PojavLauncherTeam-PojavLauncher-1034</t>
  </si>
  <si>
    <t>[BUG] PojavLauncher (Google Play) Broken</t>
  </si>
  <si>
    <t>### Describe the bug
can download and install the app normally in the store, but after install version in the launcher and press Play black screen appear, box with how many memory have allocated too and then crash (don have crash log in the folder)
### To Reproduce:
Indicate steps to reproduce the buggy behavior:
1. Start PojavLauncher
2. Keep all standard configs
3. Download version (1.12.2)
4. Press Play
### Expected behavior:
expected that could load and play normally
Device Model Redmi
CPU architecture aarch32
PojavLauncher Version Latest Release in Google Play</t>
  </si>
  <si>
    <t>OTTAA-Project-OTTAAProject-5</t>
  </si>
  <si>
    <t>NewsDialog bug</t>
  </si>
  <si>
    <t>There is crash error on line 275 of the NewDialogOTTAA class.
when the user try to performance click on the buttons of the dialog</t>
  </si>
  <si>
    <t>TeamNewPipe-NewPipe-5804</t>
  </si>
  <si>
    <t>Crash on tapping anywhere on video after long-pressing 'Popup' button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</si>
  <si>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1. Open any video (play it or pause it, doesn matter).
2. Long-press (press and hold) the Popup button, Enqueued dialog appears.
3. Tap anywhere on video.
### Actual behaviour
&lt;!-- Tell us what happens with the steps given above. --&gt;
The app immediately crashes and displays crash log.
The app still crashes when you:</t>
  </si>
  <si>
    <t>Neamar-KISS-1711</t>
  </si>
  <si>
    <t>Slowdown/crash after applying icon pack</t>
  </si>
  <si>
    <t>**Describe the bug**
KISS hangs freezes crashes after applying an icon pack. When the custom icon pack is applied, changing any kind of setting gets the launcher to freeze.
Steps to reproduce the behavior:
1. Apply icon pack
2. Wait for the launcher to become responsive again
3. Change any setting
4. Wait for response or accept the crash
Use any icon pack with no issues (everything works correctly on Sentien Launcher KISS clone)
App version: 3.15.5
App installed via: Play Store
Android version: RessurectionRemix 8.6.6 (Android 10) Xiaomi Redmi Plus (vince)
KISS used to work normally on crDroid (also Android 10)</t>
  </si>
  <si>
    <t>doublesymmetry-react-native-track-player-1130</t>
  </si>
  <si>
    <t>Playing URL crashes...</t>
  </si>
  <si>
    <t>Following URL crashes iOS:
The following URL works:
unable to debug this as getting &lt;invalid swift context&gt;
image (4) (https: 2983327</t>
  </si>
  <si>
    <t>2021-03-09</t>
  </si>
  <si>
    <t>cgeo-cgeo-10128</t>
  </si>
  <si>
    <t>ArrayIndexOutOfBoundsException in Mapsforge</t>
  </si>
  <si>
    <t>user reported non-reproducible crashes in scenario where he repeatedly changed from map to cache, added waypoint with his current position and returned to the map.
His logfile only contains this crash, not sure if it is related (as the time stamp provided by the user does not match the log time stamp (wrong day)).
--- System information ---
Android version: 8.0.0
Android build: ONEPLUS A3003 28 180704
Google Play services: enabled 21.06.13 (040400-358943053)
Low power mode: inactive
Compass capabilities: yes
Rotation vector sensor: present
Orientation sensor: present
Magnetometer Accelerometer sensor: present
Direction sensor used: rotation vector
Hide caches: own found disabled archived
Hide waypoints: original visited
HW acceleration: enabled (default state)
System language: da DK user-defined language:
System date format: dd MM
Debug mode active: no
System internal c:geo dir: data user cgeo.geocaching (21,9 GB free) internal
User storage c:geo dir: storage emulated cgeo (21,8 GB free) external non-removable</t>
  </si>
  <si>
    <t>TeamNewPipe-NewPipe-5800</t>
  </si>
  <si>
    <t>Crash when resuming from background after playback ended</t>
  </si>
  <si>
    <t>am using the latest version 0.20.11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Play video in the background
2. Multitask away from NewPipe
3. Wait until it ends
4. Wait long time, use the phone for something else, and even not use the phone for some time. (Basically give Android potential reason to kill the app)
5. Open Android recents
6. Resume NewPipe
This bug doesn happen all the time.
### Actual behaviour
saw an empty playback queue flash once or twice, then saw the crash dialog.
### Expected behavior
It should not crash
### Screenshots Screen recordings
wasn able to take screenshot before saw the error page
User Action: ui error
Request: App crash, UI failure</t>
  </si>
  <si>
    <t>nextcloud-android-8138</t>
  </si>
  <si>
    <t>Nextcloud Android app crashes when trying to share a directory</t>
  </si>
  <si>
    <t>### Steps to reproduce
1. Open Nextcloud app on Android and go to files.
2. Pick any directory and click the sharing icon.
3. Start typing user name and select once it appears.
### Expected behaviour
The directory is now shared with the selected user.
### Actual behaviour
The application crashes.
### Can you reproduce this problem on https: try.nextcloud.com?
Please create test demo account and see if this still happens there.
If yes, please open up bug report
If not, please verify server setup and ask for help on forum
### Environment data
************ CAUSE OF ERROR ************
************ APP INFORMATION ************
Build flavor: generic
************ DEVICE INFORMATION ************
************ FIRMWARE ************</t>
  </si>
  <si>
    <t>google-ExoPlayer-8693</t>
  </si>
  <si>
    <t>Crash happening on 2.13.0: ArrayIndexOutOfBoundsException in maybeUpdateAdMediaSources</t>
  </si>
  <si>
    <t>want to report crash using exoplayer v2.13.0 and googleIMA 3.22.0. It TV app in which we have DAI video and other VOD videos with prerolls midrolls. Not sure if it crashing on live video (DAI) or VOD.
Since we updated Exoplayer to 2.13.0 this crash started happening:
believe this might be crash in the Exo SDK itself since we re not seeing any reference to our code in the stack trace, but even if it not could you provide me any information on what could be causing this, as well as any tips to fix it?
ExoPlayer version 2.13.0
IMA version 3.22.0
Android 47% of crashes
Android 45% of crashes
Android 8% of crashes
Android device: Amazon AFTT AFTTM</t>
  </si>
  <si>
    <t>PojavLauncherTeam-PojavLauncher-1026</t>
  </si>
  <si>
    <t xml:space="preserve">The application is crashing when i start loading a specific mc ver. but when i checked the crash log there's nothing in there... What does it mean? Or what should i do? </t>
  </si>
  <si>
    <t>codekidX-storage-chooser-133</t>
  </si>
  <si>
    <t>[BUG] Crash on launchng dialog on Android 11</t>
  </si>
  <si>
    <t>**Describe the bug**
App crashes when picker is launched with following code
Steps to reproduce the behavior:
myScheme HEADER INDEX
myScheme ADDRESS BAR BG
myScheme FOLDER TINT INDEX
myScheme SELECT LABEL INDEX
myScheme FOLDER CREATION BG INDEX
myScheme MEMORYBAR INDEX
final builder new
final StorageChooser chooser builder
.setListTypeface( font true)
It should show picker dialog as usual
**Smartphone (please complete the following information):**
OS: Android 11</t>
  </si>
  <si>
    <t>kkevn-LEDsign-20</t>
  </si>
  <si>
    <t>Crash on Editing Rainbow Wave Effect</t>
  </si>
  <si>
    <t>For an existing Rainbow Wave effect created in the effects list, attempting to edit this effect will crash the application.
**Steps to reproduce**:
1. Navigate to the profile creation page
2. Apply any combination of at least one Rainbow Wave effect
3. Tap the Edit option for this Rainbow Wave effect
4. Observe the application crash
The application crashes.
The application should navigate to the Rainbow Wave effect creation page with the selected effect parameters loaded in as defaults.</t>
  </si>
  <si>
    <t>Anuken-Mindustry-4904</t>
  </si>
  <si>
    <t>Crash on startup: No glyph:  (59420)</t>
  </si>
  <si>
    <t>have not had the chance to try with the prebuilt binaries, as they do not run on my system without lots of tricks. Arc and Mindustry were built from source as described in the Nix package.
start the game. It shows the loading screen, but before the title menu is shown it crashes.
**Steps to reproduce**: *How you happened across the issue, and what exactly you did to make the bug happen.*
Unclear, it happens to me every time start Mindustry on one machine. On another machine the same files work, so the issue must be in some cache directory like home or tmp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</si>
  <si>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2021-03-08</t>
  </si>
  <si>
    <t>nextcloud-android-8133</t>
  </si>
  <si>
    <t>[dev] App crash on startup</t>
  </si>
  <si>
    <t>When starting the app, an error message appears:
************ CAUSE OF ERROR ************
************ APP INFORMATION ************
Build flavor: versionDev
### Environment data
Android version: 10</t>
  </si>
  <si>
    <t>PojavLauncherTeam-PojavLauncher-1024</t>
  </si>
  <si>
    <t>[BUG] Minecraft crash when I try to enter in a server (again)</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</si>
  <si>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When try to enter in server, like Hypixel for example, the game simply crash.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2. Open the game (1.12.2 or 1.16.5, with the latest OptiFine)
3. Try to enter in server.
... *(your set of actions to reproduce the bug)*
### Expected behavior:
expected to enter in the server ...
### Screenshots or videos:
*Upload here screenshots or videos of the buggy behavior, if possible.*</t>
  </si>
  <si>
    <t>PojavLauncherTeam-PojavLauncher-1020</t>
  </si>
  <si>
    <t>[BUG] LabyMod 1.8.9 crashes</t>
  </si>
  <si>
    <t>### Describe the bug
The instalation of LabyMod ran successfully, but when started the game, it freezes with this error:
One of them is from Labymod vanilla (I don remember which one), the second is from forge, with Labymod mod.
*Also, hope these files are enough, cause accidentally deleted logs.*
### To Reproduce:
1. Install LabyMod (Vanilla or forge, tried both)
2. Start LabyMod
3. It freezes
Motorola e5 plus
Android Version 8.0.0
PojavLauncher Version: Automatic build #2225
&lt;details&gt; context&lt; b&gt;&lt; summary&gt;
ve just started using this app, so don know if this is just
temporary bug in this version, or it cause of my mobile...</t>
  </si>
  <si>
    <t>yasirkula-UnityNativeCamera-56</t>
  </si>
  <si>
    <t>Taking multiple shots on iOS14.4 can crash the game</t>
  </si>
  <si>
    <t>The game crashed after repeated shots, and the lower version of iOS didn crash</t>
  </si>
  <si>
    <t>Anuken-Mindustry-4893</t>
  </si>
  <si>
    <t>Android: App crashes when setting name</t>
  </si>
  <si>
    <t>**Steps to reproduce**: *Open the game, go to join game, tap on the text field labeled Name get returned to my home screen, like exiting by pressing the back key.*
**Link(s) to mod(s) used**: *None used.*
**(Crash) logs**: *Empty log.*
**I have updated to the latest release (https: github.com Anuken Mindustry releases) to make sure my issue has not been fixed.**
Bleeding edge works fine
**I have searched the closed and open issues to make sure that this problem has not already been reported.**</t>
  </si>
  <si>
    <t>2021-03-07</t>
  </si>
  <si>
    <t>labexp-osmtracker-android-307</t>
  </si>
  <si>
    <t>Crash when exporting a long GPX</t>
  </si>
  <si>
    <t>Since today, can export any longer GPX routes. Short routes export correctly. even tried re-exporting routes that successfully exported yesterday, and it didn work what get is partially-exported, truncated GPX file with maybe 1000, maybe 1100 &lt;trkpt&gt; out of 4400. What odd, is that on every export of the same recorded route, the app manages to create an export folder, starts writing to GPX file, writes the waypoints, and starts writing trackpoints but crashes somewhere while exporting the points and *the number of successfully exported points is DIFFERENT each time*. Also, even though my Google Play history says the app was last updated on March 1st, today was greeted by the welcome to OSMtracker screen, even though, like said, was successfully recording and exporting yesterday.
Aside from hoping on having this problem analyzed and fixed, is there way could access the original routes as the app stores them internally, to export them manually somehow?</t>
  </si>
  <si>
    <t>nextcloud-android-8128</t>
  </si>
  <si>
    <t>Crash while uploading (from share)</t>
  </si>
  <si>
    <t>### Steps to reproduce
1. Touch the share button
2. Select nextcloud dev
3. Touch upload
4. app crashes, but media appears to upload successfully (?)
### Expected behaviour
Upload should complete successfully
### Actual behaviour
Noting this appeared to only crash when uploading the first item after upgrading my nextcloud dev client.
Subsequent uploads do not appear to crash.
However stuck in the Nextcloud dev crashed activity, not sure if this is PEBKAC, but open an issue for that problem: #8127
************ CAUSE OF ERROR ************
************ APP INFORMATION ************
Build flavor: versionDev
************ DEVICE INFORMATION ************
************ FIRMWARE ************</t>
  </si>
  <si>
    <t>nextcloud-android-8127</t>
  </si>
  <si>
    <t>Stuck in "Nextcloud dev crashed" activity</t>
  </si>
  <si>
    <t>### Steps to reproduce
1. Crash nextcloud client on android
2. Reopen nextcloud
3. Hit report and try to report the issue hit share button -- really don know what exactly did other than think pressed everything could trying to figure out how to share the crash properly.
4. Then try to dismiss the Nextcloud dev crashed activity. Note the Loading... overlaid text in the screenshot (see bottom of this issue)
### Expected behaviour
Maybe back button dismisses the activity, or there is dismiss button. can remember how got out of this activity before, but it seemed self evident and can remember how.
### Actual behaviour
Stuck in the activity
### Environment data
(Not exactly sure where to get all the data from, so this is data from the stack trace in the activity.)
************ APP INFORMATION ************
Build flavor: versionDev
************ DEVICE INFORMATION ************
************ FIRMWARE ************</t>
  </si>
  <si>
    <t>Anuken-Mindustry-4890</t>
  </si>
  <si>
    <t>Separators consume power even when idle</t>
  </si>
  <si>
    <t>Separators consume 60 power even when they don have any slag to process. They re the only block that does this, as far as know.
**Steps to reproduce**: *How you happened across the issue, and what exactly you did to make the bug happen.*
noticed power nodes flickering when connected separators to solar panels. Power flickered between +5 and -114 (I was using solar panel with separators). After testing realized separators always consume 60 power even when there is no slag for them to process and they have no items in storage. An idle separator is literally power sink, tested with full batteries.
Place separator, connect it to power node. Place any other power consumer (but don give it items liquids to process). You should see the separator power node has -60 power while any other blocks power node has power.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Sorry don know how to upload files to Github. The link is safe. not dumb. know it felony to make someone download virus or something. It called bug save.zip There are places on the map did for testing. Ignore the disassemblers because they re normal and don consume power when idle.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</si>
  <si>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nextcloud-android-8126</t>
  </si>
  <si>
    <t>crash while accessing photos</t>
  </si>
  <si>
    <t>### Steps to reproduce
1. Open photo
### Expected behaviour
### Actual behaviour
Crashes stack trace below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To hard to edit on my phone, the call trace:
************ CAUSE OF ERROR ************
************ APP INFORMATION ************</t>
  </si>
  <si>
    <t>MuntashirAkon-AppManager-313</t>
  </si>
  <si>
    <t>Backup/Restore with 'Only APK' option unmarked creates corrupted app</t>
  </si>
  <si>
    <t>Continuation from here https: github.com MuntashirAkon AppManager issues
As the title says it creates corrupted installation of apps that doesn launch. (Badly crashes while trying to launch).
No Odex patch applied, just regular Backup Restore.
Crash log: https: del.dog ypexaperru
Shows this weird msg while uninstalling.</t>
  </si>
  <si>
    <t>Anuken-Mindustry-4882</t>
  </si>
  <si>
    <t>**Steps to reproduce**: *i played in local network multiplayer with friend in two windows, to play on both teams, and game crashed on second window when it was rolled*
**Link(s) to mod(s) used**: *nothing*
**Save file**: *.*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</si>
  <si>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2021-03-06</t>
  </si>
  <si>
    <t>Anuken-Mindustry-4881</t>
  </si>
  <si>
    <t>IOException during multiplayer game. Client returned back to main menu, not crashed fully</t>
  </si>
  <si>
    <t>**Steps to reproduce**: just played on mindustry io attack server
**Link(s) to mod(s) used**: None
**(Crash) logs**: It is not crash that generated such crash log, but there is Exception stack in other file last log.txt, attaching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</si>
  <si>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Anuken-Mindustry-4879</t>
  </si>
  <si>
    <t>Player's speed is not limited to speed of formation</t>
  </si>
  <si>
    <t>**Steps to reproduce**: simple example:
1. connect to server
2. take gamma
3. make horizons
4. make formation (but stay as gamma)
5. fly far
6. you get reconciled back after while like your speed is too fast
**Link(s) to mod(s) used**: no mods
**Save file**: don think this is needed, but ll attach gif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</si>
  <si>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OpenTracksApp-OpenTracks-636</t>
  </si>
  <si>
    <t>[v3.15.0] GPX export fails: File name contains invalid characters</t>
  </si>
  <si>
    <t>**Describe the bug**
recorded bike ride today, just like always do. Now after updating the app no longer to export the GPX to any other app. As understand from the logcat output it looks like the encoding of spaces as %20 could be troublesome.
1. Open recording
2. Click the share icon
3. Select Nextcloud K-9whatever
4. App crashes
Device: Pixel 3a
OS: Android 11</t>
  </si>
  <si>
    <t>nextcloud-android-8119</t>
  </si>
  <si>
    <t>Nextcloud app is crashing or not responding while uploading files in the background.</t>
  </si>
  <si>
    <t>### Steps to reproduce
1. Install Nextcloud app
2. Mark for Auto Upload photos 60GB)
3. Close Open the app (it has become absolutely unusable)
### Expected behaviour
App running wile the uploading photos
### Actual behaviour
Not responding (stuck) or even crashes
### Can you reproduce this problem on https: try.nextcloud.com?
### Environment data
Android version: 10.0.0.185
Device model: Huawei P20 Pro
Stock or customized system:
Nextcloud app version: 3.15.0
Nextcloud server version: 20.0.5
#### Nextcloud log (data nextcloud.log)</t>
  </si>
  <si>
    <t>TeamNewPipe-NewPipe-5769</t>
  </si>
  <si>
    <t>Newpipe generates crash reports when comments are disabled</t>
  </si>
  <si>
    <t>PojavLauncherTeam-PojavLauncher-1009</t>
  </si>
  <si>
    <t>[BUG] Dropz mod not working</t>
  </si>
  <si>
    <t>### To Reproduce:
Indicate steps to reproduce the buggy behavior:
1. Install the dropz mod and fabricapi
2. Install optifabric and optifine
3. Boot up PojavLauncher
4. Select version containing fabric
5. Press the Play button
### Expected behavior:
expected the dropz mod to work on PojavLauncher with optifabric, and not crash
### Screenshots or videos:
*Upload here screenshots or videos of the buggy behavior, if possible.*
Device Mode: Redmi Note 9s Pro
CPU architecture: aarch64
Android Version: Android 10
PojavLauncher Version e.g Latest Release version 3.3.1.1 rel 20210303
&lt;details&gt; context&lt; b&gt;&lt; summary&gt;
Dropz mod is like item physics mod but more realistic</t>
  </si>
  <si>
    <t>TeamNewPipe-NewPipe-5762</t>
  </si>
  <si>
    <t>YouTube Search throws an error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</si>
  <si>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Go on NewPipe and search YouTube for anything
&lt;!-- If you can cause the bug to show up again reliably (and hence don have proper set of steps to give us), please still try to give as many details as possible on how you think you encountered the bug. --&gt;
### Actual behaviour
You get the screen with no results and the error below
### Expected behavior
You get search results
&lt;!-- If your bug includes crash (where you re shown the Error Report page with bunch of info), tap on Copy formatted report at the bottom and paste it here: --&gt;
&lt;!-- That right, here! --&gt;
User Action: searched
Request: 8088 domination
Content Country: DE</t>
  </si>
  <si>
    <t>2021-03-05</t>
  </si>
  <si>
    <t>alvi-khan-Donors-Choose-22</t>
  </si>
  <si>
    <t>Charity profile pages crash immediately.</t>
  </si>
  <si>
    <t>GoogleCloudPlatform-fda-mystudies-3301</t>
  </si>
  <si>
    <t xml:space="preserve">[Android] App is getting crashed while enrolling into the study </t>
  </si>
  <si>
    <t>1. Login into SB
2. Add Edit study
3. Create more than one consent with the same title
4. Launch the study
5. In mobile app try to enroll for the particular study</t>
  </si>
  <si>
    <t>alvi-khan-Donors-Choose-13</t>
  </si>
  <si>
    <t>App crashes for new users in User Profile page.</t>
  </si>
  <si>
    <t>TeamNewPipe-NewPipe-5751</t>
  </si>
  <si>
    <t>Comments don't load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</si>
  <si>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Load any video
2. Go to comments
&lt;!-- If you can cause the bug to show up again reliably (and hence don have proper set of steps to give us), please still try to give as many details as possible on how you think you encountered the bug. --&gt;
### Actual behaviour
Comments don load and it says no comments
### Expected behavior
The comments load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</si>
  <si>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2021-03-04</t>
  </si>
  <si>
    <t>google-ExoPlayer-8675</t>
  </si>
  <si>
    <t>Resume after Behind-Live-Window-Exception issues</t>
  </si>
  <si>
    <t>**Crashes on versions 2.13.+**
**Steps to Reproduce**
2) Attach to the exoplayer.
3) Reproducing will crash the app. (Pause the live stream for more than twice the live window duration and then resume the video to reproduce
Works fine if don attach the by removing the below line
FATAL EXCEPTION: main
val bandwidthMeter: BandwidthMeter
player?.repeatMode Player.REPEAT MODE ONE
fun setMediaSource(url: String)
val dataSourceFactory: DataSource.Factory
val hlsMediaSource: HlsMediaSource</t>
  </si>
  <si>
    <t>Spikatrix-Zoned-5</t>
  </si>
  <si>
    <t>Crash on startup on Windows in Zoned v0.0.4-dev</t>
  </si>
  <si>
    <t>Zoned v0.0.4-dev crashes on startup on Windows. suspect this was caused by 807834c which fetches the Discord RPC Java wrapper library from upstream rather than relying on jar file.
Windows Java version:
Java(TM) SE Runtime Environment (build 1.8.0 241-b07)
Crash stack trace:
Caused by: Unable to load library discord-rpc Native library (win32-x86-64 discord-rpc.dll) not found in resource path file: C: Users jas Downloads Zoned-0.0.4-dev.jar
Looks like it can find the Discord RPC dll file. Looking into the jar file, there the
32-bit lib at win-x86 discord-rpc.dll
64-bit lib at win-x64 discord-rpc.dll
There no win32-x86-64 folder. Sure enough, duplicating the win-x64 folder with the name win32-x86-64 and saving it in the jar fixed the issue. An alternate workaround would be to disable Zoned Discord RPC manually by setting &lt;entry key Discord RPC Preference &gt;false&lt; entry&gt; in Zoned preferences which you can find at C: Users username .prefs Zoned Preferences
However that more of workaround and not permanent actual fix. not sure why it looks up win32-x86-64 rather than win-x64 there and also not sure if this is an upstream library issue.
experiencing this issue only on Windows. It works flawlessly on Linux. Android is out of the equation since it does not support Discord RPC yet.</t>
  </si>
  <si>
    <t>TeamNewPipe-NewPipe-5748</t>
  </si>
  <si>
    <t>Crash upon reordering channel groups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</si>
  <si>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0.20.10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Subscriptions
2. Press on the three stripes in the top left to reorder the channel group order
3. Press on the three bars to swift order
&lt;!-- If you can cause the bug to show up again reliably (and hence don have proper set of steps to give us), please still try to give as many details as possible on how you think you encountered the bug. --&gt;
### Actual behaviour
&lt;!-- Tell us what happens with the steps given above. --&gt;
Upon trying to shift channel group, an UI crash occurs immediately and it sends me to the error report page
### Expected behavior
&lt;!-- Tell us what you expect to happen. --&gt;
It should upon holding the bars of particular channel group be able to shift up and down the order
### Screenshots Screen recordings</t>
  </si>
  <si>
    <t>jellyfin-jellyfin-androidtv-752</t>
  </si>
  <si>
    <t>(master) App crashes while setting background</t>
  </si>
  <si>
    <t>**Describe the bug**
Sometimes the app will crash while it loading background images. can really find pattern to it, but ve noticed it more when scroll around fast.
There was root cause:
call for more detail
There was root cause:
call for more detail
**System (please complete the following information):**
Emulator, Fire TV Stick, Sony Android TVs</t>
  </si>
  <si>
    <t>nextcloud-android-8103</t>
  </si>
  <si>
    <t>It crashes if it can't access the site</t>
  </si>
  <si>
    <t>### Steps to reproduce
There is not much of steps, it seems like it crashes in the background (when have not opened the app myself) when there is no internet access
### Expected behaviour
It should not crash
### Actual behaviour
think it is trying to sync in the background and it crashes.
Nextcloud app version: Dev 20210226
Nextcloud server version: Nextcloud 20.0.7
************ CAUSE OF ERROR ************
Caused by: Unable to resolve host site.com No address associated with hostname
... 26 more
************ APP INFORMATION ************
Build flavor: versionDev
************ DEVICE INFORMATION ************
************ FIRMWARE ************</t>
  </si>
  <si>
    <t>2021-03-03</t>
  </si>
  <si>
    <t>nextcloud-android-8102</t>
  </si>
  <si>
    <t>App crashes while creating an password protected sharing link</t>
  </si>
  <si>
    <t>### Steps to reproduce
1. Open the app, choose any file
2. click details share add new public link
3. Open the menu to add password, enter password crash
### Expected behaviour
It should work without crashing
### Actual behaviour
### Can you reproduce this problem on https: try.nextcloud.com?
actually am unable to create test account there, sorry.
### Environment data
Stock or customized system:
Nextcloud app version:
Nextcloud server version:
#### Web server error log
Insert your webserver log here
#### Nextcloud app error
************ CAUSE OF ERROR ************
************ APP INFORMATION ************
Build flavor: generic
************ DEVICE INFORMATION ************</t>
  </si>
  <si>
    <t>k9mail-k-9-5187</t>
  </si>
  <si>
    <t>Crash when editing outgoing server settings</t>
  </si>
  <si>
    <t>**Describe the bug**
Ever since the 5.728 (https: github.com k9mail k-9 releases tag 5.728) update (with the long awaited Add support for client certificate and password authentication (https: github.com k9mail k-9 issues change, K-9 crashes when trying to send email over (TLS-enabled) SMTP server.
Steps to reproduce the behavior:
1. Go to Settings Account settings Sending mail Outgoing server
2. Optional: disable require sign-in
3. Tap on Next
4. K-9 crashes and goes back to the Sending mail screen.
5. Click Next again and K9 crashes and the Android K-9 Mail keeps stopping screen comes up.
K-9 should not crash :-)
**Environment (please complete the following information):**
K-9 Mail version: 5.731 (https: github.com k9mail k-9 releases tag 5.731) (Beta)
Android version: 11 (February 2021)
Device: Google Pixel 4a
Account type: IMAP SMTP
When the Next button is pressed (and K-9 crashes), the following is being captured by logcat
--------- beginning of crash
The crash looked bit like the one reported in #5134, but the behaviour is different. K-9 works fine, fetching and reading mail works fine, only sending crashes the application.
And, after the crash:
adb logcat -d --pid $(adb shell pgrep k9)
--------- beginning of main</t>
  </si>
  <si>
    <t>TeamNewPipe-NewPipe-5742</t>
  </si>
  <si>
    <t>UI crashed on Realme ui</t>
  </si>
  <si>
    <t>User Action: ui error
Request: App crash, UI failure
Content Country: US
Content Language: en-US
App Language: en US
OS: Linux realme RMX1911 RMX1911:10 QKQ1.200209.002 1603357505:user release-keys 10 29
log b&gt;&lt; summary&gt;&lt;p&gt;
### Device info
Android version Custom ROM version: Realme UI 1.0
Device model: Realme</t>
  </si>
  <si>
    <t>prebid-prebid-mobile-android-240</t>
  </si>
  <si>
    <t>Crash reports java.lang.InternalError Thread starting during runtime shutdown</t>
  </si>
  <si>
    <t>Our users experiencing crashes, which looks like happens at the application close. Not sure if it is real crash or unavailability to correctly close the app.
There is stack trace:
users environment (https: 527307
Crashes appear since prebid 1.4, our current version 1.6</t>
  </si>
  <si>
    <t>DanielVaknin-MamaFood-16</t>
  </si>
  <si>
    <t>Login/Register page crashes when empty details</t>
  </si>
  <si>
    <t>When you don provide any login details and click on login the application crashes</t>
  </si>
  <si>
    <t>commons-app-apps-android-commons-4283</t>
  </si>
  <si>
    <t>IllegalStateException: The application's PagerAdapter changed the adapter's contents without calling PagerAdapter#notifyDataSetChanged! Expected adapter item count: 140, found: 150</t>
  </si>
  <si>
    <t>In the contributions activity, when opening any of my uploaded pictures get the following crash either immediately or after changing screen orientation few times. can reproduce the crash easily, both in latest master and in branch
hours later, get the same crash with different numbers: Expected adapter item count: 590, found: 600
guess the app is somehow busy loading my thousands of past contributions, and miscalculating something while this happens. The crash might not be reproduced on account with few contributions. It does not happen in Explore either.</t>
  </si>
  <si>
    <t>capacitor-community-google-maps-40</t>
  </si>
  <si>
    <t>Fix default config setup in setCamera</t>
  </si>
  <si>
    <t>Reported by gbrits
Ref https: github.com hemangsk pull 39
causes app to crash. We need to find proper way to get current camera position and use that config as the fallback value in setCamera.</t>
  </si>
  <si>
    <t>PojavLauncherTeam-PojavLauncher-999</t>
  </si>
  <si>
    <t>labymod 1.8.9 crash
---- Minecraft Crash Report ----
detailed walkthrough of the error, its code path and all known details is as follows:
-- Head --
-- Initialization --
-- System Details --
Minecraft Version: 1.8.9
Operating System: Linux (aarch64) version Android-10
JVM Flags: 26 total -Xmx2G -Xms2G -Xmn768m -XX:+UseParNewGC -XX:+UseNUMA 15 30 150 -XX:SurvivorRatio 90 15 -XX:+AggressiveOpts 2048m 10000 10 -Xbootclasspath p: storage emulated games PojavLauncher caciocavallo ResConfHack.jar: storage emulated games PojavLauncher caciocavallo storage emulated games PojavLauncher caciocavallo
Launched Version: 1.8
GL Caps: VboRegions not supported, missing: OpenGL 1.3, ARB copy buffer
Using GL 1.3 multitexturing.
Using GL 1.3 texture combiners.
Using framebuffer objects because ARB framebuffer object is supported and separate blending is supported.
Shaders are available because OpenGL 2.1 is supported.
VBOs are available because OpenGL 1.5 is supported.
Using VBOs: No
Is Modded: Very likely Jar signature invalidated
Resource Packs: vanilla
Current Language: English (US)</t>
  </si>
  <si>
    <t>2021-03-02</t>
  </si>
  <si>
    <t>TeamNewPipe-NewPipe-5733</t>
  </si>
  <si>
    <t>Comments no longer showing on any videos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</si>
  <si>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any video in the app
2. Go to the comments tab at the bottom
3. Screen will show no comments
&lt;!-- If you can cause the bug to show up again reliably (and hence don have proper set of steps to give us), please still try to give as many details as possible on how you think you encountered the bug. --&gt;
### Actual behaviour
Comments section is empty and it just says no comments
### Expected behavior
Great youtube comments everyone loves reading are supposed to be in this tab
### Screenshots Screen recordings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</si>
  <si>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morenoh149-react-native-contacts-596</t>
  </si>
  <si>
    <t>Crash on Android when loading contacts</t>
  </si>
  <si>
    <t>Couldn read row 900, col from CursorWindow. Make sure the Cursor is initialized correctly before accessing data from it.
faced with this crash couldn find any solution or wrong usage of library.
thanks in advance</t>
  </si>
  <si>
    <t>PojavLauncherTeam-PojavLauncher-995</t>
  </si>
  <si>
    <t xml:space="preserve">[Mod not working] The mod works on MCinabox but crashes on Pojav. </t>
  </si>
  <si>
    <t>The mod in question is SanLib. It is dependency of Claysoldiers mod by SanAndreasP on forge. The main error the crash log shows is Caught exception from SanAndreasPs Mod Library (sanlib)
&lt;summary&gt;&lt;b&gt;Mod not working because of missing method?&lt; b&gt;&lt; summary&gt;
### Describe the bug
Not much that understand but think its because of methods of java apps(?) or maybe java opengl(?) that aren in the Pojav Java Runtime.
### To Reproduce:
Indicate steps to reproduce the buggy behavior:
1. Make sure Claysoldiers mod and it dependencies are in mod folder.
2. Start PojavLauncher.
3. Wait for black screen.
4. App crashes and sends user to previous screen (app drawer or home screen)
### Expected behavior:
expected it to work fine since its working on pc and on MCinabox.
### Screenshots or videos:
*Upload here screenshots or videos of the buggy behavior, if possible.*
Device Model e.g. Mi Pro 128
CPU architecture e.g. aarch64
Android Version e.g. 10
PojavLauncher Version e.g Latest Release version 3.3.1.1 rel 20210206
Sorry don know how to upload the crash log on github mobile so this is link to the crash file.</t>
  </si>
  <si>
    <t>doublesymmetry-react-native-track-player-1126</t>
  </si>
  <si>
    <t>Activity relaunches the app after killed</t>
  </si>
  <si>
    <t>**Describe the bug**
When kill the app (except for when using back button), the app relaunches itself and crashes.
see this in logs:
Steps to reproduce the behavior:
Launch on Android, swipe to kill app.
**Environment (please complete the following information):**
Run react-native info in your project and share the content.
info Fetching system and libraries information...
API Levels: 23, 26, 27, 28, 29
Build Tools: 27.0.3, 28.0.3, 29.0.0, 29.0.2
System Images: android-30 Google Play Intel x86 Atom
Android NDK: 17.2.4988734
Android Studio: 4.1
What version are you using? 2.0.0-rc13
Are you testing on real device or in the simulator? Which OS version are you running?
Please, share the code that is causing the issue</t>
  </si>
  <si>
    <t>2021-03-01</t>
  </si>
  <si>
    <t>ElderDrivers-EdXposed-844</t>
  </si>
  <si>
    <t>[BUG] edXposed thinks it's not installed properly but it is working.</t>
  </si>
  <si>
    <t>** What happened?**
upgraded to Magisk 22 and also got recent edXposed and things stopped working properly. Opening edXposed welcomes me with this:
However modules do work. Still, checking logs indicates some problems:
--------- beginning of head
Powered by Log Catcher
QQ support group: 855219808
Telegram support group: Code Of MeowCat
Telegram channel: EdXposed
--------- beginning of information
ROM description: OnePlus7Pro-user 10 QKQ1.190716.003 2007240000 release-keys
Android build: QKQ1.190716.003
Android version: 10
Android sdk: 29
EdXposed api: 91.0
Riru version: ()
--------- beginning of main
--------- beginning of system
--------- beginning of crash
note missing Riru version and Api.
am aware of bug #828 and others. Tried all described there with no luck.</t>
  </si>
  <si>
    <t>nextcloud-android-8086</t>
  </si>
  <si>
    <t>[dev] App crash</t>
  </si>
  <si>
    <t>************ CAUSE OF ERROR ************
Caused by: timeout
Caused by: Socket closed
... 22 more
************ APP INFORMATION ************
Build flavor: versionDev
### Environment data
Android version: 10</t>
  </si>
  <si>
    <t>ZogopZ-to-do-73</t>
  </si>
  <si>
    <t>Rework edit clock instance button.</t>
  </si>
  <si>
    <t>The add button should be disabled while the user edits clock instance. This results to crash of the application because it tries reordering to-do instances with empty clock instances.</t>
  </si>
  <si>
    <t>AOF-Dev-MCinaBox-993</t>
  </si>
  <si>
    <t>Forge Does Not Work</t>
  </si>
  <si>
    <t>**Describe the crash**
clear and concise description of what the bug is.
Installed the last Version of Mcinabox. So did every step. And started Forge 1.12.2. Then when the Mojang Screen Pop up It Crashed.
Steps to reproduce the crash:
1. Go to Mcinabox
2. Click on Start game. Make sure 1.12.2 forge is Selected
4. See the crash
clear and concise description of what you expected to happen.
If applicable, add screenshots to help explain your problem.
Will Add If Needed
**Smartphone (please complete the following information):**
Device: Samsung Galaxy J2 Prime
OS: Android 6.0.1
App Version v0.1.4-p5-0119
CPU architecture aarch32
Add any other context about the problem here.
Here is the latest log Goodluck Reading this</t>
  </si>
  <si>
    <t>cgeo-cgeo-10093</t>
  </si>
  <si>
    <t>Crash after renaming theme file</t>
  </si>
  <si>
    <t>While testing theme sync yesterday had several crashes with 2021.02.28-NB.
Sadly cannot really reproduce it up to now.
What potentially did before this happened was:
Debug mode active
Rename some theme folder and or theme file
Open live map
Open theme selection menu
Not sure whether it crashed on startup, on live map or only when opening the theme selection.
This is the log exported yesterday:</t>
  </si>
  <si>
    <t>k9mail-k-9-5176</t>
  </si>
  <si>
    <t>K9 Mail crashes with replicant 6</t>
  </si>
  <si>
    <t>When first start K9 mail, it asks for mail, password. fill these fields, and when clicking next it freezes.
The K9-mail version is Version 5.731, from f-droid.
The replicant version is 6.0 0003
The phone is Samsung S3 i9300</t>
  </si>
  <si>
    <t>k9mail-k-9-5175</t>
  </si>
  <si>
    <t>Draging an account on the accounts screen crashes</t>
  </si>
  <si>
    <t>During testing of my fix for issue #4875 if found that if you try and drag any of the accounts listed
on the accounts screen down (I appreciate that it makes no sense to do this here, but you can) it crashes well actually it never finishes.
running the K9 5.731 Beta on my tablet, and observe the same behaviour in the Studio emulator for my forked repos of 5.732. Attached is the log from Studio</t>
  </si>
  <si>
    <t>nextcloud-android-8083</t>
  </si>
  <si>
    <t>Crash on sharing a file</t>
  </si>
  <si>
    <t>### Steps to reproduce
1. Pick random file in Files
2. Click share icon
3. Search for local user
4. Choose local user when popping up
5. Click Share
### Expected behaviour
File should be shared with chosen user
### Actual behaviour
wait spinner appears, then application crashes
### Can you reproduce this problem on https: try.nextcloud.com?
Please create test demo account and see if this still happens there.
either logged into Trial Account in which can establish password to use in the application or asked to contact you for quote. How am supposed to do this?
### Environment data
Samsung Galaxy S8
Stock or customized system:
Nextcloud app version:
30150090 (latest on F-Droid)
Nextcloud server version:
20-something (latest from Syncloud)</t>
  </si>
  <si>
    <t>nextcloud-android-8082</t>
  </si>
  <si>
    <t>Nextcloud dev in crash loop on missing server</t>
  </si>
  <si>
    <t>### Steps to reproduce
1. Install dev v. 20210224 (currently latest on F-Deoid)
2. Connect to account on server
3. Shutdown server
### Expected behaviour
Application handles missing server connectivity in sensible way
### Actual behaviour
Application crashes in loop
### Can you reproduce this problem on https: try.nextcloud.com?
if you shut it down ll test
### Environment data
Samsung Galaxy S8
Stock or customized system:
Nextcloud app version:
Nextcloud server version:
Was at 20-something (latest in Syncloud)
#### Web server error log
#### Nextcloud log (data nextcloud.log)
#### Android stack trace
************ CAUSE OF ERROR ************</t>
  </si>
  <si>
    <t>Anuken-Mindustry-4824</t>
  </si>
  <si>
    <t>server crash upon placing power consuming/producing/storing blocks</t>
  </si>
  <si>
    <t>(what ever quezler uses to host nydus)
**Steps to reproduce**:
make headless server
join the server
build something which consumes stores produces power (except power nodes and diodes)
server crash when finished
**Link(s) to mod(s) used**:none
**I have updated to the latest release (https: github.com Anuken Mindustry releases) to make sure my issue has not been fixed.**
**I have searched the closed and open issues to make sure that this problem has not already been reported.**</t>
  </si>
  <si>
    <t>nextcloud-android-8081</t>
  </si>
  <si>
    <t xml:space="preserve">App crashes while sharing by email from Android. </t>
  </si>
  <si>
    <t>Tried to share by email from Nextcloud app
************ CAUSE OF ERROR ************
************ APP INFORMATION ************
Build flavor: gplay
************ DEVICE INFORMATION ************
************ FIRMWARE ************</t>
  </si>
  <si>
    <t>PojavLauncherTeam-PojavLauncher-983</t>
  </si>
  <si>
    <t>[BUG] Immersive Portals (fabric) doesn't work.</t>
  </si>
  <si>
    <t>When enter the game, it keeps crashing. am using version 1.16.5 fabric.
--------- beggining with launcher debug
--------- beginning of main
Sony Xperia XZ2</t>
  </si>
  <si>
    <t>2021-02-28</t>
  </si>
  <si>
    <t>TeamNewPipe-NewPipe-5718</t>
  </si>
  <si>
    <t>Fix crash when reordering channel groups.</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</si>
  <si>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Fix the crash that occurs when reordering channel groups.
#### Fixes the following issue(s)
&lt;!-- Also add any other links relevant to your change. --&gt;
https: github.com TeamNewPipe NewPipe issues 5596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On the website the APK can be found by going to the Checks tab below the title and then on artifacts on the right.
#### Due diligence
read the contribution guidelines (https: github.com TeamNewPipe NewPipe blob HEAD .github CONTRIBUTING.md).</t>
  </si>
  <si>
    <t>connectbot-connectbot-904</t>
  </si>
  <si>
    <t>Crash on versions git-v1.9.7-76 to git-v1.9.7-82</t>
  </si>
  <si>
    <t>## Bug description
Connectbot crashes when launched on Pixel XL running latest Android build RQ1A.210205.004.
The affected versions are the latest versions at time of writing:
## Steps to reproduce
1. Open Connectbot
2. Observe instant crash and app close.
3. Try open Connectbot again.
4. See Android dialogue box explaining that Connectbot keeps stopping
## Expected behavior
It is expected that Connectbot will open without crashing.
## Android device
Device: Google Pixel XL
OS: Android 10 build RQ1A.210205.004
ConnectBot Versions: and and and and and and
## Additional context
Thanks for Connectbot!</t>
  </si>
  <si>
    <t>2021-02-27</t>
  </si>
  <si>
    <t>OpenTracksApp-OpenTracks-614</t>
  </si>
  <si>
    <t xml:space="preserve">[v3.15.0] Bug: GPX export crashes on multi-track export </t>
  </si>
  <si>
    <t>Reported via GooglePlay Store.
Somehow one can trigger multi-track export to GPX.
And that is not supported by the GPXTrackExporter.</t>
  </si>
  <si>
    <t>nextcloud-android-8077</t>
  </si>
  <si>
    <t>unable to share folder with read and put or put only rights</t>
  </si>
  <si>
    <t>### Steps to reproduce
1. Create empty folder
2. Cr ate sharing link
3. Change permissions of the link from read only to put only or read and put files
### Expected behaviour
should change access rights of the folder
### Actual behaviour
application crash with logs bellow
************ CAUSE OF ERROR ************
************ APP INFORMATION ************
Build flavor: generic
************ DEVICE INFORMATION ************
************ FIRMWARE ************</t>
  </si>
  <si>
    <t>Anuken-Mindustry-4806</t>
  </si>
  <si>
    <t>Spawning when opening a new zone from a long time ago. Behavior of enemy units.</t>
  </si>
  <si>
    <t>Other major problem, as you can see, when updated to 125.1, all my tech tree progress was erased, but not the maps and zones. think it rather an **important problem** to lose all progression on tech tree but **not on the planet**...
**Steps to reproduce**: Open zone 170, at wave there is as seen pulsars spawning. think that it is impossible to recreate because they were flying out of the map.
**Link(s) to mod(s) used**: No mods were used at this time.
**Save file**: How do save the map of Campaign map on file? Sorry, but have screenshot instead if it can help you.
If you remove the line above without reading it properly and understanding what it means, will reap your soul. Even if you re playing on someone server, you can still save the game to slot.
**(Crash) logs**: It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</si>
  <si>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ankitbatra11-materialistic-13</t>
  </si>
  <si>
    <t>setSelection crash on device rotation</t>
  </si>
  <si>
    <t>PojavLauncherTeam-PojavLauncher-974</t>
  </si>
  <si>
    <t>[BUG] Crash Upon Launching Game 1.12.2 [Forge/Vanilla]</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</si>
  <si>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Upon starting any version type of the Minecraft client, the launcher opens the game, and immediately crashes, returning to the launcher main menu. This has been tested with both Vanilla and Forge releases of the 1.12.2 Minecraft version, with the issue occurring on both releases.
**Add log file if you want to see your bug fixed !**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2. Select version and press Play
3. Wait for the client to open
4. The client crashes, returning to the main menu of the launcher.
### Expected behavior:
expected the client to open normally and be functional operational with inputs.
### Screenshots or videos:
*Upload here screenshots or videos of the buggy behavior, if possible.*</t>
  </si>
  <si>
    <t>2021-02-26</t>
  </si>
  <si>
    <t>MuntashirAkon-AppManager-299</t>
  </si>
  <si>
    <t>App crashing at specific Tabs</t>
  </si>
  <si>
    <t>**Describe the bug**
The App is crashing, when going to Providers, App OPS, User Permissions and Permissions.
Caused by: length 100 index 100
App version: 2.5.20
App version code: 375
Android build version: G973FXXU9ETLJ
Android release version: 11
Android SDK version: 30
Android build ID: beyond1ltexx-user 11 RP1A.200720.012 G973FXXU9ETLJ release-keys
Device brand: samsung
Device manufacturer: Samsung
Device name: beyond1
Device model: SM-G973F
Device product name: beyond1ltexx
Device hardware name: exynos9820
ABIs (32bit): armeabi-v7a, armeabi
ABIs (64bit): arm64-v8a
System language: de-DE
In-App Language: auto, but doesn matter</t>
  </si>
  <si>
    <t>Anuken-Mindustry-4802</t>
  </si>
  <si>
    <t>Game gets confused and puts you in a weird state when joining a server (server join spectator bug)</t>
  </si>
  <si>
    <t>know this is duplicate of #4800, but have reproduction steps apparently not
in this mode:
you will see the world as singleplayer
you can chat or see the chat
you can interact with the world, and people can see you
you can see the player list
you can see what people are building breaking
you can see other people
**Steps to reproduce**:
1. open the join dialog
2. click the server you want to perform the bug in (tested on 2r2t)
3. quickly click the cancel button on the connecting screen
4. if you get loading world data the glitch has been performed successfully
5. if you get already connected connection timed out or nothing, you weren fast enough
**Link(s) to mod(s) used**: none
**Save file**: multiplayer-bug.zip (https: github.com Anuken Mindustry files 6051410 (zipped msav)
**(Crash) logs**: no crashes
*Place an (no spaces) between the brackets to confirm that you have read the line below.*
**I have updated to the latest release (https: github.com Anuken Mindustry releases) to make sure my issue has not been fixed.**</t>
  </si>
  <si>
    <t>SDP-group22-Helio-app-84</t>
  </si>
  <si>
    <t>Make control sliders send move instead of update requests</t>
  </si>
  <si>
    <t>See This should send move request but it updates instead. Note that it crashes if you use id) because there is no current id when in the control screen, so something will need to be done to get the id if the motor from there and send to the model in new method.</t>
  </si>
  <si>
    <t>nextcloud-android-8072</t>
  </si>
  <si>
    <t>App crashed by setting password on OnePlus7T</t>
  </si>
  <si>
    <t>### Steps to reproduce
1. Open Android App
2. Move to Folder. Folder has name 24.02.2021
3. Press on sharing button, press on Share Link Sharing Link is generated everything works as expected
4. Press Dots Menu Button br&gt;&lt;img src https: 9842552 height 1000px
5. Choose Set Password br&gt;&lt;img src https: 9842552 height 1000px
6. Confirm new Password -&gt; App crashed br&gt;&lt;img src https: 9842552 height 1000px
### Expected behaviour
Password will be set. App doesn crashed
### Actual behaviour
### Can you reproduce this problem on https: try.nextcloud.com?
No, because it just happen in the app.
**** CAUSE OF ERROR ****
**** APP INFORMATION ****
Build flavor: generic
**** DEVICE INFORMATION ****
**** FIRMWARE ****
Google Play-Systemupdate: 2021-02-01
Nextcloud server version: 20.0.8
Reverse proxy: Apache</t>
  </si>
  <si>
    <t>opensrp-opensrp-client-eusm-60</t>
  </si>
  <si>
    <t>App crashing when loading service points for live mission test</t>
  </si>
  <si>
    <t>Here the mission: https: missions assignments
When user assigned to this mission logs in and selects the mission and distirct in the dropdown, the app starts to fetch the service points and then crashes, consistently.</t>
  </si>
  <si>
    <t>mtotschnig-MyExpenses-771</t>
  </si>
  <si>
    <t>Template screen crashes on Vivo devices with Android 11</t>
  </si>
  <si>
    <t>Fatal Exception: length 22 index 22</t>
  </si>
  <si>
    <t>mtotschnig-MyExpenses-768</t>
  </si>
  <si>
    <t>Crash when user enters first plan and grants calendar permission</t>
  </si>
  <si>
    <t>On fresh install
Open Templates and Plans
Click on Floating action button
Enter title and amount
Set Plan to daily and grant Calender permission
Click on Floating action button
App crashes on some devices</t>
  </si>
  <si>
    <t>nextcloud-android-8067</t>
  </si>
  <si>
    <t>Repeated crashes (dev version)</t>
  </si>
  <si>
    <t>### Steps to reproduce
1. Install Nextcoud Dev from F-Droid (version 20210220)
### Expected behaviour
The app continues to work in general.
### Actual behaviour
App keeps crashing and restarting. It not possible to use the device since it keeps switching to the new Nextcloud instance after every crash.
Slowly making your way to settings to force stop the app does not work: keeps crashing and relaunching.
### Can you reproduce this problem on https: try.nextcloud.com?
This URL on Android only shows the Nextcloud white logo on blue background. Tapping the logo takes you to nextcloud.com
### Environment data
Android version: 7.1.2
Device model: LG-h870
Stock or customized system: LineageOS
Nextcloud app version: 20210220
won be able to get logs or replicate since it renders my device unusable for long until uninstalled. Hope it still helps.</t>
  </si>
  <si>
    <t>TeamNewPipe-NewPipe-5707</t>
  </si>
  <si>
    <t>Crash when requesting a Channel/Feed/Subscriptions</t>
  </si>
  <si>
    <t>This is an issue with youtube not us: https: support.google.com youtube thread 99787251
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20.10&lt;!--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Request any Channel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</si>
  <si>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2021-02-25</t>
  </si>
  <si>
    <t>Anuken-Mindustry-4789</t>
  </si>
  <si>
    <t>Mechanism images problem</t>
  </si>
  <si>
    <t>**Steps to reproduce**: *I did 1st stage, then moved to the next, all mechanism images gone*
**Link(s) to mod(s) used**: *https: steamcommunity.com sharedfiles filedetails ?id 2406760691*
**Save file**: *https: steamcommunity.com sharedfiles filedetails ?id 2406760691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*No crash reports*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</si>
  <si>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SCCapstone-TabDab-97</t>
  </si>
  <si>
    <t>Fix settings menu bug</t>
  </si>
  <si>
    <t>Settings menu crashes shortly after opening.</t>
  </si>
  <si>
    <t>TeamNewPipe-NewPipe-5705</t>
  </si>
  <si>
    <t>Immediate crash</t>
  </si>
  <si>
    <t>jellyfin-jellyfin-androidtv-739</t>
  </si>
  <si>
    <t>Unable to play live TV on Shield TV</t>
  </si>
  <si>
    <t>So this issue seems to be isolated to the Shield platform at the moment but cannot get any live TV to play on it. select channel, it spins for second then enters loop of player error will retry endlessly until can manage to force back to the menu or the app crashes.
Testing it on browsers, iOS and even on Firestick everything works great but not on shield.
Issue has been incredibly frustrating as liveTV was seemingly working fine as of week ago and have made no changes to settings.
System (please complete the following information):
Jellyfin Version: 10.6.4
Installed Plugins: TVMaze, Anime, TMDB Box Sets, Fanart, Kodi, Open Subtitles
Reverse Proxy: traefik
Base URL: my own
Have tried doing full and complete wipe to no avail.
Running my jellyfin server on docker and have 10.6.4 deployed currently.</t>
  </si>
  <si>
    <t>grishka-Houseclub-163</t>
  </si>
  <si>
    <t>Bugs in android x86</t>
  </si>
  <si>
    <t>**When it runs on tablet (android x86) it just crashes while opening**
**Steps to reproduce the behavior:**
1. Open the app in Android x86 tablet (1920x1080)
2. Enter in app
3. Join any room
4. App crashes and exits
The bug is detected while joining any room. It just exits, but the account occurs in the participants list of the room.
There are no screenshots, but it just exits with an alert about
**NOT SMARTPHONE (please complete the following information):**
Laptop Asus Vivobook: Ryzen 3700U with iGPU Vega 10, 8gb RAM, 1920x1080
OS: Android x86 release
1.0.7 and previous versions
App crashes while joining rooms.</t>
  </si>
  <si>
    <t>Anuken-Mindustry-4783</t>
  </si>
  <si>
    <t>Cant join local hosted games on mobile</t>
  </si>
  <si>
    <t>samsung galaxy s9 Android
cant join local games my friends host, but they can join me when do, they are on pc, this didnt occur before 125.1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</si>
  <si>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2021-02-24</t>
  </si>
  <si>
    <t>Anuken-Mindustry-4779</t>
  </si>
  <si>
    <t>Cultivator shallow water bonus</t>
  </si>
  <si>
    <t>When cultivator is placed on shallow water with dark sand it gets 10% bonus. Doesn work with other shallow water types
**Steps to reproduce**: *How you happened across the issue, and what exactly you did to make the bug happen.*
Place cultivator on shallow water with dark sand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but have them anyway
If more information is needed my discord is Willzile1#1191, E-Mail is Willzile1 gmail.com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</si>
  <si>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react-native-share-react-native-share-972</t>
  </si>
  <si>
    <t>Share.open - callback only permits a single invocation</t>
  </si>
  <si>
    <t>### Steps to reproduce
2. Select an app
3. Cancel the sharing process (e.g., discard draft)
### Expected behaviour
### Actual behaviour
While debugging, the following error is reported: Illegal callback invocation from native module. This callback type only permits single invocation from native code.
Looks like the failure callback is being called twice. In release build, this will mean full crash.
**React Native version**: 0.62.2
**React Native platform platform version**: iOS 14
### Link to repo (highly encouraged)</t>
  </si>
  <si>
    <t>grishka-Houseclub-152</t>
  </si>
  <si>
    <t>Double click on "Leave room" app crash</t>
  </si>
  <si>
    <t>if you quickly click the Leave room button second time, the application will crash
private void onLeaveClick(View v)</t>
  </si>
  <si>
    <t>PojavLauncherTeam-PojavLauncher-948</t>
  </si>
  <si>
    <t>[BUG] Failed to launch TLauncher modpack.</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</si>
  <si>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have TLauncher in my laptop, and there modpack feature there, where you can put some mods in different Minecraft version. The fact is that these TLauncher modpacks are not depended on anything. They work as different version and it contains every needed folder inside the version folder. Whoever had TLauncher, will understand. So tried to run one modpack, but it led to crash, as wasn expecting... Is something that do wrong, or running this modpack is impossible for now?
**Add log file if you want to see your bug fixed !**
### To Reproduce:
1. Start PojavLauncher
2. Launch modpack from TLauncher
3. See that it crashes
### Expected behavior:
expected it to work, as it not something hard for Pojav to launch.
### Screenshots or videos:
There are no screenshots, because can take photo of crash.
Device Model Xiaomi Pocophone F1 64
CPU architecture aarch64
Android Version 10
PojavLauncher Version Latest Release version 3.3.1.1 rel 20210206
&lt;details&gt; context&lt; b&gt;&lt; summary&gt;</t>
  </si>
  <si>
    <t>Anuken-Mindustry-4773</t>
  </si>
  <si>
    <t>No create units</t>
  </si>
  <si>
    <t>**Steps to reproduce**: *How you happened across the issue, and what exactly you did to make the bug happen.*
**Link(s) to mod(s) used**: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</si>
  <si>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TeamNewPipe-NewPipe-5698</t>
  </si>
  <si>
    <t>Sometime crash &amp; Sometime Hang in my device</t>
  </si>
  <si>
    <t>when play music already download using repeat background play sometime crash hang please fix it
### Device info
Android version Custom ROM version: V7.0
Device model: Evercoss M50A Max</t>
  </si>
  <si>
    <t>square-okhttp-6569</t>
  </si>
  <si>
    <t>Crash on Android 11</t>
  </si>
  <si>
    <t>We received reports about the following crash for our React Native app in our crash reporting tool:
Caused by Expected Android API level 21+ but was 30
The check is performed here: https: github.com square okhttp blob master okhttp src main kotlin okhttp3 internal platform
suspect this is bug because the function is stating that the expectation was not met when it was. Running on Android 11.</t>
  </si>
  <si>
    <t>Anuken-Mindustry-4770</t>
  </si>
  <si>
    <t>Possible stroke tool inaccuracy</t>
  </si>
  <si>
    <t>**Steps to reproduce**: *How you happened across the issue, and what exactly you did to make the bug happen.*
1) go to the map editor
2) attempt drawing diagonal stroke that is two tiles long
3) see the results
if they match up with the results in the video below then it ll be successful reproduction
**Link(s) to mod(s) used**: *The mod repositories or zip files that are related to the issue, if applicable.*
Only possibly relevant mod: deltanedas ui-lib. Highly doubtful about the mod being involved in this, though.
**Save file**: *Editor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Does not cause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</si>
  <si>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2021-02-23</t>
  </si>
  <si>
    <t>ZogopZ-to-do-53</t>
  </si>
  <si>
    <t>Rework empty to-do text views.</t>
  </si>
  <si>
    <t>The application is crashing when it is forced to reorder to-do instances with empty clock views.</t>
  </si>
  <si>
    <t>opensrp-opensrp-client-chw-1714</t>
  </si>
  <si>
    <t>QA results for the DRC production release candidate (v1.0.6 - 22 Feb)</t>
  </si>
  <si>
    <t>DRC production release candidate V1.0.6 (built 22 Feb)
(All of the below was done while app set to French)
App crashes the first time you open Family Registration form, but not afterwards worked on qaziabubakar
App crashes when you exit the ANC home visit page (only if you open ANC home visit from the ANC register list) worked on rkodev
PNC woman does not appear immediately in the PNC register list after filling out Pregnancy Outcome form worked on qaziabubakar
Birth certification not filled in when you re-open the PNC home visit worked on qaziabubakar
Observed the ANC registration form getting partially filled in issue again worked on rkodev
Obs Illness is appearing before Td and Sp doses in the ANC home visit it should sort to last in the list worked on rkodev</t>
  </si>
  <si>
    <t>gluonhq-substrate-879</t>
  </si>
  <si>
    <t>Avoid unintentional linking of non-java specific libraries from the JDK lib path</t>
  </si>
  <si>
    <t>Recently, the JDK (11.x and 16.x) are bundled with an own version of libharfbuzz.
Using the GraalVM SDK, libharfbuzz.a from the jdk libs will be linked into the executable, while some of the JavaFX required libraries (pango, freetype, GTK,...) might require libharfbuzz.so from the system path. This creates conflicts and crashes
### Expected Behavior
single libharfbuzz to be linked loaded
### Current Behavior
### Steps to Reproduce
See https: github.com gluonhq client-maven-plugin issues 299
### Your Environment</t>
  </si>
  <si>
    <t>onaio-rdt-standard-813</t>
  </si>
  <si>
    <t>App crashing after logging in from field users created</t>
  </si>
  <si>
    <t>Logged in from arang lotim1 and kotaraja lotim2 users and app is crashing while syncing right after login.</t>
  </si>
  <si>
    <t>PojavLauncherTeam-PojavLauncher-945</t>
  </si>
  <si>
    <t>[BUG] Crash, 1.13+ No crash log at all</t>
  </si>
  <si>
    <t>Crashes when after an hour of gameplay. 1.13+ only
&lt;details&gt; &lt;summary&gt;&lt;b&gt;Read before submit&lt; b&gt;&lt; summary&gt;
Make sure there was not duplicated issues.&lt;br&gt;
Make sure you have filled this issue template, or this will get rejected.
### Describe the bug
When play minecraft 1.13+ (usually 1.16) crash after an hour or less
**Add log file if you want to see your bug fixed !**
No log, the crash log won appear.
The log file called *lastlog.txt* is located under *games PojavLauncher .minecraft*
You may need to activate an option in your file explorer to see hidden files and folders.
Do NOT paste the whole log text Instead, add it as file on this issue.
### To Reproduce:
Indicate steps to reproduce the buggy behavior:
1. Start PojavLauncher
2. Launch versions 1.13-1.16
3. Play for few minutes
4. Game crash, no log whatsoever
... *(your set of actions to reproduce the bug)*
### Expected behavior:
expected Minecraft to not crash, ve tried to install the whole minecraft version, still no changes, still crashes</t>
  </si>
  <si>
    <t>UniRegensburg-unsere-app-fur-die-universitat-regensburg-bib-buddy-73</t>
  </si>
  <si>
    <t>Bug fix text editor</t>
  </si>
  <si>
    <t>Some bugs related to the text editor have been fixed and some small adjustments were done as well.
1. **Edited existing notes** were **saved as new notes** and their **already existing content was missing** this is fixed now by adjusting the bundle that is given from the to the (BTW: for editing notes from the book-views this needs to be done analogous).
2. There was bug whenever **applying and deapplying alignments** this is working fine now.
3. **Switching between selected alignments** that should exclude each other is working fine now (highlight and select the icon view and unhighlight and deselect others meanwhile).
4. **Applying and deapplying bullets** caused the app to **crash** this is fixed as well.
5. **Bottom navigation view was always layed above soft-keyboard** (from SystemUI), which took lot of vertical space to avoid that the way the navigation view is layed out has been changed, so the keyboard will simply overlap it.
6. Also **adjusted the cursor position** to match the applied text alignment whenever inserting new line.
7. **Besides: some small clean ups** mainly to RichTextEditor and
Mainly the Text Editor functionality, which is also affecting the (because notes are created here and existing ones are editable, which needs the TextNoteEditor), and therefore SarahKurek should take look. As some parts are also concern the UI, it might be interesting for LuisMossburger as well.
### Notes for Reviewer
Edit an existing note from the NotesFragment (overall view for the notes) since the functionality for the BookView is not adjusted yet.
Please review comment approve.</t>
  </si>
  <si>
    <t>2021-02-22</t>
  </si>
  <si>
    <t>TeamNewPipe-NewPipe-5660</t>
  </si>
  <si>
    <t>Snackbars queued when deleting downloads instead of flushing immediately</t>
  </si>
  <si>
    <t>am using the latest version x.xx.x &lt;!-- Check https: github.com TeamNewPipe NewPipe releases --&gt;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Download multiple videos audio files
2. Go to download page
3. Delete multiple videos quickly one after another
### Actual behaviour
Snackbars at the bottom of the UI keep queuing up. You need to wait for all of them to dismiss themselves for files to actually be deleted. If you close NewPipe before all snackbars are dismissed, your files will not be deleted and show up again next time you start NewPipe.
### Expected behavior
Deleting second, third etc. file should flush the handler queue and immediately delete the previously marked-for-deletion file and dismiss its snackbar.
### Screenshots Screen recordings
(This bug is not about crashes)
### Device info
Android version Custom ROM version: Android 11
Device model: Any, e.g. emulator
Now that this newbie template is filled out, let get down to the actual issue.
message with commit() as runnable is then posted to the handler queue with timeout of seconds.
Only commit then really hard-deletes the file.</t>
  </si>
  <si>
    <t>2021-02-21</t>
  </si>
  <si>
    <t>PojavLauncherTeam-PojavLauncher-932</t>
  </si>
  <si>
    <t>Crash while trying to run TLauncher modpack.</t>
  </si>
  <si>
    <t>have TLauncher in my laptop, and there modpack feature there, where you can put some mods in different Minecraft version. The fact is that these TLauncher modpacks are not depended on anything. They work as different version and it contains every needed folder inside the version folder. Whoever had TLauncher, will understand. So tried to run one modpack, but it led to crash, as wasn expecting... Is something that do wrong, or running this modpack is impossible for now?</t>
  </si>
  <si>
    <t>QuranHub-quranhub-android-39</t>
  </si>
  <si>
    <t>Review every Dialog in the app to make sure it doesn't crash with 'android.util.AndroidRuntimeException: requestFeature() must be called before adding content'</t>
  </si>
  <si>
    <t>2021-02-20</t>
  </si>
  <si>
    <t>PojavLauncherTeam-PojavLauncher-930</t>
  </si>
  <si>
    <t>Controllable mod crash</t>
  </si>
  <si>
    <t>The controllable mod make it crash, is there way to get controller support on this?</t>
  </si>
  <si>
    <t>Neamar-KISS-1687</t>
  </si>
  <si>
    <t>Complete app crash on starting search</t>
  </si>
  <si>
    <t>**Describe the bug**
Whenever bring up the keyboard to search apps, KISS crashes completely and my system starts another home launcher and prompts me to kill kiss as the app keeps restarting. This started with version 15.0, also on 15.3. have to force kill it before can continue using it. kept back at 14.0 waiting for the next release after 15.0 but this still happens in 15.3.
Steps to reproduce the crash:
1. Gesture swipe up to bring keyboard.
2. Start typing.
3. Type in any letter but letter (small or big) or any special symbol %&amp; excluding accented letters and normal symbols like .,?!
4. App crashes.
5. If you typed in letter a, type another letter (or any nonspecial character, including another letter a).
6. App crashes.
App version: 15.3
Did the crash start happening with this version? No, it started woth 15.0
App installed via: (f-droid, Play Store, debug APK): F-Droid</t>
  </si>
  <si>
    <t>Anuken-Mindustry-4739</t>
  </si>
  <si>
    <t>A crash has occured</t>
  </si>
  <si>
    <t>Mindustry has crashed. How unfortunate.
Report this at https: github.com Anuken Mindustry issues new?labels bug&amp;template bug report.md
Caused by: Couldn load dependencies of asset: sprites sprites.png
Caused by: Couldn load file: sprites sprites.png
Caused by: Couldn load file: sprites sprites.png
Caused by: Error loading pixmap: Out of memory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</si>
  <si>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PojavLauncherTeam-PojavLauncher-927</t>
  </si>
  <si>
    <t>[BUG]     -Dorg.lwjgl.opengl.libname=libgl4es_115.so  works only if auto Ram is active! if Auto Ram is disabled, when starting a version the game simply crashes</t>
  </si>
  <si>
    <t>works only if auto Ram is active! if auto Ram is disabled, when starting version the game simply crashes</t>
  </si>
  <si>
    <t>2021-02-19</t>
  </si>
  <si>
    <t>commons-app-apps-android-commons-4254</t>
  </si>
  <si>
    <t>App crashes on setting avatar when not logged in</t>
  </si>
  <si>
    <t>When tapping **Set as Avatar** from menu of the app crashes if the user is not logged in.
**Steps to reproduce:**
How can we reproduce the issue?
Logout from your account.
Go to explore tab.
Open any image.
Then tap set as avatar from menu.
What did you expect the app to do, and what did you see instead?
Either the app must not show the option of setting avatar for the users not logged in.
dialog box must be opened on clicking it asking the user for logging in to set that image as their avatar.
**Device and Android version:**
Redmi Note 7S and Android 10.
**Commons app version:**
**Would you like to work on the issue?**</t>
  </si>
  <si>
    <t>Anuken-Mindustry-4733</t>
  </si>
  <si>
    <t xml:space="preserve">EMFILE issue on iOS </t>
  </si>
  <si>
    <t>Can export anything from settings, crash reports, saves.
**Steps to reproduce**: *How you happened across the issue, and what exactly you did to make the bug happen.*
Settings game data export (anything), this issue happens.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</si>
  <si>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PojavLauncherTeam-PojavLauncher-926</t>
  </si>
  <si>
    <t>[BUG] Issue with hotbar and keybinds</t>
  </si>
  <si>
    <t>If you don fill in this template, this issue will be marked as invalid and closed.
&lt;details&gt; &lt;summary&gt;&lt;b&gt;Read before submit&lt; b&gt;&lt; summary&gt;
Make sure there was not duplicated issues.&lt;br&gt;
Make sure you have filled this issue template, or this will get rejected.
### Describe the bug
If any slot of the hotbar is directly touched, any custom keybinds that trigger mod feature stop functioning. And to revert this, found that the only way was to switch between at least slots using my buttons for 1-9 quickly.
**Add log file if you want to see your bug fixed !**
tried attaching it using the media button but chrome kept crashes so if you could tell me another method of attaching it ll do that.
### To Reproduce:
Indicate steps to reproduce the buggy behavior:
1. Start PojavLauncher
2. Use key that has custom keybind, such as button that inputs being keybinded to zoom
3. Press slot of your hotbar
4. Key doesn work anymore until you quickly switch between two keys using 1-9 buttons
### Expected behavior:
expected the key to continue working as normal after pressing slot on the hotbar.
### Screenshots or videos:
Wasn sure if the video would really help since can see me actually pressing the buttons, but ll send video if needed.
Device Model: Samsung Galaxy Note9
CPU architecture: aarch64</t>
  </si>
  <si>
    <t>UniRegensburg-unsere-app-fur-die-universitat-regensburg-bib-buddy-68</t>
  </si>
  <si>
    <t>Fix bugs related to the text note editor</t>
  </si>
  <si>
    <t>There are some small adjustments or bug fixes related to the text note editor and its features to do:
1. Currently whenever typing in the text note editor (or basically when **System UI displays the keyboard**) the **bottom navigation view is layed above it** and takes lot of vertical space from the writing area suggest to avoid displaying the bottom navigation whenever the keyboard is shown maybe by fetching the keyboard visibility and adjust visibility of the bottom navigation view to it in the MainActivity?
2. **Editing notes** is causing to save the edited version **as new note item** adjust the way notes are saved.
3. **Editing notes** is not fetching displaying the already existing text content.
4. There is bug whenever **applying and deapplying bullets** that is causing the app to crash.
5. There is bug whenever **applying and deapplying alignments**.
6. **Switching between selected alignments** that exclude each other is not working correctly (highlight and select the icon view).</t>
  </si>
  <si>
    <t>2021-02-18</t>
  </si>
  <si>
    <t>commons-app-apps-android-commons-4244</t>
  </si>
  <si>
    <t>App crash in WikidataItemDetailsActivity on clicking any media</t>
  </si>
  <si>
    <t>On clicking any media in the app crashes Point to note here is am not talking about similar issue was fixed few days ago but was fixed in wrong way.
**Steps to reproduce:**
What did you expect the app to do, and what did you see instead?
The media must open in
**Device and Android version:**
Redmi Note 7S (Android 10).
**Commons app version:**
**Would you like to work on the issue?**
**Yes**, would like to work on this issue.</t>
  </si>
  <si>
    <t>Anuken-Mindustry-4721</t>
  </si>
  <si>
    <t>Game closes at startup</t>
  </si>
  <si>
    <t>The game closes at startup.
**Steps to reproduce**:
Run the jar downloaded from the releases
**Link(s) to mod(s) used**:
there is no crash and no crash log. here is my last log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</si>
  <si>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nextcloud-android-8009</t>
  </si>
  <si>
    <t>folder sharing to internal user causes crash</t>
  </si>
  <si>
    <t>### Steps to reproduce
1. select file share icon for folder
2. choose NC internal user to share with
### Expected behaviour
folder is shared to selected user
### Actual behaviour
NC Android app crashes:
************ CAUSE OF ERROR ************
************ APP INFORMATION ************
Build flavor: gplay
************ DEVICE INFORMATION ************
************ FIRMWARE ************</t>
  </si>
  <si>
    <t>SkyTubeTeam-SkyTube-934</t>
  </si>
  <si>
    <t>App crash while updating feed</t>
  </si>
  <si>
    <t>**Describe the bug**
After opening skytube the feed automatically updates. After or channels of about 200 the app crashes.
Is Your device rooted?
Do You use Tor or any VPN service with your device?</t>
  </si>
  <si>
    <t>ionic-team-capacitor-plugins-257</t>
  </si>
  <si>
    <t>Attempt to invoke virtual method 'int java.lang.Integer.intValue()' on a null object reference</t>
  </si>
  <si>
    <t>## Bug Report
### Capacitor Version
Paste the output from the npx cap doctor command into the code block below. This will provide the versions of Capacitor packages and related dependencies.
PASTE OUTPUT HERE
### Current Behavior
app crash with Attempt to invoke virtual method int on null object reference
### Expected Behavior
to not crash
### Code Reproduction
in the sample app tap the SCHEDULE NOW and app will crash with the mentioned message
### Other Technical Details
Please provide the following information with your request and any other relevant technical details (versions of IDEs, local environment info, plugin information or links, etc).
### Additional Context
List any other information that is relevant to your issue. Stack traces, related issues, suggestions on how to fix, Stack Overflow links, forum links, etc.</t>
  </si>
  <si>
    <t>2021-02-17</t>
  </si>
  <si>
    <t>TotalCross-totalcross-304</t>
  </si>
  <si>
    <t xml:space="preserve">Passing a null value to the MessageBox constructor instead of a ButtonCaption array causes </t>
  </si>
  <si>
    <t>## Describe the bug
If MessageBox is instantiated with null value instead of buttoncaptions array, it causes crash (null pointer exception)
## To Reproduce
Just create message box in the way described above, it should throw the exception
## Screenshots or videos
The exception points to this block of code</t>
  </si>
  <si>
    <t>getsentry-sentry-java-1266</t>
  </si>
  <si>
    <t>SentryEvent.threads that are crashed=true should not contain a stack trace if exception already has stack traces</t>
  </si>
  <si>
    <t>Found out because of https: github.com getsentry sentry pull 23890
Thread stack traces are snapshots, gotten at an arbitrary time, so it be always better to keep only the exception stack traces only if the flag crashed true which means, the thread that captured that exception.
Wondering if inner exceptions could be built by multiple threads, so we need to check that too.
This would require changes on MainEventProcessor and</t>
  </si>
  <si>
    <t>PojavLauncherTeam-PojavLauncher-911</t>
  </si>
  <si>
    <t>"signal 11 code 0x1caa5724 addr 0x2"lead to a crash.</t>
  </si>
  <si>
    <t>think find the reason of the unexpectedly crash which commented it before(I am on latest build).Whenever the game crashes,the last line in the latestlog.txt is signal 11 code 0x1caa5724 addr 0x2</t>
  </si>
  <si>
    <t>ankitbatra11-billboard-29</t>
  </si>
  <si>
    <t>AdmobRewardedInterstitialAd crash</t>
  </si>
  <si>
    <t>Fatal Exception: Context cannot be null.</t>
  </si>
  <si>
    <t>square-okhttp-6562</t>
  </si>
  <si>
    <t>Migrate to Github Actions for CI</t>
  </si>
  <si>
    <t>Might mean prioritising getting onto Github actions? Any preferred model projects to copy here as of mid feb?
Unable to connect to the child process Gradle Test Executor 36
It is likely that the child process have crashed please find the stack trace in the build log.
This exception might occur when the build machine is extremely loaded.
The connection attempt hit timeout after 120.0 seconds (last known process state: STARTED, running: true).
It is likely that the child process have crashed please find the stack trace in the build log.
This exception might occur when the build machine is extremely loaded.
The connection attempt hit timeout after 120.0 seconds (last known process state: STARTED, running: true).
Too long with no output (exceeded 10m0s): context deadline exceeded</t>
  </si>
  <si>
    <t>TeamNewPipe-NewPipe-5612</t>
  </si>
  <si>
    <t>video description not shown for any video</t>
  </si>
  <si>
    <t>since the 0.20 update on android tablet no video description is shown for any video tried.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0.20.10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open any video, click on the symbol.
### Actual behaviour
only the share -icon and the open in browser -icon appears.
### Expected behavior
video description schould be shown
### Screenshots Screen recordings
&lt;!-- If your bug includes crash (where you re shown the Error Report page with bunch of info), tap on Copy formatted report at the bottom and paste it here: --&gt;
&lt;!-- That right, here! --&gt;
&lt;!-- Please fill this out when you do not provide log generate by NewPipe --&gt;
### Device info
Android version Custom ROM version: 8.0.0</t>
  </si>
  <si>
    <t>Anuken-Mindustry-4702</t>
  </si>
  <si>
    <t>Red is not red anymore</t>
  </si>
  <si>
    <t>before 125 (example from v5)
2021-02-16 22 00 08-Mindustry (https: 4199082
Seems like color scheme has completely changed and red is not vibrant and believe placing non-true red instead of plain red is an issue.
**Steps to reproduce**: type red Hello into chat
**Link(s) to mod(s) used**: no mods
**Save file**: not needed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</si>
  <si>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2021-02-16</t>
  </si>
  <si>
    <t>oliexdev-openScale-701</t>
  </si>
  <si>
    <t>Crash when opening openscale sync</t>
  </si>
  <si>
    <t>**Describe the bug**
opened the Openscale Sync app and got message that it crashed and to report it.
Steps to reproduce the behavior:
1. Go to the the phone apps screen
2. Click on openscale Sync
3. See error
Expected the application Overview page
Build version: 0.3.1</t>
  </si>
  <si>
    <t>opensrp-opensrp-client-path-zeir-62</t>
  </si>
  <si>
    <t>App Crashes when trying to change service location</t>
  </si>
  <si>
    <t>Application crashed on more than one occasion when trying to change the service location to another zone, by clicking the facility name -- when user tries to change or tap on the service location at the top of the register page, the app crashed.
The name of the service location was also not available on the app good number of times.</t>
  </si>
  <si>
    <t>MuntashirAkon-AppManager-286</t>
  </si>
  <si>
    <t>Crash log</t>
  </si>
  <si>
    <t>Am pre release crash log</t>
  </si>
  <si>
    <t>material-components-material-components-android-2073</t>
  </si>
  <si>
    <t>[TextInputLayout] custom style crashes with "The style on this component requires your app theme to be Theme.AppCompat (or a descendant)" error</t>
  </si>
  <si>
    <t>Defining custom style for the TextInputLayout crashes the app during Fragment inflation with the following error:
ve experienced this issue in project working on and was able to reproduce the crash with sample project (see Source code section)
The sample project has just three components:
The fragment has the following simple layout
&lt;?xml version 1.0 encoding utf-8 ?&gt;
While the main theme.xml is the following
&lt;!-- Base application theme. --&gt;
&lt;style name parent
&lt;!-- Primary brand color. --&gt;
&lt;item name colorPrimary color purple 500&lt; item&gt;
&lt;item name colorPrimaryVariant color purple 700&lt; item&gt;
&lt;item name colorOnPrimary color white&lt; item&gt;
&lt;!-- Secondary brand color. --&gt;
&lt;item name colorSecondary color teal 200&lt; item&gt;
&lt;item name color teal 700&lt; item&gt;
&lt;item name colorOnSecondary color black&lt; item&gt;
&lt;!-- Status bar color. --&gt;
&lt;item name tools:targetApi &gt;?attr item&gt;
&lt;!-- Customize your theme here. --&gt;
&lt;item name textInputStyle style item&gt;</t>
  </si>
  <si>
    <t>nextcloud-android-7996</t>
  </si>
  <si>
    <t>nextcloud dev crash</t>
  </si>
  <si>
    <t>### Steps to reproduce
************ CAUSE OF ERROR ************
************ APP INFORMATION ************
Build flavor: versionDev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</si>
  <si>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aws-amplify-amplify-android-1174</t>
  </si>
  <si>
    <t>Getting exception - Failed to instantiate AWSMobileClient within 10 seconds and app crashes while trying to execute Amplify.configue() on application class</t>
  </si>
  <si>
    <t>am using Amplify CLI framework in my Android project to integrate Android with my AWS services( am using Amazon Pinpoint) have configured amplify in my machine using the amplify CLI and initated amplify usinsg CLI amplify init command and have added the necessary plugins in my Android project as per the AWS doc.
When launch my app it is crashing at Amplify.configue() on application class with exception
The **code** you re using to call Amplify Android
Add these lines to add the and plugins
Log.i( MyAmplifyApp Initialized Amplify
catch (AmplifyException error)
Log.e( MyAmplifyApp Could not initialize Amplify error)
Complete exception below
AuthException message Failed to instantiate AWSMobileClient within 10 seconds, cause null, recoverySuggestion Check network connectivity
Any relevant guides or documentation referencing https: docs.amplify.aws lib project-setup create-application platform</t>
  </si>
  <si>
    <t>MuntashirAkon-AppManager-284</t>
  </si>
  <si>
    <t>[ADB over TCP] Granting package permissions crashes (missing GRANT_RUNTIME_PERMISSIONS permission)</t>
  </si>
  <si>
    <t>**Describe the bug**
Steps to reproduce the behaviour:
2. Ensure App Manager is in ADB over TCP mode.
3. Open permissions tab for an app, like MatLog (https: github.com pluscubed matlog).
5. App Manager crashes.
would expect App Manager to be able to toggle the permission over ADB, but would expect lack of crashing more.
2. App Manager utilizes ADB to grant deny permissions in ADB over TCP mode.
would expect this behavior the most.
App version: 2.5.23-PRE
App version code: 381
Android build version: 7038034
Android release version: 11
Android SDK version: 30
Android build ID: RQ1A.210205.004
Device brand: google
Device manufacturer: Google
Device name: redfin
Device model: Pixel
Device product name: redfin
Device hardware name: redfin</t>
  </si>
  <si>
    <t>Anuken-Mindustry-4693</t>
  </si>
  <si>
    <t>game crashes when placing power nodes</t>
  </si>
  <si>
    <t>the game crashes when try to place power node that connects to some combustion generators
this started happening while paying campaign, set down some combustion generators and tried to connect them by placing small power node, and have tested it and it is just the placing of power nodes that causes the crash
**Save file**: *The (zipped) save file you were playing on when the bug happened.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</si>
  <si>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Anuken-Mindustry-4692</t>
  </si>
  <si>
    <t>Changing GUI problem</t>
  </si>
  <si>
    <t>**Steps to reproduce**: *open the settings and change the gui in any size*
**Link(s) to mod(s) used**: *Proggressed Arranity,Missing Category Better Turrets,Dimension Shard,Gold Mod, Diamond Ore Mod, Larger Cores,Exotic Mod,Gravasillo Mod,Heavy Armaments V6 Invincible Cheat,Vanilla Enhanced,Sh*t*ss mod by Goober.*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</si>
  <si>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commons-app-apps-android-commons-4232</t>
  </si>
  <si>
    <t>App crashes on trying to upload a media from gallery.</t>
  </si>
  <si>
    <t>On selecting an item from the gallery for upload the app crashes unexpectedly.
**Steps to reproduce:**
Try selecting media from the gallery for upload from the floating action button.
What did you expect the app to do, and what did you see instead?
The app should not crash.
**Device and Android version:**
Nokia 6.1+ android 10 stock
**Commons app version:**
**Would you like to work on the issue?**</t>
  </si>
  <si>
    <t>2021-02-15</t>
  </si>
  <si>
    <t>nextcloud-android-7990</t>
  </si>
  <si>
    <t xml:space="preserve">crash when sharing folder </t>
  </si>
  <si>
    <t>### Steps to reproduce
1. tried to share newly created folder with another local user, there is nothing in the folder
2. Crashes 100%
### Expected behaviour
sharing of the folder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raspberry ubuntu 20.04.2 up to date, nextcloud as snap, data on zfs mirror disks
Reverse proxy: direct from router
#### Web server error log
Insert your webserver log here
#### Nextcloud log (data nextcloud.log)
************ CAUSE OF ERROR ************
************ APP INFORMATION ************</t>
  </si>
  <si>
    <t>nextcloud-android-7989</t>
  </si>
  <si>
    <t>app crashes while sharing folder</t>
  </si>
  <si>
    <t>### Steps to reproduce
1. Enter app
2. Share folder with NC user
### Expected behaviour
folder should be shared
### Actual behaviour
app crashes while sharing with following error log
******** CAUSE OF ERROR ********
******** APP INFORMATION ********
Build flavor: gplay
******** DEVICE INFORMATION ********
******** FIRMWARE ********</t>
  </si>
  <si>
    <t>Anuken-Mindustry-4685</t>
  </si>
  <si>
    <t>Units vanish</t>
  </si>
  <si>
    <t>**Steps to reproduce**: Someone else reported the issue after he (I guess) made bug in his logic:
edited after close to remove abusable code
**Link(s) to mod(s) used**: No mods
If you remove the line above without reading it properly and understanding what it means, will reap your soul. Even if you re playing on someone server, you can still save the game to slot.
**(Crash) logs**: Neither the program or the involved units seem to have crashed.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</si>
  <si>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nextcloud-android-7988</t>
  </si>
  <si>
    <t xml:space="preserve">App crashes on Start </t>
  </si>
  <si>
    <t>### Steps to reproduce
1. Update from previous version to latest version from fdroid
2. Enter serveradress and credentials
Next time it crashes immediately.
### Expected behaviour
### Actual behaviour
### Can you reproduce this problem on https: try.nextcloud.com?
No didn try because the previous version was working fine with the existing server setup
### Environment data
Samsung S7 flat
Stock or customized system:
Nextcloud app version:
Nextcloud server version:
#### Web server error log
Insert your webserver log here
#### Nextcloud log (data nextcloud.log)
Insert your Nextcloud log here</t>
  </si>
  <si>
    <t>TeamNewPipe-NewPipe-5596</t>
  </si>
  <si>
    <t>Crash when reordering channel groups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</si>
  <si>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0.20.10&lt;!--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Create 2+ channel groups
2. Press on the reorder icon right of the Channel groups text
3. Attempt to move any group
&lt;!-- If you can cause the bug to show up again reliably (and hence don have proper set of steps to give us), please still try to give as many details as possible on how you think you encountered the bug. --&gt;
### Actual behaviour
&lt;!-- Tell us what happens with the steps given above. --&gt;
The app crashes.
### Expected behavior</t>
  </si>
  <si>
    <t>PojavLauncherTeam-PojavLauncher-896</t>
  </si>
  <si>
    <t>When play with 1.16.4 fabric mod sodium and when enter the world the game crashes</t>
  </si>
  <si>
    <t>nextcloud-android-7986</t>
  </si>
  <si>
    <t xml:space="preserve">App Crashed </t>
  </si>
  <si>
    <t>Attempting to upload bug report taken on my custom build Android 10 (Samsung Galaxy A10e) to NextCloudDev nl.nd.tab.digital (Zurich). landed in the talk directory, attempting to go up one level, was challenged for my pin which should have already happened). entered the correct pin then the app crashed.
aka. Timothy Bergstresser</t>
  </si>
  <si>
    <t>Anuken-Mindustry-4680</t>
  </si>
  <si>
    <t>Crawler got stuck on a wall</t>
  </si>
  <si>
    <t>**Steps to reproduce**: Go to tar fields, place stuff in this formation
**Link(s) to mod(s) used**: No mods used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</si>
  <si>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woesss-JL-Mod-22</t>
  </si>
  <si>
    <t>not rendered</t>
  </si>
  <si>
    <t>JL-Mod 0.77.3+MC 0.98.5.
1.1.0 (both of them with terjef)
176 220 pxl
REDMI NOTE GINKGO
**Description of the issue:**
Roller Bot 3D is not rendered correctly, there are version game but only one
of them wiill crashing in game when acess emulator menus on top right screen also freezing when playing, already trying fixing with micro3d comand but still didnt fixed the bug,
Screenshot Rollerbot 176x220 (https: 35026289
download source seclub.org</t>
  </si>
  <si>
    <t>cgeo-cgeo-10016</t>
  </si>
  <si>
    <t>Crash when trying to attach image</t>
  </si>
  <si>
    <t>Nightly users of 2021.02.14-NB report:
It crashes when trying to attach image (tried the button and the menu).</t>
  </si>
  <si>
    <t>2021-02-14</t>
  </si>
  <si>
    <t>TeamNewPipe-NewPipe-5587</t>
  </si>
  <si>
    <t>UI Crash (minor bug) : Simultaneously open menus in Settings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</si>
  <si>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0.20.9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Settings.
2. Simultaneously open two or more menus. Back out to the main Settings menu.
3. Repeat until you get crash.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No UI crash.
&lt;!-- If your bug includes crash (where you re shown the Error Report page with bunch of info), tap on Copy formatted report at the bottom and paste it here: --&gt;
&lt;!-- That right, here! --&gt;</t>
  </si>
  <si>
    <t>uscki-Wilson-Android-136</t>
  </si>
  <si>
    <t>[PULL REQUEST] Fix issue #131</t>
  </si>
  <si>
    <t>&lt;sub&gt;This issue was originally pull request from branch fix to branch development
Ref issue #131
Fix is: Waar mogelijk, gebruik in fragment transactions. In Smobo kan dit, omdat het ergste wat er gebeurt is dat de transaction niet wordt doorgevoerd als mensen heel snel smobo openen en weer sluiten en dat herhalen, which is better dan een crash.</t>
  </si>
  <si>
    <t>uscki-Wilson-Android-50</t>
  </si>
  <si>
    <t>Smobo crasht regelmatig</t>
  </si>
  <si>
    <t>This issue was originally assigned to blackwolf12333&lt; sub&gt;
Smobo crasht bij mij best regelmatig:
private void setupMediaGrid()
layoutManager new false)
Nullpointer op mediaGrid in de laatste regel. Kan het zijn dat deze functie te vroeg wordt aangeroepen, waardoor shit nog niet echt werkt enzo?</t>
  </si>
  <si>
    <t>uscki-Wilson-Android-42</t>
  </si>
  <si>
    <t>Vergaderplanner crasht op geplande planners</t>
  </si>
  <si>
    <t>Nog in te vullen planners zijn prima.
How to reproduce:
Open planned meeting</t>
  </si>
  <si>
    <t>uscki-Wilson-Android-18</t>
  </si>
  <si>
    <t>Crash bij terug gaan uit smoelenboek nadat de app uit geheugen wordt geladen</t>
  </si>
  <si>
    <t>Als ik de app open na hem een tijdje niet te gebruiken, en er staat nog een smoelenboek profiel open, crasht de app als ik op terug druk.
Als ik zou moeten gokken zou ik zeggen dat het komt omdat back een deelnemerslijst is van een event, en die niet meer geladen is.</t>
  </si>
  <si>
    <t>uscki-Wilson-Android-16</t>
  </si>
  <si>
    <t>Crash na inloggen met test account</t>
  </si>
  <si>
    <t>Ik wou even wat testen met Testy McTestacle, maar toen ik inlogde crashte de app, om weer op te starten met een inlog scherm.</t>
  </si>
  <si>
    <t>deltachat-deltachat-android-1807</t>
  </si>
  <si>
    <t>Crashes on REDMI 6 and ZTE Red Magic</t>
  </si>
  <si>
    <t>From the gplay console we get crash reports with this stack trace (and some of the users left 1-star review as result)
Screenshot from 2021-02-14 15-39-39 (https: 73579</t>
  </si>
  <si>
    <t>nextcloud-android-7983</t>
  </si>
  <si>
    <t>Bug</t>
  </si>
  <si>
    <t>### Steps to reproduce
1. Create folder with lot of data
2. Remove this folder
3. Create the same folder with another structure and lot of data
4. For example pictures xy ALotOfFolders
5. Remove xy
6. Create pictures yz ALotOfFilders
7. App crashes while loading pictures folders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t>
  </si>
  <si>
    <t>PojavLauncherTeam-PojavLauncher-885</t>
  </si>
  <si>
    <t>[BUG] Forge crashes when loading into world</t>
  </si>
  <si>
    <t>**Describe the bug**
Forge crashes when load into world.
Steps to reproduce the behavior:
1. Start PojavLauncher
2. Launch forge 1.12.2
3. Load into world
expected for the world to load like normal, except it crashed
Device Model Huawei P30 Lite
CPU architecture aarch64
Android Version 10
&lt;details&gt; context&lt; b&gt;&lt; summary&gt;
did reinstall forge because of the same issue, still no effect.</t>
  </si>
  <si>
    <t>PojavLauncherTeam-PojavLauncher-884</t>
  </si>
  <si>
    <t>[BUG] always crash when i installed modmenu on fabric</t>
  </si>
  <si>
    <t>If you don fill in this template, this issue will be marked as invalid and closed.
&lt;details&gt; &lt;summary&gt;&lt;b&gt;Read before submit&lt; b&gt;&lt; summary&gt;
Make sure there was not duplicated issues.&lt;br&gt;
Make sure you have filled this issue template, or this will get rejected.
**Describe the bug**
clear and concise description of what the bug is.
this is just the latestlog
--------- beggining with launcher debug
--------- beginning of crash
--------- beginning of main
Steps to reproduce the behavior:
1. Start PojavLauncher
am using modmenu 1.16.3 Then after min it just crashed
If not install modmenu on fabric its just fine.but when install modmenu it always crashed
Device Model e.g. Mi Pro 32
CPU architecture e.g. aarch64
Android Version e.g.
&lt;details&gt; context&lt; b&gt;&lt; summary&gt;
Add any other context about the problem here.</t>
  </si>
  <si>
    <t>TeamNewPipe-NewPipe-5582</t>
  </si>
  <si>
    <t>Swiping through search results too fast causes crash</t>
  </si>
  <si>
    <t>Oh no, bug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search
2. Enter ambient music in search bar
3. Swipe down to to view all results bug stating there was problem should appear.
&lt;!-- If you can cause the bug to show up again reliably (and hence don have proper set of steps to give us), please still try to give as many details as possible on how you think you encountered the bug. --&gt;
### Actual behaviour
&lt;!-- Tell us what happens with the steps given above. --&gt;after opened newpipe and inserted ambient music album proceeded to do search.i would swip through my results slowly because if went too fast the error showing problem would show up.
### Expected behavior
&lt;!-- Tell us what you expect to happen. --&gt;
expected and got screen to continue my search normally in past after few tries thee app would crash.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</si>
  <si>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nextcloud-android-7980</t>
  </si>
  <si>
    <t>App crashes on qr code scan</t>
  </si>
  <si>
    <t>### Steps to reproduce
1. Open desktop then browse on settings user security
2. Scan qr code with app
3. App crashes
### Expected behaviour
Tell us what should happen
Logging in after scan qr code on desktop with dark theme of Nextcloud
### Actual behaviour
Tell us what happens
### Can you reproduce this problem on https: try.nextcloud.com?
Please create test demo account and see if this still happens there.
If yes, please open up bug report
If not, please verify server setup and ask for help on forum
### Environment data
Oxygen os 10.3.8 android version 10</t>
  </si>
  <si>
    <t>nextcloud-android-7979</t>
  </si>
  <si>
    <t>conflict crash</t>
  </si>
  <si>
    <t>nextcloud-android-7974</t>
  </si>
  <si>
    <t xml:space="preserve">Share feature on android crashes </t>
  </si>
  <si>
    <t>### Steps to reproduce
1. Open mobile app
2. Press share button on folder file
3. Select account to share with
### Expected behaviour
Share feature should work as it does on web
### Actual behaviour
Share feature on android crashes
### Can you reproduce this problem on https: try.nextcloud.com?
Android app problem
************ CAUSE OF ERROR ************
************ APP INFORMATION ************
Build flavor: gplay
************ DEVICE INFORMATION ************
************ FIRMWARE ************</t>
  </si>
  <si>
    <t>2021-02-13</t>
  </si>
  <si>
    <t>PojavLauncherTeam-PojavLauncher-872</t>
  </si>
  <si>
    <t>[BUG]Forge 1.12.2 crashes when trying to run it</t>
  </si>
  <si>
    <t>If you don fill in this template, this issue will be marked as invalid and closed.
&lt;details&gt; &lt;summary&gt;&lt;b&gt;Read before submit&lt; b&gt;&lt; summary&gt;
Make sure there was not duplicated issues.&lt;br&gt;
Make sure you have filled this issue template, or this will get rejected.
**Describe the bug**
Forge 1.12.2 crashes on startup. was using previous builds and it used to crash after few seconds minutes into the game and thought the latest build would fix the constant crashes, but it made it worse, lol.
ve been trying to fix the crash myself by changing lwjgl3 files to previous versions, but to no avail unfortunately
Steps to reproduce the behavior:
1. Start PojavLauncher
2. Start MC Forge 1.12.2 (doesn matter if you use mods or not)
3. Wait for it to load the Mojang logo. After few seconds it crashes
expected it not to crash at all
don think screenshots would help xd
Device Model: Samsung S20+
CPU architecture: aarch64
Android Version: 11
&lt;details&gt; context&lt; b&gt;&lt; summary&gt;
---- Minecraft Crash Report ----
You should try our sister game, Minceraft!
detailed walkthrough of the error, its code path and all known details is as follows:</t>
  </si>
  <si>
    <t>patzly-grocy-android-351</t>
  </si>
  <si>
    <t>[fixed] Crash on adding a date</t>
  </si>
  <si>
    <t>have crash with 2.0.0-alpha02. just added an expiration date in the purchase part.
--------- beginning of crash</t>
  </si>
  <si>
    <t>2021-02-12</t>
  </si>
  <si>
    <t>SkyTubeTeam-SkyTube-921</t>
  </si>
  <si>
    <t>2 "broken" channels cause the app to sudddenly close</t>
  </si>
  <si>
    <t>**Describe the bug**
have list of about 150 channels subscribed to, from Skytube. Some weeks ago, the app started to crash everytime was refreshing the feed. looked into the list with subscribed channels, and of the channels were not loading the thumbnail of the channel. tried to click on each of them and everytime did that, the app was crashing.
Unfortunately don know which are these channels and can seem to be able to open the exported file (exported file.skytube)
**Is there anything can do to make Skytube refresh the Feed without crashing?**
It would be useful to be able to delete the channels from the list of channels, or at least to export and import the list of channels in txt format (so we can edit it).
Refresh the the Feed without the app crashing.
See the first channels in the list (they don have the thumbnail loaded and if clicked, the app crashes):
Android version: 10 (LineageOS)
Is Your device rooted? No
Do You use Tor or any VPN service with your device? No
App source: FDroid
App Version: v2.977</t>
  </si>
  <si>
    <t>opensrp-opensrp-client-chw-1700</t>
  </si>
  <si>
    <t>Fixes for the DRC release candidate</t>
  </si>
  <si>
    <t>DRC release candidate QA results:
1. When you exit out of the Pregnancy Outcome form without saving, the user lands on the PNC register, when they should be landing on the woman profile page from which they originally opened the form. **worked on by** rkodev
2. Completed tasks disappear from the ANC home visit when you re-open it to edit it, for e.g. ANC card, Delivery kit (DRC only), TT, SP, Obs Illness tasks no longer appear. Is this related to editing LMP EDD? If so, we can try to turn off the setting. **worked on by** qaziabubakar rkodev **Moved to https: github.com OpenSRP opensrp-client-chw issues 1710**
3. App closes when you exit out of the ANC visit page without saving (doesn crash, but just closes). See ANC woman Monica Bing Open the ANC visit from the register list page, not the woman profile page. worked on by rkodev
4. App reverts to English once you submit family registration form **worked on by** rkodev
5. Seems like the Obs Illness task doesn appear if you register woman less than 13 weeks pregnant (I registered woman as weeks pregnant and the task doesn appear) **worked on by** qaziabubakar rkodev
6. few child tasks disappear when you re-open the child home visit to make edits (similar to what happening during ANC home visit is this related to the editing configuration we ve enabled?) **worked on by** rkodev **Moved to https: github.com OpenSRP opensrp-client-chw issues 1710**
7. In the pregnancy outcome form, the live birth repeat group automation isn working anymore. Instead of automatically creating the repeat groups, the user again has to check the checkmark. **worked on by** qaziabubakar
8. PHYSICALLY CHALLENGED label below the child name is not in French. See this issue: https: github.com OpenSRP opensrp-client-chw issues 1427. The key string for this was translated in Transifex, so might just need to be pulled in. **worked on by** qaziabubakar
9. Women up to date with their PNC health facility visits indicator label is still in English. See this issue: https: github.com OpenSRP opensrp-client-chw issues The translation is added in Transifex, so probably just needs to be pulled in. **worked on by** qaziabubakar
10. https: github.com OpenSRP opensrp-client-chw issues 1682 **worked on by** qaziabubakar
11. https: github.com OpenSRP opensrp-client-chw issues 1648 **worked on by** rkodev</t>
  </si>
  <si>
    <t>Anuken-Mindustry-4659</t>
  </si>
  <si>
    <t>Some sprites are smaller than usual when researching technology in the tech tree</t>
  </si>
  <si>
    <t>When you unlock something new that you can research on the campaign, the sprite is smaller than usual (in some cases, have not found any pattern so far), and is only fixed by restart
&lt;img width 406 alt Graphite src https: 57579569
&lt;img width 787 alt Scorch and Combustion src https: 57579569
**Steps to reproduce**: *How you happened across the issue, and what exactly you did to make the bug happen.*
Create new campaign save, play for little until you research graphite scorch combustion generator (Only ones that were smaller for me)
**Link(s) to mod(s) used**: *The mod repositories or zip files that are related to the issue, if applicable.*
(However, since thought this issue happened in the past, doubt the issue is related to these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</si>
  <si>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Anuken-Mindustry-4657</t>
  </si>
  <si>
    <t>Invalid PowerModule.links after resize in Editor</t>
  </si>
  <si>
    <t>)V)9P G0FMYH %WVWQ T2P (https: 15688938
There are not power factory, but infinite power.(position 209,6 in following save)
**Steps to reproduce**: *How you happened across the issue, and what exactly you did to make the bug happen.*
See position 209,6 in following save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</si>
  <si>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2021-02-11</t>
  </si>
  <si>
    <t>PojavLauncherTeam-PojavLauncher-860</t>
  </si>
  <si>
    <t>Not opening</t>
  </si>
  <si>
    <t>When open the app and run 1.7.10(actually it doesn open any version) it just crashes and it doesn even show the crash report in the menu.
What think is that it using lot of ram and my mobile can even run it,what suggest is to put an option where can put custom ram so it won crash any on any mobiles.
My mobile:Moto g5s GB ram 32 GB rom</t>
  </si>
  <si>
    <t>sparkfabrik-sparkfabrik-react-native-idfa-aaid-5</t>
  </si>
  <si>
    <t>App crashes on Android</t>
  </si>
  <si>
    <t>Hi there, congrats on this lib it been hard to find nowadays one that actually works.
ve followed the README instructions and on iOS it works, it successfully builds on Android but when run the App it crashes, no errors are displayed.
Please is there any additional configuration that is needed to run on Android? Is there any additional information that can provide?</t>
  </si>
  <si>
    <t>material-components-material-components-android-2059</t>
  </si>
  <si>
    <t>[Crash] No compoment related: Crash when calling getLocales() on API level &lt;= 19</t>
  </si>
  <si>
    <t>In version 1.3.0 there is bug that causes fatal crash, that cannot be handled with try catch construction.
Looks like the library inserts new locale, that cannot be parsed on old API levels.
The stacktrace is attached.
Also when running on newer API levels the code runs fine, but in comparison to version 1.2.1 there is one new locale:
**Expected behavior:** No crashes, getLocales() method simply returns an array of locales.
public class MainActivity extends AppCompatActivity
protected void onCreate(Bundle savedInstanceState)
&lt;- The crash happens here
**Android API version:** 19
**Material Library version:** 1.3.0</t>
  </si>
  <si>
    <t>square-okhttp-6559</t>
  </si>
  <si>
    <t>Attempt to invoke virtual method 'okhttp3.HttpUrl okhttp3.Request.url()' on a null object reference</t>
  </si>
  <si>
    <t>Okhttp is giving me Attempt to invoke virtual method okhttp3.HttpUrl on null object reference error after upgrading from fabric to firebase crashlytics, Please find below changes
Android studio 4.1
Android Gradle plugin 4.1.1
Gradle Version 6.5.1
In project build.gradle
In app build.gradle
Please suggest me on fixing the issue</t>
  </si>
  <si>
    <t>PojavLauncherTeam-PojavLauncher-847</t>
  </si>
  <si>
    <t>Minecraft (any version) crash after a few minutes.</t>
  </si>
  <si>
    <t>It crashes, any version use, even fabric will crash, around 20 minutes into the game it will unexpectedly crash.
1. Start PojavLauncher
2. Run version (usually 1.16.5)
3. Play for 20 minutes+
expected it to not crash, tweaked few things, got some advice from expert, still not working though
Device Model VivoY15
CPU architecture aarch64
&lt;details&gt; context&lt; b&gt;&lt; summary&gt;
Add any other context about the problem here.</t>
  </si>
  <si>
    <t>k9mail-k-9-5134</t>
  </si>
  <si>
    <t>Crash with version of feb 10: RuntimeException checkNotNullParameter</t>
  </si>
  <si>
    <t>Please search to check for an existing issue (including closed issues, for which the fix may not have yet been released) before opening new issue: https: github.com k9mail k-9 issues?q is%3Aissue
If you are unsure whether or not you have found bug please post to the support forum instead: https: forum.k9mail.app
**Describe the bug**
Application does not start
Steps to reproduce the behavior:
1. Click on K9 Icon, application crashes
If applicable, add screenshots to help explain your problem.
**Environment (please complete the following information):**
K-9 Mail version: 5.728
Android version: 10
Device: Redmi Note 9S
Account type: all
adb logcat findstr k9
adb logcat findstr 21800</t>
  </si>
  <si>
    <t>samiurprapon-SadChat-25</t>
  </si>
  <si>
    <t>Application crashes while create a new account</t>
  </si>
  <si>
    <t>Thanks for reporting issues of SadChat!
To make it easier for us to help you please enter detailed information below.
**Describe the bug**
Application force stop on OTP verification. And goes back to Authentication activity again.
Steps to reproduce the behavior:
1. Go to Authentication Activity enter new phone number
2. Click on Login
3. Wait for OTP
4. Enter OTP code and Click Login -&gt;
5. See error
After clicking login Application should intent to Create User profile Activity where user can create his her profile.
**Smartphone (please complete the following information):**
Device: Samsung A50
OS: Android 11
App Version: 1.0.3 beta
Insert log.txt here (if necessary)</t>
  </si>
  <si>
    <t>TeamNewPipe-NewPipe-5552</t>
  </si>
  <si>
    <t>Certain videos cannot be played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</si>
  <si>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0.20.8 &lt;!-- Check https: github.com TeamNewPipe NewPipe releases --&gt;
have read the contribution guidelines given at https: github.com TeamNewPipe NewPipe blob HEAD .github CONTRIBUTING.md.
This issue contains only one bug. will open one issue for every bug report want to file.
### Steps to reproduce the bug
1. Go to https: www.youtube.com watch?v BONSAFTiafY (The Darkness 2)
2. Try to view it
3. Encounter the bug
### Additional notes
have attempted to play it in the main, pop-up and background all failed. Other videos from the same channel are still visible and functional during different searches (like The Darkness 1)
### Actual behavior
It just results in sad face saying Video not available and Content not available where the channel icon should be. That being said, comments are still loading fine.
### Expected behavior
It should load and play as per usual.
No crash, No log.
### Device info
Android version Custom ROM version: Android 4.4</t>
  </si>
  <si>
    <t>2021-02-10</t>
  </si>
  <si>
    <t>PojavLauncherTeam-PojavLauncher-841</t>
  </si>
  <si>
    <t>[BUG] all versions of optifine have environment bugs and Crashes</t>
  </si>
  <si>
    <t>**Describe the bug**
OptiFine all versions have bug environment black sky on 1.16 optifine and too bright white sky and crashes on 1.14.4
Steps to reproduce the behavior:
1. Start PojavLauncher
expect it will never lag its not lagging but have environment bug on all version of optifine and crashes
Device Model e.g. MRD-LX2 (MRD-L22)
CPU architecture e.g. aarch32
Android Version e.g.
&lt;details&gt; context&lt; b&gt;&lt; summary&gt;
Add any other context about the problem here.</t>
  </si>
  <si>
    <t>material-components-material-components-android-2056</t>
  </si>
  <si>
    <t>[MaterialAlertDialog] The style on this component requires your app theme to be Theme.AppCompat</t>
  </si>
  <si>
    <t>having random crashes when trying to create MaterialAlertDialog
The message: The style on this component requires your app theme to be Theme.AppCompat
This is happening in some devices while is not happening in others, for instance have an A71 Android 10, and is ok, but Crashlytics reports too many so far all related to the same issue and there are also A71 reported in Crashlytics with the same issue.
setting custom view into the Alert Dialog and in some instances creating the Builder from static Utility class that can use across the application.
The source code below is from one of the cases, but still have many issues with other Alert Dialog related to the same. This is major issue for me, because is the source of too many crashes and literally can reproduce with my devices, aware of the crashes only for user reports and crashlytics.
The dialog should show without any issue.
public void showChoiceDialog()
View randomGeneratorView View.inflate(this, R.layout.alert dialog random generator, null)
TextInputEditText presidentName presidents picker name)
CARD NAME, EMPTY STRING))
NumberPicker presidentsPicker presidents picker)
new R.style.alert dialog material theme progress bar)
random presidents name)
(dialog, which) -&gt;
null EMPTY STRING
PICK, randomPick, Utilities.EDITOR IS INT, this)
(dialog, which) -&gt;
R.layout.alert dialog random generator
&lt;?xml version 1.0 encoding utf-8 ?&gt;
style style edit text input layout</t>
  </si>
  <si>
    <t>PojavLauncherTeam-PojavLauncher-839</t>
  </si>
  <si>
    <t>[BUG] Forge 1.12.2 crashing whilst loading</t>
  </si>
  <si>
    <t>**Describe the bug**
After minutes forge crashes whilst loading.
Steps to reproduce the behavior:
1. Start PojavLauncher
2. Start Forge 1.12.2
expected for the game to load as my computer normally would.
Device Model Huawei P30 Lite
CPU architecture aarch64
Android Version 10</t>
  </si>
  <si>
    <t>TeamNewPipe-NewPipe-5549</t>
  </si>
  <si>
    <t>Couldn't request stream of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</si>
  <si>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this playlist: https: www.youtube.com playlist?list
2. Press on Play All (starting with the first video link in report or the first video itself.
&lt;!-- If you can cause the bug to show up again reliably (and hence don have proper set of steps to give us), please still try to give as many details as possible on how you think you encountered the bug. --&gt;
### Expected behavior
&lt;!-- Tell us what you expect to happen. --&gt;
The video should play.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User Action: requested stream
Request: https: www.youtube.com watch?v KYdDUXyFocY</t>
  </si>
  <si>
    <t>PojavLauncherTeam-PojavLauncher-838</t>
  </si>
  <si>
    <t>Game will crash when dealing huge information</t>
  </si>
  <si>
    <t>think find the cause of the unexpected crash in https: github.com PojavLauncherTeam PojavLauncher issues 697 .When enter service in 1.7.10,the game crashes while it is loading terrain.</t>
  </si>
  <si>
    <t>AOF-Dev-MCinaBox-934</t>
  </si>
  <si>
    <t>华为手机无法启动</t>
  </si>
  <si>
    <t>**Describe the crash**
Steps to reproduce the crash:
clear and concise description of what you expected to happen.
If applicable, add screenshots to help explain your problem.
**Smartphone (please complete the following info
Device: Huawei Nova5Pro
OS: e.g. Android 10
App Version e.g. v0.1.4-p5
CPU architecture e.g. arm64
Add any other context about the problem here.</t>
  </si>
  <si>
    <t>2021-02-09</t>
  </si>
  <si>
    <t>patzly-grocy-android-343</t>
  </si>
  <si>
    <t xml:space="preserve">  [v2.0.0] Crash when consume/purchase is started in scan mode</t>
  </si>
  <si>
    <t>When scanning an item in scan-mode, that exists in the database the app crashes.
Maybe related to #330</t>
  </si>
  <si>
    <t>Anuken-Mindustry-4643</t>
  </si>
  <si>
    <t>crash-report</t>
  </si>
  <si>
    <t>java.lang.Out Of Memory Error:unable to create new native thread
Keep getting errors.help me</t>
  </si>
  <si>
    <t>patzly-grocy-android-331</t>
  </si>
  <si>
    <t>[v2.0.0][fixed] Refreshing Master data -&gt; Quantity Units Crash</t>
  </si>
  <si>
    <t>Refreshing the Quantity Units crashes the App
--------- beginning of main
--------- beginning of crash</t>
  </si>
  <si>
    <t>2021-02-08</t>
  </si>
  <si>
    <t>nextcloud-android-7952</t>
  </si>
  <si>
    <t>Instant Upload photos not showing in media folder.</t>
  </si>
  <si>
    <t>have the app now constantly crashing and showing 3x the documents but still no images in the app while they exist on the web.
now have to find the 3.14 apk and install that, this is not usable at all.
### Steps to reproduce
1. Install new android app
2. Open app and navigate to Media
3. Instant Upload photos are missing
### Expected behaviour
should see all my instant upload photos from my phone in the Android app Media section
### Actual behaviour
only see some random pictures which are not in the Instant Upload folder
### Can you reproduce this problem on https: try.nextcloud.com?
### Environment data
Android 10 (Lineage OS 17 latest)
Stock or customized system:
Stock Lineage OS
Nextcloud app version:
Nextcloud server version:
20.0.7 also tested on version 19.0.8
didn have issues prior to Adroid App update
#### Web server error log</t>
  </si>
  <si>
    <t>nextcloud-android-7951</t>
  </si>
  <si>
    <t>App crashed</t>
  </si>
  <si>
    <t>### Steps to reproduce
1. Open it, today.
### Expected behaviour
### Actual behaviour
************ CAUSE OF ERROR ************
************ APP INFORMATION ************
Build flavor: gplay
************ DEVICE INFORMATION ************
************ FIRMWARE ************
### Can you reproduce this problem on https: try.nextcloud.com?
to be honest, this just happened once, and the next time opened the app it was working fine. So guess it ll work there too.</t>
  </si>
  <si>
    <t>patzly-grocy-android-330</t>
  </si>
  <si>
    <t>[v2.0.0] alpha crash when selecting item to consume</t>
  </si>
  <si>
    <t>When selecting an item, or scanning one to consume it the app crashes.
--------- beginning of main
--------- beginning of crash
--------- beginning of system</t>
  </si>
  <si>
    <t>cgeo-cgeo-9990</t>
  </si>
  <si>
    <t>[Nightly] Lots of crashes, caused by an invalid/free'd bitmap ...?</t>
  </si>
  <si>
    <t>**Describe the bug:**
One of our caching devices experienced massively increased count of crashes during the last days. Usually when entering cache from list or swiping from Details page to Waypoints or vice versa ... but there was no obvious pattern.
To analyze created an extended logfile after the next crash and over the last few days there were 10(!) occurrences of the following error:
Fatal signal (SIGABRT), code -1 (SI QUEUE) in tid 18866 (pool-102-thread), pid 10812 (cgeo.geocaching)
*** *** *** *** *** *** *** *** *** *** *** *** *** *** *** ***
Build fingerprint: HUAWEI VOG-L29EEA HWVOG:10 HUAWEIVOG-L29 10.1.0.150C431:user release-keys
signal (SIGABRT), code -1 (SI QUEUE), fault addr --------
Abort message: Error, cannot access an invalid free bitmap here!
x0 0000000000000000 x1 00000000000049b2 x2 0000000000000006 x3 0000007de8bd6eb0
x4 0000000000000000 x5 0000000000000000 x6 0000000000000000 x7 7f7f7f7f7f7f7f7f
x8 00000000000000f0 x9 a6c1b0424784c625 x10 0000000000000001 x11 0000000000000000
x12 fffffff0fffffbdf x13 0000000000000004 x14 0000000000000004 x15 0000174710d54614
x16 0000007f47020908 x17 0000007f470001b0 x18 0000007d7544e000 x19 0000000000002a3c
x20 00000000000049b2 x21 00000000ffffffff x22 0000000014655f08 x23 0000000017509df0
x24 0000000000000001 x25 0000000014655ee8 x26 00000000000000ff x27 0000000014655fc8
x28 0000000014ac0168 x29 0000007de8bd6f50
sp 0000007de8bd6e90 lr 0000007f46fb5040 pc 0000007f46fb506c
#02 pc 0000000000184b98 system lib64 libandroid runtime.so (BuildId:
#03 pc 000000000012c238 system lib64 libandroid runtime.so JNIEnv*, jobject*, long, long, long, long)+32) (BuildId:
#04 pc 00000000002d8660 system framework arm64 boot-framework.oat (art jni trampoline+176) (BuildId:</t>
  </si>
  <si>
    <t>sschueller-peertube-android-262</t>
  </si>
  <si>
    <t>Increase in crashes - NoClassDefFoundError</t>
  </si>
  <si>
    <t>CropperCapture 366 (https: 1180107</t>
  </si>
  <si>
    <t>sschueller-peertube-android-261</t>
  </si>
  <si>
    <t>App crashing on open</t>
  </si>
  <si>
    <t>Android version (SDK): Android (SDK 28)
App version name: 1.1.0-12d85f58
Device language: French</t>
  </si>
  <si>
    <t>SkyTubeTeam-SkyTube-916</t>
  </si>
  <si>
    <t>App crash, while SkyTube loading a search history.</t>
  </si>
  <si>
    <t>How want to search film on SkyTube 2.977 (from F-droid) on Alcatel Pixi (Android 4.4.2) the app is chashing, while app loading last search history and on films (movies) isn sound (speakers on 100%).
And on Sony Xperia dual (A 4.0.4) SkyTube 2.977 (from F-droid) is crashing, while it loading UI (user interface) and on older version chashing, while loading films player.
But for example on Android 4.4.2 on other phone app works on 99%.
Please on quick fix this bug.
(Sorry for many mistakes)</t>
  </si>
  <si>
    <t>Anuken-Mindustry-4627</t>
  </si>
  <si>
    <t>启动错误</t>
  </si>
  <si>
    <t>Designation vivo Y70s
vivo ROM Funtouch OS 10
Android version 10
Processors 2.0 GHz 880 octa-core
release build 124
Crash Log: can get the crash log because have to erase the data to get into the game again.</t>
  </si>
  <si>
    <t>Anuken-Mindustry-4621</t>
  </si>
  <si>
    <t>Errors when lanching v124 in China</t>
  </si>
  <si>
    <t>**Steps to reproduce**: *Just launch v124(Crashes when there is Chinalist mod enabled)*
**Link(s) to mod(s) used**: *https: github.com driver1748 Chinalist*
**(Crash) logs**(WHEN THERE IS THE MOD AND THE GAME CRASHES): *Mindustry has crashed. How unfortunate.
Mods: chinalist:1.2, cliff:1.0.1, pictologic:1.5.7, rtfm:2.14.0, ui-lib:2.16.4, new-horizon:1.15, classic
**(Crash) logs**(WHEN THERE IS **NOT** THE MOD AND THE GAME IS SUCCESSFULLY LAUNCHED):* GL Version: OpenGL 4.6.0 NVIDIA Corporation GeForce GTX 960 PCIe SSE2
GL Max texture size: 16384
GL Using OpenGL context.
JAVA Version: 1.8.0 72
Loaded mod pictologic in 17.785065ms
Loaded mod rtfm in 2.643901ms
Loaded mod cliff in 0.794845ms
Loaded mod ui-lib in 0.863264ms
Loaded mod new-horizon in 15.72447ms
Loaded mod THC Industry in 0.954024ms
Loaded mod ChinaList in 0.758542ms
Time to initialize modded scripts: 891.7289
Total time to load: 6571
Fetching community servers at https: Anuken Mindustry master servers v6.json
Time to generate menu: 124.77262
*Place an (no spaces) between the brackets to confirm that you have read the line below.*</t>
  </si>
  <si>
    <t>Anuken-Mindustry-4620</t>
  </si>
  <si>
    <t>steam version crashing when opening mod folder</t>
  </si>
  <si>
    <t>steam build 124
opening up my mod list on the steam version instantly crashes the game and gives me an error message.
**Steps to reproduce**: *How you happened across the issue, and what exactly you did to make the bug happen.*
had many mods installed, some were outdated, none were malware, and none crashed the game by themselves
**Link(s) to mod(s) used**: *The mod repositories or zip files that are related to the issue, if applicable.*
no mods were in use during crashes.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this issue happens in the main menu, not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</si>
  <si>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Anuken-Mindustry-4617</t>
  </si>
  <si>
    <t>Core upgrade from server syncs only once, consequent upgrades cause desync</t>
  </si>
  <si>
    <t>Video demonstrating the issue:
As usual, sync always fixes that.
**Steps to reproduce**:
1. Start attached map in PvP mode.
2. Upgrade the core from server-side.
3. Observe client getting this update
4. Upgrade another core from server-side
5. Observe client doesn receive this update.
**Link(s) to mod(s) used**: no mods
**Save file**: test map attached.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</si>
  <si>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2021-02-07</t>
  </si>
  <si>
    <t>Anuken-Mindustry-4616</t>
  </si>
  <si>
    <t>Stable desync of unloaders of another teams</t>
  </si>
  <si>
    <t>For that spectator team the issue appears quite often and leads to the states exampled below.
sync always fixes the issue, temprarily. not that aware of internals, but it seems like client-side reloads items available in cores and storages BUT doesn transfer items between cores desipite the fact that server does, because once the amount of items at the point of sync is unloaded from the core, the issue appears again.
made local test with my phone on same network as my PC. Here is how it looks like on server-side:
And here is on the phone (client):
**Steps to reproduce**:
1. start multiplayer game with attached map in PvP mode
2. connect another client
3. observe client can see from the opposite team the items being output from the other core
**Link(s) to mod(s) used**: no mods
**Save file**: Map to reproduce. Start in PvP mode.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</si>
  <si>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TeamNewPipe-NewPipe-5537</t>
  </si>
  <si>
    <t>Cause fatal failure in sudden random moments.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</si>
  <si>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0.20.8 &lt;!-- Check https: github.com TeamNewPipe NewPipe releases --&gt;
checked, but didn find any duplicates (open OR closed) of this issue in the repo. &lt;!-- Seriously, check. --&gt;
There is one report that has similar log of mine, but the crash happens in different situation.
have read the contribution guidelines given at https: github.com TeamNewPipe NewPipe blob HEAD .github CONTRIBUTING.md.
This issue contains only one bug. will open one issue for every bug report want to file.
### Steps to reproduce the bug
have no clue what so ever, could not diagnose the problem by myself.
For that reason, have no idea whatsoever to reproduce this bug again artificially.
### Actual behaviour
A. While playing random video.
B. In sudden moment, app itself causing fatal crashes.
### Expected behavior
&lt;!-- Tell us what you expect to happen. --&gt;
It should play video normally.
&lt;!-- If your bug includes crash (where you re shown the Error Report page with bunch of info), tap on Copy formatted report at the bottom and paste it here: --&gt;
While playing video, it happens regularly.</t>
  </si>
  <si>
    <t>Anuken-Mindustry-4611</t>
  </si>
  <si>
    <t>PhysicsProcess NPE</t>
  </si>
  <si>
    <t>**Steps to reproduce**: Unknown. It random and hard to debug reproduce.
This presumed to be server plugin problem, but haven found any reason why this happening.
Not all players are crashed out, but about 60-90% of the server people get this error at the same time.
**Link(s) to mod(s) used**: No mods but server using plugin
**Save file**: Not required.
Mindustry has crashed. How unfortunate.
Report this at https: github.com Anuken Mindustry issues new?labels bug&amp;template bug report.md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</si>
  <si>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PojavLauncherTeam-PojavLauncher-821</t>
  </si>
  <si>
    <t>PojavLauncher has unexpectedly crashed</t>
  </si>
  <si>
    <t>Anuken-Mindustry-4605</t>
  </si>
  <si>
    <t>Leg pathfinding breaks if solid unbreakable is above space floor</t>
  </si>
  <si>
    <t>2021-02-06 18 20 22-Mindustry (https: 4199082
2021-02-06 18 25 51-Mindustry (https: 4199082
**Steps to reproduce**: Load map from attachment, launch in sandbox mode.
**Link(s) to mod(s) used**: No mods
**Save file**: Not save, but map.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</si>
  <si>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2021-02-06</t>
  </si>
  <si>
    <t>PojavLauncherTeam-PojavLauncher-817</t>
  </si>
  <si>
    <t>[BUG] How can i fix this</t>
  </si>
  <si>
    <t>**Describe the bug**
clear and concise description of what the bug is.
So was gonna start 1.7.10 with this Samsung Galaxy J1. And set the ram up to 198MB (Bc this phone has only 1GB of ram) then it crashed.
expected that it will run minecraft.
Device Model Samung Galaxy J1
CPU architecture aarch32
Android Version 5.1.1 5.0.1
&lt;details&gt; context&lt; b&gt;&lt; summary&gt;
Here is the latest log.txt
--------- beggining with launcher debug
--------- beginning of system
--------- beginning of main</t>
  </si>
  <si>
    <t>PojavLauncherTeam-PojavLauncher-816</t>
  </si>
  <si>
    <t>[BUG] arm emulation of zenfones crashing the app.</t>
  </si>
  <si>
    <t>**Describe the bug**
clear and concise description of what the bug is.
Steps to reproduce the behavior:
1. Start PojavLauncher
Device Model e.g. Mi Pro 128
Asus zen fone
CPU architecture e.g. aarch64
Android Version e.g. 10
&lt;details&gt; context&lt; b&gt;&lt; summary&gt;
Add any other context about the problem here.</t>
  </si>
  <si>
    <t>theaaron123-novara-media-reader-26</t>
  </si>
  <si>
    <t>Rotates to landscape but crashes on rotate back to horizontal</t>
  </si>
  <si>
    <t>Anuken-Mindustry-4596</t>
  </si>
  <si>
    <t>core database flickering (repost)</t>
  </si>
  <si>
    <t>**Steps to reproduce**: *How you happened across the issue, and what exactly you did to make the bug happen.* open core database on the map, think It has something do to with lot of units on the map as haven reproduced it outside of unit spam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you said my zip was invalid so here link to the download that should 100% work https: discord.com channels 391020510269669376 393111111853146112 807385533448847421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</si>
  <si>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2021-02-05</t>
  </si>
  <si>
    <t>material-components-material-components-android-2047</t>
  </si>
  <si>
    <t>[MaterialTextView] InflateViewException in creating custom dialog using MaterialAlertDialogBuilder.</t>
  </si>
  <si>
    <t>The app crashes whenever building custom dialog using context that is not from appcompatActivity. tried changing themes, removing theme completely but still crashes. Wanted to create my own custom dialog so can call it from anywhere but still keeps on crashing during inflation. am failing to understand what is missing?
&lt;style name TextView parent
&lt;item name android:textColor &gt;?attr colorPrimary&lt; item&gt;
&lt;item name style item&gt;
&lt;?xml version 1.0 encoding utf-8 ?&gt;
style style TextView.Caption
API version 30
**Material Library version:** Material Android Library version you are using here (e.g., 1.1.0-alpha07)
Material Lib 1.3.0</t>
  </si>
  <si>
    <t>k9mail-k-9-5121</t>
  </si>
  <si>
    <t>reply causes crash</t>
  </si>
  <si>
    <t>When open message, and click reply, the app crashes.
Steps to reproduce the behavior:
1. Open app and switch to desired account
2. Open an old read message
3. Click reply icon and then reply
4. App closes crashes
Expect new message composition screen, that contains the original message as reply.
If applicable, add screenshots to help explain your problem.
**Environment (please complete the following information):**
K-9 Mail version: 5.726
Android version: 11
Device: Google Pixel
Account type: IMAP
am using Niagara launcher on Android, am not sure if this may be causing the issue.
Please take some time to retrieve logs (https: github.com k9mail k-9 wiki LoggingErrors) and attach them here:</t>
  </si>
  <si>
    <t>PojavLauncherTeam-PojavLauncher-804</t>
  </si>
  <si>
    <t>I found that sun.awt.X11FontManager doesn't work on my device.</t>
  </si>
  <si>
    <t>have added to JVM arguments,but if start Minecraft impact,it will still crash as the same before,but if run it in VMOS,I can start it successfully.But there is problem in VMOS:https: github.com PojavLauncherTeam PojavLauncher issues 802
Sorry to trouble you so much,but really want the problem to be fixed.</t>
  </si>
  <si>
    <t>miguelpruivo-flutter_file_picker-606</t>
  </si>
  <si>
    <t>iOS app crashes on picking many videos - iPhone 5s</t>
  </si>
  <si>
    <t>**Describe the bug**
iOS app crashes on picking many videos. (iPhone 5s only)
**Platform OS version**
**How are you picking?**
on PlatformException catch (e)
print( Unsupported operation e.toString())
**Details to reproduce the issue**
Attempt to pick files from type media. When Photos opens, choose some videos total size around 150mb. When the videos are selected, after you choose Select, spinner shows and spins for around minutes, then the app crashes. Available storage on the device is 1GB. The spinner shows every time for around minutes, but the crash sometimes does not occur.
**Flutter Version details**
Flutter (Channel stable, 1.22.0, on Mac OS 10.15.7 19H114)
Flutter version 1.22.0
Dart version 2.10.0</t>
  </si>
  <si>
    <t>moneymanagerex-android-money-manager-ex-1408</t>
  </si>
  <si>
    <t>App crashes when trying to activate passcode</t>
  </si>
  <si>
    <t>**Describe the bug**
When click Activate Passcode the app refreshes. If do it again the app crashes. am using Poco X3, Android 10, App version:
--------- beginning of crash
--------- beginning of main</t>
  </si>
  <si>
    <t>nextcloud-android-7938</t>
  </si>
  <si>
    <t>App crashes on startup</t>
  </si>
  <si>
    <t>************ CAUSE OF ERROR ************
************ APP INFORMATION ************
Build flavor: versionDev
************ DEVICE INFORMATION ************
************ FIRMWARE ************</t>
  </si>
  <si>
    <t>canyie-pine-9</t>
  </si>
  <si>
    <t>Floating point parameter parsing error on arm64</t>
  </si>
  <si>
    <t>Floating point parameters are stored in floating point registers (d0-d7), but when we try to fix it (07efc15), crash occurs after the bridge method returns:
We notice the fault addr, 0x40bfb7fba5e353f8, convert it to double as 8119.983, which is equal to an argument.
Don know why, just revert this commit and wait for more information.</t>
  </si>
  <si>
    <t>material-components-material-components-android-2038</t>
  </si>
  <si>
    <t xml:space="preserve">The style on this component requires your app theme to be Theme.AppCompat (or a descendant). </t>
  </si>
  <si>
    <t>started to come on **SOME DEVICES only (only android 10)**
there has no change in theme of application or activity.
app should not crash.
&lt;.. app:itemIconTint and itemTextColor colors are set
which use what see on source code of material library)
am inflating xml containing using viewBinding and for sure using activity context .(Any way this crash is just coming for some devices ,log on crashlytics)
**Android API version:**
Android 10 api 29
**Material Library version:** 1.2.0
Xiaomi, (86 %), samsung(10 %) and others real me one plus)
To help us triage faster, please check to make sure you are using the latest version (https: github.com material-components releases) of the library.
We also happily accept pull requests (https: github.com material-components pulls).</t>
  </si>
  <si>
    <t>aleksn41-corona_world_app-126</t>
  </si>
  <si>
    <t>When the user rapidly switches between map and another fragment the app crashes</t>
  </si>
  <si>
    <t>The app crashes when user rapidly switches between map fragment and another fragment (or between the both map fragments). This has to do with the old fragment running executor service threads not being able to tell that the fragment was killed. possible solution is checking if there is context-object before executing method or whatever.</t>
  </si>
  <si>
    <t>2021-02-04</t>
  </si>
  <si>
    <t>Anuken-Mindustry-4585</t>
  </si>
  <si>
    <t>Mindustry stuck at loading than it not responding</t>
  </si>
  <si>
    <t>When Open the Mindustry, It will loading until almost finish than it not responding when quit the game it will appear Failed to write core dump. Minidumps are not enabled by default on client versions of Windows
can open it twice times only, it just not loading than crash
JRE version: OpenJDK Runtime Environment (8.0 201-b09) (build 1.8.0
Failed to write core dump. Minidumps are not enabled by default on client versions of Windows
If you would like to submit bug report, please visit:
The crash happened outside the Java Virtual Machine in native code.
See problematic frame for where to report the bug.
Current thread (0x01ff2400): JavaThread main thread in native, id 7276,
EAX 0x0093fd80, EBX 0x45ee6170, ECX 0x65c5262c, EDX 0x00020000
ESP 0x0081f1f8, EBP 0x0081f230, ESI 0x45ee6170, EDI 0x00000000
EIP 0x760bc1fb, EFLAGS 0x00210202
Top of Stack: (sp 0x0081f1f8)
Register to memory mapping:
EAX 0x0093fd80 is an unknown value
EBX 0x45ee6170 is an unknown value
ECX 0x65c5262c is an unknown value
EDX 0x00020000 is an unknown value
ESP 0x0081f1f8 is pointing into the stack for thread: 0x01ff2400
EBP 0x0081f230 is pointing into the stack for thread: 0x01ff2400
ESI 0x45ee6170 is an unknown value</t>
  </si>
  <si>
    <t>deepjavalibrary-djl-596</t>
  </si>
  <si>
    <t>DJL Model View crashes on some Model Tabs.</t>
  </si>
  <si>
    <t>When picking almost any model on the ModelView page and you click the Synset tab the model view page will crash. Refreshing the page is the only way to get the page back to usable state.
### Expected Behavior
Expected behavior would be either not showing the tab at all or showing that the current attribute isn being used.
## How to Reproduce?
(If you developed your own code, please provide short script that reproduces the error. For existing examples, please provide link.)
### Steps to reproduce
(Paste the commands you ran that produced the error.)
1. In your terminal go into the central folder(*cd central *). Then run gradle(* gradlew*). 2.Go to http: localhost:8080 in your web browser.
3.Click CV.ACTION RECOGNITION
4.Click inceptionv3 ucf101
&lt;img width 906 alt image src https: 65963140
5.Then press the synset tab.
&lt;img width 816 alt image src https: 65963140
Fix ...... Coming soon.</t>
  </si>
  <si>
    <t>square-okhttp-6543</t>
  </si>
  <si>
    <t>javax.net.ssl.SSLException okio.OutputStreamSink.write</t>
  </si>
  <si>
    <t>use okhttp in one of my apps to run about requests at startup, got crash report from Google Play.
It seems like it an internal exception that can catch, which is pretty bad, wouldn mind the request to fail so wrap the request with try catch, but if can catch the exception, there problem.
couldn make much from the crash log, hopefully it helpful for you.</t>
  </si>
  <si>
    <t>2021-02-03</t>
  </si>
  <si>
    <t>mathisdt-trackworktime-137</t>
  </si>
  <si>
    <t>crash on "remove restrictions"</t>
  </si>
  <si>
    <t>MuntashirAkon-AppManager-259</t>
  </si>
  <si>
    <t>Crash when uninstalling app</t>
  </si>
  <si>
    <t>have noticed some crashes, when uninstalling apps.
App version: 2.5.22-PRE
App version code: 379
Android build version: a912fb9321
Android release version: 10
Android SDK version: 29
Android build ID: lineage cheryl-userdebug 10 QQ3A.200805.001 a912fb9321
Device brand: razer
Device manufacturer: Razer
Device name: cheryl
Device model: Phone
Device product name: lineage cheryl
Device hardware name: qcom
ABIs (32bit): armeabi-v7a, armeabi
ABIs (64bit): arm64-v8a
System language: en
In-App Language: en</t>
  </si>
  <si>
    <t>PojavLauncherTeam-PojavLauncher-794</t>
  </si>
  <si>
    <t xml:space="preserve">[BUG] I can't get minecraft to work </t>
  </si>
  <si>
    <t>**Describe the bug**
clear and concise description of what the bug is.
was gonna test the newest version (3.3.1.1)
So login to my account and downloaded the Minecraft version of (1.7.10) then started. But it crash and showed popup.
Steps to reproduce the behavior:
1. Start PojavLauncher
2. Download the version (1.7.10)
3. Wait it to downloads
expected it will run Minecraft normally
Or soon if needed
Device Model: Samsung Galaxy J2 Pirme
CPU architecture: (aarch32)
Android version: (6.0.1)</t>
  </si>
  <si>
    <t>AlphaWallet-alpha-wallet-android-1713</t>
  </si>
  <si>
    <t>Speed-up transaction either crashes app or the flow goes into loop</t>
  </si>
  <si>
    <t>The speed-up transaction does not work as expected.
The app crashed the first time tried to open up speed up transactions.
The flow is also weird now. The speed up transaction goes on like this:
1. Click pending transaction
2. Click details button on top right
3. Click Speedup Txn button
4. Cick settings button at top-right corner (Screen is has dialogue box saying Submit replacement txn
Go backs back to Step 2.
5. Click the blue dialogue box and app crashes</t>
  </si>
  <si>
    <t>iamutkarshtiwari-Ananas-85</t>
  </si>
  <si>
    <t>Issue with filtering black photo</t>
  </si>
  <si>
    <t>App crashes while applying any filter to solid black image.
sample photo: https: wikipedia commons thumb cd Black flag.svg 750px-Black flag.svg.png</t>
  </si>
  <si>
    <t>2021-02-02</t>
  </si>
  <si>
    <t>Anuken-Mindustry-4500</t>
  </si>
  <si>
    <t>Bugged map editor</t>
  </si>
  <si>
    <t>Team marker broken:
Size of the core looks 1x1 because could place anything in it except in the middle (example with boulders):
**Steps to reproduce**: *How you happened across the issue, and what exactly you did to make the bug happen.*
1. set editor size to 1x1 (possible with mod DeltaNedas cliff)
2. place core
3. set map size to 5x5
**Link(s) to mod(s) used**: *The mod repositories or zip files that are related to the issue, if applicable.*
DeltaNedas cliff v1.1.0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not in game (editor)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</si>
  <si>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morenoh149-react-native-contacts-590</t>
  </si>
  <si>
    <t>App crashing for android for react native contacts</t>
  </si>
  <si>
    <t>followed all the steps for android, according to the docs had to add
protected List&lt;ReactPackage&gt; getPackages()
new &lt;------ add this
But this gave an error while building that this method does not override or implement method from supertype, removed the override keyword and the app is building but crashes on startup. added the permission in manifest too.
have very little android background. Any help would be appreciated!
p.s also had to import
to make this work.</t>
  </si>
  <si>
    <t>chr15m-PdDroidParty-62</t>
  </si>
  <si>
    <t>PdDroidParty doesn't find any patch and crashes</t>
  </si>
  <si>
    <t>trying to use PdDroidParty on my Sony Xperia XZ2 with Android 10.
installed the latest version on the play store. On launch it asked for permission to access my folders. accepted.
then created folder named PdDroidParty on my SD card but the app doesn find anything. tried moving it to the internal memory and same result.
It recognized the demo files when put them in this folder
It finds them even without the folder named PdDroidParty.
But if launch the patch from this folder the app quits instantly. tried with another phone and get the exact same result.
Thank you for your help</t>
  </si>
  <si>
    <t>Anuken-Mindustry-4496</t>
  </si>
  <si>
    <t>Anane</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</si>
  <si>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</si>
  <si>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Anuken-Mindustry-4495</t>
  </si>
  <si>
    <t>About to lose two days worth of progress</t>
  </si>
  <si>
    <t>**Steps to reproduce**:
1. export save1
2. import save1
3. problem happened,
4. 4. export save
5. try to import save
6. another problem happened
**Link(s) to mod(s) used**: Hackustry by QmelZ https: github.com QmelZ Hackustry (was disabled)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</si>
  <si>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2021-02-01</t>
  </si>
  <si>
    <t>cgeo-cgeo-9937</t>
  </si>
  <si>
    <t>old backups can no longer be restored</t>
  </si>
  <si>
    <t>Due to #9902 old backups can no longer be restored. The reason is that these backups don have the extentionsDB upgrade.
Therefore, it fails with SQLiteLog: (1) no such column: long3 No crash, it simply happens nothing.</t>
  </si>
  <si>
    <t>cgeo-cgeo-9936</t>
  </si>
  <si>
    <t>Crash on moving files when changing base dir</t>
  </si>
  <si>
    <t>**Describe the bug:**
tried to move the base dir via settings system but after granting access to the folder, no progress dialog appeared. The granting access window was still visible, and saw how the dirs where created. Then the screen turns black and an ANR popped up. Then c:geo crashed and the main activity was visible again...
**Version of c:geo used:**
2021.02.01-58cd69b developer build
Android 10 (emulator)</t>
  </si>
  <si>
    <t>AOF-Dev-MCinaBox-906</t>
  </si>
  <si>
    <t>how can i fix this</t>
  </si>
  <si>
    <t>---- Minecraft Crash Report ----
Don be sad, have hug! &lt;3
detailed walkthrough of the error, its code path and all known details is as follows:
-- Head --
-- Initialization --
-- System Details --
Minecraft Version: 1.12.2
Operating System: Linux (aarch64) version 4.9.117+
JVM Flags: total -Xmx256m -Xms128m
Launched Version: MCinaBox 0.1.4-p5
Using VBOs: Yes
Is Modded: Probably not. Jar signature remains and client brand is untouched.
Current Language: ERROR null
Profiler Position: (disabled)
Game crashed! Crash report saved to: storage emulated MCinaBox gamedir crash-reports crash-2021-02-01 08.55.19-client.txt
when start minecraft it crashes
the version that im runing is 1.12.2 btw</t>
  </si>
  <si>
    <t>Anuken-Mindustry-4491</t>
  </si>
  <si>
    <t>Anuken</t>
  </si>
  <si>
    <t>nextcloud-android-7911</t>
  </si>
  <si>
    <t>Sporadic SQLiteBlobTooBigException on mobile</t>
  </si>
  <si>
    <t>### Steps to reproduce
1. Delete large directory using mobile app
2. Wait for job to complete (it crashed on me with timed out error)
3. Close app and try to re-open
### Expected behaviour
App re-opens correctly
### Actual behaviour
The server is able to delete the directory, but for some reason unable to re-open the app. It keeps mentioning some large exception is causing problems
### Can you reproduce this problem on https: try.nextcloud.com?
Please create test demo account and see if this still happens there.
If yes, please open up bug report
If not, please verify server setup and ask for help on forum
can try, am allowed to upload large amounts of data to the server to test these timeouts?
************ CAUSE OF ERROR ************
************ APP INFORMATION ************
Build flavor: gplay
************ DEVICE INFORMATION ************
************ FIRMWARE ************</t>
  </si>
  <si>
    <t>TeamNewPipe-NewPipe-5520</t>
  </si>
  <si>
    <t>Searching yields no results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</si>
  <si>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search
&lt;!-- If you can cause the bug to show up again reliably (and hence don have proper set of steps to give us), please still try to give as many details as possible on how you think you encountered the bug. --&gt;
### Actual behaviour
whenever used to search bar nothing comes up, it just says no results regardless of what look for.
### Expected behavior
show what am looking for in the search bar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</si>
  <si>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material-components-material-components-android-2021</t>
  </si>
  <si>
    <t>[transition] strictmode.LeakedClosableViolation on Android 11</t>
  </si>
  <si>
    <t>When Strict Mode is enabled, when doing shared element transition using the Material Transition library, it is observed that after few trials it crashes on Android 11 devices
No crash even after doing the Shared Element Transition many times.
**Steps to reproduce:**
This can be reproduced by adding
to the DisneyApplication onCreate, for example in the Disney Motions demonstration of the Material Transitions. (https: github.com skydoves DisneyMotions)
And then after running the app, open and close Disney card multiple times on an android 11 device until it crashes. We have been noticing crash after about every 15-16 times.</t>
  </si>
  <si>
    <t>Anuken-Mindustry-4486</t>
  </si>
  <si>
    <t>coredatbase flikering</t>
  </si>
  <si>
    <t>**Steps to reproduce**: *How you happened across the issue, and what exactly you did to make the bug happen.* opening coredata base at the frontline defense (multiplayer) also may need corvus to fire, not sure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</si>
  <si>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2021-01-31</t>
  </si>
  <si>
    <t>Anuken-Mindustry-4483</t>
  </si>
  <si>
    <t>Generation filter choices not on screen</t>
  </si>
  <si>
    <t>**Steps to reproduce**: *Just open that menu.*
**Link(s) to mod(s) used**: *No mods used.*
**Save file**: *Not an in-game bug.*
**(Crash) logs**: *No crashes happened.*
**I have updated to the latest release (https: github.com Anuken Mindustry releases) to make sure my issue has not been fixed.**
**I have searched the closed and open issues to make sure that this problem has not already been reported.**</t>
  </si>
  <si>
    <t>Anuken-Mindustry-4482</t>
  </si>
  <si>
    <t>link with processors not overwrite</t>
  </si>
  <si>
    <t>when you replace gun that was connected via logic procesors and replace it it conserv it link name
**Steps to reproduce**: *How you happened across the issue, and what exactly you did to make the bug happen.*
specters in 8x8 formation
conect every specter to hyperprocesor
replace the specters with meltdowns withouth deleting them first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</si>
  <si>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mtotschnig-MyExpenses-744</t>
  </si>
  <si>
    <t>PlannerFragment crashes when stopped if open instances are selected</t>
  </si>
  <si>
    <t>On Templates and Plans screen select Planner from Menu.
Long tap on an open instance (which marks it as selected).
Put app into background by navigating to other app.
MyExpenses crashes with
Fatal Exception: Parcelable encountered IOException writing serializable object (name java.util.HashSet)</t>
  </si>
  <si>
    <t>TeamNewPipe-NewPipe-5517</t>
  </si>
  <si>
    <t>Strange behaviour of "back" button</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</si>
  <si>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Watch video, from one of the available video lists, e.g. What new
2. Press the android Back button
### Actual behaviour
Newpipe displays one of the videos that ve already viewed (perhaps partially), instead of the video list which was coming from.
Generally, if press back several times get back to the expected list, but this seems to happen by accident, after displaying one or more old videos (the last of which remains loaded in the minimized player at the bottom of the screen).
### Expected behavior
Newpipe should display the video list where was before viewing the first video that the expected behaviour of the back button: take me one step back, not to totally unrelated video(s) that watched in the past.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</si>
  <si>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AOF-Dev-MCinaBox-901</t>
  </si>
  <si>
    <t>Game crashes in-middle of playing</t>
  </si>
  <si>
    <t>Game crashes closes everytime in-middle of game while using offline account. selected for the app to set my ram automatically for me (718 mb ram)
Device: Huawei Matepad T10
OS: Android 10
App Version v0.1.4-p5
CPU architecture: aarch64</t>
  </si>
  <si>
    <t>yelmio-Yelm.Hooli.HooliOS-7</t>
  </si>
  <si>
    <t>Запуск корзины - crash 💥 + UI корзины</t>
  </si>
  <si>
    <t>2021-01-30</t>
  </si>
  <si>
    <t>cgeo-cgeo-9915</t>
  </si>
  <si>
    <t>Crash when opening live map</t>
  </si>
  <si>
    <t>**Describe the bug:**
Don know if it already tracked somewhere, but this crash happened to me in the emulator. No Idea what causes this and after opening the live map again everything was fine...</t>
  </si>
  <si>
    <t>Anuken-Mindustry-4475</t>
  </si>
  <si>
    <t>Launching with custom core in campaign crashes the game.</t>
  </si>
  <si>
    <t>What can understand looking at the code, the code is scanning for the schema with that custom core but didn find anything so it crashes. (Maybe am wrong .: P)
**Steps to reproduce**: Launching from one sector to another with custom core.
**Link(s) to mod(s) used**: https: github.com z0mbiesrock Larger-Cores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</si>
  <si>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nextcloud-android-7909</t>
  </si>
  <si>
    <t>NextCloudDev crash</t>
  </si>
  <si>
    <t>nextcloud-android-7908</t>
  </si>
  <si>
    <t>Android client crash on no longer accessible folder</t>
  </si>
  <si>
    <t>### Steps to reproduce
1. Directory on Nextcloud Server is no longer accessible
2. Android client thinks it still there and display the folder
3. Updating leads to the crash
### Expected behaviour
Upon update, the folder should disappear
### Actual behaviour
### Can you reproduce this problem on https: try.nextcloud.com?
### Environment data
Android version: 10
Device model: Huawei LYA-29 (Mate20Pro)
Stock or customized system: Stock
Nextcloud app version: 3.14.3
Nextcloud server version: 20.0.5
Reverse proxy: Nope
************ CAUSE OF ERROR ************
************ APP INFORMATION ************
Build flavor: gplay
************ DEVICE INFORMATION ************
************ FIRMWARE ************</t>
  </si>
  <si>
    <t>MuntashirAkon-AppManager-255</t>
  </si>
  <si>
    <t>Applying blocking rules fails once if app's component list changed</t>
  </si>
  <si>
    <t>**Describe the bug**
Applying blocking rules fails on first attempt if component list changed after target app was updated and old blocking rules were applied prior to update.
1. Install old version of Apple Music (I tested with v3.3.0).
2. Use Block trackers on the app.
3. Update Apple Music to latest version (v3.4.5).
4. a) Use Block trackers again. OR b) Toggle blocking of component.
5. a) Could not block trackers notification appears. OR b) AppManager crashes.
6. Try blocking again.
7. Rules apply successfully.
Applying rules succeeds on first attempt after component list changed.
Device: Xiaomi Redmi Note Pro
OS Version: Android 11
This issue was happening constantly for affected apps and was partially fixed. Now it happens only once for every affected app.</t>
  </si>
  <si>
    <t>2021-01-29</t>
  </si>
  <si>
    <t>Anuken-Mindustry-4468</t>
  </si>
  <si>
    <t xml:space="preserve">Mindustry crashes </t>
  </si>
  <si>
    <t>Additionally, tested using slightly smaller schematic (instead of T4 the schematic makes T3 units) that also causes the game to crash.
Steps to reproduce: Reproduced multiple times using this schematic: https: steamcommunity.com sharedfiles filedetails ?id 2377811298
1. Open Mindustry
2. Stream Mindustry through the Discord desktop application Build: Stable 75395 (e4061ca) The symbol that appears above the call disconnect button when in voice chat channel (Res: 720p Frame rate 30 s)
2. Start sandbox game Only confirmed to crash on Fortress and Islands maps
3. Place the blueprint above
4. Observe the crash
**Link(s) to mod(s) used**: None
**(Crash) logs**: *Either crash reports from the crash folder, or the file you get when you go into Settings -&gt; Game Data -&gt; Export Crash logs. REQUIRED if you are reporting crash.*
No crash report found when attempting to export the logs nor was designated Crash folder found in the steamapps -&gt; common -&gt; Mindustry file pathway.
No Crash Report Found (https: 78232668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</si>
  <si>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Anuken-Mindustry-4466</t>
  </si>
  <si>
    <t xml:space="preserve">Unloader, Plastanium </t>
  </si>
  <si>
    <t>Windows 10 x64 Version 2004
First saw in .IO multiplayer survival server. Then recreated in Custom Game.
Was making cryofluid using unloader plast conveyor combo. Used Overflow gate to split plastinium conveyor lanes. Split plast lanes did NOT unload into cryofluid makers if they were right NEXT to the overflow gate.
**Steps to reproduce**: *How you happened across the issue, and what exactly you did to make the bug happen.*
See above in issue
**Link(s) to mod(s) used**: *The mod repositories or zip files that are related to the issue, if applicable.*
NONE, Vanilla Mindustry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*******(First time using Github reporting bug, zipfile is stated to be in crash log area by client)*******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 logs
TLDR aint no snek engineer but shit dont make no damn sense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</si>
  <si>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TeamNewPipe-NewPipe-5506</t>
  </si>
  <si>
    <t xml:space="preserve">org.schabi.newpipe.extractor.exceptions.ExtractionException: Couldn't get audio streams 	</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</si>
  <si>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&lt;!-- If your bug includes crash (where you re shown the Error Report page with bunch of info), tap on Copy formatted report at the bottom and paste it here: --&gt;
User Action: requested stream
Request: https: www.youtube.com watch?v DZCxxxxxxxxxx
Content Country: IN
Content Language: en-IN
App Language: en IN
OS: Linux Android 10 29
log b&gt;&lt; summary&gt;&lt;p&gt;
... 28 more
... 29 more
Caused by: failed to connect to youtube.com 172.217.166.14 (port 443) from 10.34.142.214 (port 49071) after 10000ms
... 33 more</t>
  </si>
  <si>
    <t>TotalCross-totalcross-291</t>
  </si>
  <si>
    <t xml:space="preserve">XML Causing crashes on different instances </t>
  </si>
  <si>
    <t>## Describe the bug
An issue related to change on XMLParse(using byte instead of char is causing crashes on some aplications
Please complete the following information:
System OS (name and version):Android 10
TotalCross Version: 7.0.1
Device description: Motorola One Fusion
## To Reproduce
on TCSample,go to XML, and ReadXML, click to read, and it should show the issue
To reproduce using knowcode, just open any application using XML
## Screenshots or videos
Fail on compiling
Exception while using knowcodeXML</t>
  </si>
  <si>
    <t>PojavLauncherTeam-PojavLauncher-751</t>
  </si>
  <si>
    <t>No X11 DISPLAY variable was set, but this program performed an operation which requires it.</t>
  </si>
  <si>
    <t>When use Pojavlauncher to launch modpack,it will crash after appear the interface of MoJang (it works well on 1.12.2 and forge1.12.2 but now want to hack serve and have to use 1.12.2impact)
There is the crash-report:
---- Minecraft Crash Report ----
Hi. Minecraft, and crashaholic.
No X11 DISPLAY variable was set, but this program performed an operation which requires it.
detailed walkthrough of the error, its code path and all known details is as follows:
-- Head --
-- Initialization --
-- System Details --
Minecraft Version: 1.12.2
Operating System: Linux (aarch64) version Android-9
JVM Flags: total -Xcheck:jni -Xms2182M -Xmx2182M
Launched Version: 1.12.2
GL Caps: Using GL 1.3 multitexturing.
Using GL 1.3 texture combiners.
Using framebuffer objects because ARB framebuffer object is supported and separate blending is supported.
Shaders are available because OpenGL 2.1 is supported.
VBOs are available because OpenGL 1.5 is supported.
Using VBOs: Yes
Is Modded: Very likely Jar signature invalidated</t>
  </si>
  <si>
    <t>gluonhq-substrate-867</t>
  </si>
  <si>
    <t>[iOS] Application crashes when using a LaunchScreen storyboard</t>
  </si>
  <si>
    <t>### Expected Behavior
The app should start showing the LaunchScreen until the main JavaFX Application is loaded.
### Current Behavior
The app crashes as it does not find LaunchScreen storyboard
### Steps to Reproduce
gradlew nativeBuild nativeRun
### Your Environment</t>
  </si>
  <si>
    <t>2021-01-28</t>
  </si>
  <si>
    <t>Anuken-Mindustry-4460</t>
  </si>
  <si>
    <t>Mindustry crashes while loading sounds</t>
  </si>
  <si>
    <t>**Steps to reproduce**:
1. Start game with mods from Terminal (it says the file is damaged if open it from Finder, using the .app file)
3. It crashes
**Link(s) to mod(s) used**: *The mod repositories or zip files that are related to the issue, if applicable.*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</si>
  <si>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getodk-collect-4364</t>
  </si>
  <si>
    <t>Stopping recording while paused causes a crash when using `voice-only` quality</t>
  </si>
  <si>
    <t>#### Software and hardware versions
Collect v1.29.4, Android 10
#### Problem description
Hitting the stop button while recording while paused causes the app to hang before being killed by the system. This is due to an underlying issue in Android (logged here (https: issues 178630865)).
This also causes the mic to be blocked, forcing the user to restart the device if they want to retry the recording.
#### Steps to reproduce the problem
1. Open form with an audio question (using voice-only and navigate to it
2. Start recording
3. Pause recording
4. Stop recording
The app will freeze and then Android will offer to kill it.
#### Expected behavior
Stop should work when paused.</t>
  </si>
  <si>
    <t>ogarcia-opensudoku-107</t>
  </si>
  <si>
    <t>Unable to import puzzles</t>
  </si>
  <si>
    <t>ve been generating sudoku .sdm files using the terminal program sudoku in Linux, which are then imported into Open Sudoku. Import has stopped working in the 3.6.0 version.
get the following error:
Unknown error occurred while importing puzzles import was cancelled
Open Sudoku doesn crash.
.xml files from generating puzzles online import successfully.
Android version: 10 (3 different devices)
Opensudoku version 3.6.0 fron F-droid</t>
  </si>
  <si>
    <t>microg-GmsCore-1380</t>
  </si>
  <si>
    <t>[microG 0.2.17.204714] frequent crash messages</t>
  </si>
  <si>
    <t>Package id: all
**Describe the bug**
Several times day, get crash message. It seems to happen more likely with RAM-consuming apps acting.
location permission as described in #1376 is set.
Steps to reproduce the behavior:
Cannot be reproduced reliably.
Function seems to be fine no problems could be notified.
Android Version: 7.1.2
Custom ROM: LineageOS 14.1
microG Core version: 0.2.17.204714 and 0.2.16.204713 never ever before
microG Self-Check results: All ticked except SMS, which is not activated
&lt;!-- Please note that any of the self-check items not being ticked is good indicator of microG being not properly set up. If something is not working, it might just be because of that. --&gt;
Phone is LG G3 **1GB of RAM only**. My guess is could be short-of RAM -problem. Shortage of RAM seems to become growing problem these days with this phone.</t>
  </si>
  <si>
    <t>rnyholm-skvirrel-51</t>
  </si>
  <si>
    <t>Sometimes application crashes upon start on real device</t>
  </si>
  <si>
    <t>Add acra to the application in order to catch this</t>
  </si>
  <si>
    <t>PojavLauncherTeam-PojavLauncher-742</t>
  </si>
  <si>
    <t>[BUG] libjvm.so fails to load</t>
  </si>
  <si>
    <t>**Describe the bug**
The libjvm.so fails to load on Android 5.1. Maybe this is due to an incompatible ELF version, in which case you may want to mark this as just not supported.
Steps to reproduce the behavior:
1. Compile from source
3. Launcher crashes while trying to start the game
The JRE should run fine.
Device Model: Yoga Tablet 1050F
CPU architecture: x86 64 (Android x86-uefi)
Android Version: 5.1
See log below:
&lt;details&gt; context&lt; b&gt;&lt; summary&gt;
No monotonic clock was available timed services may be adversely affected if the time-of-day clock changes
in libjvm.so d1905000+c24000</t>
  </si>
  <si>
    <t>2021-01-27</t>
  </si>
  <si>
    <t>Gnuhry-student-alarm-125</t>
  </si>
  <si>
    <t>Fix the app crashes if change to landscape mode</t>
  </si>
  <si>
    <t>mtotschnig-MyExpenses-741</t>
  </si>
  <si>
    <t>Crash when calling calendar permission from Onboarding or Settings</t>
  </si>
  <si>
    <t>Case 1: In Onboarding user selects Restore from cloud or Restore from local backup. When she clicks on the radio button deciding if plans should be restored, app crashes
Case 2: In Settings (Advanced) -&gt; Planner -&gt; Planning calendar. App crashes if permission has not yet been granted</t>
  </si>
  <si>
    <t>ElderDrivers-EdXposed-813</t>
  </si>
  <si>
    <t>[BUG] crash when open turemoney wallet app(5.18.0).(android.content.res.Resources$NotFoundException: Drawable th.co.truemoney.wallet:drawable/logo_splash with resource ID #0x7f0803ae)</t>
  </si>
  <si>
    <t>If you encountered boot loop, please make sure you have disabled all unrelated Xposed and Magisk modules before submit an issue
In any case, the title should be in English
** What happened?**
crash when open turemoney wallet app(5.18.0).
Such as bootloop, module not loaded, etc
**Xposed Xposed Module List**
**Magisk Magisk Module List**
Riru(Riru Core) v21.3
** Related Logs**
Please capture log with debug version, otherwise it won help us locating the issue</t>
  </si>
  <si>
    <t>nextcloud-android-7899</t>
  </si>
  <si>
    <t>App crashes when unsharing a folder shared by other user.</t>
  </si>
  <si>
    <t>### Steps to reproduce
1. Share some folder being logged with USER1
2. Log to USER2 and tap unshare button.
### Expected behaviour
1: Make different shared icon for external shares and disable unshare option.
2: Or simply display message saying you cannot unshare the item.
### Actual behaviour</t>
  </si>
  <si>
    <t>PojavLauncherTeam-PojavLauncher-724</t>
  </si>
  <si>
    <t xml:space="preserve">[BUG]The latest version of the launcher starts the game and crashes directly </t>
  </si>
  <si>
    <t>--------- beggining with launcher debug
--------- beginning of system
--------- beginning of main</t>
  </si>
  <si>
    <t>2021-01-26</t>
  </si>
  <si>
    <t>PojavLauncherTeam-PojavLauncher-723</t>
  </si>
  <si>
    <t xml:space="preserve">[BUG] The game is crashing when I enter in a server </t>
  </si>
  <si>
    <t>**Describe the bug**
The game crash when try to enter in server, like hypixel for example.
Steps to reproduce the behavior:
1. Start PojavLauncher v3.3.1.1
2. enter in 1.12.2 optifine G5 (I using my original account)
3. and try to enter in hypixel, but the game crash.
expected that can play in the server.
Device Model: Moto G6 play
CPU architecture: aarch32</t>
  </si>
  <si>
    <t>PojavLauncherTeam-PojavLauncher-721</t>
  </si>
  <si>
    <t>[BUG] Trying to launch a custom Minecraft version in Pojavlauncher causes a crash.</t>
  </si>
  <si>
    <t>**Describe the bug**
When tried to launch custom version using Pojavlauncher, it resulted in crash.
Steps to reproduce the behavior:
1. Start PojavLauncher
2. Select any custom version
3. Launch it
expected the version to launch as usual.
Redmi Note 64GB (Non-Rooted)
&lt;details&gt; context&lt; b&gt;&lt; summary&gt;
Add any other context about the problem here.</t>
  </si>
  <si>
    <t>PojavLauncherTeam-PojavLauncher-720</t>
  </si>
  <si>
    <t>[BUG] Launcher not Launching</t>
  </si>
  <si>
    <t>tried to launch Minecraft and it won work. tried everything and nothing is working.
So first, launched Minecraft (i used all versions including 1.8) and when click play, it instantly exits the launcher. (not the whole app)
tried changing the JVM arg and see if anything happens but it is still crashing.
Device Model vivo Y53s 16
CPU architecture aarch32
Android Version 6.0.1
also using the latest version of Pojav which is 3.3.1.1 rel 20210125</t>
  </si>
  <si>
    <t>aws-amplify-amplify-android-1132</t>
  </si>
  <si>
    <t>DataStore and API - Crashes when having unstable or intermittent Internet connection.</t>
  </si>
  <si>
    <t>**Short Description:** When using low-end device with really poor Internet connection sometimes have some crashes when using the API and DataStore categories.
This is the first call in my App, just simple query to the API:
Then call DataStore start:
failure -&gt; onFailure(failure)
onSuccess() navigates to new Activity.
After successful response call query to the DataStore:
4. Here are some logs got from Sentry and that think could be related:</t>
  </si>
  <si>
    <t>indomie858-app-A-87</t>
  </si>
  <si>
    <t>[Bug] Emulator Crash when tapping a location</t>
  </si>
  <si>
    <t>1. Open up directory
2. Tap location
App crashes. Relevant error message:</t>
  </si>
  <si>
    <t>2021-01-25</t>
  </si>
  <si>
    <t>TeamNewPipe-NewPipe-5489</t>
  </si>
  <si>
    <t>Brightness gesture default setting: please disable</t>
  </si>
  <si>
    <t>am using the latest version -v0.20.8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Too many phones due the other bugs listed in the issue tracker do not restore to proper original brightness
2. Or users slide gesture and increase it by mistake causing battery drain.
&lt;!-- If you can cause the bug to show up again reliably (and hence don have proper set of steps to give us), please still try to give as many details as possible on how you think you encountered the bug. --&gt;
### Actual behaviour
Ideally everyone using phone knows to increase brightness by slider (from notification).
### Expected behavior
Please change the default brightness gesture setting to OFF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&lt;!-- Please fill this out when you do not provide log generate by NewPipe --&gt;
### Device info
Android version Custom ROM version: Lineage 17.1</t>
  </si>
  <si>
    <t>material-components-material-components-android-2005</t>
  </si>
  <si>
    <t>[CircularProgressIndicator] Error inflating class CircularProgressIndicator with API 19</t>
  </si>
  <si>
    <t>**Expected behavior:** No crash
Having the following main theme
&lt;?xml version 1.0 encoding utf-8 ?&gt;
&lt;!-- Base theme, all common styling here --&gt;
&lt;style name Base.IO parent style
&lt;item name style
and this styles:
&lt;style name parent
&lt;item name style item&gt;
&lt;item name trackThickness &gt;20dp&lt; item&gt;
&lt;style name parent
&lt;item name colorPrimary color watermelon&lt; item&gt;
got the following crash:
Reason seems to be trackThickness
**Android API version:** 19
**Material Library version:** 1.3.0-rc01</t>
  </si>
  <si>
    <t>Anuken-Mindustry-4436</t>
  </si>
  <si>
    <t>Getblock type does not return comparable type with stone-walls</t>
  </si>
  <si>
    <t>*edit* string is bad way to phrase this. See 2nd comment
**Steps to reproduce**: Nestor came up with it in the Mindustry discord. We both tested some logic that scanned wall and compared it and printed the result.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No, but issue isn included in 123.1 bugfix list**
**I have searched the closed and open issues to make sure that this problem has not already been reported.**</t>
  </si>
  <si>
    <t>Blankj-AndroidUtilCode-1438</t>
  </si>
  <si>
    <t>No ApiUtils of com.blankj.utilcode.util.ApiUtils in project ':app'.</t>
  </si>
  <si>
    <t>4.1.1 beta AndroidStudio 4.2.0-beta03 gradle-6.7.1-bin
put your code here
Caused by: should init first
put the stack of crash here</t>
  </si>
  <si>
    <t>nextcloud-android-7893</t>
  </si>
  <si>
    <t>Nextcloud application keeps crashing on my One Plus 8 running Android 11</t>
  </si>
  <si>
    <t>Since the update to Android 11 the nextcloud application keeps crashing when beeing used (upload data download data viewing data) something like this never happened before the update to Android 11 or on other operating systems. Please fix this problem (the cause of the error is under this message)
************ CAUSE OF ERROR ************
************ APP INFORMATION ************
Build flavor: gplay
************ DEVICE INFORMATION ************
************ FIRMWARE ************</t>
  </si>
  <si>
    <t>2021-01-24</t>
  </si>
  <si>
    <t>UniRegensburg-unsere-app-fur-die-universitat-regensburg-code-companion-44</t>
  </si>
  <si>
    <t xml:space="preserve">IDE sometimes crashing </t>
  </si>
  <si>
    <t>Probably when scanning qr code to quickly after opening it</t>
  </si>
  <si>
    <t>nextcloud-android-7891</t>
  </si>
  <si>
    <t>App crash during QR scan</t>
  </si>
  <si>
    <t>### Steps to reproduce
1. Start app
2. Choose Login with QR code
3. Scan QR code
### Expected behaviour
### Actual behaviour
### Can you reproduce this problem on https: try.nextcloud.com?
Please create test demo account and see if this still happens there.
If yes, please open up bug report
If not, please verify server setup and ask for help on forum
### Environment data
Android version: 7.0
Device model: Samsung Galaxy Tab S2 (SM-T719)
Stock or customized system: Stock
Nextcloud app version: (latest F-Droid version, just installed it)
Nextcloud server version: Storage Share 19.0.3
Reverse proxy: A, managed instance
#### Web server error log
#### Nextcloud log (data nextcloud.log)
************ CAUSE OF ERROR ************</t>
  </si>
  <si>
    <t>PojavLauncherTeam-PojavLauncher-696</t>
  </si>
  <si>
    <t xml:space="preserve">[BUG]The game will crash when I use the computer </t>
  </si>
  <si>
    <t>--------- beggining with launcher debug
--------- beginning of main</t>
  </si>
  <si>
    <t>TeamNewPipe-NewPipe-5486</t>
  </si>
  <si>
    <t>App crashed after watching a video in my playlist</t>
  </si>
  <si>
    <t>User Action: ui error
Request: App crash, UI failure
Content Country: IN
Content Language: en-IN
App Language: en IN
OS: Linux Nokia TA-1032 00WW NE1:9 PPR1.180610.011 00WW 180:user release-keys 28
log b&gt;&lt; summary&gt;&lt;p&gt;</t>
  </si>
  <si>
    <t>PojavLauncherTeam-PojavLauncher-694</t>
  </si>
  <si>
    <t>[BUG] compatibility of newest game versions with mods</t>
  </si>
  <si>
    <t>some mods like Cyclic and PhysEX (1.16.X only) on version 1.16.4 cannot run. On version 1.12.2, for example, there no such bug.
**Steps to reproduce**
Steps to reproduce the behavior:
1. Start PojavLauncher 1.16.4 with one of these mods: Cyclic or PhysEX.
2. Launch the game
3. Wait for crash.
expected the game to crash while loading.
PhysEX shows broken font and crashes.
Cyclic throws an error after loading
Device Model: Honor View 20
CPU architecture: aarch64
Android Version 10
P.s. ve used Google Translator, so the text may not be well formed, sorry.</t>
  </si>
  <si>
    <t>openboard-team-openboard-279</t>
  </si>
  <si>
    <t>Crashes due to having no code for numpad</t>
  </si>
  <si>
    <t>have had crash where the app crashed due to not having number pad. would advise to make keyboard along with the original keyboard which had numbers and signs only. Because some apps will ask for that specific number pad. Some apps only request numbers and not letters. So this would be helpful</t>
  </si>
  <si>
    <t>2021-01-23</t>
  </si>
  <si>
    <t>Anuken-Mindustry-4422</t>
  </si>
  <si>
    <t>Double-check your JSON adapters</t>
  </si>
  <si>
    <t>*My first discovery was that PowerTurret can lack shootType and the reader wont catch it until the turret fires, causing crash.*
*Second was that when loading more than four colours into if you did not change the strokes array to compensate the reader again wouldn catch it, causing an array index out of bounds crash when firing.*
*Third and most recent was that you could put null in any field and it would crash on startup.*
**Steps to reproduce**: *Replicate above.*
**Link(s) to mod(s) used**: *K103908 Exotic-Mod used in testing but it is not specific to the mod.*
**Save file**: *ancient treasures.*
If you remove the line above without reading it properly and understanding what it means, will reap your soul. Even if you re playing on someone server, you can still save the game to slot.
**(Crash) logs**: *This platform does not allow me to use the application use for accessing crash logs. Ping me in discord for the most recent crash log. (yes, despite being android the system does not allow access to the app files via the default file managers)*
*Place an (no spaces) between the brackets to confirm that you have read the line below.*
**I have updated to the latest release (https: github.com Anuken Mindustry releases) to make sure my issue has not been fixed.**
**I have not searched the closed and open issues to make sure that this problem has not already been reported.**
After couple minutes of further testing found could use my third party file manager but again, it isn allowed to send sensitive files to this platform.</t>
  </si>
  <si>
    <t>PojavLauncherTeam-PojavLauncher-685</t>
  </si>
  <si>
    <t>A strange bug</t>
  </si>
  <si>
    <t>When in world, sometimes the software crashes unexpectedly and doesn generate crash-report, and every minecraft version does.</t>
  </si>
  <si>
    <t>chr15m-PdDroidParty-59</t>
  </si>
  <si>
    <t>Manifest needs android.permission.FOREGROUND_SERVICE</t>
  </si>
  <si>
    <t>PdDroidParty currently crashes on Android10:
Apparently, apps that target Android (API level 28) or higher and use foreground services must request the FOREGROUND SERVICE permission (refer to: https: stackoverflow.com questions 52382710</t>
  </si>
  <si>
    <t>Anuken-Mindustry-4418</t>
  </si>
  <si>
    <t>Conveyors pathfinding doesn't place junctions if crossed by 1 tile</t>
  </si>
  <si>
    <t>**Steps to reproduce**: See gif:
What would expect is this configuration after dragging the cursor in similar fashion:
**Link(s) to mod(s) used**: no mods
**Save file**: doubt any save needed for this.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tried, but not sure if tried hard enough.</t>
  </si>
  <si>
    <t>Anuken-Mindustry-4416</t>
  </si>
  <si>
    <t>Crawlers don't explode next to core</t>
  </si>
  <si>
    <t>**Steps to reproduce**: Make enemy crawler factory, wait for them to reach your core.
**Link(s) to mod(s) used**: no mods
Not save, but maps to reproduce. Just start them in sandbox mode.
If you remove the line above without reading it properly and understanding what it means, will reap your soul. Even if you re playing on someone server, you can still save the game to slot. **please don t**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</si>
  <si>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Anuken-Mindustry-4415</t>
  </si>
  <si>
    <t>Wave not spawning after frame-perfect(?) sector exit</t>
  </si>
  <si>
    <t>Mac Build 123.1
wave of enemies did not spawn.
As far as remember, left the sector very close to the frame that the wave was supposed to spawn or on the frame that it was supposed to spawn. The game was paused at that time. secs before next wave, enemies have not spawned yet. then changed the unloaders so that they would unload silicon instead of different resource (can remember) which would be sent over to sector 24 via launch pads. The game has not been unpaused yet. then came back to sector 24 to discover that wave didn spawn and that had more time to build defences before encounter the first enemies. attached game data save files, could not find way to get .msav if you wanted it. As far as am aware one is before, one is after. Hopefully, this helps.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am playing on the steam build so, as far as am aware, yes.
**I have searched the closed and open issues to make sure that this problem has not already been reported.**</t>
  </si>
  <si>
    <t>noi-techpark-it.bz.beacon.admin.android-48</t>
  </si>
  <si>
    <t>List view update crashes on Android 7.1.2</t>
  </si>
  <si>
    <t>On my phone (Open Plus with Android 7.1.2) if try to refresh the list of the beacon the app crashes.</t>
  </si>
  <si>
    <t>2021-01-22</t>
  </si>
  <si>
    <t>PojavLauncherTeam-PojavLauncher-677</t>
  </si>
  <si>
    <t>Some bugs in old Minecraft versions</t>
  </si>
  <si>
    <t>All the Minecraft versions above 1.7.2 work well,but the software will crash when enter world in 1.6.x.Second,1.5.2 and below will keep the screen black on my device.What more,the forge 1.6.x will also keep the screen black.(I sorry didn learn English well. not sure if there are any mistakes in my grammar)
My device: Huawei nova3,aarch64</t>
  </si>
  <si>
    <t>MuntashirAkon-AppManager-246</t>
  </si>
  <si>
    <t>Strange behavior when opening the app</t>
  </si>
  <si>
    <t>**Describe the bug**
Basically the list of apps doesn load, but if you minimize the AM and come back quickly or go back to the AM settings and go back to the list of apps it will load quickly.
Maybe the issue #223 similar to this, but this does not occur in v2.5.21-PRE or v2.5.22-PRE on my phone.
Steps to reproduce the behaviour:
1. Open AM
2. See error
&lt;!-- **Expected behavior**
clear and concise description of what you expected to happen. --&gt;
(https: 24703825 (https: 24703825
&lt;!-- **Crash logs**
If applicable, add crash logs to help us figure out the problem. --&gt;
Device: Redmi Note
OS Version: MIUI11 (Android 7.0)
App Manager Version: v2.5.23-DEBUG#786
&lt;!-- **Additional context**
Add any other context about the problem here. --&gt;</t>
  </si>
  <si>
    <t>Anuken-Mindustry-4410</t>
  </si>
  <si>
    <t>Crash on server while using payload</t>
  </si>
  <si>
    <t>**Steps to reproduce**: *Was playing on server. Some nerd was picking up stuff and for whatever reason my game crashed*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</si>
  <si>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PojavLauncherTeam-PojavLauncher-670</t>
  </si>
  <si>
    <t xml:space="preserve">[BUG] oi eu tenho um Android 10  celular de 32 bits  A10 gosto muito mas tem um bug quando eu ativo o freeform e eu aperta em jogar aparece uma tela pequena aí quando eu coloco na tela cheia o pojav crasha e os botões fica desorganizado e bagunçados </t>
  </si>
  <si>
    <t>**Describe the bug**
clear and concise description of what the bug is.
Steps to reproduce the behavior:
1. Start PojavLauncher
Device Model e.g. Mi Pro 128
CPU architecture e.g. aarch64
Android Version e.g. 10
&lt;details&gt; context&lt; b&gt;&lt; summary&gt;
Add any other context about the problem here.</t>
  </si>
  <si>
    <t>muxinc-mux-stats-sdk-exoplayer-79</t>
  </si>
  <si>
    <t>Fixed test crash on Android 11.</t>
  </si>
  <si>
    <t>Fixed crash on Android 11</t>
  </si>
  <si>
    <t>2021-01-21</t>
  </si>
  <si>
    <t>nextcloud-android-7881</t>
  </si>
  <si>
    <t>nextcloud android app crashes</t>
  </si>
  <si>
    <t>### Steps to reproduce
1. Open nextcloud app on phone
2. Open subfolder
### Expected behaviour
Tell us what should happen
Display folder contents
### Actual behaviour
Tell us what happens
Waiting for several seconds before app crashes
Output from crash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t>
  </si>
  <si>
    <t>aws-amplify-amplify-android-1119</t>
  </si>
  <si>
    <t>RxAmplify emits Exceptions on disposed (Single)Emitter</t>
  </si>
  <si>
    <t>If call to e.g. signUp() in case of Auth fails with an Exception but the initial subscription already is disposed (user navigated to different screen and view model gets cleared e.g.) the app crashes.
RxBindings emits the Exception even if cancellation has happened downstream.
Use instead of subscriber::onError
If not mistaken, this should happen here:
would prefer this over adding library specific code into the global</t>
  </si>
  <si>
    <t>PojavLauncherTeam-PojavLauncher-666</t>
  </si>
  <si>
    <t xml:space="preserve">Latest Build doesn't work at all. </t>
  </si>
  <si>
    <t>Ever since you added all of those new options and settings the game cant launch and fails to even get to the Mojang splash screen
Steps to reproduce the behavior:
1. Start PojavLauncher
2.Launch any version of Minecraft
3.wait 10 to 15 seconds
4.Game fails to launch and crashes
expected the game to launch
Device Model Huawei Y7 2019
CPU architecture aarch64
Android Version MIUI android 8.1.0
&lt;details&gt; context&lt; b&gt;&lt; summary&gt;
Add any other context about the problem here.</t>
  </si>
  <si>
    <t>TeamNewPipe-NewPipe-5470</t>
  </si>
  <si>
    <t>Enqueue UI app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</si>
  <si>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(You should have auto play next video enabled)
1. Play in the background anything.
2. In the video recomendation section of the content that you are already playing long press any content to show the menu.
3. Wait that the content that you have already played has ended while the menu is still displayed.
4. When the next content is being played, press enqueue.
&lt;!-- If you can cause the bug to show up again reliably (and hence don have proper set of steps to give us), please still try to give as many details as possible on how you think you encountered the bug. --&gt;
### Actual behaviour
&lt;!-- Tell us what happens with the steps given above. --&gt;
The app crash and close, after guru meditation windows shows up.
### Expected behavior
&lt;!-- Tell us what you expect to happen. --&gt;</t>
  </si>
  <si>
    <t>gluonhq-substrate-863</t>
  </si>
  <si>
    <t>java.lang.UnsatisfiedLinkError on Android 11, Google Pixel 5</t>
  </si>
  <si>
    <t>&lt;!--- Provide brief summary of the issue --&gt;
### Expected Behavior
1. Use the HelloFX example: https: github.com gluonhq gluon-samples tree master HelloFX
2. Build the Android apk.
3. Install the apk on Android 11, Google Pixel
4. Run the app from the phone.
5. should see the hello screen.
### Current Behavior
The app crashes immediately on opening.
### Steps to Reproduce
### Your Environment
Linux Mint 20.0.1 Cinnamon
GraalVM 20.3.0 or GraalVM 21.0.0
Tried to run the built apk on Android 11, Google Pixel 5.
The crash does not occur on any other of my phones: one with Android 9, another with Android 10. guess this is Android 11 thing.
attaching the logs from adb logcat:
Here the part think can be relevant:</t>
  </si>
  <si>
    <t>Anuken-Mindustry-4395</t>
  </si>
  <si>
    <t>unitHealthMultiplier didn`t take effect</t>
  </si>
  <si>
    <t>**Steps to reproduce**: *search in the source code, it only displays in the edit dialog and translates files.*
**Link(s) to mod(s) used**: *no mods.*
**Save file**: *didn need.*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</si>
  <si>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PojavLauncherTeam-PojavLauncher-661</t>
  </si>
  <si>
    <t>[BUG]Hello, I have some problems. In your software, because I accidentally deleted the game folder but I downloaded the game again, but the version of my game was the deleted version, and he suddenly crashed and was not deleted. It was normal before, so please fix this error, and hope you add some buttons because of the achievements in the game, I can't move</t>
  </si>
  <si>
    <t>commons-app-apps-android-commons-4196</t>
  </si>
  <si>
    <t>App crash in CategoryDetailsActivity when click on any media</t>
  </si>
  <si>
    <t>In the CategoryDetalis Activity click on any medai (image or video) then App crash
**Steps to reproduce:**
See in ScreenShot
What did you expect the app to do, and what did you see instead?
App not crash in the CategoryDetails Activity on click on any medai (image,video)
**Device and Android version:**
Android Device:Redmi y3
**Commons app version:**
**Would you like to work on the issue?**
Please let us know whether you want to fix the issue by yourself. If not, anyone can get the issue assigned to them.</t>
  </si>
  <si>
    <t>Anuken-Mindustry-4393</t>
  </si>
  <si>
    <t>Power Reading Mismatch</t>
  </si>
  <si>
    <t>**Steps to reproduce**: *Build processor with the following code and attach three messages and power node with the following conditions:
sensor in node1 powerNetIn
sensor out node1 powerNetOut
op sub result in out
The power in and power out don match properly to what is shown on the power node itself
IF power is being fed into the network through Diode.
have the setup in the map between Salt Flats and Tar Fields, and was testing processor-based controller for an Impact Reactor, when noticed that my power load measurement was continually showing as -4000 or so power when the nodes were showing positive and none of my batteries were draining.
The impact reactor has two diodes feeding to from the reactor and its startup power reserve, but for the one in question bridged them so that could check if those were the source of the problem. have several in testing, but the one in particular note was gutted so that it would continually run and is the top one with green walls around it (I forget if the save uploaded has third or not, because different bug crashed my computer shortly afterward). The lower reactor was my test bed where noticed the issue, and the demonstration processor and messages are to its bottom right.
**Link(s) to mod(s) used**: *N A*
**Save file**: *Included. think.
**(Crash) logs**: *Says None Found.
*Place an (no spaces) between the brackets to confirm that you have read the line below.*
**I have updated to the latest release (https: github.com Anuken Mindustry releases) to make sure my issue has not been fixed.**
(123 is the latest release. Since mine is Steam, not sure if it the same, but hopefully?)
**I have searched the closed and open issues to make sure that this problem has not already been reported.**
(I did look, and didn see anything, but it possible my search terms weren the same as something previously reported)</t>
  </si>
  <si>
    <t>react-native-camera-react-native-camera-3092</t>
  </si>
  <si>
    <t>3.40.0 Memory usage increasing and App get crashed when barcode scanner running</t>
  </si>
  <si>
    <t>Screenshot 2021-01-21 at 09 29 23 (https: 5609203
**To Do First**
Yes Did you try latest release?
No Did you try master?
Yes Did you look for existing matching issues?
**Description Current Behaviour**
keep barcode scanner camera on.
App memory usage was increasing and then app get crashed after few minutes.
const isFlashOn this.state
have attached memory usage graph in Xcode debug navigator
The app BarCodeReader on iPhone quit unexpectedly.
Failure Reason: Message from debugger: Terminated due to memory issue
macOS Version 11.1 (Build 20C69)
App should not crashed when barcode scanner is on
**Steps to Reproduce**
keep barcode scanner camera on for few minutes.
Love Please consider supporting our collective: https: opencollective.com react-native-camera donate
Want this issue to be resolved faster? Please consider adding bounty to it https: issuehunt.io repos 33218414
Screenshot 2021-01-21 at 09 29 23 (https: 5609203</t>
  </si>
  <si>
    <t>TotalCross-totalcross-279</t>
  </si>
  <si>
    <t>sdl: force usage of software renderer for linux arm</t>
  </si>
  <si>
    <t>Some devices crash when opengl is used, so for now,
we ll force the usage of the software renderer until we
find way to test for hardware accelerated graphics
support without crashing.
probably fixes #259</t>
  </si>
  <si>
    <t>2021-01-20</t>
  </si>
  <si>
    <t>Anuken-Mindustry-4387</t>
  </si>
  <si>
    <t>Broken campaign</t>
  </si>
  <si>
    <t>**Steps to reproduce**: reseting your campaign safe file for alot of time
**Link(s) to mod(s) used**: non
**Save file**: idk how to send it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</si>
  <si>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square-okhttp-6520</t>
  </si>
  <si>
    <t>java.lang.IllegalArgumentException: TlsVersion okhttp：3.9.1</t>
  </si>
  <si>
    <t>Anyone get some ideas about this crash?</t>
  </si>
  <si>
    <t>TeamNewPipe-NewPipe-5464</t>
  </si>
  <si>
    <t>Fix channel subscribe button causing crash on closing</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</si>
  <si>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This was probably caused by the binding being set to null since the activity was closing, but the async channel subscription disposable being run just after that. https: github.com TeamNewPipe NewPipe issues
#### Due diligence
read the contribution guidelines (https: github.com TeamNewPipe NewPipe blob HEAD .github CONTRIBUTING.md).</t>
  </si>
  <si>
    <t>stefan-niedermann-nextcloud-notes-1047</t>
  </si>
  <si>
    <t>Catch creation shortcuts when no account is configured yet</t>
  </si>
  <si>
    <t>When using the shortcut of the launcher, the create widget or the tile to create new note, the app should check and handle not yet configured state (e. g. no account has been imported yet).
Currently it seems to crash with NullPointer in some cases.</t>
  </si>
  <si>
    <t>2021-01-19</t>
  </si>
  <si>
    <t>noi-techpark-it.bz.beacon.admin.android-39</t>
  </si>
  <si>
    <t>The app shows the beacons for a short time, then crashes and after that "no data found" is shown</t>
  </si>
  <si>
    <t>We tested version 0.5.1 and were able to see the full list of beacons and nearby beacons as well. Then after restart or crash (Stefanos app crashed) no data was shown anymore.
Before we also were able to do trusted update, but only once...</t>
  </si>
  <si>
    <t>Anuken-Mindustry-4376</t>
  </si>
  <si>
    <t>OverFlow Gate Crashing the game.</t>
  </si>
  <si>
    <t>**Steps to reproduce**I couldnt reproduce.**
**Link(s) to mod(s) used**: *None*
**Save file**: *The (zipped) sa
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</si>
  <si>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square-okhttp-6517</t>
  </si>
  <si>
    <t>java.lang.IllegalStateException invalid dictionary: prefix not unique</t>
  </si>
  <si>
    <t>facing issue that crash in Android 11.
this is the crash log:
Caused by invalid dictionary: prefix not unique
and firebase sdk version if you need:
Import the Firebase BoM
When using the BoM, you don specify versions in Firebase library dependencies
please help me clean this issue. thanks</t>
  </si>
  <si>
    <t>AOF-Dev-MCinaBox-856</t>
  </si>
  <si>
    <t xml:space="preserve">More like it closes instead of crashes </t>
  </si>
  <si>
    <t>Hello tried your tutorial and it was going great until...When tried to launch the version it closes not sure if this is software problem or my phone is trash who knows the only one thing is if any of experienced this tell me in the comments.Anyway My Device is Nokia 2.3 Android 10 Version 0.1.3.</t>
  </si>
  <si>
    <t>2021-01-18</t>
  </si>
  <si>
    <t>SkyTubeTeam-SkyTube-893</t>
  </si>
  <si>
    <t>playing video crash an app</t>
  </si>
  <si>
    <t>After push for any video for playing, app is crash, version 2.975 working
perfect well, this bug only in 2.976 this tested on armv7l, armhf</t>
  </si>
  <si>
    <t>Anuken-Mindustry-4368</t>
  </si>
  <si>
    <t>meltdown thinks he has water when no power is supplied</t>
  </si>
  <si>
    <t>water icon appears when meltdown has no power
**Steps to reproduce**: *How you happened across the issue, and what exactly you did to make the bug happen.*
build meltdown, supply cryofluid and connect disconnect power and watch the water icon appear.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zip includes game save and video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</si>
  <si>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Anuken-Mindustry-4367</t>
  </si>
  <si>
    <t>bleeding edge update progress bar doesnt show up under 6 MB</t>
  </si>
  <si>
    <t>bleeding edge update progress bar doesnt show up under MB
**Steps to reproduce**: *How you happened across the issue, and what exactly you did to make the bug happen.*
update your bleeding edge mindustry and watch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</si>
  <si>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GoogleCloudPlatform-fda-mystudies-2938</t>
  </si>
  <si>
    <t>[iOS] App crashes on clicking resource's push notification</t>
  </si>
  <si>
    <t>1. Login and enroll into any study
2. Kill the app
3. Add resource from SB
4. Publish updates
5. Mobile app user receives the notification
6. Click on the push notification</t>
  </si>
  <si>
    <t>Azure-azure-iot-sdk-java-1067</t>
  </si>
  <si>
    <t>Didn't find class "javax.net.ssl.SNIHostName" in SDK version iot-device-client-1.27.0</t>
  </si>
  <si>
    <t>Android or below
## Description of the issue
am facing this crash issue below Android devices. This is already discussed in this thread.
Also, here there is related issue.
Which version of **Paho MQTT** library is used in am assuming if this is **1.2.2** or not. Which is the Azure IoT device client SDK that gives support for older devices also. do not want to downgrade library if not mandatory because have support for **Device Provisioning Service** in Device Client SDK. am seeking for some help as we have lots of older devices for the service needs to be run on.
## Code sample exhibiting the issue
exclude module: azure-storage
## Console log of the issue</t>
  </si>
  <si>
    <t>CTemplar-android-306</t>
  </si>
  <si>
    <t>App crashes when trying to exit while it's loading</t>
  </si>
  <si>
    <t>have also experienced similar issue on the Android mobile app on occasion, fyi. Generally occurs when in another tab, say Sent emails, then press back button which takes you to Inbox which shows as loading. If hit the back button again while loading in an attempt to exit, sometimes get an app crash.
Can open an issue in Android repo if you like.
Originally posted by SecretestSquirrel in https: github.com CTemplar webclient issues</t>
  </si>
  <si>
    <t>Anuken-Mindustry-4366</t>
  </si>
  <si>
    <t>distributor limited</t>
  </si>
  <si>
    <t>release build 122.1
the distributor cant handle overdriven titanium conveyors full of items
**Steps to reproduce**: *How you happened across the issue, and what exactly you did to make the bug happen.*
build the schematic in the zip and watch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</si>
  <si>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Anuken-Mindustry-4364</t>
  </si>
  <si>
    <t>Game crashed c++ runtime library assertion failed</t>
  </si>
  <si>
    <t>**Steps to reproduce**: *Idk*
**Link(s) to mod(s) used**: *no*
**(Crash) logs**: *Idk*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</si>
  <si>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PojavLauncherTeam-PojavLauncher-638</t>
  </si>
  <si>
    <t>[BUG] crash</t>
  </si>
  <si>
    <t>**Describe the bug**
App crash when try to load game. No crash log
Steps to reproduce the behavior:
1. Start Pojavlauncher
2. Select the any version(I set it with 1.12.2)
3. Try to run
expected it run normally
English App game has closed.
Device Model LG Q7
CPU architecture 8x ARM Cortex-A53 1.80 GHz
Android Version 9.0
&lt;details&gt; context&lt; b&gt;&lt; summary&gt;
Add any other context about the problem here.</t>
  </si>
  <si>
    <t>2021-01-17</t>
  </si>
  <si>
    <t>Poing-Studios-godot-admob-android-44</t>
  </si>
  <si>
    <t>[BUG] Crashing on iOS Godot 3.2.2</t>
  </si>
  <si>
    <t>tested the plugin on iOS in my iPhone Plus with Godot 3.2.3 and the 3.2.3 template and is working, but Godot 3.2.3 has huge bug with buttons delay and my game is unplayable
So tried exporting my game with Godot 3.2.2 and works perfectly, but adding the plugin with the 3.2.2 template it is crashing with the next log.
), NSFilePath var mobile Containers Data Application Library Application Support Google Measurement NSUnderlyingError 0x282394b10 Error Domain NSPOSIXErrorDomain Code No such file or directory
*** First throw call stack:
(0x1970029d8 0x1ab36bb54 0x196f12bbc 0x19700501c 0x197006f8c 0x102e6afd8 0x102e6d5dc 0x105251528 0x105252e6c 0x102e6bfd0 0x10302b558 0x103e9798c 0x103133b70 0x19a1388e4 0x19a20ae04 0x196f5fb54 0x196f83420 0x196f82834 0x196f7c9f4 0x196f7bba0 0x1adcb9598 0x19986b3d8 0x199870958 0x102ffde80)
*** Terminating app due to uncaught exception reason: NSCFString containsObject: unrecognized selector sent to instance 0x2838d4400
terminating with uncaught exception of type NSException</t>
  </si>
  <si>
    <t>PojavLauncherTeam-PojavLauncher-636</t>
  </si>
  <si>
    <t>Cannot enter forge 1.12.2 it just crash
think this can help this is the crash report
---- Minecraft Crash Report ----
bet Cylons wouldn have this problem.
detailed walkthrough of the error, its code path and all known details is as follows:
-- Head --
-- Initialization --
-- System Details --
Minecraft Version: 1.12.2
Operating System: Linux (aarch64) version Android-10
JVM Flags: total -Xms384m -Xmx768m -XX:+UseG1GC 20 20 50 32M
Loaded coremods (and transformers):
GL info: Vendor: ptitSeb Version: 2.1 gl4es wrapper 1.1.4 Renderer: GL4ES wrapper
Launched Version: 1.12.2
GL Caps: Using GL 1.3 multitexturing.
Using GL 1.3 texture combiners.
Using framebuffer objects because ARB framebuffer object is supported and separate blending is supported.
Shaders are available because OpenGL 2.1 is supported.
VBOs are available because OpenGL 1.5 is supported.
Using VBOs: Yes</t>
  </si>
  <si>
    <t>TeamNewPipe-NewPipe-5442</t>
  </si>
  <si>
    <t>Prevent IllegalArgumentException when closing popup</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</si>
  <si>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This PR fixes random crash when closing the popup player. could reproduce it consistently on dev by closing the popup player via the in the notification, but it also happens on 0.20.8 at random times.
log&lt; b&gt;&lt; summary&gt;&lt;p&gt;
#### Due diligence
read the contribution guidelines (https: github.com TeamNewPipe NewPipe blob HEAD .github CONTRIBUTING.md).</t>
  </si>
  <si>
    <t>PojavLauncherTeam-PojavLauncher-627</t>
  </si>
  <si>
    <t xml:space="preserve">[BUG]1.7.10neiMod Will cause the game to crash </t>
  </si>
  <si>
    <t>nextcloud-android-7856</t>
  </si>
  <si>
    <t>Nextcloud forced to crash</t>
  </si>
  <si>
    <t>nextcloud-android-7855</t>
  </si>
  <si>
    <t>### Steps to reproduce
1. Opening the app
2. Clicking the button
### Expected behaviour
Tell us what should happen
can add my files
### Actual behaviour
Tell us what happens
it crash and tell me should report it to github
************ CAUSE OF ERROR ************
************ APP INFORMATION ************
Build flavor: generic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t>
  </si>
  <si>
    <t>NSU-FA20-CSE486-1-1731136_FA2020_CSE486.1-41</t>
  </si>
  <si>
    <t>Project, Bug: App crashes on Filter food offers by region from customer end</t>
  </si>
  <si>
    <t>Filtration process has bugs throws frequently. The implementation using of hashmap and arraylist was completely wrong.</t>
  </si>
  <si>
    <t>TeamNewPipe-NewPipe-5436</t>
  </si>
  <si>
    <t>[dev] Crash when pressing back button in search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</si>
  <si>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dev at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search
2. Press on the back arrow in the app bar
3. get crash
### Related issues
Isira-Seneviratne Can you help?
User Action: ui error
Request: App crash, UI failure
Content Country: US
Content Language: en-US
App Language: en US
OS: Linux Android 11 30</t>
  </si>
  <si>
    <t>2021-01-16</t>
  </si>
  <si>
    <t>Anuken-Mindustry-4351</t>
  </si>
  <si>
    <t>Doors cannot be toggled if attached to a door that will be built</t>
  </si>
  <si>
    <t>When constructing large amount of connected doors from schematic or copy paste, it will force the doors into the state they were originally if you try to open close, until the blueprint is done building.
**Steps to reproduce**: *How you happened across the issue, and what exactly you did to make the bug happen.*
put down lot of touching doors, using copy and paste, when building, try to toggle the already built ones.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See the attached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not sure if this is bug, so apologies if it isn t.</t>
  </si>
  <si>
    <t>TeamNewPipe-NewPipe-5429</t>
  </si>
  <si>
    <t>Fix crash when no browser is present and use an ACTION_CHOOSER intent in the app update notification</t>
  </si>
  <si>
    <t>#### What is it?
Bugfix (user facing)
Feature (user facing)
Codebase improvement (dev facing)
Meta improvement to the project (dev facing)
#### Description of the changes in your PR
Show Toast when no app is present on user device to open content in an app and in browser and use an ACTION CHOOSER intent with the ACTION VIEW intent put as an extra intent in the update notification.
#### Fixes the following issue(s)
#### Due diligence
read the contribution guidelines (https: github.com TeamNewPipe NewPipe blob HEAD .github CONTRIBUTING.md).</t>
  </si>
  <si>
    <t>MuntashirAkon-AppManager-232</t>
  </si>
  <si>
    <t>AM Crashes when backing up an app whose App Info page hasn't loaded yet</t>
  </si>
  <si>
    <t>Partially related: #135, #224
**Describe the bug**
AM Crashes when backing up an app whose App Info page hasn loaded yet.
Steps to reproduce the behaviour:
1. Close AM (bug only happens on cold start)
2. Open AM and open an app info page
3. Close the info page quickly before it loads completely
4. Try to back-up that app
5. AM Crashes
AM should not crash
App version: 2.5.22-PRE
Android release version: 10
Android SDK version: 29
Device brand: lge
Device manufacturer: LGE
Device name: lucye
Device model: LG-H870
Device product name: lucye global com
Device hardware name: qcom
ABIs (32bit): armeabi-v7a, armeabi</t>
  </si>
  <si>
    <t>PojavLauncherTeam-PojavLauncher-619</t>
  </si>
  <si>
    <t>The software will crash when I launch 1.10.2forge and 1.12.2forge with the newest version in Actions</t>
  </si>
  <si>
    <t>The software will crash when launch 1.10.2forge and 1.12.2forge with the newest version in Actions:https: github.com PojavLauncherTeam PojavLauncher actions runs 489551289
there is the crash-report:
---- Minecraft Crash Report ----
CoreMod pre 1.jar)
Contact their authors BEFORE contacting forge
Don be sad, have hug! &lt;3
... 24 more
Caused by: cannot be cast to
... 29 more
detailed walkthrough of the error, its code path and all known details is as follows:
-- Head --
-- Initialization --
-- System Details --
Minecraft Version: 1.10.2
Operating System: Linux (aarch64) version Android-9
JVM Flags: 20 total -Xms768m -Xmx800m -XX:+UseG1GC 200 -XX:+AlwaysPreTouch 30 40 8M 20 15 90 -XX:SurvivorRatio 32 -Xbootclasspath a: storage emulated games PojavLauncher .minecraft caciocavallo storage emulated games PojavLauncher .minecraft caciocavallo storage emulated games PojavLauncher .minecraft caciocavallo xml-libs-pack.jar
UCH mcp 9.19 Minecraft Coder Pack (minecraft.jar)
UCH FML 8.0.99.99 Forge Mod Loader
UCH Forge 12.18.3.2511 Minecraft Forge
UCH mc1.10.2-r39 SlashBlade</t>
  </si>
  <si>
    <t>PojavLauncherTeam-PojavLauncher-617</t>
  </si>
  <si>
    <t>When I launch 1.14.4 forge and 1.16.4 forge with the latest version in actions, the software will crash</t>
  </si>
  <si>
    <t>When launch 1.14.4 forge and 1.16.4 forge with the latest version in actions:https: github.com PojavLauncherTeam PojavLauncher actions runs 489388095 ,the software will crash.But can launch 1.16.4forge and 1.14.4forge successfully with older version in actions.
there is the crash-report:
---- Minecraft Crash Report ----
Don be sad, have hug! &lt;3
detailed walkthrough of the error, its code path and all known details is as follows:
-- System Details --
Minecraft Version: 1.16.4
Minecraft Version ID: 1.16.4
Operating System: Linux (aarch64) version Android-9
JVM Flags: total -Xms768m -Xmx800m -XX:+UseG1GC 20 20 50 32M
ModLauncher launch target: fmlclient
ModLauncher naming: srg
mixin-0.8.2.jar mixin PLUGINSERVICE
object holder definalize PLUGINSERVICE
runtime enum extender PLUGINSERVICE
capability inject definalize PLUGINSERVICE
OptiFine 1.16.4 HD G5.jar OptiFine
FML Language Providers:
Minecraft minecraft 1.16.4 ENQUEUE IM NOSIGNATURE
HotLib hotlib 0.0.1 ENQUEUE IM NOSIGNATURE</t>
  </si>
  <si>
    <t>Anuken-Mindustry-4339</t>
  </si>
  <si>
    <t>Sector Lost After Crash</t>
  </si>
  <si>
    <t>**Steps to reproduce**: *i really don know how to reproduce this bug.*
**Link(s) to mod(s) used**:
(The rest are disabled)
**Save file**: *none.*
**(Crash) logs**: crash 1610761211336.txt (https: github.com Anuken Mindustry files 5823681 crash 1610761211336.txt)
It happened two times, this was with ground zero and the another was Biomass synthesis facility but didn find the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</si>
  <si>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Anuken-Mindustry-4336</t>
  </si>
  <si>
    <t>Core Upgrades not working with build cost</t>
  </si>
  <si>
    <t>Core upgrades don work with build cost.
**Steps to reproduce**: *How you happened across the issue, and what exactly you did to make the bug happen.*
Start any non-infinite gamemode on lower than build cost (in the video attached use 0.5), attempt to upgrade to the largest core with the shown prices. If it says requires core base it is because you are not at the required level the default.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</si>
  <si>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2021-01-15</t>
  </si>
  <si>
    <t>Anuken-Mindustry-4335</t>
  </si>
  <si>
    <t>10 of each items on a roomba conveyor</t>
  </si>
  <si>
    <t>release 122.1 and bleeding edge 20525 (worked in both versions)
you can put 10 *of each* item on roomba conveyor (for noobs: plastanium conveyor)
**Steps to reproduce**: *How you happened across the issue, and what exactly you did to make the bug happen.*
watch attached video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</si>
  <si>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material-components-material-components-android-1987</t>
  </si>
  <si>
    <t>[MaterialAlertDialog] colorControlHighlight selector crash</t>
  </si>
  <si>
    <t>&lt;item android:alpha 0.1 android:color ?attr colorPrimary
Will crash any MaterialAlertDialog in some devices. The temporary fix is to use color instead of selector. This should not happen.
**Expected behavior:** No crash should occur in certain devices
**Android API version:** Min 22
**Material Library version:** 1.3.0-beta01</t>
  </si>
  <si>
    <t>Anuken-Mindustry-4330</t>
  </si>
  <si>
    <t>Megas cannot heal unfinished buildings</t>
  </si>
  <si>
    <t>Megas do not heal in construction or not finisihed constructed buildings like menders. megas are somewhat like menders.
if you have not finished and abit damaged building itll take away the megas attention
**Steps to reproduce**: *How you happened across the issue, and what exactly you did to make the bug happen.*
simply enough was testing my map and watching how the polys rebuild then saw that it did not heal the building
started testing and yes if enemy gets hit on the building megas cannot heal unlike menders which are capable of doing that.
control mega build building but dont finish it get unit to get hit on the building attempt to heal with the mega youre controlling, or any mega.
**Link(s) to mod(s) used**: *The mod repositories or zip files that are related to the issue, if applicable.*
unit factory mod was only used to check if the bug was real.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have no idea how to get zip file from le game. but can asure you it works on any game. just do the steps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</si>
  <si>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GoogleCloudPlatform-fda-mystudies-2853</t>
  </si>
  <si>
    <t>[SB] End date displaying null for one of the weekly activities in Study Builder and causing mobile apps to crash</t>
  </si>
  <si>
    <t>1. Enroll into closed study
2. Navigate into the study activities screen and verify
App is getting crashed for above mentioned study</t>
  </si>
  <si>
    <t>gsantner-markor-1194</t>
  </si>
  <si>
    <t>Zim Wiki: File generator support for Android &lt; 7 / Java 6</t>
  </si>
  <si>
    <t>#### General information
**App version: 2.5.0 Google Play**
**System: 6.0.1, Samsung J2 Prime (SM-G532G DS)**
Trying to create new file with these parameters caused Markor to crash while working on both SD Card and internal storage, with no file was created:
Template set to zim-wiki-empty.txt regardless value of Type
Creating new file with these parameters didn trigger crash (done as expected on both storages):
Template set to regardless value of Type
Any combination of Type and Template other than zim-wiki-empty.txt
get it by applying try-catch on line 171:
final byte templateContents basedir, f.getName(),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</si>
  <si>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Anuken-Mindustry-4328</t>
  </si>
  <si>
    <t>Liquid tank bug?</t>
  </si>
  <si>
    <t>Liquid tank no dispense liquid fast in multiplayer
**Steps to reproduce**: *How you happened across the issue, and what exactly you did to make the bug happen.*make thor reacter see thor reacter cryo go down after liquid tank might be multiplayer issue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cant find butten to file thing. help might be mobile issue for git will upload in comment if possible if not my discord or something its guncat trust me readed it nvm found it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</si>
  <si>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valkriaine-Factor_Launcher_Reboot-31</t>
  </si>
  <si>
    <t xml:space="preserve">App crashed on OnePlus 6T </t>
  </si>
  <si>
    <t>Oxygen OS 10.3.7 app crashed after welcome screen</t>
  </si>
  <si>
    <t>2021-01-14</t>
  </si>
  <si>
    <t>nextcloud-android-7837</t>
  </si>
  <si>
    <t>Apo crashes when trying to delete files via multiple selection</t>
  </si>
  <si>
    <t>### Steps to reproduce
1. Select more than one file.
2. Select delete
3. App crashes
************ CAUSE OF ERROR ************
************ APP INFORMATION ************
Build flavor: generic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t>
  </si>
  <si>
    <t>MuntashirAkon-AppManager-224</t>
  </si>
  <si>
    <t>AM sometimes crashes when quickly opening and closing app details</t>
  </si>
  <si>
    <t>**Describe the bug**
When quickly going into an app details and immediately exiting, AM sometimes crashes.
Steps to reproduce the behaviour:
1. Click on an app in AM
2. Exit with the back button
3. Click again
4. Repeat until AM crashes
AM should not crash.
App version: 2.5.21-PRE
App version code: 377
Android release version: 10
Android SDK version: 29
Device brand: lge
Device manufacturer: LGE
Device name: lucye
Device model: LG-H870
Device product name: lucye global com
Device hardware name: qcom
ABIs (32bit): armeabi-v7a, armeabi
ABIs (64bit): arm64-v8a</t>
  </si>
  <si>
    <t>Anuken-Mindustry-4325</t>
  </si>
  <si>
    <t xml:space="preserve">Mass Driver pointing wrong direction / Foreshadow ray not rendering offscreen </t>
  </si>
  <si>
    <t>issues: mass driver pointing in the wrong direction when receiving items from multiple mass drivers.
foreshadow ray not rendering when you scroll out
**Steps to reproduce**: *How you happened across the issue, and what exactly you did to make the bug happen.*
Play multiplayer sandbox, have another player place the mass drivers (issue visible for both players)
place foreshadow and scroll in. once it shoots, scroll your view out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</si>
  <si>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rafaco-InAppDevTools-14</t>
  </si>
  <si>
    <t>[BUG] Android 11 crash - Unable to get provider tech.linjiang.pandora.Pandora</t>
  </si>
  <si>
    <t>followed all the basic steps to setup the library, but on android 11 devices get this error.
With android all works perfectly</t>
  </si>
  <si>
    <t>Anuken-Mindustry-4323</t>
  </si>
  <si>
    <t>Mindustry has crashed. How unfortunate.
17 Mods: aeromindustry:1, braindustry:1.4.2, collos: #EC5EFF 1.2.1 gravillaso: 0.9.7r, hori:2.3, opore-mod:67, pixelcraft:0.9.6, revision:6.5, time-control:0.2, vf s-frontiers:1.2, eax :1.6.8.73, hypertech:2.82, intensify: white 2.201</t>
  </si>
  <si>
    <t>Anuken-Mindustry-4321</t>
  </si>
  <si>
    <t>Importing game data fails to replace save.</t>
  </si>
  <si>
    <t>**Steps to reproduce**: created an export of my campaign data. Once the export was created, performed the following steps:
-Clear campaign saves from menu
-Import game data
-Launch to an uncaptured sector
-Clear campaign saves
-Launch to windswept island
(This gives the starting shard and drills.)
-Import game data
-Go to Windswept Islands
Observe that Windswept Islands is the save with the starting shard, not the save from within the campaign data.
**Link(s) to mod(s) used**: None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</si>
  <si>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2021-01-13</t>
  </si>
  <si>
    <t>TeamNewPipe-NewPipe-5406</t>
  </si>
  <si>
    <t>Video playback crashes with all videos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</si>
  <si>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0.20.1 &lt;!-- Check https: github.com TeamNewPipe NewPipe releases --&gt;
checked, but didn find any duplicates (open OR closed) of this issue in the repo. &lt;!-- Seriously, check. --&gt;
Have not found this specific ParsingError
have read the contribution guidelines given at https: github.com TeamNewPipe NewPipe blob HEAD .github CONTRIBUTING.md.
This issue contains only one bug. will open one issue for every bug report want to file.
### Steps to reproduce the bug
Try to view any video.
&lt;!-- If you can cause the bug to show up again reliably (and hence don have proper set of steps to give us), please still try to give as many details as possible on how you think you encountered the bug. --&gt;
### Actual behaviour
&lt;!-- Tell us what happens with the steps given above. --&gt;
Error reporting screen throws exception.
### Expected behavior
&lt;!-- Tell us what you expect to happen. --&gt;
Video opens and playback starts.
&lt;!-- If your bug includes crash (where you re shown the Error Report page with bunch of info), tap on Copy formatted report at the bottom and paste it here: --&gt;
User Action: requested stream</t>
  </si>
  <si>
    <t>Anuken-Mindustry-4320</t>
  </si>
  <si>
    <t>extra/new planet crashes when I launch to a generated sector</t>
  </si>
  <si>
    <t>**Steps to reproduce**: *just launch to any map on the new planet that not Last Stand*
**Link(s) to mod(s) used**: *https: github.com BlueWolf3682 Exotic-Mod*
If you remove the line above without reading it properly and understanding what it means, will reap your soul. Even if you re playing on someone server, you can still save the game to slot.
**(Crash) logs**: *Mindustry has crashed. How unfortunate.
Mods: braindustry:1.4.2, exotic-mod:614 alpha, rtfm:2.14.6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</si>
  <si>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PojavLauncherTeam-PojavLauncher-609</t>
  </si>
  <si>
    <t>[BUG]CRASH ISSUE</t>
  </si>
  <si>
    <t>Everytime load some world(any world) for minute like to 10 minutes.. The game crash
Steps to reproduce the behavior:
1. Start PojavLauncher
3. Load some world
4. Play for couple minutes
Device Model Vivo y17 64
CPU architecture aarch64
--------- beggining with launcher debug
--------- beginning of main
--------- beginning of main
--------- beginning of main</t>
  </si>
  <si>
    <t>Anuken-Mindustry-4319</t>
  </si>
  <si>
    <t>visual core launching bug</t>
  </si>
  <si>
    <t>the core that rotates in your screen when launching switches to the nearest core from the middle of your screen
**Steps to reproduce**: *How you happened across the issue, and what exactly you did to make the bug happen.*
load the map, start in sandbox and press and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map, save and video (with nice mouse clicks) is in the zip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</si>
  <si>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PojavLauncherTeam-PojavLauncher-606</t>
  </si>
  <si>
    <t>[BUG]Keyboard</t>
  </si>
  <si>
    <t>**Describe the bug**
Keyboard (gboard)not working properly in game
Steps to reproduce the behavior:
1. Start PojavLauncher
Device Model e.g. bia 5s 128
CPU architecture e.g. aarch64
Android Version e.g. 10
&lt;details&gt; context&lt; b&gt;&lt; summary&gt;
Add any other context about the problem here.
pre&gt;when using Microsoft keyboard keyboard Works but game crash..sent email for dev..</t>
  </si>
  <si>
    <t>Anuken-Mindustry-4318</t>
  </si>
  <si>
    <t>Losing progress from repetitive save file corruption</t>
  </si>
  <si>
    <t>**Steps to reproduce**: 1. open the game 2. Play it for while 3. Save and quit 4. Return to sector.
**Link(s) to mod(s) used**: no mods used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</si>
  <si>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nextcloud-android-7816</t>
  </si>
  <si>
    <t>crash on api 21 when returning from file preview</t>
  </si>
  <si>
    <t>### Steps to reproduce
1. run app on emulator api 21
2. tap on some file to open preview or open settings from drawer
3. press back
### Expected behaviour
it shouldnot crash
### Actual behaviour
think it is caused by this
### Environment data
Android version: google emulator API 21
Stock or customized system: Stock
Nextcloud app version:
--------- beginning of crash</t>
  </si>
  <si>
    <t>2021-01-12</t>
  </si>
  <si>
    <t>Anuken-Mindustry-4316</t>
  </si>
  <si>
    <t>Triangle Draw Issue: Negative Coordinates -&gt; Max Value</t>
  </si>
  <si>
    <t>Triangle Draw Function errors corners to maximum value if coordinate lies in the negative domain, resulting in broken functionality for some applications.
**Steps to reproduce**: *How you happened across the issue, and what exactly you did to make the bug happen.*
Using logic, draw triangle with at least one coordinate inside the visible region and at least one with negative value.
When the error occurs, you should observe the coordinate that is negative being looped to the highest value, making the triangle draw well off-screen.
(The attached save contains logic machine that demonstrates this, using the controls to rotate the image until corner is offscreen or incr
No mods active.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First time uploading zip to here so am unsure if it worked, as backup have included schematic that can demonstrate this issue, since have observed it on all my saves and on servers. Simply use the controls to rotate corner off either the left or bottom (negative coordinates) and the issue will occur.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</si>
  <si>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cgeo-cgeo-9789</t>
  </si>
  <si>
    <t>c:geo crashed when starting map</t>
  </si>
  <si>
    <t>Two mails on support today:
Staring live map crashed c:geo
Invoking map navigation from cache details crash c:geo
Delivered logfiles show:
--------- beginning of crash
--------- beginning of main
One user confirmed, that the problem is gone if he changes the map to Google via c:geo Menu Settings Map.
asked him, whether the problem occurs again once he reverts back to OSM based map.</t>
  </si>
  <si>
    <t>kammt-SecretHitlerMobileCompanion-22</t>
  </si>
  <si>
    <t>Backup restoration crashes if file contains no GameEvents</t>
  </si>
  <si>
    <t>Ninjaman494-Hanji-Android-App-51</t>
  </si>
  <si>
    <t>Old favorites still exist on some users' phones</t>
  </si>
  <si>
    <t>The JSON format for favorites changed with 2.0, and any old 1.0 favorites were cleared when user installed the 2.0 updated. However, it appears that some users still have old favorites on their phone, causing the app to crash with serialization error.
We should also log shared preferences in Crashlytics reports to help use diagnose future issues.</t>
  </si>
  <si>
    <t>MuntashirAkon-AppManager-223</t>
  </si>
  <si>
    <t>APP launch consumes very very long time or crash.</t>
  </si>
  <si>
    <t>Device: One Plus Pro
OS Version: Android H2OS
App Manager Version: v2.5.21-pre
APP launch consumes very very long time.
Most of the time (&gt;4 5) it will keep loading.
Few times &lt;1 10 it will go to the main activety after 3s
Almost no crashes during normal operation after loading.</t>
  </si>
  <si>
    <t>nextcloud-android-7812</t>
  </si>
  <si>
    <t>Opening video crashes Nextcloud App</t>
  </si>
  <si>
    <t>### Steps to reproduce
Open video in nextcloud app
### Expected behaviour
Should play the video and not crash
### Actual behaviour
Crashes the nextcloud app
************ CAUSE OF ERROR ************
************ APP INFORMATION ************
Build flavor: generic
************ DEVICE INFORMATION ************
************ FIRMWARE ************</t>
  </si>
  <si>
    <t>2021-01-11</t>
  </si>
  <si>
    <t>cgeo-cgeo-9784</t>
  </si>
  <si>
    <t>Crash on startup on special device (Android car radio)</t>
  </si>
  <si>
    <t>From support mail, and an interesting topic (while minor usecase):
user installed c:geo on this device: https: www.amazon.de gp product B08D238V4P ref ask ql qh dp hza
He reports, that it keeps crashing on startup.
requested some more info:
Exact model name model type
Whether he can transfer files from to the device
Can someone tell me if we can retrieve logfile (e.g. via the method to configure logging via the dedicacted file)? never used it and would need assistance.</t>
  </si>
  <si>
    <t>PojavLauncherTeam-PojavLauncher-596</t>
  </si>
  <si>
    <t>Recently, everytime load some world or any other world everything just fine... But after minutes the game crash... This happen every single time play and load to some world
Here the latestlog:
--------- beggining with launcher debug
--------- beginning of crash
--------- beginning of main
--------- beginning of system
--------- beginning of crash
--------- beginning of main
--------- beginning of system
--------- beginning of crash
--------- beginning of main
--------- beginning of system
--------- beginning of crash
--------- beginning of main
--------- beginning of system
--------- beginning of crash
--------- beginning of main
--------- beginning of system
--------- beginning of crash
--------- beginning of main</t>
  </si>
  <si>
    <t>SkyTubeTeam-SkyTube-885</t>
  </si>
  <si>
    <t>Crash on selecting video.</t>
  </si>
  <si>
    <t>SkyTube crashes on selecting certain videos:
No Google Apps installed
SkyTube Version: 2.976 Extra (2021-01-05 21:46)
Video Link to crash:</t>
  </si>
  <si>
    <t>NSU-FA20-CSE299-3-Group01-30</t>
  </si>
  <si>
    <t>Bug : Show student is not working</t>
  </si>
  <si>
    <t>while select section then click submit button the app is crashing</t>
  </si>
  <si>
    <t>tchapgouv-tchap-android-legacy-694</t>
  </si>
  <si>
    <t>Crash: isTaskCorrupted failed on java.lang.IllegalArgumentException</t>
  </si>
  <si>
    <t>crash call stack
Tchap Build 76
Phone SM-G930F (G930FXXU8ETI2 8.0.0 REL)
totalSize 10 MB
Caused by: Unable to find task ID 852</t>
  </si>
  <si>
    <t>AOF-Dev-MCinaBox-820</t>
  </si>
  <si>
    <t>MCinaBox crash when touch fingerprint scanner</t>
  </si>
  <si>
    <t>Steps to reproduce the crash:
1. Go to MCinaBox
2. Click on Start the game
2.1. Touch Fingerprint scanner
3. See the crash
**Smartphone (please complete the following information):**
Device: Xiaomi Redmi Note Pro 64
OS: Android 11 (legion os)
App Version: 0.1.4-p4</t>
  </si>
  <si>
    <t>TeamNewPipe-NewPipe-5387</t>
  </si>
  <si>
    <t>PeerTube HLS transformed Videos do not play back</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</si>
  <si>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Add an PeerTube Instance where Videos are only published as HLS (eg mine tube.koyax.org)
2. Try to play Video from that PeerTube Instance.
3. PeerTube crash report opens.
&lt;!-- If you can cause the bug to show up again reliably (and hence don have proper set of steps to give us), please still try to give as many details as possible on how you think you encountered the bug. --&gt;
### Actual behaviour
&lt;!-- Tell us what happens with the steps given above. --&gt;
PeerTube gives parsing error.
### Expected behavior
&lt;!-- Tell us what you expect to happen. --&gt;
The Video plays back just fine.
### Screenshots Screen recordings</t>
  </si>
  <si>
    <t>2021-01-10</t>
  </si>
  <si>
    <t>TeamNewPipe-NewPipe-5382</t>
  </si>
  <si>
    <t>Crashes switching back to App while in Video description</t>
  </si>
  <si>
    <t>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Watch &lt;a href https: www.youtube.com watch?v VN562bgJRZ4 &gt;this&lt; a&gt; video in NewPipe
2. Open the video description, sroll down bit
3. Switch to your music streaming app
4. Switch back to NewPipe
wasn able to reliably reproduce the bug with other Videos. But with this specific Video it happened six times and one time NewPipe actually behaved as expected. also got Bug report only one of these seven tries, so in the other cases where the App just closed without any notice the issue might be something different.
### Actual behaviour
App Immediately closes after switching back to it, playback stops and at my home screen.
### Expected behavior
Playback continues, can go on reading the video description
As said only got the error message once and this was still on 0.20.6 then updated. The behaviour did not change on 0.20.8 but never got an error notification there, this is why this log is from 0.20.6
User Action: ui error
Request: App crash, UI failure
Content Country: DE
Content Language: de-DE
App Language: de DE</t>
  </si>
  <si>
    <t>nextcloud-android-7803</t>
  </si>
  <si>
    <t>Client crash</t>
  </si>
  <si>
    <t>************ CAUSE OF ERROR ************
************ APP INFORMATION ************
Build flavor: gplay
************ DEVICE INFORMATION ************
************ FIRMWARE ************
Accessed phone via scrcpy when the display went black (display timeout). Pressing ESC didn help so pressed the hardware power button to turn on the screen. In this second saw nextcloud closing.</t>
  </si>
  <si>
    <t>nextcloud-android-7802</t>
  </si>
  <si>
    <t>Bug when clicking on a notification about duplicate file conflict..</t>
  </si>
  <si>
    <t>### Steps to reproduce
1. Sync files with duplicates
2. An notification will pop up saying File upload conflict-pick which version to keep of &lt;file name&gt;
3. THEN crash report appears
### Expected behaviour
It would show two version of the file and user should choose one
### Actual behaviour
### Can you reproduce this problem on https:
### Environment data
Device model: Samsung m11
Stock or customized system:
Nextcloud app version:3.14.1
Nextcloud server version:
#### Nextcloud log (data nextcloud.log)
************ CAUSE OF ERROR ************</t>
  </si>
  <si>
    <t>nextcloud-android-7801</t>
  </si>
  <si>
    <t>nextcloud crashes when resyncing too large of a directory</t>
  </si>
  <si>
    <t>Anuken-Mindustry-4296</t>
  </si>
  <si>
    <t>**Steps to reproduce**: *Play game*
**Link(s) to mod(s) used**: *cheat:1.8.5, hacker-tools:3.0.0 (offline mods)*
**Save file**: *nope*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</si>
  <si>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2021-01-09</t>
  </si>
  <si>
    <t>Anuken-Mindustry-4293</t>
  </si>
  <si>
    <t>A couple of logic issues when reloading the map.</t>
  </si>
  <si>
    <t>**Steps to reproduce**: *I ve linked map where ve reproduced the issues, processors that reproduce this and message blocks with further detail are present there.*
**Link(s) to mod(s) used**: *None.*
**Save file**: logic bugs.zip (https: github.com Anuken Mindustry files 5791487 logic bugs.zip)*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</si>
  <si>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PojavLauncherTeam-PojavLauncher-583</t>
  </si>
  <si>
    <t>[BUG]Could not install Forge</t>
  </si>
  <si>
    <t>**Describe the bug**
Game exits with code when installing
Steps to reproduce the behavior:
1. Start PojavLauncher
2. Install mod launcher
expected to install Forge successfully.
CPU architecture aarch64
Android Version 10
&lt;details&gt; context&lt; b&gt;&lt; summary&gt;
Here is the log:
Detected Forge Installer 1.13 or above!
--------- beginning of crash
--------- beginning of main
--------- beginning of system</t>
  </si>
  <si>
    <t>nextcloud-android-7796</t>
  </si>
  <si>
    <t>Client Crash when clicking "+" button</t>
  </si>
  <si>
    <t>### Steps to reproduce
1. Press the Button let the application crashing every time
************ CAUSE OF ERROR ************
************ APP INFORMATION ************
Build flavor: gplay
************ DEVICE INFORMATION ************
************ FIRMWARE ************</t>
  </si>
  <si>
    <t>ultrasonic-ultrasonic-371</t>
  </si>
  <si>
    <t>Crash when viewing by genres</t>
  </si>
  <si>
    <t>## Problem description
The app crashes when trying to list the music by genres.
### Steps to reproduce
Able to reproduce 100% times:
1. Open the app
2. Click on **Genres** under **Music**
3. App crashes
## System information
**Ultrasonic version**: *2.17.2*
**Android version**: *Android 8.1.0*
**Device info**: *Xiami, Mi A2*
## Additional notes
Here is the file that being dumped on the phone when it crashes.
am using Navidrome as the server. can see the request coming in and it is returning 200.
Here is what Navidrome is sending:</t>
  </si>
  <si>
    <t>PojavLauncherTeam-PojavLauncher-580</t>
  </si>
  <si>
    <t>[BUG] so basically every time i turn on i crash</t>
  </si>
  <si>
    <t>**Describe the bug**
keep crashing, installed pojav, installed optifine, used the install optifine function and turned on the game, after that get an error message
Steps to reproduce the behavior:
1. Start PojavLauncher
2. Turn on optifine (install) on 1.16.4
3. Press 1.16.4
4. Just skip the loading when can
expected it to turn on?
Device Model Redmi
CPU architecture aarch64
Android Version newest for now, really have no idea
&lt;details&gt; context&lt; b&gt;&lt; summary&gt;
Add any other context about the problem here.</t>
  </si>
  <si>
    <t>2021-01-08</t>
  </si>
  <si>
    <t>GoogleCloudPlatform-fda-mystudies-2791</t>
  </si>
  <si>
    <t>[iOS] Studies list &gt; App crashes on searching in studies list</t>
  </si>
  <si>
    <t>1. Navigate to studies list
2. Click on search
3. Search with any word and click on search in keypad</t>
  </si>
  <si>
    <t>nextcloud-android-7793</t>
  </si>
  <si>
    <t>IllegalStateException on upload</t>
  </si>
  <si>
    <t>### Steps to reproduce
1. Open the app
2. Tap the bottom right upload button
### Expected behaviour
it should not crash
### Actual behaviour
Nextcloud server version: 20.0.4
#### Nextcloud log (data nextcloud.log)
************ CAUSE OF ERROR ************
************ APP INFORMATION ************
Build flavor: gplay
************ DEVICE INFORMATION ************
************ FIRMWARE ************</t>
  </si>
  <si>
    <t>square-okhttp-6505</t>
  </si>
  <si>
    <t>new OkHttpClient.Builder().build() crash on android 4.4</t>
  </si>
  <si>
    <t>Caused by: Expected Android API level 21+ but was 19</t>
  </si>
  <si>
    <t>2021-01-07</t>
  </si>
  <si>
    <t>deepjavalibrary-djl-494</t>
  </si>
  <si>
    <t>Training crash with Seq2Seq model</t>
  </si>
  <si>
    <t>On windows got an error code of 0xC0000374 and on linux got an error message corrupted double-linked list both seems memory problem. do the training on CPU. The codes are like the following:
try(Model model Model.newInstance( time-series ))
NDArray inputs nd.create(new float
Shape inputShape inputs.getShape()
long cnt inputShape.get(0)
long dur inputShape.get(1)
long predDur 2L
long trainDur 3L
NDArray encoderInputs inputs.get( :, +start+
NDArray decoderInputs inputs.get( :, +(start+trainDur)+
ArrayDataset trainingDataset new
Encoder encoder new
Decoder decoder new
EncoderDecoder net new
Loss loss Loss.l1Loss()
TrainingConfig config new
int numEpochs 10
for (int epoch epoch numEpochs epoch++)
The lib versions are djl-0.9.0 and mxnet-1.7.0. and the crash point seems always on EasyTrain.java line 83 Why the backward fails and how to solve it then? Thanks!</t>
  </si>
  <si>
    <t>nextcloud-android-7791</t>
  </si>
  <si>
    <t>Nextcloud crash</t>
  </si>
  <si>
    <t>### Steps to reproduce
1. put in Nextcloud folder at desktop many folders and files in order to syncronize it to the cloud webo hosting, UP to 20 Gb, and renamed some of them and change of folder.
2. Nextcloud didn get all the staff and didn change some of the files renamed.
3. deleted all these files and folders at desktop folder and at Nextcloud webo hosting.
4. tried to create folder at Nextcloud Android apk and get message saying that Nextcloud Android apk is blocked. desinstallated the apk and reinstall but the bug goes on.
5. reseted the Android Phone and the bug goes on.
6. am not and expert at all. am Just user.
### Environment data
Android version: Android 10
Device model: Samsung Galaxy A50
Stock or customized system:
Nextcloud app version: 3.0.3
Nextcloud server version:
#### Web server error log
Insert your webserver log here
#### Nextcloud log (data nextcloud.log)
Insert your Nextcloud log here
************ CAUSE OF ERROR ************
************ APP INFORMATION ************
Build flavor: gplay</t>
  </si>
  <si>
    <t>valkriaine-Factor_Launcher_Reboot-20</t>
  </si>
  <si>
    <t>App crashes when updating notification while the app is not being displayed in the list</t>
  </si>
  <si>
    <t>nextcloud-android-7790</t>
  </si>
  <si>
    <t>Crash on some selection</t>
  </si>
  <si>
    <t>### Steps to reproduce
1. click folder description
2. long press to select title
3. long press at the blank space after title
### Expected behaviour
### Actual behaviour
### Can you reproduce this problem on https: try.nextcloud.com?
believe the bug is client-side
### Environment data
************ CAUSE OF ERROR ************
************ APP INFORMATION ************
Build flavor: generic
************ DEVICE INFORMATION ************
************ FIRMWARE ************
#### Web server error log
believe the bug is client-side
#### Nextcloud log (data nextcloud.log)
believe the bug is client-side
### Additional comment
This is small bug that does not matter too much. But the less crashes, the better :)</t>
  </si>
  <si>
    <t>onaio-rdt-standard-671</t>
  </si>
  <si>
    <t>Sync issues: Sync process took longer time and crashed</t>
  </si>
  <si>
    <t>When the first time we installed the APK, it will sync and take longer time, about mins. Usually more than mins. While this process happened, users will get confused and start clicking anything, trying to find out what going on. And during the process (if the sync process has not been finished), if we clicked another button, it will crash. Have sent videos to Wasim.
1st-time install log in syncing taking longer time, clicking shipping preparation or plus button crashed
Replicated on Samsung A50s Android 10, Redmi plus Android 8.1.0, and other phones. Will tell you other versions of the APK on the comments asap.</t>
  </si>
  <si>
    <t>2021-01-06</t>
  </si>
  <si>
    <t>MuntashirAkon-AppManager-214</t>
  </si>
  <si>
    <t>Crash on start - Android-x86 (VirtualBox)</t>
  </si>
  <si>
    <t>AM crashes when trying to start app after installation.
Caused by: Cannot create an instance of class
App version: 2.5.21-PRE
App version code: 377
Android build version:
Android release version:
Android SDK version: 28
Android build ID: android x86 64-userdebug PI test-keys
Device brand: Android-x86
Device manufacturer: innotek GmbH
Device name: x86 64
Device model: VirtualBox
Device product name: android x86 64
Device hardware name: android x86 64
ABIs (32bit): x86, armeabi-v7a, armeabi
ABIs (64bit): x86 64
System language: en-US
In-App Language: auto</t>
  </si>
  <si>
    <t>Anuken-Mindustry-4276</t>
  </si>
  <si>
    <t>Steam version display quality is low</t>
  </si>
  <si>
    <t>The steam build has very low display quality, while release 122.1 has high quality.
**Steps to reproduce**: *How you happened across the issue, and what exactly you did to make the bug happen.*
1. launch the non-steam jar, see the visual quality
2. launch the steam version
3. get absolutely irritated from the low quality and the blurry main menu
here are screenshots taken from both versions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this is clean install from steam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</si>
  <si>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Anuken-Mindustry-4274</t>
  </si>
  <si>
    <t>Black square appears over schematics</t>
  </si>
  <si>
    <t>My schematics lose there texture some how and popup as black box
**Steps to reproduce**: *How you happened across the issue, and what exactly you did to make the bug happen.*
Just open you schematics idk how it is caused but its when the schematics menu is opened once or more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</si>
  <si>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doublesymmetry-react-native-track-player-1096</t>
  </si>
  <si>
    <t>Crash on Android</t>
  </si>
  <si>
    <t>**Describe the bug**
Sometimes everything works fine, but sometimes the app crashes with the following exception:
Project is setup following all instructions. Player works fine, but after hitting my start stop button couple of times (sometimes 2, sometimes or 5) it crashes with an exception (see above).
**Environment (please complete the following information):**
React Native Environment Info:
API Levels: 23, 25, 26, 27, 28, 29
Build Tools: 23.0.1, 25.0.2, 26.0.1, 26.0.2, 27.0.3, 28.0.0, 28.0.3, 29.0.0, 29.0.2
System Images: android-27 Google APIs Intel x86 Atom
Android Studio: 3.5
What version are you using?
Are you testing on real device or in the simulator? Which OS version are you running?
Real Android device, Samsung Galaxy S20+
const status this.state
console.log( onPlayPress status)
if (status Status.Playing)
currently playing, stop player
this.setState( status: Status.Stopped
console.log( onPlayPress Status.Stopped)
currently not playing, start player
waitForBuffer: true ).then(()</t>
  </si>
  <si>
    <t>Chimerapps-niddler-21</t>
  </si>
  <si>
    <t>Don't crash cache if we serve a debug response in network-interceptor…</t>
  </si>
  <si>
    <t>mode. Fixes #20
Add metadata to protocol to send agnostic metadata to the plugin. Replaces injected headers.
Check if response was served purely from cache and mark it as such in the metadata. Fixes #19
Added extra nullability indicators to request response interfaces
Added some missing javadocs to request response interfaces</t>
  </si>
  <si>
    <t>plazzy99-Heal-O-Chat-95</t>
  </si>
  <si>
    <t>CureActivity crashing</t>
  </si>
  <si>
    <t>Cure Activity is crashing when we click on the chat icon from the Cure Profile</t>
  </si>
  <si>
    <t>microsoft-appcenter-sdk-android-1497</t>
  </si>
  <si>
    <t>Missing User ID for NDK reports</t>
  </si>
  <si>
    <t>Thanks for your interest in using the App Center SDK for Android.
If your issue is not related to using our Android SDK but rather about the product experience like the portal or CI, please create an issue on https: github.com Microsoft appcenter instead.
Please describe the issue you are facing using the SDK.
With Java crash reports are able to show User ID in the App Center console.
However, NDK crash reports show for User ID.
### **Repro Steps**
Please list the steps used to reproduce your issue.
1. Setup SDK as described here: https: docs.microsoft.com en-us appcenter sdk getting-started android
2. Setup Native crash as described here: https: docs.microsoft.com en-us appcenter sdk crashes
1. Which SDK version are you using?
2. Which OS version did you experience the issue on?
e.g. Android 7.1.1
3. What device version did you see this error on? Were you using an emulator or physical device?
e.g. Nexus physical device
4. What third party libraries are you using?
5. Please enable verbose logging for your app using before your call to and include the logs here:</t>
  </si>
  <si>
    <t>2021-01-05</t>
  </si>
  <si>
    <t>Anuken-Mindustry-4267</t>
  </si>
  <si>
    <t>Game doesnt play any sounds</t>
  </si>
  <si>
    <t>**Steps to reproduce**: *Start game at volume once it loads up, increase volume*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</si>
  <si>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Anuken-Mindustry-4266</t>
  </si>
  <si>
    <t>Resource gui</t>
  </si>
  <si>
    <t>**Steps to reproduce**: open game? guess beat shores before v6 so maybe that had something. Idfk man
**Link(s) to mod(s) used**: there mods?
**Save file**: don know how to add an attachment. So reap my soul if you must, you won get much
**(Crash) logs**: crashed once like week ago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</si>
  <si>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TeamNewPipe-NewPipe-5354</t>
  </si>
  <si>
    <t>UI exception</t>
  </si>
  <si>
    <t>User Action: ui error
Request: App crash, UI failure
Content Country: IT
Content Language: it-IT
App Language: it IT
OS: Linux Android 10 29
log b&gt;&lt; summary&gt;&lt;p&gt;</t>
  </si>
  <si>
    <t>SoltauFintel-blockpuzzle-15</t>
  </si>
  <si>
    <t>OPPO A37f crash</t>
  </si>
  <si>
    <t>When playing this games for long time (over 40 minutes) my phone suddenly hang and soft reset. playing on OPPO A37f from f-droid release, this is like this game, hope you can fix this.</t>
  </si>
  <si>
    <t>2021-01-04</t>
  </si>
  <si>
    <t>MuntashirAkon-AppManager-211</t>
  </si>
  <si>
    <t>App Info does not load</t>
  </si>
  <si>
    <t>**Describe the bug**
The app information doesn load, the App Info tab keeps loading endlessly.
Note 1: This only occurs in the App Info tab.
Note 2: The App Info tab loads without any problems in shared external apps.
Steps to reproduce the behaviour:
1. Click on an app within AM
2. See error
&lt;!-- **Expected behavior**
clear and concise description of what you expected to happen. --&gt;
&lt;!-- **Crash logs**
If applicable, add crash logs to help us figure out the problem. --&gt;
Device: Redmi Note
OS Version: MIUI 11 (Android 7.0)
App Manager Version: v2.5.22-DEBUG#681
&lt;!-- **Additional context**
Add any other context about the problem here. --&gt;</t>
  </si>
  <si>
    <t>TeamNewPipe-NewPipe-5341</t>
  </si>
  <si>
    <t>Full Screen gone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</si>
  <si>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This checklist is COMPULSORY. The first box has been checked for you to show you how it is done. --&gt;
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Just play any video
&lt;!-- If you can cause the bug to show up again reliably (and hence don have proper set of steps to give us), please still try to give as many details as possible on how you think you encountered the bug. --&gt;
### Actual behaviour
The button to toggle full screen is gone
### Screenshots Screen recordings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&lt;!-- Please fill this out when you do not provide log generate by NewPipe --&gt;
### Device info
Android version Custom ROM version: A10 OneUi 2.5 Core</t>
  </si>
  <si>
    <t>2021-01-03</t>
  </si>
  <si>
    <t>nextcloud-android-7773</t>
  </si>
  <si>
    <t>I rashes while accessing large folder</t>
  </si>
  <si>
    <t>### Steps to reproduce
1. Open folder that 30+ GB.
2. App Crashes.
### Expected behaviour
able to view and search files in folder.
### Actual behaviour
app hangs then crashes.
### Can you reproduce this problem on https: try.nextcloud.com?
unable to replicate due to data size.
### Environment data
************ CAUSE OF ERROR ************
************ APP INFORMATION ************
Build flavor: generic
************ DEVICE INFORMATION ************
************ FIRMWARE ************</t>
  </si>
  <si>
    <t>nwrkbiz-android-xserver-22</t>
  </si>
  <si>
    <t>clipRect (r, Region.Op.UNION) deprecated</t>
  </si>
  <si>
    <t>clipRect (r, Region.Op.UNION) is deprecated and leads to crash on Android 8+.</t>
  </si>
  <si>
    <t>Anuken-Mindustry-4237</t>
  </si>
  <si>
    <t>Radar logic from[] gets reseted every time I edit it</t>
  </si>
  <si>
    <t>**Steps to reproduce**: *Write anything other than turret1 in from exit and enter again it will have reset to turret1, it also happens in sandbox.*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</si>
  <si>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2021-01-02</t>
  </si>
  <si>
    <t>lexica-lexica-221</t>
  </si>
  <si>
    <t xml:space="preserve">Crash on opening </t>
  </si>
  <si>
    <t>All Lexica v2 pre-release crash when try to open the app.
Lexica v1.1.0 (latest release) work properly.
running Xiaomi No Note 10 Lite on Android 10
The error log:</t>
  </si>
  <si>
    <t>MuntashirAkon-AppManager-210</t>
  </si>
  <si>
    <t>Crash on opening profile page</t>
  </si>
  <si>
    <t>AM crashes on opening the profiles page after creating profile.
Steps to reproduce:
Create profile in AM
Open the profiles page later
App version: 2.5.21-PRE
App version code: 377
Android release version: 10
Android SDK version: 29
Device brand: lge
Device manufacturer: LGE
Device name: lucye
Device model: LG-H870
Device product name: lucye global com
Device hardware name: qcom
ABIs (32bit): armeabi-v7a, armeabi
ABIs (64bit): arm64-v8a
System language: en-US
In-App Language: auto
Possibly null pointer when the profile description is empty?</t>
  </si>
  <si>
    <t>Anuken-Mindustry-4229</t>
  </si>
  <si>
    <t>Spectre doesn't hit flying bosses</t>
  </si>
  <si>
    <t>**Steps to reproduce**:
1. Play campaign (nuclear production complex is good example)
2. Build spectre defensive line
3. Get to flying boss wave
**Link(s) to mod(s) used**: No mods.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</si>
  <si>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nextcloud-android-7769</t>
  </si>
  <si>
    <t>App crashes upon accessing large folder</t>
  </si>
  <si>
    <t>2021-01-01</t>
  </si>
  <si>
    <t>Anuken-Mindustry-4217</t>
  </si>
  <si>
    <t xml:space="preserve">Can’t build </t>
  </si>
  <si>
    <t>**Steps to reproduce**: *How you happened across the issue: think it was an update but just loaded it up one day and it happened
**Link(s) to mod(s) used**: none
**Save file**: https: drive.google.com file 1ioJR 8Y492Pm ULbn EvQayNVjRiSnHn view?usp drivesdk (https: drive.google.com file 1ioJR 8Y492Pm ULbn EvQayNVjRiSnHn view?usp drivesdk)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</si>
  <si>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Anuken-Mindustry-4214</t>
  </si>
  <si>
    <t>Parallax Does No Damage</t>
  </si>
  <si>
    <t>Steam build 122.1
built five Parallaxes in Stained Mountains map of the campaign. They are supposed to do 18dps that can easily kill enemy air units around wave 10. However, saw the tractor beams of Parallaxes hit the enemy bombers but those enemy air units kept bombing me for minutes. After built another Scatter around that place, the enemy bombers were shot down immediately.
**Steps to reproduce**: *How you happened across the issue, and what exactly you did to make the bug happen.*
Build Parallaxes in the Stained Mountains map of the campaign and wait until wave 10.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</si>
  <si>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google-ExoPlayer-8420</t>
  </si>
  <si>
    <t>no such column: title exception</t>
  </si>
  <si>
    <t>Firebase crashlytics showing crashes on different users devices, however it is not reproducing during development</t>
  </si>
  <si>
    <t>ElderDrivers-EdXposed-783</t>
  </si>
  <si>
    <t>[BUG] Application crash on X86 devices</t>
  </si>
  <si>
    <t>If you encountered boot loop, please make sure you have disabled all unrelated Xposed and Magisk modules before submit an issue
In any case, the title should be in English
** What happened?**
6.15.1 32 x86
Such as bootloop, module not loaded, etc
**Xposed Xposed Module List**
(https: github.com yujincheng08 BiliRoaming)
**Magisk Magisk Module List**
** Related Logs**
Please capture log with debug version, otherwise it won help us locating the issue</t>
  </si>
  <si>
    <t>TeamNewPipe-NewPipe-5328</t>
  </si>
  <si>
    <t>UI crashes error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</si>
  <si>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was on landscape mode watching video then minimized it in mini player and then started scrolling items in history page and then UI crash happened also the items were overlapping each other before crashing
&lt;!-- If you can cause the bug to show up again reliably (and hence don have proper set of steps to give us), please still try to give as many details as possible on how you think you encountered the bug. --&gt;
&lt;!-- If your bug includes crash (where you re shown the Error Report page with bunch of info), tap on Copy formatted report at the bottom and paste it here: --&gt;
User Action: ui error
Request: App crash, UI failure
Content Country: IN
Content Language: en-IN
App Language: en IN</t>
  </si>
  <si>
    <t>commons-app-apps-android-commons-4143</t>
  </si>
  <si>
    <t>click on skip button in Peer Review after orientation change then app is crashed</t>
  </si>
  <si>
    <t>**issue when click on skip button in Peer Review after orientation change then app is crashed**
**Step to Reproduce the issue**
1. Open the Peer Review Activity
2. change the orientation of screen
3. click on the button skip this image
4. then App crash
**Screenshot for first issue **
**Device and Android version:**
Android Device:Redmi y3
**Commons app version:**
2.13.1 or current master branch
**Would you like to work on the issue?**
Please let us know whether you want to fix the issue by yourself. If not, anyone can get the issue assigned to them.</t>
  </si>
  <si>
    <t>2020-12-31</t>
  </si>
  <si>
    <t>Anuken-Mindustry-4193</t>
  </si>
  <si>
    <t>Game crashes and closes while or after loading and steam says it is still running.</t>
  </si>
  <si>
    <t>**Steps to reproduce**: *Every time start the game it crashes and steam shows it still active and can close it. It crashed on full screen, then disabled steam full screen community and it crashes at the title screen now.*
**Link(s) to mod(s) used**: *None.*
**Save file**: (https: github.com Anuken Mindustry files 5757195
**(Crash) logs**: last log.txt (https: github.com Anuken Mindustry files 5757197 last log.txt)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</si>
  <si>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google-ExoPlayer-8419</t>
  </si>
  <si>
    <t>Fatal Crash in DownloadManager.java</t>
  </si>
  <si>
    <t>We are facing crash captured in crashlytics.
We are not sure about the steps to replicate this.
Are there any steps to tackle these crashes are they fixed in any upcoming exoplayer release?
Exoplayer version: 2.11.8</t>
  </si>
  <si>
    <t>devgianlu-PretendYoureXyzzyAndroid-84</t>
  </si>
  <si>
    <t>CrCast Deck Recovery Crash</t>
  </si>
  <si>
    <t>When attempting to recover deck from Cardcast the app goes to white or black screen and then crashes.
do not have Cardcast account. If that is requirement then it should display an error message instead of trying to perform the action without credentials.
Also, on the deck recovery popup it should be clarified what you need to put into the box: deck code.</t>
  </si>
  <si>
    <t>MCMrARM-revolution-irc-273</t>
  </si>
  <si>
    <t>Version 0.5.3 crashes when upgrade from version 0.5.2</t>
  </si>
  <si>
    <t>After clean install it works, but crashes again after trying to restore data from the previous version.</t>
  </si>
  <si>
    <t>techie66-EngineDataLogger---Dashboard-1</t>
  </si>
  <si>
    <t>Crashes on startup</t>
  </si>
  <si>
    <t>When first installed, app crashes due to lack of permissions before asking for permissions.</t>
  </si>
  <si>
    <t>Anuken-Mindustry-4190</t>
  </si>
  <si>
    <t>Flying units jitter around the main ship</t>
  </si>
  <si>
    <t>**Steps to reproduce**: See attached save for the **Windswept Islands**. tried reproducing this on custom game but for whatever reason can not get more than Poly units to follow my ship. The effect that is present on Windswept Islands is still there, but very subtle. Move your ship around bit if the effect does not become visible.
Produce **four or more** flying units of the same type. used Horizon and Poly units to test. am not sure about other units.
Double-tap your ship to get the units to follow you in formation
The effect will be visible. am not sure how can accurately describe that, but it is some variant of jittering and twitching, which is quite annoying.
Also, probably an unrelated issue, the spawned enemies in the wave in the save (no rhyme intended) do not move. can open separate issue for this if needed.
**Link(s) to mod(s) used**:
am not sure how can only include the save for Windswept Islands instead of everything, but prefer to not have my soul reaped for sharing an incomplete save.
tested loading the save and it will be necessary to double-tap the ship because the units detached from the ship after save and quit.
**(Crash) logs**: not crash
**I have updated to the latest release (https: github.com Anuken Mindustry releases) to make sure my issue has not been fixed.**
**I have searched the closed and open issues to make sure that this problem has not already been reported.**</t>
  </si>
  <si>
    <t>2020-12-30</t>
  </si>
  <si>
    <t>MCMrARM-revolution-irc-272</t>
  </si>
  <si>
    <t>0.5.3 crashes on LOS17.1</t>
  </si>
  <si>
    <t>Update 0.5.3 crashes with</t>
  </si>
  <si>
    <t>SubhamTyagi-Last-Launcher-110</t>
  </si>
  <si>
    <t>The application crashes periodically. Today crashed when had logcat connected, the error is:
App. version: 0.15 from f-droid</t>
  </si>
  <si>
    <t>Anuken-Mindustry-4185</t>
  </si>
  <si>
    <t>Resources for Planet Map Launch missing?!</t>
  </si>
  <si>
    <t>**Steps to reproduce**: *Occurs also after restarting the game, or even the computer.*
**Link(s) to mod(s) used**: *Does not seem to relate to mods, had the problem before using any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let steam do this?!)
**I have searched the closed and open issues to make sure that this problem has not already been reported.**
might be 4182 related, but this report has savefile</t>
  </si>
  <si>
    <t>Anuken-Mindustry-4183</t>
  </si>
  <si>
    <t>UI bug due to iOS notch</t>
  </si>
  <si>
    <t>When the iPhone is turned sideways during gameplay, the notch hides part of the UI. It may be bug that occurs on the entire iPhone with notch.I will attach an image for easy understanding.
sorry, my English is not good.
checked iOS UI inside screen notch #3719 but it still has bug.
Confirmation of build number
The right side of the UI is hidden by notch.
The left side of the UI is hidden by notch.
**Steps to reproduce**:
1. Launch the game
2. Select campaign
3. Enter one of the maps
4. Part of the UI is hidden when the iPhone is turned sideways
**Link(s) to mod(s) used**:
not using mods.
Currently, it is not due to save data, so think it is not necessary, but will attach it if necessary.
Will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</si>
  <si>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Azure-azure-iot-sdk-java-1035</t>
  </si>
  <si>
    <t>Crashing while reconnecting, MqttAsyncClient is null</t>
  </si>
  <si>
    <t>Azure IoT SDK Version, 1.28.0
## Description of the issue
Application is crashing while reconnecting in the latest SDK. This happens in SDK and almost frequent sometimes. cannot remember any user initiated call that can cause this issue. will be highly glad to have some insight regarding this.
## Console log of the issue</t>
  </si>
  <si>
    <t>commons-app-apps-android-commons-4142</t>
  </si>
  <si>
    <t>Attempting to open Bookmarks crashes app</t>
  </si>
  <si>
    <t>Attempting to open Bookmarks crashes app
**Steps to reproduce:**
-Open sidebar menu
This may or may not be relevant, but do not believe that have any bookmarks.
Log txt (https: github.com commons-app files 5753754 bookmarkerror.txt)
**Device and Android version:**
API level: 30
Android version: 11
Device manufacturer: Google
Device model: Pixel 4a
Network type: wifi
am running the stock OS from the manufacturer.
**Commons app version:**
**Would you like to work on the issue?**</t>
  </si>
  <si>
    <t>square-okhttp-6494</t>
  </si>
  <si>
    <t>Expected URL scheme 'http' or 'https' but no colon was found okhttp3.HttpUrl$Builder.parse</t>
  </si>
  <si>
    <t>Hi! The crush happens during making request via okhttp3. checked correctness of url, which is used to make request. We couldn reproduce current bug. But, some users continue crashing.
Also, notice from stacktrace that the crash happens when url is got from cache.</t>
  </si>
  <si>
    <t>mindustry-antigrief-mindustry-client-22</t>
  </si>
  <si>
    <t>Screen froze while loading into a server with "logic" displaying in the screen</t>
  </si>
  <si>
    <t>**Steps to reproduce**: simply join server that has some logic around the core, ve cross checked with the original Anuke built jar, it worked fine
**Link(s) to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 was using the jar desktop-release file, unsure which file is required)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</si>
  <si>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Anuken-Mindustry-4176</t>
  </si>
  <si>
    <t>Crash-Report, can someone help?</t>
  </si>
  <si>
    <t>Mindustry has crashed. How unfortunate.
Report this at https: github.com Anuken Mindustry issues new?labels bug&amp;template bug report.md</t>
  </si>
  <si>
    <t>Anuken-Mindustry-4174</t>
  </si>
  <si>
    <t>Logic cell writes to cell incorrect.</t>
  </si>
  <si>
    <t>While shooting and moving recording the coordinates of the player ship into cell. The data in the logic cell is corrupted.
**Steps to reproduce**:
1. Load the savegame.
2. Click the logic button to switch recording to standby.
3. Start shooting and keep shooting and move if need more coordinates to record coordinates
4. Stop shooting release mousebutton Not moving gives pairs and shows the bug. Moving gives more and shows the pattern better
5. Check the message boxes. The left one lists the contents of the cell1 in pairs. the other messagebox show printout of the x,y pairs collected and written to the cell by the right microprocessor
6.See that the outputs dont match! See the corrupted data in the cell.
**Link(s) to mod(s) used**: *The mod repositories or zip files that are related to the issue, if applicable.*
all mods disabled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</si>
  <si>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2020-12-29</t>
  </si>
  <si>
    <t>aws-amplify-amplify-android-1090</t>
  </si>
  <si>
    <t>NPE on CustomTabsManagerActivity.onResume</t>
  </si>
  <si>
    <t>**Describe the bug**
We are trying to setup AWS web sign-in for the Cavaliers official Android app. signInWithWebUI works fine. When we try to logout, we get the logout success callback but then it crashes.
When we try to signOut after signInWithWebUI
() -&gt; Log.d(TAG, Auth: log out successfully ),
error -&gt; Log.e(TAG, Auth: log out error.toString())
**Environment Information (please complete the following information):**
Amplify Android version: 2.19.3
Devices: Sansung Galaxy Note 10, Pixel
Android Version: Android 10
Specific to simulators: No</t>
  </si>
  <si>
    <t>Anuken-Mindustry-4172</t>
  </si>
  <si>
    <t>server list bug</t>
  </si>
  <si>
    <t>same server shows many times
**Steps to reproduce**: *How you happened across the issue, and what exactly you did to make the bug happen.*
clicked this button and no thing else.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</si>
  <si>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nextcloud-android-7750</t>
  </si>
  <si>
    <t>Nextcloud app for Android crashes after reinstalling during startup.</t>
  </si>
  <si>
    <t>### Steps to reproduce
1. Deinstall Nextcloud
2. Install Nextcloud
3. Start Nextcloud
### Expected behaviour
Nextcloud should start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</si>
  <si>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TeamNewPipe-NewPipe-5308</t>
  </si>
  <si>
    <t>app crashes on error report via github</t>
  </si>
  <si>
    <t>am using the latest version 0.20.8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raise any error (in my case it was #5306 ), so that you get an error page
2. click the report on github button at the bottom
3. confirm the privacy popup with Accept
### Actual behaviour
The app crashes (see screen recording below).
### Expected behavior
don know exacly, but maybe browser window opening...
### Screenshots Screen recordings
User Action: ui error
Request: App crash, UI failure
Content Country: DE
Content Language: de-DE
App Language: en
OS: Linux Android 7.0 24
log b&gt;&lt; summary&gt;&lt;p&gt;</t>
  </si>
  <si>
    <t>Anuken-Mindustry-4166</t>
  </si>
  <si>
    <t>**Steps to reproduce**: *no clue*
**Link(s) to mod(s) used**: *not use mod.*
**Save file**: *.*
If you remove the line above without reading it properly and understanding what it means, will reap your soul. Even if you re playing on someone server, you can still save the game to slot.
**(Crash) logs**: Couldn load dependencies of asset: sprites sprites.png
Caused by: Couldn load dependencies of asset: sprites sprites.png
Caused by: Couldn load file: sprites sprites.png
Caused by: Couldn load file: sprites sprites.png
Caused by: Error loading pixmap: Out of memory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</si>
  <si>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Anuken-Mindustry-4162</t>
  </si>
  <si>
    <t>[Modding]Painful drill ore indication sprite</t>
  </si>
  <si>
    <t>**Steps to reproduce**:
*Load up K103908 Exotic-Mod*
*place the giant 7x7 drill*
**Link(s) to mod(s) used**: *see above.*
**Save file**: *happens on all clients that can load the mod.*
If you remove the line above without reading it properly and understanding what it means, will reap your soul. Even if you re playing on someone server, you can still save the game to slot.
**(Crash) logs**: *no crashes.*
*1. make drill item indicator not display if there isnt any set sprite, like unit weapons.*
*2. add custom item indicator overrides like those on turret bases.*
*Place an (no spaces) between the brackets to confirm that you have read the line below.*
**I think have updated to the latest release (https: github.com Anuken Mindustry releases) to make sure my issue has not been fixed.**
**I have not searched the closed and open issues to make sure that this problem has not already been reported.**
Screenshot edited in.</t>
  </si>
  <si>
    <t>Blankj-AndroidUtilCode-1412</t>
  </si>
  <si>
    <t>PhoneUtils.dial() URI parse problem</t>
  </si>
  <si>
    <t>Hello there! The dial() function cannot handle USSD codes properly and this is due to the hash character not being encoded in the URI string that gets passed to the Dialer intent. So whenever you dial for example *123# it calls *123 instead of dialing the USSD code *123#.. It strips out the hash (pound sign) at the end due to not encoding it.
This fault is present since the first version until Utilcode v1.30.0 and it happens in most devices (personally tested on SAMSUNG and OnePlus).
Just to make clear this is not bug that crashes anything, its just mistake in the code.
This is your code:
public static Intent getCallIntent(final String phoneNumber)
return getIntent(intent, true)
And this is how it should be done:
public static Intent getCallIntent(final String phoneNumber)
return getIntent(intent, true)
Once again thanks for this great library, and good luck.</t>
  </si>
  <si>
    <t>Anuken-Mindustry-4159</t>
  </si>
  <si>
    <t>Sector 103 scrap pile</t>
  </si>
  <si>
    <t>**Steps to reproduce**: *How you happened across the issue, and what exactly you did to make the bug happen.* go to sector 103 in the campaign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cant save campaign save file without sending data just saves the entire campaign
If you remove the line above without reading it properly and understanding what it means, will reap your soul. Even if you re playing on someone server, you can still save the game to slot. Anuke no bad anuke. Anuke it is illegal to reap someones soul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</si>
  <si>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Anuken-Mindustry-4158</t>
  </si>
  <si>
    <t>UnitCreateEvent is being fired twice when non-t1 unit is being produced</t>
  </si>
  <si>
    <t>noticed that t2 units that are being made spawn with exact same events, except the first of them has (x, y) (0, 0).
creation events for same unitId is definetely not expected from my point of view.
An example of such match can be found here: https: deranked.ddns.net match 29232 if you click Load build order
notice player on the right builds *one and only* reconstructor at 06:28.061
same player has pulsars recorded as being made at 07:33.974 within seconds timespan, which is not possible for sure
Recording of translated UnitCreateEvent from this exact match can be found here: https: pastebin.com S6rHpCW8 (pulsar unitType 6)
**Steps to reproduce**: add simple listener for UnitCreateEvent which output results, create t2 unit from factory reconstructor, observe results
**Link(s) to mod(s) used**: no mods, but use my server plugin. have messed with code little bit, but pretty sure this is the part which haven touched (unit spawnings).
**Save file**: don think this is applicable.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https: github.com Anuken Mindustry search?q issues</t>
  </si>
  <si>
    <t>2020-12-28</t>
  </si>
  <si>
    <t>material-components-material-components-android-1955</t>
  </si>
  <si>
    <t>[MaterialTimePicker] Error Inflating MaterialTimePicker, missing layout_height attribute</t>
  </si>
  <si>
    <t>Caused by: Binary XML file line #35: You must supply layout height attribute.
don define the time picker in layout file at all in my app, only programmatically. The crash seems to be coming from the library .xml layout file from what can see in the trace.
**Expected behavior:** No crash when executing the dialog.show(...) method.
private lateinit var materialTimePicker: MaterialTimePicker
Show the material time picker
**Android API version:** Android 11 (30)
**Material Library version:** 1.3.0-beta01</t>
  </si>
  <si>
    <t>Anuken-Mindustry-4156</t>
  </si>
  <si>
    <t>gradle compiling error</t>
  </si>
  <si>
    <t>**Steps to reproduce**: was trying to port he game to my new laptop which runs arm but ran into this problem.
step 1. use rock64 pro
step git clone the build
step run gradlew desktop:dist
**Link and mods NON base game
**(Crash) logs**: there is not generated any crash log but will submit what is the output
No Android SDK found. Skipping Android module.
Compiling with build: custom build
Configure project :desktop
Scheduling sprite packing.
Task :core:preGen UP-TO-DATE
Task :core:compileJava FAILED
What went wrong:
Execution failed for task :core:compileJava
Could not self-attach to current VM using external process
Run with --info or --debug option to get more log output. Run with --scan to get full insights.
Caused by: Could not self-attach to current VM using external process
Deprecated Gradle features were used in this build, making it incompatible with Gradle 7.0.
Use --warning-mode all to show the individual deprecation warnings.
See https: docs.gradle.org 6.6 userguide command line line warnings</t>
  </si>
  <si>
    <t>MuntashirAkon-AppManager-204</t>
  </si>
  <si>
    <t>`IndexOutOfBoundsException` in Receiver-View</t>
  </si>
  <si>
    <t>**Describe the bug**
Selecting Receivers or App-Ops on any app crashes the application.
It seems to be an
Steps to reproduce the behaviour:
1. Go to any app
2. Click on Receivers or App-Ops
Show receivers or app-ops.
Caused by: length 100 index 100
App version: 2.5.19-PRE
App version code: 373
Android build version:
Android release version: 11
Android SDK version: 30
Android build ID: RQ1A.201205.008
Device brand: Xiaomi
Device manufacturer: Xiaomi
Device name: cepheus
Device model: Mi
Device product name: lineage cepheus
Device hardware name: qcom</t>
  </si>
  <si>
    <t>neosensory-neosensory-sdk-for-android-java-7</t>
  </si>
  <si>
    <t>I tried to run the example code, but nothing happens after connecting to my buzz</t>
  </si>
  <si>
    <t>have tried the code and used version 1.0.1 from jitpack in my implementations, However, when trying to go beyond the connection phase of my buzz, nothing happens, The log cats do show that it is connected to my buzz but the other buttons and text view does not become visible, trying to force them only made the app crash. Here are my logs.
Build Date 12 25 18
OpenGL ES Shader Compiler Version: EV031.25.14.03</t>
  </si>
  <si>
    <t>Anuken-Mindustry-4151</t>
  </si>
  <si>
    <t>crash: bigInteger would overflow supported range</t>
  </si>
  <si>
    <t>game crashed while was messing with logic
**Steps to reproduce**: Honestly not sure, exited out of processor and then the game crashed
**Link(s) to mod(s) used**: RFTM Logic Debugger
**Save file**: sandbox h.zip (https: github.com Anuken Mindustry files 5746776 sandbox.h.zip)
If you remove the line above without reading it properly and understanding what it means, will reap your soul. Even if you re playing on someone server, you can still save the game to slot.
**(Crash) logs**: crash-report-12 28 2020 01 54 37.txt (https: github.com Anuken Mindustry files 5746782 crash-report-12 28 2020 01 54 37.txt)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</si>
  <si>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Anuken-Mindustry-4145</t>
  </si>
  <si>
    <t>ship exploration</t>
  </si>
  <si>
    <t>2020-12-27</t>
  </si>
  <si>
    <t>TeamNewPipe-NewPipe-5293</t>
  </si>
  <si>
    <t>Error with audio lounge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</si>
  <si>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0.20.8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Open https: rc3 ambientlounge in newpipe
&lt;!-- If you can cause the bug to show up again reliably (and hence don have proper set of steps to give us), please still try to give as many details as possible on how you think you encountered the bug. --&gt;
### Actual behaviour
&lt;!-- Tell us what happens with the steps given above. --&gt;
-&gt; infinite loading
-&gt; snackbar showing up
-&gt; when you click on report, the crash reporter crashes:
User Action: ui error</t>
  </si>
  <si>
    <t>k9mail-k-9-5081</t>
  </si>
  <si>
    <t>certain messages reliably crash k9</t>
  </si>
  <si>
    <t>The message am attaching here reliably crashes k9 (playstore latest 5.600 on Blackberyy Priv Android 6.0.1, IMAP postbox)
crash report also sent via app crash dialog.
Older messages from the same sender also managed this before.
It just regular newsletter from guy who plays live piano to silent movies, so nothing except my email address needs to be treated confidential.</t>
  </si>
  <si>
    <t>NightscoutFoundation-xDrip-1578</t>
  </si>
  <si>
    <t>Freestyle libre + miaomiao2 - App crash when glucose level is high or low, can't add manual calibration</t>
  </si>
  <si>
    <t>from couple days have problem with xDrip when my glucose in xDrip is high or low (that info from xDrip).
The problem is that have alarm from xDrip and when try to open xDrip app is freezeing for couple seconds, so use glucometer to add manual calibration to xDrip, but nothing changes and glucose level is still high in xDrip. Difference between glucometer and xDrip is 50 or 100 mg dl, even when use NFC and freestyle libre app there is difference like 50 or more, so sensor seems to work ok (I mean that when check by Libre by NFC and glucometer levels are very close, but in xDrip is 50 or 100 more than in manual or NFC check).
**XDrip version**: e14bae1-2020.07.13 (last stable)
**XDrip connection type:** Libre bluetooth
have installed safety updates to Android couple days ago, but didn see that it changes anything to xDrip, mean that there is no other issues than mentioned.
Also cannot see any other issues, so when my glucose level is between low and high everything is working fine and glucose level is very close to glucometer check.</t>
  </si>
  <si>
    <t>osudroid-osu-droid-64</t>
  </si>
  <si>
    <t>Crash when back from mod menu if no song is selceted</t>
  </si>
  <si>
    <t>If there are not songs selected when back from mod menu, throws and crash.
Found by: Badplayer101
StackTrace as below:</t>
  </si>
  <si>
    <t>Anuken-Mindustry-4140</t>
  </si>
  <si>
    <t>Game crashes on opening ItemSource config.</t>
  </si>
  <si>
    <t>crash has occurred. It has been saved in:
C: Users perri 000 AppData Roaming Mindustry crashes crash-report-12 27 2020 06 02 44.txt
**Steps to reproduce**: Start custom sandbox game, place an Item Source, Click the Item Source. Crash.
This started happening after attempting several tests on mod in an effort to figure out how to make the game show icons for custom items and liquids in the configuration of custom block. Methods attempted included and as well as myLiquid.emoji() myItem.icon and myItem.emoji were also tried.
have uploaded the zip files for the two mods involved. The file block being tested was in the packaging mod.
**Link(s) to mod(s) used**:
**Save file**: Unable to upload save file. The game crashes before it can be saved.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</si>
  <si>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microg-GmsCore-1343</t>
  </si>
  <si>
    <t>crash in backrgound + exposure checks seem to not complete anymore</t>
  </si>
  <si>
    <t>Maybe related to #1339 or #1338?
got no exposure updates since yesterday evening 8pm. And now got microG crash in the background.
Before yesterday the exposures were checked multiple times day, didn change anything since then :thinking:</t>
  </si>
  <si>
    <t>akaecliptic-Cinephile-5</t>
  </si>
  <si>
    <t>Explore screen crashing</t>
  </si>
  <si>
    <t>As of now(2020 12 27) Explore screen crashes when opened.</t>
  </si>
  <si>
    <t>TeamNewPipe-NewPipe-5287</t>
  </si>
  <si>
    <t>FixIt</t>
  </si>
  <si>
    <t>User Action: ui error
Request: App crash, UI failure
Content Country: US
Content Language: en-US
App Language: en US
OS: Linux Nokia CaptainAmerica 00WW CAP sprout:10 QKQ1.200114.002 00WW 29A:user release-keys 10 29
log b&gt;&lt; summary&gt;&lt;p&gt;
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t>
  </si>
  <si>
    <t>nextcloud-android-7739</t>
  </si>
  <si>
    <t>Problem in auto upload</t>
  </si>
  <si>
    <t>When click some folder autoupload and config it to upload in mobile data also.
But still it is searching for non meteric wifi. What can do. In beta version works well but not even working mins and it crashef
### Environment data
Device model: a30
Stock or customized system: android 10
Nextcloud app version:
Nextcloud server version:
#### Web server error log
Insert your webserver log here
#### Nextcloud log (data nextcloud.log)
Insert your Nextcloud log here</t>
  </si>
  <si>
    <t>PojavLauncherTeam-PojavLauncher-542</t>
  </si>
  <si>
    <t>Can't install forge 1.12.2</t>
  </si>
  <si>
    <t>**Describe the bug**
While installing forge 1.12.2, it crashed back to the main screen, it even couldn load
Steps to reproduce the behavior:
1. Start PojavLauncher
2. Install mod installer
3. switches to the output log, and it doesn load anything
4. After that it switches to main screen
5. Now it has 1.12.2 forge, but if you try to play it crashs
expected you will fix out this
Device Model e.g. Mi
CPU architecture e.g. aarch64
Android Version e.g.
Screenshot net kdt pojavlaunch (https: 76635178</t>
  </si>
  <si>
    <t>nextcloud-android-7734</t>
  </si>
  <si>
    <t>### Steps to reproduce
1. App has been crashings randomly
Sometimes when you open app other times when app is in use
### Expected behaviour
Tell us what should happen
App should work normally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Stock with unlocked bootliader
Nextcloud app version:
Nextcloud server version:
#### Web server error log
Insert your webserver log here
#### Nextcloud log (data nextcloud.log)</t>
  </si>
  <si>
    <t>2020-12-26</t>
  </si>
  <si>
    <t>Anuken-Mindustry-4130</t>
  </si>
  <si>
    <t>Maces can get burned while it should be immune from it said from the source code.</t>
  </si>
  <si>
    <t>release build 122
Maces can be set on fire while it should be immune from it said in the source code.
**Steps to reproduce**: *How you happened across the issue, and what exactly you did to make the bug happen.*
Make mace, then make it step on slag tile or be targeted by slag wave to get burned.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</si>
  <si>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nextcloud-android-7732</t>
  </si>
  <si>
    <t>Nextcloud App crashes</t>
  </si>
  <si>
    <t>### Steps to reproduce
Tried to move around 50 images from one folder to another via the app and got this exception:
************ CAUSE OF ERROR ************
************ APP INFORMATION ************
Build flavor: gplay
************ DEVICE INFORMATION ************
************ FIRMWARE ************
### Expected behaviour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</si>
  <si>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2020-12-25</t>
  </si>
  <si>
    <t>Anuken-Mindustry-4124</t>
  </si>
  <si>
    <t>Rebuilding a processer does not restore the script</t>
  </si>
  <si>
    <t>processer with script after destroyed and rebuild by poly forgets his script.
**Steps to reproduce**: *How you happened across the issue, and what exactly you did to make the bug happen.*
1. Microprocessor with script
2. Have it destroyed
3. Rebuild automatically with poly
4. Check logic
**Link(s) to mod(s) used**: *The mod repositories or zip files that are related to the issue, if applicable.*
all mods disabled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</si>
  <si>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libgdx-libgdx-6331</t>
  </si>
  <si>
    <t>Cast to Buffer</t>
  </si>
  <si>
    <t>If you compile you android app with jdk greater than and try to run it on an android device with API level lower than 29 (from my experience) the app crashes. The methods position, limit, flip and clear from buffer subtypes are the problem.
Detailed description is here:
just applied the suggested fix.
PokeMMO found an issue on the google issue tracker, but they seem no to care. https: issues 123015428</t>
  </si>
  <si>
    <t>commons-app-apps-android-commons-4129</t>
  </si>
  <si>
    <t>App Crashes on logging out</t>
  </si>
  <si>
    <t>App crashes when trying to log out.
**Steps to reproduce:**
Go to More tab on Bottom Navigation Bar.
click on log out then select yes on alert dialog.
What did you expect the app to do, and what did you see instead?
User should log out and login screen should appear, but app crashes instead.
Add logcat files here (if possible).
**Device and Android version:**
**Commons app version:**
**Would you like to work on the issue?**</t>
  </si>
  <si>
    <t>Anuken-Mindustry-4120</t>
  </si>
  <si>
    <t>Steam Achievement issue: Attack maps in Campaign not counting for Conqueror Achievement</t>
  </si>
  <si>
    <t>**Steps to reproduce**: Defeat an Attack map in the Campaign, such as sector 68, expected outcome, is that the Achievement progress will increase by one. However value does not increase.
**Link(s) to mod(s) used**: None.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</si>
  <si>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MarquisLP-World-Scribe-60</t>
  </si>
  <si>
    <t>App crashes when the user cancels Dropbox authentication</t>
  </si>
  <si>
    <t>**App version:** 1.7.0
**Android version:** Any
**Devices affected:** Any
## Steps to Reproduce
In ArticleListActivity open the overflow menu and select Backup to Dropbox
Once the Dropbox pop-up finishes loading, press the Android Back button to close the pop-up
**Expected Result:** the app returns to the ArticleListActivity
**Actual Result:** the app crashes and the user is brought to the device home screen without any error message.
The fix is probably to add null check in (https: github.com MarquisLP World-Scribe blob app src main java com averi worldscribe activities as will return null credentials object if the user did not authenticate.</t>
  </si>
  <si>
    <t>MuntashirAkon-AppManager-203</t>
  </si>
  <si>
    <t>Crash when trying to edit and create shortcuts from uninstalled apps</t>
  </si>
  <si>
    <t>**Describe the bug**
The app crashes when trying to create shortcut from some app you used Open with App Manager This occurs in both the latest stable version and the debug version.
Steps to reproduce the behaviour:
1. Go to any uninstalled app
2. Click on Open with App Manager
3. Go to Activities tab
4. Click on any clickable activity
5. Click on Edit Shortcut
6. Click on Create Shortcut
7. See error
App version: 2.5.21-DEBUG
App version code: 376
Android build version: V11.0.2.0.NCFMIXM
Android release version: 7.0
Android SDK version: 24
Android build ID:
Device brand: xiaomi
Device manufacturer: Xiaomi
Device name: mido
Device model: Redmi Note</t>
  </si>
  <si>
    <t>ElderDrivers-EdXposed-770</t>
  </si>
  <si>
    <t>[BUG] crashing when trying to hook "nativeLoad" method</t>
  </si>
  <si>
    <t>** What happened?**
crashing when trying to hook nativeLoad method
**Xposed Xposed Module List**
**Magisk Magisk Module List**
Riru Enhanced mode for Storage Isolation
Riru IFW Enhance
** Related Logs**
--------- beginning of information
Android sdk: 28
EdXposed version: v0.5.1.3 4653-master (SandHook)
EdXposed api: 93
Riru version: v23.1 (51)
Riru api: 10
--------- beginning of crash
also tried use these code in bilibili, here is the log</t>
  </si>
  <si>
    <t>Anuken-Mindustry-4118</t>
  </si>
  <si>
    <t>121.2 &gt; 122</t>
  </si>
  <si>
    <t>can not use mod which requires minimum 121.2 on 122
**Steps to reproduce**: *How you happened across the issue, and what exactly you did to make the bug happen.*
1. download build 122 jar from releases
2. open the game
3. import the given example mod
4. let the game restart
5. see that the mod got disabled and you cant use it
6. doubt your math knowledge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it happens in the menu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</si>
  <si>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Anuken-Mindustry-4117</t>
  </si>
  <si>
    <t>item cost multiplier not applying</t>
  </si>
  <si>
    <t>**Steps to reproduce**: *I entered the game and tried to build some graphite drills at the cost of 30 graphite and had 40, despite that managed to build 12 drills.*
**Link(s) to mod(s) used**: *Vanilla.*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</si>
  <si>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Poing-Studios-godot-admob-android-30</t>
  </si>
  <si>
    <t>[BUG] Game crashing after enabling AdMob</t>
  </si>
  <si>
    <t>**Describe the bug**
Game crashing after enabling AdMob
Steps to reproduce the behavior:
1) Use Godot v3.2.4.beta4
2) Run project on device
Game starts with no crashes
**Smartphone (please complete the following information):**</t>
  </si>
  <si>
    <t>Anuken-Mindustry-4114</t>
  </si>
  <si>
    <t>Lost sound after call</t>
  </si>
  <si>
    <t>**Steps to reproduce**: *Play and get income call, answer the call and back to game. When you will continue you will notice there is no sound and music in game. After this just restarting the game and all is ok.*
**Link(s) to mod(s) used**: *No*
**Save file**: *Everywhere*
**(Crash) logs**: *No crashes.*
**I have updated to the latest release (https: github.com Anuken Mindustry releases) to make sure my issue has not been fixed.**
**I have searched the closed and open issues to make sure that this problem has not already been reported.**</t>
  </si>
  <si>
    <t>codingforceLM-IronDolphinMusicPlayer-18</t>
  </si>
  <si>
    <t>Fix exception causing app to crash wehen the screen is rotated</t>
  </si>
  <si>
    <t>when the screen is rotated the app crashes</t>
  </si>
  <si>
    <t>2020-12-24</t>
  </si>
  <si>
    <t>Horizontal-org-Tella-Android-58</t>
  </si>
  <si>
    <t>Add permission to fix  startService crash</t>
  </si>
  <si>
    <t>nextcloud-android-7725</t>
  </si>
  <si>
    <t>Nextcloud Android App crashed upon opening a .mov file</t>
  </si>
  <si>
    <t>Anuken-Mindustry-4107</t>
  </si>
  <si>
    <t>Save error</t>
  </si>
  <si>
    <t>**Steps to reproduce**: *How you happened across the issue, and what exactly you did to make the bug happen.* cleared sector (seems to happen on any) either by surviving set amount of waves or destroying the core cores. Go to pause menu and hit save and quit and error should pop up saying it can be saved.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None since game was still running after bug was found and didn boot me to home screen of my device.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</si>
  <si>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TeamNewPipe-NewPipe-5265</t>
  </si>
  <si>
    <t>Crash on vanced app this is the crash report.ort</t>
  </si>
  <si>
    <t>User Action: ui error
Request: App crash, UI failure
Content Country: US
Content Language: en-US
App Language: en
OS: Linux motorola ginna ginna:10 QPG30.82-105 80737:user release-keys 10 29
log b&gt;&lt; summary&gt;&lt;p&gt;</t>
  </si>
  <si>
    <t>Anuken-Mindustry-4103</t>
  </si>
  <si>
    <t>The Disabling of Flying of a unit in servers</t>
  </si>
  <si>
    <t>**Steps to reproduce**: *Be gamma, get hit by spectre and escape just after your health drops to 0*
**Link(s) to mod(s) used**: *None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</si>
  <si>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NightscoutFoundation-xDrip-1572</t>
  </si>
  <si>
    <t>Crash on sensor start</t>
  </si>
  <si>
    <t>App crashes on sensor start, perfectly repeatable on every type of sensor input Oop2 or not doesn seem to matter. Erasing app memory clears the problem.</t>
  </si>
  <si>
    <t>TeamNewPipe-NewPipe-5264</t>
  </si>
  <si>
    <t>Crash during Video Resolution change in Samsung Dex</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</si>
  <si>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Open NewPipe on the external screen in Samsung Dex
2. Start playing video on the external screen
3. Select new video resolution.
&lt;!-- If you can cause the bug to show up again reliably (and hence don have proper set of steps to give us), please still try to give as many details as possible on how you think you encountered the bug. --&gt;
### Actual behaviour
&lt;!-- Tell us what happens with the steps given above. --&gt;
App crashes with an error message.
### Expected behavior</t>
  </si>
  <si>
    <t>Anuken-Mindustry-4094</t>
  </si>
  <si>
    <t>Where are my copper drills?</t>
  </si>
  <si>
    <t>launched to sector 124 and got core without copper drills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</si>
  <si>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2020-12-23</t>
  </si>
  <si>
    <t>wallabag-android-app-1125</t>
  </si>
  <si>
    <t>App crashes when using quote character " in search</t>
  </si>
  <si>
    <t>Have you searched the issues of this repository if your issue is already known? yes
### Actual behaviour
When input the character into the search box, the app crashes (it closes, and if try second time get the Android toast wallabag arr te automatiquement
### Expected behaviour
no crash. either is ignored or it is used to search whole phrase instead of individual words like in some search engine (that what wanted but would have understood if it was just ignored)
Steps to reproduce the issue
1. tap the search icon
2. input into the box
**wallabag app installation source** (e.g. Gplay, F-Droid, manual): F-Droid
**Android OS version**:
**Android ROM** (e.g. stock, LineageOS, SlimRom, ): stock Samsung (One UI 1.1)
**Android hardware**: Samsung Galaxy Tab S5e
**wallabag server version**: wallabag.it
**Do you have enabled?**: no
## wallabag server
## Web server
Please paste relevant web server logs (e.g. from nginx, Apache, here:
Your experience with wallabag Android app
Have you had any luck using wallabag Android app before? (Sometimes we get tired of reading bug reports all day and lil positive end note does wonders)
Yes, love it. The recent improvement in search performance was much appreciated.</t>
  </si>
  <si>
    <t>Anuken-Mindustry-4092</t>
  </si>
  <si>
    <t>Repeatable "Player cannot configure a tile" multiplayer crash reentering sector after defeat in campaign</t>
  </si>
  <si>
    <t>**Steps to reproduce**:
1. (From the attached campaign save)
2. Go to Sector 124 (a resource-pooling launch sector it right near the starting location).
3. Open for multiplayer. **I cannot reproduce this in singleplayer.** was playing with friend, and this *was* repeatable upon relaunching and rejoining. ll find out later if getting it to load save again OK in singleplayer has fixed multiplayer.
4. Launch for Overgrowth, which at this point in the campaign has *just* been lost to the boss at wave 30. (Argh, it heals so *fast!*)
**Link(s) to mod(s) used**: No mods. This campaign save *was* migrated from v5, if that matters.
**(Crash) logs**: From the original crash, and the retry:
crash-report-12 23 2020 03 21 57.txt (https: github.com Anuken Mindustry files 5736321 crash-report-12 23 2020 03 21 57.txt)
crash-report-12 23 2020 03 20 14.txt (https: github.com Anuken Mindustry files 5736322 crash-report-12 23 2020 03 20 14.txt)
(They re both the same stack trace, eyeballing it.)
Random hypothesis: think my buddy was controlling unit at the time we lost. Could it be trying to reattach them on load to unit that now dead?
*Place an (no spaces) between the brackets to confirm that you have read the line below.*
**I have updated to the latest release (https: github.com Anuken Mindustry releases) to make sure my issue has not been fixed.**
Can t, don have Java installed, and it doesn look like you have beta branch on Steam or anything.
**I have searched the closed and open issues to make sure that this problem has not already been reported.**
Closest can find is #2222, which was closed as being caused by mods. ve never used mods.</t>
  </si>
  <si>
    <t>microg-GmsCore-1335</t>
  </si>
  <si>
    <t>Rosetta Stone crash to startup</t>
  </si>
  <si>
    <t>have same bug like here: https: github.com microg GmsCore issues 1108 but no one fixed this yet.
Rosetta Stone appears to crash repeatedly during its startup screen, flashing white screen every second or two and restarting the startup animation.</t>
  </si>
  <si>
    <t>MuntashirAkon-AppManager-201</t>
  </si>
  <si>
    <t>Crash when clicking in certain options in the "App Ops" tab</t>
  </si>
  <si>
    <t>**Describe the bug**
Clicking the Deny dangerous app ops and Set custom app op options causes crashes.
Steps to reproduce the behaviour:
1. Go to App Ops tab in any app
2. Click on Deny dangerous app ops or Set custom app op
3. See error
**In Deny dangerous app ops **:
App version: 2.5.21-DEBUG
App version code: 376
Android build version: V11.0.2.0.NCFMIXM
Android release version: 7.0
Android SDK version: 24
Android build ID:
Device brand: xiaomi
Device manufacturer: Xiaomi
Device name: mido
Device model: Redmi Note
Device product name: mido
Device hardware name: qcom
ABIs (32bit): armeabi-v7a, armeabi</t>
  </si>
  <si>
    <t>PojavLauncherTeam-PojavLauncher-533</t>
  </si>
  <si>
    <t>[BUG]projectIt will cause the game to crash.</t>
  </si>
  <si>
    <t>PojavLauncherTeam-PojavLauncher-530</t>
  </si>
  <si>
    <t>[BUG] pixelmon reforged and pixelmon gens crashes</t>
  </si>
  <si>
    <t>**Describe the bug**
Ok so let start either put reforged or generations in mods folder 1.12.2 forge asked the devs of reforged they said the devs need to look the issue they say is the way they handle cursor input on there end crashes here what gens does it goes to menu load into world or server crash hope it can be fixed the error is nosuchmethoderror
Steps to reproduce the behavior:
1. Have pixelmon generations or reforged in mods
2. Start pojav launcher
3. Launch forge 1.12.2
4. Wait for mojang logo reforged load into world or server generations
5. Automatic crash after black screen with no controls
expected that the menu would load and no crash from the mod since biomes plenty optifine don cause any probs
don have any but willing to post more if need it
Device Model moto power
CPU architecture aarch 64
Android Version 10</t>
  </si>
  <si>
    <t>Anuken-Mindustry-4082</t>
  </si>
  <si>
    <t>Can't relaunch into Planetary Launch Terminal after losing it</t>
  </si>
  <si>
    <t>**Steps to reproduce**: *lose Planetary Launch Terminal offscreen, when you go to retake it, first time crash, when trying again, it worked but did not give the option to choose core type, defaults to smallest core*
**Link(s) to mod(s) used**: *No Mods*
**(Crash) logs**: crash-report-12 22 2020 19 24 29.zip (https: github.com Anuken Mindustry files 5732651 crash-report-12 22 2020 19 24 29.zip)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</si>
  <si>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commons-app-apps-android-commons-4123</t>
  </si>
  <si>
    <t>Abnormal Behavior on theme change.</t>
  </si>
  <si>
    <t>On Changing the theme the app behaves abnormally.
Change the theme while on the nearby fragment, after getting back to the app we see that we are taken to contributions fragment while the bottom tab still points to the nearby fragment.
Change the theme while on favourites explore, the app crashes on returning.
What did you expect the app to do, and what did you see instead?
The app should just return to its previous state without any crashes or unexpected behaviour.
**Device and Android version:**
Present master on Nokia 6.1+ android 10.
**Commons app version:**
**Would you like to work on the issue?**
An extension of issue #3352</t>
  </si>
  <si>
    <t>2020-12-22</t>
  </si>
  <si>
    <t>k9mail-k-9-5077</t>
  </si>
  <si>
    <t>Crash due to Parcelable problem</t>
  </si>
  <si>
    <t>Crash when restoring AccountSetupBasics instance state
Steps to reproduce the behavior:
1. In developer options: enable don keep activities to easily reproduce the bug
2. Go to AccountSetupBasics activity
3. Click home button to quit the app
4. Use recent app to go back to K9
5. The app crash
**Environment (please complete the following information):**
K-9 Mail version: 5.725
Android version: 10
Device: Tablet ordissimo celia
suspect the parcelable part in</t>
  </si>
  <si>
    <t>Technical-Hackers-Health-Log-35</t>
  </si>
  <si>
    <t>App Crash Issue</t>
  </si>
  <si>
    <t>**Describe the bug**
In the LoginActivity if the user press LOGIN Button without entering anything in Enter Hospital ID EditText, app crashes.
Steps to reproduce the behavior:
1. Fresh Install the app.
2. Press LOGIN Button, without entering anything in Hospital ID
3. App Crashes (Bug needs to be fixed)
It should prompt either an error message or Toast needs to be displayed.
can fix this issue!</t>
  </si>
  <si>
    <t>nextcloud-android-7713</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</si>
  <si>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Android version: 9.0
Device model: Umidigi A5 pro
Stock or customized system: stock
Nextcloud app version: 20201216
Nextcloud server version:
#### Web server error log
Insert your webserver log here
#### Nextcloud log (data nextcloud.log)
Insert your Nextcloud log here</t>
  </si>
  <si>
    <t>2020-12-21</t>
  </si>
  <si>
    <t>nextcloud-android-7711</t>
  </si>
  <si>
    <t>Serve crash</t>
  </si>
  <si>
    <t>Anuken-Mindustry-4067</t>
  </si>
  <si>
    <t>sapping lasers aren't sticky</t>
  </si>
  <si>
    <t>sapper beams can seperate from the unit that fires them when the unit is moving.
**Steps to reproduce**: *How you happened across the issue, and what exactly you did to make the bug happen.*
1. control spiroct
2. 10 (happens at all speeds just more speed more noticable)
3. ram into space tiles shadow
4. beams will seperate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</si>
  <si>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wiglenet-wigle-wifi-wardriving-457</t>
  </si>
  <si>
    <t>[FIX] hopefully fixing #379</t>
  </si>
  <si>
    <t>Tested in android 10, 11. Seems to prevent crash on connect disconnect from car.</t>
  </si>
  <si>
    <t>getsentry-sentry-java-1131</t>
  </si>
  <si>
    <t>User.setOthers is marked @Nullable but crashes when passing in null</t>
  </si>
  <si>
    <t>Android target SDK 29, compile SDK 29
Java sourceCompatibility 1.8 targetCompatibility 1.8
Android Studio 4.1
Android Gradle Plugin:
The version of the SDK:
have the following issue:</t>
  </si>
  <si>
    <t>material-components-material-components-android-1946</t>
  </si>
  <si>
    <t>[MaterialDatePicker] Switching mode causes crash</t>
  </si>
  <si>
    <t>Following workflow only crashes on my API 30 emulator:
1. Opened MaterialDatePicker
2. Switched to Text-Mode
3. Switched to Calendar-Mode
4. Half of Calendar not visible and click on any date causes crash
&lt;summary&gt;Stack Trace&lt; summary&gt;
&lt;img src https: 9077206 alt Issue width 320 height 569
**Expected behavior:** The full calendar is still visible after switching modes.
**Android API version:** 30
**Material Library version:** 1.3.0-beta01</t>
  </si>
  <si>
    <t>Anuken-Mindustry-4064</t>
  </si>
  <si>
    <t>logic schematic + vault label bug</t>
  </si>
  <si>
    <t>**Steps to reproduce**:
Placed schematic (attached) of CPU that must have had some things selected near the core, the CPU is the only thing in the schematic, The CPU selected bunch of misc conveyors and vaults and nucleus. One of the vaults is not de-selectable, it just switches between vault and when you click it.
After re-loading the game after grabbing the save the vault was labeled Vault1 and could be deselected as normal. am able to reproduce by deleting the logic processor and re-placing it from the schematic in the same spot, bottom right vault is labeled vault3 but when clicked changes to vault2.
**Link(s) to mod(s) used**: None
**Save file**: (https: github.com Anuken Mindustry files 5725085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</si>
  <si>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PojavLauncherTeam-PojavLauncher-527</t>
  </si>
  <si>
    <t>[BUG] Latest build will download broken files</t>
  </si>
  <si>
    <t>**Describe the bug**
1.16.4 with fabric will crash after launched
Steps to reproduce the behavior:
1. Start PojavLauncher
2. Install 1.16.4
3. Use Mod Installer in menu to install fabric 0.6.1.51
4. Launch the game
expected 1.16.4 works fine with fabric
--------- beggining with launcher debug
--------- beginning of system
--------- beginning of main
Device Model: Huawei Mate30
CPU architecture: aarch64
Android Version: 10
Pojav Version: latest build in Actions</t>
  </si>
  <si>
    <t>Anuken-Mindustry-4062</t>
  </si>
  <si>
    <t>Blocks that makes liquids from items and liquids voids liquid if there is no space for the cycle's output in the production block</t>
  </si>
  <si>
    <t>**Steps to reproduce**:
See Image comparison.
Screenshot 20201221 194533 io anuke mindustry (https: 45280919
Screenshot 20201221 194529 io anuke mindustry (https: 45280919
Screenshot 20201221 194525 io anuke mindustry (https: 45280919
**Link(s) to mod(s) used**:
**Save file**: Easily Reproducable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</si>
  <si>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cgeo-WhereYouGo-244</t>
  </si>
  <si>
    <t>Crash - Tried to call nil</t>
  </si>
  <si>
    <t>Reported on support mail:
Bug report for you. This is the most ambitious and maybe one of the more sophisticated wherigo cartridges ve come across. Naturally, that means it also prone to crashes and other malfunctions.
have couple screen shots with crash reports (I ll forward them if you think you really need them), but for the time being ll leave it with you to have poke around. You should have no trouble finding the source of the errors, not least of which is reliance on altitude.
For what it worth, this particular wherigo involves long hike in some pretty hairy places. ran the cartridge using GPS emulator in the hope of extracting the 14 waypoints (for safety sake) but because my phone does not handle altitude it was no help. Still, think this one might be worth your time to strengthen your already solid program.</t>
  </si>
  <si>
    <t>Blankj-AndroidUtilCode-1404</t>
  </si>
  <si>
    <t>Kolbrezev92</t>
  </si>
  <si>
    <t>nextcloud-android-7709</t>
  </si>
  <si>
    <t>Login with qrcode crash on android oneplus6t</t>
  </si>
  <si>
    <t>### Steps to reproduce
1. Just installed fresh version of nextcloud on my own server (debian 9)
2. Downloaded the app on android
3. Try to login with qrcode
### Expected behaviour
### Actual behaviour
Crash Android exception
### Can you reproduce this problem on https: try.nextcloud.com?
Can login on mobile app with try.nextcloud.com as far as can know.
************ CAUSE OF ERROR ************
************ APP INFORMATION ************
Build flavor: gplay
************ DEVICE INFORMATION ************
************ FIRMWARE ************
#### Web server error log
No errors server side
#### Nextcloud log (data nextcloud.log)
Nothing on nexcloud.log for this error</t>
  </si>
  <si>
    <t>Anuken-Mindustry-4058</t>
  </si>
  <si>
    <t>mindustry crash</t>
  </si>
  <si>
    <t>**Steps to reproduce**: doing custom game, import schematic, then close the game using (close windows program)
**Link(s) to mod(s) used**: no mod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</si>
  <si>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PojavLauncherTeam-PojavLauncher-523</t>
  </si>
  <si>
    <t>[BUG] Crashing when trying to launch minecraft in general</t>
  </si>
  <si>
    <t>**Describe the bug**
So launch minecraft and it crashes with JavaIOE Exception.
Steps to reproduce the behavior:
1. Start PojavLauncher
2. launch 1.16.4
expected minecraft to start normally
Device Model: ASUS Zenfone
CPU architecture: aarch64 (for some reason its running aarch32(i used boats runtime)
Android Version: Android (oreo)
for some reason Android doesnt want me to attach file so really cant upload crash log, think can try to upload it using it via my laptop</t>
  </si>
  <si>
    <t>2020-12-20</t>
  </si>
  <si>
    <t>nextcloud-android-7704</t>
  </si>
  <si>
    <t>Appcrash on open</t>
  </si>
  <si>
    <t>Don know what caused the app crash, but it keeps crashing on ever load.
Worked fine for while, than did some file changes in the web and now stuck with this error.
Insert your Nextcloud log here
************ CAUSE OF ERROR ************
************ APP INFORMATION ************
Build flavor: gplay
************ DEVICE INFORMATION ************
************ FIRMWARE ************</t>
  </si>
  <si>
    <t>nextcloud-android-7701</t>
  </si>
  <si>
    <t>Android crash: app tried to file issue directly, but I am not logged in to GitHub on my phone</t>
  </si>
  <si>
    <t>Anuken-Mindustry-4050</t>
  </si>
  <si>
    <t xml:space="preserve">Game sounds die randomly </t>
  </si>
  <si>
    <t>Game sounds die randomly
**Steps to reproduce**: *How you happened across the issue, and what exactly you did to make the bug happen.*
It happens when you first enter any sector have no idea when it happens aka random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sure my issue has not been fixed.**
**I have searched the closed and open issues to make sure that this problem has not already been reported.**</t>
  </si>
  <si>
    <t>Anuken-Mindustry-4044</t>
  </si>
  <si>
    <t>Minke status field ability with Mono tree.</t>
  </si>
  <si>
    <t>-Release build 121
-This is small little bug found, The Minke, tier naval unit, has passive ability that increases the attack speed of nearby units for period of time right? Well in the case of the Mono type of flier unit, they do gain said attack speed bonus but they will attack less times than they would normally do so without said buff. tested this both with Poly and Mega and both seem to face this issue, though have not tried any other units to see if they are affected.
**Steps to reproduce**:
-I was in Windspeed Islands, seeing as can completely wall of the enemy or make them go into choke point, decided to make navals unit so they could intercept the enemy naval units, furthermore saw that the Minke made nearby units glow, saw it had an ability in its database, ask some people what it did and tested how if it works with Poly and Mega.
**Link(s) to mod(s) used**:
-No mods have been used.
If you remove the line above without reading it properly and understanding what it means, will reap your soul. Even if you re playing on someone server, you can still save the game to slot.
-No crash happen during gameplay, runs with no issue whatsoever.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</si>
  <si>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2020-12-19</t>
  </si>
  <si>
    <t>nextcloud-android-7697</t>
  </si>
  <si>
    <t>Android App crash</t>
  </si>
  <si>
    <t>chalalala-OnlineMusicPlayer-13</t>
  </si>
  <si>
    <t>[NowPlayingBar] Can't resume playing after pause</t>
  </si>
  <si>
    <t>After pausing the music, when clicked the play button for resuming, the app crashed.
This is the logcat :(</t>
  </si>
  <si>
    <t>opentok-opentok-react-native-462</t>
  </si>
  <si>
    <t>Android crash - Error while updating property 'streamId' of a view managed by OTSubscriberViewManager</t>
  </si>
  <si>
    <t>facing this crash randomly when user who shares screen leaves meeting. Any idea why is it happening?</t>
  </si>
  <si>
    <t>canyie-pine-5</t>
  </si>
  <si>
    <t>hook ConnectivityService的构造函数时，调用原方法崩溃</t>
  </si>
  <si>
    <t>barbeau-gpstest-463</t>
  </si>
  <si>
    <t>Share menu crashes app on Android 4.4</t>
  </si>
  <si>
    <t>**Describe the bug**
Three dots menu Share opens dialogue that GPSTest has crashed
Steps to reproduce the behavior:
1. Start GPSTest
2. Wait for fix
3. Try to share the infos for the developer
4. See the crash dialogue
see some window where can upload device data, as on the newer Android
**App, Device and Android version:**
There no Help About, but just updated this in F-Droid to latest.
Android 4.4 (LiquidSmooth 3.2), HTC Desire bravo MicroG</t>
  </si>
  <si>
    <t>Anuken-Mindustry-4033</t>
  </si>
  <si>
    <t>Crash during playing</t>
  </si>
  <si>
    <t>can reliably receive this stack trace by restarting the game and entering the same sector.
**Steps to reproduce**: open save file, wait 10 seconds, game will crash.
**Link(s) to mod(s) used**: None
**Save file**: (https: github.com Anuken Mindustry files 5718292
GL Version: OpenGL 2.1.0 ATI Technologies Inc. AMD Radeon Pro 580 OpenGL Engine
GL Max texture size: 16384
GL Using OpenGL context.
JAVA Version: 14.0.2
Total time to load: 2704
Fetching community servers at https: Anuken Mindustry master servers v6.json
Time to generate menu: 54.51668
Fetched 14 community servers.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</si>
  <si>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2020-12-18</t>
  </si>
  <si>
    <t>gsantner-markor-1162</t>
  </si>
  <si>
    <t>Bugfix for search / replace</t>
  </si>
  <si>
    <t>This fixes crash when search replace is launched while some text is selected.</t>
  </si>
  <si>
    <t>commons-app-apps-android-commons-4116</t>
  </si>
  <si>
    <t>Crash when tapping on "Nearby item" card in Contributions</t>
  </si>
  <si>
    <t>Tapping on the Nearby item card in Contributions crashes the app.
**Steps to reproduce:**
Make sure your GPS is on and you have location permissions enabled for the app. When the card at the top of Contributions screen appears, tap it.
**Device and Android version:**
Samsung Galaxy S20FE, Android 10
**Commons app version:**
**Would you like to work on the issue?**</t>
  </si>
  <si>
    <t>tr4wzified-SocialReadingApp-19</t>
  </si>
  <si>
    <t>Some books return Null and crash the CollectionActivity page</t>
  </si>
  <si>
    <t>How Emotions Are Made 2nd book i.e.</t>
  </si>
  <si>
    <t>material-components-material-components-android-1936</t>
  </si>
  <si>
    <t>[BaseTransientBottomBar] why must  style on this component requires your app theme to be AppCompat ?</t>
  </si>
  <si>
    <t>if style on this component is not AppCompat style,but component also works only some experience problem if my style not extends AppCompat style your code will throw exception and crash our app actully don check style also work for my app. so why must check sytle and if not will throw exception crash our App</t>
  </si>
  <si>
    <t>ElderDrivers-EdXposed-740</t>
  </si>
  <si>
    <t>[BUG] YAHFA crashes at ArtMethod::GetOatQuickMethodHeader</t>
  </si>
  <si>
    <t>nwrkbiz-android-xserver-6</t>
  </si>
  <si>
    <t>FLTK Programs cause APP to crash</t>
  </si>
  <si>
    <t>FLTK Programs cause APP to crash when buttons are clicked.</t>
  </si>
  <si>
    <t>TeamNewPipe-NewPipe-5211</t>
  </si>
  <si>
    <t>Phone crashing when trying to play any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</si>
  <si>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video
2. Press on play
3. Swipe down to ....
&lt;!-- If you can cause the bug to show up again reliably (and hence don have proper set of steps to give us), please still try to give as many details as possible on how you think you encountered the bug. --&gt;
### Actual behaviour
&lt;!-- Tell us what happens with the steps given above. --&gt;
The phone goes to lock screen and keeps turning the screen on and off, until eventually the UI crashes and have to reboot the phone
### Expected behavior
&lt;!-- Tell us what you expect to happen. --&gt;
expect the video to play normally
### Screenshots Screen recordings</t>
  </si>
  <si>
    <t>Anuken-Mindustry-4021</t>
  </si>
  <si>
    <t>Hang on Image when updating</t>
  </si>
  <si>
    <t>started in some BE build, cant find which because after the first load it stops, but does affect all prior builds.
**Steps to reproduce**: *How you happened across the issue, and what exactly you did to make the bug happen.* LOad new build of industry, and watch it hang.
**Link(s) to mod(s) used**: *The mod repositories or zip files that are related to the issue, if applicable.*
Happened before messed with mods, so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Umm, not applicable? also **no stealing my soul**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have reported this issue before without much detail, this is my second atempt</t>
  </si>
  <si>
    <t>PojavLauncherTeam-PojavLauncher-509</t>
  </si>
  <si>
    <t>[BUG] 1.16.3 crashes without any error log</t>
  </si>
  <si>
    <t>When trying to run 1.16.3 (i havent tried any other versions) in Pojav Launcher 3.2 it runs but then freezes for second then crashes without any error log.
Is this normal or is this bug?
Huawei Y6 MRD-LX2</t>
  </si>
  <si>
    <t>MuntashirAkon-AppManager-194</t>
  </si>
  <si>
    <t>Crash on permissions tabs on Android 11</t>
  </si>
  <si>
    <t>**Describe the bug**
On AM 2.5.20 on Android 11, AM crashes every time try to access the App Ops, Uses Permissions, or Permissions tabs. It happened sporadically on AM 2.5.17 on Android 11, and did not happen on Android 10. do not have root but have granted AM all relevant permissions, including All Files Access. Happens with or without adb.
Steps to reproduce the behaviour:
1. Go to any app details, including AM itself
2. Click on App Ops, Uses Permissions, or Permissions
3. AM immediately crashes every time
Tab loads correctly, or shows error message or empty tab without crash.
**Running without adb mode:**
**Running in adb mode:**
Device: Galaxy S10+ USA Unlocked
OS Version: Android 11 with One UI (beta)
App Manager Version: 2.5.20
Mode: No root adb and non-adb crash logs above
ve tried clearing app cache and data, restarting phone, etc.</t>
  </si>
  <si>
    <t>2020-12-17</t>
  </si>
  <si>
    <t>square-okhttp-6480</t>
  </si>
  <si>
    <t>Interceptor throws IOException: UnknownHostException when I turn internet off</t>
  </si>
  <si>
    <t>With new version of okhttp(4.9.0, not sure if it was in lower versions) started to see in firebase and google analytics reports about
tried to repro this crash and found that it is happening when the internet is off or very low quality.
don wanna see this crash in my crash analytics.
Is it any way to handle it in override fun intercept (I can catch this error there before it goes to Real funs)?
Here is one of the log from Firebase:</t>
  </si>
  <si>
    <t>inverse-inc-packetfence-android-agent-11</t>
  </si>
  <si>
    <t>Fix view for qui and changeDebugStatus</t>
  </si>
  <si>
    <t>ReAdd view in quit and changeDebugStatus function.
If not the app is crashing if you click on one of this button.</t>
  </si>
  <si>
    <t>Anuken-Mindustry-4020</t>
  </si>
  <si>
    <t>mobile users can shoot and build</t>
  </si>
  <si>
    <t>when mobile player is building, autoshoot can still have them shoot at things. it may only occur when they are unable to build but still have the build beams.
**Steps to reproduce**: *How you happened across the issue, and what exactly you did to make the bug happen.*
1. join multiplayer game (i joined from pc)
2. mobile player build thing
3. mobile player also shoots things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</si>
  <si>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valkriaine-Factor_Launcher_Reboot-3</t>
  </si>
  <si>
    <t>Crash when returning from other apps in landscape mode</t>
  </si>
  <si>
    <t>there is small chance that the app may crash when returning from other apps in landscape mode.</t>
  </si>
  <si>
    <t>microg-GmsCore-1321</t>
  </si>
  <si>
    <t>Mapbox native library cache is not always cleared automatically</t>
  </si>
  <si>
    <t>When using mapbox in multi-architecture environments, we copy the mapbox native library into the cache directory of the application using it. The corresponding cache entry is not always automatically cleared when upgrading microG. This can lead to crashes and misbehavior if the native library does not match the expected mapbox implementation.</t>
  </si>
  <si>
    <t>Anuken-Mindustry-4013</t>
  </si>
  <si>
    <t>hs_err_pid.log overrides crash</t>
  </si>
  <si>
    <t>270 (https: 61054554
271 (https: 61054554
272 (https: 61054554
fatal error has been detected by the Java Runtime Environment:
EXCEPTION ACCESS VIOLATION (0xc0000005) at pc 0x00007fff12b34592, pid 25884, tid 13600
JRE version: Java(TM) SE Runtime Environment (15.0.1+9) (build 15.0.1+9-18)
Java VM: Java HotSpot(TM) 64-Bit Server VM (15.0.1+9-18, mixed mode, sharing, tiered, compressed oops, g1 gc, windows-amd64)
No core dump will be written. Minidumps are not enabled by default on client versions of Windows
If you would like to submit bug report, please visit:
The crash happened outside the Java Virtual Machine in native code.
See problematic frame for where to report the bug.
**Steps to reproduce**: *I just used jar from release. ve heard you can reproduce in windows VM.*
**Link(s) to mod(s) used**: *mod that can occur crashes. or vanilla can create hs err pid.log with just exiting*
**Save file**: *h*
If you remove the line above without reading it properly and understanding what it means, will reap your soul. Even if you re playing on someone server, you can still save the game to slot.
**(Crash) logs**: *recent hs err pid*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</si>
  <si>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opensrp-opensrp-client-goldsmith-36</t>
  </si>
  <si>
    <t>Fix crash during plan evaluation due to orphaned events</t>
  </si>
  <si>
    <t>Anuken-Mindustry-4010</t>
  </si>
  <si>
    <t>[BUG] (121.4) The game freezes when trying to upgrade Conveyor track in a specific situation</t>
  </si>
  <si>
    <t>can reproduce this every time in my game save. tried to create the same crash as minimal example in blank sandbox game, but failed, so have no idea what the exact cause of this is. If you load up my attached Campaign save, hopefully you should be able the reproduce the crash.
Probably an edge case in some algorithm, so nothing serious if the first to encounter this.
**Steps to reproduce**: See the following GIF or the instructions after the GIF. have tried over times and reproduced it 100% of the time by going through the following steps.
0. Open the campaign and go to Fungal Wastes.
1. Select Titanium Conveyor for building.
2. Put the mouse over the Titanium Conveyor near your ship that is already built.
3. Press and hold down Control.
4. Press and hold down Left Mouse Button.
5. Move your mouse cursor one square to the right in an attempt to upgrade your Conveyor track to Titanium.
6. The game freezes.
7. While the game is frozen, the memory usage of the game grows until the game crashes Java heap space) with the attached Crash Log.
**Link(s) to mod(s) used**: None.
**(Crash) logs**: crash-report-12 16 2020 22 03 39.txt (https: github.com Anuken Mindustry files 5706083 crash-report-12 16 2020 22 03 39.txt)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</si>
  <si>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NightscoutFoundation-xDrip-1558</t>
  </si>
  <si>
    <t>Latest app from today is not starting up,
Crashes inmediatly after starting the app,
Build is the 16- december Build</t>
  </si>
  <si>
    <t>2020-12-16</t>
  </si>
  <si>
    <t>TeamNewPipe-NewPipe-5198</t>
  </si>
  <si>
    <t>Database export to removable storage fails on Android 10</t>
  </si>
  <si>
    <t>&lt;!-- The first box has been checked for you to show you how it is done. --&gt;
am using the latest version 0.20.6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the settings, content, export database
2. Select folder in the removable storage
3. Press OK
### Actual behaviour
screen with an exception shows.
### Expected behavior
database is exported. This worked OK on my Android 4, and devices, but on Android 10 it crashes (no permission).
User Action: ui error
Content Country: US
Content Language: en
App Language: en US
OS: Linux samsung a50eea a50:10 QP1A.190711.020 A505FNXXU4BTC9:user release-keys 10 29
log b&gt;&lt; summary&gt;&lt;p&gt;
... 18 more</t>
  </si>
  <si>
    <t>Anuken-Mindustry-4005</t>
  </si>
  <si>
    <t xml:space="preserve">Game says that you were votekicked, even if you are not. </t>
  </si>
  <si>
    <t>The message You have been kicked from the game recently. Wait before reconnecting again appears,it usually appears if you were votekicked from the server. It appears even if you haven joined the server in the past hour.
**Steps to reproduce**: *How you happened across the issue, and what exactly you did to make the bug happen.*
1. Enable any mod (used sk7725 Testers in my case)
2. Join any server. The game will say that your mod is incompatible with the server.
3. Turn off the mod.
4. The game will say that you need to exit to reload mods, press OK
5. Return to the game
6. Join the server you joined in step 2.
To remove the message and join the server, you need to close the app.
**Link(s) to mod(s) used**: *The mod repositories or zip files that are related to the issue, if applicable.*
sk7725 Testers (works with every other mod, incompatible with the server)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**(Crash) logs**: *Either crash reports from the crash folder, or the file you get when you go into Settings -&gt; Game Data -&gt; Export Crash logs. REQUIRED if you are reporting crash.*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</si>
  <si>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PojavLauncherTeam-PojavLauncher-505</t>
  </si>
  <si>
    <t>have problem in running the game after installing the version 1.16.4 grey screen and after sometime game crashes
Mobile samsung m21
Android version 10
Screenshot 20201216-195816 PojavLauncher (Minecraft Java Edition for Android) (https: 76113942
&lt;details&gt; context&lt; b&gt;&lt; summary&gt;
Add any other context about the problem here.</t>
  </si>
  <si>
    <t>Rapsssito-react-native-background-actions-61</t>
  </si>
  <si>
    <t>Occasional Background task crash in production</t>
  </si>
  <si>
    <t>My Sentry instance is catching occasional failures to start the background task.
The issue appears to be that the buildNotification method constructs an Intent but the constructor returns null. unable to replicate this issue in dev environment.
notificationIntent new Intent(context,
Is the issue possibly that attempting to start task that is in the background already the calling function is already in the background?</t>
  </si>
  <si>
    <t>hzi-braunschweig-SORMAS-Project-3805</t>
  </si>
  <si>
    <t>Auditor Test crashes during GitHub Actions</t>
  </si>
  <si>
    <t>Increase expected number to prevent the crash for new PRs
Investigate why timings are different when running on the GitHub servers</t>
  </si>
  <si>
    <t>PojavLauncherTeam-PojavLauncher-501</t>
  </si>
  <si>
    <t>The custom keyboard menu is very unstable</t>
  </si>
  <si>
    <t>Will show me error on custom keyboard config area and then crash.
Steps to reproduce the behavior:
1. Start PojavLauncher
2. Login with offline
3. Press setting for keyboard
4. Press button
expected for it to show the edit delete menu
Device Model huawei p30lite aka mar-lx3a
CPU architecture aarch64
Android Version 10 android</t>
  </si>
  <si>
    <t>Anuken-Mindustry-3995</t>
  </si>
  <si>
    <t>Platform: Android. Build: 121.3. Issue: I have put 9 coal in a launchpad that sents recourses from sector 173 to sector 35. I now receice 9 coal in sector 35 a minute whit no other sectors supplying coal to any core from all the sectors I have captured.</t>
  </si>
  <si>
    <t>2020-12-15</t>
  </si>
  <si>
    <t>Anuken-Mindustry-3994</t>
  </si>
  <si>
    <t>the thing about passive zone winning</t>
  </si>
  <si>
    <t>**Steps to reproduce**: pretty much play the map with lots of defenses, including heavy anti air everywhere and some support units built(the tier after miner, as in ugrade). get trough each wave with ease, get crushed by the guardian but before the core dies go to another location. possibly make backup save in one of which it shows that you will win and then you actually play it to see if it wins against the guardian, using not enough defences to actually defeat it but for the game to still show that you will.
**Link(s) to mod(s) used**: none, purely vanilla
**Save file**: for some reason have zip file but it just tells me we don support that file type even if this is all can do with 7zip and it shows the zip file icon
If you remove the line above without reading it properly and understanding what it means, will reap your soul. Even if you re playing on someone server, you can still save the game to slot.
**(Crash) logs**: none, it bug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</si>
  <si>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Anuken-Mindustry-3993</t>
  </si>
  <si>
    <t>**Platform** Android. **Build** 121.3 *issue* I put 9 coal into a launchpad that launches from sector 173 to sector 35. Now do I receive 9 coal every 20 seconds in that core. No other sector launch coal. (Checked multiple times)</t>
  </si>
  <si>
    <t>AHSAppDevTeam-Arcadia-High-Mobile-16</t>
  </si>
  <si>
    <t>App crashes during loading if you try to scroll with one of the smaller scroll views on the home page</t>
  </si>
  <si>
    <t>TeamNewPipe-NewPipe-5187</t>
  </si>
  <si>
    <t>Fix crash when no default browser is set and improve share dialogs (on some devices)</t>
  </si>
  <si>
    <t>#### What is it?
Bugfix (user facing)
Feature (user facing)
Codebase improvement (dev facing)
Meta improvement to the project (dev facing)
#### Description of the changes in your PR
#### General description of the changes
This PR improves sharing content to other apps with the following changes:
fix crash when no browser is set on some devices (NewPipe thinks that the system app chooser is browser because its package ID isn android due to some OEM system customizations)
try to use Android system share sheet instead of OEM share sheet (this last is used as fallback if this first was removed) for:
share content in clipboard (playlists, videos, tracks, channels and bug reports)
open content in browser (playlists, videos, tracks, channels, report on GitHub in bug reports options and comments, install player prompts) where there is no default app
open video stream an audio stream in external player where there is no default app
fix double toast Copied to clipboard shown when copying formatted report in crash report activity
#### Code changes
catch when opening an URL or file if it chooser
add openFileInApp method in ShareUtils to be able to open streams in external app downloads in default app or in the app chooser
edit method of ShareUtils to be able to return default app for opening downloads, streams, or URLs
use for downloads playing streams in external player
use ShareUtils.shareUrl for sharing crash report from ErrorActivity to other apps and for sharing stream in the play queue</t>
  </si>
  <si>
    <t>Anuken-Mindustry-3988</t>
  </si>
  <si>
    <t>Flares and Horizons Using Zenith AI</t>
  </si>
  <si>
    <t>**Steps to reproduce**:
1. Encounter an enemy Horizon or Flare.
2. They will stay away from your buildings and try to shoot at them.
Using my provided map, the first wave is only flares and horizons, and you can observe this behavior.
**Link(s) to mod(s) used**: was using deltanedas cliffs and deltanedas rtfm, but don they they cause this bug.
This is not the save file but it is the map file that tested on.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searched Horizon and did not find any issues like what describe except #3050 (which was not bug anyways).</t>
  </si>
  <si>
    <t>barbeau-gpstest-459</t>
  </si>
  <si>
    <t>Crash in Accuracy mode</t>
  </si>
  <si>
    <t>When start the accuracy mode everything seems to be OK so far but after while, mostly between 15 and 40 seconds GPStest crashes. The time until crash differs from time to time, ve no clue where it depends on.
My phone is Fairphone with Android 10.</t>
  </si>
  <si>
    <t>nextcloud-android-7669</t>
  </si>
  <si>
    <t>File sharing by Android API crashes on Huawei</t>
  </si>
  <si>
    <t>### Steps to reproduce
1. Open the share menu of file (not folder)
2. Tap sharing method provided by Android
### Expected behaviour
The Android sharing method should open
### Actual behaviour
Nextcloud crashes and shows error log
### Environment data
Android version: 10
Device model: Huawei MAR
Stock or customized system: Stock, EMUI 10
Nextcloud app version: 3.14.1 F-Droid
Nextcloud server version: 20.0.2
Reverse proxy: Port forwarding only
#### Android app log
************ CAUSE OF ERROR ************
************ APP INFORMATION ************
Build flavor: generic
************ DEVICE INFORMATION ************
************ FIRMWARE ************</t>
  </si>
  <si>
    <t>MAC10SOFTINC-TinyURL-11</t>
  </si>
  <si>
    <t>App Breaks in Android 11</t>
  </si>
  <si>
    <t>OkHttp was breaking which is dependency of retrofit. Upgrading to OkHttp 4.x fixes the problem. So Upgrading retrofit should fix this issue.
--------- beginning of crash
Caused by: Expected Android API level 21+ but was 30
Bug reported by IanPalmer</t>
  </si>
  <si>
    <t>TeamNewPipe-NewPipe-5175</t>
  </si>
  <si>
    <t>Peertube instance crash when play video</t>
  </si>
  <si>
    <t>### Steps to reproduce the bug
1. Go to peerlab tab
2. add https: diode.zone
3. Try to play video
### Actual behaviour
Video crash when loading video on that instance and on framatube it plays good
### Expected behavior
&lt;!-- Tell us what you expect to happen. --&gt;
Videos to play like in framatube instance
If your bug includes crash (where you re shown the Error Report page with bunch of info), tap on Copy formatted report at the bottom and paste it here:
### Device info
Android version Custom ROM version: Android 10
Device model: Samsung S7</t>
  </si>
  <si>
    <t>2020-12-14</t>
  </si>
  <si>
    <t>Anuken-Mindustry-3981</t>
  </si>
  <si>
    <t>The build menu goes wide</t>
  </si>
  <si>
    <t>the build menu breaks when block consumes lot of items
**Steps to reproduce**: *How you happened across the issue, and what exactly you did to make the bug happen.*
1. make mod
2. make new block
3. make it consume lot of items
4. hover over it
5. report this absolutely gamebreaking bug
**Link(s) to mod(s) used**: *The mod repositories or zip files that are related to the issue, if applicable.*
here is an example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 really have to put this, it an ui bug and not something related to the save)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</si>
  <si>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Anuken-Mindustry-3979</t>
  </si>
  <si>
    <t>poly buildn't</t>
  </si>
  <si>
    <t>Poly is not building block when it bound to logic processor that tells it to build there.
only have (one) poly.
**Steps to reproduce**: *How you happened across the issue, and what exactly you did to make the bug happen.* placed logic schematic that simply builds conveyor in specific location. the location was completely unblocked. maybe just bad at logic ok
the logic made was
ucontrol build 136 34 conveyor
**Save file**: The (zipped) save file you were playing on when the bug happened. THIS IS REQUIRED FOR ANY ISSUE HAPPENING IN-GAME OR IN MULTIPLAYER, REGARDLESS OF WHETHER YOU THINK IT HAPPENS EVERYWHERE. DO NOT DELETE OR OMIT THIS LINE UNLESS YOU ARE SURE
made the logic on Ancient Caldera
If you remove the line above without reading it properly and understanding what it means, will force you to eat roomba. Even if you re gamer like Karma999 is you still have to eat roomba whole.
**(Crash) logs**: *Either the logs from crash or logs you re supposed to crash into
*Place an (no spaces) between the brackets to confirm that you have read the line below.*
**I have updated to the latest release (https: github.com Anuken Mindustry releases) to make sure my issue has not been fixed.**
**I have NOT searched the closed and open issues to make sure that this problem has not already been reported.**</t>
  </si>
  <si>
    <t>MuntashirAkon-AppManager-189</t>
  </si>
  <si>
    <t>Crash when exiting the "Deny app ops" menu while the purple progress bar is still visible</t>
  </si>
  <si>
    <t>have noticed that there is still crash when exiting the Deny app ops menu while the app is compiling the list of affected apps (also with purple progress bar).
1) Have the app run in ADB mode
2) Menu 1-Click Ops Deny app ops...
3) Enter value like 63 and click search
4) Now press back while the purple progress bar is visible.
5) Now you will return back to the app list.
6) Wait little bit and AppManager will crash.
Debug Build: 2.5.20-DEBUG 578
Crash Log from my Pixel 3a: https: pastebin.com sN4tqnMh
Originally posted by k9janer in https: github.com MuntashirAkon AppManager issues</t>
  </si>
  <si>
    <t>Anuken-Mindustry-3976</t>
  </si>
  <si>
    <t>Sprites of research items smaller than usual</t>
  </si>
  <si>
    <t>When you unlock something new that you can research on the campaign, the sprite is smaller than usual, and is only fixed by restart
**Steps to reproduce**: *How you happened across the issue, and what exactly you did to make the bug happen.*
Open up campaign, research something and observe the sprite of any new researchable blocks units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</si>
  <si>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square-okhttp-6473</t>
  </si>
  <si>
    <t>java.lang.ExceptionInInitializerError</t>
  </si>
  <si>
    <t>version okhttp 4.8.1
version retrofit 2.9.0
android version: 10.0
When attempting to run the app in Android 10, the app immediately crashes with the following exception:</t>
  </si>
  <si>
    <t>dimagi-commcare-android-2420</t>
  </si>
  <si>
    <t>Bug Fix: XpathException in End of Form linking crashes CommCare</t>
  </si>
  <si>
    <t>In case End of form stack ops fails due to an Xpath error it crashes the app today.</t>
  </si>
  <si>
    <t>Anuken-Mindustry-3975</t>
  </si>
  <si>
    <t>Game crashed</t>
  </si>
  <si>
    <t>My game crashed, apparently while loading dialog
*Steps to reproduce**: *How you happened across the issue, and what exactly you did to make the bug happen.*
**Link(s) to mod(s) used**: *The mod repositories or zip files that are related to the issue, if applicable.*
Mods: dev-mode:2.3.1, rtfm:2.12.2, ui-lib:2.16.4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</si>
  <si>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Anuken-Mindustry-3972</t>
  </si>
  <si>
    <t>Crash on selecting launch pad location</t>
  </si>
  <si>
    <t>**Steps to reproduce**: *Open the select sector UI of launch pad, and select any sector. Open the UI again, and click the select sector button again, without first clicking sector, and the game will crash*
**Link(s) to mod(s) used**: *N A*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</si>
  <si>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barrven-ScavengerHunt-20</t>
  </si>
  <si>
    <t>Fix crash when clicking back arrow from MapsActivity to ViewPointActivity</t>
  </si>
  <si>
    <t>2020-12-13</t>
  </si>
  <si>
    <t>Anuken-Mindustry-3969</t>
  </si>
  <si>
    <t>units that can boost under command will glitch out when landing on wall</t>
  </si>
  <si>
    <t>use epic linucks
the quasar (pretty sure it works with anything that can boost) starts trying to land on the wall and teleporting up. looks pretty wacky.
**Steps to reproduce**: *How you happened across the issue, and what exactly you did to make the bug happen.*
1. take control of many quasar
3. fly on wall and land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</si>
  <si>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microg-GmsCore-1312</t>
  </si>
  <si>
    <t>de.corona.tracing crashes in oreo 8.0.0</t>
  </si>
  <si>
    <t>Package id: de.corona.tracing
**Describe the bug**
Installing the app causes the next reboot to bootloop.
Steps to reproduce the behavior:
Do not install microg. have disabled all gapps
1. Install de.corona.tracing
2. accept and enable location bluetooth
3. Everything seems OK
4. No errors reported
5. Now restart phone
6. The boots OK, once it reaches the lockscreen (like bootcomplete state), it just restarts... and go to restart again
7. Only way to rescue phone is:
adb shell pm uninstall de.corona.tracing
**Log file **
1. Stay fine
If applicable, add screenshots to help explain your problem.
Android Version: 8.0.0
Custom ROM: stock ROM Cubot
microG Core version: the version bundled with de.corona.tracing 1.7.1.2 (fdroid)
microG Self-Check results: NOT installed.</t>
  </si>
  <si>
    <t>nextcloud-android-7658</t>
  </si>
  <si>
    <t>android client crash</t>
  </si>
  <si>
    <t>### Steps to reproduce
1. Clicking on file marked with red icon
### Expected behaviour
Tell us what should happen
Should download the file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t>
  </si>
  <si>
    <t>PojavLauncherTeam-PojavLauncher-489</t>
  </si>
  <si>
    <t xml:space="preserve">[BUG]forge1.14.4+ Initiating crash </t>
  </si>
  <si>
    <t>--------- beggining with launcher debug
--------- beginning of crash
--------- beginning of main</t>
  </si>
  <si>
    <t>microg-GmsCore-1309</t>
  </si>
  <si>
    <t>Exposure Notifications cannot round a NaN value</t>
  </si>
  <si>
    <t>**Describe the bug To Reproduce**
Yesterday installed Radar COVID 1.1.0 Play Store (https: play.google.com store apps details?id es.gob.radarcovid), GitHub project (https: github.com RadarCOVID and activated Exposure Notifications in microG.
don know if ll be able to reproduce the crash again, but after waking up today and unlocking the phone, crash dialog appeared.
Android Version: 11
Custom ROM: MSM-Xtended XR-v2.0
microG version: 0.2.14.204215
think these are the relevant logs. ve saved the complete logs from adb logcat -d logcat.log in case anything else is needed.</t>
  </si>
  <si>
    <t>PojavLauncherTeam-PojavLauncher-487</t>
  </si>
  <si>
    <t xml:space="preserve">[BUG]He'll crash when I start the game </t>
  </si>
  <si>
    <t>Anuken-Mindustry-3952</t>
  </si>
  <si>
    <t>(Reopen)Crash does not occur.</t>
  </si>
  <si>
    <t>Reopened because enough info has been gathered to tell this is an issue related to your update, and don know how to *reopen* issues under the same number
1. This became an issue in 121.1. 121 and before(even the BEs before that) crash fine.
2. This is not steam client problem, the jar provided by github(releases) and the itch.io, as well as the steam version all show this issue(121.1 or higher), and the steam 121 and release 121 all crash normally.
3. quick search tells me this may be windows 10 problem, is your VM windows 10? Also my windows did not update overnight, either.
**Steps to reproduce**:
After thorough testing, it seems as any crash will do:
**Link(s) to mod(s) used**: *Even the console will do. DeltaNedas dev-mode activates the console, but know you have ways of activating the console yourself anyways.*
**Save file**: *Can be reproduced in the main menu.*
If you remove the line above without reading it properly and understanding what it means, will reap your soul. Even if you re playing on someone server, you can still save the game to slot.
**(Crash) logs**: *Here is the full version of that thing, don care about my personal info, if this gets fixed for good.*
fatal error has been detected by the Java Runtime Environment:
EXCEPTION ACCESS VIOLATION (0xc0000005) at pc 0x00007ffc1bf74da2, pid 11788, tid 7972
JRE version: OpenJDK Runtime Environment (8.0 72-b15) (build 1.8.0 72-b15)
Java VM: OpenJDK 64-Bit Server VM (25.72-b15 mixed mode windows-amd64 compressed oops)
Failed to write core dump. Minidumps are not enabled by default on client versions of Windows
If you would like to submit bug report, please visit:
http: www.azulsystems.com support
The crash happened outside the Java Virtual Machine in native code.
See problematic frame for where to report the bug.
Current thread JavaThread main thread in native, id 7972,</t>
  </si>
  <si>
    <t>AdamLBS-LineFlag-56</t>
  </si>
  <si>
    <t>Application crash if the auth server can't be reached or airplane mode is enabled</t>
  </si>
  <si>
    <t>Will be fixed in next version.</t>
  </si>
  <si>
    <t>2020-12-12</t>
  </si>
  <si>
    <t>SkyTubeTeam-SkyTube-852</t>
  </si>
  <si>
    <t>Crash while opening and presenting feed</t>
  </si>
  <si>
    <t>Today my feed updated as it does, and Skytube crashed. reopened it, and the twirly displays while it is updating the feed. After some time some videos are displayed and then immediately it crashes again. Every subsequent attempt at opening the program continues to result in the same crash. running version 2.975 (2020-10-31 19:15) on Lenovo Yoga Book running Android 7.1.1.</t>
  </si>
  <si>
    <t>ElderDrivers-EdXposed-727</t>
  </si>
  <si>
    <t>[BUG] Google camera 8.x crashes upon opening</t>
  </si>
  <si>
    <t>If you encountered boot loop, please make sure you have disabled all modules before submit an issue.
** What happened?**
After Nov 17th app update to Google camera 8.1 the app will crash upon opening of Edxposed is enabled.
**Xposed Xposed Module List**
**Magisk Magisk Module List**
Substratum lite overlay helper
Volte pixel 4xl
**EdXposed Riru Version of EdXposed and Riru**
** Related Logs**
Please capture log with debug version, otherwise it won help us locating the issue.</t>
  </si>
  <si>
    <t>Anuken-Mindustry-3946</t>
  </si>
  <si>
    <t>The resource count does not get updated in realtime on the research tree screen.</t>
  </si>
  <si>
    <t>So for example if you have 1.5k silicon when entering the screen and spend it all on something, the count is going to drop to and never change, forcing you to exit and enter the research screen again to take into account the amount that might have accumulated in the seconds since the last research. You must do this each time to make the system update the effective amount of stored resources.
It would have been very nice if these values were updated in realtime.
Though this issue seems so obvious, did not find any mention of an existing case among the closed ones.
**Steps to reproduce**: Play the game, open the research tree screen, observe the behavior
**Link(s) to mod(s) used**: None
**Save file**: not related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</si>
  <si>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Anuken-Mindustry-3944</t>
  </si>
  <si>
    <t>When playing multiplayer campaign, client-side research doesn't use resources</t>
  </si>
  <si>
    <t>If you are playing multiplayer campaign with another player, when you research something, it spends the resources, but exiting and reopening the menu will show that the resources were never spent, but research progress is made
**Steps to reproduce**: *How you happened across the issue, and what exactly you did to make the bug happen.*
Host multiplayer campaign game on device, connect to the game with another device, and research something. It will show resources being spent, and progress being made, but reopening the menu will restore the resources, but not revert the progress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</si>
  <si>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TeamNewPipe-NewPipe-5162</t>
  </si>
  <si>
    <t>New Pipe 0.20.6  crash android system 10</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</si>
  <si>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start the background player with bookmarked playlist. used bt headphones
2. after few minute the android crashed
3. android 10 start in recovery mode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t>
  </si>
  <si>
    <t>Anuken-Mindustry-3940</t>
  </si>
  <si>
    <t>Unable to launch mod sector</t>
  </si>
  <si>
    <t>When trying to launch on modified planet, the game crashes.
**Steps to reproduce**:
1. Create mod planet.
2. Try to launch to any planet sector.
**Links to mods used**:
... 16 more
have updated to the latest release to make sure my issue has not been fixed.
have searched the closed and open issues to make sure that this problem has not already been reported.</t>
  </si>
  <si>
    <t>Anuken-Mindustry-3938</t>
  </si>
  <si>
    <t>mindustry error</t>
  </si>
  <si>
    <t>Mindustry has crashed. How unfortunate.
Report this at https: github.com Anuken Mindustry issues new?labels bug&amp;template bug report.md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</si>
  <si>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schaefer30038-easy-meal-prep-8</t>
  </si>
  <si>
    <t>Freezing/Crashing</t>
  </si>
  <si>
    <t>a. Summary: application can stop
b. Description: The application will stop with message or
will shutdown without one. Happens when user
presses button after logging out and pressing back.
c. Severity: Major
d. Comments: If the crash causes user to lose state, it
can become problem for number of reasons. If they do not lose state,
the issue is minor, as restarting the application should still be an option.
Detaching the back button after logout or checking for logged-in status
would solve this issue.
e. Log: The Logcat output is shown below</t>
  </si>
  <si>
    <t>Anuken-Mindustry-3932</t>
  </si>
  <si>
    <t>Liquid Turrets crash at  if ammoTypes: doesn't include water:</t>
  </si>
  <si>
    <t>adding water works as workaround for this issue.
**Steps to reproduce**:
open save game provided with mod provided
turn on the liquid source to the crystal-flare-crash (the one with the bad -&gt;) to slag oil cryo enrichedslag
crash to desktop
**Link(s) to mod(s) used**: *The mod repositories or zip files that are related to the issue, if applicable.*
one with JUST crystals mod enabled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</si>
  <si>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TeamNewPipe-NewPipe-5155</t>
  </si>
  <si>
    <t>Issue while copying text in description of a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</si>
  <si>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0.20.6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&lt;!-- If you can cause the bug to show up again reliably (and hence don have proper set of steps to give us), please still try to give as many details as possible on how you think you encountered the bug. --&gt;
1. Open any youtube video
2. Click on video title it opens description box.
3. Select any text for copying. Don click on copy or select all. After selection of text just click anywhere inside description box(red box in screenshot attached) app crashes. If click on copy or select all no crash is happening.
### Actual behaviour
&lt;!-- Tell us what happens with the steps given above. --&gt;
NewPipe crashes abruptly.
### Expected behavior
&lt;!-- Tell us what you expect to happen. --&gt;
App shouldn crash.
### Screenshots Screen recordings</t>
  </si>
  <si>
    <t>2020-12-11</t>
  </si>
  <si>
    <t>square-okhttp-6467</t>
  </si>
  <si>
    <t>Fatal Exception: java.io.IOException: failed to rename...</t>
  </si>
  <si>
    <t>We are still seeing this crash on version 4.9.0.
Fatal Exception: failed to rename data user OURAPP cache to data user OURAPP cache
Any help is greatly appreciated!</t>
  </si>
  <si>
    <t>inverse-inc-packetfence-android-agent-9</t>
  </si>
  <si>
    <t>Catch if cacert empty and api&gt;=29 for peap</t>
  </si>
  <si>
    <t>Currently the app is crashing if cacert is null and api&gt; 29
This commit fix this.</t>
  </si>
  <si>
    <t>twilio-video-quickstart-android-595</t>
  </si>
  <si>
    <t>Crash upon starting a call</t>
  </si>
  <si>
    <t>Crash upon starting video call
### Steps to Reproduce
1. Use Pixel Device API 29
2. Initiate video call
3. Do not even start the call, it happens in few seconds
#### Reproduces how Often
It happens on certain devices always. On other devices, it never happens.
--------- beginning of crash
--------- beginning of system
#### Video Android SDK
#### Android API
#### Android Device
It works on previous version of the library. 5.x.y</t>
  </si>
  <si>
    <t>TeamNewPipe-NewPipe-5148</t>
  </si>
  <si>
    <t xml:space="preserve">Show improved error panel instead of annoying snackbar or crashing </t>
  </si>
  <si>
    <t>#### What is it?
Bugfix (user facing)
Feature (user facing)
Codebase improvement (dev facing)
Meta improvement to the project (dev facing)
#### Description of the changes in your PR
This PR improves the error panel that currently is only shown when there are network problems:
When ANY error occours, if there are not already some items in the view, always show the error panel, otherwise show the snackbar.
Extractor errors now don crash the app but instead show up in the error panel for the corresponding fragment.
The retry button is always shown except for and s, like before.
Add dynamic button to the error panel that acts as Report button for everything except ReCaptchaException s, where instead Solve button is shown.
also refactored many things related to error reporting, in particular:
Move everything inside error subpackage.
Add ErrorPanelHelper class to handle the error panel.
Use ErrorInfo to store ALL of the information about an error that is needed to perform report, so that functions can just take an ErrorInfo instead of having to do multiple overloads. This reduced and simplified much the code.
Remove multiple overloadable functions about errors in BaseStateFragment and instead make only one, that handles the error panel by itself.
Remove returnActivity for ErrorActivity it was only used in SettingsFragment (set to SettingsActivity but without it everything just works as intended) and in RouterActivity (set to MainActivity when something failed while resolving shared link, the error activity shows up, but now when the user presses back he is just brought to what he was doing before sharing the link to NewPipe, which is expected, instead of unexpectedly going to NewPipe MainActivity ). Also remove now unneded as it was only needed to pass returnActivity around. **This solves the lost backstack issue** when the error activity opens, so that the user can report something and then continue browsing without losing anything. opusforlife2 :-D
Other relevant changes:
Fix list fragments not being scrollable when the recycler view is hidden, causing problems in VideoDetailFragment Now, instead of hiding, alpha is just set to 0.0f
Fix EmptyFragment not being scrollable inside VideoDetailFragment</t>
  </si>
  <si>
    <t>Rapsssito-react-native-tcp-socket-89</t>
  </si>
  <si>
    <t>Handle  connection refused error</t>
  </si>
  <si>
    <t>Hello, trying to handle connection refused error, if try to connect to server that doesn exist, my app crash.
## Steps to reproduce
var client port: 49500, host: 255.0.0.0 ,timeout:1000
var client port: 49500, host: 255.0.0.0 ,timeout:1000
## Current behavior
The app crash when the client can not connect to the server.
## Expected behavior
The try catch block should handle the error
## Relevant information</t>
  </si>
  <si>
    <t>Anuken-Mindustry-3922</t>
  </si>
  <si>
    <t>Mindustry does not crash AT ALL</t>
  </si>
  <si>
    <t>This is likely the actual description of what happened in #3919, but worse. leaving #3919 open because Draw.draw is weird anyways.
**Steps to reproduce**:
This should crash because bbebeb is not defined.
Also there is one more example in #3919.
**Link(s) to mod(s) used**: *unrelated, tested in multiple mods that to deliberately cause crashes.*
**Save file**: *unrelated.*
If you remove the line above without reading it properly and understanding what it means, will reap your soul. Even if you re playing on someone server, you can still save the game to slot.
**(Crash) logs**: *PLEASE GIVE ME ONE AM BEGGING YOU PLEASE*
found something weird in the Steam directory instead: hs err pid13952.log
fatal error has been detected by the Java Runtime Environment:
EXCEPTION ACCESS VIOLATION (0xc0000005) at pc 0x00007ffc1bf74da2, pid 13952, tid 3244
JRE version: OpenJDK Runtime Environment (8.0 72-b15) (build 1.8.0 72-b15)
Java VM: OpenJDK 64-Bit Server VM (25.72-b15 mixed mode windows-amd64 compressed oops)
Failed to write core dump. Minidumps are not enabled by default on client versions of Windows
If you would like to submit bug report, please visit:
http: www.azulsystems.com support
The crash happened outside the Java Virtual Machine in native code.
See problematic frame for where to report the bug.
*Place an (no spaces) between the brackets to confirm that you have read the line below.*
**I have updated to the latest release (https: github.com Anuken Mindustry releases) to make sure my issue has not been fixed.**</t>
  </si>
  <si>
    <t>gurrhack-ForkFront-Android-4</t>
  </si>
  <si>
    <t>Update for Android 11</t>
  </si>
  <si>
    <t>The installation procedure doesn work on Android 11 causing the game to crash on startup.</t>
  </si>
  <si>
    <t>MuntashirAkon-AppManager-185</t>
  </si>
  <si>
    <t>Crash when trying to open the App Details of any app</t>
  </si>
  <si>
    <t>**Describe the bug**
AM crashes when try to open the App Details of any app.
Steps to reproduce the behaviour:
1. Click on any app within the AM
2. See error
App version: 2.5.20-DEBUG
App version code: 374
Android build version: V11.0.2.0.NCFMIXM
Android release version: 7.0
Android SDK version: 24
Android build ID:
Device brand: xiaomi
Device manufacturer: Xiaomi
Device name: mido
Device model: Redmi Note
Device product name: mido
Device hardware name: qcom
ABIs (32bit): armeabi-v7a, armeabi
ABIs (64bit): arm64-v8a
System language: pt-BR</t>
  </si>
  <si>
    <t>Anuken-Mindustry-3919</t>
  </si>
  <si>
    <t>Sudden Draw.draw crash</t>
  </si>
  <si>
    <t>**Steps to reproduce**:
var time Time.time 300
var progress time 300
var heat 1.1
Fill.poly(this.x, this.y, 4, 10 heat)
Draw.color(0, 0, 0, 0.4 progress)
Draw.rect( circle-shadow this.x, this.y, region.width 3, region.width 3)
try &lt;- THE COMMENTED LINES MENTIONED EARLIER STARTS HERE
this.y, region, 0, progress, 1, time)
Lines.stroke(2 heat, Pal.accentBack)
var pos Mathf.sin(time, 6, 8)
pos, this.y, 90, 16 Math.abs(pos) 2)
Lines.poly(this.x, this.y, 4, heat)
**Link(s) to mod(s) used**: *sk7725 tester for the draw tester.*
**Save file**: *Insta-crash, graphics is the here*
If you remove the line above without reading it properly and understanding what it means, will reap your soul. Even if you re playing on someone server, you can still save the game to slot.
**(Crash) logs**: *REQUIRED if you are reporting crash. THERE IS NONE, FOR SOME REASON.*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</si>
  <si>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Anuken-Mindustry-3918</t>
  </si>
  <si>
    <t>procedurally generated sectors can have ground enemy spawn points in deep water, killing all or most of them</t>
  </si>
  <si>
    <t>**Steps to reproduce**: *not really applicable based purely upon the procedural generation system.*
**Link(s) to mod(s) used**: *none*
**Save file**: mindustrysave.zip (https: github.com Anuken Mindustry files 5677213 mindustrysave.zip) issue can be found on sector 220.*
**(Crash) logs**: *issue does not result in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</si>
  <si>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Anuken-Mindustry-3917</t>
  </si>
  <si>
    <t>Unit construction effect in factories / constructors and reconstructors visually updates slower over building uptime</t>
  </si>
  <si>
    <t>**Steps to reproduce**: *1. Open Mindustry for mobile. 2. Start game. 3. Watch single unit factory or reconstructor work for while. It doesn have to be working continuously but minutes of factory reconstructor uptime without switching sectors, exiting app, saving exiting game etc is recommended to make sure the effect should be noticeable by that point. (optional 4. Exit app, open save file, or sector and reopen same save. The effect will be reset it will look gone but after minutes of uptime, the effect will become noticeable again.)*
**Link(s) to mod(s) used**: *(No active mods)*
**Save file**: save-Endurance Dec 10 8:40.msav.zip (https: github.com Anuken Mindustry files 5677134
If you remove the line above without reading it properly and understanding what it means, will reap your soul. Even if you re playing on someone server, you can still save the game to slot.
*Noted. went to lengths to get this save from my tablet but did get it think*
**(Crash) logs**: *This isn crash bug so won put anything here except just did now, didn I*
*Place an (no spaces) between the brackets to confirm that you have read the line below.*
**I have updated to the latest release (https: github.com Anuken Mindustry releases) to make sure my issue has not been fixed.**
*Well, the latest version available in the app store (because it mobile)*
**I have searched the closed and open issues to make sure that this problem has not already been reported.**
*I only saw one issue so unless there is somewhere else people formally report bugs, can say that</t>
  </si>
  <si>
    <t>lazoft-oPlay-18</t>
  </si>
  <si>
    <t>Major Ambigous Issue: Under observation</t>
  </si>
  <si>
    <t>bug has been found that crashes the app for some specific file in specific API (reportedly API 29 ). Please follow instructions on commit 129 if you face errors. Also IF YOU FACE THE ERROR, must notify o-julfikar Do not change anything (because we need to know what situation can recreate the bug)</t>
  </si>
  <si>
    <t>2020-12-10</t>
  </si>
  <si>
    <t>wiglenet-wigle-wifi-wardriving-456</t>
  </si>
  <si>
    <t>[FIX] stability improvement on crash reporter</t>
  </si>
  <si>
    <t>collecting more info on some error-email-compose runtime exceptions, lowering the max size little in hopes of preventing.</t>
  </si>
  <si>
    <t>Anuken-Mindustry-3909</t>
  </si>
  <si>
    <t>Random Serialization Exception On Startup</t>
  </si>
  <si>
    <t>**Steps to reproduce**: open the game
**Save file**: This happens before the menu even loads
**(Crash) logs**: Well there no crash but this is logged to the console (https: xenon.is-ne.at UlJd3l.png) (RTFM is disabled)
**I have updated to the latest release (https: github.com Anuken Mindustry releases) to make sure my issue has not been fixed.**
**I have searched the closed and open issues to make sure that this problem has not already been reported.**</t>
  </si>
  <si>
    <t>getodk-collect-4294</t>
  </si>
  <si>
    <t>Crash when trying to record when another app already is</t>
  </si>
  <si>
    <t>#### Software and hardware versions
#### Problem description
The app crashes when starting recording (using the internal recorder) if another app is already using the mic.
#### Steps to reproduce the problem
1. Start recording using another audio recorder app
2. Switch to Collect and open form that an audio question (that has quality set to use the internal recorder
3. Tap Record sound
#### Expected behavior
Recording should fail to start but the app should not crash. Ideally the user would see an error message telling them they are already using the mic somewhere else.
#### Other information</t>
  </si>
  <si>
    <t>nextcloud-android-7644</t>
  </si>
  <si>
    <t>Next cloud crashes.</t>
  </si>
  <si>
    <t>BugBattle-Android-SDK-4</t>
  </si>
  <si>
    <t>java.lang.IllegalStateException: Only fullscreen activities can request orientation</t>
  </si>
  <si>
    <t>We are getting an error for Android 8.0 users when we trigger the bug battle ui. Here is the crash log</t>
  </si>
  <si>
    <t>Anuken-Mindustry-3903</t>
  </si>
  <si>
    <t>Stuttering</t>
  </si>
  <si>
    <t>There stuttering for unknown reasons and its always right after the sector is captured and you get surge up
placed an impact and made surge defense and then it started stuttering it doesn always happen but crash sometimes cuz of it
can access campaign save files and can post file into an issue so may have to send my mindustry data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</si>
  <si>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Anuken-Mindustry-3899</t>
  </si>
  <si>
    <t>Unloader will slow down or stop pulling 1 or 2 items from vault.</t>
  </si>
  <si>
    <t>&lt;img width 371 alt mindustry2 src https: 75761168
**Steps to reproduce**: Place Unspecified item unloaders on the vault then place pryatite mixer right in front of the unloaders on vault.
&lt;img width 715 alt mindustry1 src https: 75761168
**Link(s) to mod(s) used**: This issue happens with mods and without
**(Crash) logs**: no crashes
**I have updated to the latest release (https: github.com Anuken Mindustry releases) to make sure my issue has not been fixed.**
**I have searched the closed and open issues to make sure that this problem has not already been reported.**</t>
  </si>
  <si>
    <t>elimu-ai-content-provider-71</t>
  </si>
  <si>
    <t>Content provider crashes without reading level</t>
  </si>
  <si>
    <t>Converting StoryBooks without readingLevel:</t>
  </si>
  <si>
    <t>2020-12-09</t>
  </si>
  <si>
    <t>Anuken-Mindustry-3895</t>
  </si>
  <si>
    <t>Client research not unlocked for host</t>
  </si>
  <si>
    <t>When client connected to my multiplayer game completed research it both used the resources from my host map and did not give the host the research. It was necessary to complete the research again as the host to unlock the technology.
**Steps to reproduce**: *How you happened across the issue, and what exactly you did to make the bug happen.*
Client completes research while connected to multiplayer host.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Have not tested in 121.2 since that was just released
**I have searched the closed and open issues to make sure that this problem has not already been reported.**</t>
  </si>
  <si>
    <t>Anuken-Mindustry-3892</t>
  </si>
  <si>
    <t>new Issue</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</si>
  <si>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Ive got two issues one is that if wanted to change my controlls for putting down troops and small blocks to the controlls got changed to
The other one is thatI cant pick up small Blocks or troops (if controlled the Mega)
hope this is gonna help</t>
  </si>
  <si>
    <t>Anuken-Mindustry-3891</t>
  </si>
  <si>
    <t>Windows</t>
  </si>
  <si>
    <t>Anuken-Mindustry-3890</t>
  </si>
  <si>
    <t xml:space="preserve">Double click issue: Campaign </t>
  </si>
  <si>
    <t>**Steps to reproduce**: Double clicking around the campaign planet but clicking twice on the planet will not do anything special.
**(Crash) logs**: crash-report-12 09 2020 15 15 20.txt (https: github.com Anuken Mindustry files 5667890 crash-report-12 09 2020 15 15 20.txt)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</si>
  <si>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mybigday-react-native-external-display-211</t>
  </si>
  <si>
    <t>[Android] - Crashes when any accessiblity is used</t>
  </si>
  <si>
    <t>am using RN 0.61
When the most basic view is used with any accessibility service enabled on the Android device, the app crashes, with the following stack trace:
The basic version being used for testing:
EXPO SDK 39, Bare Workflow
import React from react
import View, StyleSheet, Text from react-native
&lt;View style backgroundColor: brown flex: 1, flexDirection: row</t>
  </si>
  <si>
    <t>Anuken-Mindustry-3888</t>
  </si>
  <si>
    <t>Airlift Achievement Unobtainable (Steam)</t>
  </si>
  <si>
    <t>**Steps to reproduce**: *How you happened across the issue, and what exactly you did to make the bug happen.*
1) Build an Oct and an other T5 unit (here, Corvus).
2) Take T5 unit by Oct.
3) Realise that you haven got the Airlift achievement in your profile.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None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</si>
  <si>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Anuken-Mindustry-3887</t>
  </si>
  <si>
    <t>oof [FIXED]</t>
  </si>
  <si>
    <t>**Steps to reproduce**: *download every mod from https: github.com topics mindustry-mod-v6 and put them onto mindustry and bam*
**Link(s) to mod(s) used**:
too many, but every mod in https: github.com topics mindustry-mod-v6
**Save file**: *none, came when finished loading*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finally found the correct crash report</t>
  </si>
  <si>
    <t>Anuken-Mindustry-3884</t>
  </si>
  <si>
    <t>itch.io build 121
**Steps to reproduce**: don know sorry
**Link(s) to mod(s) used**: no mods
**Save file**: *The (zipped) save file you were playing on when the bug happened. uhh didn saved it sorry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</si>
  <si>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Anuken-Mindustry-3883</t>
  </si>
  <si>
    <t>oof</t>
  </si>
  <si>
    <t>**Steps to reproduce**: *download every mod from https: github.com topics mindustry-mod-v6 and put them onto mindustry and bam*
**Link(s) to mod(s) used**:
too many, but every mod in https: github.com topics mindustry-mod-v6
**Save file**: *none, came when finished loading*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(crash logs say its 111 for some lmfaoing reason)
**I have searched the closed and open issues to make sure that this problem has not already been reported.**</t>
  </si>
  <si>
    <t>getodk-collect-4287</t>
  </si>
  <si>
    <t>Collect crashes when use pause and stop button at the same time in the middle of recording</t>
  </si>
  <si>
    <t>#### Software and hardware versions
Collect v1.29.x, Android all, device used...
#### Problem description
Collect is crashing when trying to click on pause and stop button in the same time, however, it is not easy to reproduce as error message display most often than crash.
ezgif com-video-to-gif (46) (https: 33342488
#### Steps to reproduce the problem
1. Start recording using an internal recorder
2. Tap fast on pause and stop button
It might not be visible in all tries.
#### Expected behavior
Collect should not crash
Using pause and stop buttons at once should be blocked
#### Other information
stacktrace of the crash:</t>
  </si>
  <si>
    <t>Jaybit0-SpeedQuestAndroid-3</t>
  </si>
  <si>
    <t>Empty username and / or gamekey causes crash</t>
  </si>
  <si>
    <t>Anuken-Mindustry-3878</t>
  </si>
  <si>
    <t>Crash when playing multiplayer</t>
  </si>
  <si>
    <t>**Steps to reproduce**: The game crashed when playing multiplayer in server io, idk what happen
**Link(s) to mod(s) used**: None mods are active
**Save file**: the game crashed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</si>
  <si>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Anuken-Mindustry-3876</t>
  </si>
  <si>
    <t>Mod translation has problem on the official Android release by DEFAULT</t>
  </si>
  <si>
    <t>By default (Clean installation of game), information of mod contents is displayed in English instead of the system language (I sure translation files in mod bundle exist and are valid)
When switch the game display language to another language and then switch back, the mod content will be displayed correctly.
This problem not produced on Windows, Android beta version or Android custom builds.
**Steps to reproduce**:
1. Prepare an Android system and set its language to non-English
2. Prepare mod that contains valid translation files in bundle (contains English and Android system language in the step 2)
3. Install Mindustry from itch.io or Google Play
4. Start game, install the mod from step
5. (problem) Check the information of the Mod content in game, it will be displayed in English instead of the system language. It should be displayed in system language.
6. Set the game display language to another one and then switch back, the mod content will be displayed in the correct language
**Link(s) to mod(s) used**:
https: github.com abomb4 dimension-shard
https: github.com abomb4 super-cheat
**Save file**: *No save file need*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</si>
  <si>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Anuken-Mindustry-3874</t>
  </si>
  <si>
    <t>Mods are unable to add hints</t>
  </si>
  <si>
    <t>**Steps to reproduce**:
tested all inside functions(no matter how weird they may seem, its part of library so the code is valid). Also tested with them just returning true or false, no luck either.
var ahint new HintsFragment.Hint( tried extend() too, both crashes the same way
return &amp;&amp; tmp
return typeof a.isActiveSkill function null
**Link(s) to mod(s) used**: *I used sk7725 Testers to run the js above, you can just use the console too.*
**Save file**: *codewise, insta-crash issue*
If you remove the line above without reading it properly and understanding what it means, will reap your soul. Even if you re playing on someone server, you can still save the game to slot.
Mindustry has crashed. How unfortunate.
Mods: pictologic:1.5.3, testers:0.25, time-control:0.2, ui-lib:2.16.6, unity:0.3, accent Beta 12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</si>
  <si>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Anuken-Mindustry-3872</t>
  </si>
  <si>
    <t>Mods that add Base Parts are not being registered (and modded Boulder blocks *are* generating on Serpulo)</t>
  </si>
  <si>
    <t>mod am making has base part schematics, but the game does not register them. tried looking in the source code for connection, but nothing.
On the other hand, centain environmental blocks added in the mod also generate in sectors.
**Steps to reproduce**: https: github.com z0mbiesrock Diamond-Ore tree 6.0 baseparts
**Link(s) to mod(s) used**: https: github.com z0mbiesrock Diamond-Ore tree 6.0
For the base parts issue, idk. But for the modded Boulder blocks:
.zip of sector 173, freshly generated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</si>
  <si>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2020-12-08</t>
  </si>
  <si>
    <t>Anuken-Mindustry-3868</t>
  </si>
  <si>
    <t>asdf</t>
  </si>
  <si>
    <t>Anuken-Mindustry-3867</t>
  </si>
  <si>
    <t>Windswept islands crashes my game</t>
  </si>
  <si>
    <t>**Steps to reproduce**: 1. Open mindustry on S3. 2. Try to go to Windswept Islands
**Link(s) to mod(s) used**: No mods, just the vanilla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</si>
  <si>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Anuken-Mindustry-3864</t>
  </si>
  <si>
    <t>Fungal Pass</t>
  </si>
  <si>
    <t>**Steps to reproduce**: Capture fungal pass in campaign, defend yourself in the tile right between it and overgrowth for as long as possible. Eventually lose fungal pass.
**Link(s) to mod(s) used**: https: github.com K103908 Exotic-Mod
**Save file**: can give you save file from before me going in to capture fungal pass, but because Infinitodustry prevented the game from loading, lost most of my progress.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</si>
  <si>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dimagi-commcare-android-2417</t>
  </si>
  <si>
    <t>Operate on hintText view only when it's non null</t>
  </si>
  <si>
    <t>Fixes bug where an empty hint texts inside question list will cause commcare to crash.</t>
  </si>
  <si>
    <t>react-native-share-react-native-share-922</t>
  </si>
  <si>
    <t>Exception: Cannot read property 'FACEBOOK' of undefined</t>
  </si>
  <si>
    <t>### Steps to reproduce
1. npm install --save react-native-share
2. import Share from react-native-share
3. app crashes
### Expected behaviour
Supposed to work
### Actual behaviour
App crashes on load
**React Native version**: 0.63.2
**React Native platform platform version**: Android 10.0
### Link to repo (highly encouraged)
The error looks like RNShare is not available in NativeModules.
tried manual linking but no success. Moreover ^0.60 is supposed to autolink
Could somebody point me in the right direction?
Screenshot from 2020-12-08 18-36-15 (https: 64183225
Similar closed issue:</t>
  </si>
  <si>
    <t>Technical-Hackers-Health-Log-17</t>
  </si>
  <si>
    <t>Fix add new patient's DOB bug</t>
  </si>
  <si>
    <t>App crashes if user enters DOB manually while adding new patient.
would like to work on this.</t>
  </si>
  <si>
    <t>Blankj-AndroidUtilCode-1389</t>
  </si>
  <si>
    <t>ToastUtils  在5.0 Android  小米 redmi note2 上不会显示</t>
  </si>
  <si>
    <t>Anuken-Mindustry-3852</t>
  </si>
  <si>
    <t>Server crash</t>
  </si>
  <si>
    <t>**Save file**: *I dont have*
If you remove the line above without reading it properly and understanding what it means, will reap your soul. Even if you re playing on someone server, you can still save the game to slot.
**(Crash) logs**: *Mindustry has crashed. How unfortunate.
Mods: jseval:1.1, plplugin:1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</si>
  <si>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2020-12-07</t>
  </si>
  <si>
    <t>Anuken-Mindustry-3851</t>
  </si>
  <si>
    <t>AOF-Dev-MCinaBox-727</t>
  </si>
  <si>
    <t>Launcher crashes when i try installing forge</t>
  </si>
  <si>
    <t>Read the title</t>
  </si>
  <si>
    <t>google-ExoPlayer-8323</t>
  </si>
  <si>
    <t>Crash: NPE in HlsChunkSource.onPlaylistError</t>
  </si>
  <si>
    <t>seeing small amount of crashes with callstack:
It does not look like issue with stream itself, since all the time when this crash happens stream is being played quite long time:
do not have exact steps or stream itself. According to logs it happens out of the blue.
It looks like some race condition and
Android version: 7,8,9
Android devices: Amazon AFTMM, Xiaomi Mi TV Stick</t>
  </si>
  <si>
    <t>Anuken-Mindustry-3850</t>
  </si>
  <si>
    <t>Units being killed when dropped by an Oct</t>
  </si>
  <si>
    <t>**Steps to reproduce**: Pick Toxopid or Scepter with Oct drop them and they ll die.
**Link(s) to mod(s) used**:
**Save file**: file at https: we.tl t-uAfp6kUM4S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screenshotted but can find the screenshot bruh</t>
  </si>
  <si>
    <t>Anuken-Mindustry-3849</t>
  </si>
  <si>
    <t>Junction storage</t>
  </si>
  <si>
    <t>Junctions do not have consistant storage amount based on an experiment did
**Steps to reproduce**: *How you happened across the issue, and what exactly you did to make the bug happen.*
set up different storage schemes
1.) Junction junction junction
2.) Router junction router
The first one gives 36 storage and 36 divided by is 12
The second one only gives 22 when it should give 26
(26 2) is 12
(22 2) is 10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Idk how to do save but have the map was doing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</si>
  <si>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Anuken-Mindustry-3848</t>
  </si>
  <si>
    <t>Logic processor string compare is broken</t>
  </si>
  <si>
    <t>**Steps to reproduce**:
was using logic processors to try to make lancers shoot where shooting. also have message block attached for debugging, so tried to check the type of the link, and see if the link is lancer (turns out it unnecessary because messages will just ignore the shoot command, but the bug is still there). The issue is that if typ not lancer always returns true, even when the message output clearly says lancer
To see this in-game, create logic processor and connect it to lancer and message box, then use this script:
radar player any any distance this ply
sensor ax ply shootX
sensor ay ply shootY
sensor shooting ply shooting
sensor typ lnk type
jump 11 notEqual typ lancer
control shoot lnk ax ay shooting
jump lessThan links
**Link(s) to mod(s) used**: No mods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</si>
  <si>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commons-app-apps-android-commons-4086</t>
  </si>
  <si>
    <t>Crash when tapping on the nearbyNotification in Contributions activity</t>
  </si>
  <si>
    <t>In new UI when click on the nearbyNotification content app crash
**Steps to reproduce:**
**Go to Contributions
click on the
Screenshot fr free nrw commons beta (https: 65972015
Add logcat files here (if possible).
**Device and Android version:**
Android device:Redmi y3
**Commons app version:**
**Would you like to work on the issue?**
Please let us know whether you want to fix the issue by yourself. If not, anyone can get the issue assigned to them.</t>
  </si>
  <si>
    <t>gsantner-markor-1149</t>
  </si>
  <si>
    <t>View/Edit-Mode switch changes cursor position</t>
  </si>
  <si>
    <t>#### General information
After going back from View Mode to Edit, Markor goes to the beginning of the text and not to the same text section that was being worked on in Edit mode.
#### How to reproduce
1. open some long text file in edit mode, go to the middle
2. switch to view mode
3. you re now at the beginning of the text
4. switch back to edit mode
5. you re back at the section that you were editing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</si>
  <si>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Anuken-Mindustry-3839</t>
  </si>
  <si>
    <t>Inconsistant block sizes reported as an issue with loading a mod, leading to a crash.</t>
  </si>
  <si>
    <t>so reduced the size to 16, and then upon placing it, got crash with this error message
reduced again to 14 and it worked
**Steps to reproduce**: have block size above 16, load, see the content error warning, change the size to 16, get the crash upon placing the object
**Link(s) to mod(s) used**: https: github.com LottieVixen bigger-display
Mindustry has crashed. How unfortunate.
36 Mods: 2xconveyors:0.2, Final Major Update, anuke-logic:1.7.0, dev-mode:2.3.2, hackustry:3.3.zip, larger-cores:1.0, ldb:1.1.0, pictologic:1.5.3, pixelcraft:0.9.2, revision:5.2, test:0.1, ui-lib:2.16.4, vanilla-upgraded: white 3.0, orange production- white mod:3.6.8, copper-generator:1, hypertech:2.82, the-teleport:0.1, uranium-mod:1.5, white lead-industri pink es:1.4, braindustry:1.4, cheat-power:1, cumdustry:0.0.1, hackforall:0.1, routorio:2.35.4, rtfm:2.13.3, t4-processor:1.0, testmod:1.1.1
**I have updated to the latest release (https: github.com Anuken Mindustry releases) to make sure my issue has not been fixed.**
**I have searched the closed and open issues to make sure that this problem has not already been reported.**</t>
  </si>
  <si>
    <t>Blankj-AndroidUtilCode-1388</t>
  </si>
  <si>
    <t>LogUtils.w crash</t>
  </si>
  <si>
    <t>AndroidUtilCode utilcodex 1.29.0
Disposable disposable refreshClubList()
throwable -&gt; refreshClubList exception</t>
  </si>
  <si>
    <t>nextcloud-android-7621</t>
  </si>
  <si>
    <t>Anuken-Mindustry-3835</t>
  </si>
  <si>
    <t>Power node visual bug</t>
  </si>
  <si>
    <t>that disappear after you double click the node
**Steps to reproduce**:
1. Hover on node:
2. Double click on the node (when you dont have mouse on the node the power display resets)
3. Hover off the node:
4. Hover on the node and double click it:
The orange bar doesnt display:
saw the issue posted earlier but the user didnt give much info about it*
**Link(s) to mod(s) used**: *None*
If you remove the line above without reading it properly and understanding what it means, will reap your soul. Even if you re playing on someone server, you can still save the game to slot.
**(Crash) logs**: *Issue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</si>
  <si>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Anuken-Mindustry-3834</t>
  </si>
  <si>
    <t>Interplanetary crash</t>
  </si>
  <si>
    <t>Steam build 121
**Steps to reproduce**: *How you happened across the issue, and what exactly you did to make the bug happen.*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</si>
  <si>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commons-app-apps-android-commons-4081</t>
  </si>
  <si>
    <t>App is crash when Backbutton is pressed</t>
  </si>
  <si>
    <t>App is crash when we are at page and then backButton is pressed
**Steps to reproduce:**
What did you expect the app to do, and what did you see instead?
App does not crash we backbutton pressed
**Device and Android version:**
Android Device :Redmi
**Commons app version:**
20201207 115241 (https: 65972015
**Would you like to work on the issue?**
Please let us know whether you want to fix the issue by yourself. If not, anyone can get the issue assigned to them.</t>
  </si>
  <si>
    <t>CelesteHackmann-JustWrite-18</t>
  </si>
  <si>
    <t>Fix End Sprint Button</t>
  </si>
  <si>
    <t>Right now the end sprint button results in crash if the user decides to end the sprint early. Fix this bug before moving forward by checking what the result for this activity would be</t>
  </si>
  <si>
    <t>cgeo-cgeo-9509</t>
  </si>
  <si>
    <t>[Nightly] Crash when adding WP from clipboard</t>
  </si>
  <si>
    <t>**Describe the bug:**
Created parking WP in cache yesterday. Tried to copy it via clipboard to another cache today crash.
Cross-checked afterwards with reference point same result.
1. Create WP in any cache
2. Copy WP to clipboard
3. Go to another cache and insert WP from clipboard
**Actual behavior state after performing these steps:**
**Expected behavior state after performing these steps:**
Guess what ...
**Version of c:geo used:**
**Is the problem reproducible:**
Yes at least most of the times.
Before filing the BR, first checked the scenario described above with latest Nightly and most surprisingly it worked.
Ok, thought, has been corrected. Fine. So did the same with the WP, *really* wanted to copy ... crash.
So it may possibly take some attempts to reproduce ... see logcat.txt (https: github.com cgeo cgeo files 5649729 logcat 2020-12-06 23-50.txt) for details.
--- System information ---
Android version: 10
Android build: VOG-L29
Google Play services: disabled 20.45.16 (120400-344294571)
Low power mode: inactive</t>
  </si>
  <si>
    <t>2020-12-06</t>
  </si>
  <si>
    <t>cgeo-cgeo-9508</t>
  </si>
  <si>
    <t>Crash on starting navigation</t>
  </si>
  <si>
    <t>While debugging for #9463 ve stumbled upon another crash:
Steps to reproduce:
open cache from cache list
select navigate map from action bar
c:geo crashes and returns to cache list</t>
  </si>
  <si>
    <t>Anuken-Mindustry-3820</t>
  </si>
  <si>
    <t>Green Stripes</t>
  </si>
  <si>
    <t>with light green stripes.
**Steps to reproduce**: The bug occurred while loading the game. The game did not crash.
**Link(s) to mod(s) used**: No mods installed or used.
If you remove the line above without reading it properly and understanding what it means, will reap your soul. Even if you re playing on someone server, you can still save the game to slot. **I understanding**
**(Crash) logs**: It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</si>
  <si>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Anuken-Mindustry-3819</t>
  </si>
  <si>
    <t>Multiplayer Problem</t>
  </si>
  <si>
    <t>**Steps to reproduce**: *I downloaded free version of Mindustry, and found that it doesn have some settings in Limit and Public Game Visibility. Also and my friend uninstall the game and reinstall the game. updated to 121 and nothing changed.*
**Link(s) to mod(s) used**: *I don use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</si>
  <si>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Anuken-Mindustry-3816</t>
  </si>
  <si>
    <t>**Platform** android*120.4*this*what*happen*i*was*on*a*sector*and*i*was*going*to*the*sector*that*has*a*name*and*this*happens*to*all*of*them*except*not*the*has*number*and*my*gmae*crashed*and*i*lost*everything*in*the*sector*that*i*was*in.</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</si>
  <si>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yes **I have updated to the latest release (https: github.com Anuken Mindustry releases) to make sure my issue has not been fixed.**
yes **I have searched the closed and open issues to make sure that this problem has not already been reported.**</t>
  </si>
  <si>
    <t>ElderDrivers-EdXposed-711</t>
  </si>
  <si>
    <t>[BUG] Camera app issue</t>
  </si>
  <si>
    <t>** What happened?**
Camera app crashes when edxposed is installed
**Xposed Xposed Module List**
Jasi Patcher (disabled)
**Magisk Magisk Module List**
**EdXposed Riru Versions of EdXposed and Riru**
** Logcat Logcat**
log It can help us to locate issue, must use our logcat module</t>
  </si>
  <si>
    <t>cgeo-cgeo-9500</t>
  </si>
  <si>
    <t>[Nightly] Crash on change of routing strategy</t>
  </si>
  <si>
    <t>**Describe the bug:**
While route to cache was active, wanted to change routing strategy from car to walk using the new quick settings immediate crash of cgeo was the result. In fact currently can not change the routing strategy anymore.
1. Route to any cache
2. Tap new settings icon
3. Change routing from car to walk
4. Tap outside of quick settings popup
**Actual behavior state after performing these steps:**
cgeo crashes and restarts
**Expected behavior state after performing these steps:**
Change of routing strategy, recalculation and display of new route
**Version of c:geo used:**
**Is the problem reproducible:**
--- System information ---
Android version: 10
Android build: VOG-L29
Google Play services: disabled 20.45.16 (120400-344294571)
Low power mode: inactive
Compass capabilities: yes
Rotation vector sensor: present
Orientation sensor: present</t>
  </si>
  <si>
    <t>Anuken-Mindustry-3814</t>
  </si>
  <si>
    <t>Alpha's, Beta's, and Gamma's damage stat incorrect</t>
  </si>
  <si>
    <t>In the core database it says Alpha, Beta, and Gamma weapons do 11 damage, but upon further testing this appears to be incorrect. They do much much less damage. It should only take shots to knock out regular conveyor but upon testing it took over 70 shots just for single conveyor and it still didn break. Testing with other mechs and the damage stat seems accurate, but it way off for regular player ships. even checked to make sure the player damage multiplier in the map rules was 1x and it was.
This is either intentional and it bug in the core database displaying incorrect information, or the database is correct and the players are outputting too little damage. This is frustrating because this whole time thought player ships were mildly useful in combat but they are completely useless in practice.
**Steps to reproduce**: *How you happened across the issue, and what exactly you did to make the bug happen.*
During PVP noticed couldn destroy any opponents conveyors. Conveyors are the weakest block in the game. It says players do 11 damage so knew something was off. Setup custom map with some enemy blocks strewn about and counted how many shots it takes to destroy each block. If you do the math it does not add up for what the core database says Alpha, Beta, Gamma ships do. It says they do 11 damage each but it should say they do more like damage each or whatever it actually is.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</si>
  <si>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Anuken-Mindustry-3813</t>
  </si>
  <si>
    <t>microprocessors cause DC during hosted games with steam</t>
  </si>
  <si>
    <t>**Steps to reproduce**: Simply host or join multiplayer server through steam and place blueprint using microprocessor full of code
**Link(s) to mod(s) used**: No mods used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</si>
  <si>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Anuken-Mindustry-3812</t>
  </si>
  <si>
    <t>Core storage reset</t>
  </si>
  <si>
    <t>**Steps to reproduce**: place vault or container next to full core, start deconstructing the vault container and start reconstructing it before it breaks
**Link(s) to mod(s) used**: have no mods installed or enabled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</si>
  <si>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Anuken-Mindustry-3810</t>
  </si>
  <si>
    <t>Generation of Terrain Broken</t>
  </si>
  <si>
    <t>Here is the preview of what the game SHOULD generate. (In the Editor, Menu&gt;Map Info&gt;Generation)
vs what is actually generated. (Minimap in-game)
Here is another example
There is also lots of weird artifacting, and functions such as mirror and path to spawn do not work properly.
*Core can get buried despite the path to spawn function coming after the generation function, which should guarantee the core is clear.*
*Abnormal right angles.*
**Steps to reproduce**:
1. Make any world.
2. Use the Terrain tool inside of Menu&gt;Map Info&gt;Generation.
3. Go to Play&gt;Custom Game and select the world.
4. Start game in any mode (I tested PvP, Survival, and Sandbox).
5. All of the issues mentioned above will be present.
**Link(s) to mod(s) used**: didn use any mods while doing this, but had deltanedas rtfm and deltanedas cliff enabled. disabled cliff to see if that was the cause of this bug(s) and the bug(s) persisted.
The first pair of screenshots are from this file.
The second pair of screenshots are from this file.
The rest of the screenshots come from one of those two.
Those aren the saves, they are the maps made (exported from the menu in the editor), but every time you generate map based on those it bugs in the same or similar way. Let me know if you need me to upload my exact saves.
**(Crash) logs**: No crash.
*Place an (no spaces) between the brackets to confirm that you have read the line below.*
**I have updated to the latest release (https: github.com Anuken Mindustry releases) to make sure my issue has not been fixed.**</t>
  </si>
  <si>
    <t>2020-12-05</t>
  </si>
  <si>
    <t>Anuken-Mindustry-3808</t>
  </si>
  <si>
    <t>Crash in Fungal Pass MacOS 120.4</t>
  </si>
  <si>
    <t>**Steps to reproduce**: Now when open Fungal Pass it crashes every time now
**Link(s) to mod(s) used**: none
These four files all had the latest date and time:
If you remove the line above without reading it properly and understanding what it means, will reap your soul. Even if you re playing on someone server, you can still save the game to slot.
Mindustry has crashed. How unfortunate.
Report this at https: github.com Anuken Mindustry issues new?labels bug&amp;template bug report.md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</si>
  <si>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Anuken-Mindustry-3807</t>
  </si>
  <si>
    <t>Mouse cursor disappears when near ship</t>
  </si>
  <si>
    <t>**Steps to reproduce**: Play in fullscreen mode, started the campaign, immediately saw the issue.
**Link(s) to mod(s) used**: None
**Save file**: (https: github.com Anuken Mindustry files 5647729
**(Crash) logs**: Game does not crash
**I have updated to the latest release (https: github.com Anuken Mindustry releases) to make sure my issue has not been fixed.**
**I have searched the closed and open issues to make sure that this problem has not already been reported.** have tried to search issues for cursor related issues but can immediately see anything similar.</t>
  </si>
  <si>
    <t>TeamNewPipe-NewPipe-5103</t>
  </si>
  <si>
    <t>"Sorry, something went wrong. REPORT"</t>
  </si>
  <si>
    <t>am using the latest version 0.20.5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Press the play button on any video
1. Press the play button on any video
### Actual behaviour
&lt;!-- Tell us what happens with the steps given above. --&gt;
Sorry, something went wrong. REPORT is overlayed on screen at bottom.
This is apparently comment bug. had checked to SHOW comments and was getting them, or so thought. After unchecking the box for comments and then rechecking it and reopening ap, comments have effectively ceased to exist.
The REPORT button does nothing as ap does not crash. Everything works but the ability to show, or not, comments. was getting comments, but now see this is most likely the actual something wrong... message. In any case this message should be in notifications and not in my face as an overlay blocking normal controls.
### Expected behavior
&lt;!-- Tell us what you expect to happen. --&gt;
read the comments as they are half the content utube offers. Newpipe ability to load comments is broken.
### Device info
Android version Custom ROM version:
Device model: Oneplus 3T global, rooted, fakestore etc.</t>
  </si>
  <si>
    <t>Anuken-Mindustry-3805</t>
  </si>
  <si>
    <t>After opening and closing the Logic interface a unit binding is destroyed</t>
  </si>
  <si>
    <t>**Steps to reproduce**:
1. Place processor
2. Build unit
3. Write some code into the processor that would bind the unit and allow you to see the unit status clearly, for example:
ucontrol approach thisx thisy
4. Close the processor interface
5. Observe the unit being bound and following written instructions
6. Reopen the processor interface and close it again without changing anything in the code
7. Observe how the unit now will stop responding to the processor leaving it in hanging loop state according to the unit tooltip, it has lost it binding some seconds after closing the interface
**Link(s) to mod(s) used**: DeltaNedas rtfm, DeltaNedas ui-lib
**Save file**: Link (https: files.catbox.moe zpoyb9.zip)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</si>
  <si>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Anuken-Mindustry-3803</t>
  </si>
  <si>
    <t>Not seeing players</t>
  </si>
  <si>
    <t>**Steps to reproduce**: *Joining Multiplayer game on Mac OS
**Link(s) to mod(s) used**: *The mod repositories or zip files that are related to the issue, if applicable.*
**Save file**: *Cant get File, Mac OS is way to secure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</si>
  <si>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Anuken-Mindustry-3802</t>
  </si>
  <si>
    <t>Invisible window bug</t>
  </si>
  <si>
    <t>Sometimes when you launch the game it does not appear. You will have to kill the process to make it go away.
**Steps to reproduce**: *How you happened across the issue, and what exactly you did to make the bug happen.*
Launch the game.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</si>
  <si>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Anuken-Mindustry-3798</t>
  </si>
  <si>
    <t>Dropdown UI for Sensor in logic too small</t>
  </si>
  <si>
    <t>*Large first tab:*
**Steps to reproduce**: *Open the logic editor in microprocessor, add Sensor block, click the second input, then click the third tab of the dropdown. Close the dropdown, and reopen it, and it will scale its height to the correct size. If one of the first two tabs is opened, the dropdown will remain large.*
**Link(s) to mod(s) used**: *N A*
**Save file**: (https: github.com Anuken Mindustry files 5647085 was playing in Campaign in Sector 36 at the time of occurrence*
If you remove the line above without reading it properly and understanding what it means, will reap your soul. Even if you re playing on someone server, you can still save the game to slot.
**(Crash) logs**: *N The game did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</si>
  <si>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Anuken-Mindustry-3797</t>
  </si>
  <si>
    <t>Crash on MacOS Big Sur (Intel CPU)</t>
  </si>
  <si>
    <t>Java(TM) SE Runtime Environment 18.9 (build 11.0.1+13-LTS)
**Steps to reproduce**:
Download Mindustry from the GitHub release page
Double click on it
Authorize app in System Preferences, under Privacy
Reopen the app
It launches and then crashes immediately afterward
**Link(s) to mod(s) used**: No mods used
**Save file**: Not applicable
**Crash logs**: Java Crash log (https: hasteb.in robowiya.rb)
**I have updated to the latest release (https: github.com Anuken Mindustry releases) to make sure my issue has not been fixed.**
**I have searched the closed and open issues to make sure that this problem has not already been reported.**</t>
  </si>
  <si>
    <t>cgeo-cgeo-9493</t>
  </si>
  <si>
    <t xml:space="preserve">Live Map crashes </t>
  </si>
  <si>
    <t>**Describe the bug:**
Today the OSM live map crashed about times with following exception. would guess this is regression as never noticed it before...
FATAL EXCEPTION: main</t>
  </si>
  <si>
    <t>Anuken-Mindustry-3782</t>
  </si>
  <si>
    <t>UUID duplication</t>
  </si>
  <si>
    <t>**Steps to reproduce**: It just what my UUID is
**Link(s) to mod(s) used**: Not applicable
**Save file**: Not applicable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</si>
  <si>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2020-12-04</t>
  </si>
  <si>
    <t>nextcloud-android-7607</t>
  </si>
  <si>
    <t>[Dev] App crashes when changing theme</t>
  </si>
  <si>
    <t>### Steps to reproduce
1. Launch the app.
2. Select Media
3. Select Settings
4. Change the app theme.
********** CAUSE OF ERROR **********
********** APP INFORMATION **********
Build flavor: versionDev
### Environment data
Android version: 10
Nextcloud app version: dev 20201203</t>
  </si>
  <si>
    <t>Anuken-Mindustry-3778</t>
  </si>
  <si>
    <t>Unable to Passively Export Stockpiled Resources</t>
  </si>
  <si>
    <t>**Steps to reproduce**: Have sector use the launch pad to send resource to sector B. In sector B, have only an unloader from the core and launch pad to sector (and power). If you watch sector you ll see the resources being launched, and will be able to go use them in sector C. However if you go to the planet map and check info, Sector will show nothing for current exports. Also, if you focus on sector no resources will trickle in they only get launched while focus is actually on sector B.
**Link(s) to mod(s) used**: No mods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</si>
  <si>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Anuken-Mindustry-3774</t>
  </si>
  <si>
    <t>Game crash</t>
  </si>
  <si>
    <t>By logging in on v6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</si>
  <si>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Ninjaman494-Hanji-Android-App-46</t>
  </si>
  <si>
    <t>Intermittent crashes caused by stopped activities trying to open a dialog</t>
  </si>
  <si>
    <t>After closing an activity (pressing back, closing app, etc.), fragment on this closed activity may try to open, which causes an Illegal State Exception. The most common scenario is when user search comes up empty and they close the app before the dialog displays.
All dialogs in the app should first check if they re allowed to open before opening. This could be handled by custom open method.</t>
  </si>
  <si>
    <t>Ninjaman494-Hanji-Android-App-45</t>
  </si>
  <si>
    <t>Having Determiner Past as a favorite causes crashes on adjectives</t>
  </si>
  <si>
    <t>Determiner Past is conjugation that only available for verbs. If user has Determiner Past favorited, this will cause null pointer exception when viewing adjectives because the conjugation doesn exist.</t>
  </si>
  <si>
    <t>nextcloud-android-7600</t>
  </si>
  <si>
    <t>App crashes while synchronization</t>
  </si>
  <si>
    <t>### Steps to reproduce
1. Change some folders in the server.
2. Try to sync on the phone.
### Expected behaviour
The changes of the server should now be synchronized on the phone.
### Actual behaviour
The old state of any folders or Files is shown in the app and while trying to synchronize the app crashes.
************ CAUSE OF ERROR ************
************ APP INFORMATION ************
Build flavor: generic
************ DEVICE INFORMATION ************
************ FIRMWARE ************</t>
  </si>
  <si>
    <t>Anuken-Mindustry-3771</t>
  </si>
  <si>
    <t>Green stripes on the screen</t>
  </si>
  <si>
    <t>**Steps to reproduce**: *I just launched the game.*
**Link(s) to mod(s) used**: *No mods.*
**(Crash) logs**: *Not crash so no crash log.*
**I have updated to the latest release (https: github.com Anuken Mindustry releases) to make sure my issue has not been fixed.**
**I have searched the closed and open issues to make sure that this problem has not already been reported.**</t>
  </si>
  <si>
    <t>Anuken-Mindustry-3770</t>
  </si>
  <si>
    <t>Random black stuff appearing in editor</t>
  </si>
  <si>
    <t>random black stuff appear in editor when placing core then pressing undo
**Steps to reproduce**: *How you happened across the issue, and what exactly you did to make the bug happen.*
It happens when you place any core block then pressing undo button it only happens if you place the core between blocks and in empty space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</si>
  <si>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Anuken-Mindustry-3769</t>
  </si>
  <si>
    <t>Enemy land Guardians units cause stuck any other land units on enemy base</t>
  </si>
  <si>
    <t>**Steps to reproduce**:
1. starting sector 69
2. play until Guardian appears
3. see how High tier unit stuck in enemy wall preventing any other ground units to move.
**Link(s) to mod(s) used**: ----
They stopped on yellow rectangle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</si>
  <si>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Anuken-Mindustry-3763</t>
  </si>
  <si>
    <t>Sorter and overflow class transportation blocks still practically instantly move items.</t>
  </si>
  <si>
    <t>Sorters and overflows practically instantly sort items
**Steps to reproduce**: *How you happened across the issue, and what exactly you did to make the bug happen.*
1. Go to sandbox and put anything through sorter overflow class transportation block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am 100% sure that other people have this glitch. Just look at your own game if you don believe me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Search terms: Sorter, Sorter instant, Overflow instant</t>
  </si>
  <si>
    <t>Anuken-Mindustry-3761</t>
  </si>
  <si>
    <t xml:space="preserve">Fix the constant test failures for pr's in Mindustry </t>
  </si>
  <si>
    <t>No matter what, the compilation test will always report failure
**Steps to reproduce**: *How you happened across the issue, and what exactly you did to make the bug happen.*
1. Make pull request (preferably one written correctly)
2. Wait few minutes for the tests to complete
3. The test will fail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Doesn happen in game or multiplayer
If you remove the line above without reading it properly and understanding what it means, will cut or gather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</si>
  <si>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Anuken-Mindustry-3760</t>
  </si>
  <si>
    <t>Cannot Create T5 Units in Campaign</t>
  </si>
  <si>
    <t>**Steps to reproduce**: Create unit in the exponential reconstructor in the campaign and place payload conveyor adjacent to the output. Such setup is found in sector 148 in the save.
**Link(s) to mod(s) used**: No mods were used.
**(Crash) logs**: The game does not crash from this issue.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</si>
  <si>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Anuken-Mindustry-3758</t>
  </si>
  <si>
    <t>Android - mods not found after restart</t>
  </si>
  <si>
    <t>**Steps to reproduce**: After importing mods eg example mod whether via GitHub or zip file
**Link(s) to mod(s) used**:example mod, vanilla enhanced
If you remove the line above without reading it properly and understanding what it means, will reap your soul. Even if you re playing on someone server, you can still save the game to slot. Please don reap my soul -)
**(Crash) logs**: Nothing has crashed really..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This may have been reported already but can find it on the closed active in GitHub. Sorry if it already has!</t>
  </si>
  <si>
    <t>2020-12-03</t>
  </si>
  <si>
    <t>Anuken-Mindustry-3756</t>
  </si>
  <si>
    <t xml:space="preserve">Crash Occurred with Steam Generator and Reconstruction </t>
  </si>
  <si>
    <t>**Steps to reproduce**: *By putting blast into the steam generator you are able to get the generator down to sliver of health. when at sliver quickly destroy and rebuild (pausing the destroy). Then, with reconstruction drones around, click on the generator to rebuild. The generator will be rebuilt and destroyed at the same time, which believe crashes the game.*
*Another way is to just let the steam generator keep exploding and being rebuilt, eventually the game will crash for believe the same reason above.*
**Save file**: Link to Google Drive folder with both Crash Logs and Save data (https: drive.google.com drive folders sharing)*
**(Crash) logs**: Link to Google Drive folder with both Crash Logs and Save data (https: drive.google.com drive folders sharing)*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</si>
  <si>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Anuken-Mindustry-3754</t>
  </si>
  <si>
    <t>More waves with no enemy bases</t>
  </si>
  <si>
    <t>**Steps to reproduce**: *go into campaign and hop into sector without an enemy base, for me, it sector 175, and leave and come back, and you ll get 20 more waves.*
**Link(s) to mod(s) used**: *never used any mods*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</si>
  <si>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Anuken-Mindustry-3752</t>
  </si>
  <si>
    <t>discord stream + dragged sorters = game crash</t>
  </si>
  <si>
    <t>**Steps to reproduce**: start streaming the game on discord then place row of sorters set to anything
If you remove the line above without reading it properly and understanding what it means, will reap your soul. Even if you re playing on someone server, you can still save the game to slot.
**(Crash) logs**: it says no crash logs found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</si>
  <si>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Anuken-Mindustry-3750</t>
  </si>
  <si>
    <t>Game went black - Not solved by previous issue closure</t>
  </si>
  <si>
    <t>release build 120.3
While playing Ruinous Shores, the screen zoomed out until everything was black, but the UI was present. This also affected Frozen Forest, which didn even zoom, it just loaded in like that. All other areas are still normal. tried exporting my game data, resetting the game data, then importing the data back in, but the issue persisted. Resetting the game data and starting new game does not have this issue, it seems to only be with my save file. ve also tried reinstalling the game and clearing the data in the app settings but the issue persisted when reimported my game data.
**Steps to reproduce**: *How you happened across the issue, and what exactly you did to make the bug happen.*
was playing Ruinous Shores, just finished wave and this happened. Not sure if this is reproducible, but can provide my game data as sure the issue will be present when the data is imported.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</si>
  <si>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Anuken-Mindustry-3749</t>
  </si>
  <si>
    <t>UI is covered on iPhone XR</t>
  </si>
  <si>
    <t>Steps to reproduce: Just run an app on iPhone and up...
Link(s) to mod(s) used: No mods used.
Save file: Not needed.
(Crash) logs: Game does not crash</t>
  </si>
  <si>
    <t>Anuken-Mindustry-3748</t>
  </si>
  <si>
    <t>UI not visible on iPhone XR</t>
  </si>
  <si>
    <t>**Steps to reproduce**: *Just run an app on iPhone and up...*
**Link(s) to mod(s) used**: *No mods used.*
**Save file**: *Not needed.*
**(Crash) logs**: *Game does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</si>
  <si>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Anuken-Mindustry-3746</t>
  </si>
  <si>
    <t>Kaviaki. Crash</t>
  </si>
  <si>
    <t>**Steps to reproduce** *I cant remember how did it, but just playing the campain like everyone does*
**Link(s) to mod(s) used**: *0*
**Save file**: *I cant, my crash happens in the campain, in Overgrowth*
**(Crash) logs**: *Mindustry has crashed. How unfortunate.
Report this at https: github.com Anuken Mindustry issues new?labels bug&amp;template bug report.md
NullPointer: Attempt to invoke virtual method int on null object reference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</si>
  <si>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Anuken-Mindustry-3745</t>
  </si>
  <si>
    <t>I have android sistem and the Game version is release build 120.3 and I have a problem with the game specifically with the music does not sound anything any of the sounds I do not know why?</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</si>
  <si>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</si>
  <si>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Anuken-Mindustry-3744</t>
  </si>
  <si>
    <t>Floating window's crash</t>
  </si>
  <si>
    <t>**Steps to reproduce**: *I opened the game. Then went to the apps menu. Then tried to display it as floating window, but the game ended. But with split screen everything is fine*
**Link(s) to mod(s) used**: *Original from Google Play*
**Save file**: *The game also crashes when try to output file with an crash logs. If this item is about the map in the game, then this problem is in any part of the game*
**Crash report**: *The game also crashes. But can to send Xiaomi crashtext.*
When try to output crashlog:
Caused by: Error writing file: document raw: storage emulated Download (absolute)
Caused by: document raw: storage emulated Download open failed: ENOENT (No such file or directory)
... 10 more
... 12 more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</si>
  <si>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Anuken-Mindustry-3743</t>
  </si>
  <si>
    <t>gradlew desktop:run</t>
  </si>
  <si>
    <t>Anuken-Mindustry-3742</t>
  </si>
  <si>
    <t>My chash</t>
  </si>
  <si>
    <t>Mindustry has crashed. How unfortunate.
Report this at https: github.com Anuken Mindustry issues new?labels bug&amp;template bug report.md
NullPointer: Attempt to invoke virtual method int on null object reference</t>
  </si>
  <si>
    <t>Anuken-Mindustry-3741</t>
  </si>
  <si>
    <t>Error kicked my out of a server</t>
  </si>
  <si>
    <t>Got an error see screenshot
**Steps to reproduce**: *How you happened across the issue, and what exactly you did to make the bug happen.*
Was at random don know how to reproduce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Don know how to upload file on mobile github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How do get crash report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</si>
  <si>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Anuken-Mindustry-3739</t>
  </si>
  <si>
    <t>Coal on Plastanium Conveyor use Copper texture</t>
  </si>
  <si>
    <t>**Steps to reproduce**: Place Coal on Plastanium Conveyor
**Link(s) to mod(s) used**: No mods
**Crash report**: *The contents of relevant crash report files. REQUIRED if you are reporting crash.*
Coal in copper (https: 75429002
Coal in Copper1 (https: 75429002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</si>
  <si>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tradle-react-native-udp-147</t>
  </si>
  <si>
    <t>Crash: Attempt to invoke virtual method 'void java.net.DatagramSocket.setReuseAddress(boolean)' on a null object reference</t>
  </si>
  <si>
    <t>App crashes if creating socket object is not successful (object equals to null). This issue is basically copy of #119 as Rapsssito asked to create new one.
## Stack traces
## Steps to reproduce
Probably, you need to create and close sockets on and on. It is really hard to reproduce quickly.
## Current behavior
App crashes on some devices with multiple Android versions. Sometimes the error is Attempt to invoke virtual method void on null object reference but the reason seems to be the same.
## Expected behavior
App does not crash. The solution proposed by rimzici is to surround the code responsible for crashing with try catch block (see the code in his fork: https: github.com telldus react-native-udp blob master android src main java com tradle react However, maybe better idea would be simple null-checking?
## Relevant information
react-native-udp 4.0.4 (but happens on earlier versions, too)
## Occurred on
Galaxy S7 Android
Galaxy S9 Android 10
Galaxy S9+ Android 10
Galaxy S10+ Android 10</t>
  </si>
  <si>
    <t>Anuken-Mindustry-3738</t>
  </si>
  <si>
    <t>Display on iOS iPhone X</t>
  </si>
  <si>
    <t>*The build number under the title in the main menu. Required. LATEST IS NOT VERSION, NEED THE EXACT BUILD NUMBER OF YOUR GAME.*
The display is slightly higher than the real size of the screen can access to all buttons top left of the screen we don see hours and battery charge anymore.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</si>
  <si>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nextcloud-android-7592</t>
  </si>
  <si>
    <t>crash after deleting file from trashbin</t>
  </si>
  <si>
    <t>stefan-niedermann-nextcloud-notes-995</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</si>
  <si>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inside Markdown dokument select all and App crashed
Steps to reproduce the behavior:
&lt;!-- clear and concise description of what you expected to happen. --&gt;
please Lock at stacktrace
&lt;!-- If applicable, add screenshots to help explain your problem. --&gt;
**Smartphone (please complete the following information):**
Nextcloud Notes-Version (android app): 30140090
F-Droid or Play Store:
Nextcloud version: 20.0.2
Nextcloud Notes version (server app):
App Version: 2.17.1
App Version Code: 2017001
App Flavor: fdroid</t>
  </si>
  <si>
    <t>TeamNewPipe-NewPipe-5088</t>
  </si>
  <si>
    <t>Could not parse json data for comments</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</si>
  <si>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trying to scroll comments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Comments should be fetched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</si>
  <si>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TeamNewPipe-NewPipe-5087</t>
  </si>
  <si>
    <t>App crash, UI failure when searching and playing</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</si>
  <si>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search
2. Press on video
3. Bang! It crashed
&lt;!-- If you can cause the bug to show up again reliably (and hence don have proper set of steps to give us), please still try to give as many details as possible on how you think you encountered the bug. --&gt;
### Actual behaviour
&lt;!-- Tell us what happens with the steps given above. --&gt;
Nothing unusual, trying to play the video from search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</si>
  <si>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Anuken-Mindustry-3733</t>
  </si>
  <si>
    <t>Game went black</t>
  </si>
  <si>
    <t>Anuken-Mindustry-3731</t>
  </si>
  <si>
    <t xml:space="preserve">User Interface </t>
  </si>
  <si>
    <t>**Steps to reproduce**: Boot up the game normally
**Link(s) to mod(s) used**: None
**Save file**: Happens everywhere, including main screen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</si>
  <si>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Anuken-Mindustry-3730</t>
  </si>
  <si>
    <t>Core Database/Block Info discrepancies b120</t>
  </si>
  <si>
    <t>**Steps to reproduce**: Check core database block info
**Link(s) to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Does not save, as you can access the database without starting to play.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</si>
  <si>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aws-amplify-amplify-android-1022</t>
  </si>
  <si>
    <t>[Flutter support] Turning network off in a datastore app crashes it.</t>
  </si>
  <si>
    <t>When flutter datastore app loses network connection, it crashes with the errors in the attached logs
Starting the app in no network state causes these errors and bringing network back doesn start the subscriptions.</t>
  </si>
  <si>
    <t>nextcloud-android-7590</t>
  </si>
  <si>
    <t>Video stream playback crash</t>
  </si>
  <si>
    <t>### Steps to reproduce
1. open Video inside the App for streaming (not downloaded)
### Expected behaviour
the Video should stream
### Actual behaviour
option 1. Video streams for few seconds then the screen turns fully black and the APP crashes.
Option 2. Video streams if you tap the screen it turns black, it took few seconds than the Video starts again and the the APP crashes.
### Can you reproduce this problem on https: try.nextcloud.com?
--&gt; Yes, connected the test server via app password. Same result.
Reinstallation and or storage space and cache clean didn help.
#### Web server error log
not an server related issue
#### Nextcloud log (data nextcloud.log)
************ CAUSE OF ERROR ************
************ APP INFORMATION ************
Build flavor: generic
same happens with the 3.13.1 RC2 Version
************ DEVICE INFORMATION ************
same happens with another Samsung device.
************ FIRMWARE ************</t>
  </si>
  <si>
    <t>TeamNewPipe-NewPipe-5076</t>
  </si>
  <si>
    <t>Newpipe crashes after running in the background for a while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</si>
  <si>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0.20.5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Open video playlist in the background to listen to
2. Open another app
3. After 5+ minutes NewPipe crashes
&lt;!-- If you can cause the bug to show up again reliably (and hence don have proper set of steps to give us), please still try to give as many details as possible on how you think you encountered the bug. --&gt;
### Actual behaviour
&lt;!-- Tell us what happens with the steps given above. --&gt;
NewPipe crashes and gives crash report when opened
### Expected behavior</t>
  </si>
  <si>
    <t>2020-12-02</t>
  </si>
  <si>
    <t>cgeo-cgeo-9488</t>
  </si>
  <si>
    <t>New crashes in current release 2020.11.22</t>
  </si>
  <si>
    <t>According to Play Console we still have (relatively) high number of crashes in our current release. ve filtered out those marked as new in 2020.11.22 release and having at least five occurrences. ll put them into single issue for now to get an overview and to see which ones are connected may be split up later, if needed.
There are four database-related crashes, and five others:
## Database related
This includes https: github.com cgeo cgeo issues</t>
  </si>
  <si>
    <t>opensrp-opensrp-client-chw-1605</t>
  </si>
  <si>
    <t>App closing after submitting ANC visit</t>
  </si>
  <si>
    <t>Latest DRC production release shared (v1.0.2 build date Dec 2020)
Steps to replicate:
Locate an ANC woman with due home visit
Complete and save the home visit
The app closes and you re returned to the device home screen. don think the app crashes though, because you don have to log in again.</t>
  </si>
  <si>
    <t>akshat46-Boreas-25</t>
  </si>
  <si>
    <t>App crashes if message sent in OneOnOne after NearbyList is initialized</t>
  </si>
  <si>
    <t>name MonginFremon, latitude 37.30098833333333, password :b uid longitude -122.03862, privateKey
name MonginFremon, latitude 37.30098833333333, password :b uid longitude -122.03862, privateKey
open the app
go to nearbylistfragment
go back to oneononefragment
click on contact
send message to contact</t>
  </si>
  <si>
    <t>ModdingFox-OpenFuraffinityClient-87</t>
  </si>
  <si>
    <t>Fix to deleted submission crash. Added username as optional for post list management</t>
  </si>
  <si>
    <t>ModdingFox-OpenFuraffinityClient-86</t>
  </si>
  <si>
    <t>Deleted submissions cause crash</t>
  </si>
  <si>
    <t>Found that when opening favorites management fragment that deleted submissions cause crash. This is due to the post link being missing.</t>
  </si>
  <si>
    <t>Anuken-Mindustry-3723</t>
  </si>
  <si>
    <t>Mindustry crashes while starting up</t>
  </si>
  <si>
    <t>Cant start up game. game closes when its loading V6. previous version had no problems at all.
**Steps to reproduce**: *How you happened across the issue, and what exactly you did to make the bug happen.*
Starting up game. it loads till get error message. V6. btw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Mindustry has crashed. How unfortunate.
Report this at https: github.com Anuken Mindustry issues new?labels bug&amp;template bug report.md
Caused by: Error loading pixmap: Corrupt JPEG
... 16 more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</si>
  <si>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nextcloud-android-7582</t>
  </si>
  <si>
    <t>Error when play remote video</t>
  </si>
  <si>
    <t>### Steps to reproduce
1. Bitrate 50Mb
### Expected behaviour
Tell us what should happen
### Actual behaviour
App random crashes when play high bitrate video.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
************ APP INFORMATION ************</t>
  </si>
  <si>
    <t>Anuken-Mindustry-3704</t>
  </si>
  <si>
    <t>Game Crashes Randomly</t>
  </si>
  <si>
    <t>**Steps to reproduce**: Sometimes when click on campaign and choose where want to go and click Launch the game crashes. Can happen in custom mode too, not that often.
**Link(s) to mod(s) used**: No mods, fresh install.
**Save file**: No saves when crash.
**Crash report**: hs pid error (one appears when close normally for some reason)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</si>
  <si>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2020-12-01</t>
  </si>
  <si>
    <t>nextcloud-android-7577</t>
  </si>
  <si>
    <t>Gplay app crash: webm browse</t>
  </si>
  <si>
    <t>### Steps to reproduce
1. Try to browse webm files in the app, swiping left and right
2. Get few webms, then crash with the report at the bottom of this issue
### Expected behaviour
### Actual behaviour
-this app was recently updated, before, didn have any problems with the same files. Server version same between upgrades.
### Environment data
See the log at the end
************ CAUSE OF ERROR ************
************ APP INFORMATION ************
Build flavor: gplay
************ DEVICE INFORMATION ************
************ FIRMWARE ************</t>
  </si>
  <si>
    <t>Anuken-Mindustry-3702</t>
  </si>
  <si>
    <t>**Steps to reproduce**: **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Mindustry has crashed. How unfortunate.
18 Mods: dev-mode:2.3.1, rtfm:2.10.4, :1, cheat-block:1, cobalt-mod:1.0, example-mod:1, hacker-tools:2.0.0, multi-lib:1.4.7, opore-mod:63, shadow-mod:1.09.4, stalloblast:3.1, steam-power:1.6, diamond-ore: #9cb6f4 2.0.2 goldmod:2.0 alpha b4, routorio:2.34.5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</si>
  <si>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Anuken-Mindustry-3694</t>
  </si>
  <si>
    <t>LAUNCH PADS NOT LAUNCHING BETWEEN SECTORS AS I PLAY</t>
  </si>
  <si>
    <t>**Steps to reproduce**: *How you happened across the issue, and what exactly you did to make the bug happen.* have this sector 101 that has plane logo, this sector is modded with hackustry back in beta days but it is turned off while am playing when encountered this bug since used it once, while the other sectors are completely clean. Lately, updated my game to build 120 and started new sector to capture. What always do as capture sector is, start the sector go to the sector 101 click the launch pad the select the sector destination go back to that sector destination and wait for resources to go to core and fill it, so can jumpstart my progress. But it didn go as expected, because before updated to 120, it is working fine, but it is now stopped working and assume it is bug of the new update. The bugged sector is 153, near planetary launch terminal.
**Link(s) to mod(s) used**: *The mod repositories or zip files that are related to the issue, if applicable.* https: github.com QmelZ Hackustry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</si>
  <si>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Anuken-Mindustry-3693</t>
  </si>
  <si>
    <t>windows 7 Previously v5 was running, but v6 is not running...</t>
  </si>
  <si>
    <t>nextcloud-android-7575</t>
  </si>
  <si>
    <t>player mp4 format video crash</t>
  </si>
  <si>
    <t>Anuken-Mindustry-3690</t>
  </si>
  <si>
    <t xml:space="preserve">Borderless setting misalignment </t>
  </si>
  <si>
    <t>**Steps to reproduce**: Compare borderless setting to fullscreen.
**Link(s) to mod(s) used**: None.
**Save file**: It setting from main menu so no save.
**Crash report**: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</si>
  <si>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onaio-rdt-standard-641</t>
  </si>
  <si>
    <t xml:space="preserve">App crash </t>
  </si>
  <si>
    <t>Fatal Exception: Failed resolution of: Ljava time format DateTimeFormatter
Operating System: Version: 7.1.2</t>
  </si>
  <si>
    <t>onaio-rdt-standard-640</t>
  </si>
  <si>
    <t xml:space="preserve">App crashes </t>
  </si>
  <si>
    <t>Operating System: Version: 7.1.2</t>
  </si>
  <si>
    <t>adamhh-450Group8-143</t>
  </si>
  <si>
    <t>Chat: App crashes if interact with a "non-existed" connection</t>
  </si>
  <si>
    <t>When user is removed from chat room, the information of the room will be updated (E.g: who currently in the room). However, due to the slow response from server, it might take bit of time till an application shows correct information.
When that non-existed user is chosen (since the application hasn been updated), the app will crash.</t>
  </si>
  <si>
    <t>2020-11-30</t>
  </si>
  <si>
    <t>Anuken-Mindustry-3678</t>
  </si>
  <si>
    <t>2 Mindustrys running</t>
  </si>
  <si>
    <t>It happened when updating 20111 -&gt; 20141 and 20141 -&gt; 20148
Updating to the latest build causes the old Mindustry build to freeze and launch the new build. So have running Mindustrys, but the old one never closes itself. If you exit the game its window disappears but it still runs in the background. Waited 10 minutes and the old Mindustry never closed itself. This started happening recently within the last few days. tested this with older builds and this does not occur, only in recent builds.
**Steps to reproduce**: *How you happened across the issue, and what exactly you did to make the bug happen.*
Update Mindustry. When it finishes updating it will freeze. You cannot even click the cancel button. Next, press ctrl alt delete then open your task manager and you ll see Mindustrys open, but only window open. Click on that window and you ll see it the new Mindustry. The old Mindustry window disappeared but the application is still running strong in the background consuming ram and cpu. The old Mindustry will not close unless you end task it in the task manager.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The game never crashed and no crash reports were generated :(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</si>
  <si>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popcorn-official-popcorn-android-724</t>
  </si>
  <si>
    <t>Google TV: PT crashes when using Google Assistant</t>
  </si>
  <si>
    <t>## Describe the bug
Popcorn Time crashes when trying to use Google Assistant to search.
## To Reproduce
Steps to reproduce the behavior:
1. Go to search in PT on Chromecast with Google TV device
2. Click on the input textbox
3. Press and hold for Google Assistant button on your remote to enter text by speech
4. Google Assistant is writing on the input textbox correctly but few seconds later it crashes and restarts
## Expected behavior
Show search list
Device: Chromecast with Google TV
OS: Android TV
Version: 181 dev</t>
  </si>
  <si>
    <t>aws-amplify-amplify-android-1010</t>
  </si>
  <si>
    <t>Unable to acquire orchestrator lock. Transition currently in progress.</t>
  </si>
  <si>
    <t>While creating M:N relationships, get an error:
Unable to acquire orchestrator lock. Transition currently in progress.
jamesonwilliams suggested work-around to require DataStore. READY event to be set before relationship creation. We agreed the work-around shouldn be necessary.
When run this code:
Content content Content.builder()
.body( Hello from Android13
Tag tag Tag.builder()
.label( Test 123123-12313
Log.i( MyAmplifyApp Content saved.
Log.i( MyAmplifyApp Tag saved.
saved -&gt; Log.i( MyAmplifyApp ContentTag saved. ),
failure -&gt; Log.e( MyAmplifyApp ContentTag not saved. failure)
failure -&gt; Log.e( MyAmplifyApp Tag not saved. failure)
failure -&gt; Log.e( MyAmplifyApp Content not saved. failure)
get this crash:
DataStoreException message Unable to acquire orchestrator lock. Transition currently in progress., cause null, recoverySuggestion Retry your request</t>
  </si>
  <si>
    <t>opensrp-opensrp-client-chw-1601</t>
  </si>
  <si>
    <t>Investigate app crashing/logging out after p2p sync on the supervisor app</t>
  </si>
  <si>
    <t>As reported by the client. This issue is persisting even after the fix applied in this issue: https: github.com OpenSRP opensrp-client-chw issues 1584</t>
  </si>
  <si>
    <t>Anuken-Mindustry-3663</t>
  </si>
  <si>
    <t>Bleeding edge crash on update</t>
  </si>
  <si>
    <t>Every time update Bleeding Edge, have to deal with Mindustry crashing. have to reopen it again to make it work. The old tab eventually gets the Mindustry is not responding from windows, and close it.
**Steps to reproduce**: *How you happened across the issue, and what exactly you did to make the bug happen.*
Update BE on my device.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Not bug while playing.
If you remove the line above without reading it properly and understanding what it means, will reap your soul. Even if you re playing on someone server, you can still save the game to slot.
**Crash report**: *The contents of relevant crash report files. REQUIRED if you are reporting crash.*
It didn output crash report.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</si>
  <si>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proyecto26-react-native-inappbrowser-218</t>
  </si>
  <si>
    <t>Getting Crash while opening "Http://www.google.com"</t>
  </si>
  <si>
    <t>### Make sure to check the demo app(s) for sample usage
Checked the demo app. its crashing
### Make sure to check the existing issues in this repository
### If the demo apps cannot help and there is no issue for your problem, tell us about it
Please, ensure your title is less than 63 characters long and starts with capital
### Which platform(s) does your issue occur on?
iOS Android Both
iOS Android versions
emulator or device. What type of device?
Getting crash on Android device only
### Please, provide the following version numbers that your issue occurs with:
CLI: (run react-native --version to fetch it)
Plugin(s): (look for the version numbers in the package.json file of your
project and paste your dependencies and devDependencies here)
### Please, tell us how to recreate the issue in as much detail as possible.
Describe the steps to reproduce it.
Download the demo app, open url Http: www.google.com
### Is there any code involved?
provide code example to recreate the problem
(EVEN BETTER) provide .zip with application or refer to repository with application where the problem is reproducible.</t>
  </si>
  <si>
    <t>cgeo-cgeo-9463</t>
  </si>
  <si>
    <t xml:space="preserve">crash when adding current position WP to not offline stored caches </t>
  </si>
  <si>
    <t>**Describe the bug:**
crash when adding current position as WP to an not saved geocache
1. Search for GC40N20 or other GC number (w or waypoints)
2. Swipe left to WP page
3. Click on Add current position
**Actual behavior state after performing these steps:**
**Expected behavior state after performing these steps:**
WP with current postion is created
**Version of c:geo used:**
**Is the problem reproducible:**
If cache is stored, no crash, but WP is created.
Logfile sent to support</t>
  </si>
  <si>
    <t>nextcloud-android-7562</t>
  </si>
  <si>
    <t>Android app crashed</t>
  </si>
  <si>
    <t>************ CAUSE OF ERROR ************
************ APP INFORMATION ************
Build flavor: gplay
************ DEVICE INFORMATION ************
************ FIRMWARE ************
### Steps to reproduce
1. Select pictures
2. Delete them
### Expected behaviour
The app shouldn crash
### Actual behaviour
see above error
### Can you reproduce this problem on https: try.nextcloud.com?
Please create test demo account and see if this still happens there.
If yes, please open up bug report
If not, please verify server setup and ask for help on forum
### Environment data
Android version: current
Device model: pixel 3a
Stock or customized system: stock</t>
  </si>
  <si>
    <t>nitrite-nitrite-java-386</t>
  </si>
  <si>
    <t>Random crashes with exception "Fatal Exception: java.lang.IllegalStateException: Chunk 55267 not found"</t>
  </si>
  <si>
    <t>randomly get below exceptions reported in my android app which uses nitrite 3.3.0.
Fatal Exception: Chunk 55267 not found 1.4.200
Caused by Chunk 55194 not found 1.4.200
reported this issue in h2-database in following issue. The response from them was this could be due to not using and couldn find these methods when searched nitrite code, so this is possibility.
If using and could affect performance, let the uses of nitrite configure whether it could be used or not.</t>
  </si>
  <si>
    <t>nextcloud-android-7561</t>
  </si>
  <si>
    <t>Nextcloud android app keeps crashing</t>
  </si>
  <si>
    <t>### Steps to reproduce
was reading md file.
### Expected behaviour
The app should not have crashed and closed.
### Actual behaviour
The app crashed, closed, and an error message appeared.
************ CAUSE OF ERROR ************
************ APP INFORMATION ************
Build flavor: gplay
************ DEVICE INFORMATION ************
************ FIRMWARE ************</t>
  </si>
  <si>
    <t>Anuken-Mindustry-3659</t>
  </si>
  <si>
    <t>sector exportation bug</t>
  </si>
  <si>
    <t>**Steps to reproduce**: *enter sector, export to some other sector, go to that other sector and wait about minutes and look at the exportation of the first sector*
**Link(s) to mod(s) used**: *none*
If you remove the line above without reading it properly and understanding what it means, will reap your soul. Even if you re playing on someone server, you can still save the game to slot.
**Crash report**: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</si>
  <si>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nextcloud-android-7559</t>
  </si>
  <si>
    <t>The app has crashed twice. The first time was deleting file to the trashcan, the second time was renaming file. This crash report is from the renaming attempt.
#### Nextcloud log (data nextcloud.log)
Insert your Nextcloud log here
************ CAUSE OF ERROR ************
************ APP INFORMATION ************
Build flavor: generic
************ DEVICE INFORMATION ************
************ FIRMWARE ************</t>
  </si>
  <si>
    <t>2020-11-29</t>
  </si>
  <si>
    <t>nextcloud-android-7557</t>
  </si>
  <si>
    <t xml:space="preserve">App Crash  There is no resized image. Download the full picture? </t>
  </si>
  <si>
    <t>### Steps to reproduce
1. Open app, go to JPG or PNG photo
2. The application informs There is no resized image. Download the full picture?
3. Click Yes, switch to next photo
4. Again click Yes app crash
### Expected behaviour
Tell us what should happen
The application should download the photo from the server and view it (preview)
### Actual behaviour
Tell us what happens
### Can you reproduce this problem on https: try.nextcloud.com?
Please create test demo account and see if this still happens there.
If yes, please open up bug report
If not, please verify server setup and ask for help on forum
can t, it only happens in the mobile app
### Environment data
Huawei p20 pro
Stock or customized system:
Nextcloud app version:
Latest beta, 3.14.1 RC2</t>
  </si>
  <si>
    <t>zixpo-candybar-sample-19</t>
  </si>
  <si>
    <t>Non-fatal crash on Android 11:
Icon Pack Name CandyBar Sample
Screen Resolution 1080 2013 pixels
Android Version 11
App Version 1.0
CandyBar Version 3.8.1</t>
  </si>
  <si>
    <t>nextcloud-android-7555</t>
  </si>
  <si>
    <t xml:space="preserve">Application crash </t>
  </si>
  <si>
    <t>nextcloud-android-7554</t>
  </si>
  <si>
    <t>Application crash</t>
  </si>
  <si>
    <t>cgeo-cgeo-9459</t>
  </si>
  <si>
    <t>NPE in InitializeMap</t>
  </si>
  <si>
    <t>Reported as new with version 2020.11.22.
50 crashes for 44 users so far.</t>
  </si>
  <si>
    <t>nextcloud-android-7553</t>
  </si>
  <si>
    <t>### Steps to reproduce
1. Connect to fresh server
2. Play around with the default files of new user
### Expected behaviour
### Actual behaviour
******** CAUSE OF ERROR ********
******** APP INFORMATION ********
Build flavor: gplay
******** DEVICE INFORMATION ********
******** FIRMWARE ********</t>
  </si>
  <si>
    <t>harry-cramp-Droog-18</t>
  </si>
  <si>
    <t>Some functions crash app when using brand new deck</t>
  </si>
  <si>
    <t>nextcloud-android-7551</t>
  </si>
  <si>
    <t>Repeated crashes Android App</t>
  </si>
  <si>
    <t>### Steps to reproduce
1. Opening sofortupload folder (when an upload is in progress)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CAUSE OF ERROR ************
************ APP INFORMATION ************
Build flavor: gplay
************ DEVICE INFORMATION ************
************ FIRMWARE ************
#### Web server error log
Insert your webserver log here
#### Nextcloud log (data nextcloud.log)</t>
  </si>
  <si>
    <t>microg-UnifiedNlp-201</t>
  </si>
  <si>
    <t>UnifiedNlp backend crash</t>
  </si>
  <si>
    <t>**Describe the bug**
When opening the microg parameters app, get notification about the nlp backend having crashed (Apple used here, but can reproduce with other backends as well).
Steps to reproduce the behavior:
1. Go to microg parameters app
2. Get the notification about crashing app
Adb logcat output is provided below.
(I can provide if useful)
Android Version: e.g. 10 8.1
Custom ROM: e.g. LineageOS 17.1 using custom Lineage 15.1 ROM from https: lg-g6 development
used NanoDroid patcher to enable signature spoofing (precisely https: github.com Nanolx NanoDroid blob master doc and https: NanoDroid Stable get the same situation if use XPosed for signature spoofing.
My ROM does not provide any GAPPS and none were installed (+ clean flash, so no leftovers)
All self-checks are fine in microg parameters app.
microG services core (v0.2.14.204215) and microG services framework proxy (v0.1.0) were installed through the microG F-Droid repo (as normal apps). Apple UnifiedNlp Backend (v1.2.3) is installed through the official F-Droid repo (as normal apps).</t>
  </si>
  <si>
    <t>nextcloud-android-7547</t>
  </si>
  <si>
    <t>android app crashes upon opening a file</t>
  </si>
  <si>
    <t>nextcloud-android-7546</t>
  </si>
  <si>
    <t>Crash watching video</t>
  </si>
  <si>
    <t>### Steps to reproduce
When want to watch video in neextcloud app it crash everytime.
tested that on differend phones and it always crash with the same error.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</si>
  <si>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nextcloud-android-7544</t>
  </si>
  <si>
    <t xml:space="preserve">Upload </t>
  </si>
  <si>
    <t>### Actual behaviour
App crashes in opening file
### Environment data
************ APP INFORMATION ************
Build flavor: gplay
************ DEVICE INFORMATION ************
************ FIRMWARE ************
#### Web server error log
Insert your webserver log here
#### Nextcloud log (data nextcloud.log)
************ CAUSE OF ERROR ************</t>
  </si>
  <si>
    <t>nextcloud-android-7543</t>
  </si>
  <si>
    <t>AutoUpload error</t>
  </si>
  <si>
    <t>### Steps to reproduce
1. Have folder of photos to upload
2. Add that folder with photos to AutoUpload with custom filder to upload to
3. Wait until it crashes
### Bug happens if you turn that feature off and then on again
### Expected behaviour
it should just upload photos
### Actual behaviour
app crashes after some period of time
### Can you reproduce this problem on https: try.nextcloud.com?
Yes, can reproduce in either mine and that server
### Environment data
Xiaomi mi se
Stock or customized system:
Nextcloud app version:
Nextcloud server version:
Build flavor: gplay
#### Web server error log</t>
  </si>
  <si>
    <t>nextcloud-android-7542</t>
  </si>
  <si>
    <t xml:space="preserve">*********** CAUSE OF ERROR ************
android.app.RemoteServiceException: Context.startForegroundService() did not then call Service.startForeground(): ServiceRecord{cbe76aa u0 com.nextcloud.client/.media.PlayerService}
	at android.app.ActivityThread$H.handleMessage(ActivityThread.java:1787)
	at android.os.Handler.dispatchMessage(Handler.java:106)
	at android.os.Looper.loop(Looper.java:201)
	at android.app.ActivityThread.main(ActivityThread.java:6820)
	at java.lang.reflect.Method.invoke(Native Method)
	at com.android.internal.os.RuntimeInit$MethodAndArgsCaller.run(RuntimeInit.java:547)
	at com.android.internal.os.ZygoteInit.main(ZygoteInit.java:922)
************ APP INFORMATION ************
ID: com.nextcloud.client
Version: 30140090
Build flavor: gplay
************ DEVICE INFORMATION ************
Brand: xiaomi
Device: cactus
Model: Redmi 6A
Id: PPR1.180610.011
Product: cactus
************ FIRMWARE ************
SDK: 28
Release: 9
Incremental: V11.0.9.0.PCBMIXM
</t>
  </si>
  <si>
    <t>### Steps to reproduce
1. Open app and delete item from cloud
2. Multiple attempt to open and close directory
3. App crash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Device model: xiomi 6q
Stock or customized system:
Nextcloud app version:
Nextcloud server version:
#### Web server error log
Insert your webserver log here
#### Nextcloud log (data nextcloud.log)</t>
  </si>
  <si>
    <t>nextcloud-android-7541</t>
  </si>
  <si>
    <t>App crash just after open directory</t>
  </si>
  <si>
    <t>tanersener-react-native-ffmpeg-216</t>
  </si>
  <si>
    <t>Could not invoke RNFFmpegModule.enableLogEvents</t>
  </si>
  <si>
    <t>have duplicate one of my last project with same gradle config. It work fine on first project but in new project debug build work fine but when create release build, it crash on start.
have tried clear gradle cache rebuild project again again.
try ffmpeg-test-app config but no luck.
it crash on start with **Could not invoke</t>
  </si>
  <si>
    <t>2020-11-28</t>
  </si>
  <si>
    <t>nextcloud-android-7537</t>
  </si>
  <si>
    <t>crash when play video on Android mobile</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</si>
  <si>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
Build flavor: generic
************ DEVICE INFORMATION ************</t>
  </si>
  <si>
    <t>Anuken-Mindustry-3645</t>
  </si>
  <si>
    <t>Client Crashing when placing conveyor at edge of map</t>
  </si>
  <si>
    <t>**Steps to reproduce**: Try to place block in dark end-of-map areas
Mindustry has crashed. How unfortunate.
Missing entity at sand:air:air 201,28 entity null:derelict. Skipping block snapshot.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</si>
  <si>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Anuken-Mindustry-3644</t>
  </si>
  <si>
    <t>Null pointer crash</t>
  </si>
  <si>
    <t>**Steps to reproduce**: The sceptre was destroying mender due to area splash, which then proceeded to replace continuously until got null pointer
Mindustry has crashed. How unfortunate.
Mods: cliff:1.1.0, dev-mode:2.3.0, example-mod:2.0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</si>
  <si>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Anuken-Mindustry-3637</t>
  </si>
  <si>
    <t>118 build shows as custom build</t>
  </si>
  <si>
    <t>**Steps to reproduce**: *Download minustry, run*
**Link(s) to mod(s) used**: *none*
**Save file**: *none*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</si>
  <si>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Anuken-Mindustry-3634</t>
  </si>
  <si>
    <t>Not all the enemy's structures changing into neutral</t>
  </si>
  <si>
    <t>When finally found Salt Flats is back again, captured it in 10 minutes with 15 horizons.( maybe you can change the
difficulty to medium ?)
That is not the main issue. Just after the enemy core exploded, wanted to relax and closed the game. In just few minutes reloaded the game and went to Salt Flats. Some of the Duos, Scatters, conveyors, etc. were still enemy s, not changing into neutral. This made it difficult to clean up the sector.
**Steps to reproduce**: Destroy the enemy base and close the game at once. Then you can do it.
**Link(s) to mod(s) used**: No mods.
**Save file**: Here it is.
**Crash report**: There was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to the issue, if applicable.*</t>
  </si>
  <si>
    <t>nextcloud-android-7530</t>
  </si>
  <si>
    <t>Android crash during configuration change</t>
  </si>
  <si>
    <t>### Steps to reproduce
1. Select files
2. Delete files
### Expected behaviour
Files should be deleted
### Actual behaviour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</si>
  <si>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2020-11-27</t>
  </si>
  <si>
    <t>Anuken-Mindustry-3630</t>
  </si>
  <si>
    <t>Tech Tree Intersection</t>
  </si>
  <si>
    <t>In the tech tree, there is an intersection. This is at the top left of the laser drill with locked item blocking the line of the rotary pump.
**Steps to reproduce**: *How you happened across the issue, and what exactly you did to make the bug happen.*
was playing campaign on Biomass Synthesis Factory, when noticed that there was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</si>
  <si>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TeamNewPipe-NewPipe-5017</t>
  </si>
  <si>
    <t>Infinite loop of crashes on start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</si>
  <si>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0.20.4 &lt;!-- Check https: github.com TeamNewPipe NewPipe releases --&gt;
checked, but didn find any duplicates (open OR closed) of this issue in the repo. &lt;!-- Seriously, check. --&gt; Might be the same as #4998, but didn press the back button.
have read the contribution guidelines. reporting crash here because it looks like problem with the crash reporter.
This issue contains only one bug. will open one issue for every bug report want to file.
### Steps to reproduce the bug
1. Go to ...
2. Press on ....
3. Swipe down to ....
1. Start NewPipe from the launcher icon.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The main activity should be displayed.
&lt;!-- If your bug includes crash (where you re shown the Error Report page with bunch of info), tap on Copy formatted report at the bottom and paste it here: --&gt;</t>
  </si>
  <si>
    <t>Anuken-Mindustry-3627</t>
  </si>
  <si>
    <t>Game Crashes On Update</t>
  </si>
  <si>
    <t>**Steps to reproduce**: *Update any version to the bleeding edge version, then wait until it restarts. It will crash during the loading stage and will render that copy of the game unusable.*
**Link(s) to mod(s) used**: *None*
**Save file**: *Not ingame*
**Crash report**: *There were no crash reports, just the windows not responding indefinitely*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</si>
  <si>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MuntashirAkon-AppManager-167</t>
  </si>
  <si>
    <t>App Manager displays only seven apps instead of all of them</t>
  </si>
  <si>
    <t>**Describe the bug**
First, App Manager shows tremendous potential, and want to thank you for your efforts.
see this problem on only one (so far) of three (so far) devices.
The first time started App Manager, it appeared to work normally (displaying all of the apps on the device). changed few of the settings (Night theme, Root mode). The second (and subsequent) time(s) started App Manager, it displayed only seven apps (no do not have any filters checked). The apps displayed seem to have no pattern. don want to mention them all here for privacy reasons, but they include Calendar Storage, Mobile Network Configuration, and OpenVPN for Android. The others consist of shopping app, torrent app, media app, and messaging app. have tried the obvious possible solution of clearing data and cache, but that had no effect. still see just tiny percentage of the apps.
No idea. only observe this on one machine, and doubt could make this happen anywhere else.
expect to see all of the apps, not just handful. :)
don want to post these publicly (again for privacy reasons), but could send them directly if you believe they would help find the source of the problem (I don know that they would screenshot would just show short list of apps).
The program did crash couple of times before starting the second time. don know if that has any connection with this problem or not. didn save any logs then (not really sure how to do that for this program), but could attempt to obtain them if given some guidance.
Device: Samsung Galaxy Tab
OS Version: LineageOS</t>
  </si>
  <si>
    <t>google-ExoPlayer-8290</t>
  </si>
  <si>
    <t>Random crashes in IMA</t>
  </si>
  <si>
    <t>### Issue description
Could you please take look at these logs? These are crashes from Firebase, we do not have any context but hopefully you will found some issue to fix.
### Reproduction steps
### Link to test content
### full bug report captured from the device
Fatal Exception: throw with null exception
### Version of ExoPlayer being used
### Device(s) and version(s) of Android being used
Device and OS independent</t>
  </si>
  <si>
    <t>chr15m-PdDroidParty-52</t>
  </si>
  <si>
    <t>reduce accepted filetypes</t>
  </si>
  <si>
    <t>As of lately, haven used PdDroidParty much, but there an issue find so annoying that actually uninstalled it:
*Once it is installed, it registers for *all* files.*
Whenever try to open PDF, my phone asks if want to open it with PdDroidParty
Whenever try to open .org -file, my phone asks if want to open it with PdDroidParty
Whenever try to open .gpx -file, my phone asks if want to open it with PdDroidParty
Of course, PdDroidParty has no clue what to do with these files, so it will just crash with an error:
File Format not Supported, or bad file
this is on Fairphone Open 19.11.2 which is based on Android-7.1.2</t>
  </si>
  <si>
    <t>nextcloud-android-7520</t>
  </si>
  <si>
    <t>When I play a video in mp4 format, the app crashes directly</t>
  </si>
  <si>
    <t>### Steps to reproduce
1. The app crashes after playing the video
### Expected behaviour
The video plays normally
### Actual behaviour
app crashes directly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version:3.14.0
Nextcloud server version:20.0.2
#### Web server error log
Insert your webserver log here
#### Nextcloud log (data nextcloud.log)
************ CAUSE OF ERROR ************
************ APP INFORMATION ************
Build flavor: gplay</t>
  </si>
  <si>
    <t>Anuken-Mindustry-3623</t>
  </si>
  <si>
    <t>Pixmap errors.</t>
  </si>
  <si>
    <t>**Steps to reproduce**: *How you happened across the issue, and what exactly you did to make the bug happen.* Open up mindustry and wait in loading. (for both crashes)
**Link(s) to mod(s) used**: *The mod repositories or zip files that are related to the issue, if applicable.*
Vanilla mindustry (github version)
**Save file**: *The (zipped) save file you were playing on when the bug happened. THIS IS REQUIRED FOR ANY ISSUE HAPPENING IN-GAME, REGARDLESS OF WHETHER YOU THINK IT HAPPENS EVERYWHERE. DO NOT DELETE OR OMIT THIS LINE UNLESS YOU ARE SURE THAT THE ISSUE DOES NOT HAPPEN IN-GAME.* Happens during loading
**Crash report**: *The contents of relevant crash report files. REQUIRED if you are reporting crash.*
Out of memory: crash-report-11 27 2020 16 14 36.txt (https: github.com Anuken Mindustry files 5606723 crash-report-11 27 2020 16 14 36.txt) Corrupted jpeg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</si>
  <si>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Anuken-Mindustry-3621</t>
  </si>
  <si>
    <t>Editor Bug</t>
  </si>
  <si>
    <t>V6 Builds 20096 to 20102
In the editor, the pencil defaults to radius of tiles but it stuck at that setting. All other tools besides the pencil work fine.
**Steps to reproduce**: *How you happened across the issue, and what exactly you did to make the bug happen.*
Open the editor, and right away you ll notice it stuck at tiles. No matter what you move the slider to or how many times you switch tools the pencil is stuck at radius of tiles.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Happens only in the editor.
**Crash report**: *The contents of relevant crash report files. REQUIRED if you are reporting crash.*
No crashes reported, just bug.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</si>
  <si>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nextcloud-android-7518</t>
  </si>
  <si>
    <t>App crasht auch nach mehrfachen Neuinstallation und ist seit dem November Update nicht mehr nutzbar bitte um Hilfe.</t>
  </si>
  <si>
    <t>### Steps to reproduce
1. Start der App
2. Passwort eingeben
3. App Crasht
Leider hilft auch eine Neuinstallation nicht.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t>
  </si>
  <si>
    <t>AOF-Dev-MCinaBox-707</t>
  </si>
  <si>
    <t>Evgeni</t>
  </si>
  <si>
    <t>**Describe the crash**
clear and concise description of what the bug is.
Steps to reproduce the crash:
1. Go to ...
2. Click on ....
3. Scroll down to ....
4. See the crash
clear and concise description of what you expected to happen.
If applicable, add screenshots to help explain your problem.
**Smartphone (please complete the following information):**
Device: Xiaomi Redmi
OS: e.g. Android 9.0
Add any other context about the problem here.</t>
  </si>
  <si>
    <t>nextcloud-android-7516</t>
  </si>
  <si>
    <t>App crash on file upload</t>
  </si>
  <si>
    <t>### Steps to reproduce
1. Open Android app, do not log in
2. Multitask button
3. Return to NextCloud Android app
4. Hit back button on phone
5. App drops into interface as if it had been logged in
6. Nothing works, and clicking the upload button stack traces
### Expected behaviour
nothing should happen. shouldn be able to see the interface until log in
### Actual behaviour
opening the Android app and logging in just looks like the normal web app interface and not the actual app. After completing the steps outlined above, the app drops into the expected Android interface but nothing works. Hitting the upload button shouldn do anything after get to it, because haven actually connected to server at that point.
### Can you reproduce this problem on https: try.nextcloud.com?
Please create test demo account and see if this still happens there.
If yes, please open up bug report
If not, please verify server setup and ask for help on forum
No. But it specific to the Android app and is not connected to server. Pre-authentication.
### Environment data
Android version: 10
Device model: Samsung Galaxy Note 10+
Stock or customized system: stock</t>
  </si>
  <si>
    <t>gsantner-markor-1137</t>
  </si>
  <si>
    <t>Activity rotation: Changes view/edit mode</t>
  </si>
  <si>
    <t>#### General information
When you change phone position while you re in -view mode-, app automatically switches to edit mode.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</si>
  <si>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2020-11-26</t>
  </si>
  <si>
    <t>nextcloud-android-7514</t>
  </si>
  <si>
    <t xml:space="preserve">************ CAUSE OF ERROR ************
android.app.RemoteServiceException: Context.startForegroundService() did not then call Service.startForeground(): ServiceRecord{3379860 u0 com.nextcloud.client/.media.PlayerService}
	at android.app.ActivityThread$H.handleMessage(ActivityThread.java:2188)
	at android.os.Handler.dispatchMessage(Handler.java:107)
	at android.os.Looper.loop(Looper.java:237)
	at android.app.ActivityThread.main(ActivityThread.java:8167)
	at java.lang.reflect.Method.invoke(Native Method)
	at com.android.internal.os.RuntimeInit$MethodAndArgsCaller.run(RuntimeInit.java:496)
	at com.android.internal.os.ZygoteInit.main(ZygoteInit.java:1100)
************ APP INFORMATION ************
ID: com.nextcloud.client
Version: 30140090
Build flavor: gplay
************ DEVICE INFORMATION ************
Brand: samsung
Device: starlte
Model: SM-G960F
Id: 
Product: starltexx
************ FIRMWARE ************
SDK: 29
Release: 10
Incremental: G960FXXUCFTK1
</t>
  </si>
  <si>
    <t>### Actual behaviour
App crashed when trying to delete file from external storage. Report ING error in case it useful.</t>
  </si>
  <si>
    <t>microg-GmsCore-1285</t>
  </si>
  <si>
    <t>Pebble watch app crashes with 0.2.14.204215</t>
  </si>
  <si>
    <t>**Describe the bug**
As soon as update to v0.2.14.204215 via F-droid repository, the Pebble watch app starts continuously crashing. Reverting to 0.2.13.0915 fixes it.
Steps to reproduce the behavior:
1. Update GmsCore to v0.2.14.204215
2. Pebble watch app starts crashing (no need to launch manually, app runs continuously)
Android Version: 7.1.2
Custom ROM: LineageOS 14.1
microG Core version: 0.2.14.204215
microG Self-Check results: All ticked
Reverting to v0.2.13.0915 fixes problem immediately. have logcat filtered for string pebble let me know if you would like different filtered log.</t>
  </si>
  <si>
    <t>Anuken-Mindustry-3614</t>
  </si>
  <si>
    <t>Client crashed, and liquid source block is somehow involved</t>
  </si>
  <si>
    <t>As far as remember server didn update anything between crashes.
As far as can remember it was different maps where crash happened.
Liquid sources that caused crash belong to AI enemy (a ton of sources in fact), ordinary human players do not have access to them, so it doesn sound like player action caused crash.
If it can help, server played is mindustry.ru:9992 (attack mode)
**Steps to reproduce**: Just play map with liquid source, and if you (un)lucky catch crash.
**Link(s) to mod(s) used**: None
**Save file**: None. Multiplayer game.
**Crash report**: Attached crash-report-11 24 2020 23 19 49.txt (https: github.com Anuken Mindustry files 5603865 crash-report-11 24 2020 23 19 49.txt)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</si>
  <si>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Anuken-Mindustry-3607</t>
  </si>
  <si>
    <t>Meltdown power use issue</t>
  </si>
  <si>
    <t>**Steps to reproduce**: Try to do these (on given save file)
-Just shoot by holding down mouse until power is depleted. Something might happen
-Turn them sharply
-Try doing it when commanding some units (I had them assigned during testing)
-Replace cryo with water and see if they do the same
-Overdrive them (youll have to launch plast from impact 0078 though, as nuclear has none)
-Just mess around until something happens with power. You have large power node so you can track it here.
-Power use coming with delay
-Power use not coming at all
-Power use lasting longer
**Link(s) to mod(s) used**: DeltaNedas Developer Mode (I had it on all the time, for needs of sound bugs testing, none occured after the conveyor thing, so mp3 files seem to be better)
**Crash report**: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</si>
  <si>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google-ExoPlayer-8283</t>
  </si>
  <si>
    <t>Rare failed assertions</t>
  </si>
  <si>
    <t>### REQUIRED Issue description
getting some errors reported to crashlytics due failing assertions.
Here are different issues, can move them to separate issues if it makes sense and if any work will be made for them
### REQUIRED Reproduction steps
Callstacks are from automatic error reports and can not reproduce them locally
### REQUIRED Link to test content
Errors are from automatic error reports and do not own media
### REQUIRED full bug report captured from the device
### REQUIRED Version of ExoPlayer being used
### REQUIRED Device(s) and version(s) of Android being used
BRAVIA 4K GB ATV3, Xiaomi MiBox S, NVidia Shield TV</t>
  </si>
  <si>
    <t>nextcloud-android-7505</t>
  </si>
  <si>
    <t>App crashes repeatedly after selecting and deleting more than one file</t>
  </si>
  <si>
    <t>Anuken-Mindustry-3606</t>
  </si>
  <si>
    <t>Able to research sector specific research before capturing it</t>
  </si>
  <si>
    <t>On Overgrowth, for example, you can launch there, and instantly research the multiplicative reconstructor, without ever having to actually take over the base
**Steps to reproduce**: *How you happened across the issue, and what exactly you did to make the bug happen.*
Launch to an attack sector, research the technologies there, and you don need to capture the base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Unneccesary, can be replicated on any save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</si>
  <si>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tradle-react-native-udp-144</t>
  </si>
  <si>
    <t>Crash: java.lang.RuntimeException: MulticastLock under-locked react-native-udp</t>
  </si>
  <si>
    <t>App sometimes crashes after going to background (Android)
## Stack traces
## Steps to reproduce
Hard to say. It happens very rarely and it seems that you need to go to background at the right moment.
## Expected behavior
No crash, perhaps.
## Relevant information
react-native-udp 4.0.3 (but happens on earlier versions, too)
## Occurred on
Xperia XZ2 Android 10.0
LG K4 Android 6.0.1</t>
  </si>
  <si>
    <t>2020-11-25</t>
  </si>
  <si>
    <t>tradle-react-native-udp-143</t>
  </si>
  <si>
    <t>Crash: Task android.os.AsyncTask rejected from java.util.concurrent.ThreadPoolExecutor</t>
  </si>
  <si>
    <t>App crashes after going to background, closing socket, going to foreground and open socket again (Android)
UdpSockets.java, line 285
## Stack traces
## Steps to reproduce
Steps to reproduce the behavior:
1. Open socket, setBroadcast(true), addMembership( 239.255.255.250
2. Go to background and close socket (by detecting AppState change)
3. Go to foreground and open socket again
this.udpSocket createSocket( type: udp4 reuseAddr: true
log.error( Error when listening on UDP discovering socket: err)
log.debug( Setting multicast for socket: this.udpSocket)
log.debug( Error when setting multicast for socket. Socket is null
log.error( Error on UDP discovering socket: err)
AppState change detection logic
## Current behavior
Sometimes we can see in the logs no client found with id (which is related to #118)
## Expected behavior
App does not crash event if there is an error, it should be passed in error callback somehow.
## Relevant information
react-native-udp 4.0.3 (but happens on earlier versions, too)</t>
  </si>
  <si>
    <t>nextcloud-android-7498</t>
  </si>
  <si>
    <t>Crashed Report</t>
  </si>
  <si>
    <t>My Nextcloudpi is running on Raspberry pi 2GB.
Whenever try to play download stream upload vide, the app has been crashed.
tried on iOS 14. It works smoothly.
#### Nextcloud log
************ CAUSE OF ERROR ************
************ APP INFORMATION ************
Build flavor: gplay
************ DEVICE INFORMATION ************
************ FIRMWARE ************</t>
  </si>
  <si>
    <t>Anuken-Mindustry-3599</t>
  </si>
  <si>
    <t>X Worked on android/Windows, Simply duplicating the tutorial loot (Some1 goes into a game with configure loadout all full, opens to LAN, Other player joins, they launch as soon as possible, they get 4k loot (The person who joined gained free loot in seconds)) All build numbers that have LAN tutorial X</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</si>
  <si>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</si>
  <si>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nextcloud-android-7497</t>
  </si>
  <si>
    <t>The application suddenly crashed.</t>
  </si>
  <si>
    <t>opensrp-opensrp-client-chw-1584</t>
  </si>
  <si>
    <t>[bug - all wcaro flavors] Supervisor app crashes immediately after successful p2p sync</t>
  </si>
  <si>
    <t>Client is reporting that the p2p sync completes successfully, but the supervisor app crashes (logs her out) as soon as the sync completes.
She recorded video of what happens, which you can view here: https: drive.google.com file 1f-82P view
The CHW account she was using was relais1 and the supervisor account was pcac1</t>
  </si>
  <si>
    <t>Anuken-Mindustry-3597</t>
  </si>
  <si>
    <t>"New Content Unlocked" appears every time you become a Beta</t>
  </si>
  <si>
    <t>Windows, with an android phone hosting the game
Whenever you go into the core, by pressing as unit, or Ctrl clicking the core, you see the New Content Unlocked even if you already have unlocked it
**Steps to reproduce**: *How you happened across the issue, and what exactly you did to make the bug happen.*
Host game on mobile android phone, get to sector with Foundation core, join the game with Windows computer, and go into the core. New Content Unlocked should appear every time you go into the core
**Link(s) to mod(s) used**: *The mod repositories or zip files that are related to the issue, if applicable.*
No mods, vanilla.
**Save file**: *The (zipped) save file you were playing on when the bug happened. THIS IS REQUIRED FOR ANY ISSUE HAPPENING IN-GAME, REGARDLESS OF WHETHER YOU THINK IT HAPPENS EVERYWHERE. DO NOT DELETE OR OMIT THIS LINE UNLESS YOU ARE SURE THAT THE ISSUE DOES NOT HAPPEN IN-GAME.*
Unneccesary, because this issue can be replicated on any save file, not any specific ones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</si>
  <si>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nextcloud-android-7494</t>
  </si>
  <si>
    <t xml:space="preserve">Deleted a pdf file on my android phone. </t>
  </si>
  <si>
    <t>### Steps to reproduce
chose to delete the file on the handset and on the server. Immediately it crashed (report enclosed below). On the phone, the file had been deleted. synchronised the directory and noticed that they was still no pdf file, so presume it had been deleted on the server too. Therefore, it seems that the crash occurred after the entire delete process (handset and server)
************ CAUSE OF ERROR ************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</si>
  <si>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Anuken-Mindustry-3593</t>
  </si>
  <si>
    <t>Проблема со сохранениями й</t>
  </si>
  <si>
    <t>**Steps to reproduce**:
**Link(s) to mod(s) used**: *The mod repositories or zip files that are related to the issue, if applicable.*
**Save file**: *https: yadi.sk XKYmfSyapnzsMA*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</si>
  <si>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ElderDrivers-EdXposed-662</t>
  </si>
  <si>
    <t>[BUG] 0.5.0.6_4576 sandhook not working</t>
  </si>
  <si>
    <t>edxposed 4576 sandhook
** Logcat Logcat**
--------- beginning of head
Powered by Log Catcher
QQ support group: 855219808
Telegram support group: Code Of MeowCat
Telegram channel: EdXposed
--------- beginning of information
ROM description: equuleus-user 10 QKQ1.190828.002 20.9.4 release-keys
Android build: QKQ1.190828.002
Android version: 10
Android sdk: 29
EdXposed version: v0.5.0.6 4576-android (SandHook)
EdXposed api: 91.0
Riru version: ()
--------- beginning of main
--------- beginning of system
--------- beginning of crash</t>
  </si>
  <si>
    <t>Anuken-Mindustry-3590</t>
  </si>
  <si>
    <t>Sector Reset (iOS)</t>
  </si>
  <si>
    <t>**Steps to reproduce**: was in Ground Zero upgrading production there, am not quite sure what caused it, but it happened after started scrap dissembling sending the resource into recently upgraded Nucleus Core Turned some resource into Phase Phabric.
**Link(s) to mod(s) used**:
**Save file**: am not sure how to retrieve this information, apologise.
**Crash report**: crash 1606314787388.txt
Mindustry has crashed. How unfortunate.
Report this at https: github.com Anuken Mindustry issues new?labels bug&amp;template bug report.md
Runtime: Error copying source file: private var mobile Library Mobile Documents com apple CloudDocs Mindustry saves (absolute)
To destination: var mobile Containers Data Application Documents (absolute)
ArcRuntime: Error copying source file: private var mobile Library Mobile Documents com apple CloudDocs Mindustry saves (absolute)
To destination: var mobile Containers Data Application Documents (absolute)
ArcRuntime: Error reading file: private var mobile Library Mobile Documents com apple CloudDocs Mindustry saves (absolute)
FileNotFound: private var mobile Library Mobile Documents com apple CloudDocs Mindustry saves open failed: EPERM (Operation not permitted)
Errno: open failed: EPERM (Operation not permitted)
GL Version: GLES 2.0.0 Apple Inc. Apple A11 GPU
GL Max texture size: 4096
GL Using OpenGL context.
Shader shaders screenspace.vert shaders mud.frag:
Shader shaders screenspace.vert shaders tar.frag:
Shader shaders screenspace.vert shaders slag.frag:
Total time to load: 1852</t>
  </si>
  <si>
    <t>Anuken-Mindustry-3589</t>
  </si>
  <si>
    <t>SectorPreset on modded planets goes h</t>
  </si>
  <si>
    <t>Title says all. When you try to launch into SectorPreset in modded Planet the game crashes.
**Steps to reproduce**:
1. Make mod with this script:
const planet new JavaAdapter(Planet, planet Planets.sun, 3, 1)
planet.meshLoader () new HexMesh(planet, 6)
const sector new SectorPreset( sector planet, 30)
2. Run Mindustry.jar
3. Go to **Campaign**.
4. Go to the newly created planet and launch to the only unlocked sector there.
5. Experience pain.
**Link(s) to mod(s) used**: *Every mod, nevertheless*
**Save file**: ...
Mindustry has crashed. How unfortunate.
Caused by: Cannot read field sectors because the return value of String) is null
... 16 more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</si>
  <si>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Anuken-Mindustry-3588</t>
  </si>
  <si>
    <t>Sector Reset</t>
  </si>
  <si>
    <t>avluis-Hentoid-700</t>
  </si>
  <si>
    <t>App Crashing on Queue Screen</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</si>
  <si>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If an issue does not have the following template filled out, it will be closed without discussion.
&lt;!-- What version of Hentoid you re running, for example: 1.2.0r3 1.2.1r1 1.2.1r2
It essentially the version number from the About Screen --&gt;
&lt;!-- What devices you managed to get the issue to come up on? For example:
fails on Galaxy S4 GT-I9500 4.4.2, works fine on Nexus 6P 5.1 and Genymotion Nexus 5.0.1 --&gt;
**Infinix Smart 4**:
&lt;!-- Share the details of your issue in prose, detailing actual and expected behavior. --&gt;
**App crashed when redownloading errors download from queue screen. Wether it by touching download button from individual book or touching redownload all from top right menu. The error downloads did moved to queue when restarting the app thought. And sometimes crash when opening queue menu after leaving the app in the background for while**:
&lt;!-- What is the error message that you got in the log? --&gt;
**Sorry don have access to PC**:
&lt;!-- Bonus points if you attach relevant screenshot or screen recording --&gt;</t>
  </si>
  <si>
    <t>Anuken-Mindustry-3587</t>
  </si>
  <si>
    <t>Freezing</t>
  </si>
  <si>
    <t>**Steps to reproduce**: *Loading to nuclear complex takes very long if it loads.. when it loads it runs ok it you do not attempt to build any structures.*
**Link(s) to mod(s) used**: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</si>
  <si>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Anuken-Mindustry-3586</t>
  </si>
  <si>
    <t>stopped a SoloudSound: null crashes without report</t>
  </si>
  <si>
    <t>loadSound( pew returns SoloudSound: null
When stopped, mindustry crashes **without creating crash report**.
If print debugging didnt work it would be much harder to find out the cause of the crash.
Sounds cannot be loaded post load-time.
Sounds.pew exists, but loadSound( pew is natively null.
**Steps to reproduce**:
1. loadSound( pew ).stop()
2. Crashes, check crashes folder (empty).
**Crash report**: *that the problem*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</si>
  <si>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Anuken-Mindustry-3581</t>
  </si>
  <si>
    <t>Mindustry crash on beta 116</t>
  </si>
  <si>
    <t>**Steps to reproduce**: None
**Link(s) to mod(s) used**: No mods used
**Save file**: No save file, as was playing on remote server?
**Crash report**: crash-report-11 24 2020 19 13 47.txt (https: github.com Anuken Mindustry files 5595664 crash-report-11 24 2020 19 13 47.txt)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</si>
  <si>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nextcloud-android-7483</t>
  </si>
  <si>
    <t xml:space="preserve">Nextcloud crashed in Android phone </t>
  </si>
  <si>
    <t>Anuken-Mindustry-3576</t>
  </si>
  <si>
    <t>Sector damage system counts scatter damage towards ground units</t>
  </si>
  <si>
    <t>**Steps to reproduce**:
1. Enter ground zero or any similar difficulty sector under attack(with ground enemies).
2. Deconstruct all the turrets
3. Build some scatters and put lead in them.
4. Check how much waves sector will survive.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</si>
  <si>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stefan-niedermann-nextcloud-notes-994</t>
  </si>
  <si>
    <t>App crashed when i opened my shopping list</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</si>
  <si>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When opened my shopping list note (a document with some headings, checkboxed lists, and bunch of emojis), the app crashed.
cannot willfully reproduce the issue. It happens *sometimes*.
The app should have opened my note.
**Smartphone (please complete the following information):**
Nextcloud Notes-Version (android app): 2.17.1
F-Droid or Play Store: F-Hroid
Device: Huawei P20 Pro
Nextcloud version: 19. 0.5
Nextcloud Notes version (server app): 3.6.4
App Version: 2.17.1
App Version Code: 2017001
App Flavor: fdroid
Files App Version Code: 30130190</t>
  </si>
  <si>
    <t>Anuken-Mindustry-3575</t>
  </si>
  <si>
    <t>bug the fps drops drastically when it rains and you select any object to build (beta 117)</t>
  </si>
  <si>
    <t>square-okhttp-6448</t>
  </si>
  <si>
    <t>When I use Okhttp 4.9.0 and open minifyEnabled will crash</t>
  </si>
  <si>
    <t>lateinit property timeLineLayout has not been initialized
This is very strange, just implementation okhttp, it has not been initialized with code.if use debug build or minifyEnabled false ,it is normal.if use Okhttp 4.8.1 or last,it is normal,4.9.0 and 4.10.0-RC1 will crash.
This TimeLineLayout is my custom view, created it in an Activity and held its reference in Kotlin Object through lateinit.It should have nothing to do with Okhttp.I believe the way use it is correct,and it has been running normally for several months.
think it more like proguard problem?I tried to reproduce this problem in new project, but sorry failed.
really want to provide lot of information, but have no clue,sorry.I will use 4.8.1,it is normal.
think should tell you about it. Maybe you know why.If you don know what this means, you can close this issue.</t>
  </si>
  <si>
    <t>nextcloud-android-7479</t>
  </si>
  <si>
    <t>Anuken-Mindustry-3574</t>
  </si>
  <si>
    <t>Issue : phantom distroyed biuildings prevent placing new ones on top of them.</t>
  </si>
  <si>
    <t>steam build 117 also seems to happen on beta for the phone as well
it appears that at times when things are blown up it will leave phantom image of the destroyed building but it prevents me from building onto blown-up buildings. unless delete the phantom building first it happens sometimes.
**Steps to reproduce**: *How you happened across the issue, and what exactly you did to make the bug happen.*
blown up building and try to place on the phantom buildings.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</si>
  <si>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Anuken-Mindustry-3573</t>
  </si>
  <si>
    <t>Mono Miner Drones do not mine while not in sector</t>
  </si>
  <si>
    <t>Mono miner drones (First tier green colored air unit) do not mine resources unless you are in the same sector. assume this is because the resources produced by them is not included in the passive generation calculations.
**Steps to reproduce**: *How you happened across the issue, and what exactly you did to make the bug happen.*
Go into sector in the campaign, make an air factory, and produce mono drone. Then go to another sector, and no resources will be produced by the miner drone. This is most noticeable if you do not have any conveyors inputting resources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This can be replicated with any save file, so this step is unneccesary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</si>
  <si>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2020-11-24</t>
  </si>
  <si>
    <t>nextcloud-android-7477</t>
  </si>
  <si>
    <t>App crash when deleting files</t>
  </si>
  <si>
    <t>### Steps to reproduce
1. Select 60 files in the folder (not all)
2. From the menu in the upper right corner, click delete
3. Wait few seconds for files to be deleted
4. App crash in 3-5sec
tried to repeat the error, the application every time it is crashed when you try to delete files, delete the same files and upload them again from pc app or www working without probl m, and then again removing from the phone brings the same results, app crash
Sorry for my English, this is not my language**
### Expected behaviour
Tell us what should happen
The application turns off after deleting several files
### Actual behaviour
Tell us what happens
### Can you reproduce this problem on https: try.nextcloud.com?
Please create test demo account and see if this still happens there.
If yes, please open up bug report
If not, please verify server setup and ask for help on forum
No This is in app on mobile
Device model: Huawei p20 pro
Stock or customized system: emui 10.0.0
Nextcloud server version: 20.0.2</t>
  </si>
  <si>
    <t>nextcloud-android-7471</t>
  </si>
  <si>
    <t>App crashed upon adding a connection profile</t>
  </si>
  <si>
    <t>nextcloud-android-7470</t>
  </si>
  <si>
    <t>Crash with 3.14.1 RC1</t>
  </si>
  <si>
    <t>Looks like crash from https: github.com nextcloud android issues 6905 is not fixed completely.
**CAUSE OF ERROR**
Build flavor: gplay</t>
  </si>
  <si>
    <t>ElderDrivers-EdXposed-654</t>
  </si>
  <si>
    <t>[BUG] User changes on reboot</t>
  </si>
  <si>
    <t>** What happened?**
After random reboot, (the reboot does not always trigger this), the device will act as if it has not been setup before (shows the android is starting prompt followed by the setup wizard).
**Xposed Xposed Module List**
NONE Eliminating the fact it could have been module
**Magisk Magisk Module List**
**EdXposed Riru Versions of EdXposed and Riru**
** Logcat Logcat**
Hard to get logcat because it happens during reboot. however did get logcat AFTER the user changes and all the apps force close.
In the logcat, you can see all the crashes from facebook (me trying to open it after it reboots) and they are all the same:
do know each app is installed with its own unique userId. So something is changing this after the reboot..</t>
  </si>
  <si>
    <t>NordicSemiconductor-Android-DFU-Library-279</t>
  </si>
  <si>
    <t>Invalid channel for service notification</t>
  </si>
  <si>
    <t>**DFU Bootloader version (please complete the following information):**
SDK version: e.g. SDK 15.3
Bonding used: yes
Library version: e.g. 1.11.0
**Device information (please complete the following information):**
Device: e.g. Samsung S10
OS: e.g. Android
**Describe the bug**
When starting the dfu process, the app crashes with:
starting the process like so:
val fwFile fw.zip
Log.d( DFUTEST scheduleDFU with fwFile.absolutePath
.setKeepBond(true) keep bond after dfu
no foreground notification
Log.d( DFUTEST starter created
Log.d( DFUTEST controller initiated
Log.d( DFUTEST listener registred
can see in the DfuBaseService class that the notification channel is set to dfu and the id to 283, so assume this is something that out of my hands and problem in the library itself?</t>
  </si>
  <si>
    <t>Anuken-Mindustry-3565</t>
  </si>
  <si>
    <t>Scheme replacement causing h</t>
  </si>
  <si>
    <t>**Steps to reproduce**:
-Place core in sandbox custom game
-Make it scheme
-Go to campaign to check if it appears there
-Go back to sandbox
-Place anything near the core
-replace the scheme before with this
-You can launch anything with core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</si>
  <si>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nextcloud-android-7468</t>
  </si>
  <si>
    <t xml:space="preserve">app crashes when trying to open the video file </t>
  </si>
  <si>
    <t>### Steps to reproduce
1. Android app, brows to mobile video auto upload folder on NC server.
2. Click on one of the videos.
3. Network indicator showing data usage and eventually in few seconds app closes itself with leaving me with this error message have copied below.
### Expected behaviour
don really have success watching videos via Android NC app, but thought will try again. Not sure if somehow the new android firmware was upgraded just recently on my phone.
### Actual behaviour
app crashes when trying to open the video from server side.
************ CAUSE OF ERROR ************
************ APP INFORMATION ************
Build flavor: gplay
************ DEVICE INFORMATION ************
************ FIRMWARE ************</t>
  </si>
  <si>
    <t>nextcloud-android-7463</t>
  </si>
  <si>
    <t>Crash when switching profiles</t>
  </si>
  <si>
    <t>have two profiles in Nextcloud app:
1) main one with regular files in VPN net (use it for long time already)
2) new one empty, no any folders and it faces internet Added this one yesterday.
Reproduced the crash several times following these steps:
1) Switch to new profile
2) Upload single photo to new profile
3) Switch back to main one, swipe to update
4) Again switch to new one, swipe to update
5) Delete the photo
6) Switch to main
7) Crash second later
************ CAUSE OF ERROR ************
************ APP INFORMATION ************
Build flavor: gplay
************ DEVICE INFORMATION ************
************ FIRMWARE ************</t>
  </si>
  <si>
    <t>Anuken-Mindustry-3560</t>
  </si>
  <si>
    <t>Units with SapBulletType as a fragBullet for a weapon's bulletType randomly go to brazil when attacking</t>
  </si>
  <si>
    <t>**Steps to reproduce**: Make unit that fires bullet that frags into SapBulletType bullets. unit sometimes goes to brazil
**Link(s) to mod(s) used**: https: github.com z0mbiesrock Diamond-Ore tree 6.0
this save sets up the issue.
**Crash report**: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</si>
  <si>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Anuken-Mindustry-3559</t>
  </si>
  <si>
    <t>buggy pathfinding when controlling a group of ground/naval units (intended?)</t>
  </si>
  <si>
    <t>*demonstration in Overgrowth*
**Steps to reproduce**: *press **G** to control bunch of ground units and pass through some obstacles*
**Link(s) to mod(s) used**: *none*
**Crash report**: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</si>
  <si>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aws-amplify-amplify-android-984</t>
  </si>
  <si>
    <t>Error events in DataStore.observe cause an app crash</t>
  </si>
  <si>
    <t>When there is an error calling the datastore APIs, the local storage subscription ends with the message Storage adapter subscription ended in error Any subsequent error crashes the app.
Subscribe to local storage using one of the observe(...) APIs.
Call any DataStore API which results in an expected error, such as deleting non-existent ID, or saving model instance where the predicate condition is not met.
Check the logs, which will show:
DataStoreException message Wanted to delete one row, but deleted rows., cause null, recoverySuggestion This is likely bug. Please report to AWS.
DataStoreException message Wanted to delete one row, but deleted rows., cause null, recoverySuggestion This is likely bug. Please report to AWS.
Repeat the same operation again which will result in crash:
Caused by: DataStoreException message Wanted to delete one row, but deleted rows., cause null, recoverySuggestion This is likely bug. Please report to AWS.
Caused by: DataStoreException message Wanted to delete one row, but deleted rows., cause null, recoverySuggestion This is likely bug. Please report to AWS.</t>
  </si>
  <si>
    <t>2020-11-23</t>
  </si>
  <si>
    <t>Anuken-Mindustry-3557</t>
  </si>
  <si>
    <t>launch pads still launching when disabled</t>
  </si>
  <si>
    <t>**Steps to reproduce**: *capture sector in campaign, make launch pad, put some resources, launch, wait the production exportation update, disable the launch pad, quit, when back they launch and show the animation*
**Link(s) to mod(s) used**: *none*
**Save file**: (https: github.com Anuken Mindustry files 5585182
**Crash report**: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</si>
  <si>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Anuken-Mindustry-3555</t>
  </si>
  <si>
    <t>Wave survive estimates being easier than real</t>
  </si>
  <si>
    <t>**Steps to reproduce**: See survival estimates. suppose it has something with fuses, maybe rating them as too OP, dont know. You dont have to do anything really, but build fuses. My save also might be broken,
**Link(s) to mod(s) used**:
**Save file**: Its up there
**Crash report**: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</si>
  <si>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ModdingFox-OpenFuraffinityClient-80</t>
  </si>
  <si>
    <t>Bug: Device orientation changes can cause crash</t>
  </si>
  <si>
    <t>TeamNewPipe-NewPipe-4980</t>
  </si>
  <si>
    <t>Reporting causes NewPipe to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</si>
  <si>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0.20.4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Go to any video where the comments fail to load.
(Or repeatedly switch videos quickly, you ll certainly get video where comments don load)
2. little pop-up says Sorry, something went wrong. &lt;b&gt;Report&lt; b&gt;.
3. Clicking Report causes the app to crash.
Could reproduce almost 70% of the time.
&lt;!-- If you can cause the bug to show up again reliably (and hence don have proper set of steps to give us), please still try to give as many details as possible on how you think you encountered the bug. --&gt;
### Actual behaviour
&lt;!-- Tell us what happens with the steps given above. --&gt;</t>
  </si>
  <si>
    <t>AOF-Dev-MCinaBox-699</t>
  </si>
  <si>
    <t>Cannot connect to server using its domain name</t>
  </si>
  <si>
    <t>**Describe the bug**
It seems that MCinaBox cannot connect to server using its domain name. Since some servers using DDNS or etc do not support direct IP in China), solutions mentioned in other issues WON WORK.
Steps to reproduce the behavior:
1. Launch the game.
2. Choose the multiplayer mode.
3. Add any server using its domain name rather than its IP.
4. Click connect to the server and wait to see the connection timed out error.
Server motd message being displayed in the servers list and normal connection to the server.
Screenshot 20201123 211659 com aof mcinabox (https: 18241776
Screenshot 20201123 211735 com aof mcinabox (https: 18241776
**Smartphone (please complete the following information):**
Device: tested on Huawei Mate 30 and Huawei Nova youth
OS: Android 10
App Version: v0.1.3, v0.1.4-p4(arm32, because arm64 version will crash on my device if it starts)
Game Version: 1.16.1, 1.16.4
ve tried connecting to servers in Java Edition on my Windows laptop and it succeeded, thus the problem is not related to the server. Besides, my target server has dynamic ips, as the ping result changes every time, so plz stop answering direct IP solutions.</t>
  </si>
  <si>
    <t>ThatCakeID-os-thm-android-43</t>
  </si>
  <si>
    <t>Deleting an used theme will crash the app</t>
  </si>
  <si>
    <t>Deleting an used theme without deleting the folder would make the app crash. Both in os-thm-android and os-thm-sketchware (because basically they re same)</t>
  </si>
  <si>
    <t>HBiSoft-HBRecorder-44</t>
  </si>
  <si>
    <t>RuntimeException: Unable to stop service com.hbisoft.hbrecorder.ScreenRecordService</t>
  </si>
  <si>
    <t>crashed in production environment. Hope this crash can be avoided with simple NULL check. appreciate any help.
**Describe the bug**
within the HBRecorder crashed on
**Can it be reproduced in demo app**
This crash is reported in production environment.
SDK version 29</t>
  </si>
  <si>
    <t>nextcloud-android-7449</t>
  </si>
  <si>
    <t>Vertical mode to landscape mode and backwards end up with a crash</t>
  </si>
  <si>
    <t>### Steps to reproduce
1. Open specific folder with several files in vertical mode
2. Switch to landscape mode and delete file
3. Switch to vertical mode
### Expected behaviour
vertical mode showing the content of the specific folder
### Actual behaviour
crash log showed up
### Environment data
Android version: 11
Stock or customized system: Stock
#### Web server error log
************ CAUSE OF ERROR ************
************ APP INFORMATION ************
Build flavor: gplay
************ DEVICE INFORMATION ************
************ FIRMWARE ************</t>
  </si>
  <si>
    <t>Anuken-Mindustry-3537</t>
  </si>
  <si>
    <t>The latest version 6.0
Loads up to Map* and crashes with an error *Low memory*</t>
  </si>
  <si>
    <t>Anuken-Mindustry-3536</t>
  </si>
  <si>
    <t>Null pointer</t>
  </si>
  <si>
    <t>got this crash time while playing on server</t>
  </si>
  <si>
    <t>ElderDrivers-EdXposed-643</t>
  </si>
  <si>
    <t>[BUG] 4568 crash webview make miui stuck at bootanimation</t>
  </si>
  <si>
    <t>Android 10 MiUI 12 stable
updated to riru 22 and edxposed 4568
Stuck at bootanimation.
normal after disable edxposed.
Key log to the issue</t>
  </si>
  <si>
    <t>Anuken-Mindustry-3534</t>
  </si>
  <si>
    <t>crash with cyclone and phase wall</t>
  </si>
  <si>
    <t>Game crashes when cyclone is shooting phase wall and cyclone breaks from phase wall when builder units try to rebuild cyclone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</si>
  <si>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2020-11-22</t>
  </si>
  <si>
    <t>Anuken-Mindustry-3533</t>
  </si>
  <si>
    <t>OS: Windows 10 x64 Version: beta build 115</t>
  </si>
  <si>
    <t>cgeo-cgeo-9430</t>
  </si>
  <si>
    <t>**Describe the bug:**
clear and concise summarized description of what the bug is.
cheo immediately crashes when opening the live map view.
Steps to reproduce the behavior:
1. Start cgeo
2. Open Live Map
**Actual behavior state after performing these steps:**
Describe the actual issue problem behavior in detail.
After Update to 2020-11-22:
1. Message: Google Maps not available (that right because no Google Services installed)
2. Message: Switch to OpenStreetMap (okay)
3. c:geo crashes
**Expected behavior state after performing these steps:**
Describe what you expected to happen instead.
Show Live Map...
**Version of c:geo used:**
You will find the c:geo version in c:geo Menu -&gt; About c:geo
**Is the problem reproducible:**
You may attach screenshots if applicable and helpful to explain your problem
Attach system information here if available (see c:geo Menu -&gt; About c:geo -&gt; Swipe right to System)</t>
  </si>
  <si>
    <t>Anuken-Mindustry-3529</t>
  </si>
  <si>
    <t>Campaign sector progress deleted</t>
  </si>
  <si>
    <t>alpha build 1-5
played in sector bottom left of Ground Zero and captured it. At some point (I don remember exactly when) the Saving... text appeared at the bottom of the screen and stayed there. After afking for while and unlocking some of the tech tree clicked save and quit to leave the game, and after come back it was as if had never visited that sector before. Ground Zero still looked the same, and my tech tree progress was still there but that sector appeared locked.
**Steps to reproduce**: *How you happened across the issue, and what exactly you did to make the bug happen.*
If saving... text appears on bottom screen and doesn leave
Save and quit
progress in that sector is deleted but tech tree is still kept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</si>
  <si>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TeamNewPipe-NewPipe-4963</t>
  </si>
  <si>
    <t>Android 4.4.4 : no video in the app or in fullscreen ; floating player okay, sound okay</t>
  </si>
  <si>
    <t>&lt;!-- The first box has been checked for you to show you how it is done. --&gt;
am using the latest version 0.20.3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Install NewPipe 0.20.3
2. Start any video
### Actual behaviour
3. No video is displayed in the app. Sound is fine though. On-picture controls (pause, skip in timeline) are fine too.
4. Switch to fullscreen still no video
5. Switch to floating player video is here
### Expected behavior
Video is displayed in the app and in fullscreen.
### Screenshots Screen recording
Imagine black screen :-)
No crash, no log
### Device info
Android version Custom ROM version: Android 4.4.4 CyanogenMod 11
Device model: Acer Iconia Tab A210</t>
  </si>
  <si>
    <t>Anuken-Mindustry-3525</t>
  </si>
  <si>
    <t>Plastanium conveyors bug</t>
  </si>
  <si>
    <t>Steps to reproduce: Place vault, sorters, plast conveyors like on screenshot and some input things.
Link(s) to mod(s) used: no mods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</si>
  <si>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Anuken-Mindustry-3523</t>
  </si>
  <si>
    <t>Blocked enemy ground unit paths</t>
  </si>
  <si>
    <t>In the enemy base adjacent to Frozen Forest, the enemy ground units can make their way to my base, so crowd right beside the enemy cores. got to the point where there was over 1,000 enemies all just waiting beside the enemy cores. They do this because the AI builds in such way that their paths end up completely blocked. This has happened couple times.
**Steps to reproduce**: *How you happened across the issue, and what exactly you did to make the bug happen.*
Simply go into the enemy base sector adjacent to Frozen Forest (Sector 214), then wait. You ll eventually see that the ground enemies don come towards the core because their paths are blocked.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</si>
  <si>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nextcloud-android-7438</t>
  </si>
  <si>
    <t>App photos crash</t>
  </si>
  <si>
    <t>Hi guys! Thanks for the amazing work!
am facing two problems.
1. The app is loading only 39 photos for some reason and whenever refresh asking for more it get stuck loading.
2. The app crashes always when navigate files. At first thought it was because don have GMS (I have HMS) but then tried it on my tablet with GMS and the same happens.
Nextcloud is sitting on raspberry pi
************ CAUSE OF ERROR ************
************ APP INFORMATION ************
Build flavor: gplay
************ DEVICE INFORMATION ************
************ FIRMWARE ************</t>
  </si>
  <si>
    <t>nextcloud-android-7436</t>
  </si>
  <si>
    <t xml:space="preserve">App crash when open autoupload screen </t>
  </si>
  <si>
    <t>### Steps to reproduce
1. set up that remote auto upload photosw will be kept by conflicts
2. restarted my phone (xiaomi mi 9t pro) because the app still asking me if want to keep image local or remote
3. After restarting started the app and try to open autoupload then the app crashed
### Expected behaviour
Tell us what should happen
### Actual behaviour
expected that the autoupload screen to load.
### Can you reproduce this problem on https: try.nextcloud.com?
Please create test demo account and see if this still happens there.
If yes, please open up bug report
If not, please verify server setup and ask for help on forum
### Environment data
MI 9t Pro
Stock or customized system:
MIUI 12.0.3.0 (QFKEUXM)
Nextcloud app version:
Nextcloud server version:
#### Web server error log
Insert your webserver log here</t>
  </si>
  <si>
    <t>nextcloud-android-7435</t>
  </si>
  <si>
    <t>crash when opening small mp4 movie</t>
  </si>
  <si>
    <t>### Steps to reproduce
1. Add attached video file to shared nextcloud folder
2. Open the video in nextcloud app
### Expected behaviour
video should be played
### Actual behaviour
other video players can actually play the downloaded video file
### Can you reproduce this problem on https: try.nextcloud.com?
Please create test demo account and see if this still happens there.
If yes, please open up bug report
If not, please verify server setup and ask for help on forum
### Environment data
Android version: see log
Stock or customized system:
Nextcloud app version:
Nextcloud server version:
#### Web server error log
Insert your webserver log here
#### Nextcloud log (data nextcloud.log)
Insert your Nextcloud log here</t>
  </si>
  <si>
    <t>Anuken-Mindustry-3521</t>
  </si>
  <si>
    <t>interplanetary accelerator item bar.</t>
  </si>
  <si>
    <t>windows 10 64 bit
the item fill bar will reach the end long before it is full of material
**Steps to reproduce**: *How you happened across the issue, and what exactly you did to make the bug happen.*
1. make an accelerator
2. fill it up
3. bar reaches end before its full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graphical issue so here are some photos
**Crash report**: *The contents of relevant crash report files. REQUIRED if you are reporting crash.*
*Place an (no spaces) between the brackets to confirm that you have read the line below.*
**I have nt searched the closed and open issues to make sure that this problem has not already been reported.**
would presume this happens with modded things that store large amounts of items aswell.</t>
  </si>
  <si>
    <t>TeamNewPipe-NewPipe-4959</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</si>
  <si>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Open app
&lt;!-- If you can cause the bug to show up again reliably (and hence don have proper set of steps to give us), please still try to give as many details as possible on how you think you encountered the bug. --&gt;
### Actual behaviour
The app crashes as soon as opening it, or even when haven opened it, it crashes in the backround, and the stacktrace screen comes up.
### Expected behavior
The app shouldn crash.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User Action: ui error
Request: App crash, UI failure</t>
  </si>
  <si>
    <t>nextcloud-android-7434</t>
  </si>
  <si>
    <t>TeamNewPipe-NewPipe-4957</t>
  </si>
  <si>
    <t>DesugarGregorianCalendar crash? Huh?</t>
  </si>
  <si>
    <t>Latest stable on an old tablet running Android 4.4
When switching BACK to the app it crashes</t>
  </si>
  <si>
    <t>2020-11-21</t>
  </si>
  <si>
    <t>TeamNewPipe-NewPipe-4955</t>
  </si>
  <si>
    <t>Parse error when clicking on videos of subscribed channels</t>
  </si>
  <si>
    <t>&lt;!-- The comments between these brackets won show up in the submitted issue (as you can see in the Preview). --&gt;
&lt;!-- The first box has been checked for you to show you how it is done. --&gt;
am using the latest version 0.20.1 droid version
### Steps to reproduce the bug
1. Go to ...
2. Press on ....
3. Swipe down to ....
Click subscribed channels tab
Video page loads
Video loads but...
&lt;!-- If you can cause the bug to show up again reliably (and hence don have proper set of steps to give us), please still try to give as many details as possible on how you think you encountered the bug. --&gt;
### Actual behaviour
&lt;!-- Tell us what happens with the steps given above. --&gt;
An exception happened. Parse error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</si>
  <si>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Anuken-Mindustry-3520</t>
  </si>
  <si>
    <t>No mods used
*Place an (no spaces) between the brackets to confirm that you have read the line below.*
**I have searched the closed and open issues to make sure that this problem has not already been reported.**</t>
  </si>
  <si>
    <t>Anuken-Mindustry-3519</t>
  </si>
  <si>
    <t>Game crashes when starting</t>
  </si>
  <si>
    <t>**Steps to reproduce**: *Starting again after saving and quitting (maybe with alt+F4 but dont know)*
*Place an (no spaces) between the brackets to confirm that you have read the line below.*
**I have searched the closed and open issues to make sure that this problem has not already been reported.**</t>
  </si>
  <si>
    <t>Anuken-Mindustry-3518</t>
  </si>
  <si>
    <t>Long item requirements of a block break the build menu</t>
  </si>
  <si>
    <t>#3422 but it happens with the item requirements of block
**Steps to reproduce**: *How you happened across the issue, and what exactly you did to make the bug happen.*
1. put down block which needs huge amounts of more than items (interplanetary accelerator as vanilla example)
2. hover over it
3. see how it seperates the build menu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dont think this is needed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</si>
  <si>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Anuken-Mindustry-3514</t>
  </si>
  <si>
    <t>Bullets moving too fast to actually hit anything</t>
  </si>
  <si>
    <t>**Steps to reproduce**: As was defending Planetary Launch Terminal after capturing it, noticed that the Omuras built aren hitting units they were firing at even smaller units like Spirocts were completely unaffected by the bullets. This eventually led to me losing the sector to the Guardian Toxopid that spawned in, as the Omuras constantly whiffed against it as the bullets flew through the Guardian as if hopping over it. The Toxopid proceeded to crawl past my defenses and made it all the way to my core.
**Link(s) to mod(s) used**: None apply
**Crash report**: No crash
*Place an (no spaces) between the brackets to confirm that you have read the line below.*
**I have searched the closed and open issues to make sure that this problem has not already been reported.**</t>
  </si>
  <si>
    <t>oliexdev-openScale-653</t>
  </si>
  <si>
    <t>Crash when selecting chart datapoint, then disable corresponding metric (V2.3.2)</t>
  </si>
  <si>
    <t>**Describe the bug**
Crash when selecting chart datapoint, then disable corresponding metric
Steps to reproduce the behavior:
1. Go to Overview (home) tab
2. Click on chart datapoint (e.g. Water or Basal Metabolic Rate some metrics don crash)
3. Click on metric icon with same color
4. See error
Reproduced with latest dev version (https: github.com oliexdev openScale releases tag travis-dev-build): 2.3.2 F-Droid
Metric and datapoints are removed
Needs at least measurement
(Nothing significant in debug log)
Saved in clipboard:
Build version: 2.3.2
OS version: Android (SDK 28)</t>
  </si>
  <si>
    <t>nextcloud-android-7425</t>
  </si>
  <si>
    <t>Just posting crash output on my Tablet Samsung Galaxy Note 12.1</t>
  </si>
  <si>
    <t>### Steps to reproduce
1. Start Tablet
### Expected behaviour
Nextcloud should start
### Actual behaviour
Nextcloud crashes saying Nextcloud angehalten
### Can you reproduce this problem on https: try.nextcloud.com?
Please create test demo account and see if this still happens there.
If yes, please open up bug report
If not, please verify server setup and ask for help on forum
Sorry, but this is to much
### Environment data
Android version: 5.0.
Device model: SM P900
Stock or customized system: Stock
Nextcloud app version: 3.13.1
Nextcloud server version: ??? (connecting to
Reverse proxy: No
#### Web server error log
#### Nextcloud log (data nextcloud.log)</t>
  </si>
  <si>
    <t>Anuken-Mindustry-3509</t>
  </si>
  <si>
    <t>**Steps to reproduce**:I just build titans conveyor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</si>
  <si>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TeamNewPipe-NewPipe-4948</t>
  </si>
  <si>
    <t>Fix crash on startup when there is no internet connection</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</si>
  <si>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The crash was caused by an Observable Callable returning null when fetching the latest available app version without internet connection, but RxJava Observable do not accept null results. So used Maybe instead, and removed null check inside the subscriber since nullity is already taken care of by the Maybe also did some refactoring in the file.
further crash was caused by the onError() interface not being implemented. That produced crash instead of handling the connectivity error.
#### Fixes the following issue(s)
#### APK testing
#### Due diligence
read the contribution guidelines (https: github.com TeamNewPipe NewPipe blob HEAD .github CONTRIBUTING.md).</t>
  </si>
  <si>
    <t>nextcloud-android-7419</t>
  </si>
  <si>
    <t>Browsing files on Pixel 4 XL</t>
  </si>
  <si>
    <t>### Steps to reproduce
1. Open next cloud app
2. Go through photos videos
3. Watch the app craah
### Expected behaviour
Tell us what should happen
Be able to view files without the app crashing
### Actual behaviour
Tell us what happens
### Can you reproduce this problem on https: try.nextcloud.com?
Please create test demo account and see if this still happens there.
If yes, please open up bug report
If not, please verify server setup and ask for help on forum
### Environment data
************ CAUSE OF ERROR ************
************ APP INFORMATION ************
Build flavor: gplay
************ DEVICE INFORMATION ************
************ FIRMWARE ************
Nextcloud server version:</t>
  </si>
  <si>
    <t>Anuken-Mindustry-3501</t>
  </si>
  <si>
    <t>Joining a multiplayer campaign game messes up your personal campaign progress</t>
  </si>
  <si>
    <t>when joining multiplayer camapgin game then going back to your personal one, the global items stick around from the multiplayer.
**Steps to reproduce**: *How you happened across the issue, and what exactly you did to make the bug happen.*
1. join multiplayer campaign game
2. do stuff
4. go to your own campaign
5. you now have items that you didnt make.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(holdup its like 500 mb and taking forever to upload will add when its uploaded)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</si>
  <si>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nextcloud-android-7414</t>
  </si>
  <si>
    <t>App crashes when playing a video</t>
  </si>
  <si>
    <t>### Steps to reproduce
1. Play video within the app
### Expected behaviour
### Actual behaviour
Video plays for few seconds and then crashes the app with the following message.
************ CAUSE OF ERROR ************
************ APP INFORMATION ************
Build flavor: gplay
************ DEVICE INFORMATION ************
************ FIRMWARE ************
### Environment data
Nextcloud app version: 3.14.0</t>
  </si>
  <si>
    <t>TeamNewPipe-NewPipe-4940</t>
  </si>
  <si>
    <t>Endless buffering on duplicate videos in queue</t>
  </si>
  <si>
    <t>am using the latest version 0.21.1 (But this bug happens at least since the v0.20.4)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Play video in background that is duplicated in playlist (the duplicate has to come right after the video) and the bug will occur when the duplicate plays.
### Actual behaviour
The video basically gets on an endless buffering and never starts playing or moves on to the next playlist video (unless you do it manually).
### Expected behavior
The video, whether duplicate or not should play normally.
### Screenshots Screen recordings
If applicable, add screenshots or screen recording to help explain your problem. GitHub supports uploading them directly in the issue text box. If your file is too big for Github to accept, feel free to paste link from an image video hoster here instead.
DON POST SCREENSHOTS OF THE ERROR PAGE. Use the buttons given on the error page to paste the error as text in the Logs section below.
If your bug includes crash (where you re shown the Error Report page with bunch of info), tap on Copy formatted report at the bottom and paste it here:
That right, here!
Please fill this out when you do not provide log generate by NewPipe
### Device info
Android version Custom ROM version: MIUI 11 (Android 7.0)
Device model: Redmi Note</t>
  </si>
  <si>
    <t>2020-11-20</t>
  </si>
  <si>
    <t>Anuken-Mindustry-3497</t>
  </si>
  <si>
    <t>unit does not use modded constructor when loading save</t>
  </si>
  <si>
    <t>For some reason unit.warp (function defined in constructor) is undefined when loading save.
When an ability is updated it has stroke and uses vanilla entity class, causing it to crash.
**Steps to reproduce**:
1. install mod
2. load save
**Link(s) to mod(s) used**: deltanedas anuke-logic
warp is clearly defined, but the constructor doesnt appear to be used.
**Save file**: (https: github.com Anuken Mindustry files 5575990
*Place an (no spaces) between the brackets to confirm that you have read the line below.*
**I have searched the closed and open issues to make sure that this problem has not already been reported.**</t>
  </si>
  <si>
    <t>ElderDrivers-EdXposed-639</t>
  </si>
  <si>
    <t>[BUG] null pointer dereference on LineageOS 16</t>
  </si>
  <si>
    <t>** What happened?**
Zygote64 crashed on system startup (bootloops)
**Xposed Xposed Module List**
None (first boot)
**Magisk Magisk Module List**
ADB For android NDK
Busybox for android ndk
Nano for android ndk
**EdXposed Riru Versions of EdXposed and Riru**
** Logcat Logcat**
Both sandhook and yahfa produces the same error</t>
  </si>
  <si>
    <t>Anuken-Mindustry-3495</t>
  </si>
  <si>
    <t>Data export crash</t>
  </si>
  <si>
    <t>No mods used
Crash report: cant export crash data aswell
*Place an (no spaces) between the brackets to confirm that you have read the line below.*
**I have searched the closed and open issues to make sure that this problem has not already been reported.**</t>
  </si>
  <si>
    <t>nextcloud-android-7406</t>
  </si>
  <si>
    <t xml:space="preserve">Crash during video playback streaming </t>
  </si>
  <si>
    <t>### Steps to reproduce
1. Play video and touch or rotate screen
2. Attempt to use stream with... option in menu before playing video
### Expected behaviour
Tell us what should happen
Should play video and not crash
### Actual behaviour
Tell us what happens
Black screen or crash screen with debug log see below: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t>
  </si>
  <si>
    <t>Anuken-Mindustry-3493</t>
  </si>
  <si>
    <t>Parallax + battery = Broken</t>
  </si>
  <si>
    <t>bleeding edge 11414
parallax battery no
**Steps to reproduce**: *How you happened across the issue, and what exactly you did to make the bug happen.*
have parallax with some batteries in the net, it wont work?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in this save file ve used dev mode to have you be crux gamma.
**Crash report**: *The contents of relevant crash report files. REQUIRED if you are reporting crash.*
*Place an (no spaces) between the brackets to confirm that you have read the line below.*
**I have not seen this issue be reported before.**</t>
  </si>
  <si>
    <t>nextcloud-android-7405</t>
  </si>
  <si>
    <t>Unknow crash</t>
  </si>
  <si>
    <t>### Steps to reproduce
1. Start App
3. Suddenly crah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CAUSE OF ERROR ************
************ APP INFORMATION ************
Build flavor: versionDev</t>
  </si>
  <si>
    <t>nextcloud-android-7402</t>
  </si>
  <si>
    <t>### Steps to reproduce
1. Play MP4 file
### Expected behaviour
video should play without crash
### Actual behaviour
video play started and then crashed
### Can you reproduce this problem on https: try.nextcloud.com?
Please create test demo account and see if this still happens there.
If yes, please open up bug report
If not, please verify server setup and ask for help on forum
### Environment data
************ CAUSE OF ERROR ************
************ APP INFORMATION ************
Build flavor: gplay
************ DEVICE INFORMATION ************
************ FIRMWARE ************
Stock or customized system:
Nextcloud app version:
Nextcloud server version:
#### Web server error log</t>
  </si>
  <si>
    <t>Anuken-Mindustry-3492</t>
  </si>
  <si>
    <t>Payload conveyors carrying scepters</t>
  </si>
  <si>
    <t>Linux and Android
Payload conveyors can carry scepters. (Only happens with scepters, no other t4 units.)
**Steps to reproduce**: *How you happened across the issue, and what exactly you did to make the bug happen.*
1. Construct scepter
2. While constructing, put payload conveyor on the output part of the exponential reconstructor
3. See the payload conveyor carrying the scepter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Used clean save, reproduced the bug after data reset. don think this is needed.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</si>
  <si>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nextcloud-android-7396</t>
  </si>
  <si>
    <t>Consistant crash on playing video</t>
  </si>
  <si>
    <t>JuanSeBestia-react-native-wifi-reborn-142</t>
  </si>
  <si>
    <t>Broken dependencies</t>
  </si>
  <si>
    <t>When call app was crashed with error that elvis class not found.
And manually add the dependency to
after that, it work correctly.</t>
  </si>
  <si>
    <t>Anuken-Mindustry-3479</t>
  </si>
  <si>
    <t>fix the recognition of waves you are in when you enter a sector under attack.</t>
  </si>
  <si>
    <t>steam build 115
Basically entered the low sector at tack in round 137 140 and at that moment this bug was made in the game, something that would not have to happen but it happened, and half laugh because you are in round 140 140 and the boss comes out in 142 in few words it is as if it were something similar to real life XD.
Sin tulo (https: 74759015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</si>
  <si>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zoontek-react-native-localize-123</t>
  </si>
  <si>
    <t>Receiver not registered: com.zoontek.rnlocalize.RNLocalizeModule</t>
  </si>
  <si>
    <t>After updating to the newest version of the library (2.0.0) we started getting crashes in production.
## Environment info
react-native info output:
API Levels: 28, 29, 30
Build Tools: 28.0.3, 29.0.2, 30.0.2
System Images: android-27 Google Play Intel x86 Atom, android-28 Intel x86 Atom 64, android-28 Google Play Intel x86 Atom, android-30 Google APIs Intel x86 Atom, android-30 Google Play Intel x86 Atom, android-30 Google Play Intel x86 Atom 64
Android NDK: Not Found
Android Studio: 4.0
Library version: 2.0.0
## Steps to reproduce
To my regret, can provide the steps to reproduce the issue.
Some extra info from Crashlytics:
1) The app is 100% time is in the background, but not sure whether that means that the app crashes when the user tries to close it, or that the app crashes when the app is in the background
2) The issue, for now, has been seen on Android 10</t>
  </si>
  <si>
    <t>AOF-Dev-MCinaBox-695</t>
  </si>
  <si>
    <t>On 1.13.2 Crashes when on launch</t>
  </si>
  <si>
    <t>**Describe the crash**
open up Minecraft 1.13.2 then after few seconds after loading it crashes.
Steps to reproduce the crash:
1. Go to home
2. Click on select version (with 1.13.2 selected)
4. See the crash
It worked for 1.7.10
don have any screenshots, but have recording
**Smartphone (please complete the following information):**
Device: Lenovo C330 Chromebook
OS: Chromeos with android subsystem: Android (32 bit)
App Version 0.1.4-p4-arm32</t>
  </si>
  <si>
    <t>nextcloud-android-7386</t>
  </si>
  <si>
    <t>App crashes when playing a mp4 video</t>
  </si>
  <si>
    <t>### Steps to reproduce
1. Upload mp4 video
2. Attempt to play same video from the same android device it was uploaded with, but within nextcloud.
### Expected behaviour
Video should play like the other mp4 videos. If the video was not uploaded by the same device it being attempted to be played on, all is well.
### Actual behaviour
### Can you reproduce this problem on https: try.nextcloud.com?
According to the report, it bug in the app
### Environment data
Stock or customized system:
Nextcloud app version:
Nextcloud server version:
#### Web server error log
Insert your webserver log here
************ CAUSE OF ERROR ************
************ APP INFORMATION ************
Build flavor: gplay
************ DEVICE INFORMATION ************
************ FIRMWARE ************
#### Nextcloud log (data nextcloud.log)</t>
  </si>
  <si>
    <t>GeyserMC-GeyserAndroid-13</t>
  </si>
  <si>
    <t>Config crash</t>
  </si>
  <si>
    <t>**Describe the bug**
The app crashes if you change the port in the config.
1. Go to Geyser
2. Click on CONFIG
3. Select Port
4. Delete the default 25565 via the delete button (do not select all and delete)
No crash :)
**Android OS Version**
8.0.0 and 7.1.2
**Android App Version**
1.2.2 App Revision:
Geyser Version 1.2.0-SNAPSHOT (Java: 1.16.4, Bedrock: 1.16.100.60)</t>
  </si>
  <si>
    <t>2020-11-19</t>
  </si>
  <si>
    <t>nextcloud-android-7379</t>
  </si>
  <si>
    <t>Sorry, cannot give steps to reproduce. Nextcloud on my android (Sony Xperia xz premium, android 9) keeps crashing, or rather needs to be force-closed.
have background process that is uploading the contents of my sd card (128GB, mainly audio and photos).
Much of the time, there is notification of file uploading, but the never changes. It could be 48%, it could be 100%.
Rebooting seems to help but only few files will complete before getting stuck again.
It finally offered bug report to post, so here it is:
************ CAUSE OF ERROR ************
************ APP INFORMATION ************
Build flavor: gplay
************ DEVICE INFORMATION ************
************ FIRMWARE ************</t>
  </si>
  <si>
    <t>TeamNewPipe-NewPipe-4921</t>
  </si>
  <si>
    <t>Fixed crash when starting NewPipe after it was removed from RAM</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</si>
  <si>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Fixes an issue mentioned (https: github.com TeamNewPipe NewPipe issues by opusforlife2.
#### APK testing
&lt;!-- Use new, meaningfully named branch. The name is used as suffix for the app ID to allow installing and testing multiple versions of NewPipe, e.g. commentfix if your PR implements bugfix for comments. (No names like patch-0 and feature-1 .) --&gt;
#### Due diligence
read the contribution guidelines (https: github.com TeamNewPipe NewPipe blob HEAD .github CONTRIBUTING.md).</t>
  </si>
  <si>
    <t>TeamNewPipe-NewPipe-4920</t>
  </si>
  <si>
    <t>App crashes when launched without internet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</si>
  <si>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Close NewPipe (if open)
2. Remove the app from Recents
3. Disconnect the device from the internet
4. Launch NewPipe
&lt;!-- If you can cause the bug to show up again reliably (and hence don have proper set of steps to give us), please still try to give as many details as possible on how you think you encountered the bug. --&gt;
### Actual behaviour
&lt;!-- Tell us what happens with the steps given above. --&gt;
(Unfortunately, NewPipe has stopped.)</t>
  </si>
  <si>
    <t>HamedTaherpour-ht-epub-reader-android-2</t>
  </si>
  <si>
    <t>Problem with some epub files</t>
  </si>
  <si>
    <t>The file gets downloaded,but when open it,it just shows Error (that means no sublist too), the sample you provided works properly..When the link is not valid epub,app gets crash.</t>
  </si>
  <si>
    <t>gsantner-markor-1130</t>
  </si>
  <si>
    <t>Prevent onSelectionChanged from triggering a bug with larger files</t>
  </si>
  <si>
    <t>The fundamental issue in https: github.com gsantner markor issues 1128 appears to be that the onSelectionChange code in the TextView base class calls some accessibility service. The whole text of the document is passed to this service through an intent. The whole document can exceed the intent size limit, causing crash which sometimes propagates back to markor.
Blocking the call prevents this</t>
  </si>
  <si>
    <t>Anuken-Mindustry-3457</t>
  </si>
  <si>
    <t>Load proving too much for older GPUs</t>
  </si>
  <si>
    <t>**Steps to reproduce**: *Try to play large, heavily developed maps load mods on an older device.* **DO NOT ATTEMPT THIS ON YOUR SNAZZY NEW DEVICES, AS THIS ONLY APPLIES TO OLDER CHEAPER LOWER QUALITY DEVICES.** (shows more on iOS due to the painfully weak GPUs in them)
**Testing Device(s)**: *Apple iPod Touch 6, Samsung Galaxy Tab 7.0*
**Link(s) to mod(s) used**: *how do link all the 6.0 mods in existence again...? Optional, and an important thing to test.*
**Save file**: *null*
**Crash report**: *The crashes leave no logs.*
**Possible fix**: *Make Mindustry visually render in chunks or only in the range of the players view but make the entire map handled (invisibly) by the CPU. Or optimize graphics for the game, though both these options may be impossible to implement.*
come to think of it, the first option would make fire less laggy
*Place an (no spaces) between the brackets to confirm that you have read the line below.*
**I have not really searched the closed and open issues to make sure that this problem has not already been reported, but have made previous issues like this one that did not fix this issue.**</t>
  </si>
  <si>
    <t>Anuken-Mindustry-3453</t>
  </si>
  <si>
    <t>crash upon opening campaign</t>
  </si>
  <si>
    <t>Crash upon opening planet dialog.
Probably caused by routorio icon.
think error should be caught, print Unknown icon %s for sector %d and reset it.
**Steps to reproduce**:
1. Open campaign
**Link(s) to mod(s) used**: deltanedas routorio
**Save file**: confidential
*Place an (no spaces) between the brackets to confirm that you have read the line below.*
**I have searched the closed and open issues to make sure that this problem has not already been reported.**</t>
  </si>
  <si>
    <t>2020-11-18</t>
  </si>
  <si>
    <t>TeamNewPipe-NewPipe-4915</t>
  </si>
  <si>
    <t>Error receiving broadcast Intent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</si>
  <si>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0.20.3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Opened stream vida trending. Happens randomly.
&lt;!-- If you can cause the bug to show up again reliably (and hence don have proper set of steps to give us), please still try to give as many details as possible on how you think you encountered the bug. --&gt;
&lt;!-- If your bug includes crash (where you re shown the Error Report page with bunch of info), tap on Copy formatted report at the bottom and paste it here: --&gt;
User Action: ui error
Request: App crash, UI failure
Content Country: DE
Content Language: de-DE
App Language: de DE
OS: Linux Android 28
log b&gt;&lt; summary&gt;&lt;p&gt;
&lt;!-- Please fill this out when you do not provide log generate by NewPipe --&gt;</t>
  </si>
  <si>
    <t>Anuken-Mindustry-3452</t>
  </si>
  <si>
    <t>**Steps to reproduce**: *I do not know.*
**Link(s) to mod(s) used**: *No.*
**Save file**: *.*
**Crash report**: *Mindustry has crashed. How unfortunate.
Report this at https: github.com Anuken Mindustry issues new?labels bug&amp;template bug report.md
*Place an (no spaces) between the brackets to confirm that you have read the line below.*
**I have searched the closed and open issues to make sure that this problem has not already been reported.**</t>
  </si>
  <si>
    <t>Anuken-Mindustry-3450</t>
  </si>
  <si>
    <t>Notification bar covers ui at top of screen</t>
  </si>
  <si>
    <t>**Steps to reproduce**: any notification causes this to happen. If the notification bar appears it just doesn go away. don really have to do anything to make it happen
**Link(s) to mod(s) used**: *The mod repositories or zip files that are related to the issue, if applicable.*
**Save file**: happens on the main menu before have starts.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</si>
  <si>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harry-cramp-Droog-6</t>
  </si>
  <si>
    <t>App crashes if no flashcards exist</t>
  </si>
  <si>
    <t>Anuken-Mindustry-3449</t>
  </si>
  <si>
    <t>poly formation build crash</t>
  </si>
  <si>
    <t>**Steps to reproduce**: opened up the nydus bleeding edge server
**Link(s) to mod(s) used**: mods folder empty
*Place an (no spaces) between the brackets to confirm that you have read the line below.*
**I have nuzzled the closed and open issues to make sure that this problem has not already been reported.**</t>
  </si>
  <si>
    <t>nextcloud-android-7362</t>
  </si>
  <si>
    <t>SqlLite blob too big exception when browsing external storage</t>
  </si>
  <si>
    <t>### Steps to reproduce
1. Setup server and create user account
2. Add external storage with some +230GB folder
3. From the phone, login and browse the external storage.
4. While loading, the app crashes with an SqlLite blob too big exception.
### Expected behaviour
While it may take longer to load, the app should not crash.
### Actual behaviour
The app crashes with an SqlLite blob too big exception.
### Can you reproduce this problem on https: try.nextcloud.com?
Please create test demo account and see if this still happens there.
If yes, please open up bug report
If not, please verify server setup and ask for help on forum
### Environment data
Android version: 10
Device model: Honor 10
Stock or customized system: EMUI 10 (stock)
Nextcloud app version:
Nextcloud server version:
************ CAUSE OF ERROR ************</t>
  </si>
  <si>
    <t>Anuken-Mindustry-3447</t>
  </si>
  <si>
    <t>Velas burning themselves</t>
  </si>
  <si>
    <t>Happens on Linux, Windows and Android
Vela firing and its laser beam damaging any enemy building will burn the vela.
**Steps to reproduce**: *How you happened across the issue, and what exactly you did to make the bug happen.*
1. Make vela
2. Take control of the vela
3. Attack an enemy building
4. See that not only the enemy buildings are burning, but the vela too.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</si>
  <si>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gsantner-markor-1128</t>
  </si>
  <si>
    <t>Accessibility crash at big files</t>
  </si>
  <si>
    <t>am seeing repeated crashes when editing relatively large markdown file 1600 lines, 12000 words, 60000 characters.).
see the following trace. But am unsure what where the underlying cause is
ENTIRE CONTENTS OF THE DOCUMENT&gt;</t>
  </si>
  <si>
    <t>Anuken-Mindustry-3442</t>
  </si>
  <si>
    <t>Salt Flats not capturing immediately when enemy core destroyed.</t>
  </si>
  <si>
    <t>Beta built 114
Even though destroyed the only core could find, it continues as if the core was still there. Both the enemies and main enemy unit respawned at the location of the destroyed core. However, immediately after going back into the sector after getting my core destroyed, it said Sector Captured
**Steps to reproduce**: *How you happened across the issue, and what exactly you did to make the bug happen.*
simply went to the core with Zeniths, and destroyed it.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</si>
  <si>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FTCLib-FTCLib-127</t>
  </si>
  <si>
    <t>MotorEx Velocity RunMode Crashes FTC Robot Controller Activity</t>
  </si>
  <si>
    <t>**Describe the bug**
In testing earlier, tried using velocity control with .set() for the MotorEx It instantly crashes the controller activity. The error it produces in the logcat is that the packets were not returned from the motor (timeout after 250 ms). Doing .setVelocity() works fine, which is what the .set() in VelocityControl calls.
Steps to reproduce the behavior:
TeleOp(name MotorEx testing
public class MotorExTest extends LinearOpMode
private MotorEx test
public void runOpMode() throws
test new test
Also, with the default velocity control on Motor doing .stopMotor() seemed to instead just reverse the direction. don know if that is an actual bug yet. Might be something to look into.</t>
  </si>
  <si>
    <t>2020-11-17</t>
  </si>
  <si>
    <t>Anuken-Mindustry-3440</t>
  </si>
  <si>
    <t>Grey Team on Attack Sector Makes It Unbeatable</t>
  </si>
  <si>
    <t>**Mods Used**: Only one. have uploaded the zip file with this report, since have not uploaded the version was using anywhere yet. It is mod that developed myself called Scrapless Slag. It is unlikely to have anything to do with this issue though.
**Save file**: am unsure where and how campaign games are saved. guessing in C: Program Files (x86) Steam steamapps common Mindustry saves saves and guessing that the relevant save file is the one titled Here it is:
**Crash report**: No crash was caused.
*Place an (no spaces) between the brackets to confirm that you have read the line below.*
**I have searched the closed and open issues to make sure that this problem has not already been reported.**
Searching returns no results, and nothing comes up when go to the issues tab under Anuken Mindustry. assume am doing something wrong, but can figure out what. am reporting this anyway.</t>
  </si>
  <si>
    <t>material-components-material-components-android-1877</t>
  </si>
  <si>
    <t>Material Android Components are crashing in debug mode</t>
  </si>
  <si>
    <t>This issue is reproducing for both 4.1.1 and 4.4.0 Gradle versions
App crashing in debug mode but working fine in Release mode.
tried reinstalling the android studio Nothing helps me
**Android API version:** Android API version Android 11 (30</t>
  </si>
  <si>
    <t>Anuken-Mindustry-3434</t>
  </si>
  <si>
    <t>Bug with opening content, and bug with the core</t>
  </si>
  <si>
    <t>**Steps to reproduce**: just downloaded the game and launched the map in survival and sandbox mode. In the nucleus core, when go to the map, the core doesn have about 40% health. To unlock content, just got any resource that would like to open (for example, coal)
**Link(s) to mod(s) used**: **Link(s) to mod(s) used**: *The mod repositories or zip files that are related to the issue, if applicable.*
**Crash report**: The game didn crash
*Place an (no spaces) between the brackets to confirm that you have read the line below.*
have searched the closed and open issues to make sure that this problem has not already been reported.</t>
  </si>
  <si>
    <t>Anuken-Mindustry-3432</t>
  </si>
  <si>
    <t>Weird things are happening in campaign</t>
  </si>
  <si>
    <t>**Steps to reproduce**: don know how exactly this happened. was just building some stuff when the issue occurred.
**Link(s) to mod(s) used**: *The mod repositories or zip files that are related to the issue,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</si>
  <si>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Anuken-Mindustry-3429</t>
  </si>
  <si>
    <t>Dupe bug</t>
  </si>
  <si>
    <t>**Steps to reproduce**: *Only very unconciuous people can do this, if you spent item and quickly go to different area on the planet, the items will be when spent but if you check tech tree again the materials are back.*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dont know what is the zipped folder, but it happens on campaigan*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</si>
  <si>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Anuken-Mindustry-3424</t>
  </si>
  <si>
    <t>Bug thing</t>
  </si>
  <si>
    <t>**Steps to reproduce**: Almost captured Ruinous Shores when importing my save and when skipped on wave 30 30 timer got stuck in 1:59
**Save file**: *The (zipped) save file you were playing on when the bug happened. THIS IS REQUIRED FOR ANY ISSUE HAPPENING IN-GAME, REGARDLESS OF WHETHER YOU THINK IT HAPPENS EVERYWHERE. DO NOT DELETE OR OMIT THIS LINE UNLESS YOU ARE SURE THAT THE ISSUE DOES NOT HAPPEN IN-GAME.*
can because when tried to update my save the game crashed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</si>
  <si>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2020-11-16</t>
  </si>
  <si>
    <t>Anuken-Mindustry-3422</t>
  </si>
  <si>
    <t>Long unit names break the build menu</t>
  </si>
  <si>
    <t>Long unit names in unit factories break the building menu.
**Steps to reproduce**: *How you happened across the issue, and what exactly you did to make the bug happen.*
1. use bundle, to rename an unit
2. make the new name long
3. put down an unit factory, and select the unit with the long name.
4. put your cursor over the factory building
5. look at the build menu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not sure which one is needed, so am uploading both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</si>
  <si>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GoogleCloudPlatform-fda-mystudies-2053</t>
  </si>
  <si>
    <t xml:space="preserve">Android- emulator app falls into a crash loop </t>
  </si>
  <si>
    <t>UI shows session expired error</t>
  </si>
  <si>
    <t>google-ExoPlayer-8230</t>
  </si>
  <si>
    <t>Custom audio processor getting incorrect channel count with (baked audio?) adaptive HLS that has mono and stereo audio</t>
  </si>
  <si>
    <t>### REQUIRED Issue description
have created few audio processors (a pan, and one that allows me to pipe samples out to an external entity). On playing an HLS stream that has mixture of mono and stereo audio think the onConfigure method is not being called when the adaptive track selection changes the audio stream. am seeing reporting that there are channels of audio, but never comes through as channel when, think, the track selector is dropping it down.
have tested this with local MP4 video with single mono audio stream and get single channel reported in the channelCount variable.
Some additional information on the stream. It looks like there is no audio stream defined in the manifest, but rather the audio is baked into the track segments. With the lower bitrates have the mono audio baked in (tracks 0, and 2), whilst the higher ones appear to have stereo audio baked in.
Off the back of the above information, have tested selecting the lower resolution bitrate video tracks on their own and indeed see chanelCount of coming through.
tested the stream in the ExoPlayer demo and get assert stop crash when try to select an individual track. The demo does report the selectable audio as both stereo and mono.
If indeed there is an issue, am not convinced it is manifesting itself with negative effect in the demo and regular use-cases. am piping out the audio samples to be played externally (via Unity) and the result of the incorrect channel count is (I think) double samples being pumped to my output buffer...which is leading to half speed pitched down playback.
### REQUIRED Reproduction steps
Create an audio processor and insert it into the processing chain
Use adaptive track selection
Play back the following stream: http: sample.vodobox.net skate phantom flex 4k skate phantom flex 4k.m3u8 (http: sample.vodobox.net skate phantom flex 4k skate phantom flex 4k.m3u8)
Logging out of the custom AudioProcessors onConfigure function will show that the is
### REQUIRED Link to test content
### REQUIRED full bug report captured from the device
### REQUIRED Version of ExoPlayer being used
### REQUIRED Device(s) and version(s) of Android being used
Nexus (2nd generation)
NVidia Shield Tablet</t>
  </si>
  <si>
    <t>WrichikBasu-ShakeAlarmClock-20</t>
  </si>
  <si>
    <t>StringIndexOutOfBoundsException in Activity_RingtonePicker</t>
  </si>
  <si>
    <t>This crash report was received from Google Play.
Android version: (SDK 28)
The exception seems to be thrown from the following statement:
String fileNameWithoutExt ))
file is being chosen by the user that does not have an extension?</t>
  </si>
  <si>
    <t>amplitude-Amplitude-Android-256</t>
  </si>
  <si>
    <t>com.amplitude.api.ConfigManager.refresh: ArrayIndexOutOfBoundsException</t>
  </si>
  <si>
    <t>We ve noticed new trending crash in production:
## Possible Solution
The current implementation doesn catch such exceptions:
public void listener)
catch (IOException e)
catch (JSONException e)
SDK Version: 2.29.1
Android API Level: Multiple versions: 7.0, 8.0, 8.1.0,
Device: Multiple vendors including Xiaomi, Oppo, Huawei, Motorola, Vivo</t>
  </si>
  <si>
    <t>Anuken-Mindustry-3417</t>
  </si>
  <si>
    <t>Already finished sector is getting "under attack"</t>
  </si>
  <si>
    <t>**Steps to reproduce**:
Start sector 101 (Salt Flats)
Win the sector by destroying enemy base
... After some time, got pop-up -like message saying that Salt Flats sector (my current sector) is under attack. When re-joined Salt Flats, it was indeed under attack from future airplane waves, spawn from where the enemy base was
**Link(s) to mod(s) used**: *None*
**Save file**: *attached*
**Crash report**: *Not crash*
**I have searched the closed and open issues to make sure that this problem has not already been reported.**</t>
  </si>
  <si>
    <t>TeamNewPipe-NewPipe-4894</t>
  </si>
  <si>
    <t>The export of the subscription to youtube does not work</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</si>
  <si>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click on the link under Menu Subscriptions Import Youtube, log into the browser and the download does not start! only see the subscriptions.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t>
  </si>
  <si>
    <t>2020-11-15</t>
  </si>
  <si>
    <t>Anuken-Mindustry-3410</t>
  </si>
  <si>
    <t>Strong Unit Bug</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</si>
  <si>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</si>
  <si>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Anuken-Mindustry-3405</t>
  </si>
  <si>
    <t>On sector 195 the player treats the friendly units as enemies?</t>
  </si>
  <si>
    <t>**Steps to reproduce**: *I went to sector 195*
**Link(s) to mod(s) used**: *No mods used*
**Crash report**: *It didn crash the game, it was just an inconvenience*
**I have searched the closed and open issues to make sure that this problem has not already been reported.**</t>
  </si>
  <si>
    <t>jellyfin-jellyfin-androidtv-629</t>
  </si>
  <si>
    <t>Video player crashes when using Emerald theme</t>
  </si>
  <si>
    <t>**Describe the bug**
The app crashes when trying to play video with the Emerald theme
&lt;!-- Steps to reproduce the behavior: --&gt;
1. Set theme to Emerald
2. Try to play video
3. See error
The app should not crash.
**System (please complete the following information):**
Android TV or Fire TV version: Android TV API in Emulator
Device manufacturer: Google
Device model: Google
Jellyfin server version: 1.33.7
not sure why this happens yet. Thanks to MrChip53 for finding this issue.</t>
  </si>
  <si>
    <t>Anuken-Mindustry-3400</t>
  </si>
  <si>
    <t>#3398 but with the template.</t>
  </si>
  <si>
    <t>ask Shiningdark0930 if more specific info is needed
when launching with loadout the resource in the sector your launching from don get consumed.
**Steps to reproduce**: *How you happened across the issue, and what exactly you did to make the bug happen.*
2. resources arent used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</si>
  <si>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2020-11-14</t>
  </si>
  <si>
    <t>Anuken-Mindustry-3399</t>
  </si>
  <si>
    <t>Microsoft VisualC++ Runtime "Assertion Failed!"</t>
  </si>
  <si>
    <t>Now the game refuses to open regardless of which of the recent BE builds use.
**Steps to reproduce**:
1. Was editing map (file below)
2. Game crashed suddenly
3. Gives error every time try to relaunch
**Link(s) to mod(s) used**: None
No save file, but think was editing this map (I think)
**Crash report**: *The contents of relevant crash report files. REQUIRED if you are reporting crash.*
No crash report was produced, looked in the crash report folder. Pressing any of the options did not produce crash report.
*Place an (no spaces) between the brackets to confirm that you have read the line below.*
**I have searched the closed and open issues to make sure that this problem has not already been reported.**</t>
  </si>
  <si>
    <t>Anuken-Mindustry-3392</t>
  </si>
  <si>
    <t xml:space="preserve">Keyboard WASD moving dont work on mobile </t>
  </si>
  <si>
    <t>**Steps to reproduce**: *Connect keyboard to mobile with wired mouse to mobile and set controls to keyboard+mouse and enter game.*
**Link(s) to mod(s) used**: *no mods used*
**Save file**: mindustry1132.zip (https: github.com Anuken Mindustry files 5540662 mindustry1132.zip)*
**Crash report**: *No crashes happened.*
*Place an (no spaces) between the brackets to confirm that you have read the line below.*
**I have searched the closed and open issues to make sure that this problem has not already been reported.**</t>
  </si>
  <si>
    <t>Anuken-Mindustry-3391</t>
  </si>
  <si>
    <t>Falling units are rendered behind the "darkness" that appears on wall tiles.</t>
  </si>
  <si>
    <t>falling unit sprites get drawn below the black wall void
**Steps to reproduce**: *How you happened across the issue, and what exactly you did to make the bug happen.*
1. have unit fall whilst above the void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graphical issue so heres photo that shows the unit (you can see its smoke but not the actual unit)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</si>
  <si>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stefan-niedermann-nextcloud-notes-988</t>
  </si>
  <si>
    <t>Crash when adding and removing favorite</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</si>
  <si>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The app crashes, additionally there is rendering bug when the favorite was added, could be related.
Steps to reproduce the behavior:
In the main notes list, mark note as favorite and remove it again by tapping the star icon
&lt;!-- clear and concise description of what you expected to happen. --&gt;
It just works :wink:
&lt;!-- If applicable, add screenshots to help explain your problem. --&gt;
**Smartphone (please complete the following information):**
Nextcloud Notes-Version (android app): 2.17.1
F-Droid or Play Store:
Device: Pixel 3a
Nextcloud Notes version (server app):
App Version: 2.17.1
App Version Code: 2017001
App Flavor: play</t>
  </si>
  <si>
    <t>Anuken-Mindustry-3389</t>
  </si>
  <si>
    <t>Multiple unknown crashes</t>
  </si>
  <si>
    <t>**Steps to reproduce**: *I don know, it seems to be with larger maps but it has happened on smaller maps.*
**Link(s) to mod(s) used**: *null*
**Save file**: *null*
**Crash report**: *These are all the crash logs on my iPod. Unsure what applies as relevant .*
*Place an (no spaces) between the brackets to confirm that you have read the line below.*
**I might ve searched the closed and open issues to make sure that this problem has not already been reported.**</t>
  </si>
  <si>
    <t>Anuken-Mindustry-3385</t>
  </si>
  <si>
    <t>Crash game build 11259</t>
  </si>
  <si>
    <t>Hello, play with mobile arrangement, have such problem that with Build 11259 have crash game, but on the leading Build have never had such mistakes, please try to do something, just open the pretend is loading and after few seconds the game just closes.
from Russia so use translator to write this message!</t>
  </si>
  <si>
    <t>2020-11-13</t>
  </si>
  <si>
    <t>Anuken-Mindustry-3380</t>
  </si>
  <si>
    <t>Zooming doesnt work on the tech tree when opened from the planet menu.</t>
  </si>
  <si>
    <t>when opening the research menu on the world map you, zooming in or out zooms the planet not the menu.
**Steps to reproduce**: *How you happened across the issue, and what exactly you did to make the bug happen.*
1. open planet map
2. open research menu
3. try to zoom
4. planet zooms instead.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happens in menu.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</si>
  <si>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Anuken-Mindustry-3378</t>
  </si>
  <si>
    <t>AI base units crash when killed</t>
  </si>
  <si>
    <t>**Steps to reproduce**: came across this while playing an online attack map, and you just need to kill base AI unit to recreate this.
**Link(s) to mod(s) used**: none.
**Save file**: Unneeded. This bug occurs in every Attack map.
**Crash report**: none.
**I have searched the closed and open issues to make sure that this problem has not already been reported.**</t>
  </si>
  <si>
    <t>microsoft-appcenter-sdk-android-1477</t>
  </si>
  <si>
    <t>Getting NullPointerException when calling Distribute.goToUnknownAppsSettings</t>
  </si>
  <si>
    <t>Thanks for your interest in using the App Center SDK for Android.
If your issue is not related to using our Android SDK but rather about the product experience like the portal or CI, please create an issue on https: github.com Microsoft appcenter instead.
We are getting few crash reports with the following stack trace:
Maybe try catch block would prevent this.
### **Repro Steps**
But likely to happen when the user wants to go to the settings to allow installs from Unknown sources.
1. Which SDK version are you using?
2. Which OS version did you experience the issue on?
3. What device version did you see this error on? Were you using an emulator or physical device?
Amazon Fire Tablet
4. What third party libraries are you using?
5. Please enable verbose logging for your app using before your call to and include the logs here:</t>
  </si>
  <si>
    <t>nextcloud-android-7317</t>
  </si>
  <si>
    <t>Crash when file is above certain size, and its encrypted with E2E.</t>
  </si>
  <si>
    <t>### Steps to reproduce
1. Upload files to E2E folder
2. Download file above 100MB via Andorid app
3. App crashes
### Expected behaviour
File should decrypt and run
### Actual behaviour
File is downloading well, until it reaches 100%, then app crashes. This error does not occur with smaller files.
Tested with few files:
Folder (encrypted with e2e):
67 MB ok
53 MB ok
151 MB crash
204 MB crash
Folder (encrypted with e2e):
108 MB ok
97 MB ok
151 MB (same file as in folder 1) crash
Folder (not encrypted)
193 MB ok</t>
  </si>
  <si>
    <t>Azure-azure-iot-sdk-java-991</t>
  </si>
  <si>
    <t>NullPointerException when closing connection - ClientState.quiesce</t>
  </si>
  <si>
    <t>Several crash reports on Crashlytics, think you have all information needed here.
Android (several versions)
## Description of the issue
We are getting some crash reports in Crashlytics.
## Code sample exhibiting the issue
In some scenarios, or closing the app we close conection:
public void destroy()
catch (Exception e)
Log.e(TAG, Exception closing Device Client e)
## Console log of the issue
Crash Stack Trace
Fatal Exception: Attempt to invoke virtual method void on null object reference</t>
  </si>
  <si>
    <t>SkyTubeTeam-SkyTube-833</t>
  </si>
  <si>
    <t>Crashes after pressing "arrow back" a lot of times and does not start</t>
  </si>
  <si>
    <t>The context: decided to migrate from newpipe to skytube app. looked for way to migrate the subscription list from one app to another and didn find anything (that an issue on itself, but not this one). Then decided to subscribe to all my favourite channels manually.
To do that searched the channel name, pressed the ... button and selected Subscribe in the menu. And repeated this for every one of my subscriptions. After this wanted to see my feed, but when pressed the back arrow on top of my screen returned to the previous search page. And the preivous. And so on. quickly pressed this arrow button lot of times and the app has crashed. Not big deal thought and started the app again, but... it didn start. It didn start even after cleared the cache and force stopped the app in the app info dialogue. If clear the app data, ll have to subscribe to all these channels again. There goes my migration from NewPipe. guess ll have to tolerate it issues for while more... sorry for my frustration.</t>
  </si>
  <si>
    <t>Anuken-Mindustry-3375</t>
  </si>
  <si>
    <t>Old damaged buildings are not recognized as being damaged upon launching a new core to an area</t>
  </si>
  <si>
    <t>**Steps to reproduce**: lost Sector 221, launched new core there, got to the point where had Polys and set up some logic so that could tell them to repair damaged buildings. They repaired some buildings, but didn try to repair the buildings that were the remains of my base from before lost the sector. manually controlled some of them and tried healing some of the buildings, and it worked no problem. In the save file have left most of the old buildings unrepaired. Can upload save file
**Link(s) to mod(s) used**: A, non modded
**Save file**: *The (zipped) save file you were playing on when the bug happened. THIS IS REQUIRED FOR ANY ISSUE HAPPENING IN-GAME, REGARDLESS OF WHETHER YOU THINK IT HAPPENS EVERYWHERE. DO NOT DELETE OR OMIT THIS LINE UNLESS YOU ARE SURE THAT THE ISSUE DOES NOT HAPPEN IN-GAME.* Rip the zipped file too big
And can upload to google drive from this old kindle. Great.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</si>
  <si>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opensrp-opensrp-client-chw-1536</t>
  </si>
  <si>
    <t>App closes when you exit out of the PNC home visit after viewing PNC woman danger signs</t>
  </si>
  <si>
    <t>DRC flavor, pointing to wcaro stage
V1.0.0, build date 11 Nov
Steps to replicate:
Find PNC woman record with PNC home visit due and open the PNC home visit
Open the mother danger signs task and click on the info icon to view the danger sign images
Scroll down the images and click OK at the bottom.
Exit the task and then exit the PNC home visit
When you tap to confirm closing the PNC home visit, the app closes. It doesn crash, but it closes and you land on the device home screen and you have to log back in to the app.
did not test this in other flavors to see if it also an issue there.</t>
  </si>
  <si>
    <t>2020-11-12</t>
  </si>
  <si>
    <t>Anuken-Mindustry-3369</t>
  </si>
  <si>
    <t>Latest version of Mindustry for Android doesn't open</t>
  </si>
  <si>
    <t>**Steps to reproduce**: Open Mindustry BE 11234 in an android phone. Mine is Xiaomi Note 9.
**Link(s) to mod(s) used**: should have routorio downloaded, but not active.
**Crash report**: *The contents of relevant crash report files. REQUIRED if you are reporting crash.*
Screenshot com miui bugreport (https: 69767174
Screenshot com miui bugreport (https: 69767174
*Place an (no spaces) between the brackets to confirm that you have read the line below.*
**I have searched the closed and open issues to make sure that this problem has not already been reported.**</t>
  </si>
  <si>
    <t>Anuken-Mindustry-3366</t>
  </si>
  <si>
    <t>Very loud sound</t>
  </si>
  <si>
    <t>When lot of block explosion sounds are played at once, they aren limited, and stack together into very loud sound
**Steps to reproduce**: *How you happened across the issue, and what exactly you did to make the bug happen.*
Shoot bunch of conveyors on multiplayer with toxopid the sounds will all occur at the same time and stack together. Does not happen in pre-113.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</si>
  <si>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Anuken-Mindustry-3364</t>
  </si>
  <si>
    <t>Mindustry cannot export anything</t>
  </si>
  <si>
    <t>Mindustry is unable to find my Desktop folder. made Mindustry go back several folders, but when try to go back, after get to the specific user folder, Mindustry is unable to find anything in that folder, even though there are tons of folders in it.
What it looks like
&lt;img width 1429 alt Screen Shot 2020-11-12 at 28 39 PM src https: 73286691
What is actually in the folder (sensitive parts cropped out)
&lt;img width 618 alt Screen Shot 2020-11-12 at 30 12 PM src https: 73286691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The problem is that can export anything, so...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</si>
  <si>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AOF-Dev-MCinaBox-670</t>
  </si>
  <si>
    <t>PLEASE HELP</t>
  </si>
  <si>
    <t>need help plzzz
installed the latest apk and have aarch64 (my phone is compatible with 64 bit)
just press play after installing the runtime and 1.12.2 version and it crashed
Device: infinix hot
App Version e.g. v0.1.4 pe
want to play with my friends plz help</t>
  </si>
  <si>
    <t>Anuken-Mindustry-3358</t>
  </si>
  <si>
    <t>#2977 persists</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</si>
  <si>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happens across saves.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it has but it persists</t>
  </si>
  <si>
    <t>Anuken-Mindustry-3356</t>
  </si>
  <si>
    <t>desktop:run SUCCESSFUL fail on RPi (32bit Linux)</t>
  </si>
  <si>
    <t>**Steps to reproduce**: *Install AdoptOpenJDK from their repo, under Linux RPM DEB instructions (see link), then use desktop:run option (see 1st line below)*
**Crash report**: *The contents of relevant crash report files. REQUIRED if you are reporting crash.*
Downloading https: services.gradle.org distributions gradle-6.6-bin.zip
Welcome to Gradle 6.6!
Here are the highlights of this release:
Experimental build configuration caching
Built-in conventions for handling credentials
Java compilation supports --release flag
For more details see https: docs.gradle.org 6.6 release-notes.html
Starting Gradle Daemon (subsequent builds will be faster)
No Android SDK found. Skipping Android module.
Compiling with build: custom build
Task :core:preGen UP-TO-DATE
Caused by: Unable to read file for extraction: libarcarm.so
Deprecated Gradle features were used in this build, making it incompatible with Gradle 7.0.
Use --warning-mode all to show the individual deprecation warnings.
See https: docs.gradle.org 6.6 userguide command line line warnings
BUILD SUCCESSFUL in 9m 19s
actionable tasks: executed
*Place an (no spaces) between the brackets to confirm that you have read the line below.*</t>
  </si>
  <si>
    <t>2020-11-11</t>
  </si>
  <si>
    <t>Anuken-Mindustry-3348</t>
  </si>
  <si>
    <t>All music does not play</t>
  </si>
  <si>
    <t>No music, not even menu music plays even after checking all settings, then unpacking and launching the game from new folder. Clearing game data didn help either. All other sounds play.
**Steps to reproduce**: *How you happened across the issue, and what exactly you did to make the bug happen.*
Updating to b113 seems like the issue does not happen for other players.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</si>
  <si>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MitchellTFord-Fitness-Tracker-39</t>
  </si>
  <si>
    <t>App sometimes crashes when opening the diary page with no diary entries in the database</t>
  </si>
  <si>
    <t>Anuken-Mindustry-3347</t>
  </si>
  <si>
    <t>Community servers bug</t>
  </si>
  <si>
    <t>Windows, unknown if may happen on other
No community servers are appearing.
**Steps to reproduce**: *How you happened across the issue, and what exactly you did to make the bug happen.*
just launched the game and it happened. not sure why.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</si>
  <si>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Anuken-Mindustry-3346</t>
  </si>
  <si>
    <t>Music playing</t>
  </si>
  <si>
    <t>That music from mindastry play when im writing to discord?*
**Steps to reproduce**: *Start mindustry and go to another program.*
**Link(s) to mod(s) used**: *Nothing.*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</si>
  <si>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nextcloud-android-7301</t>
  </si>
  <si>
    <t>Continued crashed</t>
  </si>
  <si>
    <t>### Steps to reproduce
1. Just use it
### Expected behaviour
Should not crash
### Actual behaviour
Crashes every few seconds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
Build flavor: gplay</t>
  </si>
  <si>
    <t>Anuken-Mindustry-3341</t>
  </si>
  <si>
    <t>Certain units with opposable weapons face what their shooting even if they have no reason to.</t>
  </si>
  <si>
    <t>certain units, notably the zenith, rotate the body of the craft to shoot their fully opposable weapons. helping to slow you down #3340
**Steps to reproduce**: *How you happened across the issue, and what exactly you did to make the bug happen.*
1. control zenith
3. you rotate?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nah im lazy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</si>
  <si>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Anuken-Mindustry-3340</t>
  </si>
  <si>
    <t>Player Controlled unit slow down when not moving forwards, commanded / logic controlled units do not</t>
  </si>
  <si>
    <t>(has been thing for while now)
whilst controlling unit you will be slowed down when not moving directly forward, but other means of controlling units do not see this same downfall.
**Steps to reproduce**: *How you happened across the issue, and what exactly you did to make the bug happen.*
1. control unit (works in core mech too)
2. shoot so you don move directly forward
3. your now slower than if you had logic commanding to do this
**Link(s) to mod(s) used**: *The mod repositories or zip files that are related to the issue, if applicable.*
happens without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</si>
  <si>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Anuken-Mindustry-3338</t>
  </si>
  <si>
    <t>When starting Mindustry, I always have the tutorial shown</t>
  </si>
  <si>
    <t>The MANIFEST.MF file doesn contains the version
Hopefully, ve found at project root version.properties file which contains version string:
Each time start the mindustry, even if have completed the tutorial, the tutorial screen shows up and have to achieve the tutorial to start playing.
**Steps to reproduce**: *How you happened across the issue, and what exactly you did to make the bug happen.*
Nothing particular to do, as bug is systematic.
**Link(s) to mod(s) used**: *The mod repositories or zip files that are related to the issue, if applicable.*
No mod was used.
**Save file**: *The (zipped) save file you were playing on when the bug happened. THIS IS REQUIRED FOR ANY ISSUE HAPPENING IN-GAME, REGARDLESS OF WHETHER YOU THINK IT HAPPENS EVERYWHERE. DO NOT DELETE OR OMIT THIS LINE UNLESS YOU ARE SURE THAT THE ISSUE DOES NOT HAPPEN IN-GAME.*
Doesn happen in 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Maybe the problem was already reported, don know, ve searched issues with windows save but didn found anything meaningful. Please don hesitate to close that issue if bug is in fact known feature.</t>
  </si>
  <si>
    <t>nextcloud-android-7297</t>
  </si>
  <si>
    <t>Login loop and crash</t>
  </si>
  <si>
    <t>### Steps to reproduce
1. launch app
2. enter server address
### Expected behaviour
should connect to server!
### Actual behaviour
crashes after 1-2 try
### Can you reproduce this problem on https: try.nextcloud.com?
### Environment data
Android version: 7.1.2
Device model: Meizu M2 mini
Stock or customized system: Lineage OS 14.1 fresh install
Nextcloud app version: 3.13.1 from F-Droid same result with Dev version 20201107
Nextcloud server version:
#### Web server error log
Insert your webserver log here
#### Nextcloud log (data nextcloud.log)</t>
  </si>
  <si>
    <t>nextcloud-android-7293</t>
  </si>
  <si>
    <t>App Crash on PDF document open</t>
  </si>
  <si>
    <t>When try to open PDF from the Documents folder the App crashes.
The issue is reproducible to 100%.
************ CAUSE OF ERROR ************
************ APP INFORMATION ************
Build flavor: gplay
************ DEVICE INFORMATION ************
************ FIRMWARE ************</t>
  </si>
  <si>
    <t>2020-11-10</t>
  </si>
  <si>
    <t>stefan-niedermann-nextcloud-notes-985</t>
  </si>
  <si>
    <t>App crashes on tapping empty entry in checklist</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</si>
  <si>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The app crashes whenever you create an empty entry in checklist and tap on it from markdown view.
Steps to reproduce the behavior:
1. Create new note with:
2. Click on the eye icon to open in markdown view
3. Tap around the bottom of thing
&lt;!-- clear and concise description of what you expected to happen. --&gt;
The app doesn crash. Fixing this would either mean rendering the empty entry or removing it before rendering to remove the crash. The app doesn crash when the extra isn there.
**Smartphone (please complete the following information):**
Nextcloud Notes-Version (android app): v2.17.1
F-Droid or Play Store: F-Droid
Android-Version: (LineageOS 16.0)
Nextcloud version: 19.0.3
Nextcloud Notes version (server app): 3.6.4</t>
  </si>
  <si>
    <t>OpenSageTV-sagetv-miniclient-97</t>
  </si>
  <si>
    <t>Error connecting to server when using fixed Transcoding/Streaming</t>
  </si>
  <si>
    <t>Repro script from NYPlayer:
1. On your FireTV clear all the data and cache for the application
2. Start the Client go to settings and click on Streaming mode FIXED
3. Connect do not do anything else that will cause crash
Most likely there is call to one of the properties that does not have default.</t>
  </si>
  <si>
    <t>nextcloud-android-7291</t>
  </si>
  <si>
    <t>Android app keeps crashing suddenly</t>
  </si>
  <si>
    <t>### Steps to reproduce
1. Open photo
2. Open video
3. Open ebook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 Nextcloud log (data nextcloud.log)
Insert your Nextcloud log here
************ CAUSE OF ERROR ************
************ APP INFORMATION ************
Build flavor: gplay</t>
  </si>
  <si>
    <t>TotalCross-totalcross-197</t>
  </si>
  <si>
    <t>The simulator crashes after setting a resolution above a threshold</t>
  </si>
  <si>
    <t>## Issue Title
The simulator crashes at some resolutions above threshold
## Describe the bug
When setting the simulator resolution to 1203x653 it crashes, but when its 1202x652 it runs fine
## To Reproduce
download TCSample and set the like this
public class TCSampleApplication
public static void main(String args)
TCSample.class, &lt;PLACE YOUR KEY&gt; scr 1203x653
## Expected behavior
The simulator should at any resolution without any issue
## Screenshots or videos
the exception that it thrown
Please complete the following information:
## Additional information
Related to the issue #185
Using the last commit of Totalcross SDK and TCSample</t>
  </si>
  <si>
    <t>nextcloud-android-7290</t>
  </si>
  <si>
    <t>App crash - "On device" menu</t>
  </si>
  <si>
    <t>### Steps to reproduce
1. Launch the application.
2. Download shared file in the shared directory from another user to the device.
3. Go to the On device menu.
4. Only delete the file locally in the directory.
5. Only remove the directory locally.
************ CAUSE OF ERROR ************
************ APP INFORMATION ************
Build flavor: gplay
Nextcloud app version: 3.14.0 RC1
Nextcloud server version: 20.0.0</t>
  </si>
  <si>
    <t>Anuken-Mindustry-3327</t>
  </si>
  <si>
    <t>Save File Mixing</t>
  </si>
  <si>
    <t>when wiping the campaign research and saves data, following some steps can cause your new fresh save to mix into your old save that has more progress
**Steps to reproduce**: *How you happened across the issue, and what exactly you did to make the bug happen.*
1. have capped large amount of sectors (https: drive.google.com file 13qM gAwEU5 zkZ2f-T gL4MExucKb- view?usp sharing)
2. export game data (note that this may be unrellated)
3. use both of these buttons
4. start fresh
5. capture sector or two
6. save and exit
6. load back in to find an odd mix of both you old and new saves.(https: drive.google.com file view?usp sharing)
**Link(s) to mod(s) used**: *The mod repositories or zip files that are related to the issue, if applicable.*
happens without mods
**Save file**: *The (zipped) save file you were playing on when the bug happened. THIS IS REQUIRED FOR ANY ISSUE HAPPENING IN-GAME, REGARDLESS OF WHETHER YOU THINK IT HAPPENS EVERYWHERE. DO NOT DELETE OR OMIT THIS LINE UNLESS YOU ARE SURE THAT THE ISSUE DOES NOT HAPPEN IN-GAME.*
save files included above.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</si>
  <si>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AOF-Dev-MCinaBox-665</t>
  </si>
  <si>
    <t>Cannot run version newer than 1.12 (so far)</t>
  </si>
  <si>
    <t>**Describe the bug**
1. Download any past MC version after 1.12
2. After long load, CTL (crash to launcher)
**Smartphone (please complete the following information):**
Device: S20 FE 5G
OS: Android 10
App Version: v0.1.4-p4
Haven checked debug log yet but think this is 99% related to the new MC launch animation, i.e. new Mojang loading logo. The animation part requires some specific OpenGL extension that OpenGLES cannot handle switftly the emulation not handled correctly, hence the crash.
This should be because of library loading capability issue</t>
  </si>
  <si>
    <t>nextcloud-android-7288</t>
  </si>
  <si>
    <t>Nextcloud Android App Crash when trying to download and open PDF file</t>
  </si>
  <si>
    <t>### Steps to reproduce
1. Open Folder with PDF File
2. Click on PDF File once
3. App crashes
### Expected behaviour
Open PDF File with PDF Viewer
### Actual behaviour
### Can you reproduce this problem on https: try.nextcloud.com?
No, as it an error within the Android App
### Environment data
Android version: 10
Device model: Huawei SNE-LX1
Stock or customized system: Stock
Nextcloud app version: 3.14.0 RC1
Nextcloud server version:
#### Web server error log
#### Nextcloud log (data nextcloud.log)
************ CAUSE OF ERROR ************
************ APP INFORMATION ************
Build flavor: gplay</t>
  </si>
  <si>
    <t>Anuken-Mindustry-3325</t>
  </si>
  <si>
    <t>Sector 174 exits my mindustry</t>
  </si>
  <si>
    <t>So was messing around with Ground Zero and moving to the next one to collect my resource and update the building (next sector is 174, lower right of Ground Zero) and when it loads it just froze and immediately exit by itself
don know what happened just haven check that map for long time, and it just like that
The mods are doing just fine in other sectors
But here it is
Braindustry by Pixaxeofpixie
Gold Mod by TheSlaylord
Larger cores by z0mbiesrock
Heavy Armaments industries by Eschatalounge (if spell that correctly)
Vanilla enhanced by HolyHades
Progressed Materials by MeepOfFaith
**save file too big**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</si>
  <si>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Anuken-Mindustry-3324</t>
  </si>
  <si>
    <t>Upon Further Review I Have come to the conclusion that #3220 should be locked until you unlock launchpads</t>
  </si>
  <si>
    <t>you can launch to any sector without penalty to find perfect farming location, before you have launchpads, which is kind of op and eliminates the need to properly explore prior to getting launchpad.
universal launching should be locked behind either, launchpads or, higher tier cores. possibly both.
**Steps to reproduce**: *How you happened across the issue, and what exactly you did to make the bug happen.*
1. start fresh save
2. capture ground zero
3. find good farming sector
4. research everything
5. you just were bored because you didn have to play the game the way it was meant to be enjoyed.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nah its ok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well sort of</t>
  </si>
  <si>
    <t>Anuken-Mindustry-3320</t>
  </si>
  <si>
    <t>gamebreaking bug, recursive yes crash</t>
  </si>
  <si>
    <t>**Steps to reproduce**: typed misspelled command (which could be, typed ye (autocompletes to yes ), ran yes
**Link(s) to mod(s) used**:
**Save file**: no
... ad infinitum
**Expected behavior**: yes command runs yes there is nothing to say yes to, since the command lines back is not stored
*Place an (no spaces) between the brackets to confirm that you have read the line below.*
**I have searched the closed and open issues to make sure that this problem has not already been reported.**</t>
  </si>
  <si>
    <t>nextcloud-android-7275</t>
  </si>
  <si>
    <t>Opening PDF crashes Nextcloud-Android-App</t>
  </si>
  <si>
    <t>### Steps to reproduce
1. Open PDF for the first time on your mobile
2. The App will crash
3. Try it again, it will open, cause now it has the green arrow (synchronized)
### Expected behaviour
Usually the PDF should open directly
### Actual behaviour
### Environment data
Android version: 10
Device model: Note 10+
Stock or customized system: Stock rooted
Nextcloud app version: 3.14.0 RC1
Nextcloud server version: 19.0.3
Reverse proxy: NGINX</t>
  </si>
  <si>
    <t>2020-11-09</t>
  </si>
  <si>
    <t>Anuken-Mindustry-3317</t>
  </si>
  <si>
    <t>"</t>
  </si>
  <si>
    <t>Anuken-Mindustry-3313</t>
  </si>
  <si>
    <t>Unable to compile.</t>
  </si>
  <si>
    <t>**Steps to reproduce**:
1. Run desktop:dist task.
2. See the crash log.
**Link(s) to mod(s) used**: None.
**Save file**: Not need.
if(e.unit instanceof BlockUnitc block &amp;&amp; block.tile().block Blocks.router)
(use --enable-preview to enable pattern matching in instanceof)
**I have searched the closed and open issues to make sure that this problem has not already been reported.**</t>
  </si>
  <si>
    <t>Anuken-Mindustry-3311</t>
  </si>
  <si>
    <t>Sound bug (update)</t>
  </si>
  <si>
    <t>**Steps to reproduce**: It has something to do with ambient sound. It may not happen every time, but got it times in row first time. After reload, it stopped. After reloaded it again, it started clicking harder, and it was beeping as well. tried reinstalling the file, but nothing happens.
**Link(s) to mod(s) used**: Nope
**Crash report**: Not crash
*Place an (no spaces) between the brackets to confirm that you have read the line below.*
**I have searched the closed and open issues to make sure that this problem has not already been reported.**
*Well did report it once before, but had less data then*</t>
  </si>
  <si>
    <t>Anuken-Mindustry-3310</t>
  </si>
  <si>
    <t>Megas attacking enemy while command center is set to rally</t>
  </si>
  <si>
    <t>**Steps to reproduce**:
AKA how to get megas triggered.
1. Have the command center closest to mega set to rally.
2. Build have few megas.
3. Build an allied block in range of enemy turrets. Build it close enough to some enemy blocks so that enemy blocks are within mega range. Just build it really close to the enemy base.
4. The allied block gets damaged, which means the megas step in and shoot to repair it.
5. Once the allied block health is back at 100%, there nothing else for megas to repair.
6. Megas start attacking enemy blocks, which makes sense. Keep the allied block defended at all costs.
7. Repeat 4-6 for while. They are useful behaviors and seem to be intended.
8. Once the allied block is at 100% health and nothing is attacking it anymore, megas keep attacking stuff around them. Which contradicts with the command centers and makes no sense. They are not made for attack. They are meant to defend your base and they don attack by default unless the enemy is in one mega range. The player should be able to get them to retreat whenever he wants (to deliberately save them from getting killed).
know they don gather around rally points by default, can see where that comes from, but at least give them place to retreat. Repair points? The core? Nearby friendly turrets? Heck, even the nearest rally point works and makes most sense, provided they only retreat after they ve finished repairing everything and attacking all the enemies which are damaging blocks and then after retreat they stay alert for new blocks that get damaged.
**Link(s) to mod(s) used**: None
**Crash report**: Not crash
*Place an (no spaces) between the brackets to confirm that you have read the line below.*
**I have searched the closed and open issues to make sure that this problem has not already been reported.**</t>
  </si>
  <si>
    <t>Blankj-AndroidUtilCode-1365</t>
  </si>
  <si>
    <t>isEmulator 判断错误</t>
  </si>
  <si>
    <t>put your code here
Caused by: should init first
put the stack of crash here</t>
  </si>
  <si>
    <t>PojavLauncherTeam-PojavLauncher-389</t>
  </si>
  <si>
    <t xml:space="preserve">launcher crashes after starting up in tablet [BUG] </t>
  </si>
  <si>
    <t>**Describe the bug**
it crashes after start up think it has to do with my android version
installed it correctly works well on my phone no crash log or event log given after crash
Steps to reproduce the behavior:
1. Start PojavLauncher on device with android version 7.1.1
2. set up the launcher
3. download version doesnt matter which one.
4. start game
expected no problems but it only gives problems with any crash log or event log
dont have any right now
Device Model samsung tab
CPU architecture aarch32
Android Version 7.1.1
maybe be better crash log system would be nice
with kind regards Bruce Kikkert</t>
  </si>
  <si>
    <t>mh--corona-warn-companion-android-88</t>
  </si>
  <si>
    <t>Crash immediately after opening</t>
  </si>
  <si>
    <t>First of all, thank you very much for this app, it was several times very helpfull. :beers:
## Describe the bug
After opening the App second time it crashes immeadiately.
If clear the App data, can open it and use all functions, second-time wont work.
## Expected behaviour
The app shouldn crash.
## Steps to reproduce the issue
1. Install the App
2. Open use it
3. Close the app completly
4. Reopen it -&gt; Crash
5. Delete App data
6. Go to step
## Technical Details
Motorola Moto G7 Play
LineageOS 17.1, based on Android 10
SU: Magisk 20.4 with Magisk Manager
This leads to runtime-exception: Unable to start activity ComponentInfo MainActivity</t>
  </si>
  <si>
    <t>2020-11-08</t>
  </si>
  <si>
    <t>Anuken-Mindustry-3296</t>
  </si>
  <si>
    <t>Sound bugging on server</t>
  </si>
  <si>
    <t>**Steps to reproduce**: Play on Procedual testing server, or Surrealment and you ll hear it sooner or later. There is no clear reason why it happened, but assume its bescause many players build conveyors at same time, gliching out sound. After about minutes, it stopped. It happens on Surrealment as well, but am not sure. It might happen in LAN games, it is still untested.
**Link(s) to mod(s) used**: No mods, but someone on server might have plugin causing that. Many troling systems exist these days. No same players were present, except for me.
**Save file**: It happens to everyone on the server, two times in row. It has nothing to do with save files. And cant literally strap 15 save files to it, for every player on server.
**Additional note:** It fades slightly when paused, like all other sounds. Might have somethning to do with multiple ambient sounds playing at same time.
**Crash report**: Not crash
*Place an (no spaces) between the brackets to confirm that you have read the line below.*
**I have searched the closed and open issues to make sure that this problem has not already been reported.**</t>
  </si>
  <si>
    <t>Anuken-Mindustry-3295</t>
  </si>
  <si>
    <t>omniMovement with non-navals</t>
  </si>
  <si>
    <t>Non-naval units with omniMovement set to false can rotate when player controlled, but the AI can still use omnidirectional movement.
**Steps to reproduce**: *How you happened across the issue, and what exactly you did to make the bug happen.*
Set the omniMovement of flare to false, then try controlling it, then place rally command center and observe the flare brake without rotating.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</si>
  <si>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patzly-grocy-android-226</t>
  </si>
  <si>
    <t>Crash on missing location id</t>
  </si>
  <si>
    <t>had an entry with missing location id which caused the app to crash when switching to the shopping list.
The entry was maybe because started using Grocy with FEATURE FLAG STOCK LOCATION TRACKING false.
Caused by: empty String</t>
  </si>
  <si>
    <t>nextcloud-android-7257</t>
  </si>
  <si>
    <t>App 3.14.0RC1 crashes at try to delete files</t>
  </si>
  <si>
    <t>if try to delete files in App, get an full crash of the app.
**CAUSE OF ERROR**
Build flavor: gplay</t>
  </si>
  <si>
    <t>Anuken-Mindustry-3293</t>
  </si>
  <si>
    <t>corebot is out of ink</t>
  </si>
  <si>
    <t>**Steps to reproduce**: try to warn rulebreakers
**Link(s) to mod(s) used**: myself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trying to grab Anuken attention here since he hasn visibly been seen on discord for while*</t>
  </si>
  <si>
    <t>OpenTracksApp-OpenTracks-506</t>
  </si>
  <si>
    <t>NPE in import</t>
  </si>
  <si>
    <t>Reported via Google Play crash reporting.</t>
  </si>
  <si>
    <t>google-ExoPlayer-8182</t>
  </si>
  <si>
    <t>NoClassDefFoundError Mp4Extractor in Android 5.X and 6.X versions</t>
  </si>
  <si>
    <t>### REQUIRED Issue description
Trying to prepare media file causes fatal crash on (seemingly all) Android 5.X and Android 6.X devices.
able to reproduce that crash with an Android 6.0 emulator, but not on 7.0 as expected.
Min api is 21, target API level is 29.
### REQUIRED full bug report captured from the device
### REQUIRED Version of ExoPlayer being used
### REQUIRED Device(s) and version(s) of Android being used
Android 5.X, Android 6.X devices</t>
  </si>
  <si>
    <t>2020-11-07</t>
  </si>
  <si>
    <t>patzly-grocy-android-224</t>
  </si>
  <si>
    <t>Failed to edit product</t>
  </si>
  <si>
    <t>**App version**: 1.9.0
On the application, when go to basic data, products. select product and click on modify, the application crashes.
Here are the logs
-------- beginning of system
--------- beginning of crash</t>
  </si>
  <si>
    <t>TeamNewPipe-NewPipe-4832</t>
  </si>
  <si>
    <t>11Oxygen</t>
  </si>
  <si>
    <t>User Action: ui error
Request: App crash, UI failure
Content Country: RU
Content Language: ru
App Language: ru
OS: Linux Android 11 30
log b&gt;&lt; summary&gt;&lt;p&gt;</t>
  </si>
  <si>
    <t>Anuken-Mindustry-3285</t>
  </si>
  <si>
    <t>Game crashes on launch, fails to create the crash log.</t>
  </si>
  <si>
    <t>**Steps to reproduce**: 1) java -jar client-be-11107.jar
2) It crashes, and fails to create crash log.
**Link(s) to mod(s) used**: None
Initialized Discord rich presence.
Failed to save local crash report.:
Sending crash report.
*Place an (no spaces) between the brackets to confirm that you have read the line below.*
**I have searched the closed and open issues to make sure that this problem has not already been reported.**</t>
  </si>
  <si>
    <t>TeamNewPipe-NewPipe-4831</t>
  </si>
  <si>
    <t>Couldnt Analyze Website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</si>
  <si>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Open the app, search for video
2. Press on .... the video, it starts loading then error that newpipe couldnt parse website
3. Swipe down to .... then reported the bug
&lt;!-- If you can cause the bug to show up again reliably (and hence don have proper set of steps to give us), please still try to give as many details as possible on how you think you encountered the bug. --&gt;
### Actual behaviour
&lt;!-- Tell us what happens with the steps given above. --&gt;
after clicking on the video, it starts loading, comments dont show up and then it crashes with the error message that it couldnt parse the website
### Expected behavior
&lt;!-- Tell us what you expect to happen. --&gt;
normally it should just play the video and load the comments
### Screenshots Screen recordings</t>
  </si>
  <si>
    <t>onaio-rdt-standard-614</t>
  </si>
  <si>
    <t>Crash after scanning - Bahasa Apps V1.7 (Built on Nov 7)</t>
  </si>
  <si>
    <t>My apps running on Samsung A50s keeps stopping after successfully scanned it.
Hamburger menu Delivery Preparation Scan barcode sample Status: Ok and will be like this. When tried the same on the patient form, the crash doesn happen.
WhatsApp Image 2020-11-07 at 10 56 57 AM (1) (https: 73918009</t>
  </si>
  <si>
    <t>nextcloud-android-7250</t>
  </si>
  <si>
    <t>Upload crashed</t>
  </si>
  <si>
    <t>Anuken-Mindustry-3283</t>
  </si>
  <si>
    <t>Oh No</t>
  </si>
  <si>
    <t>crash on launch
**Steps to reproduce**: *How you happened across the issue, and what exactly you did to make the bug happen.*
1. launch game
2. oh no
**Link(s) to mod(s) used**: *The mod repositories or zip files that are related to the issue, if applicable.*
crash log has list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</si>
  <si>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TeamNewPipe-NewPipe-4830</t>
  </si>
  <si>
    <t>crash (possibly on playlist scroll)</t>
  </si>
  <si>
    <t>don know how to reproduce this.
User Action: ui error
Request: App crash, UI failure
Content Country: GB
Content Language: en
App Language: en US
OS: Linux Android 10 29
log b&gt;&lt; summary&gt;&lt;p&gt;</t>
  </si>
  <si>
    <t>2020-11-06</t>
  </si>
  <si>
    <t>TeamNewPipe-NewPipe-legacy-53</t>
  </si>
  <si>
    <t>nextcloud-android-7248</t>
  </si>
  <si>
    <t>More gracefully handle full device condition</t>
  </si>
  <si>
    <t>### Steps to reproduce
1. Fill phone with crap
2. Use Nextcloud
### Expected behaviour
generate nice error message and not crash
### Actual behaviour
See below, which was offered at crash time:
************ CAUSE OF ERROR ************
************ APP INFORMATION ************
Build flavor: generic
************ DEVICE INFORMATION ************
************ FIRMWARE ************
### Environment data
Device model: moto e6
Stock or customized system: stock
Nextcloud app version: 30110090
Nextcloud server version: 18.0.10
#### Web server error log
#### Nextcloud log (data nextcloud.log)</t>
  </si>
  <si>
    <t>commons-app-apps-android-commons-4020</t>
  </si>
  <si>
    <t>Crash when switching from light to dark mode and vice versa</t>
  </si>
  <si>
    <t>App crashes when switching from light to dark mode
**Steps to reproduce:**
Settings Dark Mode (or Light Mode if you are already in dark mode)
**Device and Android version:**
Samsung Galaxy S20FE, Android 10
**Commons app version:**</t>
  </si>
  <si>
    <t>TeamNewPipe-NewPipe-4823</t>
  </si>
  <si>
    <t>newpipe crashes on page analysis</t>
  </si>
  <si>
    <t>User Action: requested stream
Request: https: www.youtube.com watch?v q9EwA8w-jP8
Content Country: DE
Content Language: de
App Language: de DE
OS: Linux Android 10 29
log b&gt;&lt; summary&gt;&lt;p&gt;</t>
  </si>
  <si>
    <t>Landry333-Big-Owl-138</t>
  </si>
  <si>
    <t>BUG-138: Monitoring group page can't query more than 10 users</t>
  </si>
  <si>
    <t>### Related Issue(s):
### Relevant File(s):
### Describe the bug:
In our query uses the WhereIn function, thus can only return up to 10 entries. Our only executes this query once, so if the group has more than 10 entries, then the other entries won show up, and the app crashes.
### To Reproduce:
Steps to reproduce the behavior:
1. Login into an account with 10 or more people in the account group
2. Click on the Monitoring Group button
### Expected behavior
list of people should be displayed and the app shouldn crash.</t>
  </si>
  <si>
    <t>2020-11-05</t>
  </si>
  <si>
    <t>nextcloud-android-7239</t>
  </si>
  <si>
    <t>application crash</t>
  </si>
  <si>
    <t>shrimalaya-Android-Seerem-Supervisor-App-16</t>
  </si>
  <si>
    <t>Not able to get RecyclerView to work on SiteInfoActivity</t>
  </si>
  <si>
    <t>Error is because of the Async tasks not finishing before calling displayData()
Async tasks onComplete() method in getAllData and getUserData()
1. Launch the app -&gt; type TEST1&gt; in logcat.
(you will see that the data is being correctly filtered and fetched)
2. However, when you try to populate the recyclerView, the app will crash (because the mDocs list is empty before the async tasks are finished)</t>
  </si>
  <si>
    <t>Anuken-Mindustry-3272</t>
  </si>
  <si>
    <t>Meltdowns can set EVERYTHING in front of them on fire</t>
  </si>
  <si>
    <t>Most likely all of them.
Bleeding edge. Possibly works in build 112.
Meltdowns now have the ability to burn things in front of them. This applies to EVERYTHING, even cores.
This opens up worse griefing opportunities than exploding because waves aren fast enough to stop it. Only tsunamis can stop the fire fast enough, and even then if low build times factor in, the core may be doomed.
**Steps to reproduce**: *How you happened across the issue, and what exactly you did to make the bug happen.*
1. Place meltdown by the core.
2, Give power, and water cryo.
3. Fire at the core. The core will set alight.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not on the PC with mindustry, so can access save of it.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First of all, maybe this could be thing IF the meltdown isn cooled. So you can use them without coolant, but you would have to deal with fire.</t>
  </si>
  <si>
    <t>Anuken-Mindustry-3270</t>
  </si>
  <si>
    <t>Game Crash</t>
  </si>
  <si>
    <t>**Steps to reproduce**: *Game crashed in loading screen.*
**Link(s) to mod(s) used**: *None.*
**Save file**: mindustry saveFIles.zip (https: github.com Anuken Mindustry files 5492834 mindustry saveFIles.zip)*
**Crash report**: crash-report-11 05 2020 14 18 42.txt (https: github.com Anuken Mindustry files 5492792 crash-report-11 05 2020 14 18 42.txt)
*Place an (no spaces) between the brackets to confirm that you have read the line below.*
**I have searched the closed and open issues to make sure that this problem has not already been reported.**</t>
  </si>
  <si>
    <t>CMPUT301F20T10-iBook-32</t>
  </si>
  <si>
    <t>reset password crash</t>
  </si>
  <si>
    <t>2020-11-04</t>
  </si>
  <si>
    <t>Anuken-Mindustry-3264</t>
  </si>
  <si>
    <t>Power node connections dont get saved when launching</t>
  </si>
  <si>
    <t>when launching with certain core loadouts power nodes that are part of the loadout dont save all some of their connections
**Steps to reproduce**: *How you happened across the issue, and what exactly you did to make the bug happen.*
1. launch with this schematic
2. observe some of the nodes fail to connect the same as they do in the preview image.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(this is game data file from export game data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</si>
  <si>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Anuken-Mindustry-3263</t>
  </si>
  <si>
    <t>Can launch with sandbox blocks</t>
  </si>
  <si>
    <t>launching loadout that includes inf sources crashes the game but upon returning to the sector it will have the inf sources around your core.
**Steps to reproduce**: *How you happened across the issue, and what exactly you did to make the bug happen.*
1. have launch schem with inf sources
2. attempt to launch with it
3. game crash
4. go back to where you attempted to launch to
5. item sources now in your campaign map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no crash report generated
*Place an (no spaces) between the brackets to confirm that you have read the line below.*
**I have searched the closed and open issues to make sure that this problem has not already been reported.**</t>
  </si>
  <si>
    <t>AOF-Dev-MCinaBox-636</t>
  </si>
  <si>
    <t>Kenapa setiap saya ingin menggunakan mods lebih dari 3 Minecraft nya tidak bisa di buka setiap ku buka selalu crash tolong di perbaiki ya developer</t>
  </si>
  <si>
    <t>**Describe the crash**
clear and concise description of what the bug is.
Steps to reproduce the crash:
1. Go to ...
2. Click on ....
3. Scroll down to ....
4. See the crash
clear and concise description of what you expected to happen.
If applicable, add screenshots to help explain your problem.
**Smartphone (please complete the following information):**
Device: e.g. Samsung Galaxy J6
OS: e.g. Android 8.1
App Version e.g. v0.1.3
Add any other context about the problem here.</t>
  </si>
  <si>
    <t>tchapgouv-tchap-android-legacy-670</t>
  </si>
  <si>
    <t>Crash: on new favorite message</t>
  </si>
  <si>
    <t>La fonction message favoris (appui long&gt;favoris) fait planter appli (red marrage)
crash call stack
Tchap Build 72
Phone SNE-LX1 (10.0.0.245C432 10 REL)
totalSize 19 MB</t>
  </si>
  <si>
    <t>tchapgouv-tchap-android-legacy-669</t>
  </si>
  <si>
    <t>Crash: Activity:im.vector.activity.VectorHomeActivity, Exception: java.lang.NullPointerException (java.util.Map.put)</t>
  </si>
  <si>
    <t>crash call stack
Tchap Build 72
Phone ONEPLUS A6013 (2010042216 10 REL)
usedSize 11 MB
totalSize 20 MB</t>
  </si>
  <si>
    <t>tchapgouv-tchap-android-legacy-668</t>
  </si>
  <si>
    <t>Crash: Activity:im.vector.activity.VectorHomeActivity, Exception: java.lang.NullPointerException</t>
  </si>
  <si>
    <t>Tchap crashed when the user sent message
crash call stack
Tchap Build 68
Phone Xperia (AOSP) 6.0.1 REL)
usedSize 100 MB
totalSize 102 MB</t>
  </si>
  <si>
    <t>tchapgouv-tchap-android-legacy-667</t>
  </si>
  <si>
    <t>Crash: Activity:im.vector.activity.VectorRoomActivity, Exception: java.lang.IllegalStateException:</t>
  </si>
  <si>
    <t>crash call stack
Tchap Build 72
Phone SM-J600FN (J600FNXXS9CTI2 10 REL)
usedSize 14 MB
totalSize 15 MB</t>
  </si>
  <si>
    <t>k9mail-k-9-5041</t>
  </si>
  <si>
    <t>Crash when opening any message from a one particular sender</t>
  </si>
  <si>
    <t>Whenever open message from Discover (the credit card company), K9 immediately crashes with the K-9 mail has stopped message. This just started happening it was working fine couple weeks ago. All messages from other senders open correctly. ve attached log from the time between launching K9 and right after the crash, and one of the messages that cause this to happen. Thanks for your help!
The message displays normally.
K9 crashes immediately everytime message from this sender is opened.
Android version: 7.1.2
K9 version name: 5.600
K9 version code: 26000
Account type: IMAP</t>
  </si>
  <si>
    <t>KnightShade07-TIcTacToe-13</t>
  </si>
  <si>
    <t>Issue#8-CrashOnStartup</t>
  </si>
  <si>
    <t>The TicTacToe game crashes on startup because my code is looking for buttons that are named btn 1, btn 2, etc, when my button names are squareOne, SquareTwo etc. Change the button names back to their original names, and the issue should resolve itself</t>
  </si>
  <si>
    <t>onaio-rdt-standard-606</t>
  </si>
  <si>
    <t>Crash - After OneScan barcode scan</t>
  </si>
  <si>
    <t>My app crashed twice after reading the temperature sensor on the RDT (both triggered and not triggered) on the test model Samsung J7 using the most up to date OneScan and Covid App freshly installed.
This was replicated twice.
Covid patient -&gt; RDT -&gt; Scan Barcode -&gt; Scanned Alltest barcode, Status showed okay (Continue) -&gt; Displayed message says RDT Open Reader has stopped.</t>
  </si>
  <si>
    <t>2020-11-03</t>
  </si>
  <si>
    <t>nextcloud-android-7225</t>
  </si>
  <si>
    <t>No login possible.</t>
  </si>
  <si>
    <t>### Steps to reproduce
No matter how you try to log in, all possibilities fail.
### Expected behaviour
would really appreciate it if the app did what it should.
### Actual behaviour
The app shoots itself in the head. (crash after login attempt)
### Can you reproduce this problem on https: try.nextcloud.com?
It says Server not found.
### Environment data
Android version: 8.1.0
Device model: OnePlus
Stock or customized system: Custom AOKP
Nextcloud app version:
tried the following: 3.14.0 RC1 3.13.1 from F-Droid and
Nextcloud server version: 20.0.1
#### Nextcloud log (data nextcloud.log)
Here is some more information:
************ CAUSE OF ERROR ************
************ APP INFORMATION ************
Build flavor: gplay</t>
  </si>
  <si>
    <t>Anuken-Mindustry-3258</t>
  </si>
  <si>
    <t>Game crash and les fps</t>
  </si>
  <si>
    <t>**Steps to reproduce**: Start custom game
GL Version: GLES 3.2.0 Qualcomm Adreno (TM) 505
GL Max texture size: 16384
GL Using OpenGL context.
Loaded mod dev-mode in 24.989376ms
Loaded mod ui-lib in 8.514375ms
Total time to load: 6561
Time to generate menu: 443.65753
Fetched global servers.
AndroidGraphics Managed meshes app:
AndroidGraphics Managed textures app:
AndroidGraphics Managed cubemap app:
AndroidGraphics Managed shaders app:
AndroidGraphics Managed buffers app:
AndroidGraphics OGL renderer: Adreno (TM) 505
AndroidGraphics OGL vendor: Qualcomm
AndroidGraphics OGL version: OpenGL ES 3.2 415.0 (GIT 004e992, Ibb60c3fdb8, 1575049228) (Date:11 29 19)
AndroidGraphics OGL extensions: GL OES EGL image GL OES EGL image external GL OES EGL sync GL OES vertex half float GL OES framebuffer object GL OES rgb8 rgba8 GL OES compressed ETC1 RGB8 texture GL AMD compressed ATC texture GL KHR texture compression astc ldr GL KHR texture compression astc hdr GL OES texture compression astc GL OES texture npot GL EXT texture filter anisotropic GL EXT texture format BGRA8888 GL EXT read format bgra GL OES texture 3D GL EXT color buffer float GL EXT color buffer half float GL QCOM alpha test GL OES depth24 GL OES packed depth stencil GL OES depth texture GL OES depth texture cube map GL EXT sRGB GL OES texture float GL OES texture float linear GL OES texture half float GL OES texture half float linear GL EXT texture type 10 10 10 REV GL EXT texture sRGB decode GL EXT texture format sRGB override GL OES element index uint GL EXT copy image GL EXT geometry shader GL EXT tessellation shader GL OES texture stencil8 GL EXT shader io blocks GL OES shader image atomic GL OES sample variables GL EXT texture border clamp GL EXT EGL image external wrap modes GL EXT multisampled render to texture GL EXT multisampled render to texture2 GL OES shader multisample interpolation GL EXT texture cube map array GL EXT draw buffers indexed GL EXT gpu shader5 GL EXT robustness GL EXT texture buffer GL EXT shader framebuffer fetch GL ARM shader framebuffer fetch depth stencil GL OES texture storage multisample 2d array GL OES sample shading GL OES get program binary GL EXT debug label GL KHR blend equation advanced GL KHR blend equation advanced coherent GL QCOM tiled rendering GL ANDROID extension pack es31a GL EXT primitive bounding box GL OES standard derivatives GL OES vertex array object GL EXT disjoint timer query GL KHR debug GL EXT YUV target GL EXT sRGB write control GL EXT texture norm16 GL EXT discard framebuffer GL OES surfaceless context GL OVR multiview GL OVR multiview2 GL EXT texture sRGB R8 GL KHR no error GL EXT debug marker GL OES EGL image external essl3 GL OVR multiview multisampled render to texture GL EXT buffer storage GL EXT external buffer GL EXT blit framebuffer params GL EXT clip cull distance GL EXT protected textures GL EXT shader non constant global initializers GL QCOM texture foveated GL QCOM shader framebuffer fetch noncoherent GL QCOM shader framebuffer fetch rate GL EXT memory object GL EXT memory object fd GL EXT EGL image array GL NV shader noperspective interpolation GL KHR robust buffer access behavior GL EXT EGL image storage GL EXT blend func extended GL EXT clip control GL OES texture view GL EXT fragment invocation density GL QCOM YUV texture gather
AndroidGraphics framebuffer: (5, 6, 5, 0)
AndroidGraphics depthbuffer: (24)</t>
  </si>
  <si>
    <t>Anuken-Mindustry-3257</t>
  </si>
  <si>
    <t>Game crash and less fps</t>
  </si>
  <si>
    <t>*Place an (no spaces) between the brackets to confirm that you have read the line below.*
**I have searched the closed and open issues to make sure that this problem has not already been reported.**</t>
  </si>
  <si>
    <t>Anuken-Mindustry-3256</t>
  </si>
  <si>
    <t>Anuke please remove the animation and effects settings and also remove that last setting that is red it is making the game crash</t>
  </si>
  <si>
    <t>nextcloud-android-7219</t>
  </si>
  <si>
    <t>Null reference while downloading a file</t>
  </si>
  <si>
    <t>### Steps to reproduce
0. Use self-hosted server.
1. Trying to download PDF (or .org, or .epub) file by clicking on it from android app.
### Expected behaviour
It should get downloaded and auto-opened in my editor of choice.
### Actual behaviour
In about second (or less, or sometimes more) after the download starts, the app crashes with the error.
Happens on both my phone and tablet.
Seems to affect all the externally opened files. Small files sometimes succeed to get downloaded and opened (epub files), but then the app crashes right after the epub viewer is opened.
### Can you reproduce this problem on https: try.nextcloud.com?
Please create test demo account and see if this still happens there.
If yes, please open up bug report
If not, please verify server setup and ask for help on forum
#### Web server error log
************ CAUSE OF ERROR ************
************ APP INFORMATION ************
Build flavor: gplay
************ DEVICE INFORMATION ************
************ FIRMWARE ************
#### Nextcloud log (data nextcloud.log)</t>
  </si>
  <si>
    <t>nextcloud-android-7218</t>
  </si>
  <si>
    <t>app ANR after upload over 1500 number of picture</t>
  </si>
  <si>
    <t>### Steps to reproduce
if the number of photos is large (over 1500 number ), crash will appear after setting the auto upload mobile phone album
### Expected behaviour
if the number of photos is large (over 1500 number ), crash will appear after setting the auto upload mobile phone album
### Actual behaviour
if the number of photos is large (over 1500 number ), crash will appear after setting the auto upload mobile phone album
### Can you reproduce this problem on https: try.nextcloud.com?
Please create test demo account and see if this still happens there.
If yes, please open up bug report
If not, please verify server setup and ask for help on forum
### Environment data
huawei honor p20
Stock or customized system:
Nextcloud app version:
Nextcloud server version:
#### Web server error log
Insert your webserver log here
#### Nextcloud log (data nextcloud.log)
Insert your Nextcloud log here</t>
  </si>
  <si>
    <t>CMPUT301F20T10-iBook-22</t>
  </si>
  <si>
    <t>Scan Activity will cause crash if user presses complete button</t>
  </si>
  <si>
    <t>TeamNewPipe-NewPipe-4785</t>
  </si>
  <si>
    <t>Auto-queue button color issue for color blind people</t>
  </si>
  <si>
    <t>&lt;!-- The comments between these brackets won show up in the submitted issue (as you can see in the Preview). --&gt;
have poor eyesight and quite bit of color blindness. Newpipe is fine for me, except the auto-queue button color when it is on is hard to differentiate from when it is off. deeper blue would be best. That it, this is not the biggest problem in the world but it annoying for me.
&lt;!-- The first box has been checked for you to show you how it is done. --&gt;
am using the latest version 0.20.2 &lt;!-- Check https: github.com TeamNewPipe NewPipe releases --&gt;
checked, but didn find any What about if you synchronised the clocks with mechanical connection, such as rod of metal that rotated and synchronised he clocks? Would not the clocks be exactly synchronised at distance?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video, look at the auto-queue slider
2. Press on the slider to turn it off and on.
3. Look at the color
&lt;!-- If you can cause the bug to show up again reliably (and hence don have proper set of steps to give us), please still try to give as many details as possible on how you think you encountered the bug. --&gt;
### Actual behaviour
&lt;!-- Tell us what happens with the steps given above. --&gt; the color changes from Blue to White but it so hard for me to tell the difference had to use magnifying glass to look at the colors.
### Expected behavior
&lt;!-- Tell us what you expect to happen. --&gt; would like the blue to be much deeper. The blue on my Google keyboard on my Android device for the carriage return would be perfect. There is no error so not going to post screenshot of the error page. think everyone understands what talking about but can post screenshot if it really is necessary.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</si>
  <si>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Anuken-Mindustry-3250</t>
  </si>
  <si>
    <t>Core Launch Loadouts dont overwrite buildings that survived</t>
  </si>
  <si>
    <t>launching with core to previously lost sector doesnt overwrite blocks in the way of your loadout (likely due to the checks preventing terrain replacment)
**Steps to reproduce**: *How you happened across the issue, and what exactly you did to make the bug happen.*
1. go to sector
2. build stuff near core
3. lose sector
4. launch to sector with loudout
5. buildings in the way dont get overwritten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nah its ok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</si>
  <si>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paulin-family-bank-app-34</t>
  </si>
  <si>
    <t>DASHBOARD: Entering no info on create account crashes app</t>
  </si>
  <si>
    <t>### User Story
As user when click create account and click create on the dialog, the app crashes
### Context Additional Information
Need to handle null value
### Acceptance Criteria
App does not crash when submitting no information</t>
  </si>
  <si>
    <t>deltachat-deltachat-android-1704</t>
  </si>
  <si>
    <t>forward might end activity</t>
  </si>
  <si>
    <t>forward to saved-messages sometimes removes all activities and closes app.
the app is not crashing or so, just the activity is ended.
could reproduce that currently only on my android 4.4 testphone.</t>
  </si>
  <si>
    <t>Anuken-Mindustry-3248</t>
  </si>
  <si>
    <t>Black Water</t>
  </si>
  <si>
    <t>**Steps to reproduce**: *How you happened across the issue, and what exactly you did to make the bug happen.* Literally just play the map.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Map file
**Crash report**: *The contents of relevant crash report files. REQUIRED if you are reporting crash.* Game behaves normally otherwise without crashing
*Place an (no spaces) between the brackets to confirm that you have read the line below.*
**I have searched the closed and open issues to make sure that this problem has not already been reported.**</t>
  </si>
  <si>
    <t>2020-11-02</t>
  </si>
  <si>
    <t>CleverTap-clevertap-cordova-75</t>
  </si>
  <si>
    <t>Native Display Implementation Ionic 4</t>
  </si>
  <si>
    <t>Hi guys, trying to implement Native Display on Ionic Project, added an event listener on app.component.ts, then add into custom banner component the call of getAllDisplayUnits, everything works fine if the user applies for native display campaign however if the user doesn apply app just crash with the following error Attempt to invoke virtual method int on null object reference
Also event listener never is fired.
would like to know if doing something wrong with Native Display implementation.
my custom banner component
console.log( displayUnits units)
console.log( error e)</t>
  </si>
  <si>
    <t>muxinc-mux-stats-sdk-exoplayer-56</t>
  </si>
  <si>
    <t>Added null pointer check to fix the possible nullpointer crash.</t>
  </si>
  <si>
    <t>Fix for this crash: https: github.com muxinc issues 55</t>
  </si>
  <si>
    <t>patzly-grocy-android-214</t>
  </si>
  <si>
    <t>Product view loses data on rotation</t>
  </si>
  <si>
    <t>**App version:** 1.9.0
When you trigger screen rotation while in the Product screen (tested by adding new product), any data entered so far is gone: screencap.mp4 (https: cables.five-ey.es screencap.mp4)
On rotating back (not seen in the screencapture), the app crashes. have logcat of the crash, there are no error logs produced on the first rotation: logcat (https: cables.five-ey.es logcat.txt)
If should provide any more info, please let me know :)</t>
  </si>
  <si>
    <t>Anuken-Mindustry-3244</t>
  </si>
  <si>
    <t>When controlling a weapon you have an aneurysm</t>
  </si>
  <si>
    <t>When hop into weapon by double-tapping it shakes around weirdly. Oddly it fixes once shoot with it.
**Steps to reproduce**: *How you happened across the issue, and what exactly you did to make the bug happen.*
Fly to weapon, double-tap it, it ll shake as if having an aneurysm.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</si>
  <si>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nextcloud-android-7208</t>
  </si>
  <si>
    <t>Crash opening PDF file</t>
  </si>
  <si>
    <t>### Steps to reproduce
1. Tap pdf file to open (not downloaded!)
2. Download of PDF starts
3. Nextcloud crashes while opening PDF file (this does not happen if the PDF file was downloaded manually before!!!)
### Expected behaviour
PDF file should open in external viewer app (xodo in my case)
### Actual behaviour
************ CAUSE OF ERROR ************
************ APP INFORMATION ************
Build flavor: gplay
************ DEVICE INFORMATION ************
************ FIRMWARE ************</t>
  </si>
  <si>
    <t>forrestguice-SuntimesWidget-443</t>
  </si>
  <si>
    <t>app crash when editing or copying from "Manage Places"</t>
  </si>
  <si>
    <t>The app crashes when trying to edit or copy places from the Manage Places screen (when units are set to metric ).
1) Settings -&gt; General -&gt; Units of Length .. change to Metric
2) Settings -&gt; Places -&gt; Manage Places
3) Select place click Edit or Copy from action menu
--&gt;The app crashes.</t>
  </si>
  <si>
    <t>Anuken-Mindustry-3240</t>
  </si>
  <si>
    <t>East (Right) Side map crash issue</t>
  </si>
  <si>
    <t>**Steps to reproduce:** *Load larger map and pan your camera to the east side. My exact two encountered issues were with Sector 175 and Debris Field.*
**Link(s) to mod(s) used**: *no*
**Save file**: *not sure how one exports saves on iOS.*
**Crash report**: *no (iOS 12.4.8 doesnt do that last time checked)*
*Place an (no spaces) between the brackets to confirm that you have read the line below.*
**I have searched the closed and open issues to make sure that this problem has not already been reported. Of course, it wouldn because nobody knows how to use iOS TestFlight.**</t>
  </si>
  <si>
    <t>Anuken-Mindustry-3238</t>
  </si>
  <si>
    <t>Segment says "H"</t>
  </si>
  <si>
    <t>Wave 24 of Sector 250 Reign destroys Segment mid-fire causing crash.
**Steps to reproduce**:
**Link(s) to mod(s) used**: None related to issue.
*Place an (no spaces) between the brackets to confirm that you have read the line below.*
**I have searched the closed and open issues to make sure that this problem has not already been reported.**</t>
  </si>
  <si>
    <t>2020-11-01</t>
  </si>
  <si>
    <t>TeamNewPipe-NewPipe-4760</t>
  </si>
  <si>
    <t xml:space="preserve">Error when trying to play any video. </t>
  </si>
  <si>
    <t>got this error when trying to play video. Background or foreground doesn matter it crashes with both.
User Action: ui error
Request: App crash, UI failure
Content Country: GB
Content Language: en
App Language: fr FR
OS: Linux Android 11 30
log b&gt;&lt; summary&gt;&lt;p&gt;</t>
  </si>
  <si>
    <t>nextcloud-android-7199</t>
  </si>
  <si>
    <t>App crash after opening account selector</t>
  </si>
  <si>
    <t>As side note: The currently selected profile points to an unreachable offline server.
### Steps to reproduce
1. Open account selector
2. Wait second
### Expected behaviour
you should be able to select another account
### Actual behaviour
### Environment data
Android version: 11
Device model: Oneplus
Stock or customized system: Stock
Nextcloud app version: 3.14.0 RC1
Nextcloud server version: 20.0.1
Reverse proxy: yes
************ CAUSE OF ERROR ************
Caused by: Attempt to invoke virtual method java.lang.Object on null object reference
************ APP INFORMATION ************
Build flavor: gplay
************ DEVICE INFORMATION ************
************ FIRMWARE ************</t>
  </si>
  <si>
    <t>Anuken-Mindustry-3235</t>
  </si>
  <si>
    <t xml:space="preserve">Game stopping after trying to add a command into a processor </t>
  </si>
  <si>
    <t>**Steps to reproduce**:
1. Place and open processor
2. Tap the add button.
video of the process: https: youtu.be o7A SWVf4Ng
**Link(s) to mod(s) used**:
**Crash report**: For some reason there isn any crash reports
*Place an (no spaces) between the brackets to confirm that you have read the line below.*
**I have searched the closed and open issues to make sure that this problem has not already been reported.**</t>
  </si>
  <si>
    <t>MuntashirAkon-AppManager-140</t>
  </si>
  <si>
    <t>App list is not complete</t>
  </si>
  <si>
    <t>**Describe the bug**
On the main menu (where the installed apps are listed) there are certain apps that can find.
Steps to reproduce the behaviour:
0. Install the Boost app
1. Open App Manager
2. Scroll to the apps that start with the letter B, or search for Boost
3. The mentioned app is not there
The app should be listed there
Please click on the images to enlarge them
Settings app info page of Boost Boost not found by App Manager Boost not found by Skit Boost found by Titanium Backup Boost about page
There weren any, but previously had, versions earlier. When tried changing the theme to dark or battery mode, after reopened the app it was crashing. It had found limited list of apps, and it crashed with an exception signaling that the Pacakge Manager service died, which haven seen earlier.
new user, and came on that version, so whatever was it, it might haven been introduced on that version.
Device: Xiaomi Redmi 3S
OS Version: MIUI
Also, keep up the good work! like your app manager very much, and the new Scanner feature is very good, like it!
Did you think about making that part to be library? Earlier was thinking about making an app, that either works as an Xposed module, or by modifying the apks, that would disable libraries (mostly tracking ones) or straight out remove them, or at least part of them, but haven gotten to making it, mostly because haven known of way to identify libraries</t>
  </si>
  <si>
    <t>OpenTracksApp-OpenTracks-491</t>
  </si>
  <si>
    <t>Crash when trying to export all</t>
  </si>
  <si>
    <t>**Describe the bug**
When try to export all of my tracks the application crashes.
1. Tap the ellipses in the top-right
2. Tap settings
3. Tap Export all
4. Browse to the desired destination and then tap the Use this folder button
5. The application crashes.
OpenTracks v3.11.1-a42bd432e installed from F-Droid.</t>
  </si>
  <si>
    <t>nextcloud-android-7196</t>
  </si>
  <si>
    <t>3.14.0 RC1 can not upload anything (and is generally just broken)</t>
  </si>
  <si>
    <t>### In short
Since updating the Android app to 3.14.0 RC1 (and server to 20.0.1 earlier), can not upload anything with the app. Desktop client still syncs just fine.
### Steps to reproduce
Try to upload file (either manually or by taking photo for auto-upload)
### Expected behaviour
File should get uploaded
### Actual behaviour
There notification about File upload conflict Selecting the notification results in Error creating conflict dialog (https: github.com nextcloud android issues Going to uploads view and selecting Resolve conflict for file just results in Sync conflict, please resolve manually
### Can you reproduce this problem on https: try.nextcloud.com?
Trying to add an account in the app causes the app to crash (https: github.com nextcloud android issues 7199).
### Environment data
Android version: 10
Stock or customized system: stock
Nextcloud app version: 3.14.0 RC1 (from Beta channel)
Nextcloud server version: 20.0.1
Reverse proxy: no
#### Web server error log
#### Nextcloud log (data nextcloud.log)
Nothing related to the uploads, just
fread(): read of 8192 bytes failed with errno 21 Is directory (https: github.com nextcloud server issues 21578)</t>
  </si>
  <si>
    <t>cgeo-cgeo-9327</t>
  </si>
  <si>
    <t>NPE after some map source changes (attribution related?)</t>
  </si>
  <si>
    <t>While playing around with 2020.11.01-NB changed between Google, OSM and offline map several times.
After going back from Google to OSM offline map the app finally crashed:
--------- beginning of crash</t>
  </si>
  <si>
    <t>nextcloud-android-7193</t>
  </si>
  <si>
    <t>Crash on video playback</t>
  </si>
  <si>
    <t>### Steps to reproduce
1. Upload new MP4 on Windows client
2. select new folders and MP4 file on Android App
3. play the video
4. After Playback of seconds
5. click in video
6. the app crashes
### Error log of Android app
************ CAUSE OF ERROR ************
************ APP INFORMATION ************
Build flavor: versionDev
************ DEVICE INFORMATION ************
************ FIRMWARE ************
### Expected behaviour
Tell us what should happen
### Actual behaviour
Tell us what happens
### Can you reproduce this problem on https: try.nextcloud.com?
Please create test demo account and see if this still happens there.
If yes, please open up bug report</t>
  </si>
  <si>
    <t>Anuken-Mindustry-3224</t>
  </si>
  <si>
    <t>bug is a grifer in multiplayer beta6.0</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</si>
  <si>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griefers enter the game make random nickname enter the server and blow up the core with thorium reactor
way out of this situation: information about the last interaction with it should also remain in the bridge knveers and sorters, also when someone destroys any block, we will see who has demolished the block. hovering over it with the cursor</t>
  </si>
  <si>
    <t>Anuken-Mindustry-3223</t>
  </si>
  <si>
    <t>cvg</t>
  </si>
  <si>
    <t>Berjin-track-and-trigger-1</t>
  </si>
  <si>
    <t>App crashes on pressing back button</t>
  </si>
  <si>
    <t>When canceling the Google or Facebook sign in by pressing the back button, the app is crashing</t>
  </si>
  <si>
    <t>AOF-Dev-MCinaBox-628</t>
  </si>
  <si>
    <t>The keyboard opening doesn't work</t>
  </si>
  <si>
    <t>**Describe the bug**
don have keyboard in the latest version of 0.1.4.p4. When press into the top right corner. The program crashes or doesn open the phone keyboard. Other versions work with the opening of the keyboard phone</t>
  </si>
  <si>
    <t>Anuken-Mindustry-3222</t>
  </si>
  <si>
    <t>Core Launch loadout can delete terrain blocks</t>
  </si>
  <si>
    <t>when launching with loadout it can delete terrain blocks
**Steps to reproduce**: *How you happened across the issue, and what exactly you did to make the bug happen.*
1. launch to sector with terrain near core with bigger loadout (image shows sector 258)
2. terrain gone
3. shadow land stay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sorry am noob idk how to export campain map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</si>
  <si>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Anuken-Mindustry-3220</t>
  </si>
  <si>
    <t>When launching from a sector it forces you to launch from the nearest nearby sector</t>
  </si>
  <si>
    <t>when launching from random sector to different sector it forces you to launch from an adjacent sector
**Steps to reproduce**: *How you happened across the issue, and what exactly you did to make the bug happen.*
1. attempt to launch from sector to non adjacent sector
2. it makes you launch from adjacent sector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non save file specific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</si>
  <si>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TeamNewPipe-NewPipe-4746</t>
  </si>
  <si>
    <t>App/UI crash when skipping while the video is paused</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</si>
  <si>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x.xx.x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Beginning playing any video.
2. PAUSE THE VIDEO.
2. Attempt to skip through the playback using the double tap gestures.
3. App freezes for second and shows App UI crash log.
&lt;!-- If you can cause the bug to show up again reliably (and hence don have proper set of steps to give us), please still try to give as many details as possible on how you think you encountered the bug. --&gt;
### Actual behaviour
App UI Crash if the video is paused and you try to skip forward or back.
### Expected behavior
Skip through video playback using double tap gestures while paused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</si>
  <si>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nextcloud-android-7191</t>
  </si>
  <si>
    <t>Reading vidéo crash</t>
  </si>
  <si>
    <t>Anuken-Mindustry-3216</t>
  </si>
  <si>
    <t>**Steps to reproduce**: *How you happened across the issue, and what exactly you did to make the bug happen.* made t3 support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its on server called chaotic neutral anyways idk where to put but here is video of it happening https: youtu.be iQyPI7OGY7s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</si>
  <si>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k9mail-k-9-5035</t>
  </si>
  <si>
    <t>App crashes when sending new mail from shared inbox</t>
  </si>
  <si>
    <t>**Describe the bug**
When trying to write new mail from the shared inbox view the app crashes.
Steps to reproduce the behavior:
1. Go to shared inbox
2. Click on write new email
3. See error
The app should not crash but open the mail editor
**Environment (please complete the following information):**
K-9 Mail version: 5.723
Android version: 10
Device: Huawei P30 Pro
Account type: IMAP</t>
  </si>
  <si>
    <t>2020-10-31</t>
  </si>
  <si>
    <t>Anuken-Mindustry-3212</t>
  </si>
  <si>
    <t>No spawn point on built-in Archipielago map?</t>
  </si>
  <si>
    <t>nextcloud-android-7190</t>
  </si>
  <si>
    <t>Android app crash</t>
  </si>
  <si>
    <t>Anuken-Mindustry-3206</t>
  </si>
  <si>
    <t>Can only play Glacier or Veins in Sandbox mode</t>
  </si>
  <si>
    <t>**Steps to reproduce**: Play -&gt; Custom Game -&gt; Glacier Expect to be able to select Gamemode: PvP
**Link(s) to mod(s) used**: No mods
**Save file**: None needed, reproducible from Clear Game Data
**Crash report**: No crash
*Place an (no spaces) between the brackets to confirm that you have read the line below.*
**I have searched the closed and open issues to make sure that this problem has not already been reported.**</t>
  </si>
  <si>
    <t>Anuken-Mindustry-3205</t>
  </si>
  <si>
    <t>Graphite and Titanium are easily confused unless zoomed in</t>
  </si>
  <si>
    <t>**Steps to reproduce**: Have mess of fast conveyors each individually isolated to single item type, then zoom out to more overview-like level and start building new mine, accidentally connect it to conveyor of the other type and notice the conveyor is no longer uniform item stream.
don think we get confused with any other combination of items, and it at least partially mitigated now that the Core acts as an incinerator at max capacity, rather than blocking everything.
**Link(s) to mod(s) used**: No mods
**Crash report**: No crash
*Place an (no spaces) between the brackets to confirm that you have read the line below.*
**I have searched the closed and open issues to make sure that this problem has not already been reported.**</t>
  </si>
  <si>
    <t>Anuken-Mindustry-3203</t>
  </si>
  <si>
    <t>Multiplayer campaign issues</t>
  </si>
  <si>
    <t>1. Because clients cannot research on their own, they re also unable to access the Core Database
2. Clients can use the Host new research if it needs new tab in the bottom right
3. At the end of sector, the Clients wave counter doesn disappear like the Host does
4. This could be intentional, but when Launching to new sector the resources spent are not transferred, making the beginning *very* slow going as you have to wait for every little bit of copper to build the copper mines.
5. When the Host launches to the next map a) it doesn automatically Host b) the Clients don automatically try to reconnect
6. On clients, when left-click dragging to build sometimes the dragging effect is ignored i.e. it doesn show the ghost buildings which still held down and only builds one. This is not due to an accidental middle-click and *never* happens with conveyors, just buildings.
**Steps to reproduce**:
1. Client -&gt; Research -&gt; Only the host can research items -&gt; ok Expect Core Database button and ideally read-only view of the research tree.
2. Host -&gt; Research -&gt; Copper Wall Expect wall section to appear without disconnecting reconnecting after the notification
3. Survive wave 10
4. Launch to Frozen Forest -&gt; Click on core, observe &lt;10 items Expect c. 1000 copper
5. Planet Map -&gt; new sector -&gt; Launch -&gt; Launch Expect the clients to automatically join the new map
6. Cannot reliably replicate, sorry
**Link(s) to mod(s) used**: No mods
**Crash report**: No crash
*Place an (no spaces) between the brackets to confirm that you have read the line below.*
**I have searched the closed and open issues to make sure that this problem has not already been reported.**</t>
  </si>
  <si>
    <t>AOF-Dev-MCinaBox-622</t>
  </si>
  <si>
    <t>I have 2 problems.</t>
  </si>
  <si>
    <t>**Describe the bug**
1.Why did change the download source and refresh the game download list and crash?
2.My settings are OK, but starting the game will cause the launcher to crash!
(special setting: game directory is private directory
My program crashed!
Mobile phone: Redmi Note Plus
Steps to reproduce the behavior:
1. Enter the starter settings and change the download source
2. Enter the game download page (at this time, it has been loaded once before changing the download source), and click refresh
3. then... And it broke down...
Start the game directly, and then crash when starting after checking.</t>
  </si>
  <si>
    <t>Anuken-Mindustry-3200</t>
  </si>
  <si>
    <t>Routers moved with Mega are controlled weirdly</t>
  </si>
  <si>
    <t>**Steps to reproduce**: *Control mega, pick up router, drop it elsewhere, try to control the router*
**Link(s) to mod(s) used**: *No mods.*
**Save file**: mindustrySave.zip (https: github.com Anuken Mindustry files 5468802 mindustrySave.zip)
**Crash report**: *No crash.*
*Place an (no spaces) between the brackets to confirm that you have read the line below.*
**I have searched the closed and open issues to make sure that this problem has not already been reported.**
Control preview (https: 52933466</t>
  </si>
  <si>
    <t>Anuken-Mindustry-3198</t>
  </si>
  <si>
    <t>Call.label being glitchy on a server</t>
  </si>
  <si>
    <t>When Call.label is done on server, whatever was the label appears in the center of your screen for frame.
**Steps to reproduce**: *How you happened across the issue, and what exactly you did to make the bug happen.*
Using Call.label on .pl, other players did indeed confirm this happening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</si>
  <si>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Anuken-Mindustry-3197</t>
  </si>
  <si>
    <t>player stuck in the duo</t>
  </si>
  <si>
    <t>**Steps to reproduce**: *My baby did it so don know why. What do know is that he was fast, triple clicking on my duo*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</si>
  <si>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oliexdev-openWorkout-17</t>
  </si>
  <si>
    <t>App crashed after deleting custom exercise images.</t>
  </si>
  <si>
    <t>Possible bug with the app handling of images.
created custom workout and added some exercises with custom images.
was expecting that open workout made backup of such images in some internal data folder, so moved the images from my phone into the recycle bin using the gallery app.
After that trying to open my custom workout causes the application to crash.
Trying to restore the images into the original folder didn solve the issue.
Here is log of the crash:
Build version: 1.2</t>
  </si>
  <si>
    <t>Anuken-Mindustry-3196</t>
  </si>
  <si>
    <t>game crashed when going into sector
**Steps to reproduce**: *How you happened across the issue, and what exactly you did to make the bug happen.*
1. go to sector farming base (pentagon north of ground 0)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</si>
  <si>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aws-amplify-amplify-android-944</t>
  </si>
  <si>
    <t>[DataStore] CursorWindowAllocationException crash for large datasets</t>
  </si>
  <si>
    <t>Hey guys, have some issues and usage questions:
What am doing is just calling **the first query method on the DataStore of single model**, and at that moment Amplify starts to **sync download all the data from all the models**.
The problem noticed is that when the amount of data in the DynamoDB started to increase, the first synchronization started to fail.
We have two main models, Location and Activities. Each location has activities and they will be assigned to each user on daily basis.
We made some calculations and found that each user will have approximately 1350 activities assigned per month within 150 different locations. We want to previously populate the database with locations and activities for full month for each user. So each month will have 1500 rows in total. With this amount of data, found the following issues just in the first sync:
First sync: When the user logs-in for the first time and perform the first query, after that everything seems to work fine.
Obtained today task list: $matches
1. In low-range smartphones (Samsung Galaxy A8, A10 LGE LM-K410), found this issue:
Cursor window allocation of 2097152 bytes failed. Open Cursors 442 (# cursors opened by this proc 442)
More information in: https: sentry.io share issue
2. In mid-range smartphones, sometimes have TimeOutException like in this issue: #563
Amplify only syncs download the locations and activities of this single day, for this user. So the app doesn have memory issues. OR Amplify syncs downloads by small chunks of data.
Amplify syncs downloads all the information previously registered information and in low-mid-range smartphones the application crashes, even though only queried today locations.
Is there way to implement this with the current version of the API or this would be something like new feature?</t>
  </si>
  <si>
    <t>cgeo-cgeo-9318</t>
  </si>
  <si>
    <t>crash when logging a unloaded PM only cache as BM from search</t>
  </si>
  <si>
    <t>**Describe the bug:**
Using non- premium account, enter in GC# of premium cache and receive error message. But the option to log cache. Clicking log shuts down the app.
Steps to reproduce the behavior:
1. From basic account, Go to search and type in GC# of premium cache. Search.
2. Dialog box appears for Premium Member Only.
3. Click LOG VISIT
**Actual behavior state after performing these steps:**
**Expected behavior state after performing these steps:**
dialog box should appear to allow basic membership to log Premium Cache.
**Version of c:geo used:**
**Is the problem reproducible:**
--- System information ---
Google Play services: enabled 20.39.15 (100300-335085812)
Low power mode: inactive
Compass capabilities: yes
Rotation vector sensor: present
Orientation sensor: present
Magnetometer Accelerometer sensor: present
Direction sensor used: rotation vector
Hide caches: own found</t>
  </si>
  <si>
    <t>nextcloud-android-7187</t>
  </si>
  <si>
    <t>Crash when viewing folder with some videos</t>
  </si>
  <si>
    <t>am writing this quickly on my phone, some information is missing for right now. ll edit with more info later.
### Steps to reproduce
unfortunately cannot provide exact instructions to reproduce. It seems to happen when quickly opening folders that have not been cached yet. got the error multiple times by just randomly clicking around, but was never to get it to crash again when opening the same folder afterwards.
### Expected behaviour
Tell us what should happen
### Actual behaviour
Crash, see below
### Can you reproduce this problem on https: try.nextcloud.com?
Please create test demo account and see if this still happens there.
If yes, please open up bug report
If not, please verify server setup and ask for help on forum
### Environment data
Android version: 11
Device model: Pixel 3a
Stock or customized system: stock
Nextcloud app version: 3.14.0 RC
Nextcloud server version: 20.something
Reverse proxy: nginx
#### Web server error log
Insert your webserver log here</t>
  </si>
  <si>
    <t>2020-10-30</t>
  </si>
  <si>
    <t>nextcloud-android-7185</t>
  </si>
  <si>
    <t>Crash on Samsung s10+</t>
  </si>
  <si>
    <t>### Steps to reproduce
1. cannot reproduce this, it crashed just sometimes
************ CAUSE OF ERROR ************
************ APP INFORMATION ************
Build flavor: versionDev
************ DEVICE INFORMATION ************
************ FIRMWARE ************</t>
  </si>
  <si>
    <t>nextcloud-android-7184</t>
  </si>
  <si>
    <t>crash when granting acces on Samsung S7</t>
  </si>
  <si>
    <t>### Steps to reproduce
1. Frech install Nextcloud in Samsung s7
2. Login with Username and Password
3. Press grant access
### Actual behaviour
************ CAUSE OF ERROR ************
************ APP INFORMATION ************
Build flavor: versionDev
************ DEVICE INFORMATION ************
************ FIRMWARE ************</t>
  </si>
  <si>
    <t>TeamNewPipe-NewPipe-4730</t>
  </si>
  <si>
    <t>Fails to open a video</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</si>
  <si>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v0.20.2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Go to the first listed video
2. Press on Play button
3. App fails to play, logcat says
### Actual behavior
App fails to play the video
### Expected behavior
App plays the video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</si>
  <si>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Anuken-Mindustry-3193</t>
  </si>
  <si>
    <t>logical operation “not” return a wrong number</t>
  </si>
  <si>
    <t>and got negative two printed on the message1 block
if change set to set got negative one.
**Steps to reproduce**: *follow the steps wrote above, the bug occurs*
**Link(s) to mod(s) used**: *i didn install any mod*
**Save file**: *The (zipped) save file you were playing on when the bug happened. THIS IS REQUIRED FOR ANY ISSUE HAPPENING IN-GAME, REGARDLESS OF WHETHER YOU THINK IT HAPPENS EVERYWHERE. DO NOT DELETE OR OMIT THIS LINE UNLESS YOU ARE SURE THAT THE ISSUE DOES NOT HAPPEN IN-GAME.
not sure about this section...if need to upload the zip file? how?*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</si>
  <si>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SkyTubeTeam-SkyTube-827</t>
  </si>
  <si>
    <t>Crash when updating youtube channels</t>
  </si>
  <si>
    <t>have crash of the application when updating the youtube channels.
Don have this problem with previous version.
Do you have path to the log file?</t>
  </si>
  <si>
    <t>Anuken-Mindustry-3189</t>
  </si>
  <si>
    <t>Negative amount of resource in the campaign</t>
  </si>
  <si>
    <t>**Steps to reproduce**:
1. Launch to sector
2. Build some unloaders to create negative resource flow
3. Go to another sector and wait while
4. Go back to sector
**No mods used...**
**Save file**: (https: github.com Anuken Mindustry files 5464097
**No crash happened**
**I have searched the closed and open issues to make sure that this problem has not already been reported.**</t>
  </si>
  <si>
    <t>microg-FakeStore-24</t>
  </si>
  <si>
    <t>Incompatible with OneDrive 6.16? - how to downgrade</t>
  </si>
  <si>
    <t>ve accidently upgraded on LOS 17.1 MicroG from 0.0.2 to 0.1.0 all working fine but previously installed Microsoft OneDrive app is now crashing instantly after start wanted to test with 0.0.2 again, but can downgrade with F-Droid Error -25: The new package has an older version code than the currently installed package)
Is there any hint available how to downgrade FakeStore back to 0.0.2 thank you very much!
(and keep on the good work!!!)</t>
  </si>
  <si>
    <t>TeamNewPipe-NewPipe-4714</t>
  </si>
  <si>
    <t>V20 keeps crashing</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</si>
  <si>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0.20.1
Screenshot org schabi newpipe (https: 73680651 could not parse the website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with the steps given above. --&gt;
App keeps on showing the error newpipe could not parse the website
### Expected behavior
&lt;!-- Tell us what you expect to happen. --&gt;</t>
  </si>
  <si>
    <t>nextcloud-android-7167</t>
  </si>
  <si>
    <t>Client crash 30130190</t>
  </si>
  <si>
    <t>2020-10-29</t>
  </si>
  <si>
    <t>TeamNewPipe-NewPipe-4707</t>
  </si>
  <si>
    <t>APP closes without error message</t>
  </si>
  <si>
    <t>am using the latest version 0.20.2
checked, but didn find any duplicates (open OR closed) of this issue in the repo.
have read the contribution guidelines given at https: github.com TeamNewPipe NewPipe blob HEAD .github CONTRIBUTING.md.
This issue contains only one bug. will open one issue for every bug report want to file.
### Steps to reproduce the bug
1. Play chosen Video
2. After approx. 01:30 the APP closes immediately without any error message.
### Actual behaviour
&lt;!-- Tell us what happens with the steps given above. --&gt;
1. Open APP again and start same Video, it plays Form 01:30 until 03:15, then APP closes again.
2. Open APP again and start same video, it starts to play again from 01:30 until 03:15 and APP closes again.
### Expected behavior
&lt;!-- Tell us what you expect to happen. --&gt;
Video should play until it finished and APP should be open to use.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
&lt;!-- That right, here! --&gt;
&lt;!-- Please fill this out when you do not provide log generate by NewPipe --&gt;</t>
  </si>
  <si>
    <t>Anuken-Mindustry-3179</t>
  </si>
  <si>
    <t>Cannot select custom core schematic in launch menu</t>
  </si>
  <si>
    <t>**Steps to reproduce**: *How you happened across the issue, and what exactly you did to make the bug happen.*
1) Save any schematic with the core.
2) Try to launch to vacant sector.
3) When clicking on your own schematic, nothing happens.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none
**Crash report**: *The contents of relevant crash report files. REQUIRED if you are reporting crash.* none
*Place an (no spaces) between the brackets to confirm that you have read the line below.*
**I have searched the closed and open issues to make sure that this problem has not already been reported.**</t>
  </si>
  <si>
    <t>Anuken-Mindustry-3176</t>
  </si>
  <si>
    <t>Region #170: Guardian coming too late</t>
  </si>
  <si>
    <t>**Steps to reproduce**: Play campaign until you ve come to hex #170 for the second time, advance to level 32, see warning box pop up. Also when there is rounds before the Guardian arrives, and rounds. now at round 40, and thinking whew, glad finished before the Guardian got here!
**Link(s) to mod(s) used**: none
**Crash report**: no crash
*Place an (no spaces) between the brackets to confirm that you have read the line below.*
**I have searched the closed and open issues to make sure that this problem has not already been reported.**</t>
  </si>
  <si>
    <t>Anuken-Mindustry-3173</t>
  </si>
  <si>
    <t>Infinite Resource from unloading Core bug 6.0</t>
  </si>
  <si>
    <t>Steps to reproduce: discovered because noticed was running out of resources while playing on map but while was playing on another map they were increasing rapidly.
Reproduced specifically with an everything (unspecified) unloader that was sorting out only the materials needed for drone production and sending the rest back into my core.
Ive used it to get my income to all materials to over 1k min with bunch of unloaders just pulling and dumping back into my base with an overdrive projector to increase the conveyor speeds
Link(s) to mod(s) used: Vanilla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Not crash causing issue
*Place an (no spaces) between the brackets to confirm that you have read the line below.*
**I have searched the closed and open issues to make sure that this problem has not already been reported.**</t>
  </si>
  <si>
    <t>indomie858-app-A-53</t>
  </si>
  <si>
    <t>Directory Button (possible bug)</t>
  </si>
  <si>
    <t>The app crashes when you keep trying to run the navigation through the directory button each time while the GPS is OFF</t>
  </si>
  <si>
    <t>2020-10-28</t>
  </si>
  <si>
    <t>Anuken-Mindustry-3171</t>
  </si>
  <si>
    <t>When you try to shoot as a router, it crashes</t>
  </si>
  <si>
    <t>**Steps to reproduce**: posses router and hold on screen
*Place an (no spaces) between the brackets to confirm that you have read the line below.*
**I have searched the closed and open issues to make sure that this problem has not already been reported.**</t>
  </si>
  <si>
    <t>MuntashirAkon-AppManager-135</t>
  </si>
  <si>
    <t>Crash exiting AppInfo while the purple progress bar is still visible</t>
  </si>
  <si>
    <t>**Describe the bug**
AppManager crashes when exiting AppInfo while the new progress bar above the app icon is visible.
1. Click on an App in the list of packages.
2. Immediately press back while the purple progress bar is still displayed.
3. You will land back in the list of packages but then AppManager will crash
The crash also occurs if the progress bar is displayed during different activity, such as disabling an app.
AppManager should not crash.
Device: FireTV 4K Stick
OS Version: FireOS 6.2.7.3 (Android 7.1.2)
App Manager Version: v2.5.17
Mode: adb stock
Affected versions: 2.5.17 and 2.5.16
Not affected: 2.5.13
encountered this bug on my FireTV 4K Stick. The bug could be exclusive to this device and its limited broken(?) Android base in which case this bug would be irrelevant.
However it also possible that this bug could happen on any slow device. wasn able to reproduce this bug on Pixel 3a or Fire HD 10 tablet since these devices are much faster and it looks like the progress bar disappears before it registers the back press.
Maybe someone could try this on an older, slower device?
On Fire TV 4K the progress bar is visible for up to seconds and so the chances to run into this crash are pretty high.</t>
  </si>
  <si>
    <t>aws-amplify-amplify-android-940</t>
  </si>
  <si>
    <t>The app crashes if the session is expired</t>
  </si>
  <si>
    <t>If re-run my app when the session is expired, then it will crash with this exception:
Caused by: AmplifyException message Error during subscription., cause AmplifyException message Failed to set owner field on cause AmplifyException message No cached session., cause null, recoverySuggestion Sorry, we don have suggested fix for this error yet. recoverySuggestion See attached exception for details. recoverySuggestion Evaluate details.
AmplifyException message Initial cloud sync failed., cause AmplifyException message Failure performing sync query to AppSync., cause AmplifyException message Could not retrieve the response body from the returned JSON, cause Failed to retrieve Cognito User Pools token., recoverySuggestion Sorry, we don have suggested fix for this error yet. recoverySuggestion Sorry, we don have suggested fix for this error yet. recoverySuggestion Check your internet connection.
Caused by: AmplifyException message Failure performing sync query to AppSync., cause AmplifyException message Could not retrieve the response body from the returned JSON, cause Failed to retrieve Cognito User Pools token., recoverySuggestion Sorry, we don have suggest
AmplifyException message Initial sync during DataStore initialization failed., cause AmplifyException message Failure performing sync query to AppSync., cause AmplifyException message Could not retrieve the response body from the returned JSON, cause Failed to retrieve Cognito User Pools token., recoverySuggestion Sorry, we don have suggested fix for this error yet. recoverySuggestion Sorry, we don have suggested fix for this error yet. recoverySuggestion There is possibility that there is bug if this error persists. Please take look at
match your scenario, and file an issue with the details of the bug if there isn t.
Caused by: AmplifyException message Failure performing sync query to AppSync., cause AmplifyException message Could not retrieve the response body from the returned JSON, cause Failed to retrieve Cognito User Pools token., recoverySuggestion Sorry, we don have suggested fix for this error yet. recoverySuggestion Sorry, we don have suggested fix for this error yet.
using version 1.4.1 of Amplify.
This issue looks related to https: github.com aws-amplify amplify-android issues 803.
Is there way to get around this?</t>
  </si>
  <si>
    <t>TeamNewPipe-NewPipe-4688</t>
  </si>
  <si>
    <t>Can't analyze site New pipe v0.20.1</t>
  </si>
  <si>
    <t>&lt;!-- IF YOU DON FILL IN THE TEMPLATE PROPERLY, YOUR ISSUE IS LIABLE TO BE CLOSED. If you feel tired lazy right now, open your issue some other time. We ll wait. --&gt;
&lt;!-- The comments between these brackets won show up in the submitted issue (as you can see in the Preview). --&gt;
&lt;!-- The first box has been checked for you to show you how it is done. --&gt;
am using the latest version 0.20.1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DON POST SCREENSHOTS OF THE ERROR PAGE. Use the buttons given on the error page to paste the error as text in the Logs section below. --&gt;
&lt;!-- If your bug includes crash (where you re shown the Error Report page with bunch of info), tap on Copy formatted report at the bottom and paste it here: --&gt;</t>
  </si>
  <si>
    <t>Anuken-Mindustry-3169</t>
  </si>
  <si>
    <t>Sector instantly lost after checking another Sector</t>
  </si>
  <si>
    <t>**Steps to reproduce**: *I don know how to reproduce, nor how it was caused. only know that placed some Scorches, Large Copper Walls, and Menders and supplied power near the drop area.*
**Link(s) to mod(s) used**: *No mods were used.*
**Save file**: *https: www.dropbox.com w8ifh7a5mgzw7t4 0*
**Crash report**: *Not crash.*
*Place an (no spaces) between the brackets to confirm that you have read the line below.*
**I have searched the closed and open issues to make sure that this problem has not already been reported.**</t>
  </si>
  <si>
    <t>commons-app-apps-android-commons-3997</t>
  </si>
  <si>
    <t>SecurityException: Permission Denial: startForeground requires android.permission.FOREGROUND_SERVICE</t>
  </si>
  <si>
    <t>Maybe missing permission?
With the latest master, this crash happens anytime try to upload an image (via either gallery or camera, from either home or nearby).
Happens even after uninstalling and reinstalling the app.
ACRA bunch yesterday. Logcat:</t>
  </si>
  <si>
    <t>Anuken-Mindustry-3166</t>
  </si>
  <si>
    <t>Weirdness with armor and health-modifying status effects</t>
  </si>
  <si>
    <t>Armor is applied after health multiplier from status effects, making it WAY more efficient (most noticeable in the boss status effect)
**Steps to reproduce**: *How you happened across the issue, and what exactly you did to make the bug happen.*
conversation in the discord mentioning mace surviving 30 duos undamaged. To spot the exact issue measured damage done to the mace using the F8 console, including observing that fuse does 48.5 damage to the mace.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</si>
  <si>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material-components-material-components-android-1831</t>
  </si>
  <si>
    <t>[Catalog] Crash in TransitionMusicAlbumDemoFragment</t>
  </si>
  <si>
    <t>Open catalog demo -&gt; Transitions -&gt; -&gt; Press any album item.
**Expected behavior:** Do not crash
**Android API version:** API 17
**Material Library version:** 1.3.0-alpha03</t>
  </si>
  <si>
    <t>indomie858-app-A-52</t>
  </si>
  <si>
    <t>Location Permissions</t>
  </si>
  <si>
    <t>Need to implement location permissions request when app is loaded. Currently, when you run clean install of the app, the app crashes during this flow:
Open app -&gt;Click Directory -&gt;Select building opens then crashes due to permissions error
MapActivity has an implementation of the permissions request. When you click the Map button after clean install, it prompts the user to enable location services. We should have this prompt when the user loads the app instead</t>
  </si>
  <si>
    <t>commons-app-apps-android-commons-3996</t>
  </si>
  <si>
    <t>Hitting on on My Rank in leaderboard section crashes the application</t>
  </si>
  <si>
    <t>Summarize your issue in one sentence (what goes wrong, what did you expect to happen)
If you haven made any contribution then my rank button should be disabled or tell the user use to make some contribution but it crashes the application
**Steps to reproduce:**
How can we reproduce the issue?
Signup with new account or use an account with contributions and go to profile and then the leaderboard
it will display message you haven made any contribution then we click on okay on the dialog box then and then click on my rank in the fragment
What did you expect the app to do, and what did you see instead?
Well was expecting toast or message that go do some contribution but instead, the application got crashed
Add logcat files here (if possible).
Need help? See https: github.com commons-app wiki
**Device and Android version:**
What make and model device (e.g., Samsung J7) did you encounter this on?
What Android version (e.g., Android 4.0 Ice Cream Sandwich or Android 6.0 Marshmallow) are you running?
Is it the stock version from the manufacturer or custom ROM
**Commons app version:**
You can find this information by going to the navigation drawer in the app and tapping About If you are building from our codebase instead of downloading the app, please also mention the branch and build variant (e.g. master and prodDebug).
Can be created by pressing the Volume Down and Power Button at the same time on Android 4.0 and higher.
**Would you like to work on the issue?**
Please let us know whether you want to fix the issue by yourself. If not, anyone can get the issue assigned to them.</t>
  </si>
  <si>
    <t>opensrp-opensrp-client-chw-1458</t>
  </si>
  <si>
    <t>Chad app crashes when you tap on "Add family" button and "Add family member" button</t>
  </si>
  <si>
    <t>App crashes when you tap on the Add family button and on the Add family member form button. Apk and login details shared in Slack DM.</t>
  </si>
  <si>
    <t>2020-10-27</t>
  </si>
  <si>
    <t>Anuken-Mindustry-3158</t>
  </si>
  <si>
    <t>UI is not rendered properly on 4k display</t>
  </si>
  <si>
    <t>**Steps to reproduce**:
Start game from steam on 4k display. Happens both in borderless and fullscreen mode. Interestingly enough the UI looks somewhat better (like some AA was applied) every time try to take screenshot with ShareX. Compared e.g. text in chrome it is still pixelated, but not to the extent it was before.
already tried resetting my graphic settings to default and restarted the game multiple times.
**Link(s) to mod(s) used**: Unmodded
**Save file**: Happens in the main menu already.
**Crash report**: Not crashing
Below are two screenshots took with my phone, both from the exact same area of my display. One shows how the UI is rendered in the main menu while the other shows how text should actually look like on my display (chrome).
The game looks significantly worse than you can see on the image, but when you compare the text in them the problem should still be easily noticeable.
*Place an (no spaces) between the brackets to confirm that you have read the line below.*
**I have searched the closed and open issues to make sure that this problem has not already been reported.**</t>
  </si>
  <si>
    <t>ElderDrivers-EdXposed-620</t>
  </si>
  <si>
    <t>[BUG] Android softreboot with system crash visible in the logs</t>
  </si>
  <si>
    <t>Since the last update of my ROM, the system soft reboot often (from couple of minutes to 15 minutes).
tested with SandHook and YAHFA and both cause the crash.
**Xposed Module List**
Greenify and NoQSInLockScreen (EdXposed module is disabled)
**Magisk Module List**
Nanodroid (microg google fdroid patcher)
**Versions of EdXposed and Riru**
--------- beginning of crash
--------- beginning of crash</t>
  </si>
  <si>
    <t>Anuken-Mindustry-3157</t>
  </si>
  <si>
    <t>green lines bug</t>
  </si>
  <si>
    <t>**Steps to reproduce**: the issue accoured on my friends Del laptop and it keeps happening when he loads up the beta branch but only the beta branch,
**Link(s) to mod(s) used**: *The mod repositories or zip files that are related to the issue, if applicable.* he deleted all his mods before starting
**Save file**: *The (zipped) save file you were playing on when the bug happened. THIS IS REQUIRED FOR ANY ISSUE HAPPENING IN-GAME, REGARDLESS OF WHETHER YOU THINK IT HAPPENS EVERYWHERE. DO NOT DELETE OR OMIT THIS LINE UNLESS YOU ARE SURE THAT THE ISSUE DOES NOT HAPPEN IN-GAME.* save fie cant provide sadly, as far as know its not tied to save files as he deleted his then it happened again.
**Crash report**: did not crash the game.
*Place an (no spaces) no did not read below.. sorry if someone reported this before im new to github and just made an account to report this.</t>
  </si>
  <si>
    <t>Anuken-Mindustry-3152</t>
  </si>
  <si>
    <t>Multiplayer build tabs unlock not synced properly</t>
  </si>
  <si>
    <t>**Steps to reproduce**: *Was playing game with my younger brother. While had already unlocked most things in v6 he had none. When joined his game only the technologies he had unlocked (so the starter stuff) was available to me as well. Over the course of the round he started unlocking new things and could build more stuff. However, when he unlocked things that were in new build category (e.g. electric generator or walls) the tabs for these new unlocks were not added to my ui. The ui only showed me the turrets, miners and conveyor belt tab.*
*After disconnecting and rejoining could see and use the other categories he had unlocked as well.*
**Link(s) to mod(s) used**: *None. He used fresh install from steam and reinstalled only few days ago.*
**Save file**: Will be uploaded in mins once the other pc is booted. Uploaded his save file*
**Crash report**: *No crash.*
**I have searched the closed and open issues to make sure that this problem has not already been reported.**</t>
  </si>
  <si>
    <t>k9mail-k-9-5029</t>
  </si>
  <si>
    <t>crash when edit email setup details</t>
  </si>
  <si>
    <t>**Describe the bug**
when email username or password is wrong, we click on edit details. then edit email password and click on next and suddenly app crashes
Steps to reproduce the behavior:
1. open application
2. enter wrong email address or password
3. error dialog shows and we click on edit details
4. fix email address and password and click on next
5. app crash
it should go to next step without any problem
**Environment (please complete the following information):**
K-9 Mail version: 5.723-SNAPSHOT (debug)
Device: Android emulator
Account type: IMAP
Please take some time to retrieve logs (https: github.com k9mail k-9 wiki LoggingErrors) and attach them here:</t>
  </si>
  <si>
    <t>TeamNewPipe-NewPipe-4672</t>
  </si>
  <si>
    <t>/!\Can access app, cannot play any media/¡\</t>
  </si>
  <si>
    <t>User Action: ui error
Request: App crash, UI failure
Content Country: US
Content Language: en-US
App Language: en US
OS: Linux Android 10 29
log b&gt;&lt; summary&gt;&lt;p&gt;</t>
  </si>
  <si>
    <t>AOF-Dev-MCinaBox-608</t>
  </si>
  <si>
    <t>Optifine crashes when trying to run SEUS PTGI</t>
  </si>
  <si>
    <t>**Describe the bug**
Selecting any shader in Optifine crashes the game when opening world. No log or error messages will be generated at all.
Steps to reproduce the behavior:
1. Go to Optifine HD F3 1.12.2
2. Go to Options.
3. Go to Video settings -&gt; shaders.
4. Select shader that is not build-in.
5. Open world or connect to server.
6. See error
expected it to load the world, lag bit and have fancy grafics.
**Smartphone (please complete the following information):**
Device: Samsung Galaxy A40
OS: Android with 5.4 kernel
App Version 0.1.4-p3</t>
  </si>
  <si>
    <t>Anuken-Mindustry-3145</t>
  </si>
  <si>
    <t>SystemCursor is prohibited</t>
  </si>
  <si>
    <t>**Steps to reproduce**:
both these crash:
return this.totalLevel() .length 0) SystemCursor.hand SystemCursor.arrow
**Link(s) to mod(s) used**: *sk7725 exp-lib*
**Save file**: *Codewise error.*
**Crash report**: Access to Java class is prohibited. (exp#474)
*Place an (no spaces) between the brackets to confirm that you have read the line below.*
**I have searched the closed and open issues to make sure that this problem has not already been reported.**</t>
  </si>
  <si>
    <t>onaio-rdt-standard-585</t>
  </si>
  <si>
    <t>OneScan is crashing due to FHIR RDT Definitions being absent</t>
  </si>
  <si>
    <t>This crash occurs during RDT capture. think managed to find out the reason, the device definitions aren recorded in the FHIR list. completed the following assessments after updating the software of my phone and the assessment came out fine.
1.All test (1) OK
2.All test (2) OK
3. Realy tech (1) OK
4.Realy tech (2) OK
5. Green Spring (1) OK
6. Green Spring (2) OK
7. STANDARD (1) OK
8. Standard (2) OK
9. standard syphilis Ab (1) Crash
10. standard syphilis Ab (2) Crash
11. Standard Covid Ab Crash
vincent-karuri Can you point me to where the image is being pulled from?</t>
  </si>
  <si>
    <t>Anuken-Mindustry-3140</t>
  </si>
  <si>
    <t>Game Hallucinates Derelict Nucleus Cores in the Bottom Left of my Map in the Editor After Opening my very large Generation Tab</t>
  </si>
  <si>
    <t>can delete the cores, but can set their team to anything else to spawn from them. Playing the map removes them, but when open it in the editor this happens.
**Steps to reproduce**: *How you happened across the issue, and what exactly you did to make the bug happen.*
Editor -&gt; Open Map -&gt; Escape key -&gt; Map info -&gt; Generation -&gt; Close Generation -&gt; Look at bottom left of the map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No game crash
*Place an (no spaces) between the brackets to confirm that you have read the line below.*
**I have searched the closed and open issues to make sure that this problem has not already been reported.**</t>
  </si>
  <si>
    <t>2020-10-26</t>
  </si>
  <si>
    <t>Anuken-Mindustry-3136</t>
  </si>
  <si>
    <t>Logic processors store named connections when in schematics, and can display wrong names when copied</t>
  </si>
  <si>
    <t>**Steps to reproduce**: *How you happened across the issue, and what exactly you did to make the bug happen.* see video
1. place processor
2. link processor to something
3. note what the name is ie, reactor1
3. copy processor using schematics
4. place processor with different block in the same relative location
5. note how name is reactor1 even if the block is not reactor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this was reported but didnt have enough info and dont know how to mention other issues **I have searched the closed and open issues to make sure that this problem has not already been reported.**</t>
  </si>
  <si>
    <t>Anuken-Mindustry-3135</t>
  </si>
  <si>
    <t>Uncorrect shootX coordinates</t>
  </si>
  <si>
    <t>**Steps to reproduce**: *Downloaded and installed version BE 10823. Turned on the game. Set your favorite settings. Launched custom game. Build message and processor. Connected the processor to the message and paste this code:
radar player any any distance this result
sensor result shootX
**Link(s) to mod(s) used**: *imported from github DeltaNedas rtfm (without mods the coordinates are also incorrect)*
**Save file**: bug.msav (https: drive.google.com file 16bGGN1 vCPoTbxtxexep jaKSJsicVVJ view?usp drivesdk)*
**Crash report**: *no crash report*
*Place an (no spaces) between the brackets to confirm that you have read the line below.*
**I have searched the closed and open issues to make sure that this problem has not already been reported.**</t>
  </si>
  <si>
    <t>Anuken-Mindustry-3132</t>
  </si>
  <si>
    <t>Im sure that's not a reactor</t>
  </si>
  <si>
    <t>Bleeding-edge Build 10809
For some reason logic processor selected conveyor like thorium reactor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Was on server, here is screenshot
Screenshot io anuke mindustry be (https: 67872140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</si>
  <si>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Anuken-Mindustry-3131</t>
  </si>
  <si>
    <t>shootX show uncorrect shoot coordinates</t>
  </si>
  <si>
    <t>**Steps to reproduce**: *load save. Load saved game, shoot, and see to message*
**Link(s) to mod(s) used**: *No mod used*
**Save file**: save.zip (https: drive.google.com file view?usp drivesdk)*
**Crash report**: *No crash*
*Place an (no spaces) between the brackets to confirm that you have read the line below.*
**I have searched the closed and open issues to make sure that this problem has not already been reported.**</t>
  </si>
  <si>
    <t>nextcloud-android-7141</t>
  </si>
  <si>
    <t>Autoupload freezing &amp; crashing + settings cannot be saved</t>
  </si>
  <si>
    <t>### Steps to reproduce
1. Open the app
2. Set auto upload active
3. While uploading, look at the app being irresponsive
4. Randomly get app crashes
5. Turn off wifi so you can use the app, try to change the auto upload settings.
### Expected behaviour
was expecting the UI to be responsive even when background tasks are ongoing.
was expecting crashes to not occur so often
was expecting the app to not freeze in random screens (loading spinner frozen, menu not opening, etc...)
was expecting to be able to save my settings (folders, allow even when not on wifi, etc..)
### Actual behaviour
The exact opposite irresponsive app, freezing and crashing very often, unusable UI while uploads are ongoing.
cannot save the settings the save button stays in inactive state.
### Additional infos
Files are being uploaded though.
am able to repeat this behaviour on demand (if you want video capture, let me know)
There are 3400 pictures and 170 videos in the autou pload folders.
### Can you reproduce this problem on https: try.nextcloud.com?
will not upload my pictures to this server.</t>
  </si>
  <si>
    <t>TeamNewPipe-NewPipe-4653</t>
  </si>
  <si>
    <t>Crash when running two newpipe instances at the same time: java.lang.RuntimeException: Error receiving broadcast intent…</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</si>
  <si>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IF YOU DON FILL IN THE TEMPLATE PROPERLY, YOUR ISSUE IS LIABLE TO BE CLOSED. If you feel tired lazy right now, open your issue some other time. We ll wait. ok --&gt;
&lt;!-- The comments between these brackets won show up in the submitted issue (as you can see in the Preview). --&gt;
&lt;!-- The first box has been checked for you to show you how it is done. --&gt;
am using the latest version 0.20.1 &lt;!-- Check https: github.com TeamNewPipe NewPipe releases --&gt;
checked, but didn find any duplicates (open OR closed) of this issue in the repo. &lt;!-- Seriously, check. --&gt;
have read the contribution guidelines given at https: github.com TeamNewPipe NewPipe blob HEAD .github CONTRIBUTING.md.
This issue contains only one bug. will open one issue for every bug report want to file.
### Steps to reproduce the bug
(optional?) uninstall all newpipe apps
install newpipe 0.20.1
install newpipe debug version, to have multiple newpipes at the same time
&lt;!-- If you can cause the bug to show up again reliably (and hence don have proper set of steps to give us), please still try to give as many details as possible on how you think you encountered the bug. --&gt;
### Actual behaviour
&lt;!-- Tell us what happens with the steps given above. --&gt;
### Expected behavior
&lt;!-- Tell us what you expect to happen. --&gt;
Everything works fine
&lt;!-- If your bug includes crash (where you re shown the Error Report page with bunch of info), tap on Copy formatted report at the bottom and paste it here: --&gt;
&lt;!-- That right, here! --&gt;</t>
  </si>
  <si>
    <t>TeamNewPipe-NewPipe-4650</t>
  </si>
  <si>
    <t>Crash when opening videos</t>
  </si>
  <si>
    <t>It asked for CAPTCHA for video. Now it is crashing for every video.
User Action: requested stream
Request: https: www.youtube.com watch?v 8n49WTTPaM0
Content Country: IN
Content Language: en-IN
App Language: en IN
OS: Linux Android 10 29
log b&gt;&lt; summary&gt;&lt;p&gt;</t>
  </si>
  <si>
    <t>Anuken-Mindustry-3126</t>
  </si>
  <si>
    <t>Can't launch a Shard core even though I have enough resources.</t>
  </si>
  <si>
    <t>Mac OS 10.15.7
&lt;img width 1434 alt Screen Shot 2020-10-26 at 12 36 15 PM src https: 73286691
Although it costs lead to launch core, it says don have enough lead to launch core to the Craters (or any other area for that matter). am unable to continue the game.
**Steps to reproduce**: *How you happened across the issue, and what exactly you did to make the bug happen.*
Not sure, but this is what ve been doing before.
1. Download build 111 from itch.io from the itch.io app
2. Export and import data from build 109 (downloaded not from itch.io app) to build 111
3. Resume playing on Frozen Fields and wait until completed it.
4. When try to go to The Craters, discover this issue.
**Link(s) to mod(s) used**: *The mod repositories or zip files that are related to the issue, if applicable.*
don use mods
**Save file**: *The (zipped) save file you were playing on when the bug happened. THIS IS REQUIRED FOR ANY ISSUE HAPPENING IN-GAME, REGARDLESS OF WHETHER YOU THINK IT HAPPENS EVERYWHERE. DO NOT DELETE OR OMIT THIS LINE UNLESS YOU ARE SURE THAT THE ISSUE DOES NOT HAPPEN IN-GAME.*
can find the specific game file. Sorry.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</si>
  <si>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jellyfin-jellyfin-androidtv-606</t>
  </si>
  <si>
    <t>Regular crash while playing Video</t>
  </si>
  <si>
    <t>**Describe the bug**
The application crashes after playing specific video.
Whole android TV App crashes every or minutes while playing specific video.
Here the info from jellyfin server
don know how to get logs from Android TV just have logs from Jellyfin server
**System (please complete the following information):**
Android TV or Fire TV version: Android TV from Freebox Pop
Device manufacturer: ISP Free (site freebox.fr)
Device model: Freebox Pop
Jellyfin server version: 10.6.4</t>
  </si>
  <si>
    <t>2020-10-25</t>
  </si>
  <si>
    <t>Anuken-Mindustry-3112</t>
  </si>
  <si>
    <t>ulocate building flickers to null</t>
  </si>
  <si>
    <t>building of ulocate is null sometimes, even if found is true.
**Steps to reproduce**:
Look at message block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</si>
  <si>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TeamNewPipe-NewPipe-4644</t>
  </si>
  <si>
    <t>App crashes when playing back any content</t>
  </si>
  <si>
    <t>0.20.0 and 0.20.1
1. open play any content in any mode (fullscreen, popup or background) (doesn matter its music or video)
2. program crashes instead of playing back content properly
User Action: ui error
Request: App crash, UI failure
Content Country: MY
Content Language: en
App Language: en US
OS: Linux Android 5.1 22
log b&gt;&lt; summary&gt;&lt;p&gt;</t>
  </si>
  <si>
    <t>wallabag-android-app-1091</t>
  </si>
  <si>
    <t>Google play crash reports.
Versions 226 227.
Android 9, few devices (Google Nexus and Pixel):
Redmi Redmi Note Pro (joyeuse), 5632MB RAM, Android 10:
LGE LG Pad F7.0 (e7iilte), 1024MB RAM, Android 5.0:
LGE LG Pad F7.0 (e7iilte), 1024MB RAM, Android 5.0:</t>
  </si>
  <si>
    <t>Anuken-Mindustry-3108</t>
  </si>
  <si>
    <t>[Logic]Unit control:build - config dont work</t>
  </si>
  <si>
    <t>**Steps to reproduce**: *download and import savings. Go to Save Games. Load the bug save. Go to the processor and in unit control: build in config area enter there any configuration for the sorter. Go to the processor and you will see how it disappeared, and bnvt built normal processor.*
**Link(s) to mod(s) used**: *no mods used*
**Save file**: bugsave.zip (https: drive.google.com file view?usp drivesdk)
**Crash report**: *No crash*
*Place an (no spaces) between the brackets to confirm that you have read the line below.*
**I have searched the closed and open issues to make sure that this problem has not already been reported.**</t>
  </si>
  <si>
    <t>Abir-Tx-XWriter-10</t>
  </si>
  <si>
    <t xml:space="preserve">App freezes and restarts itself when more than 2lakh value is given to the Counter </t>
  </si>
  <si>
    <t>The app crashes of freezes when more than 200000 value is given to the counter it takes so much time to print lakh of lakh in loop! Screenshot 20201025-020009 XWriter.jpg (https: 28858998</t>
  </si>
  <si>
    <t>2020-10-24</t>
  </si>
  <si>
    <t>Anuken-Mindustry-3091</t>
  </si>
  <si>
    <t>problem with code block "unit radar"</t>
  </si>
  <si>
    <t>**Steps to reproduce**: *Put processor and message. Connect message to processor. Put this code into processor:
uradar player any ally distance turret1 result
**Link(s) to mod(s) used**: *no mods used*
**Save file**: *unreal to past file*
**Crash report**: *No crash*
*Place an (no spaces) between the brackets to confirm that you have read the line below.*
**I have searched the closed and open issues to make sure that this problem has not already been reported.**</t>
  </si>
  <si>
    <t>Anuken-Mindustry-3085</t>
  </si>
  <si>
    <t>User interface for logic processor getting out of the screen</t>
  </si>
  <si>
    <t>**Steps to reproduce**: opened the menu of logic processor and created Unit Locate module. When wanted to modify the values inside, not all were displayed in the screen and it looked like my screen was too small to display the entire menu.
**Link(s) to mod(s) used**:
**Save file**: It can look very dumb but just deleted the file instead of saving it, because didn know the new interface of v6...I have screenshot thought.
It blank world with only sand and the standard ore generation, with core in the top right hand corner.
Screenshot 20201024-125426 Mindustry BE (https: 67834068
**Crash report**: It not crash
*Place an (no spaces) between the brackets to confirm that you have read the line below.*
**I have searched the closed and open issues to make sure that this problem has not already been reported.**</t>
  </si>
  <si>
    <t>Anuken-Mindustry-3084</t>
  </si>
  <si>
    <t>Enemy spawners not working on water</t>
  </si>
  <si>
    <t>**Steps to reproduce**: Play on the new archipelago map. Even if the map editor does prove that there is spawn point there, there is no spawn point in sight during gameplay, and enemies don spawn.
**Link(s) to mod(s) used**: None
**Save file**: Archipelago.zip (https: github.com Anuken Mindustry files 5432773 Archipelago.zip)
**Crash report**: Not crash.
*Place an (no spaces) between the brackets to confirm that you have read the line below.*
**I have searched the closed and open issues to make sure that this problem has not already been reported.**</t>
  </si>
  <si>
    <t>Anuken-Mindustry-3078</t>
  </si>
  <si>
    <t>Unable to unlock sector in tech tree even though required sectors have been capped</t>
  </si>
  <si>
    <t>Ive captured tar fields but the next map is still locked
**Steps to reproduce**: *How you happened across the issue, and what exactly you did to make the bug happen.*
1. capture tar fields
2. go to unlock next sector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</si>
  <si>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2020-10-23</t>
  </si>
  <si>
    <t>Anuken-Mindustry-3077</t>
  </si>
  <si>
    <t>Research show up as over 100 % done</t>
  </si>
  <si>
    <t>Steam build 110
when am in the research menu, some of my research shows up as over 100 done, when they are not.
**Steps to reproduce**: *How you happened across the issue, and what exactly you did to make the bug happen.*
go in and research something, without having enough resources.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</si>
  <si>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microg-GmsCore-1244</t>
  </si>
  <si>
    <t>Hessenschau-App is crashing with latest release</t>
  </si>
  <si>
    <t>after upgrading vi F-Droid to latest release the Hessenschau App crashes instantly.
Verified on two devices. microG selfcheck is ok.</t>
  </si>
  <si>
    <t>Anuken-Mindustry-3074</t>
  </si>
  <si>
    <t>Too many polys spawn on attack missions when they start building base, there is around 1000</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</si>
  <si>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Too many units spawn, around 1000 polys on attack missions, they are almost impossible to destroy and remain once the sector is captured! (https: 70506988
*Place an (no spaces) between the brackets to confirm that you have read the line below.*
**I have searched the closed and open issues to make sure that this problem has not already been reported.**</t>
  </si>
  <si>
    <t>nextcloud-android-7131</t>
  </si>
  <si>
    <t>Android App crashes when trying to manage account</t>
  </si>
  <si>
    <t>### Steps to reproduce
1. Open App
2. Tap User Capital letter (top right)
3. Tap Manage Accounts
4. Tap user name account
### Expected behaviour
suppose it should give me account sync and other options.
### Actual behaviour
Nextcloud crashed report
************ CAUSE OF ERROR ************
... 11 more
************ APP INFORMATION ************
Build flavor: gplay
************ DEVICE INFORMATION ************
************ FIRMWARE ************</t>
  </si>
  <si>
    <t>nextcloud-android-7130</t>
  </si>
  <si>
    <t xml:space="preserve">Sudden crash on Android </t>
  </si>
  <si>
    <t>### Steps to reproduce
1. Nothing special
### Expected behaviour
Tell us what should happen: this message is just popping up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</si>
  <si>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google-ExoPlayer-8106</t>
  </si>
  <si>
    <t>StreamVolumeManager crash on certain devices</t>
  </si>
  <si>
    <t>### REQUIRED Issue description
Got the following stackTrace on specific device (from Play Console no way to reproduce)
Maybe related to https: github.com google ExoPlayer issues 8087
### REQUIRED Reproduction steps
Device specific crash occurring when building ExoPlayer. Since my application does not rely at all on volume management by ExoPlayer would be nice is there was workaround.
### REQUIRED full bug report captured from the device
Unable to provide as user did not contact me
### REQUIRED Version of ExoPlayer being used
### REQUIRED Device(s) and version(s) of Android being used</t>
  </si>
  <si>
    <t>Abir-Tx-XWriter-7</t>
  </si>
  <si>
    <t xml:space="preserve">App crashes when no input is given in counter </t>
  </si>
  <si>
    <t>The app crashes when there is no input given in the counter section implement an option which will check for null input and show balloon text</t>
  </si>
  <si>
    <t>TeamNewPipe-NewPipe-4603</t>
  </si>
  <si>
    <t>Parse error with New pipe 0.20.0</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</si>
  <si>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tap on Copy formatted report at the bottom and paste it here: --&gt;
&lt;!-- That right, here! --&gt;</t>
  </si>
  <si>
    <t>TeamNewPipe-NewPipe-4602</t>
  </si>
  <si>
    <t>Audio backgound mode!</t>
  </si>
  <si>
    <t>While on audio mode if were to watch video then it starts from the beginning not where stopped.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tap on Copy formatted report at the bottom and paste it here: --&gt;</t>
  </si>
  <si>
    <t>OlofSjogren-GoAyo-207</t>
  </si>
  <si>
    <t>Made small changes to make the real database work with hashedpassword…</t>
  </si>
  <si>
    <t>and the method
Just quickfix to prevent crashes when using the real server</t>
  </si>
  <si>
    <t>2020-10-22</t>
  </si>
  <si>
    <t>Anuken-Mindustry-3068</t>
  </si>
  <si>
    <t>Crash_report</t>
  </si>
  <si>
    <t>Anuken-Mindustry-3067</t>
  </si>
  <si>
    <t>Disabled Conveyors Still Drag Units</t>
  </si>
  <si>
    <t>B109 -&gt; be10687
When disabled using logic processors, conveyor belts still drag units that step on them, even though they can move items, and are no longer animated as moving. This occurs on **all** types of 1x1 conveyors (normal, titanium, and armoured), Conveyors that have stopped naturally due to clogging do **not** drag units, however.
Link to video: https: imgur.com UkVPaXO (https: imgur.com UkVPaXO)
**Steps to reproduce**: *How you happened across the issue, and what exactly you did to make the bug happen.*
Place conveyor disable that conveyor using logic blocks control, direct, or otherwise cause ground unit to walk over the conveyor unit will be dragged by the conveyor, in the direction and normal speed of that conveyor, as if it were still enabled.
**Link(s) to mod(s) used**: *The mod repositories or zip files that are related to the issue, if applicable.*
No mods involved
(DeltaNedas cliff mod and RTFM in use upon first discovery however, game was then reloaded with all mods disabled issue persisted)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No crash reported
*Place an (no spaces) between the brackets to confirm that you have read the line below.*
**I have searched the closed and open issues to make sure that this problem has not already been reported.**</t>
  </si>
  <si>
    <t>opensrp-opensrp-client-chw-1444</t>
  </si>
  <si>
    <t>App crashes when saving pregnancy outcome form then child doesn't appear in PNC (Togo flavor)</t>
  </si>
  <si>
    <t>Reported by zzainulabidin, the app crashes after saving the pregnancy outcome form when you register child about 5-6 days old. This occurred on the Togo flavor.
tried to replicate this, but was unable to.</t>
  </si>
  <si>
    <t>ultrasonic-ultrasonic-337</t>
  </si>
  <si>
    <t>Tapping on a playlist crashes the app</t>
  </si>
  <si>
    <t>Using Airsonic server, latest Ultrasonic from F-Droid. Tapping on playlist on the list of playlists causes crash and return to the main menu. Here is the traceback:</t>
  </si>
  <si>
    <t>Anuken-Mindustry-3064</t>
  </si>
  <si>
    <t>conveyor + shock mine doesn't get drawn correctly</t>
  </si>
  <si>
    <t>conveyor(and tita conveyor) leading into shock mine looks funky
**Steps to reproduce**: *How you happened across the issue, and what exactly you did to make the bug happen.*
1) place conveyor
2) place shock mine
3) be absolutely horrified at the sheer gamebreaking potential of this bug
4) hope you aren annoying anuke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sandbox 2.zip (https: github.com Anuken Mindustry files 5422507 sandbox.2.zip)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</si>
  <si>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Anuken-Mindustry-3062</t>
  </si>
  <si>
    <t>Breaking/replacing mass driver does weird things</t>
  </si>
  <si>
    <t>If you delete the exit end of mass driver then replace it offset by one tile, the entrance end of the mass driver will turn to the new location of the mass driver but won fire.
*probably related to #2827*
**Steps to reproduce**: *How you happened across the issue, and what exactly you did to make the bug happen.*
1) place normal mass drivers
2) break second mass driver and replace it but offset
3) first mass driver will not fire despite having blue circle,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</si>
  <si>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Anuken-Mindustry-3059</t>
  </si>
  <si>
    <t>Power Insufficiency but i have 75 generators????</t>
  </si>
  <si>
    <t>**Steps to reproduce**: got the bug because think had too many nodes
**Link(s) to mod(s) used**: No mods were included in the process
**Save file**: Github does not support Msav files so cant really answer this one
**Crash report**: No crashes
*Place an (no spaces) between the brackets to confirm that you have read the line below.*
**I have searched the closed and open issues to make sure that this problem has not already been reported.**</t>
  </si>
  <si>
    <t>nextcloud-android-7126</t>
  </si>
  <si>
    <t>just opened directory
************ CAUSE OF ERROR ************
************ APP INFORMATION ************
Build flavor: gplay
************ DEVICE INFORMATION ************
************ FIRMWARE ************</t>
  </si>
  <si>
    <t>2020-10-21</t>
  </si>
  <si>
    <t>AppsFlyerSDK-appsflyer-react-native-plugin-202</t>
  </si>
  <si>
    <t>[Android] disableAdvertisingIdentifier and disableCollectASA cause fatal errors</t>
  </si>
  <si>
    <t>## Plugin Version
## On what Platform are you having the issue?
## What did you do?
Using either of the following without protecting them from running on Android causes fatal errors:
## What did you expect to happen?
It would be nice if it just simply did nothing, maybe with warning, instead of causing your app to crash.
## What happened instead?
## Please provide any other relevant information.
realize that it is documented that these are iOS only. However, it seems like at the very least it should not crash. Warning would be nice.</t>
  </si>
  <si>
    <t>doublesymmetry-react-native-track-player-1052</t>
  </si>
  <si>
    <t>[iOS] Crashes on long URLs</t>
  </si>
  <si>
    <t>**Describe the bug**
Long URLs (in my case they are file: paths) crash when adding to TrackPlayer.add()
Create long file paths and try to add them to the queue.
**Environment (please complete the following information):**
npx react-native info
info Fetching system and libraries information...
Android SDK: Not Found
Android Studio: Not Found
Crashing on iPhone SE
ve worked around it by using checksums of the file names in my caching layer but it sucks to have code in there that only there to deal with these bugs...</t>
  </si>
  <si>
    <t>forrestguice-SuntimesWidget-437</t>
  </si>
  <si>
    <t>AlarmClockActivity crashes when notifications are disabled</t>
  </si>
  <si>
    <t>The SuntimesAlarms activity crashes when notifications are disabled. Notifications are required for alarms to function correctly so the app displays warning when they are disabled. The crash (NPE) occurs while trying to show the warning snackbar
tested Suntimes v0.13.1</t>
  </si>
  <si>
    <t>Anuken-Mindustry-3052</t>
  </si>
  <si>
    <t>Poly crashes the game</t>
  </si>
  <si>
    <t>**Steps to reproduce**:
1) enter v6.mindustry.ru
2) see the building drone(poly)
**Link(s) to mod(s) used**: *no mods*
**Save file**: *how to get the server save?*
*Place an (no spaces) between the brackets to confirm that you have read the line below.*
**I have searched the closed and open issues to make sure that this problem has not already been reported.**</t>
  </si>
  <si>
    <t>Anuken-Mindustry-3050</t>
  </si>
  <si>
    <t>Flares use a Bomber unit esq ai, making them practically useless</t>
  </si>
  <si>
    <t>flares use the same ai that horizons do (bomber type ai), darting across enemy bases shooting while above them, causing them to only be dealing damage about 5-10% of the time,
**Steps to reproduce**: *How you happened across the issue, and what exactly you did to make the bug happen.*
have flare attacking something.
**Link(s) to mod(s) used**: *The mod repositories or zip files that are related to the issue,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</si>
  <si>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TeamNewPipe-NewPipe-4582</t>
  </si>
  <si>
    <t>installing correction,i now can install newpipe after uninstall the old version,then install version 0.20.1</t>
  </si>
  <si>
    <t>TeamNewPipe-NewPipe-4580</t>
  </si>
  <si>
    <t>new version 0.20.1</t>
  </si>
  <si>
    <t>can not install the new version 0.20.1
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tap on Copy formatted report at the bottom and paste it here: --&gt;</t>
  </si>
  <si>
    <t>material-components-material-components-android-1814</t>
  </si>
  <si>
    <t>[Snackbar] InflateException thrown on obfuscated builds</t>
  </si>
  <si>
    <t>**Expected behavior:** Showing Snackbar should not crash.
Snackbar.make(view, text Snackbar.LENGTH SHORT).show()
**Android API version:** 28, 29
**Material Library version:** The issue is present both in 1.3.0-alpha03 and 1.2.1</t>
  </si>
  <si>
    <t>nextcloud-android-7121</t>
  </si>
  <si>
    <t>Client crashes periodically</t>
  </si>
  <si>
    <t>### Steps to reproduce
1. have three accounts enabled, some of which have large number of files, one account has auto-upload enabled
2. connect to several calendars
3. leave running in the background
### Expected behaviour
The app used not to crash
### Actual behaviour
Crashes with the trace below
### Can you reproduce this problem on https: try.nextcloud.com?
didn try that yet
### Environment data
Device model: Samsung s9plus
Stock or customized system: rooted stock
Nextcloud app version:
Nextcloud server version:
#### Web server error log
Insert your webserver log here
#### Nextcloud log (data nextcloud.log)
************ CAUSE OF ERROR ************
************ APP INFORMATION ************</t>
  </si>
  <si>
    <t>TeamNewPipe-NewPipe-4572</t>
  </si>
  <si>
    <t>unable to play any video: "YouTube did not provide player config even after three attempts" | "Could not parse website" error on every video</t>
  </si>
  <si>
    <t>Fixed: Update to 0.20.2. You can update using TeamNewPipe F-Droid repository (https: newpipe.schabi.org blog announcement f-droid pinned f-droid-repo or the GitHub releases page. It should be available on the official F-Droid repository in the next days.
Newpipe stopped working, probably some changes server-side on YouTube? don known, suddenly can play any video (not even touched my phone today and yesterday was playing fine. Enough talking here, the error report:
User Action: requested stream
Request: https: www.youtube.com watch?v wPsom6R8rvo
Content Country: US
Content Language: en-US
App Language: en US
OS: Linux Android 7.1.1 25
log b&gt;&lt; summary&gt;&lt;p&gt;
don think this is crash</t>
  </si>
  <si>
    <t>2020-10-20</t>
  </si>
  <si>
    <t>Anuken-Mindustry-3047</t>
  </si>
  <si>
    <t>yeah.....</t>
  </si>
  <si>
    <t>you know cant place 1x1 and 2x2 blocks on any side of the edge of the map
**Steps to reproduce**: *How you happened across the issue, and what exactly you did to make the bug happen.*
since 107 beta, not sure if it is bug or not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bug (https: 73202064
**Crash report**: *The contents of relevant crash report files. REQUIRED if you are reporting crash.*
if your dont understand what am talking about, DM me on discord
*Place an (no spaces) between the brackets to confirm that you have read the line below.*
**I have searched the closed and open issues to make sure that this problem has not already been reported.**</t>
  </si>
  <si>
    <t>Anuken-Mindustry-3045</t>
  </si>
  <si>
    <t>Turret coolants appearing extra time</t>
  </si>
  <si>
    <t>**Steps to reproduce**: View turret information dialog.
**Link(s) to mod(s) used**: No mods were used
**Crash report**: Not crash
*Place an (no spaces) between the brackets to confirm that you have read the line below.*
**I have searched the closed and open issues to make sure that this problem has not already been reported.**</t>
  </si>
  <si>
    <t>kunalpat25-WCEVISITCOVID19-7</t>
  </si>
  <si>
    <t>App crashing after clicking username in SymptomaticUsersListActivity</t>
  </si>
  <si>
    <t>How to generate:
1. Login as admin
2. Click on symptoms
3. Go to any symptom
4. Click on any username, it crashes.</t>
  </si>
  <si>
    <t>gsantner-markor-1100</t>
  </si>
  <si>
    <t>fix crashing file search dialog caused by null object</t>
  </si>
  <si>
    <t>Commit introduced bug which made Markor crash when pressing the file search button in the explorer. The reason is that dopt.data is not initialized and remains null, but it is queried at several places in leading to or s.
This PR fixes the problem.
harshad1 am not sure about the other DialogOptions attributes which are not initialized any more since the commit, maybe they might cause hidden bugs at other places, too, but maybe not.)</t>
  </si>
  <si>
    <t>mh--corona-warn-companion-android-66</t>
  </si>
  <si>
    <t>App start-loops when enabling microg without having su</t>
  </si>
  <si>
    <t>First, let me thank you for this amazing app!
am on an unrooted phone. When open the app and select microg, the app does not open, and logcat shows an endless loop of the app opening, doing su requesting the database, crashing, opening, ....
The only way out is to delete all app-data in android settings.
## Logcat output</t>
  </si>
  <si>
    <t>doublesymmetry-react-native-track-player-1049</t>
  </si>
  <si>
    <t>Android crashing (NoClassDefFoundError)</t>
  </si>
  <si>
    <t>**Describe the bug**
am getting this error when trying to use the package on android:
Caused by: Failed resolution of: Lcom google android exoplayer2
**Environment (please complete the following information):**
API Levels: 23, 25, 26, 27, 28, 29, 30
Build Tools: 23.0.1, 23.0.2, 23.0.3, 25.0.0, 25.0.2, 25.0.3, 26.0.1, 26.0.2, 26.0.3, 27.0.3, 28.0.0, 28.0.3, 29.0.2, 30.0.0, 30.0.2
System Images: android-27 Google APIs Intel x86 Atom
Android NDK: 20.0.5594570
Android Studio: 3.6
What version are you using?
Are you testing on real device or in the simulator? Which OS version are you running?
Android Emulator (8.1.0)
Samsung A30 (10.0)</t>
  </si>
  <si>
    <t>nextcloud-android-7115</t>
  </si>
  <si>
    <t>[dev] App crashes while deleting a file</t>
  </si>
  <si>
    <t>### Steps to reproduce
1. Create file.
2. Delete file.
3. Select Deleted Files from the menu.
4. Delete file.
************ CAUSE OF ERROR ************
************ APP INFORMATION ************
Build flavor: versionDev
### Environment data
Android version: 10
Nextcloud app version: 20200120 Dev
Nextcloud server version: 20.0.0</t>
  </si>
  <si>
    <t>Anuken-Mindustry-3042</t>
  </si>
  <si>
    <t>Resource exploit</t>
  </si>
  <si>
    <t>**Steps to reproduce**: *Start playing on sector and play normally. When able, launch to sector in way that leaves the core in sector empty. After couple of minutes sector should have full core of all inputted resources instead of the correct amount shown on the planet view.
If the resources are then used in the tech tree or in buildings, repeating the steps above will refill the core.*
**Link(s) to mod(s) used**: *No mods used*
**Save file**: (https: github.com Anuken Mindustry files 5408153
**Crash report**: *Game does not crash*
*Place an (no spaces) between the brackets to confirm that you have read the line below.*
**I have searched the closed and open issues to make sure that this problem has not already been reported.**</t>
  </si>
  <si>
    <t>Anuken-Mindustry-3040</t>
  </si>
  <si>
    <t>Going back from panoramic views creates bizzare formatting</t>
  </si>
  <si>
    <t>**Steps to reproduce**: *Any change from panoramic to portrait mode will trigger the effect.(afaik)*
**Save file**: *happens in menu, no save required.*
**Crash report**: *Game do not crash. Only rotation is bizzare (panoramic format in portrait mode).*
*Place an (no spaces) between the brackets to confirm that you have read the line below.*
**I have searched the closed and open issues to make sure that this problem has not already been reported.**</t>
  </si>
  <si>
    <t>defold-extension-push-24</t>
  </si>
  <si>
    <t>Crash at 1st opening</t>
  </si>
  <si>
    <t>Push extension 2.0.0
When opening the app for the 1st time, get the following crash with the dump:
Build fingerprint: HUAWEI ANE-LX1 HWANE:9 HUAWEIANE:user release-keys
signal 11 (SIGSEGV), code (SEGV MAPERR), fault addr 0x28
x0 0000000000000000 x1 0000000000000000 x2 0000000000000000 x3 fffffffffffffffb
x4 0000000000005f5f x5 0000000000000013 x6 6b686044ff5e5e73 x7 7f7f7f7f7f7f7f7f
x8 0000000000000000 x9 00000076b490e403 x10 00000076b490e52c x11 00000076b4fc11a0
x12 0000000000000001 x13 0000000000000000 x14 0001efe91033a90a x15 000024db86ca9283
x16 00000076b49ed2d0 x17 00000076b47c5768 x18 00000076b680fc93 x19 0000000000000000
x20 00000076b4fc11a0 x21 00000076b6e0afe0 x22 00000076b4a085d0 x23 00000076b4938136
x24 00000076b4938fef x25 000000000000000a x26 0000000000000001 x27 0000000000000000
x28 0000007ff10f3db0 x29 00000076b4fc14b0
sp 00000076b4fc1140 lr 00000076b47a6234 pc 00000076b47c5768
From the 2d time onwards, the app will open just fine.</t>
  </si>
  <si>
    <t>kunalpat25-WCEVISITCOVID19-5</t>
  </si>
  <si>
    <t xml:space="preserve">Age is not getting calculated after Androidversion 'O' in UserDetailsActivity.java  </t>
  </si>
  <si>
    <t>simply run it emulator of greater Android version than the App will crash.</t>
  </si>
  <si>
    <t>nextcloud-android-7113</t>
  </si>
  <si>
    <t xml:space="preserve">Some rendom error </t>
  </si>
  <si>
    <t>am just providing crash report without checking is it already reported or not so feel free to close the case in case if it already reported.
************ CAUSE OF ERROR ************
************ APP INFORMATION ************
Build flavor: generic
************ DEVICE INFORMATION ************
************ FIRMWARE ************</t>
  </si>
  <si>
    <t>2020-10-19</t>
  </si>
  <si>
    <t>cgeo-cgeo-9227</t>
  </si>
  <si>
    <t>Crash when trying to invoke logging a cache (device specific)</t>
  </si>
  <si>
    <t>**Describe the bug:**
Reported by user on support mail, not reproducible to me but reproducible for the user.
Steps to reproduce the behavior:
remove c:geo and start fresh
install c:geo start it
login authorise geocaching.com
open live map
select any cache
3-dots log visit
c:geo crashed restart app?
**Version of c:geo used:**
**Is the problem reproducible:**
Yes for the user
--- System information ---
Android version: 8.1.0
Android build: TB-8704X S001025 190606 ROW
Google Play services: disabled 20.39.15 (040406-335085812)
Low power mode: inactive
Compass capabilities: no
Rotation vector sensor: absent</t>
  </si>
  <si>
    <t>Anuken-Mindustry-3032</t>
  </si>
  <si>
    <t>Campaign Rollback Bug</t>
  </si>
  <si>
    <t>**Steps to reproduce**: *save and quit an campaign and reload the game*
**Link(s) to mod(s) used**: *none*
**Save file**: *my export data
**Crash report**: *no crash for time*
*Place an (no spaces) between the brackets to confirm that you have read the line below.*
**I have searched the closed and open issues to make sure that this problem has not already been reported.**</t>
  </si>
  <si>
    <t>Anuken-Mindustry-3031</t>
  </si>
  <si>
    <t>Units can build walls and other things, trapping their allied ground units</t>
  </si>
  <si>
    <t>**Steps to reproduce**: *How you happened across the issue, and what exactly you did to make the bug happen.*
play the game on map where polys spawn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Go to the sector named ISSUE HERE ANUKE south west of ground zero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</si>
  <si>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GereonV-EKG-App-1</t>
  </si>
  <si>
    <t>App-Crash on Overflow</t>
  </si>
  <si>
    <t>when input number for rng is too high for an integer, the app crashes when button is clicked</t>
  </si>
  <si>
    <t>PojavLauncherTeam-PojavLauncher-367</t>
  </si>
  <si>
    <t>PLS HELP (again but it is different)</t>
  </si>
  <si>
    <t>have problem(again) with pojavlauncher
after installing new runtime (thanks to khanhduytran0 for the runtime) the screen is gray after 20 seconds it is light gray and it crashed
Steps to reproduce the behavior:
1. Start PojavLauncher
installing the runtime
if there is light gray just wait
expected it will work and cought play with my friends but no :(
Device Model infinix hot
CPU architecture aarch64
Android Version android</t>
  </si>
  <si>
    <t>Anuken-Mindustry-3026</t>
  </si>
  <si>
    <t>Mindustry beta 108 has crashed after trying to host a game</t>
  </si>
  <si>
    <t>Anuken-Mindustry-3025</t>
  </si>
  <si>
    <t>After Wiping my Game Files, Booting into Ground Zero Crashed the Game</t>
  </si>
  <si>
    <t>Game Crashed at launch of ground zero, campaign unplayable
**Steps to reproduce**: After the campaign was chnaged erased my data to start fresh new campaign when booted up ground zero it crashed the game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</si>
  <si>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Anuken-Mindustry-3023</t>
  </si>
  <si>
    <t>Bugs in pause . Gradians / bosses come every lavel</t>
  </si>
  <si>
    <t>1. If you skip the wave timer and pasue the really fast normal ground units doesn spawn and the skip botton apears again You can basically skip as many wave as you want unless theres air or boss unit on the wave.
2. if you pause the game as enemy units are spawing and get out of the game with save quit and get back no newer units will spawn for that wave say there are 100 units in that wave and you pause and quit on that wave when units have spawned the rest of 95 units will naver spawn.
NB saw first two issues on YT video so they might already be known issue.
not hundred parcent sure of it but feel like the ammo state of wepons are not stored when you quit whenever come back it seems like ammo on every weapon is always full.
4. When gurdian unit arives on wave that same gardian unit keeps comming in all the following waves. Well was playing frozen waves on wave 30 captured the site. then It got attacked again On wave 40 flaying boss unit came and its been coming on every wave ever since it really getting annoying to beat it with scaters on every wave Also think it feature but you should reconsider captured sites getting attacked when player is playing another map or multiple captured sites getting attacked at the same time It rather annoying to focus on multiple maps at the same time.
**Steps to reproduce**:
1. easy just skip wave and pause as fast as you can and wait moment. after skip button apears unpause ,skip and pause again
2. pause -&gt; quit -&gt; come back when units are spawing.
3. wait for boss to come and just watch it coming.
**Link(s) to mod(s) used**: ***None***
**Save file**: midustry bug report.zip (https: drive.google.com file 15fT-WV1M view?usp drivesdk)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issue might be reported
##### You have really made great game Thanks for that not conplaining here just drawing your attention to these issues so you you can find and fix them when You have time. :)
It feels like the basic player unit (The drone that spawns from core) has been nerfed too hard. Well wasn expecting to die times to handle single unit on first wave. Hopefully you will consider buffing it bit.</t>
  </si>
  <si>
    <t>Anuken-Mindustry-3019</t>
  </si>
  <si>
    <t>There is a hug were bridges don't work idk why</t>
  </si>
  <si>
    <t>Bleeding-edge build 10613
So was trying to put surge alloy into core and make phase bridge, only surge passed and the anothers wont
**Steps to reproduce**: *How you happened across the issue, and what exactly you did to make the bug happen.*
Idk just place phase bridge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don have one, was on public server, there is image: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</si>
  <si>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nextcloud-android-7108</t>
  </si>
  <si>
    <t>nextcloud client crash when accessing a folder where some content have been deleted</t>
  </si>
  <si>
    <t>### Steps to reproduce
1. Open folder in the client so that it know what is inside
2. Delete content from somewhere else
3. Open again the client and go to the folder, app crash
************ CAUSE OF ERROR ************
************ APP INFORMATION ************
Build flavor: gplay
************ DEVICE INFORMATION ************
************ FIRMWARE ************</t>
  </si>
  <si>
    <t>Anuken-Mindustry-3017</t>
  </si>
  <si>
    <t>Starting Ground Zero after Clear Game Data crashes</t>
  </si>
  <si>
    <t>**Steps to reproduce**: Clear game data, then start Ground Zero on the campaign map
**Link(s) to mod(s) used**:
**Save file**: (Fresh save data)
*Place an (no spaces) between the brackets to confirm that you have read the line below.*
**I have searched the closed and open issues to make sure that this problem has not already been reported.**</t>
  </si>
  <si>
    <t>Anuken-Mindustry-3016</t>
  </si>
  <si>
    <t>Oil extractor visual glitch?</t>
  </si>
  <si>
    <t>Oil extractor looks like it has oil in it when fed water, even with no power or sand
**Steps to reproduce**: *How you happened across the issue, and what exactly you did to make the bug happen.*
Just fed water to an oil extractor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have no idea how to and am too lazy to find which save it is. Image is self explanatory, anyway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</si>
  <si>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2020-10-18</t>
  </si>
  <si>
    <t>iamolegga-react-native-launch-arguments-2</t>
  </si>
  <si>
    <t>Crashes in Production</t>
  </si>
  <si>
    <t>Thanks for this library. We logged some user crashes of our production app due to this lib.</t>
  </si>
  <si>
    <t>AOF-Dev-MCinaBox-575</t>
  </si>
  <si>
    <t>pls help with mcinabox</t>
  </si>
  <si>
    <t>**Describe the crash**
when pressed start game after installing runtime and the version (it is 1.12.2 btw) the screen is black after 5-10 seconds it crashed pls help
Device: infinix hot
App Version v0.1.4-pre4
pls need to play with my friends on simple server</t>
  </si>
  <si>
    <t>Anuken-Mindustry-3009</t>
  </si>
  <si>
    <t>Bars UI crash?</t>
  </si>
  <si>
    <t>**Steps to reproduce**: was attacking sector the enemy spawned tons of Polys, and while trying to distract them while used Megas to pierce into their last core (yes, the sector had TWO cores), oh no happens
**Link(s) to mod(s) used**: none enabled
*Place an (no spaces) between the brackets to confirm that you have read the line below.*
**I have searched the closed and open issues to make sure that this problem has not already been reported.**</t>
  </si>
  <si>
    <t>AOF-Dev-MCinaBox-573</t>
  </si>
  <si>
    <t>Keyboard selector crashes the app</t>
  </si>
  <si>
    <t>**Keyboard selector in game crashes the app**
Steps to reproduce the crash:
1. Go to MCinaBox
2. Click on launch
3. Press the keyboards button
4. See the crash
don even expected
If applicable, add screenshots to help explain your problem.
**Smartphone (please complete the following information):**
Device: Redmi Note 8T
OS: Pixel Experience Plus (Android 10)
App Version: 0.1.4-p4
tried to trick the game, by just replace tmp keyboard with my custom keyboard</t>
  </si>
  <si>
    <t>Anuken-Mindustry-3007</t>
  </si>
  <si>
    <t xml:space="preserve"> I was waiting for the new version and it turns out that nothing of the progress was saved and that makes me very angry &gt;:'(</t>
  </si>
  <si>
    <t>Anuken-Mindustry-3002</t>
  </si>
  <si>
    <t>rhino crash with eval</t>
  </si>
  <si>
    <t>Eval ing called lambda that prints an assigned variable crashes rhino (no exception is caught)
**Steps to reproduce**:
const code const print( alive its not the assignment print(r) print( what?
print( try run (() code, )() .join( ))
eval( (() code, )() .join( ))
Log.warn( No exception thrown?
Log.warn( Caught exception
Read f8, Warn good, Error bad
test main.js try run (()
const print( alive its not the assignment print(r) print( what?
test main.js alive its not the assignment
test main.js Attempt to invoke interface method java.lang.Object rhino.Scriptable, rhino.Scriptable, java.lang.Object on null object reference
*Place an (no spaces) between the brackets to confirm that you have read the line below.*
**I have searched the closed and open issues to make sure that this problem has not already been reported.**</t>
  </si>
  <si>
    <t>2020-10-17</t>
  </si>
  <si>
    <t>material-components-material-components-android-1805</t>
  </si>
  <si>
    <t>[NavigationView] App crashes</t>
  </si>
  <si>
    <t>Hello, get this error using this component on my app. Why?
FATAL EXCEPTION: main
... 28 more
... 35 more</t>
  </si>
  <si>
    <t>TeamNewPipe-NewPipe-4549</t>
  </si>
  <si>
    <t>Fix IllegalStateException after onSaveInstanceState</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</si>
  <si>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This PR fixes random crash happening sometimes when messing with the miniplayer while it still starting. According to this SO (https: stackoverflow.com questions 7575921 the solution is just to replace commit() with which may not be real solution (state loss should never happen in theory) but is surely better than making the app crash completely.
This was the stack trace:
#### APK testing
#### Due diligence
read the contribution guidelines (https: github.com TeamNewPipe NewPipe blob HEAD .github CONTRIBUTING.md).</t>
  </si>
  <si>
    <t>TeamNewPipe-NewPipe-4546</t>
  </si>
  <si>
    <t>Crash on `ui error`</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</si>
  <si>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1. The background queue was playing with auto-play on,
2. searched for smth (in newpipe ofc) and clicked on one video to go to details page.
3. it crashed.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t>
  </si>
  <si>
    <t>Anuken-Mindustry-2988</t>
  </si>
  <si>
    <t>Launch Pad Crash in Non-Campaign games.</t>
  </si>
  <si>
    <t>Sorry in advance if this counts.
**Steps to reproduce**: Hover over Launch Pad in Custom Game, and it ll take half moment before crashing from assume it trying to pull data from somewhere that is only used in campaign, but since Custom Games don have use for that data space, it is left unused and gives either no data, or weird response that the display can interpret.
**Crash report**: Here are two. (https: docs.google.com document 8s edit?usp sharing) Note took these logs day or so ago.
*Place an (no spaces) between the brackets to confirm that you have read the line below.*
**I have searched the closed and open issues to make sure that this problem has not already been reported.**</t>
  </si>
  <si>
    <t>Anuken-Mindustry-2987</t>
  </si>
  <si>
    <t>Some draug miner drones keep mining</t>
  </si>
  <si>
    <t>**Steps to reproduce**: *Fill the core with lead and copper, while still filling with graphite. The map is frozen desert and it the first time playing it after two plays at ground zero.*
**Crash report**: *The contents of relevant crash report files. REQUIRED if you are reporting crash.*
**I have searched the closed and open issues to make sure that this problem has not already been reported.**</t>
  </si>
  <si>
    <t>TeamNewPipe-NewPipe-4539</t>
  </si>
  <si>
    <t>searching for anything produces crash</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</si>
  <si>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main page
2. Press on search
3. Swipe down to type anything at all and press enter
Search for any string at all
&lt;!-- If you can cause the bug to show up again reliably (and hence don have proper set of steps to give us), please still try to give as many details as possible on how you think you encountered the bug. --&gt;
### Actual behaviour
&lt;!-- Tell us what happens instead. --&gt;
error sorry, something went wrong
### Expected behavior
&lt;!-- Tell us what you expect to happen. --&gt;
search results to appear
### Screenshots Screen recordings</t>
  </si>
  <si>
    <t>doublesymmetry-react-native-track-player-1047</t>
  </si>
  <si>
    <t>[iOS] Crashes with local paths that have spaces/special characters</t>
  </si>
  <si>
    <t>**Describe the bug**
When trying to load paths that have spaces and special characters, it crashes.
this works just fine:
(Both files exist)
Try to load local file with spaces special characters in it.
**Environment (please complete the following information):**
npx react-native info
info Fetching system and libraries information...
Android SDK: Not Found
Android Studio: Not Found
TrackPlayer.add() with file that has spaces in it</t>
  </si>
  <si>
    <t>Anuken-Mindustry-2977</t>
  </si>
  <si>
    <t>Launching with resources doesnt work</t>
  </si>
  <si>
    <t>attempting to launch that you have previously lost with resources doesn work, you just launch and have no resources
**Steps to reproduce**: *How you happened across the issue, and what exactly you did to make the bug happen.*
try to launch to sector that has been previously lost.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</si>
  <si>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2020-10-16</t>
  </si>
  <si>
    <t>Anuken-Mindustry-2973</t>
  </si>
  <si>
    <t>Mindustry crashes on hosting a multiplayer game</t>
  </si>
  <si>
    <t>Linux 64-bit or Windows 64-bit (both tested)
**Mindustry** **crashes** every time on hosting Multiplayer game. tested it **several times** with **different maps and scores**, but always window opened with the crash information while the game was closed. This bug is the same on both platforms (Windows and Linux).
**Steps to reproduce**: *How you happened across the issue, and what exactly you did to make the bug happen.*
can reproduce the bug every time click on the multiplayer button, no matter which map or score use.
The bug even exists after restarting the whole game.
**Link(s) to mod(s) used**: *The mod repositories or zip files that are related to the issue, if applicable.*
used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Mindustry has crashed. How unfortunate.
Report this at https: github.com Anuken Mindustry issues new?labels bug&amp;template bug report.md
*Place an (no spaces) between the brackets to confirm that you have read the line below.*
**I have searched the closed and open issues to make sure that this problem has not already been reported.**</t>
  </si>
  <si>
    <t>AOF-Dev-MCinaBox-550</t>
  </si>
  <si>
    <t>64bit Application Crashes on Boot</t>
  </si>
  <si>
    <t>**Describe the crash**
When you install the 64 bit version of the software, install 64 bit runtime, and run game the game will boot up and crash after 3-5 seconds.
Steps to reproduce the crash:
1. Download 64 Bit version of software and runtime libraries
2. Install 1.16.3 Minecraft
3. Try to run game
4. Game will crash after few seconds
Game to boot up and play.
Video of crash
**Smartphone (please complete the following information):**
Device: Samsung Galaxy Fold
OS: Android 10
App Version v0.1.4.4</t>
  </si>
  <si>
    <t>Anuken-Mindustry-2968</t>
  </si>
  <si>
    <t>Multiplayer Crash</t>
  </si>
  <si>
    <t>**Steps to reproduce**: Started campaign with after deleting all game data from build 107. Pressed Host multiplayer game Immediate crash. Attempted to host custom game with immediate crash.
**Save file**: Attached 0.msav zipped as
Mindustry has crashed. How unfortunate.
Report this at https: github.com Anuken Mindustry issues new?labels bug&amp;template bug report.md
*Place an (no spaces) between the brackets to confirm that you have read the line below.*
**I have searched the closed and open issues to make sure that this problem has not already been reported.**</t>
  </si>
  <si>
    <t>ankidroid-Anki-Android-7393</t>
  </si>
  <si>
    <t>NoteEditor: "This should never be reached" was reached, and crashes</t>
  </si>
  <si>
    <t>... 16 more</t>
  </si>
  <si>
    <t>2020-10-15</t>
  </si>
  <si>
    <t>material-components-material-components-android-1801</t>
  </si>
  <si>
    <t>[Motion] MaterialContainerTransform crashes when used with Compose</t>
  </si>
  <si>
    <t>draws the start view without it being attached which is not allowed with Compose views (https: issues 170316859)
It feels dangerous to draw views that are not attached, regardless of Compose. Instead perhaps the view could be added to the view overlay?
**Expected behavior:** should not crash when used with Compose.
To reproduce this simply create view that contains Compose view and use with this view as the start view.
**Android API version:** All
**Material Library version:** 1.3.0-alpha03
**Compose version:** 1.0.0-alpha04</t>
  </si>
  <si>
    <t>Anuken-Mindustry-2967</t>
  </si>
  <si>
    <t>Not working processor</t>
  </si>
  <si>
    <t>**Steps to reproduce**: *Update with new version*
**Link(s) to mod(s) used**: *No*
**Save file**: *The (zipped) save file you were playing on when the bug happened. THIS IS REQUIRED FOR ANY ISSUE HAPPENING IN-GAME, REGARDLESS OF WHETHER YOU THINK IT HAPPENS EVERYWHERE. DO NOT DELETE OR OMIT THIS LINE UNLESS YOU ARE SURE THAT THE ISSUE DOES NOT HAPPEN IN-GAME
**Crash report**: *Not have crash report*
*Place an (no spaces) between the brackets to confirm that you have read the line below.*
**I have searched the closed and open issues to make sure that this problem has not already been reported.**</t>
  </si>
  <si>
    <t>PojavLauncherTeam-PojavLauncher-357</t>
  </si>
  <si>
    <t>[BUG] Game crashes on startup.</t>
  </si>
  <si>
    <t>**Describe the bug**
The game crashes on startup and throws error.
Steps to reproduce the behavior:
1. Download aarch32 runtime 20200328.tar.xz
2. Start PojavLauncher.
3. Install Runtime.
4. Run any version.
expected to see the game loading.
Screenshot 20201015-233353 PojavLauncher (Minecraft Java Edition for Android) (https: 69990794
Device Model: Samsung Galaxy A51.
CPU architecture: aarch64.
Android Version: 10.
tried to install aarch32 since aarch64 cannot be found in the .tar.xz extension. This runtime works fine with MCinaBox.
read the information about aarch64, that you need to compile it yourself, but don know how to do this, and besides, it complicated.</t>
  </si>
  <si>
    <t>TeamNewPipe-NewPipe-4520</t>
  </si>
  <si>
    <t xml:space="preserve">UI CRASH V 20 </t>
  </si>
  <si>
    <t>started playing normally, then was switching to full screen and trying to increase brightness.
User Action: ui error
Request: App crash, UI failure
Content Country: GB
Content Language: en-GB
App Language: en
OS: Linux Android 7.1.2 25
log b&gt;&lt; summary&gt;&lt;p&gt;</t>
  </si>
  <si>
    <t>Anuken-Mindustry-2966</t>
  </si>
  <si>
    <t xml:space="preserve">Толщина линий при y=96,117, и 128 пикселе является 2 при условии что толщина 1 (пример программы y=0, draw line x1=0, y1=y, x2=176, y2=y, y=y+1). y=136 пиксель вовсе исчезает. Вопрос, будет лт добавлен мощный процессор предназначенный для рисования? А то увеличивать количество ядер слишком дорого по криогенной. Вышло обновление, сейчас его скачиваю, но решил предупредить заранее! </t>
  </si>
  <si>
    <t>Anuken-Mindustry-2963</t>
  </si>
  <si>
    <t>CRASH BUG</t>
  </si>
  <si>
    <t>Ok dont have crash report but your mindustry app not steam have bought mindustry steam buta the winrar ones version 108 on windows in my brother and cousin laptop they used hamachi ro play to gether with me too they used hamachi open mindustry them they host game then it crashes</t>
  </si>
  <si>
    <t>AOF-Dev-MCinaBox-540</t>
  </si>
  <si>
    <t>Crash when pressing on the configure button ingame or the left arrow, all other buttons are fine.</t>
  </si>
  <si>
    <t>When press the configure button ingame or on the left arrow on the DPad, the game crashes.
am running the 32 bit version of v0.1.4-p4 with the runtime, because want to play 1.16.3 and that does not even launch on the 64 bit version.
FATAL EXCEPTION: Thread-43
Sending signal. PID: 10721 SIG:
Does anyone know how to fix this or if this is an issue with the code can build and test it.</t>
  </si>
  <si>
    <t>Anuken-Mindustry-2962</t>
  </si>
  <si>
    <t>Build Speed Bug</t>
  </si>
  <si>
    <t>When you turn the building speed up really, really high, like 9999999+, everything costs one resource to build. For example: If you re building something that costs like 9k silicon, and you only have 8k, it ll build it. After that, you still can build that 9k sili cost with one silicon.
**Steps to reproduce**: *How you happened across the issue, and what exactly you did to make the bug happen.*
Well, made Custom game on the Tug of War PvP map, raised the building speed really, really high (again upwards of 999k), and It happened, and what happened is explained above.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</si>
  <si>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Anuken-Mindustry-2959</t>
  </si>
  <si>
    <t>crash server in campaign</t>
  </si>
  <si>
    <t>**Steps to reproduce**: *entered the campaign, pressed esc, clicked to start the server and the error*
**Link(s) to mod(s) used**: *None*
**Crash report**: crash-report-10 15 2020 14 08 58.txt (https: github.com Anuken Mindustry files 5384397 crash-report-10 15 2020 14 08 58.txt)*</t>
  </si>
  <si>
    <t>TeamNewPipe-NewPipe-4516</t>
  </si>
  <si>
    <t>Thumbnail corruption and subsequent crashing</t>
  </si>
  <si>
    <t>switched to Android 10 on f2fs system and cache partition, up from Android yesturday.
NewPipe suddenly behaves as if it were inflicted with memory corruption.
If look at list of Videos everything looks fine. As soon as load video and close it again to return to the Main page of the video, the thumbnail is corrupted with the tell tale streaks of overwritten memory.
checked both 0.19.8 and 0.20.0, same deal.
Now it get to where it becomes problem: The subs What new page. The thumnails are saved by NewPipe to prevent redownloading. But the thumbnail stays corrupted. It is apparently saved in corrupted state. If load up the subs page, the app crashes instantly. No Error, no message, no logs. Just straight closed and that it.
Any other aspect of the app works fine. But the corrputed thumbnail in the subs page prevents me from opening that page.
### Steps to reproduce the bug
NewPipe is the only App showing problems :S
Open up any Video, close it, watch the thumbnail get corrupted...
Unfortunately NewPipe does not offer the logs dialog after the crash happened.
### Device info
Android version Custom ROM version: (LineageOS 17.1, Argon kernel)
Link to Rom for context (https: oneplus-one development
Device model: OnePlus One (codnamed bacon or A0001)
### Screenshots Screen recordings</t>
  </si>
  <si>
    <t>microsoftgraph-msgraph-sdk-java-542</t>
  </si>
  <si>
    <t>Getting crash in Android OS 7</t>
  </si>
  <si>
    <t>While in process of uploading file to OneDrive, we are getting crash on device OS 7. **We couldn verify this crash on Android OS level below as we get the crash in CalenderSerializer before this flow kicks in.**
Crash logs are as follow:
### Expected behavior
It shouldn crash and handle newer apis with fallback mechanish or apis that is supported in older OS version
### Devices tested where issue is observed:
Asus Tab, Samsung J7, Samsung Tab A, Galaxy S6
After some analysis, found that crash is originating from which is being registered into Gson type adapter and which in function deserialize calls the method Type#getTypeName() which is default method added after Java 1.8
Also can we make gson variable in DefaultSerializer public so that while configuring the graph client we can replace these problematic TypeAdapters with the custom solution. Like in case of when XXX is not supported in simpleDateFormat then same can be replaced with joda-time as we already have that dependency. Similarly in this case as well usage of getTypeName() can be replace with getName() or getCannonicalName() as to avoid crash</t>
  </si>
  <si>
    <t>nextcloud-android-7092</t>
  </si>
  <si>
    <t>crash at Android start</t>
  </si>
  <si>
    <t>### Steps to reproduce
1. Turned on the smartphone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</si>
  <si>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google-ExoPlayer-8078</t>
  </si>
  <si>
    <t>NullPointerException in DownloadManager$InternalHandler.onContentLengthChanged()</t>
  </si>
  <si>
    <t>### REQUIRED Issue description
there are some crashes on sentry which occurs in
this crash is new on exoplayer 2.12.0, there is zero crash on exoplayer 2.11.7
### REQUIRED Reproduction steps
It is hard to reproduce for me on my device, but found 600 times crash on sentry which occurs on user devices
### REQUIRED Link to test content
There is no specific content for this issue, regarding of this crash frequency, guess this crash is not related with specific media content.
### REQUIRED full bug report captured from the device
### REQUIRED Version of ExoPlayer being used
There is zero of this crash on Exoplayer version below 2.12.0 (like 2.11.7
### REQUIRED Device(s) and version(s) of Android being used
variety of kinds of devices are found, list as below
### Additional Info
almost crash occurs after DownloadService is destroyed</t>
  </si>
  <si>
    <t>Anuken-Mindustry-2957</t>
  </si>
  <si>
    <t>deletion of units but not for unit cap</t>
  </si>
  <si>
    <t>**Steps to reproduce**: *we were using sandbox mode to create bunch of t5 units and then they started randomly disapearing
here is video of what happened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</si>
  <si>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TeamNewPipe-NewPipe-4512</t>
  </si>
  <si>
    <t>Searching broken in 0.20.0</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</si>
  <si>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Search for anything.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tap on Copy formatted report at the bottom and paste it here: --&gt;</t>
  </si>
  <si>
    <t>aws-amplify-aws-sdk-android-2155</t>
  </si>
  <si>
    <t>NPE on IdentityProvider.getDisplayName()</t>
  </si>
  <si>
    <t>**Describe the bug**
We have few hundred occurrences of this crash report, at least dozen every week. We don know the exact cause and are unable to reproduce.
Basically at some point in time, IdentityManager field is set to null prior to being called. This then calls log message which causes the NP dereference:
public void onError(final IdentityProvider provider, final Exception ex)
ex.getMessage()), ex) CRASH
It appears that it may be race condition as the only place that is nulled out is in So our best guess is that something has signed the user out while another request (which ultimately fails) is still in motion.
This is all in AWS SDK code so we don have any control over it or ability to insert NPE guards or extra logging unfortunately.
**Which AWS service(s) are affected?**
would expect provider to never be null in the above callback and no crashes to occur.
**Environment Information (please complete the following information):**
AWS Android SDK Version: we ve seen this for 2.16.12 and 2.6.30
Device: Hundreds of device models.
Android Version: 6, 7, 8, 9, 10
Specific to simulators: No
We integrate Cognito user pools, facebook and google logins. The only clue we have is that the number of crashes once spiked into the hundreds when the facebook dev app was briefly disabled, but we can confirm that all crashes are cognito+facebook related.
def aws version 2.16.12
Let me know if can provide any further information, apologise for not having much around cause reproduction.</t>
  </si>
  <si>
    <t>2020-10-14</t>
  </si>
  <si>
    <t>CleverTap-clevertap-react-native-112</t>
  </si>
  <si>
    <t>[Android] Compiling under/targeting SDK 30 causes crash on startup</t>
  </si>
  <si>
    <t>ve been able to reliably reproduce this startup crash on Android when targeting SDK 30 (targeting 29 shows no such issue).
FATAL EXCEPTION: Thread-4
getNetworkType is deprecated in Android 11 getDataNetworkType should be used instead. Here (https: github.com mapbox issues 425) is thread about the issue and the PR (https: github.com mapbox pull 492) that fixed it.</t>
  </si>
  <si>
    <t>cgeo-cgeo-9188</t>
  </si>
  <si>
    <t>Crashes involving TransactionTooLargeException</t>
  </si>
  <si>
    <t>**Describe the bug:**
user reported reproducible crash on his installation if he tries to view the list of caches shown on the live map.
Steps to reproduce the behavior:
1. Open live map
2. Click on Menu Show as list
**Actual behavior state after performing these steps:**
**Expected behavior state after performing these steps:**
List of caches from map shown
**Version of c:geo used:**
**Is the problem reproducible:**
Yes, for this user, but not for me.
Happens (according to user) independently of the amount of caches shown on map
--- System information ---
Android version: 10
Android build: 00WW 16B
Google Play services: enabled 20.36.15 (120400-333172415)
Low power mode: inactive
Compass capabilities: yes
Rotation vector sensor: present
Orientation sensor: present</t>
  </si>
  <si>
    <t>aws-amplify-amplify-android-901</t>
  </si>
  <si>
    <t>DataStore @auth error: "Not Authorized to access [...] on type Subscription"</t>
  </si>
  <si>
    <t>Hi, found an error in my application, and would like some help fixing it.
am using Sentry to save log crashes. The error described below has been
reported more than 700 times during development. am not sure if this is an
error with my code. If so, would like some guidance on how to make it work
or what could be going on.
The exception could not be delivered to the consumer because it has already canceled disposed the flow or the exception has nowhere to go to begin with. Further reading: https: github.com ReactiveX RxJava wiki What AmplifyException message Bad subscription data for RespuestaCovid: message Not Authorized to access on type Subscription locations null path null extensions errorType Unauthorized cause null, recoverySuggestion Sorry, we don have suggested fix for this error yet.
Specifically, the error has this cause:
Bad subscription data for RespuestaCovid: message Not Authorized to access on type Subscription locations null path null extensions errorType Unauthorized
The application is crashing on start only when the user is logged in. (Some
times the crash occurs few seconds after start.)
Subscriptions are not woking.
Constantly getting these logs:
Battery Level 89%
Connection Type wifi
Free Memory 1.4 GB
Free Storage 1.3 GB
Low Memory False
override fun onCreate()
Log.i(TAG, Initialized Amplify
catch (error: AmplifyException)</t>
  </si>
  <si>
    <t>Anuken-Mindustry-2938</t>
  </si>
  <si>
    <t>Server creation causes crash</t>
  </si>
  <si>
    <t>**Steps to reproduce**: *Click Play, Custom Game, Choose any map in any mode, Press esc, Click host multiplayer game, click host*
**Crash report**: *Mindustry has crashed. How unfortunate.
Report this at https: github.com Anuken Mindustry issues new?labels bug&amp;template bug report.md
*Place an (no spaces) between the brackets to confirm that you have read the line below.*
**I have searched the closed and open issues to make sure that this problem has not already been reported.**</t>
  </si>
  <si>
    <t>TeamNewPipe-NewPipe-4507</t>
  </si>
  <si>
    <t xml:space="preserve">App UI crash </t>
  </si>
  <si>
    <t>User Action: ui error
Request: App crash, UI failure
Content Country: US
Content Language: en-US
App Language: en US
OS: Linux Android 5.0 21
log b&gt;&lt; summary&gt;&lt;p&gt;
... 10 more
... 23 more
... 26 more</t>
  </si>
  <si>
    <t>Anuken-Mindustry-2937</t>
  </si>
  <si>
    <t>Server creation crash</t>
  </si>
  <si>
    <t>Alright, so tried to make server so me and my brother could play locally and it kept crashing
Mindustry has crashed. How unfortunate.
Report this at https: github.com Anuken Mindustry issues new?labels bug&amp;template bug report.md</t>
  </si>
  <si>
    <t>Anuken-Mindustry-2931</t>
  </si>
  <si>
    <t>the game crashed, null pointer exception
**Steps to reproduce**: *How you happened across the issue, and what exactly you did to make the bug happen.*
go onto stained mountains and move toward the drop point
**Link(s) to mod(s) used**: *The mod repositories or zip files that are related to the issue, if applicable.*
not mod related? if so the crash report has list
**Save file**: *The (zipped) save file you were playing on when the bug happened.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Edit- It appears to crash when shooting</t>
  </si>
  <si>
    <t>2020-10-13</t>
  </si>
  <si>
    <t>oliexdev-openScale-638</t>
  </si>
  <si>
    <t>pixel 4a crash at measurement with beta 2.3.1_dev</t>
  </si>
  <si>
    <t>open app. start bluetooth icon on app, step on scale. scale connects. scales does measurement. when it finishes(or when it sends data to phone) the app crashes unexpected error it has worked once, in September... looks like some sort of month error. don know.
scale is blue tooth by one ordered off Amazon.
error log below
Build version: 2.3.1-dev 1a75826d 2020-10-04</t>
  </si>
  <si>
    <t>Anuken-Mindustry-2929</t>
  </si>
  <si>
    <t>Invincible Player after destroyed core in online PVP</t>
  </si>
  <si>
    <t>*PVP match with multiple teams.
After teams core is destroyed the remaining players wont get killed but become invincible instead.
They can still attack other teams but wont get shot by any turrets.
In this picture in Team Blue and our core got destroyed. sitting next to Team Yellow Scatters and they dont shot me at all.
Bullets from other Players just went right through me and doesn deal any damage.*
**Steps to reproduce**:
*PVP match with at least teams Own core got destroyed*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Well. Ecan PVP Server no safe file available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</si>
  <si>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Anuken-Mindustry-2928</t>
  </si>
  <si>
    <t>getItem() in consumes.java is WAY too picky</t>
  </si>
  <si>
    <t>**Steps to reproduce**: *call getItem() on UnitFactory or some power generators.*
**Link(s) to mod(s) used**: *https: github.com sk7725 Testers smartsource.js (https: github.com sk7725 Testers blob master scripts smartsource.js)
**Save file**: *Happens codewise instant crash, so am 99.9% sure.*
**Crash report**: *Mindustry has crashed. How unfortunate.
Caused by: class cannot be cast to class and are in unnamed module of loader app
... 31 more
*Place an (no spaces) between the brackets to confirm that you have read the line below.*
**I have searched the closed and open issues to make sure that this problem has not already been reported.**</t>
  </si>
  <si>
    <t>c1Koriginal-Mutify-22</t>
  </si>
  <si>
    <t>handle grpc fail</t>
  </si>
  <si>
    <t>grpc fail has been Geocoder issue since 2017, and there is no official fix from Google.
Geocoder may fail to retrieve the marker address information due to slow internet speed, especially on emulators. This will cause an IOException with the message grpc failed The app will not crash, but when the user opens the Add page it will display no address info, as the UserLocation object for the marker location cannot be instantiated.
1. run getFromLocation() in background thread, and update the UI when the result is received
2. run getFromLocation() in JobIntentService (preferred solution)</t>
  </si>
  <si>
    <t>borconi-WifiLauncherforHUR-9</t>
  </si>
  <si>
    <t>App crashes when starts</t>
  </si>
  <si>
    <t>There is an issue while setting summary bluetooth devices with selected devices.
The user had bluetooth off and he selected Bluetooth was off, re open it again or No paired Bluetooth devices option in it crashes because value is Also fixed and adds label if device is forgotten (and avoid crashing too).</t>
  </si>
  <si>
    <t>Anuken-Mindustry-2925</t>
  </si>
  <si>
    <t>AI Building turned on. AI doesn't build on attack map.</t>
  </si>
  <si>
    <t>**Steps to reproduce**: Custom Game Click an attack map Set it to Attack gamemode Customize Rules Enemies AI Building Back Play
**Link(s) to mod(s) used**: None
**Crash report**: Not crash
*Place an (no spaces) between the brackets to confirm that you have read the line below.*
**I have searched the closed and open issues to make sure that this problem has not already been reported.**</t>
  </si>
  <si>
    <t>2020-10-12</t>
  </si>
  <si>
    <t>doublesymmetry-react-native-track-player-1043</t>
  </si>
  <si>
    <t>App crashed in android when type selected  hls or smoothstreaming</t>
  </si>
  <si>
    <t>Run react-native info in your project and share the content.
API Levels: 23, 25, 26, 27, 28, 29
Build Tools: 27.0.3, 28.0.3, 29.0.2, 29.0.3, 30.0.0, 30.0.0, 30.0.1, 30.0.2
Android NDK: Not Found
Android Studio: 4.0
What version are you using? 1.2.3
Are you testing on real device or in the simulator? Which OS version are you running?
yes tested on xiomi redmi note pro real device and its version 10
Please, share the code that is causing the issue
import React, useState, useEffect from react
import TrackPlayer, from
import ProgressSlider from .. .. components ProgressSlider
const AudioPlayer route
const isPlaying, setPlaying useState(false)
const song route.params.song
const setPlayPause (isPlaying)
console.log( is palying action isPlaying)
isPlaying TrackPlayer.play() TrackPlayer.pause()</t>
  </si>
  <si>
    <t>Anuken-Mindustry-2917</t>
  </si>
  <si>
    <t>Cant research core nucleus</t>
  </si>
  <si>
    <t>cant research the core nucleus, it says its 1009% completed,
**Steps to reproduce**: *How you happened across the issue, and what exactly you did to make the bug happen.*
Try to research core nucleus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</si>
  <si>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Anuken-Mindustry-2914</t>
  </si>
  <si>
    <t xml:space="preserve">Ok </t>
  </si>
  <si>
    <t>2020-10-11</t>
  </si>
  <si>
    <t>Anuken-Mindustry-2910</t>
  </si>
  <si>
    <t>Item Limit on cores is ignored, infinite resource storage</t>
  </si>
  <si>
    <t>**Steps to reproduce**: put items into the core, as-well as have offsite locations launching items to the sector. however if you leave the sector and come back they return to the capacity limits.
**Link(s) to mod(s) used**: none
the issue occurs on sector 6, it may happen elsewhere.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</si>
  <si>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OlofSjogren-GoAyo-117</t>
  </si>
  <si>
    <t>App crashes when trying to add a payment towards a debt if all the users involved in debts doesn't have surnames.</t>
  </si>
  <si>
    <t>Create user without surname.
Get user into group with other users.
Add debt where the user is involved.
Attempt to reach the add payment screen. -&gt; Crash occurs.
The pick debt adapter seems to split string array to try and display the first letter if the surname, and it most likely crashes as result of the surname not being there.</t>
  </si>
  <si>
    <t>k9mail-k-9-5000</t>
  </si>
  <si>
    <t>Permanent crash after settings import</t>
  </si>
  <si>
    <t>1. On my old phone, exported my settings for the global settings and one of the two accounts (regular imap smtp, no shenanigans).
2. On the new phone (Android 11, throws your app is only for older Android versions ), import the settings at the initial screen
3. k-9 closes (or re-opens the file app, it not entirely clear to me)
4. Trying to open k-9 again leads to an immediate crash, repeatedly
5. Only deleting all app data helps
Adding my account manually leads to smoothly working k-9, but every attempt at using the settings import produces the behaviour above.
couldn retrieve screenshots for obvious reasons, but here (https: drop.rixx.de QQiu is an anonymised version of the export. (Also note that both accounts are included, even though fairly certain that selected only one.)</t>
  </si>
  <si>
    <t>2020-10-10</t>
  </si>
  <si>
    <t>Anuken-Mindustry-2893</t>
  </si>
  <si>
    <t>Mindustry has crashed. How unforunate.
Report this at https: github.com Anuken Mindustry issues new?labels bug&amp;template bug report.md</t>
  </si>
  <si>
    <t>Anuken-Mindustry-2890</t>
  </si>
  <si>
    <t>AoE damage is very overpowered against larger blocks</t>
  </si>
  <si>
    <t>**Steps to reproduce**: Use an AoE weapon against multiblock, or crash large air unit into multiblock, it will do much more damage then expected.
*Place an (no spaces) between the brackets to confirm that you have read the line below.*
**I have searched the closed and open issues to make sure that this problem has not already been reported.**</t>
  </si>
  <si>
    <t>2020-10-09</t>
  </si>
  <si>
    <t>nextcloud-android-7069</t>
  </si>
  <si>
    <t>Out of Memory exception while moving files</t>
  </si>
  <si>
    <t>### Steps to reproduce
1. have uploaded fotos from my phone to next cloud (10.6GB, 1972 files)
2. After that want to categorize them so select multiple photos in the nextcloud app (about 100) and move them to another directory.
### Expected behaviour
photos should be moved
### Actual behaviour
after being unresponsive for while next cloud app crashes with out of memory error
### Environment data
Android version: 7.1.2
Device model: Fairphone
Stock or customized system: FP2
Nextcloud app version: 3.13.0
Nextcloud server version: 19.0.3
#### Nextcloud log (data nextcloud.log)
have no data nextcloud.log file as far as see. Here is the output saved to clipboard after the crash:
************ CAUSE OF ERROR ************
************ APP INFORMATION ************
Build flavor: generic
************ DEVICE INFORMATION ************
************ FIRMWARE ************</t>
  </si>
  <si>
    <t>OlofSjogren-GoAyo-116</t>
  </si>
  <si>
    <t>Fixed crash upon leaving group</t>
  </si>
  <si>
    <t>OlofSjogren-GoAyo-113</t>
  </si>
  <si>
    <t>Application crashes when attempting to leave a group</t>
  </si>
  <si>
    <t>The topmost error message is this</t>
  </si>
  <si>
    <t>Anuken-Mindustry-2886</t>
  </si>
  <si>
    <t>ripple with silicon ammo stuck after switching to blast compound</t>
  </si>
  <si>
    <t>**Steps to reproduce**:
1.Place ripple with cryofluid source and silicon source.
2.Change silicon source to blast compound.
3.Shoot remaining silicon.
**Link(s) to mod(s) used**: None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</si>
  <si>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Anuken-Mindustry-2884</t>
  </si>
  <si>
    <t>When I open the game its suddenly close and show error</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</si>
  <si>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idk **I have searched the closed and open issues to make sure that this problem has not already been reported.**</t>
  </si>
  <si>
    <t>Anuken-Mindustry-2883</t>
  </si>
  <si>
    <t>Some mindustry BE bug I found</t>
  </si>
  <si>
    <t>**Steps to reproduce**: *How you happened across the issue, and what exactly you did to make the bug happen.* opened it
**Link(s) to mod(s) used**: *The mod repositories or zip files that are related to the issue, if applicable.* no mods
**Crash report**: *The contents of relevant crash report files. REQUIRED if you are reporting crash.* for some reason it doesn give me the logs
*Place an (no spaces) between the brackets to confirm that you have read the line below.*
**I have searched the closed and open issues to make sure that this problem has not already been reported.**</t>
  </si>
  <si>
    <t>GoogleCloudPlatform-fda-mystudies-1249</t>
  </si>
  <si>
    <t>[iOS] App crashing on navigating to particular activity</t>
  </si>
  <si>
    <t>Study ID REGteststudy (Open study)
App ID GCPMS001
Activity ID Onetime
Issue happening only for this activity</t>
  </si>
  <si>
    <t>Anuken-Mindustry-2880</t>
  </si>
  <si>
    <t>space shader crash</t>
  </si>
  <si>
    <t>**Steps to reproduce**: see above
**Link(s) to mod(s) used**: null
**Save file**: null
Mindustry has crashed. How unfortunate.
Report this at https: github.com Anuken Mindustry issues new?labels bug&amp;template bug report.md
*Place an (no spaces) between the brackets to confirm that you have read the line below.*
**I have searched the closed and open issues to make sure that this problem has not already been reported.**
(possibly) related issue yet with different exception: #2878</t>
  </si>
  <si>
    <t>Anuken-Mindustry-2878</t>
  </si>
  <si>
    <t>Crash 10313</t>
  </si>
  <si>
    <t>Mindustry has crashed. How unfortunate.
Report this at https: github.com Anuken Mindustry issues new?labels bug&amp;template bug report.md
IllegalArgument: Failed to compile shader: Fragment shader:</t>
  </si>
  <si>
    <t>Anuken-Mindustry-2874</t>
  </si>
  <si>
    <t>latest bleeding edge crashes</t>
  </si>
  <si>
    <t>**Steps to reproduce**: *try to launch the game*
**Link(s) to mod(s) used**: *none*
**Save file**: *null*
**Crash report**: *its not giving any reports, which is bad.*
*Place an (no spaces) between the brackets to confirm that you have read the line below.*
**I have searched the closed and open issues to make sure that this problem has not already been reported.**</t>
  </si>
  <si>
    <t>2020-10-08</t>
  </si>
  <si>
    <t>Anuken-Mindustry-2873</t>
  </si>
  <si>
    <t>Vela Units sometimes appear to be firing mass drive projectiles after shooting</t>
  </si>
  <si>
    <t>Bleeding edge release 10305
whilst controlling vela (ctrl+click) and commanding multiple other velas they will occasionally appear to be firing mass driver projectiles.
**Steps to reproduce**: *How you happened across the issue, and what exactly you did to make the bug happen.*
step 1: get bunch of velas
step 2: control one
step 4:(might be necessary?) be on map with large amount of mass drivers shooting.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Import this save file and go onto tar fields in campaign mode.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</si>
  <si>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Anuken-Mindustry-2871</t>
  </si>
  <si>
    <t>you can't change your unit after controlling a turrret</t>
  </si>
  <si>
    <t>**Steps to reproduce**: *control unit and try to hold on the core to change to unit.*
**Link(s) to mod(s) used**: *none.*
**Save file**: *http: www.mediafire.com file 5np7s6axy3gg1uf file*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</si>
  <si>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TeamNewPipe-NewPipe-4451</t>
  </si>
  <si>
    <t>The app crashes every time I try to open a video, and it doesn't work with background or popup playback too</t>
  </si>
  <si>
    <t>&lt;!-- The first box has been checked for you to show you how it is done.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any section of the app
2. Try to open any video
3. The app crashes
If try to open video in NewPipe, any video, the app crashes. If try to open it in background or in popup playback the app doesn crash, but the app doesn manage to open the stream, and it tells me Could not play this stream
&lt;!-- If your bug includes crash (where you re shown the Error Report page with bunch of info), tap on Copy formatted report at the bottom and paste it here: --&gt;
User Action: requested stream
Request: https: www.youtube.com watch?v FSwRoNtXdsE
Content Country: GB
Content Language: en
App Language: sc
OS: Linux Android 28
log b&gt;&lt; summary&gt;&lt;p&gt;
Caused by: Attempt to invoke virtual method boolean on null object reference
... 30 more</t>
  </si>
  <si>
    <t>Anuken-Mindustry-2867</t>
  </si>
  <si>
    <t>Rhino doesn't like variables and functions with the same name</t>
  </si>
  <si>
    <t>**Steps to reproduce**: *Code:
if(this. proxItems.length 0)
for(var i&lt;this. proxItems.length i++)
**Link(s) to mod(s) used**: https: github.com sk7725 Testers (https: github.com sk7725 Testers)(note that there is workaround here, but this is still an issue)*
**Save file**: *This issue happens at the code level, thus am **sure** that it is unrelated.*
Mindustry has crashed. How unfortunate.
*Place an (no spaces) between the brackets to confirm that you have read the line below.*
**I have searched the closed and open issues to make sure that this problem has not already been reported.**</t>
  </si>
  <si>
    <t>Anuken-Mindustry-2866</t>
  </si>
  <si>
    <t>Unit can't build when i can build</t>
  </si>
  <si>
    <t>**Steps to reproduce**: *I controlled crawler, selected block, and then controlled unit that could build.
Screenshot 20201008-092323 Mindustry BE (https: 47507131
**Link(s) to mod(s) used**: *The mod repositories or zip files that are related to the issue,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</si>
  <si>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nextcloud-android-7064</t>
  </si>
  <si>
    <t>Android app crash on server side app update</t>
  </si>
  <si>
    <t>not 100% sure but the timing was too good to not bring this into relation.
### Steps to reproduce
1. Update app on server
2. Nextcloud client will crash
### Expected behaviour
App should not crash
### Actual behaviour
### Can you reproduce this problem on https: try.nextcloud.com?
Please create test demo account and see if this still happens there.
If yes, please open up bug report
If not, please verify server setup and ask for help on forum
### Environment data
Android version: 8.0.0
Device model: Samsung Galaxy S7 (SM-G930F)
Stock or customized system: Stock
Nextcloud app version: 3.13.1
Nextcloud server version: 19.0.3
Reverse proxy: No
#### Client crash log
************ CAUSE OF ERROR ************</t>
  </si>
  <si>
    <t>2020-10-07</t>
  </si>
  <si>
    <t>harsh-2711-android-search-ui-19</t>
  </si>
  <si>
    <t>Bug: App Crashes with Item Clicked</t>
  </si>
  <si>
    <t>&lt;!-- Please do not submit How to questions here. Instead, please use the below Gitter channel: https: gitter.im dsc-slop AndroidSearchUI?utm source share-link&amp;utm medium link&amp;utm campaign share-link --&gt;
&lt;!-- ISSUES MISSING IMPORTANT INFORMATION MAY BE CLOSED WITHOUT INVESTIGATION. --&gt;
**I submitting ...**
&lt;!-- (check one with --&gt;
&lt;!-- Describe how the bug manifests. --&gt;
App Crashes when default suggestions are clicked
&lt;!-- Describe what the behavior would be without the bug. --&gt;
App should not crash.
Steps to reproduce
1. Open app
2. Click on search View but do not type anything
3. Click on one of the default suggestions
&lt;!-- List any other information that is relevant to your issue. Stack traces, related issues, suggestions on how to fix, Stack Overflow links, forum links, etc. --&gt;</t>
  </si>
  <si>
    <t>GoogleCloudPlatform-fda-mystudies-1151</t>
  </si>
  <si>
    <t>[iOS] My Account - App crashes after changing any profile settings and clicking on logout</t>
  </si>
  <si>
    <t>2. Navigate to My Account
3. Change any of the profile settings eg. Disable enable push notification or reminder or passcode
4. Click on logout
Refer attached video</t>
  </si>
  <si>
    <t>jonathanpalma-react-native-tesseract-ocr-91</t>
  </si>
  <si>
    <t>Changing package name causes crash</t>
  </si>
  <si>
    <t>**Describe the bug**
clear and concise description of what the bug is.
ve been working with clean installation and the app crashes when recognize starts,
on the example everything works great so is started to upgrade the packages
all good, app still works as expected.
**Dependencies (please complete the following information):**
Steps to reproduce the behavior:
1. create new react-native app example
3. Make sure it works
4. Change package name
5. app crash
Should work with any package name
If applicable, add screenshots to help explain your problem.
**Smartphone (please complete the following information):**
Device: samsung galaxy s8 plus</t>
  </si>
  <si>
    <t>Anuken-Mindustry-2850</t>
  </si>
  <si>
    <t xml:space="preserve">adding mods and they disappear </t>
  </si>
  <si>
    <t>am importing mods and when reload the page the mod just disappears
**Steps to reproduce**: *How you happened across the issue, and what exactly you did to make the bug happen.*
imported mod, reloaded mod page, mod gone
**Link(s) to mod(s) used**: *The mod repositories or zip files that are related to the issue, if applicable.*
10 different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</si>
  <si>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2020-10-06</t>
  </si>
  <si>
    <t>inaturalist-iNaturalistAndroid-920</t>
  </si>
  <si>
    <t>Large Observations - Tapping a photo in the obs viewer causes a crash</t>
  </si>
  <si>
    <t>nextcloud-android-7056</t>
  </si>
  <si>
    <t>no display of files and app crashes</t>
  </si>
  <si>
    <t>You won see any files on the Nextcloud Android app. It doesn matter if you have new connected account or an already connected account.
After few seconds minutes the error message below appears
Android devices have this error, iOS devices run without problems
### Can you reproduce this problem on https: try.nextcloud.com?
No but strangely enough have this behavior on other instances running on v20
### Environment data
Nextcloud version: 20.0.0.9
Operating system and version: Debian 10
Apache or nginx version: nginx 1.18.0
PHP version: 7.4
#### App Error
************ CAUSE OF ERROR ************
************ APP INFORMATION ************
Build flavor: gplay
************ DEVICE INFORMATION ************
************ FIRMWARE ************
#### Nextcloud log (data nextcloud.log)</t>
  </si>
  <si>
    <t>nextcloud-android-7055</t>
  </si>
  <si>
    <t>Deleted nested folder causes app to crash</t>
  </si>
  <si>
    <t>### Steps to reproduce
1. Remove nested folder with lot of files via the web client
2. Visit the parent folder in the app
### Expected behaviour
expect the deleted folder to disappear from the listing
### Actual behaviour
The Listing loads for while, than the app crashes
The deleted folder is still listed after restart
The app repeatedly crashes with the same error, preventing me to use this folder at all.
### Can you reproduce this problem on https: try.nextcloud.com?
This will probably not that easy to replicate, since it seems to need few thousand files to be in that deleted folder
### Environment data
Android version: 10
Device model: OnePlus 6T
Stock or customized system: Stock
Nextcloud app version: 3.13.1
Nextcloud server version: 19.0.0
Reverse proxy: None
#### Web server error log
#### Nextcloud log (data nextcloud.log)</t>
  </si>
  <si>
    <t>jonathanpalma-react-native-tesseract-ocr-90</t>
  </si>
  <si>
    <t xml:space="preserve">App get crash while TesseractOcr.recognize </t>
  </si>
  <si>
    <t>**Describe the bug**
Create new sample project add tesseract-ocr image-picker. Add eng.traineddata file in to assets folder, and try to run
Getting error like Fatal signal (SIGABRT), code -1 (SI QUEUE) in tid 14659 (Thread-5), pid 14527 (.awesomeproject),
have done google for that, They said you are update UI from BG thread. but did not do any thing, have just copy code from your sample project.
**Dependencies (please complete the following information):**
Screenshot 2020-10-06 at 59 25 PM (https: 27193416
**Smartphone (please complete the following information):**
Device: Nokia 4.2
have try in other system as well but same result.
const isLoading, setIsLoading useState(false)
const progress, setProgress useState(0)
const imgSrc, setImgSrc useState(null)
const text, setText useState(
const onSelectImage ()
console.log( Response response)
console.log( User cancelled image picker
else if (response.error)
console.log( ImagePicker Error: response.error)
console.log( User tapped custom button:
setImgSrc( uri: response.path</t>
  </si>
  <si>
    <t>k9mail-k-9-4985</t>
  </si>
  <si>
    <t>Hi, the 5.719 crashes when want to change my account new mail ringtone.</t>
  </si>
  <si>
    <t>Anuken-Mindustry-2849</t>
  </si>
  <si>
    <t>Naval Ships uncontrollable</t>
  </si>
  <si>
    <t>nextcloud-android-7053</t>
  </si>
  <si>
    <t>App crash almost every morning</t>
  </si>
  <si>
    <t>### Steps to reproduce
1. Not Sure, but often in the morning after disabeling flight mode and unlocking the screen.
2. want to mention, that have configured several accounts to different servers (local Raspberry Pi Dicker remote company Nextcloud Server installed from Nextcloud employee)
have the feeling, that this is more likely to Happen, the more accounts are configured in the app.
### Expected behaviour
App should not crash
### Actual behaviour
after unlocking the screen, the following message appears:
************ CAUSE OF ERROR ************
************ APP INFORMATION ************
Build flavor: gplay
************ DEVICE INFORMATION ************
************ FIRMWARE ************
### Environment data
Android version: 7.1.2
Device model: Fairphone
Stock or customized system: Fairphone OS
Nextcloud server version: 19.0.3
Reverse proxy: nginx Other (Sophos UTM)
#### Web server error log</t>
  </si>
  <si>
    <t>Anuken-Mindustry-2840</t>
  </si>
  <si>
    <t>Bad command mode pathfinding</t>
  </si>
  <si>
    <t>**Steps to reproduce**: Here:
Get any support mech
Souround yourself with units
Fly around wall so you get there faster than commanded units
They will bump into that wall as they try to follow you, and keep walking into it.
Wall is not necessary, any block will do, same for higher ground sections.
**Save file**: Any file. My friend tried it as well, and it was still same.
**Crash report**: Not crash
*Place an (no spaces) between the brackets to confirm that you have read the line below.*
**I have searched the closed and open issues to make sure that this problem has not already been reported.**</t>
  </si>
  <si>
    <t>2020-10-05</t>
  </si>
  <si>
    <t>TeamNewPipe-NewPipe-4406</t>
  </si>
  <si>
    <t>Download function disappeared. Tried installing latest APK but still no download option anymore</t>
  </si>
  <si>
    <t>Oh no, bug! It happens. Thanks for reporting an issue with NewPipe.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am using the latest version. &lt;!-- compare Releases page and your version given in About in the app drawer --&gt;
checked, but didn find any duplicates of this issue in the repo. &lt;!-- Seriously, check. --&gt;
have read the contribution guidelines given at https: github.com TeamNewPipe NewPipe blob HEAD .github CONTRIBUTING.md.
This issue contains only one bug. will open one issue for every bug report want to file.
### Steps to reproduce the bug
1. Go to ...
2. Press on ....
3. Swipe down to ....
&lt;!-- If you can cause the bug to show up again reliably (and hence don have proper set of steps to give us), please still try to give as many details as possible on how you think you encountered the bug. --&gt;
### Actual behaviour
&lt;!-- Tell us what happens instead. --&gt;
### Expected behavior
&lt;!-- Tell us what you expect to happen.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tap on Copy formatted report at the bottom and paste it here: --&gt;
&lt;!-- That right, here! --&gt;</t>
  </si>
  <si>
    <t>nextcloud-android-7049</t>
  </si>
  <si>
    <t>Simpletask crashes randomly</t>
  </si>
  <si>
    <t>### Steps to reproduce
1. Open Simpletask.
2. Observe crash occasionally. Couldn find any particular steps to reproduce.
### Expected behaviour
### Actual behaviour
There are crashes.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</si>
  <si>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vedangj044-aider-5</t>
  </si>
  <si>
    <t>App crashes if the data in not available in firebase</t>
  </si>
  <si>
    <t>Anuken-Mindustry-2835</t>
  </si>
  <si>
    <t>Overdrive Dome Effect stays after deconstructing</t>
  </si>
  <si>
    <t>**Steps to reproduce**: *Load the savegame, construct an OD Dome next to the right construction, feed it with power, phase, and silicon. Watch the power go up. Deconstruct it: Watch the Power stay high*
**Link(s) to mod(s) used**: *The mod repositories or zip files that are related to the issue,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</si>
  <si>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2020-10-04</t>
  </si>
  <si>
    <t>TeamNewPipe-NewPipe-4390</t>
  </si>
  <si>
    <t xml:space="preserve">Fast forward crush </t>
  </si>
  <si>
    <t>User Action: ui error
Request: App crash, UI failure
Content Country: GB
Content Language: en-GB
App Language: en GB
OS: Linux Android 7.0 24
log b&gt;&lt; summary&gt;&lt;p&gt;</t>
  </si>
  <si>
    <t>ultrasonic-ultrasonic-325</t>
  </si>
  <si>
    <t>TimeCheck timeout for IAudioFlinger command 41</t>
  </si>
  <si>
    <t>Since some time my Ultrasonic started crashing at startup.
It is quite possible that my AOSP distro is buggy, but ve managed to avoid the crash by disabling the instantiation of EqualizerController and in LocalMediaPlayer by commenting the static block initializer.
Attached is the logcat crash log.</t>
  </si>
  <si>
    <t>Anuken-Mindustry-2834</t>
  </si>
  <si>
    <t>Liquid source problems</t>
  </si>
  <si>
    <t>Liquid sources straight up don output. EDIT: no piping or fluid transfer seems to work.
**Steps to reproduce**: *How you happened across the issue, and what exactly you did to make the bug happen.*
Place liquid source, try to attach pipes to it. EDIT: try to transfer fluid anywhere, using pipes. You ll see that the pipes don even transfer to each other.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</si>
  <si>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nextcloud-android-7047</t>
  </si>
  <si>
    <t>Resources$NotFoundException</t>
  </si>
  <si>
    <t>### Steps to reproduce
1. Click on account icon in the header.
2. Manage accounts
3. Click on any account.
### Expected behaviour
can see some info about my account.
### Actual behaviour
... 11 more
### Additional info
Looks like it can find R.dimen.nav drawer header avatar radius It is defined in values-sw360dp dims.xml but not in values dims.xml This will crash on devices with the smallest width less than 360dp. ve set Display size to Larger in system settings, which is probably the reason why it thinks my sw 360dp. If temporarily change Display size to Normal UserInfoActivity opens as expected.</t>
  </si>
  <si>
    <t>ankidroid-Anki-Android-7345</t>
  </si>
  <si>
    <t xml:space="preserve"> SelectionActionModeHelper - IllegalArgumentException</t>
  </si>
  <si>
    <t>Also seen on 2.12.1 not new crash in 2.13.5</t>
  </si>
  <si>
    <t>zoho-salesiq-mobilisten-android-sample-14</t>
  </si>
  <si>
    <t>ResourcesNotFoundException in MessagesFeedbackViewHolder.java line 73</t>
  </si>
  <si>
    <t>After updating to v2.3, we are getting below crash. We have set in our Application class as our app supports API 19. Please look into this issue. Thanks!</t>
  </si>
  <si>
    <t>zoho-salesiq-mobilisten-android-sample-13</t>
  </si>
  <si>
    <t>NullPointerException in ChatFragment.java line 1218</t>
  </si>
  <si>
    <t>After updating to v2.3, we are getting below crash. Please look into this issue. Thanks!</t>
  </si>
  <si>
    <t>zoho-salesiq-mobilisten-android-sample-12</t>
  </si>
  <si>
    <t>NullPointerException in ChatFragment.java line 3394</t>
  </si>
  <si>
    <t>After updating to v2.3, we are getting below crash. Please look into this issue. Thanks!
Another crash for same code part has been found.</t>
  </si>
  <si>
    <t>Anuken-Mindustry-2827</t>
  </si>
  <si>
    <t>Mass drivers on multiplayer retaining their target, even if that target is destroyed</t>
  </si>
  <si>
    <t>If one sets mass driver target, then removes the target, the targeting circle remains
**Steps to reproduce**: *How you happened across the issue, and what exactly you did to make the bug happen.*
Target mass driver. Delete the targeted mass driver. DO NOT TOUCH THE TARGETING MASS DRIVER. Build new mass driver in some other location. Click on the targeting mass driver. Observe circle.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</si>
  <si>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7LPdWcaW-GrowTracker-Android-240</t>
  </si>
  <si>
    <t>Git Reports Issue</t>
  </si>
  <si>
    <t>App crashes when try to click on the water tab of any plant</t>
  </si>
  <si>
    <t>Anuken-Mindustry-2823</t>
  </si>
  <si>
    <t>can place thor walls on surge walls</t>
  </si>
  <si>
    <t>Can place 1x1 thorium walls over 1x1 surge walls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</si>
  <si>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2020-10-03</t>
  </si>
  <si>
    <t>Anuken-Mindustry-2812</t>
  </si>
  <si>
    <t xml:space="preserve">Mindustry crash </t>
  </si>
  <si>
    <t>oh no (https: 60838599
run the game through Steam. First, the game is loaded. sometimes notice it happens that when the load reaches 4%, it can drop to 3%. And after the download reaches 50%, the game closes and an error crashes (on the screen). dont have mods. Here what the logs say:
Caused by: Couldn load dependencies of asset: sounds ????.ogg
Caused by: File not found: sounds ????.ogg (internal)
Caused by: File not found: sounds ????.ogg (internal)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</si>
  <si>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zoho-salesiq-mobilisten-android-sample-9</t>
  </si>
  <si>
    <t>NullPointerException in ChatFragment.java</t>
  </si>
  <si>
    <t>TeamNewPipe-NewPipe-4366</t>
  </si>
  <si>
    <t>Most content crash on Huawei nova 5t</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</si>
  <si>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Choose video
2. Click on it or press longer to enter the other reading options. Choose any of them (front end or background)
3. Crash. When try turning back after the error message, land on the trend page.
&lt;!-- If you can cause the bug to show up again reliably (and hence don have proper set of steps to give us), please still try to give as many details as possible on how you think you encountered the bug. --&gt; It crashes almost systematically.
### Expected behavior
&lt;!-- Tell us what you expect to happen. --&gt; Read the videos and enjoy good music
### Actual behaviour
&lt;!-- Tell us what happens instead. --&gt; Crash notice and when turning back, land directly on the landing page (skipping the search results page).
Some less viewed videos do work (a theory could be that are not monetized?).
If listen to background video, those which cannot be read will be deleted from the playlist.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Link to video screen: https: streamable.com 4n4ark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</si>
  <si>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2020-10-02</t>
  </si>
  <si>
    <t>Anuken-Mindustry-2801</t>
  </si>
  <si>
    <t>Mindustry crash ( steam build )</t>
  </si>
  <si>
    <t>**Steps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Couldn load dependencies of asset: sounds ????.ogg
Caused by: Couldn load dependencies of asset: sounds ????.ogg
Caused by: File not found: sounds ????.ogg (internal)
Caused by: File not found: sounds ????.ogg (internal)
*Place an (no spaces) between the brackets to confirm that you have read the line below.*
**I have searched the closed and open issues to make sure that this problem has not already been reported.**</t>
  </si>
  <si>
    <t>TeamNewPipe-NewPipe-4363</t>
  </si>
  <si>
    <t>Overlapping fonts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</si>
  <si>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 Version 0.20.0 RC4 even tried with stable version 0.19.8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</si>
  <si>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92lleo-WhatsappWebToGo-32</t>
  </si>
  <si>
    <t>[Mail request] App Crash</t>
  </si>
  <si>
    <t>Hi Leonhard, thanks for the new update of WhatsApp Web to Go!
just noticed that this new version crashes everytime hit Toggle Appbar Visibility could you please check?.</t>
  </si>
  <si>
    <t>NekoX-Dev-NekoX-188</t>
  </si>
  <si>
    <t>Calling Crash &amp; Proxy On Mini Versions Too</t>
  </si>
  <si>
    <t>**Describe the bug**
Nekogram crashes as soon as the call has been connected. And the mini version also has proxy which is redundent. There is full version for that.
Steps to reproduce the behavior:
Just try to call person by any means you will see it crashes
Calling should work flawlessly and there shouldn be any proxy on mini versions
Sorry can perform at this moment
**Smartphone (please complete the following information):**
Device: Pixel 4XL
OS: Android 11</t>
  </si>
  <si>
    <t>federicoiosue-Omni-Notes-788</t>
  </si>
  <si>
    <t xml:space="preserve">Fix crash while switching to reduced note layout </t>
  </si>
  <si>
    <t>Expanded note layout was always created, independent from setting</t>
  </si>
  <si>
    <t>Anuken-Mindustry-2797</t>
  </si>
  <si>
    <t>Meltdown does not have its laser when enclosed by shield, steals other bullets</t>
  </si>
  <si>
    <t>The laser of meltdown will fire for split second when under the shield of the T5 support aircraft with no weapons (im sorry dont know the names) Furthermore when the beam is deleted it seems that the meltdown will steal the projectiles of other firing turrets at random that DO damage the shield. have tested with spectre, fuse, salvo and ripple. it stole projectiles from all guns except ripple.
On whim decided to test to see if the same thing happened with the T4 Ground support mech since it is essentially meltdown laser but shorter and green. The same thing happens to it
*on further testing of bullets the meltdown is also stealing projectiles fired from dagger units as well as my nova being used to control said dagger units. Fortress seems unaffected however have not tried larger group. but based on it not stealing ripple fire it seems to just ignore artillery type bullets completely Edit: lied, it is stealing the explosion effect of the artillery bullets not the bullet firing. When the bullet explodes on the ground or whatever the effect happens at meltdown tip like everything else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</si>
  <si>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Anuken-Mindustry-2795</t>
  </si>
  <si>
    <t>Bleeding Edge 10119, 10135, 10149 crashes in one minute after startup</t>
  </si>
  <si>
    <t>Linux(OpenSUSE Leap 15.1)
10119, 10135, 10149
After starting the game it crashes even if just start it and wait before the menu loads
**Steps to reproduce**: *How you happened across the issue, and what exactly you did to make the bug happen.*
ran java -jar then wait for startup. It crashed during loading. Then tried to start the game again. Then after the menu is loaded tried to play the campaign, managed to build few copper drills before the game crashed again. tried to download the newest build and run it. But it also crashed in menu. Then wait some time and download the newest build again and run it, but it crashed during the startup too.
**Link(s) to mod(s) used**: *The mod repositories or zip files that are related to the issue, if applicable.*
Some mods, but all of them are for 104.10 and turned off.
**Save file**: *The save file you were playing on when the bug happened. REQUIRED for any issue that happens in-game.*
None, game crashed before the autosave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P.S. Older builds(9XXX) are working normally.</t>
  </si>
  <si>
    <t>Anuken-Mindustry-2794</t>
  </si>
  <si>
    <t>Builder drones dont connect bridges</t>
  </si>
  <si>
    <t>**Steps to reproduce**: *Create custom Map and get some Polys now build bridges outside of your building radius. When you build them they will connect. If the Polys build them they won t*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</si>
  <si>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2020-10-01</t>
  </si>
  <si>
    <t>lfuelling-lrkFM-94</t>
  </si>
  <si>
    <t>Crash when reading tar archives</t>
  </si>
  <si>
    <t>**Describe the bug**
The application crashes while extracting .tar file.
This issue was reported using GooglePlay.
Crashes when opens tar file
The app should handle .tar files without issues.
**Smartphone (please complete the following information):**
Device: *not provided*
OS: *not provided*
Browser *not provided*</t>
  </si>
  <si>
    <t>mmuhamadamirzaidi-OxygenToGo-2</t>
  </si>
  <si>
    <t>Fix App Crash When Location Permission Allowed</t>
  </si>
  <si>
    <t>Please help to fix the crash when allowing permission for the location after fresh installation.</t>
  </si>
  <si>
    <t>Anuken-Mindustry-2789</t>
  </si>
  <si>
    <t>Land T4 &amp; 5 wrong laser sound</t>
  </si>
  <si>
    <t>Linux, may happen on other
The T4 and T5 ground support units have standard laser cannon sound.
**Steps to reproduce**: *How you happened across the issue, and what exactly you did to make the bug happen.*
Build T4 or T5 ground support unit from Nova and fire its laser.
**Link(s) to mod(s) used**: *The mod repositories or zip files that are related to the issue, if applicable.*
**Save file**: *The save file you were playing on when the bug happened. REQUIRED for any issue that happens in-game.*
Will happen on any save file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</si>
  <si>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Anuken-Mindustry-2788</t>
  </si>
  <si>
    <t>Poly building bug</t>
  </si>
  <si>
    <t>Enemy poly building air
**Steps to reproduce**: *How you happened across the issue, and what exactly you did to make the bug happen.*
while playing attack on server, there was enemy poly that was respawning from enemy core and was flying to destroyed ripple trying to fix it. After it died again, put conveyor on ripple place, and it began fixing air below without bilding anything.
**Link(s) to mod(s) used**: *The mod repositories or zip files that are related to the issue, if applicable.*
No mods used
**Save file**: *The save file you were playing on when the bug happened. REQUIRED for any issue that happens in-game.*
did nt saved cause didn knew it was requred before map changed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</si>
  <si>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Anuken-Mindustry-2787</t>
  </si>
  <si>
    <t>Crawlers from wave go afk</t>
  </si>
  <si>
    <t>Steam alpha. 106 iirc (currently still ingame)
After just over 400 waves in custom map, the crawlers end up just standing around just outside of their spawn, cause unknown, perhaps persistent belt that is nonexistent that they are trying to get to, or perhaps no optimal path detected by them? They do however go to new things that are placed near enough to them.
**Steps to reproduce**: *How you happened across the issue, and what exactly you did to make the bug happen.*
Lots of belt spam, while my friend was building walls and some factory related stuff the crawlers suddenly broke.
**Link(s) to mod(s) used**: *The mod repositories or zip files that are related to the issue, if applicable.*
**Save file**: *The save file you were playing on when the bug happened. REQUIRED for any issue that happens in-game.*
not entirely sure how to share the file...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</si>
  <si>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Anuken-Mindustry-2779</t>
  </si>
  <si>
    <t>Foreshadow Damage</t>
  </si>
  <si>
    <t>Foreshadow ammo damage fails to show up under block details.
**Steps to reproduce**: *How you happened across the issue, and what exactly you did to make the bug happen.*
Open Foreshadow block details and check under ammo.
**Link(s) to mod(s) used**: *The mod repositories or zip files that are related to the issue, if applicable.*
**Save file**: *The save file you were playing on when the bug happened. REQUIRED for any issue that happens in-game.*
Universally applicable, happens on all saves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</si>
  <si>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2020-09-30</t>
  </si>
  <si>
    <t>technojam-AndroidCustomView-8</t>
  </si>
  <si>
    <t>[BUG] ProgressView text alignment</t>
  </si>
  <si>
    <t>### Before reporting an issue am agreeing to the points below
running my app on SDK level 21.
Target SDK version on my machine is 28.
haven altered the default Gradle configuration for the app.
The text in the progress view is not aligned and scalable. The main issue is with the reference from which it is drawn. It is required to be positioned correctly.
### Steps to reproduce the behavior:
1. Go to activity main.xml (https: github.com technojam AndroidCustomView blob master app src main res layout activity main.xml) line number 14.
2. Alter the layout width and layout height to see how text behaves
3. There is no app crash.
### Expected behavior
Centered between the circle independent of layout width and layout height maintaining the aspect ratio.
&lt;img src https: technojam AndroidCustomView master screenshots ss 1.png
width 150 height 275
### Platform Info
Device: Pixel XL emulator
OS: android oreo</t>
  </si>
  <si>
    <t>hzi-braunschweig-SORMAS-Project-3032</t>
  </si>
  <si>
    <t>Opening campaign form data crashes when data is not compatible</t>
  </si>
  <si>
    <t>If you ve never submitted an issue to the SORMAS repository before or this is your first time using this template, please read the Contributing guidelines (accessible in the right sidebar) for an explanation about the information we like you to provide.
### Steps to Reproduce
1. Change the value of field in the database to have another type (e.g. to string where boolean is expected) -&gt; this is just quick hack to reproduce problem tat can also happen when the data type of field changes in the form meta, etc.
2. Open the campaign data form
### Expected Behavior
Add check when setting the value in the field
YES NO should only set the value, when the provided value is boolean
Text and Number: Always set, but use toString().
Dont save null values</t>
  </si>
  <si>
    <t>react-native-share-react-native-share-882</t>
  </si>
  <si>
    <t>React Native callback type only permits a single invocation from native code</t>
  </si>
  <si>
    <t>### Steps to reproduce
When press share action sheet will appear
Then select any one of the other application show send and cancel option
When press cancel button stoped the action and when close the actionsheet then app getting crashed
### Expected behaviour
have to close share action sheet
### Actual behaviour
**React Native version**: 0.59.9
platform version**: iOS 11.3.3
also checked with latest version 4.0.0</t>
  </si>
  <si>
    <t>NekoX-Dev-NekoX-176</t>
  </si>
  <si>
    <t>[Bug] Crash on key-exchange when calling someone</t>
  </si>
  <si>
    <t>**Describe the bug**
ve tried calling some people with the latest NekoX client, but apparently it crashes when calling getting called.
Steps to reproduce the behavior:
1. Go to the profile of person you want to call, or get called
1.1 Click on voice or video call button (happens with both) in the top right corner (only if you plan to call)
2. Wait for it to ring and the other person to accept the call.
3. See the message Exchanging encryption keys before crashing and being returned to the launcher. (Other side gets the disconected beeping tone with the same key exchange message before the call times out or gets hung up)
Crash log attached in issue! though, not sure if this is enough, ask me for the full log if desired since tried to only attach the specific crash
The call goes through, the other person client rings, the other side accepts, e2ee keys exchanged and call initialized without any crashes
Can take screenshot sadly, but the other side displays the message Exchanging encryption keys... as it disconnected on the crash of the other client.
**Smartphone (please complete the following information):**
Device: Galaxy S8 (dreamlte)
OS: Lineage 17.1
Tried both with personal fork (modded for different gallery directory than stock NekoX) and the latest releases on this github repo, both with same results</t>
  </si>
  <si>
    <t>SecUSo-privacy-friendly-qr-scanner-83</t>
  </si>
  <si>
    <t>Fix aztec encoding #76</t>
  </si>
  <si>
    <t>High probability that it also fixes #67 (no hints how to reproduce the error given)
The app crashes during writing encoding the decoded content for the history.
AztecWriter from ZING is reading the attribut ERROR CORRECTION in wrong way, so it is partly bug of zxing. However this attribut should never be added passed on to the aztec reader.</t>
  </si>
  <si>
    <t>2020-09-29</t>
  </si>
  <si>
    <t>Anuken-Mindustry-2766</t>
  </si>
  <si>
    <t>Crash on clicking button 'Skip' campaign 6</t>
  </si>
  <si>
    <t>**Steps to reproduce**: Play until condition to switch sector appears with buttons: skip and switch sector Press skip.
**Link(s) to mod(s) used**: No mods.
**Save file**: (https: github.com Anuken Mindustry files 5302244
**Crash report**: crash-report-09 30 2020 01 37 21.txt (https: github.com Anuken Mindustry files 5302236 crash-report-09 30 2020 01 37 21.txt)
*Place an (no spaces) between the brackets to confirm that you have read the line below.*
**I have searched the closed and open issues to make sure that this problem has not already been reported.**</t>
  </si>
  <si>
    <t>tchapgouv-tchap-android-legacy-631</t>
  </si>
  <si>
    <t>Tchap crashes on invalid access token</t>
  </si>
  <si>
    <t>Connect an account on devices, at least one Android.
On the Android device, put the application in background
Remove this Android device from the other device
Resume Tchap on the Android device, most of the time the app crashes (sometimes the app restarts and crashes again until the device is lock or restart)</t>
  </si>
  <si>
    <t>react-native-share-react-native-share-879</t>
  </si>
  <si>
    <t>App crash (cannot read property Version of undefined)</t>
  </si>
  <si>
    <t>### Steps to reproduce
1. Update to react-native-share v4
2. Clean project (node modules, pod install, npm start -- --reset-cache, ecc)
3. Build and launch (simulator or real device)
### Expected behaviour
### Actual behaviour
**React Native version**: 0.60.6
**React Native platform platform version**: iOS 14.0 on simulator, Android 11 on Google Pixel 4, iOS 13.5.1 on iPhone
With debugger, discovered the problem is in these lines:
const ANDROID KIT KAT SDK VERSION 19
const ANDROID KIT KAT SDK VERSION
Cannot read property Version of undefined
hope there is everything to reproduce the error.</t>
  </si>
  <si>
    <t>nextcloud-android-7029</t>
  </si>
  <si>
    <t>NC app crashed when turning the phone to landscape</t>
  </si>
  <si>
    <t>### Steps to reproduce
1. Open picture
2. Change phone from portrait to landscape
### Expected behaviour
Show picture in landscape
### Actual behaviour
The app crashed
### Environment data
************ CAUSE OF ERROR ************
************ APP INFORMATION ************
Build flavor: gplay
************ DEVICE INFORMATION ************
************ FIRMWARE ************</t>
  </si>
  <si>
    <t>TeamNewPipe-NewPipe-4348</t>
  </si>
  <si>
    <t>Crash when resolution set to best possible on certain vids.</t>
  </si>
  <si>
    <t>User Action: ui error
Request: App crash, UI failure
Content Country: US
Content Language: en-US
App Language: en US
OS: Linux motorola james james:8.0.0 OCP27.91-157-28 2:user release-keys 8.0.0 26
log b&gt;&lt; summary&gt;&lt;p&gt;</t>
  </si>
  <si>
    <t>TeamNewPipe-NewPipe-4346</t>
  </si>
  <si>
    <t>Controls missing in android 11</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</si>
  <si>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Go to video audio
2. Press on press background
3. Swipe down to Once you navigate away swipe down on notification bar and attempt to pause or skip video
&lt;!-- If you can cause the bug to show up again reliably (and hence don have proper set of steps to give us), please still try to give as many details as possible on how you think you encountered the bug. --&gt;
### Expected behavior
&lt;!-- Tell us what you expect to happen. --&gt;
Have the ability to play pause or skip
### Actual behaviour
&lt;!-- Tell us what happens instead. --&gt;
banner with the title of the video but no controls.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</si>
  <si>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Anuken-Mindustry-2761</t>
  </si>
  <si>
    <t>Audio problems when mapping into new sector.</t>
  </si>
  <si>
    <t>Sorry, but this is kinda similar
When moving from sector to sector, the audio (drills, conveyors, duos, etc.) won play unless you go to something like the tech tree and exit.
**Steps to reproduce**: *How you happened across the issue, and what exactly you did to make the bug happen.*
go to different sector. Listen for audio over drills. Go to tech tree. Exit tech tree. Listen again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</si>
  <si>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2020-09-28</t>
  </si>
  <si>
    <t>Anuken-Mindustry-2760</t>
  </si>
  <si>
    <t>Audio not playing when</t>
  </si>
  <si>
    <t>**Steps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</si>
  <si>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Anuken-Mindustry-2759</t>
  </si>
  <si>
    <t>IllegalArgument Crash when launching into a new sector in campaign</t>
  </si>
  <si>
    <t>**Note**: Do not report any new bugs directly relating to the v6 campaign. They will not be fixed or considered at this time.
This issue will most likely be closed almost immediately because of the above note...
**Steps to reproduce**: Launching to an unexplored sector caused this crash.
**Link(s) to mod(s) used**: No mods enabled
**Crash report**: crash-report-09 28 2020 17 22 25.txt (https: github.com Anuken Mindustry files 5295142 crash-report-09 28 2020 17 22 25.txt)
*Place an (no spaces) between the brackets to confirm that you have read the line below.*
**I have searched the closed and open issues to make sure that this problem has not already been reported.**</t>
  </si>
  <si>
    <t>Anuken-Mindustry-2758</t>
  </si>
  <si>
    <t>green bars</t>
  </si>
  <si>
    <t>**Steps to reproduce**: followed the steps to make me able to play v6 on steam.. upon starting it happens.. closed and re-opened but it happened again
**Link(s) to mod(s) used**: no mods used
**Save file**: don really have save file if it happened immediately
**Crash report**: no crashes whatsoever
*Place an (no spaces) between the brackets to confirm that you have read the line below.*
**I have searched the closed and open issues to make sure that this problem has not already been reported.**</t>
  </si>
  <si>
    <t>Abir-Tx-XWriter-5</t>
  </si>
  <si>
    <t>App crashes when string values are passed into the counter/submit section</t>
  </si>
  <si>
    <t>Make this text edit section only int acceptable.</t>
  </si>
  <si>
    <t>Anuken-Mindustry-2755</t>
  </si>
  <si>
    <t>Ground support unit glitches</t>
  </si>
  <si>
    <t>Linux, may happen on other
When Nova (May happen on other units.) is controlled, flies on to solid block, and gets stopped being controlled, it plays the land and take off animation until it is controlled and moved somewhere else.
**Steps to reproduce**: *How you happened across the issue, and what exactly you did to make the bug happen.*
Control Nova (or any ground support unit) and fly on to solid block. Then respawn in the core and the animation will play.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</si>
  <si>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Anuken-Mindustry-2753</t>
  </si>
  <si>
    <t>unit graphical glitch</t>
  </si>
  <si>
    <t>**Steps to reproduce**: *Have ground unit that can fly fly over dark terrain. Then kill the unit while it is above the dark terrain. It should linger in that position while displaying the death animation.*
**Link(s) to mod(s) used**: *N A*
**Save file**: *N A, it was done on multiplayer map*
**Crash report**: *N A, game didnt crash*
*Place an (no spaces) between the brackets to confirm that you have read the line below.*
**I have searched the closed and open issues to make sure that this problem has not already been reported.**</t>
  </si>
  <si>
    <t>hzi-braunschweig-SORMAS-Project-3001</t>
  </si>
  <si>
    <t>Replace createTable scripts in DatabaseHelper onUpgrade with proper table definitions</t>
  </si>
  <si>
    <t>If you ve never submitted an issue to the SORMAS repository before or this is your first time using this template, please read the Contributing guidelines (accessible in the right sidebar) for an explanation about the information we like you to provide.
### Bug Description
Updating the mobile app to latest available test version crashes the app.
### Steps to Reproduce
1. Make sure the device has version 49.0 snapshot of Sormas under Server (https: and logged in user (SurvOff)
2. Open the mobile app and see that the new version is offered and available to download.
3. Click on download and install the version.
4. After the installation is complete, try launching the Sormas app
### Expected Behavior
The new version of Sormas should be accessible after updating and should not crash.
App crash after updatng to Version 50 snapshot (https: 62763628
### System Details
Device: Samsung 10
SORMAS version: update from 49.0 to 50.0 snapshot
Android version Browser: 10
Server URL: https:
User Role: SurvOff
### Additional Information
adb logs attached.</t>
  </si>
  <si>
    <t>grimWaffles-foodpandaClone-1</t>
  </si>
  <si>
    <t>Discount module crashing</t>
  </si>
  <si>
    <t>Restaurant list fetched from local db takes too much time causing crashes, best to have 3-5 second delays after each operation.</t>
  </si>
  <si>
    <t>libgdx-gdx-pay-230</t>
  </si>
  <si>
    <t>gdx-pay iOS crashes on iOS &lt; 11.2</t>
  </si>
  <si>
    <t>Please ensure you have given all the following requested information in your report.
Firebase reported crash with following message:
Unrecognized selector: introductoryPrice
The API used here is only available in iOS 11.2 and later. To avoid this crash on devices with older OS versions you must check the current version before calling it. See the second resource below for examples of how to do this.
#### Issue details, reproduction steps code
Please provide the details of your issue
#### Version of gdx-pay and or relevant dependencies
#### Please select the affected platforms and payment service implementation</t>
  </si>
  <si>
    <t>Anuken-Mindustry-2752</t>
  </si>
  <si>
    <t>When placing a launchpad or large launchpad on a non campaign map in the editor and opining its gui it crashes the game.</t>
  </si>
  <si>
    <t>When placing launchpad on non campaign map in the editor and opining its gui it crashes the game.
1. Go into the editor
2. place down launchpad or large launchpad and save the map.
3. Go into the map and try to open the launchpad gui.
*Place an (no spaces) between the brackets to confirm that you have read the line below.*
**I have searched the closed and open issues to make sure that this problem has not already been reported.**</t>
  </si>
  <si>
    <t>2020-09-27</t>
  </si>
  <si>
    <t>commons-app-apps-android-commons-3941</t>
  </si>
  <si>
    <t>Unable to report crash using ACRA</t>
  </si>
  <si>
    <t>using version 2.13.1.793 66f6e2e of the app on Samsung SM-J111F running Android 5.1.1. When face crash when using the app, the ACRA pop-up shows up but when enter description and hit Submit the e-mail client doesn seem to be opening up like it should. As consequence unable to report crashes using the ACRA window. Note that use K-9 mail as my e-mail client and *do not* have Gmail installed on my device. Let me know if more information is needed.</t>
  </si>
  <si>
    <t>Anuken-Mindustry-2751</t>
  </si>
  <si>
    <t>Strange behavior with repair drones</t>
  </si>
  <si>
    <t>**Steps to reproduce**: *Hard to reproduce set up custom sandbox game with default wave set up. Set up repair drones and fend off waves. It may occur after wave 30, but no guarantees.*
**Link(s) to mod(s) used**: *Not applicable.*
**Save file**: *Do not know how to locate. One was deleted.*
**Crash report**: *I quit before it could crash.*
*Place an (no spaces) between the brackets to confirm that you have read the line below.*
**I have searched the closed and open issues to make sure that this problem has not already been reported.**</t>
  </si>
  <si>
    <t>nextcloud-android-7020</t>
  </si>
  <si>
    <t>Nextcloud App crashes everytime one confirms a login</t>
  </si>
  <si>
    <t>### Steps to reproduce
1. Login via the web interface with two factor authentication enabled. Nextcloud app notification as second factor.
2. Open the Nextcloud App and switch to notifications
3. Accept the login
### Expected behaviour
The login on the web interface continues (it does) without the Nextcloud app crashing.
### Actual behaviour
The Nextcloud app crashes everytime
### Environment data
Android version: 11 but happened on 10 as well
Device model: Pixel 3a
Stock or customized system: stock
Nextcloud app version: latest
Nextcloud server version: 19.0.3
#### Nextcloud app log
************ CAUSE OF ERROR ************
************ APP INFORMATION ************
Build flavor: gplay
************ DEVICE INFORMATION ************
************ FIRMWARE ************</t>
  </si>
  <si>
    <t>patzly-grocy-android-118</t>
  </si>
  <si>
    <t>App crashes on barcode scanner and settings page opening</t>
  </si>
  <si>
    <t>After adding lot of products into stock the app started crashing just after scanner and settings opening.
already sent the logs via android bug reporting.
The app version is 1.8.7
Samsung Galaxy J7</t>
  </si>
  <si>
    <t>deltachat-deltachat-android-1639</t>
  </si>
  <si>
    <t>Crash on contacts permission problem</t>
  </si>
  <si>
    <t>Operating System (Linux Mac Windows iOS Android):Android device OnePlus A0001 (bacon) android 10 lineage bacon-userdebug 10 QQ3A. 200805.001 431caa5ea7 sdk 29
Delta Chat Version: 1.12.5-gplay
Expected behavior: Allows creating new chat after pressing the new-chat button in the bottom right (+ in round circle)
Actual behavior: hard crash of deltachat right after pressing the button.
Steps to reproduce the problem: attempt to start new chat
Logs: adb logcat:
It seems like the app is denied contacts permissions from that exception. Which can confirm, going to device settings and looking up the app permissions it has the contacts listed as Denied Never accessed not sure if ever denied contact access or not. But two things would be nice:
work just fine without having access to the contacts
prompt me again for access, or if you know already denied once, have button in contact list to allow me to ask for access to device contacts again.
Most interestingly, can not fix this by changing the App permissions from the device settings. Setting contacts to Allow there just flips it back to Deny logcat does not show anything useful when doing this:
It is likely this last part is an OS bug for my device guess?</t>
  </si>
  <si>
    <t>nextcloud-android-7018</t>
  </si>
  <si>
    <t>Crashing after first login</t>
  </si>
  <si>
    <t>### Steps to reproduce
1. Started nextcloud on work profile with VPN
2. logo in succesfully
3. After log in nextcloud crash
### Expected behaviour
able to use files
### Actual behaviour
everytime when trying to log in nextcloud crash
### Can you reproduce this problem on https: try.nextcloud.com?
Please create test demo account and see if this still happens there.
If yes, please open up bug report
If not, please verify server setup and ask for help on forum
************ CAUSE OF ERROR ********
************ APP INFORMATION ************
Build flavor: gplay
************ DEVICE INFORMATION ************
************ FIRMWARE ************</t>
  </si>
  <si>
    <t>TeamNewPipe-NewPipe-4325</t>
  </si>
  <si>
    <t>When going to channel of Jesse Eats an error happens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</si>
  <si>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the channel page of Jesse Eats
&lt;!-- If you can cause the bug to show up again reliably (and hence don have proper set of steps to give us), please still try to give as many details as possible on how you think you encountered the bug. --&gt;
### Expected behavior
&lt;!-- Tell us what you expect to happen. --&gt;
An error shouldn happen
### Actual behaviour
&lt;!-- Tell us what happens instead. --&gt;
An error happens, everything seems to work fine though.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channel
Request: https: www.youtube.com channel UCxc pNB1B8pQ94R0AiG0ypA</t>
  </si>
  <si>
    <t>2020-09-26</t>
  </si>
  <si>
    <t>ThatCraws-MrX-3</t>
  </si>
  <si>
    <t>Inventory crashes App on startup</t>
  </si>
  <si>
    <t>Still got problems with the inventory... The god damn inventory.
When the inventory gets loaded initially the game pretty inconsistently crashes...
Thought it might be because calling 0) when there were no items at all, but it crashes at the 8) part. was able to eliminate the possibility that the range removed-call might mess up the indeces IDs, but even without it, it will crash.</t>
  </si>
  <si>
    <t>2020-09-25</t>
  </si>
  <si>
    <t>deltachat-deltachat-android-1633</t>
  </si>
  <si>
    <t>crash in 'show all locations'</t>
  </si>
  <si>
    <t>reported in testing group:
did anyone noticed that when you open the menu from the chat list, select
to show all locations, the app crashes
after some seconds</t>
  </si>
  <si>
    <t>getodk-collect-4119</t>
  </si>
  <si>
    <t>Crash on RuntimeException when adding repeat</t>
  </si>
  <si>
    <t>#### Software and hardware versions
#### Problem description
If form has reference to value inside of repeat that is not qualified (doesn specify specific repeat instance) and is used in context where single node is expected, there hard crash.
#### Steps to reproduce the problem
1. Load form such as (https: github.com getodk collect files 5280566
1. Add first repeat instance
1. Attempt to add second repeat instance and experience crash
#### Expected behavior
The user should see the text from the RuntimeException and the form should close
#### Additional information
Validate should catch these kinds of issues so it likely these forms aren being built with XLSForm or converted with pyxform-based tools.</t>
  </si>
  <si>
    <t>Anuken-Mindustry-2721</t>
  </si>
  <si>
    <t>Campaign Sector "Serpulo" Immediately Captured After Second Player Joins</t>
  </si>
  <si>
    <t>**Steps to reproduce**: *My friend hosted server, and was playing normally the issue happened immediately after joined. already captured Ground Zero, but my friend hadn t. Update: did this again with my friend in frozen forest and this didn happen*
**Link(s) to mod(s) used**: *No mods.*
**Save file**: *The save file you were playing on when the bug happened, if applicable.*
**Crash report**: *The contents of relevant crash report files. REQUIRED if you are reporting crash.* No crashes.
*Place an (no spaces) between the brackets to confirm that you have read the line below.*
**I have searched the closed and open issues to make sure that this problem has not already been reported.**</t>
  </si>
  <si>
    <t>Anuken-Mindustry-2717</t>
  </si>
  <si>
    <t>Ingame Map Editor has units running around</t>
  </si>
  <si>
    <t>Bleeding Edge Build 9850
The issue is that was in ingame map editor and the factories began activating (which means they mustve been inputted too by the item sources put). After while, some Zeniths began to spawn and they began trying to kill me and my build, switched to their team and they stopped but kept destroying the build.
**Steps to reproduce**: *How you happened across the issue, and what exactly you did to make the bug happen.*
**Link(s) to mod(s) used**: *The mod repositories or zip files that are related to the issue, if applicable.*
dident use any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</si>
  <si>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2020-09-24</t>
  </si>
  <si>
    <t>Anuken-Mindustry-2709</t>
  </si>
  <si>
    <t>Servers showing up twice in servers list</t>
  </si>
  <si>
    <t>**Steps to reproduce**:
1. Open community servers list
2. Turn off the phone
3. Turn on the phone
**Link(s) to mod(s) used**: no mods used
**Save file**: ---
**Crash report**: not crash
Screenshot 20200924 193502 io anuke mindustry (https: 68436279
*Place an (no spaces) between the brackets to confirm that you have read the line below.*
**I have searched the closed and open issues to make sure that this problem has not already been reported.**</t>
  </si>
  <si>
    <t>Anuken-Mindustry-2706</t>
  </si>
  <si>
    <t>Game crashes when clearing game data</t>
  </si>
  <si>
    <t>**Steps to reproduce**:
1. Launch Mindustry BE 9937
2. Navigate to Settings -&gt; Game Data -&gt; Clear Game Data...
3. Press OK.
**Crash report**: crash-report-09 24 2020 18 55 38.txt (https: github.com Anuken Mindustry files 5277504 crash-report-09 24 2020 18 55 38.txt)
*Place an (no spaces) between the brackets to confirm that you have read the line below.*
**I have searched the closed and open issues to make sure that this problem has not already been reported.**</t>
  </si>
  <si>
    <t>Anuken-Mindustry-2703</t>
  </si>
  <si>
    <t>tier 4/5 support ground not in tech tree for campaign</t>
  </si>
  <si>
    <t>the tier and tier units coming after quasar are not on the tech tree
**Steps to reproduce**: *How you happened across the issue, and what exactly you did to make the bug happen.*
(i used ite sourced to unlock everything) after unlocking the exponetial reconstructer no unit appears after the quasar
**Link(s) to mod(s) used**: *The mod repositories or zip files that are related to the issue, if applicable.*
**Save file**: *The save file you were playing on when the bug happened, if applicable.*
link to github repositry with campaign save game (https: github.com walksanatora minsave)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</si>
  <si>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Anuken-Mindustry-2700</t>
  </si>
  <si>
    <t>The "Core is under attack!" warning draws over the displayed core resources.</t>
  </si>
  <si>
    <t>Linux, may happen on other
The Core is under attack! warning draws over the displayed core resources.
**Steps to reproduce**: *How you happened across the issue, and what exactly you did to make the bug happen.*
Enable Display Core resources and let enemy units attack the core.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</si>
  <si>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MozillaReality-FirefoxReality-3890</t>
  </si>
  <si>
    <t>[WaveVR] TargetSdkVersion issue in FxR</t>
  </si>
  <si>
    <t>&lt;!--- State the version number and build ID affected. --&gt;
&lt;!--- The build ID is obtained by clicking on the build date in settings. --&gt;
Firefox Reality version: 12
Firefox Reality build ID: f10805c1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Launch FxR on Android 10 headset
2. Meet crash symptom
## Current Behavior
&lt;!--- If describing bug, tell us what happens instead of the expected behavior. --&gt;
&lt;!--- If suggesting change improvement, explain the difference from current behavior. --&gt;
Cannot launch FxR and meet crash symptom due to shared memory creation policy is changed on Android 10.
## Expected Behavior
&lt;!--- If you re describing bug, tell us what should happen. --&gt;
&lt;!--- If you re suggesting change improvement, tell us how it should work. --&gt;
Can launch FxR successfully without crash symptom.
## Possible Solution</t>
  </si>
  <si>
    <t>Anuken-Mindustry-2695</t>
  </si>
  <si>
    <t>Force close at sector 173</t>
  </si>
  <si>
    <t>**Steps to reproduce**: Just launch it
**Crash report**: Force close, no crash
*Place an (no spaces) between the brackets to confirm that you have read the line below.*
**I have searched the closed and open issues to make sure that this problem has not already been reported.**</t>
  </si>
  <si>
    <t>AlphaWallet-alpha-wallet-android-1616</t>
  </si>
  <si>
    <t>Crash in Key Unlock/BiometricPrompt</t>
  </si>
  <si>
    <t>Not sure what is causing this. Could be that the prompt is missing setup param?
The above is all the data about the crash have. Since it an issue with key usage bumping the priority.</t>
  </si>
  <si>
    <t>Anuken-Mindustry-2690</t>
  </si>
  <si>
    <t>Crash on Sector Time Out</t>
  </si>
  <si>
    <t>**Steps to reproduce**: After the warning of Sector Time Out click Skip
**Link(s) to mod(s) used**: No mods
**Save file**: None
**Crash report**: crash-report-09 23 2020 22 14 37.txt (https: github.com Anuken Mindustry files 5272869 crash-report-09 23 2020 22 14 37.txt)
*Place an (no spaces) between the brackets to confirm that you have read the line below.*
**I have searched the closed and open issues to make sure that this problem has not already been reported.**</t>
  </si>
  <si>
    <t>Anuken-Mindustry-2689</t>
  </si>
  <si>
    <t>Crawler leg glitch</t>
  </si>
  <si>
    <t>**Crash report**: *There was no crash*
Screenshot from 2020-09-20 13-00-52 (https: 71792358
*Place an (no spaces) between the brackets to confirm that you have read the line below.*
**I have searched the closed and open issues to make sure that this problem has not already been reported.**</t>
  </si>
  <si>
    <t>2020-09-23</t>
  </si>
  <si>
    <t>Anuken-Mindustry-2688</t>
  </si>
  <si>
    <t>Router+Sorter reduces throughput</t>
  </si>
  <si>
    <t>Putting either kind of sorter next to router distributer significantly slows down throughput
**Steps to reproduce**: *How you happened across the issue, and what exactly you did to make the bug happen.*
See gif, or place an item source, conveyor, router, sorter and item void and look at the routers throughput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</si>
  <si>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Anuken-Mindustry-2682</t>
  </si>
  <si>
    <t>Scatter not accepting ammo</t>
  </si>
  <si>
    <t>Steam build 105
on the very first level ground zero
The scatter just won accept any ammo no matter how you try to input it
ve tried using lead scrap
Putting ammo in directly via placing them next to mines
putting ammo in through conveyor directly by just ending the conveyor into it
putting ammo in through any sorta router gates.
taking ammo directly from the ship and trying to place it into the scatter it works with other turrets but the scatter is not selectable.
it is not important since it not needed but it is broken.
**Steps to reproduce**: *How you happened across the issue, and what exactly you did to make the bug happen.*
idk just completed the regular game up to wave like 400+ on nuclear complex then opted into the beta.
then just played through the first level.
**Link(s) to mod(s) used**: *The mod repositories or zip files that are related to the issue, if applicable.*
this is the only mod that changes files but it says its not compatable removed it and it still not accepting ammo.
Real life mod https: steamcommunity.com sharedfiles filedetails ?id 1993262831 Not installed anymore
the rest of the workshop stuff is just schematics can list them as well if needed.
**Save file**: *The save file you were playing on when the bug happened, if applicable.*
hope this is it it is the latest save loaded to check and see if removing that mod was the cause.
**Crash report**: *The contents of relevant crash report files. REQUIRED if you are reporting crash.*
*Place an (no spaces) between the brackets to confirm that you have read the line below.*</t>
  </si>
  <si>
    <t>Anuken-Mindustry-2681</t>
  </si>
  <si>
    <t>Savegame corrupting certain sectors</t>
  </si>
  <si>
    <t>**Steps to reproduce**: *Before going down to sector, all stats are there, but when hit resume and beam down, it says save game corrupt and map and sector stats resets. Tried 9981 through 90 and 9998. Nothing works.
**Link(s) to mod(s) used**: *none,.*
**Save file**: *The save file you were playing on when the bug happened, if applicable.*
**Crash report**: *The contents of relevant crash report files. REQUIRED if you are reporting crash.*
*Place an (X) between the brackets to confirm that you have read the line below.*
**I have searched the closed and open issues to make sure that this problem has not already been reported.**</t>
  </si>
  <si>
    <t>borconi-WifiLauncherforHUR-5</t>
  </si>
  <si>
    <t>MIUI 12 Wi-Fi Control Special App Access crashing loop on startup</t>
  </si>
  <si>
    <t>MIUI has an issue on his end and it crashing when we are adding Wi-Fi Suggestions in Android 10 and up if Wi-Fi Control Special App Access is not granted.
Add screen just for MIUI users to guide users to grant manually Wi-Fi Control Special App Access before trying to add Wi-Fi Suggestion
In addition we should research if we could check if Wi-Fi Control Special App Access is granted, to display this screen for non-MIUI users too (if user dismissed it or deny access by mistake). This access must be granted in all cases.
Grant Wi-Fi control Special App Access permissions before start it for the first time
Xiaomi MIUI 12
(We don know if others MIUI versions are affected too)</t>
  </si>
  <si>
    <t>Anuken-Mindustry-2680</t>
  </si>
  <si>
    <t>Game crash while joining server</t>
  </si>
  <si>
    <t>**Steps to reproduce**: It happend while joining my firend private server.
**Link(s) to mod(s)**:Map BoxFort https: steamcommunity.com sharedfiles filedetails ?id box
*Place an (no spaces) between the brackets to confirm that you have read the line below.*
**I have searched the closed and open issues to make sure that this problem has not already been reported.**</t>
  </si>
  <si>
    <t>google-ExoPlayer-7977</t>
  </si>
  <si>
    <t>The ongoing parameter of onNotificationPosted does not indicate to put the service in foreground</t>
  </si>
  <si>
    <t>suspect that is not posted because the phone app notification during the call is in place and thus, Exoplayer cannot post its notfication. Thus, is not called. Could that be the reason? If yes, where else would be an appropriate place to make call to startForeground and stopForeground if not in
**** EDIT END ****
am streaming mp3s using Exoplayer have an AudioPlayerService which is started via The service creates the player instance and registers the notfications like this:
public void notificationId, boolean dismissedByUser)
It seems the system killed the service
public void notificationId, Notification notification, boolean ongoing)
Now, this is the problem: When the user starts an mp3 **during phone call**, is called as expected but is never called (I verified this in the debugger). As result, stopForeground is not called which leads to the crash did not then call
Steps to reproduce:
1) Start phone call.
2) Start an mp3 within service using
Of course, the scenario is hypothetical because nobody will start an mp3 during phone call. However, this could happen accidentally and the app is not supposed to crash.
Do have to check in my app if there is phone call going on and if yes not call Or what am supposed to do to catch this error?
Please note that wihtout an active phone call, everything works as expected.
Here is my Logcat containing the crash (during phone call):
--------- beginning of main
--------- beginning of crash</t>
  </si>
  <si>
    <t>nextcloud-android-6998</t>
  </si>
  <si>
    <t>NC client crashing on sync</t>
  </si>
  <si>
    <t>### Steps to reproduce
1. Set up NC client
3. Device Credentials Backup screen shows few times, then crash report shows.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CAUSE OF ERROR ************
Caused by: Caller no longer running, last stopped +45s672ms because: timed out while starting
************ APP INFORMATION ************
Build flavor: generic
************ DEVICE INFORMATION ************
************ FIRMWARE ************</t>
  </si>
  <si>
    <t>Anuken-Mindustry-2676</t>
  </si>
  <si>
    <t>Private server crash (steam)</t>
  </si>
  <si>
    <t>**Steps to reproduce**: *How you happened across the issue, and what exactly you did to make the bug happen.*
I. My lobby
1) started PvP match, hosting the private server for people.
2) Invited friend to join the lobby.
3) Friend told me that his game crashed. Fortunately he gave me his crash report. (no. 1)
II. Friend lobby
Then the friend tried to host PvP match in an another map, but same issue had happened for me (my client crashed). See steps above. (crash no. 2)
**Link(s) to mod(s) used**: *The mod repositories or zip files that are related to the issue, if applicable.* None
**Save file**: *The save file you were playing on when the bug happened, if applicable.* It probably useless to send saves as PvP match is always paused when there only player.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</si>
  <si>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material-components-material-components-android-1748</t>
  </si>
  <si>
    <t xml:space="preserve">[TextInputLayout] Loading state solution using END_ICON_CUSTOM and END_ICON_CLEAR_TEXT crashes app  </t>
  </si>
  <si>
    <t>Setting custom loading state to TextInputLayout using guide described here (https: stackoverflow.com 57661169 13088785) causes unexpected crash of the application on most versions of the library.
Text is entered
Text is sent to ViewModel
ViewModel updates search state to Loading
Activity reacts to search state and calls showLoading()
Progress drawable is shown in endIconDrawable
ViewModel completes search processing and updates Search state to Success
Activity reacts to Search-state and calls hideLoading()
Default -drawable is shown in endIconDrawable
Sample app: https: github.com vpuonti TextInputLayoutBug
private fun showLoading()
TextInputLayout.END ICON CUSTOM
private fun hideLoading()
TextInputLayout.END ICON CLEAR TEXT
**Android API version:**
Android 10 API 29.
**Material Library version:**
Used version in repro-app: 1.2.1
Also tested on other versions:
Version Working as expected</t>
  </si>
  <si>
    <t>masavoyat-MicStream-7</t>
  </si>
  <si>
    <t xml:space="preserve">Shutdown immediately on Android 10 </t>
  </si>
  <si>
    <t>Dear Madam Sir,
have tried to implement this solution on Android 10 device.
However, while the app is initiated, it unexpectedly quits (crashes).
Any suggestions would be highly appreciated.</t>
  </si>
  <si>
    <t>Anuken-Mindustry-2674</t>
  </si>
  <si>
    <t>Factory blocks have low health on campaign maps</t>
  </si>
  <si>
    <t>**Steps to reproduce**: Land in Fungal pass, since it the first sector to have this bug. See the graphite press under the core. It will have around of normal HP. Same for enemy presses, kilns and probably other things.
**Link(s) to mod(s) used**: No mods
**Save file**: Any campaign
**Crash report**: Not crash
*Place an (no spaces) between the brackets to confirm that you have read the line below.*
**I have searched the closed and open issues to make sure that this problem has not already been reported.**</t>
  </si>
  <si>
    <t>salesforce-reactive-grpc-226</t>
  </si>
  <si>
    <t>Dependency conflicts on io.netty:netty-common, leading to inconsistent program behaviors</t>
  </si>
  <si>
    <t>Hi, in **reactive-grpc common there are mulptiple versions of library However, according to Maven dependency management strategy: ** first declaration wins **, only can be loaded, and will be shadowed.
**In total, there are conflicting API pairs between these two library version.**
As shown in the following figure, your project expects to invoke method ** refCnt()I&gt; ** in library (along the original dependency path ). As it has been shadowed, this method defined in ** ** is actually forced to be referenced via the following invocation path (along the actual dependency path ):
Although both of these conflicting libraries contain the referenced methods (** with the same signature **), they have ** different implementations **. This issue will not cause runtime crashes, but it can introduce inconsistent semantic program hehaviors----
Code snippet of ** refCnt()I&gt; ** in (shadowed but expected to invoke method):
method body&lt; summary&gt;
public int refCnt()
public final int refCnt(T instance)
private static int realRefCnt(int rawCnt)
return rawCnt &amp;&amp; rawCnt &amp;&amp; (rawCnt 1) rawCnt &gt;&gt;&gt;
Code snippet of ** refCnt()I&gt; ** in (loaded version):
method body&lt; summary&gt;
public int refCnt()
private static int realRefCnt(int rawCnt)
return (rawCnt 1) rawCnt &gt;&gt;&gt;
**The detailed informantion of the remaining conflicting API pairs can be found in the following attachment.**
conflicting API pairs in project (https: github.com salesforce reactive-grpc files 5428306
## **Dependency tree--**
INFO omitted for duplicate)
INFO omitted for duplicate)</t>
  </si>
  <si>
    <t>goldhelixus-clint_board-13</t>
  </si>
  <si>
    <t>Pause Button Crash</t>
  </si>
  <si>
    <t>Pause Button crashes the app if not sounds are played before the button is pressed. It only crashes if the app opens and is not suspended.
Crash most likely due to an error with no mounted MediaPlayer when clint sound.stop() is called from the stopSound function call.</t>
  </si>
  <si>
    <t>Anuken-Mindustry-2672</t>
  </si>
  <si>
    <t>Pathfinding doesn't consider slag as dangerous liquid</t>
  </si>
  <si>
    <t>Pathfinding doesn consider slag as dangerous liquid despite its burning killing the naval units in mere second
**Steps to reproduce**:
make attack map with many liquid
make naval factory
wait until its start using slag as path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</si>
  <si>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Anuken-Mindustry-2667</t>
  </si>
  <si>
    <t>Bricked multiplayer server Via Mega unit</t>
  </si>
  <si>
    <t>Whatever this jumbled mess is. Was on the ECAN pvp server running the BE builds. made mega and then tried to pickup T2 spider (im sorry dont know its name) that was currently standing ontop of walls. The server had to be manually gameovered. once gameover occured the server was fine.
My teammate and were both controlling the spider every so often to move it into better position to break scrap walls, with command center on idle. picked it up intending to upgrade it.
**Steps to reproduce**: *How you happened across the issue, and what exactly you did to make the bug happen.*
Be on multiplayer server. unsure if local game will do the same thing, make Mega, and make T2 spider, pickup the spider when it is ontop of an opponents teams walls.
why do keep finding bugs with mega?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</si>
  <si>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nextcloud-android-6993</t>
  </si>
  <si>
    <t>App crashing on splash</t>
  </si>
  <si>
    <t>### Steps to reproduce
1. Download the app from play store
2. Open it
3. Crashes on splash
### Expected behaviour
Open activity after splash
### Actual behaviour
Crashes on splash activity
************ CAUSE OF ERROR ************
Caused by: uid 10670 cannot get user data for accounts of type: nextcloud
... 11 more
************ APP INFORMATION ************
Build flavor: gplay
************ DEVICE INFORMATION ************
************ FIRMWARE ************</t>
  </si>
  <si>
    <t>2020-09-22</t>
  </si>
  <si>
    <t>Anuken-Mindustry-2663</t>
  </si>
  <si>
    <t>build: 9871</t>
  </si>
  <si>
    <t>**Steps to reproduce**: *How you happened across the issue, and what exactly you did to make the bug happen.*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</si>
  <si>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Anuken-Mindustry-2662</t>
  </si>
  <si>
    <t>You can delete enemy walls by "upgrading" them</t>
  </si>
  <si>
    <t>revoking the wall access to existence (https: 56274831
As seen in this gif, you can use large walls to delete small enemy walls of any type.
**Steps to reproduce**: Create map with enemy walls, then place large walls over them. Not all placements work.
**Link(s) to mod(s) used**: none
**Save file**: any save with enemy walls
**Crash report**: no crashes
*Place an (no spaces) between the brackets to confirm that you have read the line below.*
**I have searched the closed and open issues to make sure that this problem has not already been reported.**</t>
  </si>
  <si>
    <t>Anuken-Mindustry-2661</t>
  </si>
  <si>
    <t>Mega AI Lags</t>
  </si>
  <si>
    <t>Steam Build 105
Whenever the Mega is present and not controlled by player in multiplayer, the game starts to lag. The player gets teleported back and forth, and it becomes laggy mess.
**Steps to reproduce**: *How you happened across the issue, and what exactly you did to make the bug happen.*
Just build Mega in multiplayer. It that easy.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</si>
  <si>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Anuken-Mindustry-2659</t>
  </si>
  <si>
    <t>Multiplayer crashing me and my friends game</t>
  </si>
  <si>
    <t>**Steps to reproduce**: *Get steam invite from friend then join then crash.*
**Crash report**: crash-report-09 21 2020 15 05 27.txt (https: github.com Anuken Mindustry files 5262444 crash-report-09 21 2020 15 05 27.txt)*
*Place an (no spaces) between the brackets to confirm that you have read the line below.*
**I have searched the closed and open issues to make sure that this problem has not already been reported.**</t>
  </si>
  <si>
    <t>Anuken-Mindustry-2657</t>
  </si>
  <si>
    <t>Buggy audio</t>
  </si>
  <si>
    <t>105, may happen in older
Mindustry didn switch to the right audio device, and it took bunch of terminal commands to make it work
**Steps to reproduce**: *How you happened across the issue, and what exactly you did to make the bug happen.*
Launched Mindustry on Linux with multiple audio devices and it chose the wrong one.
**Link(s) to mod(s) used**: *The mod repositories or zip files that are related to the issue, if applicable.*
Program issue, no mods
**Save file**: *The save file you were playing on when the bug happened, if applicable.*
Program issue, no save file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</si>
  <si>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Anuken-Mindustry-2656</t>
  </si>
  <si>
    <t>Mega AI</t>
  </si>
  <si>
    <t>Seen on Linux, don know if it could happen on another platform, but suspect it will.
Alpha build 105
If you build Mega on an online server, (I think) It AI bugs out and lags the server
**Steps to reproduce**: *How you happened across the issue, and what exactly you did to make the bug happen.*
Build Mega in an online server. The more Megas, the worse the lag.
**Link(s) to mod(s) used**: *The mod repositories or zip files that are related to the issue, if applicable.*
**Save file**: *The save file you were playing on when the bug happened, if applicable.*
Online server, no save file.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</si>
  <si>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Anuken-Mindustry-2654</t>
  </si>
  <si>
    <t>Super fast bulets</t>
  </si>
  <si>
    <t>**Steps to reproduce**: Get an alpha ship. Stop completly. Accelerate in any direction. Once you get top speed, start shooting in the same direction you go. It might not work every time though, it takes few attempts. The speedy shot at the picture is fired *before* the lower range shots.
**Link(s) to mod(s) used**: No mods
**Save file**: Any file
**Crash report**: Not crash
*Place an (no spaces) between the brackets to confirm that you have read the line below.*
**I have searched the closed and open issues to make sure that this problem has not already been reported.**</t>
  </si>
  <si>
    <t>nextcloud-android-6988</t>
  </si>
  <si>
    <t>Fails to show contents of directory with ca. 120  PDF files</t>
  </si>
  <si>
    <t>am facing an issue with large folder of PDF files which currently has ca. 120 files. The app does not crash but it does not proceed beyond the Loading... message. can go to another part of the app without issues (I.e. app is not frozen) and dismiss the Loading... notification. It is however not possible to view the contents of the folder.
This does not happen with the Nextcloud web app for Firefox on Android.
### Steps to reproduce
1. Create directory on Nextcloud and put approximately 120 PDF files in it (without any sub-directories)
2. Navigate to this directory on an Android device (galaxy tab s5e in my case) using the Nextcloud for Android app
### Expected behaviour
The Nextcloud for Android app should have displayed listing of the 120 odd PDF files in the directory
### Actual behaviour
The app does not proceed beyond the Loading ... notification
The app does not crash or freeze however. User can go back, view other files, do other stuff, but the particular directory with the PDFs does not show the file list
### Can you reproduce this problem on https: try.nextcloud.com?
No, this problem does not occur on try.nextcloud.com
The problem also does not occur on the web app for my account (using Firefox for Android)
If not, please verify server setup and ask for help on forum &lt;- don know how to do this
### Environment data
Android version: 10
Device model: Samsung Galaxy Tab S5E
Stock or customized system: Stock
Nextcloud app version: 3.13.1
Nextcloud server version: don know how to view this</t>
  </si>
  <si>
    <t>Anuken-Mindustry-2651</t>
  </si>
  <si>
    <t>Game crash when T5 ground support fires lazer at T5 air support and lazer hits a plast wall.</t>
  </si>
  <si>
    <t>**Steps to reproduce**: *Shoot T5 ground lazer to T5 air support and hit both projector and plast wall at the same time.*
**Link(s) to mod(s) used**: *No mod used.*
**Save file**: *On server, we didnt save.*
*Place an (no spaces) between the brackets to confirm that you have read the line below.*
**I have searched the closed and open issues to make sure that this problem has not already been reported.**</t>
  </si>
  <si>
    <t>TeamNewPipe-NewPipe-4307</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</si>
  <si>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stream
Request: https: www.youtube.com watch?v gFYAXsa7pe8</t>
  </si>
  <si>
    <t>nextcloud-android-6986</t>
  </si>
  <si>
    <t>************ CAUSE OF ERROR ************
************ APP INFORMATION ************
Build flavor: gplay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</si>
  <si>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aws-amplify-amplify-android-851</t>
  </si>
  <si>
    <t>Amplify.Auth.currentUser sporadically returns null after successful sign in</t>
  </si>
  <si>
    <t>As mentioned in #826 comments, am signing user into Amplify and receiving that the sign in was successful.
then try to fetch the currentUser using Approximately quarter of the time, this fails, even after successful sign in. On failure, it throws the following error:
Caused by: must not be null
Once it fails, the app crashes for few seconds and then resumes with the user logged in.
The rest of the time, the retrieval succeeds.
Previously (and what reported on #826), Auth was failing at retrieving about half the time, and on failure the app permanently crashed, whereas now it resumes after second being down. realized in my Gradle file that was using
was initially using
but now have both updated to 1.3.1.
set up the user pool to take username and password using the Amplify CLI. am not using Lambdas, but have an identity pool set up.
### Surrounding code
Sign in is handled in the following function in LoginActivity
fun String, password: String)
if Sign in succeeded else Sign in not complete
On success, the user is redirected from LoginActivity to MainActivity in the updateUiWithUser() function. Otherwise, the user is notified of login failing.
Here is the Main Activity onCreate:
override fun Bundle?)
Set up AWS AppSync Client
fetching amplify auth session
result -&gt; Log.i(TAG, result.toString())
error -&gt; Log.e(TAG, error.toString())</t>
  </si>
  <si>
    <t>2020-09-21</t>
  </si>
  <si>
    <t>inaturalist-iNaturalistAndroid-910</t>
  </si>
  <si>
    <t>NullPointerException in ObservationViewerActivity.reloadObservation</t>
  </si>
  <si>
    <t>To replicate, go to Explore and and view observation points on the map. Tap on map marker and the app crashes before loading obs detail.
Caused by: Attempt to invoke virtual method java.lang.String on null object reference</t>
  </si>
  <si>
    <t>Anuken-Mindustry-2644</t>
  </si>
  <si>
    <t>Air support units resupply point bug</t>
  </si>
  <si>
    <t>**Steps to reproduce**: *Have map, ammo disbabled, and with resupply points on map placed by editor.
Take unit that picks blocks.
You can take other things before taking point
You drop nothing after pressing button*
**Link(s) to mod(s) used**: *none*
**Save file**: *No need*
**Crash report**: *no crash*
*Place an (no spaces) between the brackets to confirm that you have read the line below.*
**I have searched the closed and open issues to make sure that this problem has not already been reported.**</t>
  </si>
  <si>
    <t>android-tv-samples-37</t>
  </si>
  <si>
    <t>SpeechRecognizer causing crash on SearchSupportFragment</t>
  </si>
  <si>
    <t>For some devices that don have microphones (Vestel 17OPS15, Zappiti 4K HDR etc...), the SpeechRecognizer service is causing my app to crash when using
don have any logic regarding Voice recognition in my own code, the problem is caused by the releaseRecognizer() method called in onPause()
This issue is more or less duplicate (https: github.com googlearchive androidtv-Leanback issues 118) of an issue opened in the old androidtv-leanback repo, wanted to know if any progress has been made regarding this problem, would it be simpler for me to open an issue on the Issuetracker</t>
  </si>
  <si>
    <t>onaio-rdt-standard-524</t>
  </si>
  <si>
    <t>Crash when recording "Sample shipments" - Scan sample barcode</t>
  </si>
  <si>
    <t>Below are the crash logs</t>
  </si>
  <si>
    <t>akvo-akvo-flow-mobile-1717</t>
  </si>
  <si>
    <t>Crash reported by Firebase related to permissions</t>
  </si>
  <si>
    <t>When no permission is granted, the array is empty so we get index out of bounds exception This particular crash in when trying to take picture while not having the permission to access storage granted.
Device model: Samsung Galaxy A10s
App Version 2.9.4.1</t>
  </si>
  <si>
    <t>nextcloud-android-6977</t>
  </si>
  <si>
    <t>First time install and login, crash after login</t>
  </si>
  <si>
    <t>### Steps to reproduce
1. Install app on Pixel Android 10
2. Enter FileRun server and login credentials
3. Allow access
4. Immediate crash
### Expected behaviour
### Actual behaviour
************ CAUSE OF ERROR ************
************ APP INFORMATION ************
Build flavor: gplay
************ DEVICE INFORMATION ************
************ FIRMWARE ************</t>
  </si>
  <si>
    <t>2020-09-20</t>
  </si>
  <si>
    <t>nextcloud-android-6975</t>
  </si>
  <si>
    <t>App crashes when opening</t>
  </si>
  <si>
    <t>### Steps to reproduce
1. Open the app
### Expected behaviour
The app shouldnt completely crash.
### Actual behaviour
App crashes after opening, then displays an error log.
### Environment data
Android version: 10
Device model: Huawei P20 Pro
Stock or customized system: Stock
Nextcloud app version: See logs below
Nextcloud server version: 18.0.2
Reverse proxy: None
************ CAUSE OF ERROR ************
************ APP INFORMATION ************
Build flavor: generic
************ DEVICE INFORMATION ************
************ FIRMWARE ************</t>
  </si>
  <si>
    <t>swapnil1104-PassCodeText-17</t>
  </si>
  <si>
    <t>!mHintText.isEmpty() causes a crash</t>
  </si>
  <si>
    <t>Hi, it is useful widget. but must add android:hint to the xml file, or application will crash.</t>
  </si>
  <si>
    <t>doublesymmetry-react-native-track-player-1033</t>
  </si>
  <si>
    <t>App crash when add new track to queue</t>
  </si>
  <si>
    <t>**Describe the bug**
App crash on Release apk, and only read log by Firebase Crashlystic
on android studio log
App work fine when run with debug mode.
Android 11, sdk 29,</t>
  </si>
  <si>
    <t>Anuken-Mindustry-2625</t>
  </si>
  <si>
    <t>build is something wrong</t>
  </si>
  <si>
    <t>179 (https: 61054554
180 (https: 61054554
there was core-release.jar instead mindustry.jar in folder libs
core-release.jar doesn act as mindustry
**Steps to reproduce**: *little code modified such as adding new button in dialog*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</si>
  <si>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ankidroid-Anki-Android-7168</t>
  </si>
  <si>
    <t>Hard crash on first time init &amp; collection is corrupt</t>
  </si>
  <si>
    <t>delete col table
... 11 more</t>
  </si>
  <si>
    <t>nextcloud-android-6972</t>
  </si>
  <si>
    <t>App crash on syncing a New folder (nullpointer)</t>
  </si>
  <si>
    <t>### Steps to reproduce
1. Open App
2. Try to sync New folder
3. App crash
### Expected behaviour
Folder geht synced
### Actual behaviour
### Can you reproduce this problem on https: try.nextcloud.com?
Please create test demo account and see if this still happens there.
If yes, please open up bug report
If not, please verify server setup and ask for help on forum
### Environment data
Android version: 10
Device model: one plus one bacon
Stock or customized system: lineageos
Nextcloud app version: fdroid dev 20200908
Nextcloud server version: 19
Reverse proxy: nginx
#### Web server error log
Insert your webserver log here</t>
  </si>
  <si>
    <t>2020-09-19</t>
  </si>
  <si>
    <t>Anuken-Mindustry-2620</t>
  </si>
  <si>
    <t>Campaign saves being replaced</t>
  </si>
  <si>
    <t>steam build 105
went into the campaign and my frozen forest progress had been overridden with an editor map was messing around with
**Steps to reproduce**: *How you happened across the issue, and what exactly you did to make the bug happen.*
was in the editor and left the editor opened the campaign and clicked on frozen forest, then noticed that it said frozen forest with icons for copper lead and coal, it didn say amounts of any resource even though had about 20 minutes of progress, when opened the map frozen forest did not appear, that same map had open in the editor opened, when left re-opened the campaign and saw that my progress was straight up gone.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</si>
  <si>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TeamNewPipe-NewPipe-4295</t>
  </si>
  <si>
    <t>NullPointerException at YoutubeStreamExtractor.getPlayerUrl</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</si>
  <si>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Searched for billy joel pressure and submitted to view search results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requested stream
Request: https: www.youtube.com watch?v Iyv905Q2omU</t>
  </si>
  <si>
    <t>Anuken-Mindustry-2619</t>
  </si>
  <si>
    <t>200 enemies at round 3</t>
  </si>
  <si>
    <t>**Steps to reproduce**: *go to campaign, get graphite and hail as fast as you can, skip first round.*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</si>
  <si>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Anuken-Mindustry-2613</t>
  </si>
  <si>
    <t>Multipalayer server crash when someone break a block</t>
  </si>
  <si>
    <t>**Steps to reproduce**: *break block*
**Link(s) to mod(s) used**: *No mods*
**Save file**: *No save*
**Crash report**: log-0.txt (https: github.com Anuken Mindustry files 5249951 log-0.txt)*
*Place an (no spaces) between the brackets to confirm that you have read the line below.*
**I have searched the closed and open issues to make sure that this problem has not already been reported.**</t>
  </si>
  <si>
    <t>Anuken-Mindustry-2606</t>
  </si>
  <si>
    <t>Ships leave water trail on land.</t>
  </si>
  <si>
    <t>**Steps to reproduce**:
open game with water next to land
procrastinate for tier ship
sail it next to land, then sharply turn away from the land.
**Link(s) to mod(s) used**: No mods.
**Save file**: GitHub doesn support .msav file types
**Crash report**: Not crash.
*Place an (no spaces) between the brackets to confirm that you have read the line below.*
**I have searched the closed and open issues to make sure that this problem has not already been reported.**</t>
  </si>
  <si>
    <t>Anuken-Mindustry-2604</t>
  </si>
  <si>
    <t>Bug/Exploit, Arc / Lancer is able to fire without draining power when not connected to any power draining blocks and connected to one solar panel</t>
  </si>
  <si>
    <t>Z6jcaG96mOXloQPP5 +3sZBa1 Hi Y05swJN x7+ f6Kb ub 7DrrqCAe8m hVk y6O+D53ff335qlbe1b x53 9P+YPkgnZl9kv
**Steps to reproduce**: Just put power node with solar panel, processor that controls the turret, and shoot
**Link(s) to mod(s) used**: None
**Crash report**: No crash report
*Place an (no spaces) between the brackets to confirm that you have read the line below.*
**I have searched the closed and open issues to make sure that this problem has not already been reported.**</t>
  </si>
  <si>
    <t>doublesymmetry-react-native-track-player-1031</t>
  </si>
  <si>
    <t>Crash in release</t>
  </si>
  <si>
    <t>**Describe the bug**
Application crashes only occurring in release so not producing any logs other than crash report.
Steps to reproduce the behavior:
Currently we have onLoad() function that runs inside useEffect(). This calls the actions TrackPlayer.reset() and TrackPlayer.add(). struggling to reproduce this in production.
const async ()
const tracks questionTrack
IF there is recording it will play the recording after the question. As if it was the real thing
**Environment (please complete the following information):**
Run react-native info in your project and share the content.
Android SDK: Not Found
Android Studio: 3.6
What version are you using? ^1.2.3
Are you testing on real device or in the simulator? Which OS version are you running?: Crash currently only occurring on real device and occurring on OS: 14.0 and 13.6.1
The below code is the first thing that runs on the page load. see this is where the issue lies.
const async ()
const tracks questionTrack
IF there is recording it will play the recording after the question. As if it was the real thing
Life Lived 0x000000010315492c 1512 (MediaURL.swift:28)
Life Lived 0x0000000103154794 1104 (MediaURL.swift:28)
Life Lived 0x000000010316d65c 668 (Track.swift:38)</t>
  </si>
  <si>
    <t>Anuken-Mindustry-2598</t>
  </si>
  <si>
    <t>[Reupload] Logic displays break at high fps (This time with a save file)</t>
  </si>
  <si>
    <t>Steps to reproduce: have logic display hooked into more than one processor each drawing their own thing (in separate colours) at high fps
Link(s) to mod(s) used:no mods
Save file: mouse that you can move and click along with box that you can drag
Crash report: not crash</t>
  </si>
  <si>
    <t>Anuken-Mindustry-2597</t>
  </si>
  <si>
    <t>Logic displays break at high fps</t>
  </si>
  <si>
    <t>**Steps to reproduce**: have logic display hooked into more than one processor each drawing their own thing (in seperate colours) at high fps
**Link(s) to mod(s) used**:no mods
**Save file**: not necessary
**Crash report**: not crash
*Place an (no spaces) between the brackets to confirm that you have read the line below.*
**I have searched the closed and open issues to make sure that this problem has not already been reported.**</t>
  </si>
  <si>
    <t>2020-09-18</t>
  </si>
  <si>
    <t>Anuken-Mindustry-2593</t>
  </si>
  <si>
    <t>Grass is gray?</t>
  </si>
  <si>
    <t>**Steps to reproduce**: place grass in map or play on map with grass
**Link(s) to mod(s) used**: No mods.
**Save file**: GitHub doesn support msav file types?
**Crash report**: Not crash.
*Place an (no spaces) between the brackets to confirm that you have read the line below.*
**I have searched the closed and open issues to make sure that this problem has not already been reported.**</t>
  </si>
  <si>
    <t>Anuken-Mindustry-2590</t>
  </si>
  <si>
    <t>clearing game data clears tech tree but keeps all other campaign data</t>
  </si>
  <si>
    <t>deleted my game data to try and redo campaign (i did save first) and when entered campaign everything but my tech tree was the same
**Steps to reproduce**: *How you happened across the issue, and what exactly you did to make the bug happen.*
ran the game went into settings clicked on game data clicked save game data and once my data was saved clicked clear game data it exited me out of the game, once came back to play the campaign from scratch entered campaign and saw that all my zones were still there and upon further investigation noticed that the only different thing was my empty tech tree.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</si>
  <si>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mattford-scoutlink-36</t>
  </si>
  <si>
    <t>App crashes when opening a non fullscreen activity in landscape on Android 8</t>
  </si>
  <si>
    <t>Applies to channel list, list edit</t>
  </si>
  <si>
    <t>Anuken-Mindustry-2587</t>
  </si>
  <si>
    <t>Commanded units stop following</t>
  </si>
  <si>
    <t>Another multiplayer bug
If one player is commanding units, and then player picks up one of said commanded units with Mega, after they place the unit down the unit will walk back to the player who commanded originally, however upon reaching said player they no longer walk again until they are uncommand and recommanded to follow. they still turn with the player and shoot when the player does.
**Steps to reproduce**: *How you happened across the issue, and what exactly you did to make the bug happen.*
Have two players. command some ground units with one, have the other player pickup and then place one of the units under command of the first player. The unit will walk to the commander and then never walk again unless the commanding player recommands.
question not related to the bug report, but past. do not understand how BE builds work and if the fixes for the last few bugs reported are currently live in 9783, but the past two bugs previously reported by me still exist. Non red research, and vanishing units.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</si>
  <si>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Anuken-Mindustry-2585</t>
  </si>
  <si>
    <t xml:space="preserve">Items in research menu are not coloured red </t>
  </si>
  <si>
    <t>When half researching items in the tech tree, the icon of said item will only turn red once you are out of ALL resources needed to research it, even if you have used the entire amount of one or more of the resources required.
**Steps to reproduce**: *How you happened across the issue, and what exactly you did to make the bug happen.*
Research an item that has more than one resource required, fully using up one and still having some of it left over, watch the icon fail to turn red even tho you do not have enough resources of the second,third, etc to finish the research.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</si>
  <si>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mgsx-dev-gdx-gltf-27</t>
  </si>
  <si>
    <t>IBL Composer crash when setting unsupported environment map size</t>
  </si>
  <si>
    <t>Steps to reproduce:
run IBL composer
open this HDRI file https: hdrihaven.com hdri ?c night&amp;h blaubeuren night (url) 4k version
set the environment map size to 8k
It could show message that the size is unsupported or even better disable the options to choose those resolutions.
This also happens when setting the irradience map to 8k but not when setting the radience map to 8k.
got no stack trace for it though.
And just to make it little more challenging for you:
The crash won occur with this hdri map https: hdrihaven.com hdri ?c nature&amp;h gamrig (url) in 8k and setting the environment map size to 16k. At least it doesn crash for me.</t>
  </si>
  <si>
    <t>mgsx-dev-gdx-gltf-26</t>
  </si>
  <si>
    <t>Desktop demo crash when enabling outline</t>
  </si>
  <si>
    <t>The stack trace should speak for itself.
But for the sake of completeness, the steps to reproduce:
run the demo jar
optional load model
enable the outline
Demo version: 1.0.0</t>
  </si>
  <si>
    <t>ankidroid-Anki-Android-7135</t>
  </si>
  <si>
    <t>Massive number of 2.13 crashes (Android 4.4)</t>
  </si>
  <si>
    <t>**If you were linked here on Google Play, please comment to help us fix this**
Nothing in ACRA
*** *** *** *** *** *** *** *** *** *** *** *** *** *** *** ***
#00 pc 000000000018ef88 system lib
#00 pc 00000000001a4b8b system lib
#00 pc 0000000000c22429 system lib
#00 pc 0000000000c21d53 system lib
#00 pc 0000000000051d0f system lib libandroid runtime.so
#00 pc 0000000000001063 system bin app process
#00 pc 0000000000000d80 system bin app process</t>
  </si>
  <si>
    <t>2020-09-17</t>
  </si>
  <si>
    <t>saluf-android-kakikana-5</t>
  </si>
  <si>
    <t>Crash at the end of a quiz</t>
  </si>
  <si>
    <t>App crashes at the end of quiz (uploading result)
private void setupUI(User user)
public void onViewCreated( NonNull View view, Nullable Bundle savedInstanceState)
if (dataSnapshot null)
if (user null) setupUI(user) &lt;--
private class implements ValueEventListener
public void onDataChange( NonNull DataSnapshot dataSnapshot)
LiveData.setValue() to notify all observers</t>
  </si>
  <si>
    <t>Anuken-Mindustry-2574</t>
  </si>
  <si>
    <t>Irregular Tech tree connection</t>
  </si>
  <si>
    <t>**Steps to reproduce**:
Open Mindustry v6 unstable builds
Play the campaign
Procrastinate until you get to the point in the bugged tech tree
Enjoy one of the few bugs in Anuke masterpiece
**Link(s) to mod(s) used**: No mods.
**Save file**: Idk if can share campaign save file, so...
**Crash report**: Not crash.
*Place an (no spaces) between the brackets to confirm that you have read the line below.*
**I have searched the closed and open issues to make sure that this problem has not already been reported.**
Image in case you don believe me or just wanna confirm:</t>
  </si>
  <si>
    <t>TeamNewPipe-NewPipe-4286</t>
  </si>
  <si>
    <t>[Unified player] Heavy work on Main Thread during seeking on almost all videos</t>
  </si>
  <si>
    <t>### Steps to reproduce the bug
1. Open any video (99% videos have this bug)
2. Show the controller and change the position multiple times by dragging tapping on the seekbar
3. Wait ...
### Expected behavior
The video should load shortly and start the playback and response to other actions.
### Actual behaviour
The seekbar doesn update the position for long time. During this time the UI doesn react to gestures freeze ). After while the app crashes.
### Screenshots Screen recordings
Video demonstration: https: streamable.com 9gf4tv
The first video is the expected behavior, the second video shows the bug.
### What the reason?
During debugging saw in the logcat that the device tries to seek to all positions which were tapped, so the doesn discard unneeded positions (positions which are older than the current).</t>
  </si>
  <si>
    <t>material-components-material-components-android-1735</t>
  </si>
  <si>
    <t>[MaterialTimePicker] Crash in Material Button okButton</t>
  </si>
  <si>
    <t>my material version is 1.3.0-alpha02
but got this crash
**Android API version:** Android API 29
**Material Library version:** Material Android Library version you are using here (1.3.0-alpha02)</t>
  </si>
  <si>
    <t>JideGuru-epub_viewer-23</t>
  </si>
  <si>
    <t>app crashing in relase mode</t>
  </si>
  <si>
    <t>App Crashing in release mode showing the following error
any idea what is this?</t>
  </si>
  <si>
    <t>Anuken-Mindustry-2571</t>
  </si>
  <si>
    <t>Unit vanishes after placing on payload conveyor</t>
  </si>
  <si>
    <t>This is in multiplayer
When using Mega to carry unit, and then placing it on payload conveyor, once it reaches the end of it the unit vanishes.
Syncing leaving and rejoining shows the unit again.
**Steps to reproduce**: *How you happened across the issue, and what exactly you did to make the bug happen.*
Play multiplayer and do not be the host.
Become T3 support Mega, Pickup any unit and place it on payload conveyor. Once it reaches the end of the conveyor it vanishes but still exists.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</si>
  <si>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aws-amplify-amplify-android-840</t>
  </si>
  <si>
    <t>Amplify getting started tutorial on Android crashes with SQLiteConstraintException</t>
  </si>
  <si>
    <t>am following the Ampligy getting started tutorial for Android
am at the Connect to the Cloud step 5, and when run the application, it crashes with:
Find here the project source:</t>
  </si>
  <si>
    <t>opensrp-opensrp-client-reveal-1022</t>
  </si>
  <si>
    <t>App crashes when one tries to login</t>
  </si>
  <si>
    <t>tried to login using 5.2.9
the app crashed immediately both times tried to login
cc samkanga Rkareko</t>
  </si>
  <si>
    <t>2020-09-16</t>
  </si>
  <si>
    <t>nextcloud-android-6966</t>
  </si>
  <si>
    <t>Nextcloud App crashes on link password modification</t>
  </si>
  <si>
    <t>### Steps to reproduce
1. Create shareable link
2. Try to set or remove the password
### Expected behaviour
Password on the link is changed removed
### Actual behaviour
App crashes with null-pointer exception
### Can you reproduce this problem on https: try.nextcloud.com?
### Environment data
Android version: 8.1.0
Device model: Bq Aquaris Pro
Stock or customized system: Stock
Nextcloud app version: 3.13.0
Nextcloud server version: 17.0.9
Reverse proxy: nginx
### Exception Log
************ APP INFORMATION ************
Build flavor: generic
************ DEVICE INFORMATION ************
************ FIRMWARE ************</t>
  </si>
  <si>
    <t>nextcloud-android-6965</t>
  </si>
  <si>
    <t>App while crash by loading new content</t>
  </si>
  <si>
    <t>### Steps to reproduce
1. Deleted many Files in big dir in the webui
2. Put many new Files drin Windows Client in the dir
3. Open the dir in the app
### Expected behaviour
think the app should load the new content
### Actual behaviour
The App crashed and load no nee files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No errors in log
Insert your webserver log here
No errors in log</t>
  </si>
  <si>
    <t>nextcloud-android-6964</t>
  </si>
  <si>
    <t>#### Web server error log
Insert your webserver log here
#### Nextcloud log (data nextcloud.log)
************ CAUSE OF ERROR ************
************ APP INFORMATION ************
Build flavor: gplay
************ DEVICE INFORMATION ************
************ FIRMWARE ************</t>
  </si>
  <si>
    <t>nextcloud-android-6962</t>
  </si>
  <si>
    <t>Nextcloud app crash</t>
  </si>
  <si>
    <t>nextcloud-android-6960</t>
  </si>
  <si>
    <t>Android App crashes on startup</t>
  </si>
  <si>
    <t>Android App crashes on startup, even after cache and appdata have been cleared.
************ CAUSE OF ERROR ************
************ APP INFORMATION ************
Build flavor: generic
************ DEVICE INFORMATION ************
************ FIRMWARE ************</t>
  </si>
  <si>
    <t>nextcloud-android-6957</t>
  </si>
  <si>
    <t>android app crash</t>
  </si>
  <si>
    <t>happens anytime open the app now, had been working fine for about year before this
recently (before this error) it been claiming it can access the server (from auto image upload, file name conflict), but it created about dozen versions of that file on the server, assuming once per time the notification showed up .. so obviously it has been accessing it
haven updated either server or client in few months
************ CAUSE OF ERROR ************
************ APP INFORMATION ************
Build flavor: gplay
************ DEVICE INFORMATION ************
************ FIRMWARE ************
(reported on my phone, will add more details later if requested)</t>
  </si>
  <si>
    <t>microsoftgraph-msgraph-sdk-java-472</t>
  </si>
  <si>
    <t>Unable to upload a file</t>
  </si>
  <si>
    <t>able to get the list of all files in OneDrive folder and also download file from OneDrive Folder to my android device.
But am unable to upload file to OneDrive.
It silently crash when call the post() function.
use MSAL to connect to OneDrive.
My scopes are: User.Read Files.ReadWrite.All
Here is simplified code with minimal error handling inspired from the sample app found here (https: docs.microsoft.com en-us graph sdks java):
The requestUrl seams ok: https: graph.microsoft.com v1.0 me drive root: TestFolder Test File.sco:
(Crashes at the line that is commented ************* Silently craches here *****************
private void oneDrive UploadFile(final final String strLocalFilePath)
Create callback used by the upload provider
Called after each slice of the file is uploaded
public void progress(final long current, final long max)
String.format( Uploaded %d bytes of %d total bytes current, max)
public void success(final DriveItem result)
String.format( Uploaded file with ID: %s result.id)
public void failure(final ClientException ex)
String.format( Error uploading file: %s ex.getMessage())
Get an input stream for the file
File file new
final String accessToken</t>
  </si>
  <si>
    <t>2020-09-15</t>
  </si>
  <si>
    <t>Anuken-Mindustry-2555</t>
  </si>
  <si>
    <t>Phase fabric wall</t>
  </si>
  <si>
    <t>**Steps to reproduce**: was inside nuclear complex making my defences, it was an hour into it and tried to build phase wall onto plastanium one when it would not let me
**Link(s) to mod(s) used**: none
**Save file**: 6.msav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</si>
  <si>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opensrp-opensrp-client-chw-1344</t>
  </si>
  <si>
    <t>Remove the malaria diagnosis option from the PNC profile menu</t>
  </si>
  <si>
    <t>Steps to replicate:
Register an ANC woman
Record pregnancy outcome of live birth
In PNC profile for the woman, open profile menu
The Confirmation pour paludisme is from BA and should be removed in wcaro apps
If you click on this option, the app crashes.</t>
  </si>
  <si>
    <t>miguelpruivo-flutter_file_picker-391</t>
  </si>
  <si>
    <t>Exception when selecting more then 1 file on WEB</t>
  </si>
  <si>
    <t>While running on Web version, after selecting more then one file, the app crashes on file picker web.dart line 64, with this error:
Exception has occurred.
DomException (InvalidStateError: Failed to execute readAsDataURL on FileReader The object is already busy reading Blobs.)
using the lastest version from plugin (2.0.0), chrome version 85.0.4183.102 (64 bits) on Windows 10.
For include the files, doing this call:
List&lt;PlatformFile&gt; paths (await
PS C: Users Diego Documents poucodetudo flutter pouco de tudo&gt; flutter doctor -v
Flutter (Channel dev, 1.22.0-9.0.pre, on Microsoft Windows vers 10.0.19041.508 locale pt-BR)
Flutter version 1.22.0-9.0.pre at c: src flutter
Engine revision 07e2520d5d
Dart version 2.10.0 (build 2.10.0-73.0.dev)
Android toolchain develop for Android devices (Android SDK version 30.0.0)
Android SDK at C: Users Diego AppData Local Android sdk
Platform android-30, build-tools 30.0.0
All Android licenses accepted.
Chrome develop for the web
Chrome at C: Program Files (x86) Google Chrome Application chrome.exe
Android Studio (version 4.0)
Android Studio at C: Program Files Android Android Studio
Flutter plugin version 47.1.2</t>
  </si>
  <si>
    <t>Blankj-AndroidUtilCode-1327</t>
  </si>
  <si>
    <t>LanguageUtils 导致的Crash</t>
  </si>
  <si>
    <t>LanguageUtils crash crash
Bug GlocalMe S20iQ19
public void activity, Bundle savedInstanceState)</t>
  </si>
  <si>
    <t>nextcloud-android-6953</t>
  </si>
  <si>
    <t>### Steps to reproduce
### Expected behaviour
Tell us what should happen
### Actual behaviour
delete folder on my Server but in the Client app it is still there
if will delete IT in the App the App crash
### Can you reproduce this problem on https: try.nextcloud.com?
Please create test demo account and see if this still happens there.
If yes, please open up bug report
If not, please verify server setup and ask for help on forum
### Environment data
Device model:Oneplus 3T
Stock or customized system:
Nextcloud app version:
Nextcloud server version:
#### Web server error log
Insert your webserver log here
#### Nextcloud log (data nextcloud.log)
************ CAUSE OF ERROR ************
************ APP INFORMATION ************</t>
  </si>
  <si>
    <t>CsabaConsulting-ARPhysics-9</t>
  </si>
  <si>
    <t>NPE in dev.csaba.arphysics.MainActivity.onTransformChanged</t>
  </si>
  <si>
    <t>Reported by the Play Store. Interesting that the app was not installed from the Play Store but from some other channels, it came from Samsung Galaxy A70 and ZTE Z717VL (Android API 28 and Android 10 API 29) devices. https: play.google.com console developers 7696534728259995393 app 4974857956571804228 vitals crashes d415f426 details?days 30</t>
  </si>
  <si>
    <t>2020-09-14</t>
  </si>
  <si>
    <t>CsabaConsulting-ARPhysics-8</t>
  </si>
  <si>
    <t>android.content.ActivityNotFoundException crash when trying to navigate to Settings View</t>
  </si>
  <si>
    <t>Reported by the Play Store. Crash in the Play Store report https: play.google.com console developers 7696534728259995393 app 4974857956571804228 vitals crashes 11c21c0f details?days 30
Managed to reproduce during debugging session:</t>
  </si>
  <si>
    <t>ThatCraws-MrX-2</t>
  </si>
  <si>
    <t>Inventory Hashcode IDs crash game after removing a ticket</t>
  </si>
  <si>
    <t>Removing ticket will result in most of the following tickets not showing the selected- animation anymore. Selecting more than one of ticket will result in crash as long as one of the selected ticket is one of the broken tickets.</t>
  </si>
  <si>
    <t>AppliedRecognition-Ver-ID-UI-Android-9</t>
  </si>
  <si>
    <t>Denying camera access crashes Ver-ID sessions</t>
  </si>
  <si>
    <t>Anuken-Mindustry-2554</t>
  </si>
  <si>
    <t>UI Scaling - Broken button images</t>
  </si>
  <si>
    <t>Android (v8) LG V20
Scale UI to 150% or larger causes image artifacts to appear instead of original icon image. (see attached)
**Steps to reproduce**: *How you happened across the issue, and what exactly you did to make the bug happen.*
Settings Graphics UI Scaling set scale to 150% or larger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
***-- Attachments --***</t>
  </si>
  <si>
    <t>Anuken-Mindustry-2553</t>
  </si>
  <si>
    <t>**Steps to reproduce**: search genre of buildings factories or turrets), click or arrow keys at the same time, locked build will show at button left corner, allowing to build if enough materials even it still haven
**Link(s) to mod(s) used**: no mods used
**Crash report**: No crashes occurred during the bug
*Place an (no spaces) between the brackets to confirm that you have read the line below.*
**I have searched the closed and open issues to make sure that this problem has not already been reported.**</t>
  </si>
  <si>
    <t>nextcloud-android-6948</t>
  </si>
  <si>
    <t>Random nextcloud crash while watching a music video on Youtube?!</t>
  </si>
  <si>
    <t>opensrp-opensrp-client-chw-1324</t>
  </si>
  <si>
    <t>App crashes first time you open the Add Family form in French</t>
  </si>
  <si>
    <t>Steps to replicate:
Change app language to French
Open Add Family form
Allow the app to access device files
App crashes right after do the above step
log back in and can open the form again and it doesn crash this time.</t>
  </si>
  <si>
    <t>2020-09-13</t>
  </si>
  <si>
    <t>nextcloud-android-6941</t>
  </si>
  <si>
    <t>Android Dev app crashed, trying to play a video.</t>
  </si>
  <si>
    <t>2020-09-12</t>
  </si>
  <si>
    <t>Anuken-Mindustry-2545</t>
  </si>
  <si>
    <t>Ground units walking looks visually messed up.</t>
  </si>
  <si>
    <t>**Steps to reproduce**: Make ground unit (not legs unit like toxopid), preferrable big one like reign, walk, which is easiest by just taking control of the unit and moving around.
**Link(s) to mod(s) used**: No mods used.
**Save file**: Not really required, as this is replicatable on any map.
**Crash report**: No crash
*Place an (no spaces) between the brackets to confirm that you have read the line below.*
**I have searched the closed and open issues to make sure that this problem has not already been reported.**</t>
  </si>
  <si>
    <t>Anuken-Mindustry-2544</t>
  </si>
  <si>
    <t xml:space="preserve">i've barely  used github, so sorry for any mistakes.:  Platform: Windows.  Build: bleeding-edge 9664.  Issue: The core gets destroyed but the game doesn't end, resulting in  the  game crashing when i launch the core.  </t>
  </si>
  <si>
    <t>opensrp-opensrp-client-reveal-1013</t>
  </si>
  <si>
    <t>THAI-The app crashes when one tries to login RVL-1155</t>
  </si>
  <si>
    <t>Login to the app
Observe the error that is shown: Youve been logged as you account has been removed from the accounts manager
Try to login again and observe the app crash</t>
  </si>
  <si>
    <t>opensrp-opensrp-client-chw-1323</t>
  </si>
  <si>
    <t>Bugs found from QA 9.11.20</t>
  </si>
  <si>
    <t>There are four breaking issues that prevent testing we cannot share the APK with the client in its current status.
Clicking view vaccine history crashes the app. am unable to test whether the changes to the vaccine schedule have been made.
Clicking record visit opens an empty view
View upcoming services on the child profile view still is showing services that should have been removed such as breastfeeding and Vitamin
The Upcoming Services view is an empty screen. cannot test if that text has been appropriately split into two sections.</t>
  </si>
  <si>
    <t>kike-canaries-canairio_android-59</t>
  </si>
  <si>
    <t>[crash] ExecutorCallAdapterFactory.java:71</t>
  </si>
  <si>
    <t>Possible crash when third party API fails
Steps to reproduce the behavior:
1. Open the app only.
Fatal Exception: Attempt to read from field java.lang.String on null object reference</t>
  </si>
  <si>
    <t>2020-09-11</t>
  </si>
  <si>
    <t>AdamLBS-LineFlag-24</t>
  </si>
  <si>
    <t>LineFlag would crash when you try to sign-in or register</t>
  </si>
  <si>
    <t>The workaround is to just restart the app and then you re connected</t>
  </si>
  <si>
    <t>ogarcia-opensudoku-96</t>
  </si>
  <si>
    <t>[Bug] App crash when using "Resume"</t>
  </si>
  <si>
    <t>First of all thank you very much for that app. have ton of fun with it. XD
not sure if this has already been reported, but found bug, which causes the app (v3.4.1) to crash. The reason is obvious, but check in this command (like if exists sorry not programmer) might prevent this.
Steps to reproduce:
Play sudoku puzzle
Go back to menu
Delete the folder the puzzle is in (I do that when everything is solved)
(not sure if neccessary) close and start app
Use the Resume -function
App crash since the puzzle can be found anymore.</t>
  </si>
  <si>
    <t>defold-extension-gpgs-25</t>
  </si>
  <si>
    <t>gpgs.leaderboard_submit_score() submits incorrect score to the leaderboard</t>
  </si>
  <si>
    <t>Whenever submit score to my game leaderboard the score shown on the leaderboard ends up being long negative number instead of the actual score.
gpgs.leaderboard submit score(leaderboard id, 5)
Instead of the leaderboard showing as the score, it shows -7,017,514,852,6...
ve noticed if call gpgs.leaderboard get player score() right before submitting the score the leaderboard will show the correct score as
There also problem with gpgs.leaderboard get player score() though, because it crashes the game if the player doesn already have score on the leaderboard. The crash shows the following error:</t>
  </si>
  <si>
    <t>Anuken-Mindustry-2537</t>
  </si>
  <si>
    <t>**Steps to reproduce**: *I just chose PvP or Sandbox and clicked play.*
**Save file**: *But now it works. https: cdn.discordapp.com attachments 697832034072264785 753758254261207051 mapa.msav*
2. launced the core on another sector. forgot to report that.
**Old crash report**:
3. cannot change properly commands to blocks with brush.
*Place an (no spaces) between the brackets to confirm that you have read the line below.*
**I have searched the closed and open issues to make sure that this problem has not already been reported.**</t>
  </si>
  <si>
    <t>2020-09-10</t>
  </si>
  <si>
    <t>Anuken-Mindustry-2536</t>
  </si>
  <si>
    <t>No limit on when you can launch in the latest build</t>
  </si>
  <si>
    <t>**Steps to reproduce**: *Launch game, Launch Campaign, pause, click Launch Core
**Link(s) to mod(s) used**: *None*
**Save file**: *Brand new*
**Crash Report**: *No crash*
*Place an (no spaces) between the brackets to confirm that you have read the line below.*
**I have searched the closed and open issues to make sure that this problem has not already been reported.**</t>
  </si>
  <si>
    <t>TeamNewPipe-NewPipe-4267</t>
  </si>
  <si>
    <t>version 530f745 2020-09-08 crush when i click on video</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</si>
  <si>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have test apk on android 4.4 and apk version 530f745 2020-09-08 block my phone when crash
Demostration video https: streamable.com ygkbwt</t>
  </si>
  <si>
    <t>Anuken-Mindustry-2533</t>
  </si>
  <si>
    <t>Reaserch bug on 9630</t>
  </si>
  <si>
    <t>There is no crash or something like that. But when wanted to transfer data from PC(windows) to Android my research reset to zero. found this bug on build 9630 if it repaired, sorry for bothering you.
P.S. If there is some mistakes in the message above, sorry. not good at speaking or writing on English.</t>
  </si>
  <si>
    <t>Anuken-Mindustry-2532</t>
  </si>
  <si>
    <t>Transfer data from PC to Android</t>
  </si>
  <si>
    <t>cgeo-cgeo-8983</t>
  </si>
  <si>
    <t>Logging of OC caches crash the app</t>
  </si>
  <si>
    <t>Sorry for formatting errors...posting from mobile
Select Menu Log Visit (in my case used Fast offline log Log visit if it makes difference)
--------- beginning of crash</t>
  </si>
  <si>
    <t>aws-amplify-amplify-android-817</t>
  </si>
  <si>
    <t>[Amplify Android] Runtime crash "Caused by: java.lang.ClassCastException: libcore.reflect.ParameterizedTypeImpl cannot be cast to java.lang.Class" when using latest main branch amplify-android supporting nested custom types</t>
  </si>
  <si>
    <t>Hi, noticed that amplify-android recently support nested custom types https: github.com aws-amplify amplify-android commit and our project need to use this feature. pulled down the code and built locally, when running the app and try to do mutation, got runtime crash:
Caused by: cannot be cast to java.lang.Class
And my code looks like
val parent Parent.builder()
response -&gt; Log.i(TAG, $response
error -&gt; Log.e(TAG, Create failed error)
Not sure if anyone can help. Thanks!</t>
  </si>
  <si>
    <t>nextcloud-android-6930</t>
  </si>
  <si>
    <t>Crashed while Scan a Code as Picture</t>
  </si>
  <si>
    <t>wanted to scan Code on picture on my phone.
But the application is crashed.
(Most time Developing for Minecraft or little Handy games)
************ CAUSE OF ERROR ************
... 11 more
************ APP INFORMATION ************
Build flavor: gplay
************ DEVICE INFORMATION ************
************ FIRMWARE ************</t>
  </si>
  <si>
    <t>TeamNewPipe-NewPipe-4261</t>
  </si>
  <si>
    <t>UI Crashed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</si>
  <si>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</si>
  <si>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Anuken-Mindustry-2529</t>
  </si>
  <si>
    <t>V6 mods don't load</t>
  </si>
  <si>
    <t>**Steps to reproduce**: *How you happened across the issue, and what exactly you did to make the bug happen.*
1) changed the minGameVersion in my mod.hjson to 105.
2) Updated my BE client to 9623.
**Link(s) to mod(s) used**: *The mod repositories or zip files that are related to the issue, if applicable.* https: github.com TheSlaylord GoldMod tree 6.0
**Save file**: *The save file you were playing on when the bug happened, if applicable.* None
**Crash report**: *The contents of relevant crash report files. REQUIRED if you are reporting crash.* This isn crash
*Place an (no spaces) between the brackets to confirm that you have read the line below.*
**I have searched the closed and open issues to make sure that this problem has not already been reported.**</t>
  </si>
  <si>
    <t>Anuken-Mindustry-2527</t>
  </si>
  <si>
    <t>2 Logic Blocks Can't Select A Block Under Them</t>
  </si>
  <si>
    <t>Steps to reproduce: Place micro and or hyper processor block, place block under them, try to click the block.
Link(s) to mod(s) used: None (Mods wouldn affect it anyway.)
Save file: None (It isn an issue that only happens in specific map save file.)
Crash report: None (No crashes)
haven searched the closed and open issues to make sure that this problem has not already been reported because It too long.</t>
  </si>
  <si>
    <t>2020-09-09</t>
  </si>
  <si>
    <t>getsentry-sentry-java-904</t>
  </si>
  <si>
    <t>Android 11 + targetSdkVersion 30 crashes Sentry on start</t>
  </si>
  <si>
    <t>Android, targetSdkVersion 30
The version of sentry-android:
**2.3.0**(at least) **master**
have the following issue:
When set the targetSdkVersion to 30 for my app and launch it on an Android 11 device (my Pixel 4XL), the app crashes immediately.
**Steps to reproduce:**
1. Clone the sentry-android repository
2. Change the example app to use targetSdkVersion 30.
diff --git sentry-samples build.gradle.kts sentry-samples build.gradle.kts
index 5c29345..d299d1b 100644
--- sentry-samples build.gradle.kts
+++ sentry-samples build.gradle.kts
-10,7 +10,7 android
libc Pointer tag for 0x79f0abdc30 was truncated.
Sentry Processing dir. data user cache sentry sessions
libc Fatal signal (SIGABRT), code -1 (SI QUEUE) in tid 15999 (samples.android), pid 15999 (samples.android)
Sentry Processing items from cache dir data user cache sentry sessions
Processing file: data user cache sentry sessions
Processing Envelope with item(s)
Captured Envelope is already cached</t>
  </si>
  <si>
    <t>Anuken-Mindustry-2526</t>
  </si>
  <si>
    <t>crashes when you put a block from the mod</t>
  </si>
  <si>
    <t>**Steps to reproduce**: *I use mod for mindustry 5.0.*
**Link(s) to mod(s) used**: *The mod repositories or zip files that are related to the issue, if applicable! Screenshot (https: 62811727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</si>
  <si>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google-ExoPlayer-7871</t>
  </si>
  <si>
    <t>rtmp stream crash</t>
  </si>
  <si>
    <t>Play RTMP on weak network may crash and anr</t>
  </si>
  <si>
    <t>nextcloud-android-6912</t>
  </si>
  <si>
    <t>2020-09-08</t>
  </si>
  <si>
    <t>SanojPunchihewa-InAppUpdater-64</t>
  </si>
  <si>
    <t>[BUG] Crash and ANR on Huawei devices</t>
  </si>
  <si>
    <t>**Describe the bug**
Crash and ANR were confirmed with Android Vital of Firebase and Play Store by the application using ver1.0.5.
Oddly enough, crashes and ANRs are only seen on Huawei devices.
Occurs when you execute the following code within the onCreate of your Activity.
We will inform you of the crash log and the target device and OS.
HUAWEI P20 Lite
HUAWEI P30 lite
HUAWEI P10 lite
HUAWEI smart+ 2019</t>
  </si>
  <si>
    <t>cyclestreets-android-436</t>
  </si>
  <si>
    <t>App crash accessing settings since update to Android 10</t>
  </si>
  <si>
    <t>Yesterday my Fairphone was updated to Android 10. Since then opening the left sidebar and tapping settings causes the app to crash.
Prior to the OS update this wasn an issue.
Version 3.9.0 on the Google play app store. have beta updates enabled.
ve tried clearing the cache and app data, both of which have the same crash.</t>
  </si>
  <si>
    <t>TeamNewPipe-NewPipe-4250</t>
  </si>
  <si>
    <t>Can't search for anything</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</si>
  <si>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Just search for anything.
&lt;!-- If you can cause the bug to show up again reliably (and hence don have proper set of steps to give us), please still try to give as many details as possible on how you think you encountered the bug. --&gt;
### Expected behavior
&lt;!-- Tell us what you expect to happen. --&gt;
should see list of items related to the search.
### Actual behaviour
&lt;!-- Tell us what happens instead. --&gt;
see no results screen with error reporting suggestion.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</si>
  <si>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nextcloud-android-6904</t>
  </si>
  <si>
    <t>SQLiteBlobTooBigException</t>
  </si>
  <si>
    <t>### Expected behaviour
Ich ffne meinen Ordner Bilder mit vielen Subfoldern in denen sehr viele Dateien sind.
### Actual behaviour
Die App crasht.
### Can you reproduce this problem on https: try.nextcloud.com?
### Environment data
Samsung Galaxy S9+
Stock or customized system:
Nextcloud app version:
Nextcloud server version:
Ja via Sophos Home UTM Appliannce
************ CAUSE OF ERROR ************
************ APP INFORMATION ************
Build flavor: gplay
************ DEVICE INFORMATION ************
************ FIRMWARE ************</t>
  </si>
  <si>
    <t>2020-09-07</t>
  </si>
  <si>
    <t>Anuken-Mindustry-2515</t>
  </si>
  <si>
    <t>Genearte Tool Doesn't Work</t>
  </si>
  <si>
    <t>Steps to reproduce: Create map using generate tool, add few things with it, apply and then the game crashes. was making 500x500 map so it may be bevause of size but don think so.
Link(s) to mod(s) used: None
Save file: None
Crash report: (In the comments)
have searched the closed and open issues to make sure that this problem has not already been reported.</t>
  </si>
  <si>
    <t>woesss-JL-Mod-12</t>
  </si>
  <si>
    <t>Crashes + corrupted graphics MC3D</t>
  </si>
  <si>
    <t>JL-Mod 0.74+MC b098
Pandora Tomorrow 3D 1.0.3
OnePlus and Black Shark
Android 10 (OP7) and Android (BS2)
**Description of the issue:**
Hi woesss. have two problems here with the new MC3D shading build.
Pandora Tomorrow 3D, maybe other games, crashes randomly after few seconds minutes. It could be related to that old input crashes of J2ME-Loader, where the emulator crashed when you click on two+ buttons at the same time. not sure, could be related to any other thing. added the log. This happens on both devices.
The other problem only happens with my Black Shark running Android 9. Shaded lightning areas are completely corrupted, with high bloom and repeating patterns. Only accelerated OpenGL rendering works in this phone, no surface, window or even software (yeah, weird). This problem doesn happen, at all, in the OnePlus running Android 10, OpenGL hardware rendering works flawlesly on this device (but still crashes).
Both phones have the same SOC :-</t>
  </si>
  <si>
    <t>nextcloud-android-6901</t>
  </si>
  <si>
    <t xml:space="preserve">Crash when deleting InstantUpload </t>
  </si>
  <si>
    <t>### Steps to reproduce
1. Go to all files
2. Delete InstantUpload directory
### Expected behaviour
Tell us what should happen
### Actual behaviour
Just the crash, but now can navigate without any error, and the directory was removed successfully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t>
  </si>
  <si>
    <t>launchdarkly-react-native-client-sdk-57</t>
  </si>
  <si>
    <t>iOS Crash LeanplumRequest.m line 116</t>
  </si>
  <si>
    <t>**Describe the bug**
There crash that been present for months or more.
think it caused by the RN client not calling the SDK on the right thread queue (see logs).
Too hard to reproduce.
The SDK to not crash.
libobjc.A.dylib 0x19139b530 objc msgSend 16
Foundation 0x192bf6830 700
Foundation 0x192b49c58 648
CoreFoundation 0x1920a524c CFPrefsSource forEachObserver: 260
CoreFoundation 0x1920a6cb0 CFPrefsSource 76
CoreFoundation 0x1921e6ffc block invoke 408
CoreFoundation 0x192107e10 block invoke 24
CoreFoundation 0x1921d18dc CFBasicHashApply 116
CoreFoundation 0x192107dec 168
CoreFoundation 0x1921e0710 260
10 CoreFoundation 0x192126d70 108- block invoke 304
11 CoreFoundation 0x192126794 normalizeQuintuplet 340
12 CoreFoundation 0x192094e74 108
13 CoreFoundation 0x192097e8c CFXPreferences 92
14 CoreFoundation 0x1921e5460 132</t>
  </si>
  <si>
    <t>2020-09-06</t>
  </si>
  <si>
    <t>Rachel030219-Poweramp-LRC-Plugin-22</t>
  </si>
  <si>
    <t>[BUG] Plugin crashes</t>
  </si>
  <si>
    <t>**Describe the bug**
The plug-in crashes when starting playing song
Steps to reproduce the behavior:
1. Start playing music that have .lrc file
2. Toast message is being shown says that
plug-in was crashed and log file was saved
Device: Xiaomi Mi6
Android version: LineageOS, Android 10
Log, lrc and music files may be downloaded here: https: cloud.white-miku.me Y6vsrZyGb1va2DQ</t>
  </si>
  <si>
    <t>andOTP-andOTP-639</t>
  </si>
  <si>
    <t>Crash when modifying other settings after changing backup location</t>
  </si>
  <si>
    <t>#### General information
**App version:** master
**App source:** GitHub
**Android Version:** 29
**Custom ROM:** None (x86 Emulator)
#### Steps to reproduce
1. Open andOTP.
1. Open Settings.
1. Scroll down and select Default backup location preference.
1. Select new default backup location and allow.
1. Select some other preference (e.g. Verify encrypted backups
#### Expected result
**What is expected?**
Preference is selected normally.
**What does happen instead?**
App crashes from null Context.</t>
  </si>
  <si>
    <t>2020-09-04</t>
  </si>
  <si>
    <t>nextcloud-android-6894</t>
  </si>
  <si>
    <t>mit-cml-appinventor-sources-2304</t>
  </si>
  <si>
    <t>Fix WebViewer crash on old Android due to NPE</t>
  </si>
  <si>
    <t>The ability to reference assets using http: localhost as an
authority fail on older versions of Android due to
caused by the MIME type lookup returning null
rather than valid MIME type. This can happen even for common file
types like JavaScript files. Newer versions of Android have more
complete MIME type table and don exhibit this issue.</t>
  </si>
  <si>
    <t>TeamNewPipe-NewPipe-4230</t>
  </si>
  <si>
    <t>[unified player] everything crashes after playing a video on fullscreen</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</si>
  <si>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-latest apk provided by B0pol
### Steps to reproduce the bug
1. Go to any video
2. play on fullscreen
3. voice keeps playing for while and the video stops
4. now every video on my phone can be played for some reason
&lt;!-- If you can cause the bug to show up again reliably (and hence don have proper set of steps to give us), please still try to give as many details as possible on how you think you encountered the bug. --&gt;
### Expected behavior
&lt;!-- Tell us what you expect to happen. --&gt;
should be playing normally as it does for the latest newpipe version
### Actual behaviour
&lt;!-- Tell us what happens instead. --&gt;
the app crashes and after forcing it to stop no longer can play any video on my phone even from gallery it may be something with my phone custom rom (RR Nougat) but it never happened this is the first time
to fix the issue just restart the phone</t>
  </si>
  <si>
    <t>OpenTracksApp-OpenTracks-411</t>
  </si>
  <si>
    <t>Opening gpx file from OT in OsmAnd~ crashes OsmAnd~ since last update to 3.9.3</t>
  </si>
  <si>
    <t>**Describe the bug**
have always opened the gpx files from the OT interface in OsmAnd and never had problem. But after the last update to 3.9.3, it now starts OSMand which then crashes and closes after showing the initial OSMand start up screen. If select an alternative mapping program (MMTracker), it works OK.
1. Go to OT page showing all recorded routes
2. Click on button to open gpx file in another program
3. select OsmAnd from the programs suggested.
4. OsmAnd start page appears, then program is stopped and closes. Rebooting phone makes no difference.
OS: e.g. LineageOS 14.1 with microG, no GApps
Version e.g. v3.9.3</t>
  </si>
  <si>
    <t>OpenTracksApp-OpenTracks-409</t>
  </si>
  <si>
    <t>Google crash report</t>
  </si>
  <si>
    <t>Android 7.1 (SDK 25)</t>
  </si>
  <si>
    <t>2020-09-03</t>
  </si>
  <si>
    <t>stingle-stingle-photos-android-36</t>
  </si>
  <si>
    <t>Lock timer on immediately doesn't work as expected</t>
  </si>
  <si>
    <t>When setting lock the app after to immediately (settings -&gt; security) the app crashes on importing pictures after scanning my fingerprint.
When set to 10 seconds it works just fine.</t>
  </si>
  <si>
    <t>cgeo-cgeo-8941</t>
  </si>
  <si>
    <t>ClassCast Exception on launching NewMap or CGeoMap</t>
  </si>
  <si>
    <t>New crash report for 2020.09.02-RC.
There are several similar crash reports stack traces, one example:</t>
  </si>
  <si>
    <t>Swrve-swrve-android-sdk-293</t>
  </si>
  <si>
    <t>Crash on SwrveWakefulService when receiving a null intent</t>
  </si>
  <si>
    <t>we are seeing crashes in our crash monitoring service for an app that uses version 6.3.0 of the swrve-firebase SDK.
The stacktrace is as follows:
Reviewing the source code this crash is somewhat expected, since docs for handleIntent method state that the received intent could be null:
This method is invoked on the worker thread with request to process.
Only one Intent is processed at time, but the processing happens on
worker thread that runs independently from other application logic.
So, if this code takes long time, it will hold up other requests to
the same IntentService, but it will not hold up anything else.
When all requests have been handled, the IntentService stops itself,
so you should not call link #stopSelf
param intent The value passed to link
This may be null if the service is being restarted after
its process has gone away see
protected abstract void onHandleIntent( Nullable Intent intent)
SwrveWakefulService does not perform any check on this and is blindly capturing the whole Exception:
protected void intent)
catch (Exception ex)
SwrveLogger.e( SwrveWakefulService exception (intent: %s): ex, intent)</t>
  </si>
  <si>
    <t>opensrp-opensrp-client-reveal-989</t>
  </si>
  <si>
    <t>THAI-The app crashes when on tries to login(after the foci boundary crash) -RVL-1132</t>
  </si>
  <si>
    <t>Enter the user credentials:
Observe how the app crashes and closes.</t>
  </si>
  <si>
    <t>opensrp-opensrp-client-reveal-988</t>
  </si>
  <si>
    <t>THAI-The app crashed when one tries to edit the foci boundary RVL-1098</t>
  </si>
  <si>
    <t>Login to the app
Long press the boundary
Click on one of the circles and try to move it.
Click save and observe the crash
see video below</t>
  </si>
  <si>
    <t>ankidroid-Anki-Android-7017</t>
  </si>
  <si>
    <t>[2.13alpha25] Card Browser does not refresh after edit/crashes</t>
  </si>
  <si>
    <t>###### Reproduction Steps
1. Card Browser with Deck selected, no search
2. Select card
3. Press Back button on device
###### Expected Result
4. Results are shown
###### Actual Result
4. No results are shown
have searched for similar existing issues here and on the user forum
(Optional) have confirmed the issue is not resolved in the latest alpha release instructions (https: docs.ankidroid.org</t>
  </si>
  <si>
    <t>Anuken-Mindustry-2478</t>
  </si>
  <si>
    <t>Median option in map editor crashes the game</t>
  </si>
  <si>
    <t>**Steps to reproduce**: *go to map editor, esc generate add median, the game then crashes instantly*
**Save file**: *never saved it once since it was just me starting ore generation so dont have save file*
**Crash report**: *where do find these? ill edit in the contents of them after find them*
*Place an (no spaces) between the brackets to confirm that you have read the line below.*
**I have searched the closed and open issues to make sure that this problem has not already been reported.**</t>
  </si>
  <si>
    <t>cgeo-cgeo-8935</t>
  </si>
  <si>
    <t>[Nightly] Crash when tap on Saved Log</t>
  </si>
  <si>
    <t>**Describe the bug:**
After upgrading to latest nightly can not open any Saved Log anymore, which has been saved with previous nightly.
As soon as tap the displayed log text, c:geo crashes with pls. see attached logfile.
These Saved Logs are created with nightlies dated August, 21st up to yesterday nightly.
If create *new* Saved Log with the current nightly and reopen it, this works.
1. open any cache with an already offline Saved Log (must be from previous nightly!)
2. click on the Saved Log text to edit it
**Actual behavior state after performing these steps:**
**Version of c:geo used:**
**Is the problem reproducible:**
--- System information ---
Android version: 10
Android build: VOG-L29
Google Play services: disabled 20.30.19 (120400-326531024)
Low power mode: inactive
Compass capabilities: yes
Rotation vector sensor: present
Orientation sensor: present
Magnetometer Accelerometer sensor: present
Direction sensor used: rotation vector</t>
  </si>
  <si>
    <t>Anuken-Mindustry-2477</t>
  </si>
  <si>
    <t>Processor's UI overlays</t>
  </si>
  <si>
    <t>**Steps to reproduce**: *Pressed ESC while being in processor sensor settings*
**Link(s) to mod(s) used**: *! image (https: 22059952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</si>
  <si>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2020-09-02</t>
  </si>
  <si>
    <t>Anuken-Mindustry-2476</t>
  </si>
  <si>
    <t>Attempt to update immediately closes and empties the current game jar, not even making a new one.</t>
  </si>
  <si>
    <t>Attempting to update to the latest build using the in-game button on recent builds will cause the game to close almost immediately, leaving behind the empty jar file(the game jar you were using to update from).
**Steps to reproduce**: *How you happened across the issue, and what exactly you did to make the bug happen.*
1. Try using in-game check update button or wait for it to detect the update itself.
2. If you agree to update, it will start downloading but as soon as the download bar (0 54 MB) shows up, the game closes and leaves behind the empty jar file(the game jar you were using to update from).
**Link(s) to mod(s) used**: *The mod repositories or zip files that are related to the issue, if applicable.*
**Save file**: *The save file you were playing on when the bug happened, if applicable.*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</si>
  <si>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TeamNewPipe-NewPipe-4212</t>
  </si>
  <si>
    <t>Prevention of Duplicate entries in playlist</t>
  </si>
  <si>
    <t>Please add an option to not automatically add particular video link again and again to playlist of its already there &lt;!--
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</si>
  <si>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nextcloud-android-6869</t>
  </si>
  <si>
    <t>Crash on deleting empty password in file share</t>
  </si>
  <si>
    <t>### Steps to reproduce
1. Open the Details of shared file
2. Switch to Share
3. Open the Menu of the Sharelink with click on the three dots
4. Open die dialog to set password
5. Click delete
### Expected behaviour
You should get an error that no password has been set or you should not have the choice to delete it if it does not exist.
Hi, had an app crash as tried to delete an not existing share link password.
### Actual behaviour
If you haven set password before the app crashs. Maybe it trys to delete an not existing string? As far as can see it throws at this point.
### Environment data
Android version: 7.0 (SDK 24)
Device model: SM-G920F
Nextcloud app version: 30130090</t>
  </si>
  <si>
    <t>2020-09-01</t>
  </si>
  <si>
    <t>nextcloud-android-6868</t>
  </si>
  <si>
    <t>Nextcloud app uses lots of battery when server is unreachable</t>
  </si>
  <si>
    <t>### Steps to reproduce
1. Make your Nextcloud server unreachable (loss of connection, crash, etc.)
2. Let the Android Nextcloud app try to sync
3. Watch your battery drain
### Expected behaviour
The Nextcloud app should try to sync less and less frequently, using basic cooldown algorithm such as:
-- try every 10 seconds times, then
-- try every 30 seconds 10 times, then
-- try every minute times, then
-- try every minute 10 times, then
-- try every 10 minutes 10 times, etc.
### Actual behaviour
The Nextcloud app relentlessly tries to contact the server, even when it evident it not reachable, keeping the device CPU awake and using energy in the process, using up the battery.
### Can you reproduce this problem on https: try.nextcloud.com?
### Environment data
Android version: Android 10
Device model: Pixel
Stock or customized system: GrapheneOS
Nextcloud app version: 3.12.1
Nextcloud server version: inapplicable</t>
  </si>
  <si>
    <t>Anuken-Mindustry-2473</t>
  </si>
  <si>
    <t>Desync with player controller turret's @shooting</t>
  </si>
  <si>
    <t>In my player connect game, you essentially need to sync after every move.
For some reason the players shooting desyncs with the server and everyone has wrong board, waiting on someone else to finish *their* turn.
May be related to previous issue with turret controlling desync.
**Steps to reproduce**:
1. Join server
2. Place schematic
3. Try to play without sync every seconds
5. See that the board is completely different with the last few turns
**Crash report**: *The contents of relevant crash report files. REQUIRED if you are reporting crash.*
*Place an (no spaces) between the brackets to confirm that you have read the line below.*
**I have searched the closed and open issues to make sure that this problem has not already been reported.**</t>
  </si>
  <si>
    <t>SanojPunchihewa-InAppUpdater-62</t>
  </si>
  <si>
    <t>[BUG] I've got NPE report from firebase</t>
  </si>
  <si>
    <t>**Describe the bug**
ve used this repo 1.0.5-alpha.1, reported NPE from firebase crashlytics.
Sorry, can reproduce it.
**Desktop (please complete the following information):**
OS: android 9, galaxyS8</t>
  </si>
  <si>
    <t>apcro-leafpicrevived-38</t>
  </si>
  <si>
    <t>Advanced share option crashing</t>
  </si>
  <si>
    <t>Build version: v0.8.2
... 34 more</t>
  </si>
  <si>
    <t>2020-08-31</t>
  </si>
  <si>
    <t>Inversion-NL-Toon-Android-49</t>
  </si>
  <si>
    <t>App crashes when going to app settings</t>
  </si>
  <si>
    <t>**Describe the bug**
clear and concise description of what the bug is.
**Smartphone (please complete the following information):**
Device: Samsung Galaxy A80
Android Version: 10
**Additional context or information**</t>
  </si>
  <si>
    <t>joshrap67-LiteWeight-30</t>
  </si>
  <si>
    <t>Timer Finished Notification Bug</t>
  </si>
  <si>
    <t>Steps to reproduce (on in-progress v2 version of the app):
1. Run timer to completion while not on the active workout fragment (i.e. so notification is shown).
2. Terminate the app.
3. Click the notification. The app will crash since it is trying to start the workout activity and bypasses the splash activity where the data from the DB is fetched.</t>
  </si>
  <si>
    <t>oliexdev-openScale-619</t>
  </si>
  <si>
    <t>crash during initial setup</t>
  </si>
  <si>
    <t>Hi there! The app crashed while going through the first time startup menu thingies. It asked me to post the crash log here to help the app so here they are. It didnt list my bluetooth scale so skipped that step and soon after it crashed.
Build version: 2.3.1</t>
  </si>
  <si>
    <t>2020-08-30</t>
  </si>
  <si>
    <t>nextcloud-android-6853</t>
  </si>
  <si>
    <t>App crashes when creating password for shared folder via link</t>
  </si>
  <si>
    <t>### Steps to reproduce
1. Share folder via link
2. Add password
3. App crashes
### Expected behaviour
App should not crash
### Actual behaviour
### Environment data
************ CAUSE OF ERROR ************
************ APP INFORMATION ************
Build flavor: gplay
************ DEVICE INFORMATION ************
************ FIRMWARE ************</t>
  </si>
  <si>
    <t>Anuken-Mindustry-2468</t>
  </si>
  <si>
    <t>Light does'nt blink before death</t>
  </si>
  <si>
    <t>**Steps to reproduce**: *Join pvp map or survival and take damage from another player entity. the last shoot you recevied before your death the light from your player doesn blinks. Link to the video https: ethandudu.tk light-mind.mkv*
**Link to mod(s) used, if applicable**: *No mod.*
**Crash report, if applicable**: No crash.*
sorry if it not understandable, french player.
*Place an (no spaces) between the brackets to confirm that you have read the line below.*
**I have searched the closed and open issues to make sure that this problem has not already been reported.**</t>
  </si>
  <si>
    <t>Anuken-Mindustry-2460</t>
  </si>
  <si>
    <t>server crash with logic processors</t>
  </si>
  <si>
    <t>**Steps to reproduce**:
The equivalent of end using set and certain builtin variable.
If that not clear enough ask for the actual instruction.
**Crash report, if applicable**:
*Place an (no spaces) between the brackets to confirm that you have read the line below.*
**I have searched the closed and open issues to make sure that this problem has not already been reported.**</t>
  </si>
  <si>
    <t>2020-08-29</t>
  </si>
  <si>
    <t>Anuken-Mindustry-2458</t>
  </si>
  <si>
    <t>Tech tree stuck</t>
  </si>
  <si>
    <t>**Steps to reproduce**: tech tree
**Link to mod(s) used, if applicable**: None
**Crash report, if applicable**: *The contents of relevant crash report files.*
*Place an (no spaces) between the brackets to confirm that you have read the line below.*
**I have searched the closed and open issues to make sure that this problem has not already been reported.**</t>
  </si>
  <si>
    <t>Anuken-Mindustry-2456</t>
  </si>
  <si>
    <t>when the fuse trys to shoot, the game crashes and when i open the save it also crashes</t>
  </si>
  <si>
    <t>Steps to reproduce: Simple. Just get fuse and graphite for ammunition make it an emeny and then let the fuse shoot at you, if it don crash then ll put the map download
No mods were used
BTW was using the BE Mindustry v6 bleeding-edge build 9475</t>
  </si>
  <si>
    <t>cgeo-cgeo-8901</t>
  </si>
  <si>
    <t>Map crashes on aborting "load individual route"</t>
  </si>
  <si>
    <t>**Describe the bug:**
Map crashes when you abort file selection for loading an individual route.
1. Open google map (haven tried OSM yet, but should be the same)
2. Select Individual route load individual route
3. Abort file selection by pressing the left arrow
**Actual behavior state after performing these steps:**
Map crashes, you re back in mainscreen
**Expected behavior state after performing these steps:**
Stay in map, no error
**Version of c:geo used:**
**Is the problem reproducible:**</t>
  </si>
  <si>
    <t>nextcloud-android-6850</t>
  </si>
  <si>
    <t>Apps crashes when adding a new account (already existing) with QRCode</t>
  </si>
  <si>
    <t>### Steps to reproduce
1. add new accout (This account is already registered (notes propose me) but try)
2. use QR code
### Expected behaviour
Just add account or tell me It already added
### Actual behaviour
app show me bug report
### Can you reproduce this problem on https: try.nextcloud.com?
Please create test demo account and see if this still happens there.
If yes, please open up bug report
If not, please verify server setup and ask for help on forum
Yes same issue, if there already an account it gives bug report
### Environment data
### App bug repot
************ CAUSE OF ERROR ************
************ APP INFORMATION ************
Build flavor: generic
************ DEVICE INFORMATION ************
Product: lineage serranoltexx
************ FIRMWARE ************</t>
  </si>
  <si>
    <t>TeamNewPipe-NewPipe-4201</t>
  </si>
  <si>
    <t>newpipe can't load any youtube link and show no result for any search</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</si>
  <si>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search for anything in newpipe and there is no result with sorry some error occurred message.
2. If open any youtube link in newpipe it can load the page and info.
&lt;!-- If you can cause the bug to show up again reliably (and hence don have proper set of steps to give us), please still try to give as many details as possible on how you think you encountered the bug.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searched
Content Country: US
Content Language: en-US
App Language: en US
OS: Linux samsung a6pltedx a6plte:10 QP1A.190711.020 A605GDXU6CTC9:user release-keys 10 29</t>
  </si>
  <si>
    <t>2020-08-28</t>
  </si>
  <si>
    <t>Caceresenzo-My-IUT-Schedule-2</t>
  </si>
  <si>
    <t>Application crash when trying to change user but having no calendar currently available</t>
  </si>
  <si>
    <t>If the user try to reset the student id, the application crash because of on calendar.getName()</t>
  </si>
  <si>
    <t>Anuken-Mindustry-2450</t>
  </si>
  <si>
    <t>Modded turret crash oh no</t>
  </si>
  <si>
    <t>*I know that the game whole source code had changed, but don think this should happen with health field. If this is not an in-game bug, please tell me how to fix this myself.*
**Steps to reproduce**: *How you happened across the issue, and what you were doing at the time.* Just attempt to build the Gold Meltdown or similar modded turret. Link to mod is below.
**Link to mod(s) used, if applicable**: *The mod repositories or zip files that are related to the issue.* https: github.com TheSlaylord GoldMod tree mindustry-v6
**Crash report, if applicable**: *The contents of relevant crash report files.*
NullPointer: Attempt to write to field float on null object reference
*Place an (no spaces) between the brackets to confirm that you have read the line below.*
**I have searched the closed and open issues to make sure that this problem has not already been reported.**</t>
  </si>
  <si>
    <t>Anuken-Mindustry-2449</t>
  </si>
  <si>
    <t>Visual bug with mech related blocks</t>
  </si>
  <si>
    <t>**Steps to reproduce**: *just create map, open editor and place some mech related blocks*
**Link to mod(s) used, if applicable**: *Total vanilla*
**Crash report, if applicable**: *Any crash*
*Place an (no spaces) between the brackets to confirm that you have read the line below.*
**I have searched the closed and open issues to make sure that this problem has not already been reported.**</t>
  </si>
  <si>
    <t>ankidroid-Anki-Android-6984</t>
  </si>
  <si>
    <t>2.13alpha - reviewer crashes on API 16</t>
  </si>
  <si>
    <t>As mentioned here (https: stackoverflow.com questions 8041537 13471695#13471695) on API 21 you can use attrs to color in the XML drawable. So only way is to use reference to color resource color YOURS COLOR) or use #RGB format.
Caused by: Can convert to color: type 0x2</t>
  </si>
  <si>
    <t>Anuken-Mindustry-2446</t>
  </si>
  <si>
    <t>indistructable menders</t>
  </si>
  <si>
    <t>Issue- Indestructible menders
reproduction- campaign sector 36 has indistructable menders
mods- none used at time, had been using https: github.com TheTerrarian101 OP-EX-Mindustry-Mod on dfferent sector, then unloaded mod when moving sectors
crash report- na
**I have searched the closed and open issues to make sure that this problem has not already been reported.</t>
  </si>
  <si>
    <t>woesss-JL-Mod-10</t>
  </si>
  <si>
    <t>Crashes observed with latest build</t>
  </si>
  <si>
    <t>JLMod b073+MC b097.apk
Devil May Cry 3D v1.0.1
(For example, 240x320 or 640x360)
(For example, Samsung Galaxy S7)
Xiaomi MI9T Pro
**Description of the issue:**
(What the problem? Screenshots showing the issue if applicable)
The game crashes within few seconds after starting any random level. The crash was not observed with the previous version.</t>
  </si>
  <si>
    <t>nextcloud-android-6839</t>
  </si>
  <si>
    <t>Nextcloud mobile app crash</t>
  </si>
  <si>
    <t>jellyfin-jellyfin-androidtv-553</t>
  </si>
  <si>
    <t>Connecting to an IPv6 address crashes the client.</t>
  </si>
  <si>
    <t>Testing https: github.com jellyfin jellyfin pull 3994.
On attempting to access an item the client closes down. (Amazon FireTv)</t>
  </si>
  <si>
    <t>2020-08-27</t>
  </si>
  <si>
    <t>PhenoApps-Field-Book-150</t>
  </si>
  <si>
    <t>[BUG] BrAPI import Study 1 throws index out of bounds exception.</t>
  </si>
  <si>
    <t>**Describe the bug**
Following error occurs, application does not crash. This is applicable in master and develop branches.
1. Go to fields activity
2. import via brapi
3. choose study and press save field and ok
study should be loaded, especially since the dialog shows plots found.
If applicable, add screenshots to help explain your problem.
**Device Info (please complete the following information):**
Pixel AVD Android</t>
  </si>
  <si>
    <t>Anuken-Mindustry-2443</t>
  </si>
  <si>
    <t>Save message</t>
  </si>
  <si>
    <t>**Steps to reproduce**:
*1 make or edit map.
Save the map
exit the map*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</si>
  <si>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Anuken-Mindustry-2442</t>
  </si>
  <si>
    <t>Community Servers Tab Bug</t>
  </si>
  <si>
    <t>**Steps to reproduce**: *I clicked the tab*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</si>
  <si>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nextcloud-android-6829</t>
  </si>
  <si>
    <t>android app crashes</t>
  </si>
  <si>
    <t>jonathanpalma-react-native-tesseract-ocr-88</t>
  </si>
  <si>
    <t>Crash when using another language</t>
  </si>
  <si>
    <t>**Describe the bug**
Just use code from example and changing into LANG INDONESIAN when after select image from camera it just crash. But when using LANG ENGLISH is doing just fine.
**Dependencies (please complete the following information):**
Steps to reproduce the behavior:
1. Copy from example
2. Change language into Indonesian
3. Copy ind.traineddata into assets tessdata
4. Select image from camera
Get the result just like from example
**Smartphone (please complete the following information):**
Device: Sony Experia ZR C5503
OS: Android 6.0</t>
  </si>
  <si>
    <t>2020-08-26</t>
  </si>
  <si>
    <t>Anuken-Mindustry-2436</t>
  </si>
  <si>
    <t>**Steps to reproduce**: *How you happened across the issue, and what you were doing at the time.*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</si>
  <si>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PhenoApps-Field-Book-148</t>
  </si>
  <si>
    <t>[BUG] Collect Activity crashes after importing sample csv. Android Kitkat.</t>
  </si>
  <si>
    <t>**Describe the bug**
Related to https: github.com PhenoApps Field-Book issues 146 but slightly different.
Similarly, the app crashes immediately on navigating to Collect Activity after importing the first sample csv.
Steps to reproduce the behavior:
1. Press no to both dialogs.
2. Go to fields, import sample csv.
3. Go back to Config and click Collect.
**Device Info (please complete the following information):**
Model: AVD Pixel 4.4.2 KitKat
Seems to be problem with loading traits.</t>
  </si>
  <si>
    <t>PhenoApps-Field-Book-147</t>
  </si>
  <si>
    <t>[BUG] TraitActivity UI Lock Bug</t>
  </si>
  <si>
    <t>**Describe the bug**
low priority bug that locks the TraitActivity layout and leaves defunct view artifact by deleting all traits, reimporting sample traits during an item move event.
This bug requires multiple independent presses to reproduce, which is unlikely to happen.
Steps to reproduce the behavior:
1. Go to TraitsActivity.
2. With one finger, begin moving an item with the draggable tag.
3. With second finger hand delete all traits.
4. With second finger hand Import sample traits, during dialog unclick first finger.
Layout should not crash. Move item event should be dismissed when an options item is selected.
If applicable, add screenshots to help explain your problem.
**Device Info (please complete the following information):**
Tested on Physical Device Moto Android
UI is not reset onResume onPause
UI is reset if you leave the activity and go back</t>
  </si>
  <si>
    <t>Anuken-Mindustry-2431</t>
  </si>
  <si>
    <t>speedhack</t>
  </si>
  <si>
    <t>Speedhack on multiplayer works
**Steps to reproduce**:
&lt;--- nan bug really caused here
**Link to mod(s) used, if applicable**: deltanedas dev-mode
**Crash report, if applicable**: nobody crashed until nan, which crashed everyone except few people
*Place an (no spaces) between the brackets to confirm that you have read the line below.*
**I have searched the closed and open issues to make sure that this problem has not already been reported.**</t>
  </si>
  <si>
    <t>Anuken-Mindustry-2429</t>
  </si>
  <si>
    <t>Bleeding edge auto updater mac desktop crash</t>
  </si>
  <si>
    <t>Screen Shot 2020-08-26 at 10 16 21 (https: 3179271
**Steps to reproduce**: use the button on the main menu to download newer bleeding edge build
**Link to mod(s) used, if applicable**: null
**Crash report, if applicable**: null
*Place an (no spaces) between the brackets to confirm that you have read the line below.*
**I have not searched the closed and open issues to make sure that this problem has not already been reported.**</t>
  </si>
  <si>
    <t>Anuken-Mindustry-2425</t>
  </si>
  <si>
    <t>Core wrong respawn</t>
  </si>
  <si>
    <t>**Steps to reproduce**: *create map with or more cores, and hold one, your ship will be created in closest core to you.*
**Link to mod(s) used, if applicable**:
**Crash report, if applicable**: *The contents of relevant crash report files.*
*Place an (no spaces) between the brackets to confirm that you have read the line below.*
**I have searched the closed and open issues to make sure that this problem has not already been reported.**</t>
  </si>
  <si>
    <t>Anuken-Mindustry-2424</t>
  </si>
  <si>
    <t>Logic processor OOM</t>
  </si>
  <si>
    <t>Logic processor caused an OOM exception
**Steps to reproduce**:
joined sandbox server, lag built up because of gc and eventually crashed.
**Crash report, if applicable**: crash 1598390414524.txt (https: github.com Anuken Mindustry files 5126335 crash 1598390414524.txt)
*Place an (no spaces) between the brackets to confirm that you have read the line below.*
**I have searched the closed and open issues to make sure that this problem has not already been reported.**</t>
  </si>
  <si>
    <t>2020-08-25</t>
  </si>
  <si>
    <t>meet-eat-meet-eat-app-android-21</t>
  </si>
  <si>
    <t>[BUG] Pressing change button in profile view without submitting information causes a crash</t>
  </si>
  <si>
    <t>Without submitting any different password in the password change fields and pressing the change button leads to crash.
**How to Reproduce**
Steps to reproduce the behavior:
1. Go to own profile view
2. Click on change (for changing the user password) but don submit new data
3. See error
The app should either do nothing or the button should not be pressable
Screenshot 2020-08-25 213607 (https: 35570024</t>
  </si>
  <si>
    <t>meet-eat-meet-eat-app-android-19</t>
  </si>
  <si>
    <t>[BUG] Log in again after minimizing crashes the app</t>
  </si>
  <si>
    <t>After minimizing the app in normal logged in user mode and starting it in this state, the app crashes ** once ** when trying to log in again with the user login credential.
**How to Reproduce**
Steps to reproduce the behavior:
1. User actively using the app minimize it via e.g. pressing home button of Android device
2. Open app again by pressing the app icon
3. Login with login credentials
4. App crashes
App should login as usual.
Screenshot 2020-08-25 214933 (https: 35570024</t>
  </si>
  <si>
    <t>Anuken-Mindustry-2417</t>
  </si>
  <si>
    <t>Issue with bugged Panning if using Follow Mouse</t>
  </si>
  <si>
    <t>**Steps to reproduce**:
Use Mouse Back to pan and get the camera not centered on the Player
Instead of using WASD to snap out of the pan, use Mouse Forward to make the ship follow the mouse.
You will observe that the player is locked in the screen until and unless they use WASD again.
**Link to mod(s) used, if applicable**: No mods.
**Crash report, if applicable**: No crash.
*Place an (no spaces) between the brackets to confirm that you have read the line below.*
**I have searched the closed and open issues to make sure that this problem has not already been reported.**</t>
  </si>
  <si>
    <t>arduino-Arduino-Science-Journal-Android-6</t>
  </si>
  <si>
    <t>Download recording crash</t>
  </si>
  <si>
    <t>**Describe the bug**
clear and concise description of what the bug is.
tried to download recording, but the app goes blank.
Steps to reproduce the behavior:
1. Record sensor
2. Open recording
3. tap on the three dots menu
4. tap download
5. Screen goes blank
It should download the recording
**Smartphone (please complete the following information):**
Device: e.g. iPhone6 Mediacom T9 tablet
OS: e.g. iOS Android
Browser e.g. chrome, safari
Version e.g. 22 7.0
Add any other context about the problem here.</t>
  </si>
  <si>
    <t>Blankj-AndroidUtilCode-1310</t>
  </si>
  <si>
    <t>KeyboardUtils.hideSoftInput无法隐藏输入法</t>
  </si>
  <si>
    <t>AndroidUtilCode utilcode:1.16.3 utilcodex:1.16.3 --&gt;
Bug 5&lt;!-- Nexus 5X --&gt;
Android Android8.0&lt;!-- API 27 --&gt;
put your code here
Caused by: should init first
put the stack of crash here</t>
  </si>
  <si>
    <t>PhenoApps-Field-Book-146</t>
  </si>
  <si>
    <t>[BUG] Crashes in Collect after importing field_sample.csv</t>
  </si>
  <si>
    <t>**Describe the bug**
Following exception occurs after importing sample csv, going to Collect, and pressing the +1 button.
Steps to reproduce the behavior:
1. Accept all permissions.
2. Press no to both dialogs.
3. Go to Fields, import local file field sample.csv
4. Go back to Config activity
5. Go to Collect
6. Click any button (other than primary secondary choice) on this page and the app crashes
**Device Info (please complete the following information):**
Tested on Pixel AVD</t>
  </si>
  <si>
    <t>2020-08-24</t>
  </si>
  <si>
    <t>OpenTracksApp-OpenTracks-390</t>
  </si>
  <si>
    <t>force close when stopping track</t>
  </si>
  <si>
    <t>**Describe the bug**
start track let it run for few minutes and when push to stop (or pause)the track it force closes and automatically starts recording the same track again on restart... And is suck in the force close auto record loop
Tried force close and clear data and re install. Same issue..
Works fine on my s7 with Google services
1. Go to ...
2. Click on ....
3. Scroll down to ....
4. See error
add logcat output
Device: Galaxy s4
OS: LineageOS androud 7.12
From fdroid no Google play or services installed
Had no issues on the last version. Been using this app for months very happy until latest update
Also crashes on my levono phab running Android with Google services disabled
also crashes on Nexus lineage Android 7.1.2 no Google</t>
  </si>
  <si>
    <t>getodk-collect-4036</t>
  </si>
  <si>
    <t>NPE in FormSaveViewModel</t>
  </si>
  <si>
    <t>#### Software and hardware versions
#### Problem description
#### Steps to reproduce the problem
My guess it that somehow the form is being quit before the formController has been set on the FormSaveViewModel
#### Expected behavior
null formController shouldn cause crash (as much as it wants to).
#### Other information
think good fix for this kind of thing is to move the logging logic to the view model so that it can just no-op on null formController good idea for this specific one would be to create quit or ignore action on the FormSaveViewModel that could take care of logging and removing temp instances etc.</t>
  </si>
  <si>
    <t>Anuken-Mindustry-2406</t>
  </si>
  <si>
    <t>Incorrect highlighting in tech tree</t>
  </si>
  <si>
    <t>linux steam on fedora 32
steam build 104.10
Some links in the tech tree are incorrectly highlighted. See attached screenshot.
**Steps to reproduce**: *How you happened across the issue, and what you were doing at the time.*
Opened the tech tree.
**Link to mod(s) used, if applicable**: *The mod repositories or zip files that are related to the issue.*
No mods used.
**Crash report, if applicable**: *The contents of relevant crash report files.*
No crash reported.
*Place an (no spaces) between the brackets to confirm that you have read the line below.*
**I have searched the closed and open issues to make sure that this problem has not already been reported.**
Screenshot from 2020-08-23 18-27-55 (https: 47609746</t>
  </si>
  <si>
    <t>2020-08-23</t>
  </si>
  <si>
    <t>CactiChameleon9-Gecko-Browser-1</t>
  </si>
  <si>
    <t>General Feedback</t>
  </si>
  <si>
    <t>(I can split stuff off into different issues if you want, but this is mostly lot of general stuff.)
Sorry for taking bit on posting this, but ve been using your browser for the past couple days and it been working very well. Performance is great (better than the old Firefox for Android Firefox 68), and have yet to have it crash. Opening closing it, putting it in the background, and opening from other apps all work fine.
not UI expert, but it seems fine to me, apart from one issue in the settings with narrow screens (I believe mine is 360px) where the text overlaps the buttons:
The best solution here would probably be to make the buttons go on top of the text, and maybe make the text tad smaller, depending on the screen size guess you could also make the line wrap or the text scroll.
If it isn too much of hassle, making the loading bar just pixel or two taller would be nice it took me little bit to realize that it existed.
Also, think the hide white loading page option might be inverted see the white loading page with it on.
Everything else is just things that aren implemented yet, so think that just about everything ve come across for now.</t>
  </si>
  <si>
    <t>aws-amplify-amplify-android-748</t>
  </si>
  <si>
    <t>Social sign in crashes the browser without any error messages</t>
  </si>
  <si>
    <t>was trying to setup Facebook login for my app. followed this guide: https: docs.amplify.aws lib auth social signin web ui platform
However, already had cognito user pool setup so instead of running amplify add auth ran amplify update auth and chose the complete walkthrough for all the options. The changes that made were choosing Facebook as social provider and setting up OAuth flow. gave my Facebook app ID and secret and added the redirect links. After that updated my AndroidManifest.xml to look like this:
&lt;data android:scheme cheuwo
LoginActivity is where the user can click the Facebook icon to run this code:
fun facebookLogin(view: View)
val intent Intent(this,
And yes, have onActivityResult() overloaded as shown in the guide. What happened was this: when clicked on the icon the first time it took me to the login page where put in my Facebook credentials. However, after signing in was redirected back to LoginActivity. Now whenever try to tap on the Facebook icon the browser starts loading little bit and instantly redirects me back. Not even complete reinstall of the app helped.</t>
  </si>
  <si>
    <t>2020-08-22</t>
  </si>
  <si>
    <t>Anuken-Mindustry-2404</t>
  </si>
  <si>
    <t>Game crashes in multiplayer with too many mods</t>
  </si>
  <si>
    <t>**Steps to reproduce**:
1. For two players: install the critical mass of mods (see the mod list below for possible example)
2. Create sandbox game, host by one player and join by the other
3. Create an Item Source and make it produce any modded item. In our case we were mostly testing it with **Voidore** from the Opore Mod, but other modded items showed the similar behavior. The **Voidore** is the black thing produced by the **Voidore Forge** factory building, just in case.
4. Build conveyor from that Item Source to nowhere, observe how the item starts flowing, everything is OK
5. Build the conveyor now to make it reach the Core or build Router on it.
6. The joined player crashes (see Crash Report 2)
7. Try disabling some mods that add items and see that it not particular mod that causing this, but the amount of mods (or maybe items added). For example, we tried the following tests:
a) only disable MicroAdd -- no error,
b) only disable Minfactory -- no error,
c) enable both MicroAdd and Minfactory -- the error is there.
d) only disable Heavy Industries, Heavy Armaments and Hypertech Mod -- no error
**These tests clearly indicate that when certain amount of modded items is added to the game, it crashes.** The limit at which it starts crashing is about 140-150 items listed in the Item Source list.
Another variation of this problem is bit different crash that happens in the same circumstances but the exception is different, and it happens for the host too (see Crash Report 1). Originally we have caught **that** kind of error on map where we were already playing for about 2.5 hours and got lot of infrastructure. Upon the attempts to reproduce that error (Crash Report 1) to report it, we stumbled upon the situation where only the joined player get the error now (Crash Report 2). It is yet unclear what circumstances determine which variation of the crash is going to happen but the variation seems to be prevailing now.
**Link to mod(s) used, if applicable**:
Below is the list of the mods we were testing on. **But it could be probably replicated with any set of mods that adds up to the similar amount of modded items**:
Better Blocks Mod v1.6.9 -- https: github.com MemFaceGo Better-Blocks-Mod tree 1.2%2B
Diamond Ore v1.27 -- https: github.com z0mbiesrock Diamond-Ore
Extended Unit Arsenal v1 -- https: github.com Garmundo
Gold Mod v1.3 -- https: github.com TheSlaylord GoldMod</t>
  </si>
  <si>
    <t>Anuken-Mindustry-2402</t>
  </si>
  <si>
    <t>The ability to take resources as turrets. (Bleeding Edge)</t>
  </si>
  <si>
    <t>**Steps to reproduce**:
1. Get into turrets.
2. Select structures with resources in it such as drills.
3. Click or Tap the resources to take it.
4. It will end up the resources was taken to turret without ammo filled. (After taking resources, you can place the resources to any input structures or discard it.)
**Link to mod(s) used, if applicable**: No mods
**Crash report, if applicable**: No crash
*Place an (no spaces) between the brackets to confirm that you have read the line below.*
**I have searched the closed and open issues to make sure that this problem has not already been reported.**</t>
  </si>
  <si>
    <t>Anuken-Mindustry-2398</t>
  </si>
  <si>
    <t>Bug(?) with hardware keyboards on Android</t>
  </si>
  <si>
    <t>Mindustry reloads whenever the steps below are taken
**Steps to reproduce**: *How you happened across the issue, and what you were doing at the time.*
1. Plug in keyboard (using an otg adapter) to your device
2. Start Mindustry
3. Unplug the keyboard
4. Mindustry reloads
**Link to mod(s) used, if applicable**: *The mod repositories or zip files that are related to the issue.*
**Crash report, if applicable**: *The contents of relevant crash report files.*
Mindustry doesn *crash* but here the last log: https: hastebin.com covifogeta.sql
*Place an (no spaces) between the brackets to confirm that you have read the line below.*
**I have searched the closed and open issues to make sure that this problem has not already been reported.**</t>
  </si>
  <si>
    <t>nextcloud-android-6779</t>
  </si>
  <si>
    <t>App crash on startup</t>
  </si>
  <si>
    <t>### Steps to reproduce
1. Start app
2. Wait seconds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t>
  </si>
  <si>
    <t>2020-08-21</t>
  </si>
  <si>
    <t>nextcloud-android-6776</t>
  </si>
  <si>
    <t>Crash with two-factor auth via notifications.</t>
  </si>
  <si>
    <t>### Steps to reproduce
0. Set up Russian language on your phone
1. Install two-factor auth via notifications
2. Put login and password in browser
3. Get notification
4. Confirm login and get crash
### Expected behaviour
### Actual behaviour
Login confirmation and app crashes after it
### Environment data
Android version: 10
Device model: Realme pro
Stock or customized system: Stock
Nextcloud app version: 3.12.1
Nextcloud server version: 19.0.1
************ CAUSE OF ERROR ************
************ APP INFORMATION ************
Build flavor: gplay
************ DEVICE INFORMATION ************
************ FIRMWARE ************</t>
  </si>
  <si>
    <t>Anuken-Mindustry-2394</t>
  </si>
  <si>
    <t>Cannot load mod that contains Chinese named content in steam version</t>
  </si>
  <si>
    <t>Linux (Arch Linux X64, KDE 5)
104.10 Steam version
Cannot load mod that contains Chinese named content. This problem also seems to occur in the non-Chinese version of Windows 10.
But this problem does not occur in my custom build that use source code from github code tag 104.6. (I don have non-Chinese version of Windows 10, tested on Linux)
**Steps to reproduce**: *How you happened across the issue, and what you were doing at the time.*
1. Place mod contains Chinese content in steam version Mindistry path
2. Start game, the game crashes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</si>
  <si>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TeamNewPipe-NewPipe-4172</t>
  </si>
  <si>
    <t>Can only play/download 360p and 720p</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</si>
  <si>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this video https: www.youtube.com watch?v iCUl1nMH5bE
2. Press on Play and play in 1080p resolution
2. Press download and download in 1080p resolution
&lt;!-- If you can cause the bug to show up again reliably (and hence don have proper set of steps to give us), please still try to give as many details as possible on how you think you encountered the bug. --&gt;
### Expected behavior
Be able to play any resolutions, like on Youtube app.
### Actual behaviour
On some rare unpopular videos, only 360p and 720p can be played or download
If you download and select resolution, you can see only 720p and 360p show video size, means only them can be downloaded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This is the log when you try to download 1080p</t>
  </si>
  <si>
    <t>Anuken-Mindustry-2392</t>
  </si>
  <si>
    <t>Pathfinding causes OOM crash</t>
  </si>
  <si>
    <t>**Steps to reproduce**:
1. Build some routerpedes
2. Control one (movement is very weird don know why)
3. Control another
4. Crashed few seconds later
**Link to mod(s) used, if applicable**: DeltaNedas routorio
**Crash report, if applicable**: crash 1597992159178.txt (https: github.com Anuken Mindustry files 5107233 crash 1597992159178.txt)
*Place an (no spaces) between the brackets to confirm that you have read the line below.*
**I have searched the closed and open issues to make sure that this problem has not already been reported.**</t>
  </si>
  <si>
    <t>TeamNewPipe-NewPipe-4168</t>
  </si>
  <si>
    <t>I can't play any video ( can't analize the web)</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</si>
  <si>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2. Press on ....
3. Swipe down to ....
1. Click on video
2. Wait few seconds
&lt;!-- If you can cause the bug to show up again reliably (and hence don have proper set of steps to give us), please still try to give as many details as possible on how you think you encountered the bug. --&gt;
### Expected behavior
&lt;!-- Tell us what you expect to happen. --&gt;
The info page is shown and can play video
### Actual behaviour
&lt;!-- Tell us what happens instead. --&gt;
The Guru Meditation screen pop ups just after open any video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</si>
  <si>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2020-08-20</t>
  </si>
  <si>
    <t>inaturalist-iNaturalistAndroid-891</t>
  </si>
  <si>
    <t>NullPointerException in TwoWayView.getChildEndEdge</t>
  </si>
  <si>
    <t>This seems like crash in 3rd party lib so not sure if we can do anything about it, but it is rising crash in recent builds (mostly 1.20.x)</t>
  </si>
  <si>
    <t>nextcloud-android-6766</t>
  </si>
  <si>
    <t>App crashes after loading file list</t>
  </si>
  <si>
    <t>### Steps to reproduce
1. Have an existing account already added to the app, in my case it been there for several updates
2. Add new account
3. Nextcloud now crashes when it able to connect to the newly added account serverr.
### Environment data
Nextcloud server versions: 19.0.1
Android stack trace:
************ CAUSE OF ERROR ************
************ APP INFORMATION ************
Build flavor: gplay
************ DEVICE INFORMATION ************
************ FIRMWARE ************
Hope this helps the project, if there are any more logs needed feel free to ask.</t>
  </si>
  <si>
    <t>aws-amplify-amplify-android-752</t>
  </si>
  <si>
    <t>Amplify submitEventsAndEndpoint Exception</t>
  </si>
  <si>
    <t>**Describe the bug**
We are using Amplify to send client-side events to Pinpoint and Kinesis. For small percentage (about 0.5%) of our users, our application crashes occasionally.
Unfortunately the stack trace from Firebase Crashlytics is not very helpful. On top of this, it appears that this crash is coming from new thread created by the SDK, which makes it impossible for us to catch the exception on our side.
Fatal Exception: length 8192 index 8192
To initialize the SDK:
Initialize the AWS Amplify libraries.
private fun initializeAmplify()
catch (error: AmplifyException)
To send events:
Map an event to an AWS amplify event.
param eventName The name of the event.
param bundle The parameters of the event.
private fun String, bundle: Bundle)
Amplify only supports: Boolean, Double, Int, String type params.
when (val bundleParam bundle.get(it))
is Boolean -&gt; event bundleParam)
is Double -&gt; event bundleParam)
is Int -&gt; event bundleParam)
is String -&gt; event bundleParam)
To set user properties:</t>
  </si>
  <si>
    <t>PhenoApps-Field-Book-145</t>
  </si>
  <si>
    <t>[BUG] Crashes after loading backup.db or deleting db and navigating to trait activity.</t>
  </si>
  <si>
    <t>**Describe the bug**
FieldBook crashes on fresh install when navigating to Traits after deleting the current db or importing the backup.db.
Steps to reproduce the behavior on AVD:
1. Say no to both dialogs on load.
2. Navigate to settings -&gt; database -&gt; delete database (or import backup.db), press yes both times
3. Press back, press no both times again.
4. Press Traits
Steps to reproduce the behavior on physical device:
1. Say no to both dialogs on load.
2. Navigate to settings -&gt; database -&gt; delete database (or import backup.db), press yes both times
3. Press back, press no both times again.
4. Press Traits, screen flashes white for few seconds and goes to settings page
5. Go to step (2) and it will crash when step (4) is reached again.
The app doesn crash.
**Device Info (please complete the following information):**
Model: Moto and Pixel AVD
Field Book Version 4.3.1</t>
  </si>
  <si>
    <t>Amari-G-WasteBuddy-90</t>
  </si>
  <si>
    <t>Prevent app from crashing when retrieving a project's author</t>
  </si>
  <si>
    <t>Amari-G-WasteBuddy-89</t>
  </si>
  <si>
    <t>Prevent app from crashing when loading search items</t>
  </si>
  <si>
    <t>Anuken-Mindustry-2385</t>
  </si>
  <si>
    <t>Nodes doesn't reconnect after picking with Mega</t>
  </si>
  <si>
    <t>**Steps to reproduce**: *Place three nodes in order, get into Mega, pick one of the nodes, place it back*
**Link to mod(s) used, if applicable**: *Vanilla*
**Crash report, if applicable**: *No crashes*
*Place an (no spaces) between the brackets to confirm that you have read the line below.*
**I have searched the closed and open issues to make sure that this problem has not already been reported.**</t>
  </si>
  <si>
    <t>norkator-paketin-seuranta-53</t>
  </si>
  <si>
    <t>CursorIndexOutOfBoundsException</t>
  </si>
  <si>
    <t>This kind of bug is very high on crash logs.
Another crash log has similar point but different</t>
  </si>
  <si>
    <t>TeamNewPipe-NewPipe-4165</t>
  </si>
  <si>
    <t>Random crash while trying to play some specific videos</t>
  </si>
  <si>
    <t>User Action: ui error
Request: App crash, UI failure
Content Country: GB
Content Language: en-GB
App Language: en GB
OS: Linux HONOR LND-AL30 HWLND-Q:8.0.0 HONORLND-AL30 184(C675):user release-keys 8.0.0 26
log b&gt;&lt; summary&gt;&lt;p&gt;</t>
  </si>
  <si>
    <t>nextcloud-android-6755</t>
  </si>
  <si>
    <t xml:space="preserve">Android app crashes </t>
  </si>
  <si>
    <t>### Steps to reproduce
1. Open nextcloud app in Android 10
2. Crawling through files
3. After few seconds crash report appears
### Expected behaviour
Tell us what should happen
Fourther more crawling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 Nextcloud log (data nextcloud.log)
Insert your Nextcloud log here</t>
  </si>
  <si>
    <t>Anuken-Mindustry-2384</t>
  </si>
  <si>
    <t>Range of processors doesn't appear before building them anymore</t>
  </si>
  <si>
    <t>**Steps to reproduce**: *Select any processor in logic category, drag mouse onto land.*
**Link to mod(s) used, if applicable**: *Vanilla.*
**Crash report, if applicable**: *No crashes.*
*Place an (no spaces) between the brackets to confirm that you have read the line below.*
**I have searched the closed and open issues to make sure that this problem has not already been reported.**</t>
  </si>
  <si>
    <t>ankidroid-Anki-Android-6923</t>
  </si>
  <si>
    <t>2.12alpha16/17 crash in test lab pre-launch report</t>
  </si>
  <si>
    <t>FATAL EXCEPTION: main
Caused by: Can not perform this action after onSaveInstanceState
... 10 more
Device screen recording https: youtu.be XrEPQDy395c</t>
  </si>
  <si>
    <t>2020-08-19</t>
  </si>
  <si>
    <t>ILikeBananas-ILBSYS_android-2</t>
  </si>
  <si>
    <t>Crashing if where are no saved servers</t>
  </si>
  <si>
    <t>If where no server in the shared preferences, the application crashes.</t>
  </si>
  <si>
    <t>nextcloud-talk-android-888</t>
  </si>
  <si>
    <t>Prevent crash from koin logger after kotlin update</t>
  </si>
  <si>
    <t>onaio-rdt-standard-448</t>
  </si>
  <si>
    <t>App unexpected closes/crashes when saving sample shipment form</t>
  </si>
  <si>
    <t>The application unexpectedly closes crashes when saving the completed sample shipment form.
The test was run on single phone times.</t>
  </si>
  <si>
    <t>Anuken-Mindustry-2380</t>
  </si>
  <si>
    <t>Campaign map glitches</t>
  </si>
  <si>
    <t>**Steps to reproduce**: *Capture any map, discover map in tech tree, launch to this map*
**Link to mod(s) used, if applicable**: *Vanilla*
**Crash report, if applicable**: *No crashes*
*Place an (no spaces) between the brackets to confirm that you have read the line below.*
**I have searched the closed and open issues to make sure that this problem has not already been reported.**</t>
  </si>
  <si>
    <t>Anuken-Mindustry-2379</t>
  </si>
  <si>
    <t>Water drill doesn't work</t>
  </si>
  <si>
    <t>**Steps to reproduce**: *Place water drill, connect to energy, it won work for some reason*
**Link to mod(s) used, if applicable**: *Vanilla*
**Crash report, if applicable**: *No crash*
*Place an (no spaces) between the brackets to confirm that you have read the line below.*
**I have searched the closed and open issues to make sure that this problem has not already been reported.**</t>
  </si>
  <si>
    <t>Anuken-Mindustry-2378</t>
  </si>
  <si>
    <t>Mass Item Duplication Glitch</t>
  </si>
  <si>
    <t>Steps to reproduce: Me and some others were testinf stuff in sandbox server. Then, when tried to pick up Container connected to Core and placed it down, we saw that items get duplicated.
Link to mod(s) used, if applicable: No mods used.
Crash report, if applicable: No crash.
*Place an (no spaces) between the brackets to confirm that you have read the line below.*
**I have searched the closed and open issues to make sure that this problem has not already been reported.**</t>
  </si>
  <si>
    <t>tchapgouv-tchap-android-legacy-606</t>
  </si>
  <si>
    <t>App is in a wrong state (crash) after deactivating the account</t>
  </si>
  <si>
    <t>Anuken-Mindustry-2377</t>
  </si>
  <si>
    <t>Rejoining with mega crashes other people</t>
  </si>
  <si>
    <t>**Steps to reproduce**: 1. Equip mega, 2. rejoin server.
**Link to mod(s) used, if applicable**: Null
**Crash report, if applicable**: No crash report, just kicked people
**I have searched the closed and open issues to make sure that this problem has not already been reported.**</t>
  </si>
  <si>
    <t>opensrp-opensrp-client-reveal-911</t>
  </si>
  <si>
    <t>The app crashes when one tries to login</t>
  </si>
  <si>
    <t>Login to the app using Namibia1 Test123 or jdoe Amani123
The app crashes immediately after.
See recording below</t>
  </si>
  <si>
    <t>nextcloud-android-6749</t>
  </si>
  <si>
    <t>application crashes if you try to set a password to the file share</t>
  </si>
  <si>
    <t>application crashes if you try to set password to the file share, set password then click ok on app 3.13.0 stable and app crash</t>
  </si>
  <si>
    <t>Anuken-Mindustry-2376</t>
  </si>
  <si>
    <t xml:space="preserve">not let play saying waiting for more players then kick </t>
  </si>
  <si>
    <t>Screenshot 20200819-110237 Mindustry BE (https: 69896899
Screenshot 20200819-110835 Mindustry BE (https: 69896899
**Steps to reproduce**: *How you happened across the issue, and what you were doing at the time.* just join server
**Link to mod(s) used, if applicable**: *The mod repositories or zip files that are related to the issue.*null
**Crash report, if applicable**: *The contents of relevant crash report files.*as
null not crash it online server
*Place an (no spaces) between the brackets to confirm that you have read the line below.*
**I have searched the closed and open issues to make sure that this problem has not already been reported.** it new bug</t>
  </si>
  <si>
    <t>koral---android-gif-drawable-746</t>
  </si>
  <si>
    <t>targetSdk=30， cause 100% crash when loading gif in Dialog component，but is ok in other issue.</t>
  </si>
  <si>
    <t>Anuken-Mindustry-2373</t>
  </si>
  <si>
    <t>The Weaver still uses energy while being disabled</t>
  </si>
  <si>
    <t>**Steps to reproduce**: *Place weaver, two sources of sand and thorium, microprocessor. Connect microprocessor to weaver. Start making phase fabric (animation should start playing). Set enabled of weaver1 to 0. Now it doesn craft fabric (normal effect), but still plays animation and takes 300 energy per second.*
**Link to mod(s) used, if applicable**: *Vanilla.*
**Crash report, if applicable**: *No crashes.*
*Place an (no spaces) between the brackets to confirm that you have read the line below.*
**I have searched the closed and open issues to make sure that this problem has not already been reported.**</t>
  </si>
  <si>
    <t>TeamNewPipe-NewPipe-4161</t>
  </si>
  <si>
    <t>Age-Gated Videos not playing</t>
  </si>
  <si>
    <t>This issue was initially referenced in #890 and cannot seem to be able to reopen the issue myself.
Nevertheless, videos such as https: www.youtube.com watch?v u9sO2c0Ml34 result in crash when trying to view them.
Thank you for your time and consideration.</t>
  </si>
  <si>
    <t>cgeo-WhereYouGo-201</t>
  </si>
  <si>
    <t>Crash when opening map</t>
  </si>
  <si>
    <t>just tested WhereYouGo nightly 2020.08.18-NB1 including the fix for #197.
Unfortunately the app constantly crashed when trying to open the map even on fresh install.
Tested with Samsung S10, Android 10.
The fix looked straight forward, but something seems wrong.
am not able to look at the adb log right now. Hope you can find out whats going on.</t>
  </si>
  <si>
    <t>2020-08-18</t>
  </si>
  <si>
    <t>Anuken-Mindustry-2371</t>
  </si>
  <si>
    <t>You cant upgrade units to multiplicative to exponentiol reconstructor</t>
  </si>
  <si>
    <t>**Steps to reproduce**: try to upgrade units to exponentiol
**Link to mod(s) used, if applicable**: no mod
**Crash report, if applicable**: *The contents of relevant crash report files.*
*Place an (no spaces) between the brackets to confirm that you have read the line below.*
**I have searched the closed and open issues to make sure that this problem has not already been reported.**</t>
  </si>
  <si>
    <t>tchapgouv-tchap-android-legacy-603</t>
  </si>
  <si>
    <t>[Preprod] Tchap crashes when it checks user presence</t>
  </si>
  <si>
    <t>This is due to https: github.com matrix-org synapse pull 7606 files</t>
  </si>
  <si>
    <t>MuntashirAkon-AppManager-68</t>
  </si>
  <si>
    <t>Returning to AM after uninstalling an app causes a crash</t>
  </si>
  <si>
    <t>### Stept to reproduce:
Open an app details page in App Mamager
Switch to the OS launcher or settings app
Uninstall the app whose details were opened in AM
Return to AM through recents
Haven had time to capture log but the issue seems easily reproducible.</t>
  </si>
  <si>
    <t>nextcloud-android-6729</t>
  </si>
  <si>
    <t>Android Nextcloud app crash</t>
  </si>
  <si>
    <t>### Steps to reproduce
1. the error message was issued at booting-up my Android phone
2. However, the problem is that cannot log in to my personal account on my own server, it loops on Grant access
### Expected behaviour
Tell us what should happen
1. to be able to connect to my Nextcloud server (please note that have the Notes app, and the Android app synchronizes very well with it)
2. when an error happens, the application should be able to post all the required infos to devs without asking for an account on github etc...
### Actual behaviour
The application stays on the screen with You are about to grant Xiaomi Redmi Plus access to your Nextcloud access
### Can you reproduce this problem on https: try.nextcloud.com?
no, it connects
### Environment data
Device model: Xiaomi Redmi Plus
Stock or customized system: MCAOSP
Nextcloud app version: 3.12.1
Nextcloud server version: 19.0.1
#### Web server error log
#### Nextcloud log (data nextcloud.log)</t>
  </si>
  <si>
    <t>Anuken-Mindustry-2367</t>
  </si>
  <si>
    <t>Modded unit crash</t>
  </si>
  <si>
    <t>**Steps to reproduce**:
1. install testcase.zip
2. place factory ,select oh no and give it copper
**Crash report**: crash 1597729774127.txt (https: github.com Anuken Mindustry files 5088451 crash 1597729774127.txt)
*Place an (no spaces) between the brackets to confirm that you have read the line below.*
**I have searched the closed and open issues to make sure that this problem has not already been reported.**</t>
  </si>
  <si>
    <t>TeamNewPipe-NewPipe-legacy-38</t>
  </si>
  <si>
    <t>Crash during boot loading, "Android Box SH940C-LN android jelly bean"</t>
  </si>
  <si>
    <t>please fix this. NewPipe Legacy error on ANDROID BOX SH940C-LN android versi jelly bean
User Action: ui error
Request: App crash, UI failure
Content Country: ID
Content Language: in-ID
App Language: in ID
OS: Linux Android 4.2.2 17
log b&gt;&lt; summary&gt;&lt;p&gt;</t>
  </si>
  <si>
    <t>Anuken-Mindustry-2365</t>
  </si>
  <si>
    <t>Platform: windows,Build: v0.84j Issue: there is a yellow car on the street that drives in circles, I don't know what caused the issue.</t>
  </si>
  <si>
    <t>2020-08-17</t>
  </si>
  <si>
    <t>Anuken-Mindustry-2364</t>
  </si>
  <si>
    <t>Naval units dont die on land</t>
  </si>
  <si>
    <t>**Steps to reproduce**: While on the 6.0 sever orange got the Mega and used it to put Naval units on land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</si>
  <si>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nextcloud-android-6719</t>
  </si>
  <si>
    <t>NPE: FileUploader.onTransferProgress - NotificationManager.notify()</t>
  </si>
  <si>
    <t>### Steps to reproduce
1. Run Seedvault backup against latest release until you see the NPE in the logs :stuck out tongue:
### Environment data
Nextcloud app version: 3.12.1
#### Nextcloud log (data nextcloud.log)
Looking at FileUploader it seems that its is set in onCeate() and only nulled in onDestroy() So it is strange that it would ever be null However, in this file, there several instances of:
suggesting that this has been an issue before. The easy solution is to add this code before the NPE crash site as well. So will probably submit PR for that. However, the fact that the NotificationManager just disappears from running service probably warrants an investigation into the why.
It might happen that you try to make notification when the service is being destroyed. In this case, you either don want to show this notification or cancel one you ve been showing before. Re-assigning the NotificationManager hopefully doesn cause memory leak, so at least you get the last notification through...
In this case, it might be easier to just not null it in onDestroy()</t>
  </si>
  <si>
    <t>Anuken-Mindustry-2363</t>
  </si>
  <si>
    <t>Logic bug</t>
  </si>
  <si>
    <t>Screenshot io anuke mindustry be (https: 57223926
know this bleeding edge version is just for pc, but think bug is bug.*
**Step to reproduce.**: *open processor logic menu and close your app(don clear cache)open it again and paste some input command.*
**Link to mod(s) used, if applicable**: *no mods.*
**Crash report, if applicable**: *no crash report.*
*Place an (no spaces) between the brackets to confirm that you have read the line below.*
**I have searched the closed and open issues to make sure that this problem has not already been reported.**</t>
  </si>
  <si>
    <t>Anuken-Mindustry-2361</t>
  </si>
  <si>
    <t>Further progress impossible after unlocking 1 new map</t>
  </si>
  <si>
    <t>**Steps to reproduce**: As described above.
No mods or crash report
*Place an (no spaces) between the brackets to confirm that you have read the line below.*
**I have searched the closed and open issues to make sure that this problem has not already been reported.**</t>
  </si>
  <si>
    <t>amahi-android-626</t>
  </si>
  <si>
    <t>Fix TV mode support crash</t>
  </si>
  <si>
    <t>However, this requires testing on real Android TV since our shares aren visible on an Android TV emulator because of the way of connection to the internet in virtual device.</t>
  </si>
  <si>
    <t>amahi-android-625</t>
  </si>
  <si>
    <t>Android TV Not Opening</t>
  </si>
  <si>
    <t>**Describe the issue**
App crashes as soon as opened in Android TV.
**Smartphone (please complete as much of the following information as possible):**
Device: Android TV Emulator</t>
  </si>
  <si>
    <t>ltGuillaume-DroidShows-91</t>
  </si>
  <si>
    <t>I found some crash issues</t>
  </si>
  <si>
    <t>DroidShow android:versionCode 71100 android:versionName 7.11.0
AndroidOS Version 6.0.1
We find that mobile apps are prone to crashes due to network issue, mainly because successful network API calls return unexpected or no data.
And we found that when this app network returned data is null or the network request fails (status code is 404 503) the app has crashed.
**crash information **
### crash one:
... 11 more
... 11 more
### Crash Two:
These crashes happened by accident when was testing. tried to reproduce them and found that they can be reproduced, but they are real. hope they can help you to debug.
The cause of the program crash may be that the network response data is not handled properly in the code,
If you have confirmed or fixed this problem, please give me reply, thank you!</t>
  </si>
  <si>
    <t>Anuken-Mindustry-2360</t>
  </si>
  <si>
    <t>Window,build 9297,issue when i copy the End command in processor then import it it say invalid at the End command</t>
  </si>
  <si>
    <t>Shushhh-ShushAndroid-81</t>
  </si>
  <si>
    <t>App crashes when you run a location no repeat with a loction-time no repeat object</t>
  </si>
  <si>
    <t>2020-08-16</t>
  </si>
  <si>
    <t>nextcloud-android-6708</t>
  </si>
  <si>
    <t>App crashed while moving files</t>
  </si>
  <si>
    <t>TeamNewPipe-NewPipe-4139</t>
  </si>
  <si>
    <t>Download Problem</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</si>
  <si>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Download percentage goes above 100%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</si>
  <si>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deltachat-deltachat-android-1565</t>
  </si>
  <si>
    <t>crash when opening a chat</t>
  </si>
  <si>
    <t>Delta Chat 1.12.2
Expected behavior: chat message opens
Actual behavior: app crashes
Steps to reproduce the problem: right now, it happens all the time. think it might be related to poor connection. since could find no related crash with message figured the log could be useful to you...
Screenshots: let me know if you need the video recording and ll upload it once get good connection.
device HMD Global Nokia 7.2 (Daredevil 00EEA)
android 10 (00WW 270 SP04, 00WW 270 SP04)
memory 24M (51.12% free, 512M max)
host Common 192-168-67-139 12026 docker
app Delta Chat 1.12.2-fat
configured mvbox folder DeltaChat
configured sentbox folder Sent
database version 66
deltachat core version v1.44.0
entered account settings cregox disroot.org automatic automatic
journal mode wal
messages in contact requests
number of chat messages 97
number of chats 11
number of contacts 883</t>
  </si>
  <si>
    <t>TeamNewPipe-NewPipe-4137</t>
  </si>
  <si>
    <t>Icon channel in the playlist tab in main page</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</si>
  <si>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have playlist in tab
click to the channel icon to access directly to the channel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ui error</t>
  </si>
  <si>
    <t>mh--corona-warn-companion-android-9</t>
  </si>
  <si>
    <t>Crash on API 30 (Android R)</t>
  </si>
  <si>
    <t>App version 1.0.6 crashes:
Log.d(TAG, Trying to copy LevelDB</t>
  </si>
  <si>
    <t>2020-08-15</t>
  </si>
  <si>
    <t>Anuken-Mindustry-2353</t>
  </si>
  <si>
    <t xml:space="preserve">conduits not working correctly </t>
  </si>
  <si>
    <t>2020-08-14</t>
  </si>
  <si>
    <t>cfirinidis-GotNXT-79</t>
  </si>
  <si>
    <t>Stand In Names Update</t>
  </si>
  <si>
    <t>Correcting Stand-Ins with name causes crash</t>
  </si>
  <si>
    <t>Anuken-Mindustry-2350</t>
  </si>
  <si>
    <t>release bug</t>
  </si>
  <si>
    <t>**Steps to reproduce**: enter the item in core with conveyor
**Crash report, if applicable**: no crash report, only what see
*Place an (no spaces) between the brackets to confirm that you have read the line below.*
**I have searched the closed and open issues to make sure that this problem has not already been reported.**</t>
  </si>
  <si>
    <t>2020-08-13</t>
  </si>
  <si>
    <t>Anuken-Mindustry-2347</t>
  </si>
  <si>
    <t>Crash when trying to insert more than 3500 lines from the buffer into microprocessor and logic processor</t>
  </si>
  <si>
    <t>try draw image on display
**Steps to reproduce**: *How you happened across the issue, and what you were doing at the time.*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</si>
  <si>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SeulGeek-FoodForYou-36</t>
  </si>
  <si>
    <t>[메인 기능] 인터넷 연결이 되지 않았을 경우 crash(크래시) 발생</t>
  </si>
  <si>
    <t>Anuken-Mindustry-2346</t>
  </si>
  <si>
    <t>Effect bug</t>
  </si>
  <si>
    <t>Screenshot io anuke mindustry be (https: 57223926
**Steps to reproduce**: *click pause button and start to draw conveyor.*
**Link to mod(s) used, if applicable**: *no.*
**Crash report, if applicable**: *The contents of relevant crash report files.*
*Place an (no spaces) between the brackets to confirm that you have read the line below.*
**I have searched the closed and open issues to make sure that this problem has not already been reported.**</t>
  </si>
  <si>
    <t>TotalCross-totalcross-97</t>
  </si>
  <si>
    <t>libgpiod: fixes crash when running on a system without libgpiod</t>
  </si>
  <si>
    <t>Using globfree when glob fails crashes de tcvm.
That why having libgpiod fixed the crash.
### Related Issue:
## Benefited Devices:
Linux ARM systems</t>
  </si>
  <si>
    <t>2020-08-12</t>
  </si>
  <si>
    <t>awslabs-aws-mobile-appsync-sdk-android-306</t>
  </si>
  <si>
    <t>Setting ClientDatabasePrefix via builder causes crash if configuration is present</t>
  </si>
  <si>
    <t>**Describe the bug**
Setting programmatically causes crash if there is configuration
Steps to reproduce the behavior:
It sets the on the builder, that prefix is used, and the library doesn throw an error.
complete the following information):**
AppSync SDK Version: 3.1.0
**Device Information (please complete the following information):**
Device: Pixel 3, Simulator
Android Version: 10
The issue is here (https: github.com awslabs blob main src main java com amazonaws mobileconnectors appsync If you set the using the method, but have config, then it overrides your previously set value with null instead of checking if one is already set programmatically.
Caused by: Please check the AppSync configuration in
... 44 more
Caused by: is not present in AppSync configuration in however is passed in.</t>
  </si>
  <si>
    <t>gsantner-markor-1027</t>
  </si>
  <si>
    <t>Searching not working while going back to edit mode</t>
  </si>
  <si>
    <t>#### General information
think this might be bug. While doing search for keywords after switching back from view mode only back again to edit view it simply refuses to go to searched phrase word. You have to open file again to make searching work.
**App version: 2.3.2
1. Open document
2. Go to view only mode
3. Go back to edit mode
4. Look for word
5. Select result
6. App doesn go to location of that word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</si>
  <si>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Inversion-NL-Toon-Android-46</t>
  </si>
  <si>
    <t>App crashes in background while trying to dismiss the progress dialog</t>
  </si>
  <si>
    <t>**Describe the bug**
This is crash caused by your app dismissing dialog attached to an Activity which is finishing or finished. This can happen in number of ways -- for example, if an AsyncTask is running while ProgressDialog is showing, and the user rotates the device, causing the Activity to be recreated.
**App version (please complete the following information):**
App version 0.7.0
**Additional context or information**
Fatal Exception: View DecorView a4b92d5 Even geduld not attached to window manager</t>
  </si>
  <si>
    <t>Inversion-NL-Toon-Android-45</t>
  </si>
  <si>
    <t>App crashes on setting up connection</t>
  </si>
  <si>
    <t>**Describe the bug**
clear and concise description of what the bug is.
**App version (please complete the following information):**
App version 0.7.0
**Additional context or information**</t>
  </si>
  <si>
    <t>patzly-grocy-android-70</t>
  </si>
  <si>
    <t>App crashes when trying to edit Masterdata/Products</t>
  </si>
  <si>
    <t>Hi! using version 1.8.0 from F-Droid (Izzys Repo). Server is running version 2.7.1
In the menu can tap masterdata and then products All fine. When tapping on any product the app crashes.
Adding new products works fine. The problem only occurs when editing existing ones.
This happens on three different devices with different Android versions.</t>
  </si>
  <si>
    <t>2020-08-11</t>
  </si>
  <si>
    <t>onaio-rdt-standard-354</t>
  </si>
  <si>
    <t>App crashes when Enter sample details manually for shipment</t>
  </si>
  <si>
    <t>When you enter sample shipment --&gt; Enter sample details manually for shipment, the app crashes.</t>
  </si>
  <si>
    <t>inaturalist-iNaturalistAndroid-878</t>
  </si>
  <si>
    <t>IllegalArgumentException in ObservationProvider.query</t>
  </si>
  <si>
    <t>Not sure why haven filed this before, but it our biggest crash. was probably assuming it was an OOM issue. Anyway, is this db migration issue? Does not seem specific to device, Android version, or iNat version (happening since build 394, at least).
Caused by the bind value at index is null</t>
  </si>
  <si>
    <t>TeamNewPipe-NewPipe-4112</t>
  </si>
  <si>
    <t>UI Error on specific video</t>
  </si>
  <si>
    <t>get crash that comes up as UI error trying to play back this video: https: m.youtube.com watch?v eueyYOMCRuc
The video overview page with comments and description loads fine, but trying to play the video yields this error:
User Action: ui error
Request: App crash, UI failure
Content Country: GB
Content Language: en-GB
App Language: en GB
OS: Linux Android 10 29
log b&gt;&lt; summary&gt;&lt;p&gt;</t>
  </si>
  <si>
    <t>inaturalist-iNaturalistAndroid-874</t>
  </si>
  <si>
    <t>GifDrawable cannot be cast to BitmapDrawable</t>
  </si>
  <si>
    <t>This might be problem with Glide, or maybe with gifs? Only one crash so far so doesn seem major.</t>
  </si>
  <si>
    <t>2020-08-10</t>
  </si>
  <si>
    <t>NordicSemiconductor-Android-BLE-Library-224</t>
  </si>
  <si>
    <t>Fatal Exception: java.lang.IllegalArgumentException: Parameter specified as non-null is null: method kotlin.jvm.internal.Intrinsics.b, parameter device</t>
  </si>
  <si>
    <t>ve been seeing this crash in my app with Samsung devices. It seems that the BluetoothDevice object is coming up as null:
Fatal Exception: Parameter specified as non-null is null: method parameter device
Is there anything that can be done to mitigate it? currently on version **2.2.0-beta03**</t>
  </si>
  <si>
    <t>Anuken-Mindustry-2336</t>
  </si>
  <si>
    <t>Names staying on units</t>
  </si>
  <si>
    <t>Here is picture of the bug.
Steps to reproduce: was testing some units while being on my server. Qmelz and some other people joined and we tested some logic gates and stuff. Then, when Qmelz tried riding Lich, he disconnected. However, his name tag was still on the unit. Then, used the unit he was using before and moved bit. After that, Qmelz rejoined and he spawned normaly as Gamma but, the name on the unit was still not gone. Thus, his name was cloned and no way of getting destroyed unless the unit dies.
Link to mod(s) used, if applicable: No mods used.
Crash report, if applicable: no crash report
(Sorry for repost, changed mech unit)
*Place an (no spaces) between the brackets to confirm that you have read the line below.*
**I have searched the closed and open issues to make sure that this problem has not already been reported.**</t>
  </si>
  <si>
    <t>Anuken-Mindustry-2335</t>
  </si>
  <si>
    <t>Names not disappearing when log out.</t>
  </si>
  <si>
    <t>Here is picture of the bug.
**Steps to reproduce**: was testing some units while being on my server. Qmelz and some other people joined and we tested some logic gates and stuff. Then, when Qmelz tried riding Lich, he disconnected. However, his name tag was still on the unit. Then, used the unit he was using before and moved bit. After that, Qmelz rejoined and he spawned normaly as Gamma but, the name on the unit was still not gone. Thus, his name was cloned and no way of getting destroyed unless the unit dies.
**Link to mod(s) used, if applicable**: No mods used.
**Crash report, if applicable**: no crash report
*Place an (no spaces) between the brackets to confirm that you have read the line below.*
**I have searched the closed and open issues to make sure that this problem has not already been reported.**</t>
  </si>
  <si>
    <t>ankidroid-Anki-Android-6877</t>
  </si>
  <si>
    <t>WebViewPackageMissing crash on startup</t>
  </si>
  <si>
    <t>###### Reproduction Steps
1. This one just keeps new ways to go down
###### Expected Result
###### Actual Result
###### Debug info
*Enter an character to confirm the points below:*
have searched for similar existing issues here and on the user forum
(Optional) have confirmed the issue is not resolved in the latest alpha release instructions (https: docs.ankidroid.org</t>
  </si>
  <si>
    <t>TeamNewPipe-NewPipe-4109</t>
  </si>
  <si>
    <t>Error recovering download</t>
  </si>
  <si>
    <t>TeamNewPipe-NewPipe-4108</t>
  </si>
  <si>
    <t>SimpleAppProjects-SimpleWeather-Android-1</t>
  </si>
  <si>
    <t>Location tab crashes the app (Android)</t>
  </si>
  <si>
    <t>running version 3.3.1 of the app on my smartphone (Oneplus 6T with LineageOs 17.1). Since the release of v3.3.1, whenever try to open the Locations tab, the app keeps trying to fetch data and then crashes. tried to change the weather provider from the default one (Here) to another one (Yahoo) but it doesn change anything.
If you need further details can try to provide them (but no developer).
Apart from this issue the app is really great lots of useful features, slick interface and small footprint. Congrats
Have nice day</t>
  </si>
  <si>
    <t>amahi-android-599</t>
  </si>
  <si>
    <t>File Options Not Opening in Offline Files</t>
  </si>
  <si>
    <t>**Describe the issue**
Whenever try to access the file options in offline files, the app crashes.
**To Reproduce or Feature details**
Steps to reproduce the behavior:
1. Go to offline files
2. Click the three dots in front of the file name
3. App crashes</t>
  </si>
  <si>
    <t>2020-08-08</t>
  </si>
  <si>
    <t>ankidroid-Anki-Android-6852</t>
  </si>
  <si>
    <t>Crash on import of large file</t>
  </si>
  <si>
    <t>###### Reproduction Steps
1. Import large file (how large? Larger than space available to import)
###### Expected Result
Import succeeded or at least friendly error message
###### Actual Result
believe this is crashing in 2.12.1 based on play store review
thought we handled most of these so they did not percolate but apparently not? Stated another way believed these were non-fatal even if we got an exception report but it does not seem to be the case
Also thought we were checking before import for some multiple of space required, but also apparently not :-
###### Debug info
*Enter an character to confirm the points below:*
have searched for similar existing issues here and on the user forum
(Optional) have confirmed the issue is not resolved in the latest alpha release instructions (https: docs.ankidroid.org</t>
  </si>
  <si>
    <t>TeamNewPipe-NewPipe-4097</t>
  </si>
  <si>
    <t>Livestreamed video crashes on load</t>
  </si>
  <si>
    <t>User Action: requested stream
Request: https: www.youtube.com watch?v Rs4hTm6B9QQ
Content Country: GB
Content Language: en-GB
App Language: en GB
OS: Linux HUAWEI HMA-L29 HWHMA:10 HUAWEIHMA-L29 10.0.0.214C432:user release-keys 10 29
log b&gt;&lt; summary&gt;&lt;p&gt;
This video sometimes loads as livestream, in which case it does play, but am not able to download it.</t>
  </si>
  <si>
    <t>nextcloud-android-6677</t>
  </si>
  <si>
    <t>Nextcloud app crashes when opening a large folder</t>
  </si>
  <si>
    <t>### Steps to reproduce
1. Open folder with many files (in my case pictures)
### Expected behaviour
App lists folder content
### Actual behaviour
App crashes (only crashes in app, not web)
### Environment data
Device model: OnePlus Pro
Stock or customized system: stock
Nextcloud app version: 3.12.1
Nextcloud server version: latest docker
Reverse proxy: Nginx
#### Nextcloud log (data nextcloud.log)
************ CAUSE OF ERROR ************
************ APP INFORMATION ************
Build flavor: gplay
************ DEVICE INFORMATION ************
************ FIRMWARE ************</t>
  </si>
  <si>
    <t>nextcloud-android-6675</t>
  </si>
  <si>
    <t>[3.13.0 RC4] Unable to display 12-digit mnemonic code in app</t>
  </si>
  <si>
    <t>unable to display 12-digit mnemonic code in app,
the application crashes when try to view the 12 digits of my mnemonic in the setup menu. attach crash photos</t>
  </si>
  <si>
    <t>square-okhttp-6216</t>
  </si>
  <si>
    <t>3.14.x versions have unstable handling of NetworkOnMainThreadException</t>
  </si>
  <si>
    <t>Starting with version 3.14.0, if happens it is possible for subsequent request to receive the response from the previous (supposedly failed) request.
Consider this code snippet using OkHttp 3.14.0 and Okio 1.15.0
val strip1Request Request.Builder()
val strip2Request Request.Builder()
val strip3Request Request.Builder()
val noopCallback object Callback
override fun onFailure(call: Call, e: IOException) Unit
override fun onResponse(call: Call, response: Response) Unit
This first request ensures the host is correctly recognized for connection recycling
This second request will trigger The try catch mimics
the behavior when using OkHttp Retrofit RxJava2.
val handler Handler()
This final request will receive the response from the request above.
This makes first request in order for the host to be recognized for connection recycling later. The second request is the problematic one that fails. The try catch mimics what would happen when making the actual request via Retrofit RxJava (which is how we discovered the issue). The final request is where the problem revealed the network response returned is actually the response for the second request.
The complete set of logs produced here are
Note how the request for the 3rd strip produces the data for the 2nd (which is most directly seen by looking at the num property). This is one basic example but we ve seen this behavior in the wild with our own APIs. This also isn simply problem with the logging the response printed by the logger is definitely the one that gets delivered to the Response
This issue is not present in versions prior to 3.14.0 or in 4.x.x
The stacktraces for the before and after 3.14.0 hint at part of the problem. On 3.13.1 it is clear OkHttp is catching the error, marking the stream with failure, and rethrowing:
After 3.14.0 the crash happens in Okio and is not caught and rethrown:
This seems to leave the connection in an invalid state where it is still open and ready to read the response but it will also be recycled for the next request because it was not marked with failure.</t>
  </si>
  <si>
    <t>2020-08-07</t>
  </si>
  <si>
    <t>TeamNewPipe-NewPipe-4093</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</si>
  <si>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requested stream
Request: https: www.youtube.com watch?v 1PwrKkuzn7Y
Content Country: CA</t>
  </si>
  <si>
    <t>awslabs-aws-mobile-appsync-sdk-android-305</t>
  </si>
  <si>
    <t>Crash: IllegalStateException: please call response.close() - okhttp3</t>
  </si>
  <si>
    <t>When our app got switched to AppSync v3.0.2 from 3.0.1 the users of our app started experiencing the crash.
We don see errors like that on 3.0.1 (our app use it since Jan 2020 till May 2020)
Fatal Exception: cannot make new request because the previous response is still open: please call response.close()
There are no steps to reproduce, of course, the crash is happening sporadically. Please take look at the additional context.
AppSync SDK Version: 3.0.2
Devices: wide range of
Android Version: through 10
Our application is setting up two instances of AWSAppSyncClient in
1. One client is configured with our custom S3ObjectManager which extends from and has the following code (to not retry lost files)
override fun upload(s3Object:
if (!file.exists() !file.isFile)
throw File s3Object.localUri() does not exist or is not file
This client is also configured with credentials provider.
2. The second client is configured with allowing to submit mutations without prior authentication
Both clients use AWS IAM auth mode.</t>
  </si>
  <si>
    <t>Anuken-Mindustry-2319</t>
  </si>
  <si>
    <t>New iOS client, new issue</t>
  </si>
  <si>
    <t>**Steps to reproduce**: Play the game normally for few hours. am not sure what specifically causes this issue, as it seems to appear randomly.
**Link to mod(s) used, if applicable**: None
**Crash report, if applicable**: Issue does not cause crashes.
*Place an (no spaces) between the brackets to confirm that you have read the line below.*
**I have searched the closed and open issues to make sure that this problem has not already been reported.**
am not sure if iOS can send files correctly to GitHub so am not sure if the screenshot have will show. If not, ll edit it in with my Android client.</t>
  </si>
  <si>
    <t>nextcloud-android-6665</t>
  </si>
  <si>
    <t>IllegalStateException @ PlayerServiceConnection.stop</t>
  </si>
  <si>
    <t>One of the top crashes within the last 30 days reported on GPlay dev console:
Any ideas ezaquarii? :)
Android 10 (SDK 29)
Android (SDK 28)</t>
  </si>
  <si>
    <t>nextcloud-android-6664</t>
  </si>
  <si>
    <t>Android client crashes when there is connection to the internet</t>
  </si>
  <si>
    <t>### Steps to reproduce
1. Approx 17k+ photos left in synchronizing WhatsApp images on the device 6GB+ already synchronized all other directories are already done every synchronizing directory set to sync *ONLY* when connected via WiFi.
2. Having WiFi connected or maybe bile internet, whatever connection, the problem occurs same with all syncronizing directories set to disabled (blue cloud turned to gray)
3. Switching to flight mode or disabling any connection allows to run the app
### Expected behaviour
data syncronization, running app
### Actual behaviour
program interface won show up with any active internet connection, regardless syncronization settings
### Environment data
Device model: Xiaomi Redmi Note Pro
Stock or customized system:
Stock, MIUI global 11.0.3 stable Android 10
Nextcloud app version:
Can see right now, sat up 05.08.2020 from PlayMarket
Nextcloud server version:
Ubuntu 18.04 LTS, Apache2, NextCloud 19.0.1
#### Web server error log
Insert your webserver log here
#### Nextcloud log (data nextcloud.log)
Insert your Nextcloud log here</t>
  </si>
  <si>
    <t>TeamNewPipe-NewPipe-4090</t>
  </si>
  <si>
    <t>Could not load decryption code</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</si>
  <si>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This only happened once. Just had to report it as it came up for me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stream</t>
  </si>
  <si>
    <t>2020-08-06</t>
  </si>
  <si>
    <t>cgeo-cgeo-8761</t>
  </si>
  <si>
    <t>Fatal exception of logging</t>
  </si>
  <si>
    <t>While playing around bit with the new LoggingManager constantly receive the following error already on the first step:
Caused by: Object returned from onCreateLoader must not be null
The cache is stored offline already. Error occurs directly when pressing the log button. The log dialog does not even show up, c:geo directly crashes (or at least the logging activity does) returns to cache list.
Probably due to no GC login info having been stored, because when added login data for this connector, the dialog showed up. But still: In this case an error message should be shown instead of crashing the activity.</t>
  </si>
  <si>
    <t>deepjavalibrary-djl-150</t>
  </si>
  <si>
    <t xml:space="preserve">jvm crushes in native when try to running torch model </t>
  </si>
  <si>
    <t>Hi. have some problems with running model from https: github.com emiliantolo pytorch nsfw model in DJL. Jvm crashes with an error in native. try to run it with openjdk 8, zulu 8, zulu 13.
### Expected Behavior
Expected that model will run correctly
### Error Message
fatal error has been detected by the Java Runtime Environment:
SIGSEGV (0xb) at pc 0x0000000134a917ae, pid 12860, tid 9219
JRE version: OpenJDK Runtime Environment
(Zulu13.28+11-CA) (13.0.1+10) (build 13.0.1+10-MTS)
Java VM: OpenJDK 64-Bit Server VM (13.0.1+10-MTS, mixed mode, sharing, tiered, compressed oops, g1 gc, bsd-amd64)
libtorch cpu.dylib+0x2a957ae target default null const&amp;)+0x2e
No core dump will be written. Core dumps have been disabled. To enable core dumping, try ulimit -c unlimited before starting Java again
An error report file with more information is saved as:
Users evgenyzakharov Workspace pytorch nsfw model jvm hs err pid12860.log
If you would like to submit bug report, please visit:
http: www.azulsystems.com support
The crash happened outside the Java Virtual Machine in native code.
See problematic frame for where to report the bug.
And in dump error message is next:
Native frames: (J compiled Java code, aot compiled Java code, interpreted, Vv VM code, native code)
libtorch cpu.dylib+0x2a957ae target default null const&amp;)+0x2e</t>
  </si>
  <si>
    <t>material-components-material-components-android-1577</t>
  </si>
  <si>
    <t>[BottomNavigationView] Long pressing multiple times on same bottom menu item crashes on API 24</t>
  </si>
  <si>
    <t>**Expected behavior:** Should show tooltip irrespective of how many times long press happens
Bottom navigation view crash (https: 10187654
--------- beginning of crash
**Android API version:** 24
**Material Library version:** 1.2.0 (happens on older versions too)</t>
  </si>
  <si>
    <t>material-components-material-components-android-1571</t>
  </si>
  <si>
    <t>[TextView] Crash when using custom style</t>
  </si>
  <si>
    <t>am facing crash at TextView after update my Material Android Library to version 1.2.0 from 1.1.0
Error inflating class TextView
Caused by: Font path null, style FontStyle weight 400, slant ttcIndex 0, axes localeList buffer pos lim 433584 cap 433584 has already been added
This is my TextView element.
And this is my CustomTextParagraph style.
&lt;style name CustomTextParagraph parent android:style
&lt;item name android:textStyle &gt;normal&lt; item&gt;
&lt;item name android:fontFamily font sf pro&lt; item&gt;
&lt;item name android:textColor color darkGray&lt; item&gt;
This is my theme parent.
&lt;style name AppTheme parent
**Android API version:**
Android 10 (API level 29)
**Material Library version:**</t>
  </si>
  <si>
    <t>nextcloud-android-6657</t>
  </si>
  <si>
    <t xml:space="preserve"> When using collabora, the app crashes and restarts.</t>
  </si>
  <si>
    <t>### Steps to reproduce
1. Android logs in to nextcloud.
2. Use collabora to open office documents.
3. Nextcloud app crashes and restarts.
### Expected behaviour
Open and edit office documents as if you were using computer browser.
### Actual behaviour
Nextcloud app crashes and restarts.
### Can you reproduce this problem on https: try.nextcloud.com?
Server not found in app.
### Environment data
Stock or customized system:
Nextcloud app version:
Nextcloud-android 3.13.0 RC3
Nextcloud-android 3.13.0 RC1
Nextcloud server version:
19.0.0 in docker
nginx 1.18.0 in docker
#### Web server error log
Insert your webserver log here</t>
  </si>
  <si>
    <t>TeamNewPipe-NewPipe-4083</t>
  </si>
  <si>
    <t>NewPipe won't start after crash (if ACRA is disabled)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</si>
  <si>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Disable crash reports using Warden app
2. Do something that makes NewPipe crash
3. Try to re-open NewPipe
4. NewPipe keeps closing.
&lt;!-- If you can cause the bug to show up again reliably (and hence don have proper set of steps to give us), please still try to give as many details as possible on how you think you encountered the bug. --&gt;
### Expected behavior
&lt;!-- Tell us what you expect to happen. --&gt;
think NewPipe should be able to start, even if crash reports are disabled.
### Actual behaviour
&lt;!-- Tell us what happens instead. --&gt;
NewPipe keeps closing, right after starting it.
Of course, crash reports helps debugging and improving the app. Although, don think starting should require ACRA, at all.
don know if this is good practice, but: what if there were place for logs, under settings?
In this way, people would be able to browse history of crash reports and report whenever they feel like.</t>
  </si>
  <si>
    <t>2020-08-05</t>
  </si>
  <si>
    <t>defold-extension-iap-26</t>
  </si>
  <si>
    <t>Crash app on free() empty static string</t>
  </si>
  <si>
    <t>In IAP FreeProduct on free title or description (which defined with ), application will crash</t>
  </si>
  <si>
    <t>Anuken-Mindustry-2316</t>
  </si>
  <si>
    <t>Sometimes people get stuck in the transformation mech pads.</t>
  </si>
  <si>
    <t>**Steps to reproduce**: was playing like normal, nothing unusual and doing defence stuff, then died and couldn escape unless rejoined, got into another mech pad, or someone saves me. This bug seems to happen when you are suffering in decently high ping. If it does happen then you can escape afterwards even with ping.
Sadly this is pretty hard to reproduce due to be being ping based and cannot provide screenshot.
**Link to mod(s) used, if applicable**: None, although mods that do have transformation mech pads suffer from this too.
**Crash report, if applicable**: This isn crashing bug.
*Place an (no spaces) between the brackets to confirm that you have read the line below.*
**I have searched the closed and open issues to make sure that this problem has not already been reported.**</t>
  </si>
  <si>
    <t>Blankj-AndroidUtilCode-1293</t>
  </si>
  <si>
    <t>SpanUtils.setClickSpan设置图片点击后背景颜色异常，如何设置</t>
  </si>
  <si>
    <t>Anuken-Mindustry-2311</t>
  </si>
  <si>
    <t>Visual Water Unit Glitch</t>
  </si>
  <si>
    <t>Running on Chromebook, so Linux
Visual glitch with water units: water trails instantaneously appear across map upon pickup and dropoff by payload-carrying unit.
**Steps to reproduce**: *How you happened across the issue, and what you were doing at the time.*
Use the Mega, pick up any water unit (I happened to use Bryde), plop it down in another body of water some distance away.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</si>
  <si>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2020-08-04</t>
  </si>
  <si>
    <t>nextcloud-android-6638</t>
  </si>
  <si>
    <t>App crashes when trying to move files to different folder</t>
  </si>
  <si>
    <t>### Steps to reproduce
1. Select files
2. Click move
3. Click on folder in the folder picking overview
### Expected behaviour
The selected folder should be displayed
### Actual behaviour
The app crashes
### Can you reproduce this problem on https: try.nextcloud.com?
Please create test demo account and see if this still happens there.
If yes, please open up bug report
If not, please verify server setup and ask for help on forum
### Environment data
Android version: 10
Device model: OnePlus
Stock or customized system: Stock
Nextcloud app version: 3.13.0 RC2
Nextcloud server version:
#### Web server error log
Insert your webserver log here</t>
  </si>
  <si>
    <t>TeamNewPipe-NewPipe-4074</t>
  </si>
  <si>
    <t>can't import from file</t>
  </si>
  <si>
    <t>HenriDellal-emerald-104</t>
  </si>
  <si>
    <t>ThemerActivity crashes on start</t>
  </si>
  <si>
    <t>Apparently getting wallpaper from system requires READ EXTERNAL STORAGE permission
Possible steps to solve it:
Request permission if it not given and give brief explanation of why it needed. Then if the permission is not given, use placeholder (e.g. solid color or system resource) or hide the wallpaper part of activity.
Don request permission and use different layout for activity, so the Wallpaper theme could be reused.</t>
  </si>
  <si>
    <t>2020-08-03</t>
  </si>
  <si>
    <t>Anuken-Mindustry-2303</t>
  </si>
  <si>
    <t>Visual Glitch, Mechanical Drill</t>
  </si>
  <si>
    <t>**Steps to reproduce**: had mechanical drill on copper ore, bridge connecting it from the left(I tried it with titanium conveyer belt and it still showed up), looked at the other drills and it did not have this issue, saw this at 163,25 coordinate on the Walls are Flood Attack map, deleted the drill and rebuilt it at the same spot and it still produced thorium.
**Link to mod(s) used, if applicable**:
**Crash report, if applicable**: *The contents of relevant crash report files.*
*Place an (no spaces) between the brackets to confirm that you have read the line below.*
**I have searched the closed and open issues to make sure that this problem has not already been reported.**</t>
  </si>
  <si>
    <t>nextcloud-android-6630</t>
  </si>
  <si>
    <t>Anuken-Mindustry-2302</t>
  </si>
  <si>
    <t>Another bug report.</t>
  </si>
  <si>
    <t>**Steps to reproduce**: *Unsure as to how*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</si>
  <si>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TeamNewPipe-NewPipe-4060</t>
  </si>
  <si>
    <t>Expandable player with unified UI ANDROID 4.4.4 crash normale player</t>
  </si>
  <si>
    <t>When click play on normal player app crash, but popup player work and music player work :( have find this problem because now have try apk with last change. (I test sponsorblock apk)
User Action: ui error
Request: App crash, UI failure
Content Country: IT
Content Language: it-IT
App Language: it IT
OS: Linux Android 4.4.4 19
log b&gt;&lt; summary&gt;&lt;p&gt;</t>
  </si>
  <si>
    <t>2020-08-02</t>
  </si>
  <si>
    <t>square-okhttp-6206</t>
  </si>
  <si>
    <t>BufferedSource.readUtf8() causing DataFormatException: invalid distance too far back</t>
  </si>
  <si>
    <t>After updated OkHttp to 4.8.0 started receiving this error in the crash reporting tool.
### Stack trace:
Non-fatal Exception: invalid distance too far back
inline fun run(result: (Int, BufferedSource) -&gt; Unit)
val json JSONObject()
json.put( foo 123)
val request Request
val response okHttp
run Int, bufferedSource: BufferedSource -&gt;
val result Crash here
Could be source() and then calling readUtf8() be the problem?
The crash happened in Galaxy Grand Prime Plus running Android 6.0.1.
### Secondary log crash report (can be related):
Non-fatal Exception: ID1ID2: actual 0x00000800 expected 0x00001f8b</t>
  </si>
  <si>
    <t>massivemadness-Squircle-IDE-11</t>
  </si>
  <si>
    <t>Undo/Redo may be crash</t>
  </si>
  <si>
    <t>*Please consider making Pull Request if you are capable of doing so.*
2020.2.2 Develop branch, means all version has the bug.
ViVo x27 with Android 10
**Describe the bug**
fun pop(): TextChange
TODO: size must
val item stack size
currentSize item.newText.length item.oldText.length
Steps to reproduce the behavior:
1. Change content of Editor.
2. Quick click undo or redo button.
3. May be crash.</t>
  </si>
  <si>
    <t>TeamNewPipe-NewPipe-4057</t>
  </si>
  <si>
    <t>UI Crash</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</si>
  <si>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Scroll down channel really quickly!!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ui error
Request: App crash, UI failure
Content Country: US
Content Language: en</t>
  </si>
  <si>
    <t>nextcloud-android-6616</t>
  </si>
  <si>
    <t>com.owncloud.android.ui.activity.FolderPickerActivity cannot be cast to com.owncloud.android.ui.activity.FileDisplayActivity</t>
  </si>
  <si>
    <t>### Steps to reproduce
1. Create new Auto Upload
2. Select remote Folder
### Expected behaviour
The Folder should become the selected folder
### Actual behaviour
The App crashes
************ CAUSE OF ERROR ************
************ APP INFORMATION ************
Build flavor: gplay
************ DEVICE INFORMATION ************
************ FIRMWARE ************</t>
  </si>
  <si>
    <t>nextcloud-android-6615</t>
  </si>
  <si>
    <t>App crash on Start</t>
  </si>
  <si>
    <t>### Steps to reproduce
1. Start Android App
2. Upload pending count is over 3000 since server Version update from 18 to 19.
3. App does not response kill after minutes
4. Start App
### Expected behaviour
App should not crash
### Actual behaviour</t>
  </si>
  <si>
    <t>TeamNewPipe-NewPipe-4055</t>
  </si>
  <si>
    <t>Newpipe app isn't opening.</t>
  </si>
  <si>
    <t>am facing issue with newpipe app. It crashes automatically when click on it. Currently am using github release of the app version is 0.19.8.
This all happens suddenly. All is working good momemt ago the app just suddenly start behaving like this. tried clearing app cache force closing it. haven cleared the app data yet as all my subscription playlists gone if do.
Here are the crash logs: https: del.dog phigurrulo</t>
  </si>
  <si>
    <t>TeamNewPipe-NewPipe-4052</t>
  </si>
  <si>
    <t>History settings toggles don</t>
  </si>
  <si>
    <t>Anuken-Mindustry-2297</t>
  </si>
  <si>
    <t>**Steps to reproduce**: *I was messing around with the routers surrounding junction storage thing, And noticed the router kept going from resource to Resource when outputting, don think this is meant to happen*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</si>
  <si>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nextcloud-android-6613</t>
  </si>
  <si>
    <t>Can not auto upload to external storage</t>
  </si>
  <si>
    <t>### Steps to reproduce
1. Configure auto upload remote folder
2. Select external Storage folder
3. App crashes
### Expected behaviour
should be able to auto upload to external storage
### Actual behaviour
### Environment data
Stock or customized system:
Nextcloud app version:
Nextcloud server version:
#### Nextcloud app log
************ CAUSE OF ERROR ************
************ APP INFORMATION ************
Build flavor: gplay
************ DEVICE INFORMATION ************
************ FIRMWARE ************</t>
  </si>
  <si>
    <t>TeamNewPipe-NewPipe-4048</t>
  </si>
  <si>
    <t xml:space="preserve">New Bug. Can't play any videos. Get a blank screen with a rotating white circle that keeps rotating indefinitely. Downloaded the latest version 4 days ago and it seemed fine until today. </t>
  </si>
  <si>
    <t>SkyTubeTeam-SkyTube-787</t>
  </si>
  <si>
    <t>Enter Video URL -&gt; Crash (when clipboard contains screenshot image)</t>
  </si>
  <si>
    <t>When select Enter Video URL
if the clipboard contains text, then it will present an input dialog with the text auto populated in the textbox.
but if take screenshot (holding volume down and power button simultaneously on my Android phone for seconds until screenshot is captured, and also placing that into the clipboard), and then select the Enter Video URL option
SkyTube app crashes and closes abruptly.</t>
  </si>
  <si>
    <t>nextcloud-android-6610</t>
  </si>
  <si>
    <t>android app crash on message receive, nextcloud talk</t>
  </si>
  <si>
    <t>### Steps to reproduce
1. Receive message on nextcloud talk.
### Expected behaviour
get normal notification.
### Actual behaviour
-get nextcloud crash report. Can still load messages after reloading the talk app. Nextcloud app still works as expected.
### Can you reproduce this problem on https: try.nextcloud.com?
didn try but it only seems to happen on my device. No one else connected to the same server has the same issue. They are all using different devices. Maybe only problem on sony g8142?
### Environment data
Device model: Sony G8142
Stock or customized system: stock upgraded Sony android
Nextcloud app version:
nextcloud talk 8.0.9
Nextcloud server version:
#### Web server error log
Insert your webserver log here
#### Nextcloud log (data nextcloud.log)
Insert your Nextcloud log here
************ CAUSE OF ERROR ************
************ APP INFORMATION ************</t>
  </si>
  <si>
    <t>2020-08-01</t>
  </si>
  <si>
    <t>TeamNewPipe-NewPipe-4041</t>
  </si>
  <si>
    <t>Different behaviour for when leaving full screen video play through minimize and back button</t>
  </si>
  <si>
    <t>&lt;!-- Which version are you using? Hopefully the latest! We just told you that above! --&gt;
dev branch (unified player)
### Steps to reproduce the bug
1. Go to ...
2. Press on ....
3. Swipe down to ....
1. Start video in full screen (horizontal).
2. Press the back button of the phone (for me back gesture)
### Expected behavior
The video continues to play in the vertical mode. As if pressed the minimize button.
### Actual behaviour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</si>
  <si>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nextcloud-android-6605</t>
  </si>
  <si>
    <t>app crashes when entering server address</t>
  </si>
  <si>
    <t>### Steps to reproduce
1. Open app and select Login
2. Input NextCloud server address and press Next
3. App crashes
have the issue with next Hetzner NextCloud server (https: Interestingly didn have the issue with the OPS ONE server used before to try out NextCloud.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**Works fine with the demo server.**
### Environment data
Stock or customized system:
Nextcloud app version:
version 3.13.0 RC1
Nextcloud server version:
#### Web server error log</t>
  </si>
  <si>
    <t>nextcloud-android-6604</t>
  </si>
  <si>
    <t>Nextcloud crash when browsing activities</t>
  </si>
  <si>
    <t>Open nextcloud app and click on activities. Start scrolling and app crashes. This is on plus device.
************ CAUSE OF ERROR ************
************ APP INFORMATION ************
Build flavor: gplay
************ DEVICE INFORMATION ************
************ FIRMWARE ************</t>
  </si>
  <si>
    <t>Anuken-Mindustry-2291</t>
  </si>
  <si>
    <t>yet another plastanium conveyor bug thing</t>
  </si>
  <si>
    <t>Plastanium conveyors incorrectly connect to armored conveyors.
Screenshot 20200801-015554 Mindustry BE.jpg (https: 49169907
**Steps to reproduce**: *How you happened across the issue, and what you were doing at the time.*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</si>
  <si>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TeamNewPipe-NewPipe-4034</t>
  </si>
  <si>
    <t>"could not get any stream" could not parse website</t>
  </si>
  <si>
    <t>As pre-warning, Ive never submitted anything through github and know pretty much nothing about coding, bit ve looked for this issue and don think can find it anywhere (so it could possibly be personal issue then maybe) be gentle with me &lt;3
### Steps to reproduce the bug
1. Go to any video, for me it most consistent when selecting video from the feed part of the subscription tab. For myself the video recognised it on was this video (https: www.youtube.com watch?v sAf7SbvTlIY)
But ve noticed it on many others also
2. Press on the video to go to it page where comments and whatnot can be seen
3. Error appears here, preview thumbnail doesn load, sometimes comments do but then it crashes shortly after
&lt;!-- If you can cause the bug to show up again reliably (and hence don have proper set of steps to give us), please still try to give as many details as possible on how you think you encountered the bug. --&gt;
### Expected behavior
Video thumbnail would load and the video would become playable
### Actual behaviour
Crashes! Also worth noting that the video can be played in the background or as popup either.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Screen shot just before the crash report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requested stream
Request: https: www.youtube.com watch?v sAf7SbvTlIY
Content Country: GB
Content Language: en
App Language: en AU</t>
  </si>
  <si>
    <t>2020-07-31</t>
  </si>
  <si>
    <t>CylonicRaider-euphoria-app-6</t>
  </si>
  <si>
    <t>Input bar regression</t>
  </si>
  <si>
    <t>Recently (since the 0.1.0 release, at least), the input bar has taken up disappearing when room messages are initially loaded.
Trying to navigate the input bar somewhere restores it into visibility.
In relation to that, deserializing the state of room UI where the input bar has disappeared leads to the app crashing (this, in turn, supports the theory that the input bar actually disappears, and is not, say, mis-positioned to be somewhere out of sight). While this bug will be quashed when the first regression is fixed, it should also be fixed *in its own right*.</t>
  </si>
  <si>
    <t>Anuken-Mindustry-2290</t>
  </si>
  <si>
    <t>[Bleed] Using invalid building hotkeys causes a crash</t>
  </si>
  <si>
    <t>**Steps to reproduce**: Start game, find the last available hotkey in the build menu, in any category. Use the hotkey but use value higher than what is available. For example, if the last item hotkey is press Also works with Hotkeys that are only two presses, such as
**Crash report**: crash-report-07 31 2020 13 29 26.txt (https: github.com Anuken Mindustry files 5008748 crash-report-07 31 2020 13 29 26.txt)
**I have searched the closed and open issues to make sure that this problem has not already been reported.**</t>
  </si>
  <si>
    <t>TeamNewPipe-NewPipe-4033</t>
  </si>
  <si>
    <t>Constant ping sound during background play</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</si>
  <si>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Play any music in background play.
am getting this issue in Oneplus 6T running the latest update.
&lt;!-- If you can cause the bug to show up again reliably (and hence don have proper set of steps to give us), please still try to give as many details as possible on how you think you encountered the bug. --&gt;
### Expected behavior
&lt;!-- Tell us what you expect to happen. --&gt;
No ping sounds when audio plays
### Actual behaviour
&lt;!-- Tell us what happens instead. --&gt;
Constant ping sounds in short intervals during background play.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No crashes as such.
&lt;!-- That right, here! --&gt;</t>
  </si>
  <si>
    <t>cgeo-cgeo-8717</t>
  </si>
  <si>
    <t>DBExtentions - c:geo crashes</t>
  </si>
  <si>
    <t>**Describe the bug:**
When trying to use the new DBExtentions c:geo crashes on my device.
Steps to reproduce the behavior:
1. Go to Live Map
2. Click on download offline map
3. Start download...
--&gt; crash! from the second time even if you only click on download offline map in live map
**Expected behavior state after performing these steps:**
Everything shoud work fine
**Is the problem reproducible:**
Yes at least on my device
--- System information ---
Android version: 5.0.1
Android build: LRX21M.vC29-0 release-keys
Google Play services: enabled 20.24.14 (020300-319035315)
Low power mode: inactive
Compass capabilities: no
Rotation vector sensor: absent
Orientation sensor: absent
Magnetometer Accelerometer sensor: absent</t>
  </si>
  <si>
    <t>material-components-material-components-android-1551</t>
  </si>
  <si>
    <t>[Catalog] Crash will happen in MenuMainDemoFragment when Activity recreate happened</t>
  </si>
  <si>
    <t>When Activity recreate happened (such as screen rotate), clicking SHOW POPUP in will cause the app to crash.
The field will not be initialized in this case.</t>
  </si>
  <si>
    <t>FTCLib-FTCLib-70</t>
  </si>
  <si>
    <t>Getting "libOprnCvNative.so was not found, any OpenCV-enabled OpModes will crash..."</t>
  </si>
  <si>
    <t>**Describe the bug**
When the we added FTCLib to our skystone code, we got the error. We have previously copied over libOpenCVNative.so to the phone and we checked it is still there.
Steps to reproduce the behavior:
Installed FTCLib per the instructions (verison 0.0.0)
We should not get the error
Add any other context about the problem here. We would recommend telling us:
OS and version 8.0.0 (moto e)
Android Studio version 4.0
JDK version 1.8</t>
  </si>
  <si>
    <t>TeamNewPipe-NewPipe-4024</t>
  </si>
  <si>
    <t>Crash when closing the background player</t>
  </si>
  <si>
    <t>### Steps to reproduce the bug
Not too sure if this reproducible, here what did before got the crash screen.
1. played video in background mode
2. Paused it
3. Opened other apps for 15 minutes
4. Clicked on the play button
4. Immediately clicked on the close button
5. Get the crash report screen
### Expected behavior
The notification goes away without crashing
### Actual behaviour
The app crashed when clicked on the close button
### Screenshots Screen recordings
NA, this is the first time this has happened
### Additional Context
have battery saver on, custom rom with Agressive Battery enabled, this is likely software specific issue.
User Action: ui error
Request: App crash, UI failure
Content Country: US
Content Language: en</t>
  </si>
  <si>
    <t>2020-07-30</t>
  </si>
  <si>
    <t>TeamNewPipe-NewPipe-4020</t>
  </si>
  <si>
    <t>NewPipe responds to pressing Bluetooth Earphone media buttons when it shouldn't</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</si>
  <si>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Have Newpipe installed but closed and not playing anything
2. Connect Bluetooth earphone with media control button
3. Press the media button while on the Android homescreen or in another app
&lt;!-- If you can cause the bug to show up again reliably (and hence don have proper set of steps to give us), please still try to give as many details as possible on how you think you encountered the bug. --&gt;
### Expected behavior
&lt;!-- Tell us what you expect to happen. --&gt;
Newpipe ignores the input
### Actual behaviour
&lt;!-- Tell us what happens instead. --&gt;
An empty player controls notification is created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(Edited because accidentally left my WiFi details in lol)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</si>
  <si>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react-native-share-react-native-share-834</t>
  </si>
  <si>
    <t>Crash when passing property subject to open on macOS catalyst build</t>
  </si>
  <si>
    <t>### Steps to reproduce
### Expected behaviour
Share dialog should appear
### Actual behaviour
app crashed with:
Exception 0x1050a9800&gt; this class is not key value coding-compliant for the key subject. was thrown while invoking open on target RNShare with params
CoreFoundation 0x00007fff36c10b57 exceptionPreprocess 250
libobjc.A.dylib 0x00007fff6fa575bf objc exception throw 48
CoreFoundation 0x00007fff36c3934c NSException raise
Foundation 0x00007fff39200473 setValue:forKey: 363
UIKitCore 0x00007fff778e45ea UIViewController setValue:forKey: 87
xxxxxx 0x00000001001cbbf8 RNShare 2376
CoreFoundation 0x00007fff36b768ac invoking 140
CoreFoundation 0x00007fff36b76751 NSInvocation invoke 303
CoreFoundation 0x00007fff36ba9d3a NSInvocation invokeWithTarget: 70
xxxxxx 0x0000000100273299 RCTModuleMethod 2633
10 xxxxxx 0x000000010027740c 796
11 xxxxxx 0x0000000100276ee6 0clEv 134
12 xxxxxx 0x0000000100276e4c block invoke 28
13 libdispatch.dylib 0x0000000103874844 dispatch call block and release 12</t>
  </si>
  <si>
    <t>TeamNewPipe-NewPipe-4015</t>
  </si>
  <si>
    <t xml:space="preserve">I cannot play video anymore </t>
  </si>
  <si>
    <t>We have fixed the decrpytion exception and new release is on its wait. Please do not report the bug, that no videos can be played.
If you are about to report something else, please remove this and the above line. Thank you :)
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</si>
  <si>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green-green-avk-AnotherTerm-6</t>
  </si>
  <si>
    <t>only crashes when run on Android &lt; 4.4</t>
  </si>
  <si>
    <t>Android 4.1.2 only here (because of the hardware keyboard!).
can provide more logs if needed, please just tell me which log level or regex filter should use.
If you need tester for 4.1, please do throw debug builds at me (even unsigned ones), would be glad to help!
AnotherTerm seems to be the only replacement for GNURoot and KBox and for devices too old to run Termux, thank you for that! :+1:</t>
  </si>
  <si>
    <t>opensrp-opensrp-client-reveal-861</t>
  </si>
  <si>
    <t>Zambia apk Crashing after log-in</t>
  </si>
  <si>
    <t>There is user account in use by Akros. It log into the android client v5.0.0 successfully. The App then syncs successfully. However, when one tries to select an operational ares, the app crashes.</t>
  </si>
  <si>
    <t>libgdx-gdx-pay-219</t>
  </si>
  <si>
    <t>NullPointerException in transaction() on iOS roboVM</t>
  </si>
  <si>
    <t>#### Issue details, reproduction steps code
The game crashes during startup on few devices. There no pattern of whether certain versions of iOS or devices are impacted.
#### Version of gdx-pay and or relevant dependencies
#### Please select the affected platforms and payment service implementation</t>
  </si>
  <si>
    <t>Anuken-Mindustry-2282</t>
  </si>
  <si>
    <t>infinite tech tree global items bug</t>
  </si>
  <si>
    <t>**Steps to reproduce**: entering on any sector and click on tech tree then click on any available block then re-enter in tech tree and global items come back https: youtu.be rm28VhSS5BA
**Link to mod(s) used, if applicable**: none
**Crash report, if applicable**: *no crashes that bug*
*Place an (no spaces) between the brackets to confirm that you have read the line below.*
**I have searched the closed and open issues to make sure that this problem has not already been reported.**</t>
  </si>
  <si>
    <t>2020-07-29</t>
  </si>
  <si>
    <t>TeamNewPipe-NewPipe-4010</t>
  </si>
  <si>
    <t>Importing subscriptions from previous export failed</t>
  </si>
  <si>
    <t>### Steps to reproduce the bug
1. Go subscriptions tab
2. Press on Import from previous export
### Expected behavior
The subscriptions and saved playlists should be imported from the file
### Actual behaviour
flashing message appears and it says Could not import subscriptions
### Screenshots Screen recordings
Nothing crashes, so no logs
#### The file in question
The file had been exported from NewPipe version 19.5 from the f-droid repository. Import is tried to be done on version 19.8 downloaded from GitHub release section.</t>
  </si>
  <si>
    <t>nextcloud-android-6574</t>
  </si>
  <si>
    <t>Android crash at Startup</t>
  </si>
  <si>
    <t>************ CAUSE OF ERROR ************
Caused by: Attempt to invoke virtual method boolean on null object reference
... 11 more
************ APP INFORMATION ************
Build flavor: gplay
************ DEVICE INFORMATION ************
************ FIRMWARE ************
App asked me to post here
After that only get the Fingerprint Pin Login Screen, but can get pass them stuck in Fingerprint Loop</t>
  </si>
  <si>
    <t>Anuken-Mindustry-2279</t>
  </si>
  <si>
    <t>Scene related exceptions don't create a crash log</t>
  </si>
  <si>
    <t>**Steps to reproduce**: See #2278
**Crash report, if applicable**: That the issue
*Place an (no spaces) between the brackets to confirm that you have read the line below.*
**I have searched the closed and open issues to make sure that this problem has not already been reported.**</t>
  </si>
  <si>
    <t>Anuken-Mindustry-2278</t>
  </si>
  <si>
    <t>Critical bug in bleeding edge</t>
  </si>
  <si>
    <t>**Steps to reproduce:** After leaving sector and launching to it again, game instantly crashes. Also ve seen turn being always 0.
**Link to mod(s) used, if applicable:** none
**Crash report, if applicable:** could not find any crash reports in game folder.
**- have searched the closed and open issues to make sure that this problem has not already been reported.**</t>
  </si>
  <si>
    <t>MuntashirAkon-AppManager-48</t>
  </si>
  <si>
    <t>App crashes in details page of any app.</t>
  </si>
  <si>
    <t>App crahses when opening other tabs like Activities, services, recievers in details page of any app.
Device Mi A3 (Android one)
Android version: 10
Same behaviour on Nokia 6.1 plus (Android one)
Details about activities, services, recievers when tab is switched in app details page.
App crashes as soon as tab is switched.</t>
  </si>
  <si>
    <t>2020-07-28</t>
  </si>
  <si>
    <t>smartdevicelink-sdl_java_suite-1412</t>
  </si>
  <si>
    <t xml:space="preserve">TransportManager.exitLegacyMode () : NullPointerException </t>
  </si>
  <si>
    <t>### Bug Report
Same issue as closed issue #1213
##### Reproduction Steps
Issue found by FordPass using Dynatrace.
Looks like this is occuring duing clean up and thread is crashing while cleaning up
##### Expected Behavior
Clean up cleaning without crash
##### Observed Behavior
No observable behavior by customer only noticed through Dynatrace logs
##### OS Version Information
Android Version: Several versions
SDL Android Version: 4.9.1
Testing Against: Dynatrace logs from production FordPass app</t>
  </si>
  <si>
    <t>google-ExoPlayer-7690</t>
  </si>
  <si>
    <t>IndexOutOfBoundsException while doing com.google.android.exoplayer2.source.SampleDataQueue.readData(SampleDataQueue.java:309)</t>
  </si>
  <si>
    <t>### REQUIRED Issue description
effectively reopening issue #7580 which was closed as duplicate of #7549 which was fixed on dev-v2 with 7bc5fa8
The exception reported in #7549 is different than reported in #7580. understand they could both be caused by the same underlying issue. However have synced to dev-v2 at 7bc5fa8 and have been able to reproduce my crash.
In reviewing my reproduction steps from #7580 realize omitted potentially critical piece of information. In addition to the code change mentioned, the DEFAULT MIN DURATION TO RETAIN AFTER DISCARD MS was reduced from 25sec to 2sec. This was in part because when playing at the live point with the streams we re testing, it rare to have more than 25sec available, and because reducing the value to very low level increases the likelihood of discarding and thus allows for better stress-testing of the discard functionality.
certainly acknowledge that 2sec is likely an unrealistically-low number, especially given that our segment sizes are 6sec. However was also able to reproduce the exception with an 8sec MIN DURATION, though it took much longer to reproduce. have not yet tested higher numbers to see if there point beyond which the issue no longer exhibits.
What not clear to me yet is whether low level of 8sec (so sec longer than our segment size) is the cause of the crash (i.e., the algorithm should never be expected to handle such case) or whether it just making it easier to identify race condition which should be addressed.
The reproduction steps, environment, etc are all the same as originally reported in #7580 but ll repeat it here.
Caused by: off -4762, len 5027 out of bounds (size 65536)
### REQUIRED Reproduction steps
client device: TiVo Stream 4k
wireless connection is intentionally set to be close to the threshold for the stream. In this particular case, the stream (a live stream) has 6Mbps, 4Mbps and 2Mbps variants and the access point is limiting the connection to 10Mbps
CODE CHANGE: in part because this stream uses the same resolution, and also because we like to eventually have the discard be evaluated for every shift to higher bitrate (not just higher resolution) disabled the checks for resolution and only evaluate bitrate when determining whether to discard samples. i.e., in
If the chunks contain video, discard from the first SD chunk beyond
whose resolution and bitrate are both lower than the ideal
for (int queueSize i++)
MediaChunk chunk queue.get(i)
Format format chunk.trackFormat
long chunk.startTimeUs playbackPositionUs
&amp;&amp; format.bitrate idealFormat.bitrate
&amp;&amp; format.height Format.NO VALUE &amp;&amp; format.height 720</t>
  </si>
  <si>
    <t>TeamNewPipe-NewPipe-3995</t>
  </si>
  <si>
    <t>Newpipe crashing on startup</t>
  </si>
  <si>
    <t>User Action: something
Content Country: GB
Content Language: en-GB
App Language: en GB
OS: Linux Android 10 29
log b&gt;&lt; summary&gt;&lt;p&gt;
uninstalled the fdroid version and installed the latest, and when open it get the error above. have cleared data just to be sure. do not have play services if that matters.</t>
  </si>
  <si>
    <t>TeamNewPipe-NewPipe-3989</t>
  </si>
  <si>
    <t>Still same issue even after 18+ Hours</t>
  </si>
  <si>
    <t>mycelium-com-wallet-android-569</t>
  </si>
  <si>
    <t>fix crash when no tag on serverfix tag loading (extend from 10 to 100)</t>
  </si>
  <si>
    <t>Anuken-Mindustry-2272</t>
  </si>
  <si>
    <t>Blocks like sorters and router take too long when used with plastanium conveyors</t>
  </si>
  <si>
    <t>Its custom build of the latest code
When distribution blocks like sorters, overflowgates, junctions, etc. are used with plastanium conveyor they reduce it output speed significantly. plastanium conveyor maxes out at loading zones that take input from an item source. When sorter is placed on the conveyor, the efficiency is reduced by 2. These block don impact the speed of any other maxed out conveyor so this shouldn happen with the plastanium one either. Item bridges are unfortunally completly broken with these conveyors.
**Steps to reproduce**: *How you happened across the issue, and what you were doing at the time.*
Max out plastanium conveyor (an item source with plastanium conveyor loading bays next to it lead into the same conveyor) and place sorter.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</si>
  <si>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TeamNewPipe-NewPipe-3988</t>
  </si>
  <si>
    <t>NewPipe crashes after update</t>
  </si>
  <si>
    <t>User Action: requested stream
Request: https: www.youtube.com watch?v Svf1lEUUCzU
Content Country: IN
Content Language: en-IN
App Language: en IN
OS: Linux Nokia Onyx 00WW B2N sprout:10 QKQ1.190828.002 00WW 15D:user release-keys 10 29
log b&gt;&lt; summary&gt;&lt;p&gt;
... 30 more</t>
  </si>
  <si>
    <t>TeamNewPipe-NewPipe-3985</t>
  </si>
  <si>
    <t>newpipe crashes</t>
  </si>
  <si>
    <t>youtube crashes when play video heres the log</t>
  </si>
  <si>
    <t>TeamNewPipe-NewPipe-3982</t>
  </si>
  <si>
    <t>Fix ACRA bug reports not containing stack trace</t>
  </si>
  <si>
    <t>#### What is it?
Bug fix (user facing)
Feature (user facing)
Code base improvement (dev facing)
Meta improvement to the project (dev facing)
#### Description of the changes in your PR
This PR fixes blank reports not containing the stack trace (as seen in #3930). This was caused by MultiDex.install not being called before ACRA initialization, so ACRA could not load some of its classes and failed to initialize the stack trace collector (among others). See ACRA acra#619 and ACRA wiki (https: github.com ACRA acra wiki
This PR also contains two other improvements to ACRA initialization code:
Skip ACRA initialization if the current process ends with :acra (i.e. is created by ACRA): https: github.com ACRA acra wiki
Remove deprecated calls to set the ReportSender class in the configuration: is deprecated, now extensions ReportSenderFactory is an extension) should be registered using AutoService This commit adds two compile-time dependencies and only fixes deprecation, so it can be skipped if needed. See https: github.com ACRA acra wiki
think this should be merged as soon as possible, as otherwise it is not possible debug APKs by giving them to people, as there would be no stack trace in case of errors.
&lt;sup&gt;It took me ages to find the root cause of this sup&gt;
#### Testing apk
This apk crashes every time video is opened, use that to check if ACRA correctly catches the unhandled exception.
carefully read the contribution guidelines (https: github.com TeamNewPipe NewPipe blob HEAD .github CONTRIBUTING.md) and agree to them.</t>
  </si>
  <si>
    <t>ankidroid-Anki-Android-6760</t>
  </si>
  <si>
    <t>Cloze overlapper cards shown each day</t>
  </si>
  <si>
    <t>###### Reproduction Steps
1. Install the Cloze Overlapper addon in desktop Anki.
2. Create cloze overlapper card.
3. Review on desktop. Note that multiple cloze overlapper cards are shown on the one day.
4. Sync to mobile.
5. Review on mobile. Note that *only one* cloze overlapper card is shown per day, as with cloze cards.
###### Expected Result
The behaviour matches.
###### Actual Result
Anki desktop shows multiple cloze overlapper cards each day, while anki mobile only shows one cloze overlapper card each day.
###### Debug info
A, there is no crash.
*Enter an character to confirm the points below:*
have searched for similar existing issues here and on the user forum
(Optional) have confirmed the issue is not resolved in the latest alpha release instructions (https: docs.ankidroid.org do not believe this is the case, because can find no issues or commits about it.</t>
  </si>
  <si>
    <t>TeamNewPipe-NewPipe-3968</t>
  </si>
  <si>
    <t>For every video it says cannot decrypt URL</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</si>
  <si>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For every video it says cannot decrypt URL
User Action: requested stream</t>
  </si>
  <si>
    <t>TeamNewPipe-NewPipe-3959</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</si>
  <si>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stream
Request: https: www.youtube.com watch?v z4mtWut48fI</t>
  </si>
  <si>
    <t>2020-07-27</t>
  </si>
  <si>
    <t>TeamNewPipe-NewPipe-3955</t>
  </si>
  <si>
    <t>The app crash after launching the video on YouTube.</t>
  </si>
  <si>
    <t>Hello. The latest version at the moment (0.19.7) crashes when opening any video on YouTube. Everything is fine with the other services. It was checked personally.
User Action: requested stream
Request: https: www.youtube.com watch?v J5gpiWts5wE
Content Country: RU
Content Language: ru-RU
App Language: ru RU
OS: Linux xiaomi cactus cactus:9 PPR1.180610.011 release-keys 28
log b&gt;&lt; summary&gt;&lt;p&gt;
... 30 more</t>
  </si>
  <si>
    <t>wiglenet-wigle-wifi-wardriving-427</t>
  </si>
  <si>
    <t>[FIX] should prevent another unicode-based filename upload crash.</t>
  </si>
  <si>
    <t>kinda amazed we didn receive report of this sooner.
forcing US ascii dates in files and filenames.</t>
  </si>
  <si>
    <t>dimagi-commcare-android-2298</t>
  </si>
  <si>
    <t>Not crash when a form record is not found in db during purge</t>
  </si>
  <si>
    <t>Caused by No record in table FORMRECORDS for ID 10
When there are lot of submitted forms on device, it possible for the user to delete form from Saved forms list while this loop (https: github.com dimagi commcare-android blob master app src org commcare tasks is in progress causing this crash to surface. Even though it does seem highly unlikely to happen, the issue occurrences are quite rare as well making it possible hypothesis.</t>
  </si>
  <si>
    <t>TeamNewPipe-NewPipe-3953</t>
  </si>
  <si>
    <t>Newpipe crashes when opening video</t>
  </si>
  <si>
    <t>User Action: requested stream
Request: https: www.youtube.com watch?v gufK2-FUuF4
Content Country: GB
Content Language: en
App Language: de DE
OS: Linux Android 8.0.0 26
log b&gt;&lt; summary&gt;&lt;p&gt;
... 30 more</t>
  </si>
  <si>
    <t>dimagi-commcare-android-2297</t>
  </si>
  <si>
    <t>Don't crash when no form is found in storage while XForm Uninstall</t>
  </si>
  <si>
    <t>Caused by No record in table form def for ID 41
have not been able to reproduce it but think it ok behaviour for us to not crash the App when the form id of form we are uninstalling is not found in the storage as we were going to remove that form id anyway.</t>
  </si>
  <si>
    <t>TeamNewPipe-NewPipe-3949</t>
  </si>
  <si>
    <t>newpipe loop loading video</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</si>
  <si>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Newpipe can load video from this channel https: www.youtube.com channel
have try to change resolution but nothing change, video don want start :( think is problem with extractor.</t>
  </si>
  <si>
    <t>material-components-material-components-android-1527</t>
  </si>
  <si>
    <t>[MaterialDatePicker] Crashes when inflating its view when colorOnPrimary is a selector</t>
  </si>
  <si>
    <t>App crashes when creating MaterialDatePicker with color selector as the colorOnPrimary.
App should not crash when colors used in MaterialDatePicker are selectors.
&lt;style name AppTheme parent
&lt;item name colorOnPrimary color color selector&lt; item&gt;
&lt;?xml version 1.0 encoding utf-8 ?&gt;
&lt;item android:color android:color holo blue bright android:state enabled false
&lt;item android:color #ffffff
&lt;?xml version 1.0 encoding utf-8 ?&gt;
class MainActivity AppCompatActivity()
override fun Bundle?)
&lt;?xml version 1.0 encoding utf-8 ?&gt;
&lt;activity android:name .MainActivity
**Android API version:**
**Material Library version:**
Emulator Nexus 5XAPI 23 x86 64</t>
  </si>
  <si>
    <t>cgeo-cgeo-8689</t>
  </si>
  <si>
    <t>IndexOutOfBounds Exception in CacheListAdapter</t>
  </si>
  <si>
    <t>Google Play crash report for 2020.07.26-RC. Currently only one user (Moto G, Android 6):</t>
  </si>
  <si>
    <t>TeamNewPipe-NewPipe-3945</t>
  </si>
  <si>
    <t>Search limited to only twenty videos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</si>
  <si>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 Version 0.19.5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To have more than twenty videos or only one page per search
### Actual behaviour
&lt;!-- Tell us what happens instead. --&gt;
Only one page per search, search won move off page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</si>
  <si>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2020-07-26</t>
  </si>
  <si>
    <t>dimagi-commcare-android-2296</t>
  </si>
  <si>
    <t>Crash fix on resuming activity after application got killed in background</t>
  </si>
  <si>
    <t>Caused by Attempt to invoke virtual method int on null object reference
Start from entry and go to an Image question and fire Take picture option to open up Camera app
Kill CommCare by using Ansdroid Studio stop button in Logcat tab
Resume the camera app from recent apps
Take picture and click done
Observe the crash when OS tries to resume form entry.
In cases when we resume from background kill, the session gets cleared from the memory and we direct the user to LoginActivity in onCreate This is the behaviour that works correctly today when CommCare gets killed in background in the FormEntryActivity Though before the Android code gets executed to open up LoginActivity and finish FormEntryActivity FormEntryActivity onResume gets triggered simultaneously resulting in onActivityResult getting called and hence this crash. am explicitly calling the finish after we redirect to LoginActivity so that FormEntryActivity don proceed further in it lifecycle.</t>
  </si>
  <si>
    <t>2020-07-25</t>
  </si>
  <si>
    <t>nextcloud-android-6544</t>
  </si>
  <si>
    <t>Nextcloud crashes when there is too many pictures to upload</t>
  </si>
  <si>
    <t>### Steps to reproduce
1. point auto upload to folder with many pictures (1200 in my case)
2. set it to upload pictures already there
3. after while crash report appears (several minutes)
### Expected behaviour
app should upload files or at least notify that there is too many pictures in one folder
### Actual behaviour
### Can you reproduce this problem on https: try.nextcloud.com?
Please create test demo account and see if this still happens there.
If yes, please open up bug report
If not, please verify server setup and ask for help on forum
### Environment data
Device model: nokia TA-1004
Stock or customized system:Stock
Nextcloud app version: 3.12.1
Nextcloud server version: 19
#### Web server error log
Insert your webserver log here
#### Nextcloud log (data nextcloud.log)
Insert your Nextcloud log here</t>
  </si>
  <si>
    <t>Anuken-Mindustry-2265</t>
  </si>
  <si>
    <t>Meltdown firing bullets instead of laser</t>
  </si>
  <si>
    <t>Steps to reproduce: Place meltdown right in front of enemy wall&amp;supply it with coolant and power. Doesn always occur tho
Link to mod(s) used, if applicable: Don have any mod installed
Crash report, if applicable: The game didn crash because of this
Place an (no spaces) between the brackets to confirm that you have read the line below.
have searched the closed and open issues to make sure that this problem has not already been reported.</t>
  </si>
  <si>
    <t>cgeo-cgeo-8672</t>
  </si>
  <si>
    <t>NPE in routesort view when loading not yet finished</t>
  </si>
  <si>
    <t>**Describe the bug:**
receiving an NPE in routesort view, when the individual route contains caches not yet loaded.
This can happen if you add caches in live view, which have not been stored locally. If you open the map the next time, and those caches have not been loaded yet again, routesort will crash with NPE.
**Version of c:geo used:**
Current master branch version.
**Is the problem reproducible:**</t>
  </si>
  <si>
    <t>TeamNewPipe-NewPipe-3935</t>
  </si>
  <si>
    <t>Audio unsynchronised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</si>
  <si>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Open newpipe
2. Launch video (any quality, any speed)
3.Look closely and after sometimes (2-5 minutes) you should see that the audio is slightly behind the video
&lt;!-- If you can cause the bug to show up again reliably (and hence don have proper set of steps to give us), please still try to give as many details as possible on how you think you encountered the bug. --&gt;
### Expected behavior
&lt;!-- Tell us what you expect to happen. --&gt;
Audio and video synchronised throughout the video
### Actual behaviour
&lt;!-- Tell us what happens instead. --&gt;
After some times the audio lag behind the video. Closing and opening the video fix the problem but it start again after some time (in the same video)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</si>
  <si>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nextcloud-android-6542</t>
  </si>
  <si>
    <t>3.13 RC1 crashes</t>
  </si>
  <si>
    <t>Plenty of crashes still with the new RC1 release, like the previous 3.12 3.11. It keeps crashing in background, popping up with FC and ARN dialogues, as well as when inside the app. Most of them do not present the error message upon opening the app. The log is littered with thousands of various query messages. What do search for to get error messages?
### Steps to reproduce
1. Have Nextcloud on your phone
2. Have opened it at least once to get it running
### Expected behaviour
There should be no crashes in foreground nor background.
### Actual behaviour
App constantly crashes.
### Can you reproduce this problem on https: try.nextcloud.com?
Please create test demo account and see if this still happens there.
If yes, please open up bug report
If not, please verify server setup and ask for help on forum
### Environment data
Android version: 10
Device model: Google Pixel
Stock or customized system: stock
Nextcloud app version: 3.13 RC1
Nextcloud server version: 19.0.1
#### Web server error log
Insert your webserver log here</t>
  </si>
  <si>
    <t>burhanrashid52-PhotoEditor-263</t>
  </si>
  <si>
    <t>ArrayIndexOutOfBoundsException at ja.burhanrashid52.photoeditor.BitmapUtil.removeTransparency (BitmapUtil.java:46)</t>
  </si>
  <si>
    <t>have crash reports of through Crashlytics in my app:
Unfortunately, cannot provide any more information at the moment other than this.
am using implementation</t>
  </si>
  <si>
    <t>2020-07-24</t>
  </si>
  <si>
    <t>1pdinesh-Keychat-4</t>
  </si>
  <si>
    <t>Gps feature cause application to crash</t>
  </si>
  <si>
    <t>There is still problem with the gps feature that causes the application to crash.</t>
  </si>
  <si>
    <t>nextcloud-android-6540</t>
  </si>
  <si>
    <t>Samsung Note 9</t>
  </si>
  <si>
    <t>### Steps to reproduce
1. Just opened the App
### Expected behaviour
Tell us what should happen
It should open
### Actual behaviour
Tell us what happens
It crashes with an error on screen.
### Can you reproduce this problem on https: try.nextcloud.com?
Please create test demo account and see if this still happens there.
If yes, please open up bug report
If not, please verify server setup and ask for help on forum
### Environment data
It in the log below.
Stock or customized system:
Nextcloud app version:
Nextcloud server version:
#### Web server error log
Insert your webserver log here
************ CAUSE OF ERROR ************</t>
  </si>
  <si>
    <t>nextcloud-android-6538</t>
  </si>
  <si>
    <t>Nextcloud app crashes</t>
  </si>
  <si>
    <t>### Steps to reproduce
1.Open Nextcloud app, crashes instantly.
### Expected behaviour
Tell us what should happen
Opens Nextcloud app without crashing
### Actual behaviour
Tell us what happens
Crashed with errors on screen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CAUSE OF ERROR ************
************ APP INFORMATION ************</t>
  </si>
  <si>
    <t>nextcloud-android-6536</t>
  </si>
  <si>
    <t>[3.13.0RC1] Crash on startup and not only</t>
  </si>
  <si>
    <t>whether do clean install that updating from nextcloud stable app crashes. with clean installation the application starts but crashes when tend to access an external storage folder, in my case via smb protocol. if upgrade from stable 3.12.0 to beta 3.13..0 rc1 application crashes when try to start it. also sent error log. and take screenshots that attach here.</t>
  </si>
  <si>
    <t>nextcloud-android-6532</t>
  </si>
  <si>
    <t>Crash when accessing "notifications"</t>
  </si>
  <si>
    <t>### Steps to reproduce
1. Open the app
2. Go on
3. tried to clean notification, no more crash. When new notification arrives like an update or MFA approval -&gt; crash (i can accept the MFA at least)
### Expected behaviour
### Actual behaviour
When new notification arrives like an update or MFA approval. If go to the notification tab -&gt; crash (i can accept the MFA at least)
### Environment data
Device model: Samsung S10
Stock or customized system:Stock
Nextcloud app version:3.12.1
Nextcloud server version:18.0.7
Reverse proxy:none (served directly by apache2)
#### Nextcloud log (data nextcloud.log)
************ CAUSE OF ERROR ************
************ APP INFORMATION ************
Build flavor: gplay
************ DEVICE INFORMATION ************
************ FIRMWARE ************</t>
  </si>
  <si>
    <t>nextcloud-android-6530</t>
  </si>
  <si>
    <t>material-components-material-components-android-1508</t>
  </si>
  <si>
    <t>MaterialTimePicker crashed when exporting with shrinkResources = true.</t>
  </si>
  <si>
    <t>**Android Studio and gradle 4.1.0-beta05
Material design 1.3.0-alpha02
Device test: Xiaomi Redmi Note Android 7.0, S10+ Android 10**
shrinkResources true need to turn off to fix this bug</t>
  </si>
  <si>
    <t>doublesymmetry-react-native-track-player-997</t>
  </si>
  <si>
    <t>Crash when playing URL with whitespaces</t>
  </si>
  <si>
    <t>**Describe the bug**
When adding track with url property containing value with whitespaces, the component (and subsequently the entire app) crashes.
Steps to reproduce the behavior:
Simply add track with whitespaces such as:
And see the app crash.
**Environment (please complete the following information):**
Run react-native info in your project and share the content.
API Levels: 28
Build Tools: 28.0.3
System Images: android-25 Google Play Intel x86 Atom, android-28 Intel x86 Atom 64, android-28 Google APIs Intel x86 Atom, android-28 Google APIs Intel x86 Atom 64
Android Studio: 3.5
What version are you using?
**Are you testing on real device or in the simulator? Which OS version are you running?**
Both simulator and real device (in production) can reproduce the error.
where track.url is an URL with spaces
TrackPlayer.add( track ).then(async ()
emitter.emit( TRACK STARTED track)</t>
  </si>
  <si>
    <t>2020-07-23</t>
  </si>
  <si>
    <t>marco97pa-Track-Companion-3</t>
  </si>
  <si>
    <t>Cannot scrape web API version</t>
  </si>
  <si>
    <t>API version box changed and now the app keeps crashing when trying to open the profile section</t>
  </si>
  <si>
    <t>Anuken-Mindustry-2258</t>
  </si>
  <si>
    <t>Bridges can't send items back the way they came from.</t>
  </si>
  <si>
    <t>**Steps to reproduce**: *Make conveyor go left and lead it into bridge from the bottom (with corner), now let the bridge connect with another bridge under it (so it goes over the conveyor that leads items into it. You can now see that the items are not flowing through. came across this while creating complex system for my impact reactors. This also works with phase conveyors, although haven checked liquids.*
**Link to mod(s) used, if applicable**: *No mods used.*
**Crash report, if applicable**: *No crash report.*
*Place an (no spaces) between the brackets to confirm that you have read the line below.*
**I have searched the closed and open issues to make sure that this problem has not already been reported.**
Sorry havent, wrote this in hurry.</t>
  </si>
  <si>
    <t>ElderDrivers-EdXposed-587</t>
  </si>
  <si>
    <t>[BUG] Edxp cause phone stuck on boot</t>
  </si>
  <si>
    <t>** What happened?** Stuck on boot. what did: Install Magisk and root. Install riru-core and reboot. Install edxp and reboot. Then stuck.
**Xposed Xposed Module List** none
**Magisk Magisk Module List** systemless(Magisk itself module), riru-core, edxp
**EdXposed Riru Versions of EdXposed and Riru** The newest files downloaded 10minutes ago
** Logcat Logcat**
log It can help us to locate issue, must use our logcat module
--------- beginning of head
Powered by Log Catcher
QQ support group: 855219808
Telegram support group: Code Of MeowCat
Telegram channel: EdXposed
--------- beginning of information
ROM description: STF-AL00-user 9.1.0 HUAWEISTF-AL00 225-CHN-LGRP1 release-keys
Android build: HUAWEISTF-AL00
Android sdk: 28
EdXposed api: 91.0
Riru version: v21.3 (36)
--------- beginning of main
--------- beginning of system
--------- beginning of crash</t>
  </si>
  <si>
    <t>TeamNewPipe-NewPipe-3925</t>
  </si>
  <si>
    <t>Error while opening content in browser</t>
  </si>
  <si>
    <t>&lt;!-- 0.19.6 --&gt;
### Steps to reproduce the bug
1. Go to info about video
2. Press on open in browser
### Expected behavior
Opening url in browser.
### Actual behaviour
User Action: ui error
Request: App crash, UI failure
Content Language: ru
OS: Linux Android 7.0 24
log&lt; b&gt;&lt; summary&gt;&lt;p&gt;
&lt;!-- That right, here! --&gt;</t>
  </si>
  <si>
    <t>nextcloud-android-6518</t>
  </si>
  <si>
    <t xml:space="preserve"> 3.13.0 RC1 crashes, when I choose an E2EE-encrypted folder for auto upload</t>
  </si>
  <si>
    <t>tried to test auto upload with an E2EE encrypted folder in 3.13.0 RC1, but the app crashes when select an encrypted folder. When choose an unencrypted folder, it works as expected. get the error log below.
Maybe related to #6417, maybe not.
### Steps to reproduce
1. Have working E2EE folder in 3.13.0 RC1
2. Enable auto upload for folder and select that encrypted folder
3. Oberve the app crashing
### Expected behaviour
Choosing an encrypted folder for auto upload should work as before (old E2EE preview) or as with an unencrypted folder.
### Actual behaviour
The app crashes every time choose an E2EE encrypted folder as target for auto upload.
### Can you reproduce this problem on https: try.nextcloud.com?
Didn test as don expect that to have the fresh E2EE beta stuff installed.
### Environment data
Android version: 10
Device model: Xiaomi Mi Mix
Stock or customized system: Stock
Nextcloud app version: 3.13.0 RC1
Nextcloud server version: 19.0.1
Reverse proxy: No
#### Nextcloud log (data nextcloud.log)</t>
  </si>
  <si>
    <t>ankidroid-Anki-Android-6719</t>
  </si>
  <si>
    <t>CardTemplateEditor crash on save, 2.13alpha5</t>
  </si>
  <si>
    <t>###### Reproduction Steps
1. Open CardTemplateEditor
2. Change some things (could just be text think? video and logcat attached in comments)
3. Save the changes
###### Expected Result
Saves no problem
###### Actual Result
###### Debug info
Just started in 2.13alpha5 but it is always possible that it was present in previous ones and the robot clicking on releases in the
automated google test lab just didn see it? doubt that but it is possible</t>
  </si>
  <si>
    <t>2020-07-22</t>
  </si>
  <si>
    <t>nextcloud-android-6512</t>
  </si>
  <si>
    <t>Nextcloud keeps crashing</t>
  </si>
  <si>
    <t>### Steps to reproduce
1. Use nextcloud android
2. See it crash and loop over the device authentication
### Expected behaviour
### Actual behaviour
### Can you reproduce this problem on https: try.nextcloud.com?
### Environment data
Android version: 10
Device model: MI A2
Stock or customized system: stock
Nextcloud app version: 3.12.1
Nextcloud server version: 19
Reverse proxy: traefik
#### App logs
************ CAUSE OF ERROR ************
************ APP INFORMATION ************
Build flavor: gplay
************ DEVICE INFORMATION ************
************ FIRMWARE ************</t>
  </si>
  <si>
    <t>Mohtasim46-SamsungPoC-10</t>
  </si>
  <si>
    <t>Sometimes app crashes while setting step target via dialog.</t>
  </si>
  <si>
    <t>2020-07-21</t>
  </si>
  <si>
    <t>nextcloud-android-6499</t>
  </si>
  <si>
    <t>Nextcloud crashes in the background</t>
  </si>
  <si>
    <t>### Steps to reproduce
process crashes sporadically interaction
### Can you reproduce this problem on https: try.nextcloud.com?
### Environment data
Android version: see nextcloud log
Device model: Lenovo Chromebook C340-11
Nextcloud app version: see Nextcloud log
Nextcloud server version: 19.0.1
Reverse proxy: no
#### Nextcloud log (data nextcloud.log)
************ CAUSE OF ERROR ************
************ APP INFORMATION ************
Build flavor: gplay
************ DEVICE INFORMATION ************
************ FIRMWARE ************</t>
  </si>
  <si>
    <t>cgeo-cgeo-8664</t>
  </si>
  <si>
    <t>[Nightly] crash with any OSM v5</t>
  </si>
  <si>
    <t>**Describe the bug:**
Guess it related to latest history line fix ...?</t>
  </si>
  <si>
    <t>aws-amplify-amplify-android-657</t>
  </si>
  <si>
    <t>Amplify.addPlugin produces a crash when I start my app for API level lower than 21</t>
  </si>
  <si>
    <t>Hi Amplify devs, have an issue when start my app and add plugins. The issue occurs for Android devices with API level lower than 21. For devices with API level higher than 21, my app works correctly.
using Cognito with guest authentication and S3, when build my app, it builds successfully, but when start it, it crashes with next error:
have these dependencies in my build.gradle
My app initializes Amplify in an Application class like this:
override fun onCreate()
Log.i( DidonatoMobile Initialized Amplify
catch (error: AmplifyException)
Log.e( DidonatoMobile Could not initialize Amplify error)
The app crash occurs at the line
Thank you very much! will wait for your response.</t>
  </si>
  <si>
    <t>stefan-niedermann-nextcloud-notes-919</t>
  </si>
  <si>
    <t>Crash when changing landscape/portrait mode</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</si>
  <si>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&lt;!-- Please keep this note for other contributors --&gt;
### How to use GitHub
Please use the reaction (https: blog.github.com to show that you are interested into the same feature.
Please don comment if you have no relevant information to add. It just extra noise for everyone subscribed to this issue.
Subscribe to receive notifications on status change and new comments.
**Describe the bug**
&lt;!-- clear and concise description of what the bug is. --&gt;
App crashes when editing note and changing from portrait to landscape mode.
Steps to reproduce the behavior:
1. Create note or open an existing note in editing mode
2. Change screen orientation from portrait to landscape and or v.v.
3. Often the app crashes to the crash screen, often closes showing the crash screen at reopening, sometimes crashes with popup Notes keep crashing
&lt;!-- clear and concise description of what you expected to happen. --&gt;
Change from portrait to landscape or v.v.
&lt;!-- If applicable, add screenshots to help explain your problem. --&gt;
**Smartphone (please complete the following information):**</t>
  </si>
  <si>
    <t>2020-07-20</t>
  </si>
  <si>
    <t>Anuken-Mindustry-2246</t>
  </si>
  <si>
    <t>Server crash on connecting any energy node</t>
  </si>
  <si>
    <t>**Steps to reproduce**: *put any energy node (including the source) and try to connect it to any suitable building or other node.*
**I have searched the closed and open issues to make sure that this problem has not already been reported.**</t>
  </si>
  <si>
    <t>TeamNewPipe-NewPipe-3911</t>
  </si>
  <si>
    <t>Captions Contain HTML</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</si>
  <si>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Go to Video where the creator inserted custom captions that contain Bold, Italics, etc.
2. Turn on captions
&lt;!-- If you can cause the bug to show up again reliably (and hence don have proper set of steps to give us), please still try to give as many details as possible on how you think you encountered the bug. --&gt;
### Expected and actual behavior
&lt;!-- Tell us what you expect to happen. --&gt;
When the captions display, they show up as &lt;b&gt; and &lt;i&gt; for bold and italics respectively, instead of correctly formatting the text so it is bolded or italiciesed. The auto-generated captions don do this, but when the creator sets captions, they are able to bold and italicise.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This isn really neccesary, just imagine the caption box displaying this is &lt;b&gt;test&lt; b&gt; with bold and italicised captions displaying in raw HTML instead of being parsed.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</si>
  <si>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2020-07-19</t>
  </si>
  <si>
    <t>nextcloud-android-6490</t>
  </si>
  <si>
    <t>App crashed and show error code</t>
  </si>
  <si>
    <t>2020-07-18</t>
  </si>
  <si>
    <t>JuanSeBestia-react-native-wifi-reborn-94</t>
  </si>
  <si>
    <t>Android application crashed in connecting to a second wifi</t>
  </si>
  <si>
    <t>hi for an IOT project am connecting to an esp wifi using your package...
phone successfully gets connected to esp but after want to connect the phone back to my own wifi application shows toast said connection successful but application crashes and wifi gets connected and then it gets disconnected super fast my code is exacly same as documentation in both times</t>
  </si>
  <si>
    <t>nextcloud-android-6489</t>
  </si>
  <si>
    <t>App crashing</t>
  </si>
  <si>
    <t>Android app is crashing during sync. Below are logs.
### Environment data
Android version: 10
Device model: Mi a2
Stock or customized system: stock
************ CAUSE OF ERROR ************
Caused by: Caller no longer running, last stopped +22s378ms because: timed out while starting
************ APP INFORMATION ************
Build flavor: gplay
************ DEVICE INFORMATION ************
************ FIRMWARE ************</t>
  </si>
  <si>
    <t>square-okhttp-6188</t>
  </si>
  <si>
    <t>OkHttp crashes Android 4.x devices</t>
  </si>
  <si>
    <t>recent version of OkHttp made improvements to the Android platform detector, so that it correctly identifies an Android device if it is running on one. However, these same improvements make my app crash on startup because it cannot start up NetworkClient because the Android platform detector is expecting an API version 21.
Please support TLS 1.2 in Android API 16-20 in your latest versions. #2372 already explained that those Android APIs support TLS 1.2 and demonstrated how TLS 1.2 can be used with those APIs, and your explanation for requiring API 21 as your minimum version even contains link to this post (https: medium.com tech-quizlet explaining how to enable TLS 1.2 on older APIs. As far as concerned, the bump to Android 5+ was needless and caused more problems than it solved.</t>
  </si>
  <si>
    <t>2020-07-17</t>
  </si>
  <si>
    <t>ElderDrivers-EdXposed-585</t>
  </si>
  <si>
    <t>[BUG] Android 11, make Google Chrome keeps crashing with used testing build</t>
  </si>
  <si>
    <t>** What happened?**
After install testing build for Android 11 beta 2,Google Chrome APP keeps crashing.
**Xposed Xposed Module List**
**Magisk Magisk Module List**
**EdXposed Riru Versions of EdXposed and Riru**
** Logcat Logcat**
system logcat (https: t.me CodeOfMeowCat 297695)
Edxposed log (https: t.me CodeOfMeowCat 297696)
log It can help us to locate issue, must use our logcat module</t>
  </si>
  <si>
    <t>Anuken-Mindustry-2237</t>
  </si>
  <si>
    <t>BE/6.0 crash</t>
  </si>
  <si>
    <t>**Steps to reproduce**:
1. Place bridge
2. Deconstruct it without deselecting
1. Place bridge
2. Deselect it
3. Place new bridge
**Crash report, if applicable**:
(In all cases get the same crash report)
**I have searched the closed and open issues to make sure that this problem has not already been reported.**
Pls just don be mad at me and don take my soul</t>
  </si>
  <si>
    <t>nextcloud-android-6485</t>
  </si>
  <si>
    <t xml:space="preserve">newly installed nextcloud dev crashes immediately </t>
  </si>
  <si>
    <t>Installed latest.apk, opened app, entered server URL, hit next -&gt; crash, backtrace below.
************ CAUSE OF ERROR ************
************ APP INFORMATION ************
Build flavor: versionDev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</si>
  <si>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nextcloud-android-6481</t>
  </si>
  <si>
    <t>Crash when add new account.</t>
  </si>
  <si>
    <t>### Steps to reproduce
1. clic on add account
2. clic on Log in
3. Enter the server address
### Expected behaviour
Login with my new account
### Actual behaviour
The app crash
### Environment data
Device model: One Plus 5T
Stock or customized system: customized os UNOFFICIAL
Nextcloud app version: Nextcloud dev 20200714
Nextcloud server version: 18.0.7
Reverse proxy: no
************ CAUSE OF ERROR ************
************ APP INFORMATION ************
Build flavor: versionDev
************ DEVICE INFORMATION ************
************ FIRMWARE ************</t>
  </si>
  <si>
    <t>2020-07-16</t>
  </si>
  <si>
    <t>TeamNewPipe-NewPipe-3893</t>
  </si>
  <si>
    <t>Feed can't load all channels</t>
  </si>
  <si>
    <t>### Steps to reproduce the bug
1. Go to feed
2. Click on Update feed
3. When it finishes look at how many subscribers were loaded into the feed
4. Receive Error report.
### Expected behavior
All channels are updated and loaded in the feed.
### Actual behaviour
Some few channels aren loaded, receive error report without crash
User Action: requested feed
Request: Loading feed
Content Country: US
Content Language: en
App Language: pt BR
OS: Linux Android 28
(4)&lt; b&gt;&lt; summary&gt;&lt;p&gt;
log 1&lt; b&gt;&lt; summary&gt;&lt;p&gt;
... 11 more
... 12 more
log 2&lt; b&gt;&lt; summary&gt;&lt;p&gt;</t>
  </si>
  <si>
    <t>TeamNewPipe-NewPipe-3892</t>
  </si>
  <si>
    <t>Fix crash when opening video in local playlist tab</t>
  </si>
  <si>
    <t>#### What is it?
Bug fix (user facing)
Feature (user facing)
Code base improvement (dev facing)
Meta improvement to the project (dev facing)
#### Fixes the following issue(s)
carefully read the contribution guidelines (https: github.com TeamNewPipe NewPipe blob HEAD .github CONTRIBUTING.md) and agree to them.</t>
  </si>
  <si>
    <t>TeamNewPipe-NewPipe-3891</t>
  </si>
  <si>
    <t>Crashing When Deleting From Playlist Tab</t>
  </si>
  <si>
    <t>User Action: ui error
Request: App crash, UI failure
Content Country: US
Content Language: en-US
App Language: en US
OS: Linux Android 28
log b&gt;&lt; summary&gt;&lt;p&gt;
Could be related to #3887 but this has different crash log.
My mistake, it was actually caused when was deleting video from local Playlist.</t>
  </si>
  <si>
    <t>patzly-grocy-android-54</t>
  </si>
  <si>
    <t>App crashes in dark mode</t>
  </si>
  <si>
    <t>am currently having trouble to switch to dark mode. As soon as do, the app crashes and cannot be opened again. have to delete all data from it through the phone to start over and have to set it up all again. Did check it multiple times but it was always the same.
Let me know what information is needed, so will be able to send them to help.</t>
  </si>
  <si>
    <t>twilio-video-quickstart-android-545</t>
  </si>
  <si>
    <t xml:space="preserve">java.lang.IllegalArgumentException FRONT_CAMERA is not supported on this device </t>
  </si>
  <si>
    <t>Caused by: FRONT CAMERA is not supported on this device
One of our client reported that its always crashing when video call arise. We are showing local video on screen until user accept the call.
Share your microphone
localAudioTrack true, LOCAL AUDIO TRACK NAME)
Share your camera
cameraCapturer new CAMERA)
localVideoTrack true, cameraCapturer)
Set the initial state of the UI
What would be the exact issue for causing this crash?
Screenshot 2020-07-15 at 47 21 PM (https: 6050520</t>
  </si>
  <si>
    <t>2020-07-15</t>
  </si>
  <si>
    <t>TeamNewPipe-NewPipe-3887</t>
  </si>
  <si>
    <t>UI crash when playing video from a local playlist tab</t>
  </si>
  <si>
    <t>User Action: ui error
Request: App crash, UI failure
Content Country: GB
Content Language: en-GB
App Language: en US
OS: Linux Android 28
log b&gt;&lt; summary&gt;&lt;p&gt;
When trying to play video from newly introduced playlist tab (0.19.6).
This only seems to be happening to Local Playlists. YouTube playlists added to main content do not crash. The local playlist can however show all videos scrolling works.
Local Playlists when accessed using the Bookmarks tab work fine as expected. can even add tabs for YouTube Top Tracks auto generated playlists, and they work fine. don use other services so can speak for those.
P.S. This was posted from mobile, if there are formating issues will try to fix them on PC.</t>
  </si>
  <si>
    <t>nextcloud-android-6475</t>
  </si>
  <si>
    <t>Android crash after installing newest beta (first run)</t>
  </si>
  <si>
    <t>ankidroid-Anki-Android-6674</t>
  </si>
  <si>
    <t>Crash when review ends</t>
  </si>
  <si>
    <t>###### Reproduction Steps
currently using 2.13alpha2 and most of the time out of 5) the app crash when finishing reviewing deck. Then if open the app again the review seems to have been entirely forgotten.
have tried uninstalling, reinstalling, clearing cache, clearing data but the issue remains.
have sent the error reporting crash report every time it occured but don if you receive it or if if can do anything to help you investigate.
###### Expected Result
The app doesn crash and saves the review result.
###### Actual Result
The app crashes and doesn save the review result.
###### Debug info
AnkiDroid Version 2.13alpha2
Android Version 10
*Enter an character to confirm the points below:*
have searched for similar existing issues here and on the user forum
(Optional) have confirmed the issue is not resolved in the latest alpha release instructions (https: docs.ankidroid.org</t>
  </si>
  <si>
    <t>2020-07-14</t>
  </si>
  <si>
    <t>Anuken-Mindustry-2228</t>
  </si>
  <si>
    <t>Mindustry crashes without opening</t>
  </si>
  <si>
    <t>**Steps to reproduce**: just opened the game
**Link to mod(s) used, if applicable**: No mods
**Crash report, if applicable**: can find any crash report
*Place an (no spaces) between the brackets to confirm that you have read the line below.*
**I have searched the closed and open issues to make sure that this problem has not already been reported.**</t>
  </si>
  <si>
    <t>getodk-collect-3971</t>
  </si>
  <si>
    <t>Using add group + after removing group causes a crash</t>
  </si>
  <si>
    <t>#### Software and hardware versions
Collect v1.28 current master, Android v5, 7, 10 probably all, device used...
#### Problem description
Right after deleting group and using in the hierarchy to add another one Collect is freezing and crashing. was able to reproduce it for both repeat groups and nested groups.
#### Steps to reproduce the problem
1. Use any form with repeat groups, have used:
2. Add some groups
3. Delete the last one
4. Click on in the hierarchy (I can see that gif is lagging bit but definitely clicked on button)
ezgif com-video-to-gif (9) (https: 33342488
#### Expected behavior
Collect should not crash. Users should be able to add another group.
#### Other information
0.6% 1970 system server: 0.3% user 0.2% kernel faults: 277 minor
0.4% 29796 kworker u8:1: 0% user 0.4% kernel
0.2% 21112 kworker u8:4: 0% user 0.2% kernel
0.1% 30484 kworker 0:0: 0% user 0.1% kernel
0% kworker u8:0: 0% user 0% kernel
0% 347 surfaceflinger: 0% user 0% kernel faults: 13 minor
0% 185 mmcqd 0: 0% user 0% kernel</t>
  </si>
  <si>
    <t>cgeo-cgeo-8633</t>
  </si>
  <si>
    <t>[Nightly] Fast scroll crashes in long lists</t>
  </si>
  <si>
    <t>**Describe the bug:**
have list All finds which contains about 6k caches. If use fast scroll to go to it bottom, c:geo sometimes crashes as soon as swipe over the end of the cache list, i. e. when cross the border between c:geo cache list and Android (resp. Nova Launcher s) menu bar. This happens in another list, too, which has just about 1,1k caches but not that frequently. Nevertheless, if you go wild (i. e. swipe up and down rapidly across this border few times), the crash happens there (and in even way shorter lists), too.
1. open list containing at least 1000 caches (maybe the farthest away should additionally have distance of more than 1000 km)
2. sort list by distance
3. fling up to activate fast scroll
4. grab fast scroll bar and swipe down to the very end of the list and go all the way down to the end of the display
5. if c:geo does not crash immediately, keep finger tapped and rapidly move up and down few times
**Actual behavior state after performing these steps:**
**Expected behavior state after performing these steps:**
Guess what ...
**Version of c:geo used:**
**Is the problem reproducible:**
Please find logfile, generated with this really great new function, enclosed. :)</t>
  </si>
  <si>
    <t>Rapsssito-react-native-tcp-socket-69</t>
  </si>
  <si>
    <t>Unhandled error event</t>
  </si>
  <si>
    <t>receive global unhandled error event causing app to crash.
## Steps to reproduce
Steps to reproduce the behavior:
am not able to reproduce. It is quite random.
let server async function(socket)
socket.on( error (err)
console.warn( socket error: +err)
console.warn( Socket destroy error (on socket error): +err)
socket.on( data async (data)
socket.on( close (err)
console.warn( socket closed: +err)
restart server in case of app going back to foreground
change async (state)
if (state active &amp;&amp; disabled false)
if (typeof server undefined
console.warn( State changed to active. Server respawned
console.warn( Server close error on state change: +err)
server await serverOptions)
console.warn( Server creation error on state change: +err)
## Current behavior</t>
  </si>
  <si>
    <t>elimu-ai-launcher-55</t>
  </si>
  <si>
    <t>Resources$NotFoundException on Android 7.1.1 (API 25)</t>
  </si>
  <si>
    <t>Launcher crashes when pressing the Familiar Word Reading skill. Perhaps due to missing launcher icon density in the Vitabu (https: github.com elimu-ai vitabu) app?
It might also be related to this commit: https: github.com elimu-ai launcher commit</t>
  </si>
  <si>
    <t>TeamNewPipe-NewPipe-3879</t>
  </si>
  <si>
    <t>Fast swpie to delete search history crash app</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</si>
  <si>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--&gt; Fast swipe to delete search history crash app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error report is on this link
&lt;!-- That right, here! --&gt;</t>
  </si>
  <si>
    <t>2020-07-13</t>
  </si>
  <si>
    <t>hzi-braunschweig-SORMAS-Project-2474</t>
  </si>
  <si>
    <t>App crashing when opening contacts view</t>
  </si>
  <si>
    <t>If you ve never submitted an issue to the SORMAS repository before or this is your first time using this template, please read the Contributing guidelines (accessible in the right sidebar) for an explanation about the information we like you to provide.
### Bug Description
There are double tabs for Epidemiological data for contacts on web
Opening contacts on tablet crashes mobile app
### Steps to Reproduce
### Expected Behavior
### System Details
Android version Browser:
### Additional Information</t>
  </si>
  <si>
    <t>TotalCross-totalcross-70</t>
  </si>
  <si>
    <t>Thread usage is crashing the app</t>
  </si>
  <si>
    <t>## Thread usage is crashing the app
## Describe the bug
am getting the temperature and humidity using DHT11, also updating the screen with Thread and, after 1h, the app crash.
## To Reproduce
You should use this source code to reproduce. It takes while running on the device to abort the application
Also, connect on the raspberry with ssh and run top command to track memory, it was increasing really fast.
## Expected behavior
The application should continue running with no problem.</t>
  </si>
  <si>
    <t>hzi-braunschweig-SORMAS-Project-2468</t>
  </si>
  <si>
    <t>Attempting to save a case when no health facility is filled in crashes the app</t>
  </si>
  <si>
    <t>Root of the problem is in</t>
  </si>
  <si>
    <t>Anuken-Mindustry-2224</t>
  </si>
  <si>
    <t>Shooting and building at the same time</t>
  </si>
  <si>
    <t>**Steps to reproduce**:
1- Create construction and pause it
2- Start firing without releasing the fire button
3- Resume building
4- You are firing at the same time you are building
**Link to mod(s) used, if applicable**: No mods
**Crash report, if applicable**: No crash
*Place an (no spaces) between the brackets to confirm that you have read the line below.*
**I have searched the closed and open issues to make sure that this problem has not already been reported.**</t>
  </si>
  <si>
    <t>wallabag-android-app-1013</t>
  </si>
  <si>
    <t>tagging eventually hangs in 2.4.0beta4</t>
  </si>
  <si>
    <t>When tagging articles, after few entries, the apps completely hangs and becomes unresponsive enough for Android to ask me if want to kill it.
### Actual behaviour
Fairly reliably, before get to type add on the third tag (see steps to reproduce below), the entire app hangs and becomes completely unresponsive. After while, Android asks me to have mercy on the poor phone battery and to kill the app.
If let it be, the Manage tags dialog eventually closes on its own and the app restarts, presumably it crashes. The article stays untagged, both according to the main Wallabag web UI and the Android app.
### Expected behaviour
should be able to add many tags, and this was indeed working fine in the 2.3.0 version.
Steps to reproduce the issue
1. Tap on the top-left hamburger menu
2. Tap on the &lt;untagged&gt; tag
3. Tap on an article
4. Tap on the top-right three dot menu
5. Tap on Manage tags
6. Type tag, tap add
Repeat the last step two or three times.
**wallabag app version**: 2.4.0beta4 (regression from 2.3.0)
**wallabag app installation source** F-Droid
**Android OS version**: 7.1.2 AOSP derivative, 2019-10-05 patch level
**Android ROM**: Fairphone OS Saibon
**Android hardware**: Fairphone
**wallabag server version**: 2.3.7</t>
  </si>
  <si>
    <t>2020-07-12</t>
  </si>
  <si>
    <t>material-components-material-components-android-1475</t>
  </si>
  <si>
    <t>[Transitions] Axis transition crashes if there is ViewPager2 in layout</t>
  </si>
  <si>
    <t>Reproduced at least with MaterialSharedAxis and FadeThrough transitions animating simple views
Material library version 1.3.0-alpha01
Tested on Android 9,10
Any device emulator</t>
  </si>
  <si>
    <t>lisawray-groupie-351</t>
  </si>
  <si>
    <t>App crashed when dragging an item to the top/bottom of the list area</t>
  </si>
  <si>
    <t>**Describe the bug**
App crashed when dragging an item to the top bottom of the list area
Enter sample MainActivity
Scroll to the Drag to reorder section
Drag one of the items to the top bottom most position of the list area
The selected item gets reordered properly
java vm ext.cc:570 JNI DETECTED ERROR IN APPLICATION: JNI CallVoidMethodV called with pending exception Index: -1, Size:</t>
  </si>
  <si>
    <t>nextcloud-android-6458</t>
  </si>
  <si>
    <t>Error when clicking upload conflict notification</t>
  </si>
  <si>
    <t>************ CAUSE OF ERROR ************
************ APP INFORMATION ************
Build flavor: generic
************ DEVICE INFORMATION ************
************ FIRMWARE ************
can provide much more info than that ve started the camera upload feature (instant upload?) with two folders of around thousand pictures each and the app is behaving quite basdy nextcloud doesn respond ), including this crash.</t>
  </si>
  <si>
    <t>2020-07-11</t>
  </si>
  <si>
    <t>Anuken-Mindustry-2222</t>
  </si>
  <si>
    <t>Sudden Crash in Multiplayer</t>
  </si>
  <si>
    <t>**Steps to reproduce**: *I was the host on steam local multi. And suddenly, as soon as configured node crashed. Can you tell me why this occured and how to fix it? Commandblocks was active, and used for team changing, btw, but the node was vanilla Power Infinite.*
**Link to mod(s) used, if applicable**: *https: github.com sk7725 Commandblocks*
**Crash report, if applicable**: Player cannot configure tile.
*Place an (no spaces) between the brackets to confirm that you have read the line below.*
**I have searched the closed and open issues to make sure that this problem has not already been reported.**</t>
  </si>
  <si>
    <t>stefan-niedermann-nextcloud-notes-912</t>
  </si>
  <si>
    <t>Crash because of ArrayIndexOutOfBoundsException</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</si>
  <si>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&lt;!-- Please keep this note for other contributors --&gt;
### How to use GitHub
Please use the reaction (https: blog.github.com to show that you are interested into the same feature.
Please don comment if you have no relevant information to add. It just extra noise for everyone subscribed to this issue.
Subscribe to receive notifications on status change and new comments.
**Describe the bug**
&lt;!-- clear and concise description of what the bug is. --&gt;
The app reported crash to me.
Not sure what caused this. Was just pasting something or so in new note maybe already saved it :upside down face:
&lt;!-- clear and concise description of what you expected to happen. --&gt;
&lt;!-- If applicable, add screenshots to help explain your problem. --&gt;
**Smartphone (please complete the following information):**
Nextcloud Notes-Version (android app):
F-Droid or Play Store: FD-Droid
App Version: 2.16.3
App Version Code: 2016003</t>
  </si>
  <si>
    <t>2020-07-10</t>
  </si>
  <si>
    <t>react-native-share-react-native-share-823</t>
  </si>
  <si>
    <t>Crashed on iOS 14 with EXC_BAD_ACCESS error</t>
  </si>
  <si>
    <t>### Steps to reproduce
1. Run the app on iOS 14
2. Open Share function that call Share.open
### Expected behaviour
Should behave the same for as compared to iOS 13 and below
### Actual behaviour
Once the Share.open was being called, it crashed
Retrieved error on the line indirect symbol bindings cur-&gt;rebindings .replacement
static void perform rebinding with section(struct rebindings entry *rebindings,
uint32 *indirect symtab)
uint32 *indirect symbol indices indirect symtab section-&gt;reserved1
void **indirect symbol bindings (void **)((uintptr t)slide section-&gt;addr)
for (uint section-&gt;size sizeof(void *) i++)
uint32 symtab index indirect symbol indices
if (symtab index INDIRECT SYMBOL ABS symtab index INDIRECT SYMBOL LOCAL
symtab index (INDIRECT SYMBOL LOCAL INDIRECT SYMBOL ABS))
uint32 strtab offset symtab symtab index .n un.n strx
char *symbol name strtab strtab offset
if (strnlen(symbol name, 2) 2)
struct rebindings entry *cur rebindings</t>
  </si>
  <si>
    <t>simonpoole-OpeningHoursFragment-43</t>
  </si>
  <si>
    <t>Selecting empty modifier crashes Vespucci</t>
  </si>
  <si>
    <t>To reproduce in Vespucci:
add empty opening hours
Select Weekdays template
Switch modifier for public holidays to empty one</t>
  </si>
  <si>
    <t>2020-07-09</t>
  </si>
  <si>
    <t>gsantner-markor-994</t>
  </si>
  <si>
    <t>Question regarding newfile + overwrite</t>
  </si>
  <si>
    <t>In newest update, making file title with same name as existing file automatically DELETED existing file contents! Isn it supposed to direct you to your existing file???????????
Uh this is my first time making issue don know what to write.....
#### General information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</si>
  <si>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Blankj-AndroidUtilCode-1276</t>
  </si>
  <si>
    <t>RSA解密在6.0系统有问题</t>
  </si>
  <si>
    <t>AndroidUtilCode &lt;!-- utilcode:1.16.3 utilcodex:1.16.3 --&gt;
Bug &lt;!-- Nexus 5X --&gt;
Android &lt;!-- API 27 --&gt;
PKCS8EncodedKeySpec keySpec new
rsaKey RSA BC
put your code here
Caused by: should init first
put the stack of crash here</t>
  </si>
  <si>
    <t>Anuken-Mindustry-2216</t>
  </si>
  <si>
    <t>Mindustry keeps crashing</t>
  </si>
  <si>
    <t>**Steps to reproduce**: *I was loading in mod that made to test it*
**Link to mod(s) used, if applicable**:
**Crash report, if applicable**: *There is crash report but there is nothing in it
*Place an (no spaces) between the brackets to confirm that you have read the line below.*
**I have searched the closed and open issues to make sure that this problem has not already been reported.**</t>
  </si>
  <si>
    <t>SecUSo-privacy-friendly-qr-scanner-76</t>
  </si>
  <si>
    <t>Scanner crashes when reading Aztec Code</t>
  </si>
  <si>
    <t>Scanner crashes when reading Aztec Code
example from https: en.wikipedia.org wiki Aztec Code
Version 3.0.3 from F-Droid.</t>
  </si>
  <si>
    <t>2020-07-08</t>
  </si>
  <si>
    <t>nextcloud-android-6436</t>
  </si>
  <si>
    <t>Folder too big crash</t>
  </si>
  <si>
    <t>### Steps to reproduce
1. On S8 app friend to sync folder with 9000+ images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</si>
  <si>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nextcloud-android-6433</t>
  </si>
  <si>
    <t>App crashes every ~2 seconds, rendering the phone unusable for most things</t>
  </si>
  <si>
    <t>Nextcloud app is constantly crashing. The pop-ups telling me that Nextcloud crashed come up every seconds.
Now, most things do on my phone take more than two seconds, so this is highly annoying.
Also the fact that it does not auto upload for some reason.
can even deactivate auto uploads within two seconds before it crashes again.
Copying this within two seconds was tricky:
************ CAUSE OF ERROR ************
************ APP INFORMATION ************
Build flavor: generic
************ DEVICE INFORMATION ************
************ FIRMWARE ************
Couldn find an existing issue for this.</t>
  </si>
  <si>
    <t>oliexdev-openScale-595</t>
  </si>
  <si>
    <t>Bug on initial user creation</t>
  </si>
  <si>
    <t>When installing from F-Droid, clicking the add user in the intro panels consistently makes the app crash.
Build version: 2.3.0
Caused by: This Activity already has an action bar supplied by the window decor. Do not request Window.FEATURE SUPPORT ACTION BAR and set windowActionBar to false in your theme to use Toolbar instead.
Please ask for any other information you might need, and thank you for your awesome work!</t>
  </si>
  <si>
    <t>2020-07-07</t>
  </si>
  <si>
    <t>Anuken-Mindustry-2214</t>
  </si>
  <si>
    <t>Failed to read tile entity of block: conveyor while connecting to multiplayer</t>
  </si>
  <si>
    <t>**Steps to reproduce**: *Don really know try to logging to the map fork with conveyor in ?*
**Crash report, if applicable**: *The contents of relevant crash report files.*
Total time to load: 1912
Time to generate menu: 30.85097
Fetched 21 global servers.
Connecting to server:
Recieved world data: 33298 bytes.
Time to cache: 77.474625
Failed to read tile entity of block: conveyor
Caused by: Failed to read tile entity of block: conveyor
*Place an (no spaces) between the brackets to confirm that you have read the line below.*
**I have searched the closed and open issues to make sure that this problem has not already been reported.**</t>
  </si>
  <si>
    <t>NordicSemiconductor-Android-BLE-Library-216</t>
  </si>
  <si>
    <t>Null Pointer Exception for v2.2.x</t>
  </si>
  <si>
    <t>Android app seems to be crashing in the background when trying to reconnect back to the BLE device. It crashes especially when trying to enable notifications for characteristics. have this in the code base
This is the stack trace when the exception happens:
am also seeing an uptick in similar NPE on our users when the app sends disconnect command. Below is the stack trace:
Any help suggestions appreciated!</t>
  </si>
  <si>
    <t>amit-schwartz-u-rooMe-204</t>
  </si>
  <si>
    <t>Bug: app crashes when you type minus in age</t>
  </si>
  <si>
    <t>In the apartment searcher profile, when we type minus in the age field the app crashes.</t>
  </si>
  <si>
    <t>amit-schwartz-u-rooMe-202</t>
  </si>
  <si>
    <t>BUG: app crashes when entering "-"</t>
  </si>
  <si>
    <t>On if the user enters in the rent section, the app crashes.
If it fine by you ll try to fix it.</t>
  </si>
  <si>
    <t>doublesymmetry-react-native-track-player-991</t>
  </si>
  <si>
    <t>Adding a single local audio file into the queue won't play</t>
  </si>
  <si>
    <t>**Describe the bug**
The play function would not play the audio of local file added to the queue with add
(See code below)
**Environment (please complete the following information):**
Android Studio: 4.0
Testing using simulator for iOS
previously used TrackPlayer.reset() before adding playing new audio file but noticed that it would cause crash if there was audio already playing (I assuming that using reset to fix this issue was also just workaround and not the intended purpose of the function).
The way that got around this was by wrapping it in 0ms setTimeout:
(This also worked by adding await getCurrentTrack() before the add play). not really sure why these methods work, but just sharing my quick hack here in case anyone else has similar problem or would like to look into it.</t>
  </si>
  <si>
    <t>2020-07-06</t>
  </si>
  <si>
    <t>amplitude-Amplitude-Android-243</t>
  </si>
  <si>
    <t>App crashes with Amplitude sdk, when device returns null location providers</t>
  </si>
  <si>
    <t>Running app on device without location provider causing crash:
List&lt;String&gt; providers null
catch (SecurityException e)
failed to get providers list
Changing SecurityException to Exception will solve problem.</t>
  </si>
  <si>
    <t>nextcloud-android-6417</t>
  </si>
  <si>
    <t xml:space="preserve">Not auto uploading and app (android) crashing every time i turn auto upload on or off a folder </t>
  </si>
  <si>
    <t>### Steps to reproduce
1. open android app
2. Auto upload from menu
3. Press cloud icon on any folder.
### Expected behaviour
Tell us what should happen.. should toggle on an off and then upload files from folder (if on charge and WiFi)
### Actual behaviour
Tell us what happens... freezes every time. No uploads commence.
This process is WAY too hard to report simple bug.
Come on seriously Makes me think should leave the platform. do not have the time for any of the other steps. It is obvious your app does bot operate correctly from above.
My email is ditmoli protonmail.com</t>
  </si>
  <si>
    <t>Inversion-NL-Toon-Android-35</t>
  </si>
  <si>
    <t>App crashes while fetching data</t>
  </si>
  <si>
    <t>**Describe the bug**
App crashes while fetching data
**App version (please complete the following information):**
App version code: 12
**Smartphone (please complete the following information):**
Device: Samsung Galaxy S9
Android Version: 10
**Additional context or information**</t>
  </si>
  <si>
    <t>react-native-share-react-native-share-819</t>
  </si>
  <si>
    <t>App crash when sharing via airdrop or discord on iOS</t>
  </si>
  <si>
    <t>### Steps to reproduce
Given this code.
const base64Url base 64 data url. this data is shared correctly in facebook messenger and gmail
const options Platform.select(
### Expected behaviour
File properly sent to the device via airdop
### Actual behaviour
App crash with this exception
Thread 1: Exception: NSCFString objectForKey: unrecognized selector sent to instance 0x11f7e8000
debugger stop at this part of code:
**React Native version**: 0.62.2
**React Native platform platform version**: iPhone 7+ iOS 13</t>
  </si>
  <si>
    <t>nextcloud-android-6416</t>
  </si>
  <si>
    <t>Nextcloud crash during synchronizing</t>
  </si>
  <si>
    <t>phrogg-GetMiTokens-1</t>
  </si>
  <si>
    <t>The app crashes when clicking on Version in Android 10</t>
  </si>
  <si>
    <t>2020-07-05</t>
  </si>
  <si>
    <t>nextcloud-android-6413</t>
  </si>
  <si>
    <t>Network rejoin crash</t>
  </si>
  <si>
    <t>### Steps to reproduce
1. basically just rejoined my home network after shopping trip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</si>
  <si>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2020-07-04</t>
  </si>
  <si>
    <t>elimu-ai-appstore-224</t>
  </si>
  <si>
    <t>Fix bug: NullPointerException when no ApplicationVersion exists for installed APK</t>
  </si>
  <si>
    <t>To prevent crash during development (before any ApplicationVersion) has been uploaded to the webapp.</t>
  </si>
  <si>
    <t>Anuken-Mindustry-2207</t>
  </si>
  <si>
    <t>Error when connecting to attack LAN server</t>
  </si>
  <si>
    <t>Error Unknown network error (Attempt to invoke virtual method float on null object reference) when connecting to an attack LAN server
**Steps to reproduce**: *How you happened across the issue, and what you were doing at the time.*
1) Play an attack map
2) Open to LAN
3) Join server on another device
**Link to mod(s) used, if applicable**: *The mod repositories or zip files that are related to the issue.* none
**Crash report, if applicable**: *The contents of relevant crash report files.*
don know how to copy the error when you press Details... but do have these screenshots
*Place an (no spaces) between the brackets to confirm that you have read the line below.*
**I have searched the closed and open issues to make sure that this problem has not already been reported.**</t>
  </si>
  <si>
    <t>2020-07-03</t>
  </si>
  <si>
    <t>jellyfin-jellyfin-androidtv-519</t>
  </si>
  <si>
    <t>Firestick 4k and Nvidia ShieldTV plays strm files for a couple mins then the whole app crashes.</t>
  </si>
  <si>
    <t>tried playing strm files on different firestick 4k devices and my Nvidia ShieldTV. Same thing keeps happening. It will play the file for few minutes straight and then all of the sudden the whole app just crashes. downloaded one to try using locally with Jellyfin and it worked fine but the majority of my library is on the cloud so need to use strms. Can anyone help?
The strm files were of different formats as well. it was mix and match between these containers with these audio and video formats codecs. mp4, mkv, x264, x265, aac2.0 aac5.1 DTS etc.</t>
  </si>
  <si>
    <t>Anuken-Mindustry-2205</t>
  </si>
  <si>
    <t xml:space="preserve">Phantom Builders will sometimes build up enemy base </t>
  </si>
  <si>
    <t>When playing in Hexed-PvP and you have Phantom-Builder -Drones sometimes they start to build up an enemy base that got destroyed earlier in the game.
**Steps to reproduce**: *How you happened across the issue, and what you were doing at the time.*
Play Hexed PVP and have Phantom Builder drones. It is not always the case that they will build up other bases, but something like 50% chance.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</si>
  <si>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Anuken-Mindustry-2204</t>
  </si>
  <si>
    <t>Some kind of power source bug</t>
  </si>
  <si>
    <t>**Steps to reproduce**: *I have no clue what happend, it just happen, maybe while was building something not sure*
**Link to mod(s) used, if applicable**: *no mods used*
**Crash report, if applicable**: *No crash report, Sorry*
*Place an (no spaces) between the brackets to confirm that you have read the line below.*
**I have searched the closed and open issues to make sure that this problem has not already been reported.**</t>
  </si>
  <si>
    <t>google-ExoPlayer-7580</t>
  </si>
  <si>
    <t>### REQUIRED Issue description
During testing of the code which discards samples in HLS streams when upshifting to higher resolution stream, ve been able to reliably reproduce the following crash:
Caused by: off -1129, len 7157 out of bounds (size 65536)
This appears to be the same crash which was encountered and mentioned by smayhew in the pull request which pulled the code in: https: github.com google ExoPlayer pull 7244
smayhew comment: https: github.com google ExoPlayer pull
will include more detailed information on the reproduction in the reproduction steps, but in short this is reproduced using the demo app with one slight modification and running against live stream.
### REQUIRED Reproduction steps
client device: TiVo Stream 4k
wireless connection is intentionally set to be close to the threshold for the stream. In this particular case, the stream (a live stream) has 6Mbps, 4Mbps and 2Mbps variants and the access point is limiting the connection to 10Mbps
CODE CHANGE: in part because this stream uses the same resolution, and also because we like to eventually have the discard be evaluated for every shift to higher bitrate (not just higher resolution) disabled the checks for resolution and only evaluate bitrate when determining whether to discard samples. i.e., in
If the chunks contain video, discard from the first SD chunk beyond
whose resolution and bitrate are both lower than the ideal
for (int queueSize i++)
MediaChunk chunk queue.get(i)
Format format chunk.trackFormat
long chunk.startTimeUs playbackPositionUs
&amp;&amp; format.bitrate idealFormat.bitrate
&amp;&amp; format.height Format.NO VALUE &amp;&amp; format.height 720
&amp;&amp; format.width Format.NO VALUE &amp;&amp; format.width 1280
&amp;&amp; format.height idealFormat.height*</t>
  </si>
  <si>
    <t>2020-07-02</t>
  </si>
  <si>
    <t>amit-schwartz-u-rooMe-181</t>
  </si>
  <si>
    <t>Bug - App crashes when typing minus in the rent field</t>
  </si>
  <si>
    <t>When filling in the apartment details, in the rent section, if you accidentally press the minus (-) button in the keyboard when the input is empty (i.e. after you delete the default 0.0 value), the app crashes.
The following stack trace is shown:</t>
  </si>
  <si>
    <t>material-components-material-components-android-1455</t>
  </si>
  <si>
    <t>[TextInputLayout] NoSuchFieldError: mtrl_textinput_box_bottom_offset</t>
  </si>
  <si>
    <t>Material Library version: 1.2.0-beta01
Robolectric version: 4.3.1
When running UI tests with Espresso and Robolectric, they crash in some test configurations consistently on Linux and macOS, regardless whether they re executed in Android Studio or via Gradle command line, because of an unknown field, like so
Caused by: mtrl textinput box bottom offset
... 150 more
am unable to find the said field in the current sources, so don know where it comes from actually. From what figured is that it seems to be some kind of dimen resource value that apparently is not part of the compiled R.java though see it in my module build output when grep for it:</t>
  </si>
  <si>
    <t>square-okhttp-6162</t>
  </si>
  <si>
    <t>Application getting crash with error Fatal Exception: java.lang.IllegalStateException Unbalanced enter/exit</t>
  </si>
  <si>
    <t>**Below are the logs for references.**</t>
  </si>
  <si>
    <t>cgeo-cgeo-8568</t>
  </si>
  <si>
    <t>NPE in RouteLayer.draw()</t>
  </si>
  <si>
    <t>in RouteLayer.draw() as in:
Happened several times during today tour as well as infrequently during development.
Not yet tested if it reproducible, but today it happened several times when doing the following steps:
starting point was OSM offline map with the caches of today tour combined as individual route
move visited cache from list to list
long tap on cache to remove it from individual route
in about 25% of the time the map then crashed c:geo main screen shown after restarting the map the cache removed from individual route *is* removed
in the other cases cache is removed from individual route without the map crashing
**Version of c:geo used:**
**Is the problem reproducible:**
Not yet sure, but happened times today (according to log) out of 20.</t>
  </si>
  <si>
    <t>2020-07-01</t>
  </si>
  <si>
    <t>deltachat-deltachat-android-1469</t>
  </si>
  <si>
    <t>Profile Image selection doesn't work</t>
  </si>
  <si>
    <t>transferred from our forum (https: support.delta.chat 1030):
Delta Chat version
Delta Chat 1.8.1 (Android)
That can select profile picture from my gallery or make picture with my camera
When tab on the camera icon in the profile overview, the gallery shortly opens up and immediatly closes again.
Steps to reproduce the problem
open the app
go to Settings
go on the camera icon
the screen for editing my profile opens up
in this section tab on the camera icon again
the gallery opens and closes quick (it crashes)</t>
  </si>
  <si>
    <t>msaperst-beerfit-43</t>
  </si>
  <si>
    <t>Metrics Crashes with No Activities</t>
  </si>
  <si>
    <t>On fresh start, when navigating to metrics, the app crashed. See test viewMetrics</t>
  </si>
  <si>
    <t>TeamNewPipe-NewPipe-legacy-33</t>
  </si>
  <si>
    <t>Background playback does not work.</t>
  </si>
  <si>
    <t>Background playback does not work.
Newpipe legacy 0.19.5
am in Android version 4.2.2 17
every time try the app crashes</t>
  </si>
  <si>
    <t>doublesymmetry-react-native-track-player-985</t>
  </si>
  <si>
    <t>Native Module TrackPlayerModule tries to override MusicModule [Android]</t>
  </si>
  <si>
    <t>**Describe the bug**
When launching on android, the application crashes with the error message Native Module TrackPlayerModule tried to override MusicModule There is no duplicate package declaration in the file, as hinted to in other issues, nor is there any duplicate imports.
do manual linking as described in the docs.
API Levels: 28, 30
Build Tools: 28.0.3, 30.0.0
System Images: android-30 Google Play Intel x86 Atom
Android NDK: Not Found
Android Studio: 4.0
Running on pixel2 emulator with API 30
No code, the installation itself causes the crash. (works on ios)</t>
  </si>
  <si>
    <t>Azure-azure-sdk-for-android-250</t>
  </si>
  <si>
    <t>app crashes on init of AzureData; Unable to invoke no-args constructor for class com.azure.data.model.service.ResourceLocation</t>
  </si>
  <si>
    <t>Android version multiple in range from 6.0+:
Azure.Android SDK version: 0.4.0
### Bug Summary
### Steps to Reproduce
Thats tough one unf. It seems that somehow AzureData gets into state where it will no longer initialise. When that happens, the app will crash at the very first call to init AzureData, ie.
COSMOS ACCOUNT NAME, COSMOS MASTER KEY, PermissionMode.All or PermissionMode.Read
### Expected Behavior
doesnt crash app
### Actual Behavior
Really appreciate if someone can look into this as its affecting multiple of our Android users</t>
  </si>
  <si>
    <t>HappyPeng2x-SumatoraDictionary-7</t>
  </si>
  <si>
    <t>Bad input sanitization?</t>
  </si>
  <si>
    <t>### Expected Behavior
The application shouldn crash.
### Actual Behavior
When searching for with in any part of the query, the application crashes.
### How to Reproduce
Just search something like blah blah or bl ah does not cause crash.</t>
  </si>
  <si>
    <t>2020-06-30</t>
  </si>
  <si>
    <t>deltachat-deltachat-android-1462</t>
  </si>
  <si>
    <t>Manual upgrade to 1.10.x does not work</t>
  </si>
  <si>
    <t>This is bug report tracker. New features are discussed in the forum: https: support.delta.chat
Please fill out as much of this form as you can (leaving out stuff that is not applicable is ok).
Operating System (Linux Mac Windows iOS Android): Android
Delta Chat Version: 1.8.1 Play Store Version
Expected behavior: Upgrade to 1.10.x works without problems
Actual behavior: After upgrading, Delta.Chat crashes directly after start
Steps to reproduce the problem:
Installed and setuped Version 1.8.1 Play Store Version
Download 1.10.x gplay from get.delta.chat
Update manually from 1.8.1 to 1.10.x
Phone: Galaxy A3 2017 (SM-A320FL)
Operating Systen: LineageOS 16.0 (Android 9)
didn try clean install yet and 1.10.x isn available for me from the gplay yet.</t>
  </si>
  <si>
    <t>react-native-webrtc-react-native-webrtc-816</t>
  </si>
  <si>
    <t>App crashes when calling mediaDevices.getUserMedia</t>
  </si>
  <si>
    <t>If you have question, please ask it in our community: https:
If you want to report bug, you are in the right place!
Please include as much information as possible and make the issue title
as descriptive as you can.
#### Expected behavior
Display video normally
#### Observerd behavior
Call app crashes
#### Steps to reproduce the problem
const isFront true
const devices await
const facing isFront front environment
const videoSourceId devices.find(device device.kind videoinput &amp;&amp; device.facing facing)
const facingMode !isFront user environment
#### Platform information
**React Native version**: 0.61.5
**Plugin version**: 1.75.3
**OS version**: 13+</t>
  </si>
  <si>
    <t>Inversion-NL-Toon-Android-31</t>
  </si>
  <si>
    <t>0.5.10 crashes on convertFromTemperature while updating data</t>
  </si>
  <si>
    <t>**Describe the bug**
0.5.10 crashes on while updating data
Steps to reproduce the behavior:
**App version (please complete the following information):**
App version 0.5.10
**Additional context or information**</t>
  </si>
  <si>
    <t>material-components-material-components-android-1451</t>
  </si>
  <si>
    <t>[MaterialDatePicker] Lot of crash</t>
  </si>
  <si>
    <t>MaterialDatePicker is crashing all the time
**Here is my codes**
&lt;style name AppTheme parent
&lt;!-- Customize your theme here. --&gt;
&lt;item name colorPrimary color colorPrimary&lt; item&gt;
&lt;item name colorPrimaryDark color colorPrimaryDark&lt; item&gt;
&lt;item name colorAccent color colorAccent&lt; item&gt;
style CustomThemeOverlay MaterialCalendar Fullscreen
&lt;style name CustomThemeOverlay MaterialCalendar Fullscreen parent style
&lt;item name style Custom item&gt;
&lt;item name colorSurface &gt;#FFFFFF&lt; item&gt;
&lt;style name Custom parent style
&lt;item name &gt;false&lt; item&gt;
when remove the **colorSurface** field, then get the **colorSurface error** thing
when have it get this
Caused by: Failed to resolve attribute at index 5: TypedValue 0x2 0x7f0300ab
WTF going on?
the same with the Bridge style
When using the built in style with the 1.3.0.alpha01
**Then get the same:**</t>
  </si>
  <si>
    <t>Anuken-Mindustry-2198</t>
  </si>
  <si>
    <t>inconsistant zooming keybind</t>
  </si>
  <si>
    <t>scrolling to zoom and scrolling to rotate are unintuitive, causing confusion
**Steps to reproduce**: *How you happened across the issue, and what you were doing at the time.*
if nothing is selected: scrolling normally zooms in and out
if schematic rotateable block selected: scrolling rotates the schematic block, and ctrl+scrolling zooms in and out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</si>
  <si>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Anuken-Mindustry-2197</t>
  </si>
  <si>
    <t>editor not prompting to save</t>
  </si>
  <si>
    <t>map editor: editing ingame, going back to the regular editor, and exiting doesn prompt you to save
(just exiting normally does prompt you to save)
**Steps to reproduce**: *How you happened across the issue, and what you were doing at the time.*
create new map, press the edit in-game button, press escape, press exit, press escape again, press exit, no prompt to save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</si>
  <si>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brodeurlv-fastnfitness-142</t>
  </si>
  <si>
    <t>Crash after deleting a program that is in progress</t>
  </si>
  <si>
    <t>If you start program, then go to delete it without first stopping it, then the next time you go back into Workout the application will crash. It will be stuck in crash loop.
Steps to reproduce the behavior:
1. Create test program with any exercise.
2. Go to Workout -&gt; Program, select your new program and click Start Program
3. Go to Program list, select your test program and delete it.
4. Go back to Workout. The application will crash.
If workout that is in progress gets deleted, simply stop it.
reproduced this one while playing around bit. It looks like when you go back into the Workout page, there is refresh that happens and it is trying to access Program that does not exist anymore. Problem is that even if the program was deleted, it is still inside the mDbWorkoutHistory and set as running.
can look into this and fix it, it will help me familiarize myself with the code.</t>
  </si>
  <si>
    <t>nextcloud-android-6386</t>
  </si>
  <si>
    <t>Android Client frequent  crashes</t>
  </si>
  <si>
    <t>************ CAUSE OF ERROR ************
Caused by: Caller no longer running, last stopped +193ms because: timed out while starting
************ APP INFORMATION ************
Build flavor: gplay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</si>
  <si>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2020-06-29</t>
  </si>
  <si>
    <t>labexp-osmtracker-android-258</t>
  </si>
  <si>
    <t xml:space="preserve">Can't upload </t>
  </si>
  <si>
    <t>Now every time try to upload, it just says export successfully and then the app crashes. But didn intend to export, intended to upload.</t>
  </si>
  <si>
    <t>elimu-ai-launcher-49</t>
  </si>
  <si>
    <t>Bug: Release build crashes due to `java.lang.SecurityException`</t>
  </si>
  <si>
    <t>How to reproduce:
1. Install Appstore (release build, version 2.3.1 (https: github.com elimu-ai appstore releases tag 2.3.1))
1. Install Launcher (release build, version 2.1.0 (https: github.com elimu-ai launcher releases tag 2.1.0))
Caused by: Permission Denial: reading uri content: provider applications from pid 1340, uid 10117 requires or
Related to #37</t>
  </si>
  <si>
    <t>LN-Zap-zap-android-204</t>
  </si>
  <si>
    <t>Unhandled NullReferenceException when reading LNURL</t>
  </si>
  <si>
    <t>When scanning withdrawal LNURL, that has no URL-Query data, the application crashes. Scanning LNURL should never crash the Application.
## Expected Behavior
Scan withdrawal LNURL. Withdrawal UI opens.
## Actual Behavior
Application crashes because of if LNURL has no Query
## Possible Fix
Check if the decoded LNURL has Query before trying to use it. Class: LnUrlUtil Method: readLnUrl
when using .contains on null query:
decodedUrl new URL(decodedLnUrl)
if tag login ))
unsupported type), RefConstants.ERROR DURATION MEDIUM)
decodedUrl new URL(decodedLnUrl)
if tag login ))
unsupported type), RefConstants.ERROR DURATION MEDIUM)
## Steps to Reproduce
Scan LNURL like:</t>
  </si>
  <si>
    <t>2020-06-28</t>
  </si>
  <si>
    <t>TeamNewPipe-NewPipe-3823</t>
  </si>
  <si>
    <t>comments dont show</t>
  </si>
  <si>
    <t>amit-schwartz-u-rooMe-175</t>
  </si>
  <si>
    <t>BUG: app crashes with  java.lang.NullPointerException</t>
  </si>
  <si>
    <t>Every now and then when open the app it crashes with the following error:</t>
  </si>
  <si>
    <t>2020-06-27</t>
  </si>
  <si>
    <t>google-ExoPlayer-7549</t>
  </si>
  <si>
    <t>Assertion crashes app for HLS from SampleQueue.discardUpstreamSampleMetadata</t>
  </si>
  <si>
    <t>### REQUIRED Issue description
seeing uncaught exceptions in Crashlytics coming from ExoPlayer:
### REQUIRED Reproduction steps
Issue is observed via crashlytics on users devices. App does not request player to stop cancel playback. Here are last messages right before assertion fails:
### REQUIRED Link to test content
### REQUIRED full bug report captured from the device
### REQUIRED Version of ExoPlayer being used
Version which was used before this one and did not have such issue:
### REQUIRED Device(s) and version(s) of Android being used
Xiaomi mibox, mibox s,
BRAVIA 4K GB ATV3, BRAVIA 4K GB
TCL Beyond TV
Android 9, (60% 40%)</t>
  </si>
  <si>
    <t>2020-06-26</t>
  </si>
  <si>
    <t>woesss-JL-Mod-7</t>
  </si>
  <si>
    <t>Game failed to Open and Crashes</t>
  </si>
  <si>
    <t>**Description of the issue:**
Why the Java Game doesn open and crashes? while using the latest version? played Diamond Rush, but nothing happen it started to blank. and don see the keyboard then tap it and crashes. My solution is tried to reinstalled for Previous version and will be worked. Is there for problem for Latest Version to this error?
Anyway thanks for the J2me mod. :)</t>
  </si>
  <si>
    <t>lakshaysethi-Assignment_3_Mobile_Dev-47</t>
  </si>
  <si>
    <t>app crashes in master branch when new driver signsup and tries to login</t>
  </si>
  <si>
    <t>to reproduce error use master branch
make new driver user- by signing up
try to login with new details</t>
  </si>
  <si>
    <t>aws-amplify-amplify-android-599</t>
  </si>
  <si>
    <t>DataStore race condition fix and other stability-related fixes</t>
  </si>
  <si>
    <t>*Issue #, if available:* #541 #581 Maybe: #589 #563
*Description of changes:*
Modified clear() operation so it doesn invoke beforeOperation like all the other API calls. This is because we need to stop the Orchestrator anyways before we can delete the database. After we remove the database and re-initialize the storage adapter, we then make call to re-initialize the orchestrator asynchronously.
Modified beforeOperation so it doesn call My thought is that operations against the DataStore should have little to no dependency on what the orchestrator is currently doing (with the exception of clear). believe this was in place as mechanism to ensure the synchronization processes remain alive or are restarted as needed. will put separate PR together to fill this gap.
Added semaphore to the Orchestrator to prevent race conditions when calling start() This shouldn happen often except for cases where clear() is called immediately after Amplify initializes.
The change in is probably the most abstract one of the bunch. It has to do with the issues mentioned above, which are related to how RxJava lifecycle rules work. basically wrapping the envent emitter so can check whether can check whether the downstream subscriber has already been disposed, which happens when one of the AppSync subscriptions fails. added comment to AmplifyDisposables to go into more detail.
As mentioned, there will be follow-up to this PR to fill the gap mentioned in item 2. more long term solution would be to re-structure how we wire the streams, but it would require fair amount of refactoring. hoping this will help with the fatal app crashes in the short term.
By submitting this pull request, confirm that my contribution is made under the terms of the Apache 2.0 license.</t>
  </si>
  <si>
    <t>2020-06-25</t>
  </si>
  <si>
    <t>open-webrtc-toolkit-owt-client-android-225</t>
  </si>
  <si>
    <t>Added ConferencePeerChannel null pointer checks, ConferencePeerConnec…</t>
  </si>
  <si>
    <t>Added null pointer checks, instances are created by but do not necessarily contain publication or subscription
This fix will prevent many crashes in our app</t>
  </si>
  <si>
    <t>nextcloud-android-6357</t>
  </si>
  <si>
    <t>App dev crash - Photos</t>
  </si>
  <si>
    <t>When choosing from the Photos menu, the app crashes.
************ CAUSE OF ERROR ************
... 88 more
************ APP INFORMATION ************
Build flavor: versionDev
### Environment data
Android version: 10
Nextcloud app version: Dev 20200625
Nextcloud server version: 19.0.0</t>
  </si>
  <si>
    <t>zoho-salesiq-mobilisten-android-sample-6</t>
  </si>
  <si>
    <t>ActivityNotFoundException</t>
  </si>
  <si>
    <t>Getting crash logged related to in Crashlytics for SalesIQ Mobilisten SDK. Please check and fix this</t>
  </si>
  <si>
    <t>2020-06-24</t>
  </si>
  <si>
    <t>Inversion-NL-Toon-Android-29</t>
  </si>
  <si>
    <t>0.5.10 crashes on convertCurrentUsageData while updating data</t>
  </si>
  <si>
    <t>**Describe the bug**
0.5.10 crashes while updating data
**App version (please complete the following information):**
App version 0.5.10
**Smartphone (please complete the following information):**
Android Version: Android 10
**Additional context or information**</t>
  </si>
  <si>
    <t>Inversion-NL-Toon-Android-28</t>
  </si>
  <si>
    <t>0.5.10 crashes on login screen</t>
  </si>
  <si>
    <t>**Describe the bug**
0.5.10 crashes on login screen
**App version (please complete the following information):**
App version 0.5.10
**Smartphone (please complete the following information):**
Device: Samsung Galaxy Not8 (greatqltechn)
**Additional context or information**</t>
  </si>
  <si>
    <t>Inversion-NL-Toon-Android-27</t>
  </si>
  <si>
    <t>0.5.10 crashes on graph</t>
  </si>
  <si>
    <t>**Describe the bug**
App crashes on graph
**App version (please complete the following information):**
**Smartphone (please complete the following information):**
Device: Samsung Galaxy Note4 (trlte)
**Additional context or information**</t>
  </si>
  <si>
    <t>Anuken-Mindustry-2186</t>
  </si>
  <si>
    <t>My Game Crashes</t>
  </si>
  <si>
    <t>**Steps to reproduce**: *I ve installed the game and skipped the tutorial and then the game will crash*
**Link to mod(s) used, if applicable**: *** No mods in use **.*
**Crash report, if applicable**: *#
fatal error has been detected by the Java Runtime Environment:
EXCEPTION ACCESS VIOLATION (0xc0000005) at pc 0x0000000000000000, pid 14588, tid 12980
JRE version: OpenJDK Runtime Environment (8.0 72-b15) (build 1.8.0 72-b15)
Java VM: OpenJDK 64-Bit Server VM (25.72-b15 mixed mode windows-amd64 compressed oops)
Failed to write core dump. Minidumps are not enabled by default on client versions of Windows
If you would like to submit bug report, please visit:
http: www.azulsystems.com support
The crash happened outside the Java Virtual Machine in native code.
See problematic frame for where to report the bug.
Current thread JavaThread main thread in native, id 12980,
RAX 0x0000000000000001, RBX 0x0000000000000000, RCX 0x00000000322d9938, RDX 0x0000000000000001
RSP 0x00000000008cf2c8, RBP 0x00000000008cf4c0, RSI 0x0000000000000210, RDI 0x0000000000080caa
R8 0x0000000100000000, R9 0xffffffff00000000, R10 0x00000000008cf270, R11 0x00000000008cf2c8
R12 0x0000000000000000, R13 0x00000000008cf4e0, R14 0x00000000008cf4b0, R15 0x00000000022b0800
RIP 0x0000000000000000, EFLAGS 0x0000000000210246
Top of Stack: (sp 0x00000000008cf2c8)
Register to memory mapping:</t>
  </si>
  <si>
    <t>CsabaConsulting-ARPhysics-2</t>
  </si>
  <si>
    <t>Native Preferences (Settings) view crashes</t>
  </si>
  <si>
    <t>2020-06-22</t>
  </si>
  <si>
    <t>Dar9586-NClientV2-173</t>
  </si>
  <si>
    <t>Performance issues</t>
  </si>
  <si>
    <t>Everything is fine on 2.2.7
But the performance goes so low at .2.2.8 and above.
Especially during reading of pictures
Of downloaded and online doujins.
(It always crashes on my phone)
And returning to 2.2.7 will make me to unable to search using numbers or titles.
Can you please put an option for us to use the older,more stable option?</t>
  </si>
  <si>
    <t>Anuken-Mindustry-2180</t>
  </si>
  <si>
    <t>achievement problem when went from Android to Steam version</t>
  </si>
  <si>
    <t>played Mindustry on Android. Then transferred this save to the Steam version of the game. It worked perfectly but can get achievements Material and Material II because unlocked titanium and thorium on phone. Didn find solution in the net.
main screen (https: 67225529
**Steps to reproduce**: *How you happened across the issue, and what you were doing at the time.*
Didn try anything. know that can clear game data and start new game to achieve ores second time but if there are other way?
**Link to mod(s) used, if applicable**: *The mod repositories or zip files that are related to the issue.*
Didn use any mods.
**Crash report, if applicable**: *The contents of relevant crash report files.*
*Place an (no spaces) between the brackets to confirm that you have read the line below.*
**I have searched the closed and open issues to make sure that this problem has not already been reported.**</t>
  </si>
  <si>
    <t>2020-06-21</t>
  </si>
  <si>
    <t>ankidroid-Anki-Android-6516</t>
  </si>
  <si>
    <t>Crash when using "check pronounciation" during reviews</t>
  </si>
  <si>
    <t>###### Reproduction Steps
1. Review card
2. Menu check pronounciation
###### Expected Result
Actually don know what this new feature is doing, but my expectation was that it works without crashing
###### Actual Result
App crash. Report is being sent.
###### Debug info
AnkiDroid Version 2.12alpha14
*Enter an character to confirm the points below:*
have searched for similar existing issues here and on the user forum
(Optional) have confirmed the issue is not resolved in the latest alpha release instructions (https: docs.ankidroid.org</t>
  </si>
  <si>
    <t>2020-06-20</t>
  </si>
  <si>
    <t>cgeo-cgeo-8481</t>
  </si>
  <si>
    <t>GPX track: Crash if selected track file removed</t>
  </si>
  <si>
    <t>Taken from https: github.com cgeo cgeo issues
Map view crashes on opening, if formerly selected track file is no longer available.</t>
  </si>
  <si>
    <t>cgeo-cgeo-8480</t>
  </si>
  <si>
    <t>GPX track: Crash on loading invalid GPX track file</t>
  </si>
  <si>
    <t>Taken from https: github.com cgeo cgeo issues
after choosing an incorrectly formatted file (like the one exported with the previous track export version, with two lat but no lon tag) c:geo first stutters, then hangs, and finally crashes</t>
  </si>
  <si>
    <t>TeamNewPipe-NewPipe-3799</t>
  </si>
  <si>
    <t>Tooltip jump crashes android totally.</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</si>
  <si>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Launch app
2. Long press the Trending tab (having fire symbol).
3. After popup shows up, long press the same Trending tab again.
4. Crashes my phone (Android 6.0), but if lock can hear the locking sound.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t>
  </si>
  <si>
    <t>QuranHub-quranhub-android-18</t>
  </si>
  <si>
    <t>The app crashes when trying to play an aya audio</t>
  </si>
  <si>
    <t>2020-06-19</t>
  </si>
  <si>
    <t>GoogleCloudPlatform-fda-mystudies-530</t>
  </si>
  <si>
    <t>[ios] app crash</t>
  </si>
  <si>
    <t>received the following crash from user:
&lt;img width 960 alt Screen Shot 2020-06-19 at 16 35 PM src https: 1202776</t>
  </si>
  <si>
    <t>Azure-azure-iot-sdk-java-817</t>
  </si>
  <si>
    <t>Fatal Exception while attempting reconnect to IoT Hub Transport</t>
  </si>
  <si>
    <t>OS and version used: Android 10
transmission protocol: MQTT
We are getting sporadic crash reports coming from within the internals of the java MQTT implementation.
Have you seen this? Not sure we can trap them and how to recover from them.</t>
  </si>
  <si>
    <t>QuranHub-quranhub-android-14</t>
  </si>
  <si>
    <t>The app crashes when opening the Search Quran screen</t>
  </si>
  <si>
    <t>Anuken-Mindustry-2176</t>
  </si>
  <si>
    <t>I think this is a bug</t>
  </si>
  <si>
    <t>**me and friend were making surge alloy and the core wasn accepting them and was trowing them away**: *Explain your issue in detail.*
**we made surge alloy smelter and after connecting the right ammount of items when we connected it to the core it was getting stuck at 13 14**: *How you happened across the issue, and what you were doing at the time.*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</si>
  <si>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Roaim-DTBazar-43</t>
  </si>
  <si>
    <t>Android: FirebaseRemoteConfigClientException: Failed to get Firebase Instance ID token for fetch.</t>
  </si>
  <si>
    <t>**Describe the bug**
App crashes when device connected to the WiFi which isn connected to the internet and remote config doesn have previously stored value. It shows the following error message:
Steps to reproduce the behavior:
1. Connect to WiFi which isn connected to the internet
2. Uninstall the previous app
3. Install and open it
4. Wait for while
5. After while the app crashes
App should not crash
OS: Android 10
Caused by: SERVICE NOT AVAILABLE</t>
  </si>
  <si>
    <t>Anuken-Mindustry-2173</t>
  </si>
  <si>
    <t>Item with Content ID over 128 corrupts the save</t>
  </si>
  <si>
    <t>**Steps to reproduce**: *Install sk7725 MoreItems and then use the modded items(place them on conveyor belt).*
**Link to mod(s) used, if applicable**: https: github.com sk7725 MoreItems (https: github.com sk7725 MoreItems)*
**Crash report, if applicable**: *No crashes, but the log has something to say:
*Place an (no spaces) between the brackets to confirm that you have read the line below.*
**I have searched the closed and open issues to make sure that this problem has not already been reported.**</t>
  </si>
  <si>
    <t>TeamNewPipe-NewPipe-3794</t>
  </si>
  <si>
    <t>Fixes crash when a file is deleted then redownloaded</t>
  </si>
  <si>
    <t>&lt;!-- Hey there. Thank you so much for improving NewPipe. Please take moment to fill out the following suggestion on how to structure this PR description. Having roughly the same layout helps everyone considerably :)--&gt;
#### What is it?
Bug fix (user facing)
Feature (user facing)
Code base improvement (dev facing)
Meta improvement to the project (dev facing)
#### Description of the changes in your PR
&lt;!-- While bullet points are the norm in this section, feel free to write text instead if you can fit it in list --&gt;
Adds null check before String comparison on the equals method
Fixes bug where downloading the same deleted file would cause the app to crash on
#### Fixes the following issue(s)
#### Testing apk
&lt;!-- Ensure that you have your changes on new branch which has meaningful name. This name will be used as suffix for the app ID to allow installing and testing multiple versions of NewPipe. Do NOT name your branches like patch-0 and feature-1 For example, if your PR implements bug fix for comments, an appropriate branch name would be commentfix --&gt;
carefully read the contribution guidelines (https: github.com TeamNewPipe NewPipe blob HEAD .github CONTRIBUTING.md) and agree to them.</t>
  </si>
  <si>
    <t>twilio-voice-quickstart-android-352</t>
  </si>
  <si>
    <t>Calling connect() after calling the deprecated Voice.setRegion() crashes with IAE</t>
  </si>
  <si>
    <t>From the changelog of 5.3.0 (https: www.twilio.com docs voice voip-sdk android 3x-changelog#530), setRegion is deprecated but it not supposed to be breaking change.
However, calling Voice.connect() after Voice.setRegion( au1 crashes with the following exception:
Fatal Exception: Non default region value au1 has already been specified. Please use Voice.edge or Voice.region to specify the Twilio Region that the SDK connects to.
From the stack trace, it looks like Voice.setEdge is called internally by Voice.connect which causes the crash as per the doc of setEdge
NOTE: Setting the edge during call will not be applied to ongoing calls. The edge will be applied to subsequent connect(Context, String, Call.Listener) or Bundle, MessageListener) API calls. The SDK will throw the if both edge and region values are specified.
### Steps to Reproduce
1. Upgrade to SDK 5.3.0
2. Set region by Voice.setRegion
3. Make call via Voice.connect
#### Expected Behavior
The call is made successfully on the configured region.
#### Actual Behavior
The app crashes.
#### Reproduces How Often
Every time we call setRegion before connect Calling setEdge before connect works fine.
All relevant version information for the issue.
#### Voice Android SDK
#### OS Version
#### Device Model</t>
  </si>
  <si>
    <t>2020-06-18</t>
  </si>
  <si>
    <t>iNPUTmice-Conversations-3795</t>
  </si>
  <si>
    <t>Crash when unable to setup egl</t>
  </si>
  <si>
    <t>This should at least result in an App failure instead of crash.
But if we can we should probably black list the device and use software rendering or something.</t>
  </si>
  <si>
    <t>patzly-grocy-android-27</t>
  </si>
  <si>
    <t>Opening the app after initial setup crashes</t>
  </si>
  <si>
    <t>want to first say that really like UX design of the app. am getting this error after second time run the app.
It works when clear the storage.</t>
  </si>
  <si>
    <t>Anuken-Mindustry-2172</t>
  </si>
  <si>
    <t>Sound never truly goes away</t>
  </si>
  <si>
    <t>Even with all sounds set to 0, there still very light music sounds. Not game breaking, just annoying.
**Steps to reproduce**: *How you happened across the issue, and what you were doing at the time.*
Set all sounds to and listen closely
**Link to mod(s) used, if applicable**: *The mod repositories or zip files that are related to the issue.*
**Crash report, if applicable**: *The contents of relevant crash report files.*
*Place an (no spaces) between the brackets to confirm that you have read the line below.*
**I have searched the closed and open issues to make sure that this problem has not already been reported.**</t>
  </si>
  <si>
    <t>inaturalist-iNaturalistAndroid-848</t>
  </si>
  <si>
    <t>Crashes after using Explore for a while</t>
  </si>
  <si>
    <t>Hard to replicate (though pretty consistent), probably hard to fix, probably due to memory leak, but the app regularly crashes for me (and others) after using Explore for while, and by using mean performing searches, look at obs detail, identifying obs (both with Agree? and the taxon chooser), marking them as captive, and leaving comments. just did this by identifying 25 obs, marking 16 as captive, and leaving comments on one. The next time tapped on an obs, saw white screen, the app restarted, and think landed on My Observations. provided some log data in Slack.</t>
  </si>
  <si>
    <t>2020-06-17</t>
  </si>
  <si>
    <t>nextcloud-talk-android-867</t>
  </si>
  <si>
    <t>Talk app crashes</t>
  </si>
  <si>
    <t>### Steps to reproduce
1. Received incoming Talk message
### Expected behaviour
Talk app displays message
### Actual behaviour
crash report, but only on Motorola g7 (LG G7 works properly, desktop browser app works properly)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Android version: v9
Device model: Motorola g7
Stock or customized system: stock
Nextcloud app version: 8.0.9</t>
  </si>
  <si>
    <t>nextcloud-android-6308</t>
  </si>
  <si>
    <t>App crash after renaming directory</t>
  </si>
  <si>
    <t>### Steps to reproduce
1. Rename folder on Windows desktop
2. Open Android app
Folder name was: Zdjecia
Renamed to: Zdjecia
Folder on Android app was out of screen (if it important).
Folder name was updated on WEB interface.
Reinstalling, clearing cache do nothing, app still crashes.
### Expected behaviour
update folder name in android app without crashing
### Actual behaviour
app crash, same error after reinstalling app
### Can you reproduce this problem on https: try.nextcloud.com?
Please create test demo account and see if this still happens there.
If yes, please open up bug report
If not, please verify server setup and ask for help on forum
### Environment data
Device model: Galaxy S7 Edge
Stock or customized system: Stock
Nextcloud app version: 3.0.12</t>
  </si>
  <si>
    <t>aws-amplify-amplify-android-581</t>
  </si>
  <si>
    <t>App crashes when doing Amplify.DataStore.clear(...) after initilization</t>
  </si>
  <si>
    <t>get an exception when try to clear the cache of the datastore right after initialization. Here is my code
If using remote model synchronization
Log.i( MyAmplifyApp Initialized Amplify
Timber.d( Cache Cleared Consumer Timber.e( Error while clearing cache
catch (error: AmplifyException)
Log.e( MyAmplifyApp Could not initialize Amplify error)
Here is my exception:</t>
  </si>
  <si>
    <t>nextcloud-android-6305</t>
  </si>
  <si>
    <t>Nextcloud app crashed on anroid on autoupload</t>
  </si>
  <si>
    <t>### Steps to reproduce
1. was playing around with autoupload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3.12.0
Nextcloud server version: 19.0.0
#### Web server error log
Insert your webserver log here
#### Nextcloud log (data nextcloud.log)
Insert your Nextcloud log here
************ CAUSE OF ERROR ************
************ APP INFORMATION ************</t>
  </si>
  <si>
    <t>2020-06-16</t>
  </si>
  <si>
    <t>react-native-camera-react-native-camera-2873</t>
  </si>
  <si>
    <t>Silent Crash on ios</t>
  </si>
  <si>
    <t>ios crashes with no feedback on either navigating to CameraScreen or accepting permission request on CameraScreen for the first time.
&lt;string&gt;$(PRODUCT NAME) would like to use your camera in order to make the inspection process images&lt; string&gt;
&lt;string&gt;$(PRODUCT NAME) would like to save photos to your photo gallery in order to upload the inspection process images string&gt;
&lt;string&gt;$(PRODUCT NAME) would like to use your microphone to launch RNCamera string&gt;
&lt;string&gt;$(PRODUCT NAME) would like access to your photo gallery in order to upload the inspection process images&lt; string&gt;
pod react-native-camera path: .. node modules react-native-camera subspecs:</t>
  </si>
  <si>
    <t>opensrp-opensrp-client-reveal-784</t>
  </si>
  <si>
    <t>The app crashes and closes when one logs in</t>
  </si>
  <si>
    <t>Log into the app.
Wait for the app to sync
After it does, click on the sync and observe what happens.
will monitor it and try to replicate the exact steps</t>
  </si>
  <si>
    <t>square-react-native-square-reader-sdk-121</t>
  </si>
  <si>
    <t>[iOS] PodsDummy_CocoaAsyncSocket is implemented in both SquareReaderSDK and...</t>
  </si>
  <si>
    <t>### Issue description
have built my app for iOS, **using the latest versions** of and
am using RN 0.62.2 and **latest** square-reader-sdk version (1.3.8)
When the app starts, the following message is printed:
tried to fix this using the answers in https: bit.ly 2YCqaNz but failed. Take look at https: bit.ly 37Am7FJ
Calling isAuthorizedAsync crashes the app:
Assertion failure in SQRDReaderSDK sharedSDK Users build .jenkins workspace ios-builder ReaderSDK Sources SQRDReaderSDK.m:109
Android SDK: Not Found
Android Studio: 3.6</t>
  </si>
  <si>
    <t>Blankj-AndroidUtilCode-1261</t>
  </si>
  <si>
    <t>BusUtils crash</t>
  </si>
  <si>
    <t>The version of AndroidUtilCode: 1.29.0
The device: Xiaomi Redmi 4A
The version of device: 7.1.2
post event from activity to Service and see crash
Caused by: Wrong number of arguments expected 1, got</t>
  </si>
  <si>
    <t>frimtec-pikett-assist-154</t>
  </si>
  <si>
    <t>Not all "do-not-disturb" modes are correctly detected</t>
  </si>
  <si>
    <t>Not all do-not-disturb modes on all devices are correctly detected.
These can lead to the following crash:
Caused by: Not allowed to change Do Not Disturb state</t>
  </si>
  <si>
    <t>andremion-Louvre-29</t>
  </si>
  <si>
    <t>Crash in android 10</t>
  </si>
  <si>
    <t>**when click to openGallery app is crash .**</t>
  </si>
  <si>
    <t>2020-06-15</t>
  </si>
  <si>
    <t>deltachat-deltachat-android-1418</t>
  </si>
  <si>
    <t>crash when opening profile</t>
  </si>
  <si>
    <t>probably introduced with #1410 think, cyBerta already suspected that :)
this bug is in current master, the bug is not released.</t>
  </si>
  <si>
    <t>Anuken-Mindustry-2167</t>
  </si>
  <si>
    <t>Crash error discord-rpc not found on Linux Arm.</t>
  </si>
  <si>
    <t>tring to install mindustry on my Pinebook Pro which is linux arm laptop.
install it through the AUR package and it does install just fine and openjdk8 is present.
Mindustry errors out saying that discord-rpc was unable to load.
Discord-rpc has been deprecated anyways Discord-rpc Github (https: github.com discord discord-rpc)
Caused by: Unable to read file for extraction: libgdxarm64.so
Failed to save local crash report.:
Caused by: Couldn load shared library libopenal.so for target: Linux, 64-bit
Sending crash report.
*Place an (no spaces) between the brackets to confirm that you have read the line below.*
**I have searched the closed and open issues to make sure that this problem has not already been reported.**</t>
  </si>
  <si>
    <t>cgeo-cgeo-8451</t>
  </si>
  <si>
    <t>[Nightly] Crash when opening map</t>
  </si>
  <si>
    <t>**Describe the bug:**
Just installed the very latest nightly as of 15.06. and opening Live Map or map from Listing page immediately crashes c:geo.
More tomorrow if necessary.</t>
  </si>
  <si>
    <t>TeamNewPipe-NewPipe-3782</t>
  </si>
  <si>
    <t>NoNonsense-File-Picker: Crash when a file is deleted and redownloaded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</si>
  <si>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Ensure SAF is off. The bug doesn occur for SAF.
2. Download file.
3. Delete it from your file explorer app. Notice the entry remains in the Downloads activity.
4. Download the same file again. -&gt; Crash.
If you first close the app, then do this, it works fine. suspect it is because the download menu entry gets removed upon closing the app.
&lt;!-- If you can cause the bug to show up again reliably (and hence don have proper set of steps to give us), please still try to give as many details as possible on how you think you encountered the bug.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ui error
Request: App crash, UI failure
Content Language: en IN</t>
  </si>
  <si>
    <t>2020-06-14</t>
  </si>
  <si>
    <t>Anuken-Mindustry-2161</t>
  </si>
  <si>
    <t>Offscreen destruction of a Command Center causes a crash when placing another one</t>
  </si>
  <si>
    <t>**Steps to reproduce**: command center is destroyed offscreen, and rebuilt by BuilderDrones. Placing another command center down crashes the game
**Link to mod(s) used, if applicable**:
**Crash report, if applicable**:
*Place an (no spaces) between the brackets to confirm that you have read the line below.*
**I have searched the closed and open issues to make sure that this problem has not already been reported.**</t>
  </si>
  <si>
    <t>ThanhDong272-G33_QLNhaSach-9</t>
  </si>
  <si>
    <t>System Test &gt; Chức năng đăng nhập &gt; Form Login &gt; Input Validation</t>
  </si>
  <si>
    <t>Expected Result: Hi th th ng khi nh kh ng bi
Actual Result: Form Login crash</t>
  </si>
  <si>
    <t>2020-06-13</t>
  </si>
  <si>
    <t>ThanhDong272-G33_QLNhaSach-8</t>
  </si>
  <si>
    <t>System Test &gt; Chức năng đăng ký &gt; Form Sign up &gt; Input Validation</t>
  </si>
  <si>
    <t>Expected Result: Hi th th ng kh ng bi
Actual Result: Form Sign up crash</t>
  </si>
  <si>
    <t>Smujb-powered-pixel-dungeon-10</t>
  </si>
  <si>
    <t>Pressing "Start new game" in menu right after death produces a crash</t>
  </si>
  <si>
    <t>Works fine if go to main menu and start the game from there.
UCE HANDLER Library
by Rohit Surwase
END OF LOG</t>
  </si>
  <si>
    <t>2020-06-12</t>
  </si>
  <si>
    <t>open-learning-exchange-myplanet-1839</t>
  </si>
  <si>
    <t xml:space="preserve">Bug: App crashes when trying to delete a news story </t>
  </si>
  <si>
    <t>App stops responding when user tries to delete news story
## Steps to Reproduce Problem
Create news story
Try to delete it</t>
  </si>
  <si>
    <t>nextcloud-android-6285</t>
  </si>
  <si>
    <t xml:space="preserve">App crashs while open </t>
  </si>
  <si>
    <t>### Steps to reproduce
1. Open nextcloud app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Caused by: uid 10237 cannot get user data for accounts of type: nextcloud
... 11 more
************ APP INFORMATION ************
Build flavor: generic</t>
  </si>
  <si>
    <t>open-learning-exchange-myplanet-1831</t>
  </si>
  <si>
    <t>Health provider : app crashing when changing patient</t>
  </si>
  <si>
    <t>google-ExoPlayer-7494</t>
  </si>
  <si>
    <t>IMA crashing when using wrong IMA Ad Uri config</t>
  </si>
  <si>
    <t>### REQUIRED Issue description
We were getting an invalid Ads configuration, with prerolls coming on seconds 1, 2, 3.
This is behaving differently on 2.11.3 and 2.11.5.
We know this issue is just an edge case caused by misconfiguration on the AdManager, but maybe the crash could be avoided.
### REQUIRED Reproduction steps
1. On Exoplayer demo module, include the IMA Uri from below into any content.
2. Start playback.
### REQUIRED Link to test content
not sure how long the Ad Tag Uri will be available, sharing bugreports in case it is changed.
### REQUIRED full bug report captured from the device
The exception is raised in ImaAdsLoader due to invalid AdState when receiving stopAd from IMASDK.
### REQUIRED Version of ExoPlayer being used
### REQUIRED Device(s) and version(s) of Android being used
All. It doesn seem to be affected by any Android version or device.</t>
  </si>
  <si>
    <t>nextcloud-android-6280</t>
  </si>
  <si>
    <t>Android app crashes during sync</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</si>
  <si>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
Build flavor: gplay
************ DEVICE INFORMATION ************</t>
  </si>
  <si>
    <t>nextcloud-android-6279</t>
  </si>
  <si>
    <t>App crashes while auto-uploading</t>
  </si>
  <si>
    <t>### Steps to reproduce
1. Have the app auto-upload an image folder
### Expected behaviour
It uploads the images
### Actual behaviour
If run in the background it just stops uploading after few images, if run in the foreground it becomes inresponsive and crashes after few seconds.</t>
  </si>
  <si>
    <t>nextcloud-android-6277</t>
  </si>
  <si>
    <t>Nextcloud App crash on clicking .vcf</t>
  </si>
  <si>
    <t>### Steps to reproduce
1. Create Backup of your (smartphone) contacts via App
2. Open the hidden .contact folder and click on the created .vcf
3. App crashes
### Expected behaviour
Tell us what should happen
Open the file, download it or something else but no crash
### Actual behaviour
Tell us what happens
The Nextcloud App crash
### Environment data
Android version: 9.0
Device model: Samsung Galaxy S8
Stock or customized system: Stock
Nextcloud app version: 3.12.0
Nextcloud server version: 19.0
************ CAUSE OF ERROR ************
... 11 more
************ APP INFORMATION ************
Build flavor: gplay</t>
  </si>
  <si>
    <t>google-ExoPlayer-7492</t>
  </si>
  <si>
    <t>Video player crash when scrubbing through mid-roll</t>
  </si>
  <si>
    <t>### Issue description
Player crash while scrub through ads
### Reproduction steps
Play video for VMAP pre-roll single ad, mid-roll standard pods with ads every 10 seconds
let the pre-roll play, now scrub through 5th mid-roll and let mid roll will play.
Now scrub before 2nd mid-roll and app will crash with,
Also sometime time content just stuck after ad is done, and log says ad is in progress but it is actually done, player is not able to switch from IMA.
### Link to test content
Reproducible on sample app
### full bug report captured from the device
### Version of ExoPlayer being used
### Device(s) and version(s) of Android being used
Bug report is from Motorola play OS 7.1.1
but happens on Emulator API 21 and above (did not check older APIs)</t>
  </si>
  <si>
    <t>2020-06-11</t>
  </si>
  <si>
    <t>react-native-share-react-native-share-797</t>
  </si>
  <si>
    <t>react-native@0.62.x crash for base64 urls sharing on iOS platform</t>
  </si>
  <si>
    <t>### Steps to reproduce
1. Use react-native 0.62.2 and react-native-share 3.3.3
2. Try to share an image with this code:
3. iOS Application will be crashed with logs:
*** Terminating app due to uncaught exception reason: NSURLResponse allHeaderFields unrecognized selector sent to instance 0x600001d57120
*** First throw call stack:
CoreFoundation 0x00007fff23e3cf0e exceptionPreprocess 350
libobjc.A.dylib 0x00007fff50ba89b2 objc exception throw 48
CoreFoundation 0x00007fff23e5dc34 NSObject(NSObject) 132
CoreFoundation 0x00007fff23e4190c forwarding 1436
CoreFoundation 0x00007fff23e43bf8 CF forwarding prep 120
Brandgility 0x00000001030a8acc SKResponseInfo 76
Brandgility 0x00000001030a89a1 SKResponseInfo 241
Brandgility 0x0000000103082779 71- FLEXNetworkRecorder block invoke 825
libdispatch.dylib 0x00000001067a1f11 dispatch call block and release 12
libdispatch.dylib 0x00000001067a2e8e dispatch client callout
10 libdispatch.dylib 0x00000001067a96fd dispatch lane serial drain 788
11 libdispatch.dylib 0x00000001067aa28f dispatch lane invoke 422
12 libdispatch.dylib 0x00000001067b5b65 dispatch workloop worker thread 719
13 libsystem pthread.dylib 0x00007fff51c08a3d pthread wqthread 290</t>
  </si>
  <si>
    <t>doublesymmetry-react-native-track-player-969</t>
  </si>
  <si>
    <t>Started getting crash on ios after updating to latest version.</t>
  </si>
  <si>
    <t>**Describe the bug**
Started getting more crashes in ios after updating to latest version v1.2.3.
am not able to regenerate and not able to figure out why it is happening. had figure out crash from firebase.
**Environment (please complete the following information):**
React Native Environment Info:
API Levels: 21, 22, 23, 24, 25, 26, 27, 28, 29
Build Tools: 23.0.1, 23.0.2, 23.0.3, 24.0.2, 25.0.0, 25.0.1, 25.0.2, 25.0.3, 26.0.1, 26.0.2, 26.0.3, 27.0.3, 28.0.0, 28.0.2, 28.0.3, 29.0.2
System Images: android-22 Google APIs Intel x86 Atom, android-27 Google APIs Intel x86 Atom, android-28 Google APIs Intel x86 Atom, android-29 Google APIs Intel x86 Atom, android-R Google APIs Intel x86 Atom
Android Studio: 3.6
The issue was occurring on actual devices. Here is the error stack from firebase
&lt;img width 1140 alt Screenshot 2020-06-11 at 53 00 PM src https: 10993666
&lt;img width 1132 alt Screenshot 2020-06-11 at 53 12 PM src https: 10993666
&lt;img width 1109 alt Screenshot 2020-06-11 at 53 27 PM src https: 10993666
&lt;img width 1159 alt Screenshot 2020-06-11 at 56 01 PM src https: 10993666
Does anyone have an idea why it is happening or how to regenerate it?</t>
  </si>
  <si>
    <t>ankidroid-Anki-Android-6432</t>
  </si>
  <si>
    <t>Crash in Card Browser, the multi-select mode: Edit =&gt; change the card type</t>
  </si>
  <si>
    <t>###### Reproduction Steps
1. Create any type and clone it (to keep things simple, ve just used basic, calling the types Basic Basic ).
2. Add two cards to the first type.
3. Browser select the two new cards Edit try to change the type (in my case, Basic Basic ).
###### Expected Result
If you could allow there some sort of batch type reassignment via the default field mapping, that would be perfect!
###### Actual Result
It crashes, only the first card is affected by the change.
###### Debug info
*Enter an character to confirm the points below:*
--- ve reported it via the play.google.com, your representative there suggested that report it here.
have searched for similar existing issues here and on the user forum
(Optional) have confirmed the issue is not resolved in the latest alpha release instructions (https: docs.ankidroid.org</t>
  </si>
  <si>
    <t>ElderDrivers-EdXposed-566</t>
  </si>
  <si>
    <t>[BUG] System crashes (reboots) after updating module</t>
  </si>
  <si>
    <t>** What happened?**
Whenever update my module (instant in module mode), the system crashes and reboots. It quite annoying when am debugging my module. Sometimes my phone even bumped into boot loop.
**Xposed Xposed Module List**
**Magisk Magisk Module List**
**EdXposed Riru Versions of EdXposed and Riru**
** Logcat Logcat**
log It can help us to locate the issue, must use our logcat module</t>
  </si>
  <si>
    <t>2020-06-10</t>
  </si>
  <si>
    <t>dimagi-commcare-android-2268</t>
  </si>
  <si>
    <t>Fix npe in unregistering app updates</t>
  </si>
  <si>
    <t>ve seen crashes on crashlytics and from sumologic (https: ui search ce17f220 6a8c 062e 5598 416eb545edd5), (https: ui search 7aa27bba 7953 601f 2556 79456624ef41) it seems like whenever there is crash in some other place, this code also crashes. ve also been able to locally repro it by throwing Runtime exception.</t>
  </si>
  <si>
    <t>square-okhttp-6123</t>
  </si>
  <si>
    <t>Android - okhttp3.internal.io.FileSystem$Companion$SYSTEM$1.rename (FileSystem.java:89) crash</t>
  </si>
  <si>
    <t>These crashes keep happening:
They happen randomly and not all the time, unable to reproduce which makes it all the more confusing. The crashes are all similar to this one, but will sometimes be delete or read
They re happening too often to ignore. Is there way to mitigate or fix this this? As far as can tell, it happens on most devices. apologize for the lack of information. We re using version 4.5.0.</t>
  </si>
  <si>
    <t>2020-06-09</t>
  </si>
  <si>
    <t>nextcloud-android-6258</t>
  </si>
  <si>
    <t>NC client on Android 10 crashes at random, no input causes this.</t>
  </si>
  <si>
    <t>************ CAUSE OF ERROR ************
************ APP INFORMATION ************
Build flavor: gplay
************ DEVICE INFORMATION ************
************ FIRMWARE ************
Client will crash at random. No input causes this. Does about once per day.
Nextcloud server Ubuntu 16.04 running Nextcloud snap 18.0.4snap4 latest stable</t>
  </si>
  <si>
    <t>react-native-camera-react-native-camera-2867</t>
  </si>
  <si>
    <t>App Crash on Camera with Fatal Exception</t>
  </si>
  <si>
    <t>Hi, in production environment in our app on Android we are getting crash which is
Invalid rotation -152
Fatal Exception: Invalid rotation -152
If anybody have any idea why this may be happening, please share it would be of great help.</t>
  </si>
  <si>
    <t>TeamNewPipe-NewPipe-3767</t>
  </si>
  <si>
    <t>Unable to parse website links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</si>
  <si>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0.19.3, newest on F-Droid
### Steps to reproduce the bug
this happens on many videos but not every video. don really have the know how to decipher the technical jargon in the attached screen cap.
1. Go to ...
2. Press on ....
3. Swipe down to ....
&lt;!-- If you can cause the bug to show up again reliably (and hence don have proper set of steps to give us), please still try to give as many details as possible on how you think you encountered the bug. --&gt;
### Expected behavior
tried to search video
### Actual behaviour
got the attached screen cap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</si>
  <si>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TeamNewPipe-NewPipe-3766</t>
  </si>
  <si>
    <t>Sometimes download automatically cancels.Fix this problem as soon as possible.Also it takes lot of time when we click on new pipe in youtube app to download a video.</t>
  </si>
  <si>
    <t>Roaim-DTBazar-33</t>
  </si>
  <si>
    <t>java.lang.RuntimeException: Could not read input channel file descriptors from parcel in Firebase Test Lab Robo Test</t>
  </si>
  <si>
    <t>**Describe the bug**
App crashes in firebase test lab robo test.
This issue is asked in stackoverflow (https: stackoverflow.com 62271283 5465447)
The crash is only happening in firebase test lab robo test. Unable to reproduce manually.
App should not crash in robo test.
Screen video (https: drive.google.com file view?usp sharing)
**Smartphone (please complete the following information):**
Device: Nexus 5x emulator
OS: Android 8.0
Version 1.1.5, 1.1.26</t>
  </si>
  <si>
    <t>hzi-braunschweig-SORMAS-Project-2273</t>
  </si>
  <si>
    <t>Searching in case list crashes the app when the search term contains an apostroph</t>
  </si>
  <si>
    <t>2020-06-08</t>
  </si>
  <si>
    <t>deepjavalibrary-djl-84</t>
  </si>
  <si>
    <t>Multiple GPUs are used sequentially, not parallel</t>
  </si>
  <si>
    <t>When using more than one GPU for training, the GPUs are used one *after* the other, not both at the same time.
### Expected Behavior
Both GPUs work under full capacity the whole time.
### Error Message
## How to Reproduce?
If model is very memory intensive, it needs to clean up used memory, e.g. after processing transformer layer. The way to do this is to create sub manager to collect the intermediate results and close them once the calculations are done. However, due to the lazy nature of the mxnet engine (and probably other engines), calculations are not guaranteed to finish by the time NDArray.close() is called. To prevent crashes and memory curruption it is hence necessary to block on the resulting NDArray with As this will also block the current Java Thread, processing is halted until the GPU had time to catch up That in turn prevents the for -loop in the Trainer to send the split batch to the next GPU.
To test this, simply add one waitToRead call at the end of stack of layers.
### Steps to reproduce
## What have you tried to solve it?
This can only be solved by fixing the training loop in Trainer.java l.157. The split batches are send to the individual GPUs with for -loop. This only works if every call in the model is non-blocking. I.e. it requires an engine only using LazyNDArrays and requires the whole model never to call waitToRead or waitAll The correct way to allow Multi-GPU usage would be no use something like ThreadPool here to issue the forward pass to each GPU in parallel. The for -loop needs to start new Thread for each iteration and wait for all threads to finish before continuing to the backwards pass.
## Environment Info</t>
  </si>
  <si>
    <t>forrestguice-SuntimesWidget-420</t>
  </si>
  <si>
    <t>Unable to get location while offline, and using last location will cause crash</t>
  </si>
  <si>
    <t>**Describe the bug**
If the first time you open the suntimeswidget is offline, the get location function cannot be used and keeps the user waiting, and if you click use previous location after waiting for long time, it will crash.
Steps to reproduce the behavior:
1. Turn off network
2. Install SuntimesWidget and open app
2. Click location
3. Click update
4. long wait
5. Pop up the prompt box of unable to get fix
6. Click on USE LAST LOCATION
The user will be prompted to open the network without crashing
**Smartphone (please complete the following information):**
Device: HUAWEI nova pro
OS: EMUI 9.1.1
Add any other context about the problem here.</t>
  </si>
  <si>
    <t>Anuken-Mindustry-2154</t>
  </si>
  <si>
    <t>Nuclear reactors lose inventory</t>
  </si>
  <si>
    <t>Seen on mobile and Windows. Hosted on Windows.
104.10, noticed since 102+
ve seen this with Impact Reactors and Thorium reactors. Once it starts on particular reactor it doesn seem to stop ever.
Impact Reactors: Their normal consumption rate is something like blast every seconds. ve seen them, at random intervals, suddenly lose all 10 blast. Even watching them, and watching the blast disappear, could not figure out how frequently this happens. It seems to be one every 10+ seconds. Once reactor starts doing this, could not get it to stop, even if delete and rebuild the reactor in the same place. ve usually seen this happen to just one reactor at time.
ll notice the popular scrap driven impact schematic mysteriously stop working. Normally, it is RNG on the titanium input, but something it is this. have no choice but to just delete the whole schematic and try again elsewhere.
Thorium Reactors: Today noticed this on Nuclear Production complex.
Had an array of thorium reactors connected to tanks of cryofluid.
All thorium reactors started dropping from 30 to 15 thorium. When it happened it all happened at once. It started repeating every minute, quickly depleting the supply of thorium, since that consumption was more than belt could supply. If they started below 30 think they were dropping by 15 still, as they were quickly reached 0, despite the full belt of incoming thorium. don have an easy way to watch more than reactor at time.
All of the reactors had been running fine for 80 waves before this happened.
**Steps to reproduce**: *How you happened across the issue, and what you were doing at the time.*
Normal gameplay. always play multiplayer and usually via Steam, and don recall ever seeing it on the official servers. It might only affect Windows hosting.
**Link to mod(s) used, if applicable**: *The mod repositories or zip files that are related to the issue.*
No mods used.
**Crash report, if applicable**: *The contents of relevant crash report files.*
*Place an (no spaces) between the brackets to confirm that you have read the line below.*
**I have searched the closed and open issues to make sure that this problem has not already been reported.**</t>
  </si>
  <si>
    <t>sschueller-peertube-android-165</t>
  </si>
  <si>
    <t>Application crashes after sign in</t>
  </si>
  <si>
    <t>ve signed to my PeerTube account (https: video.autizmo.xyz instance). The application have redirected me to start screen and then it have disappeared. After restart it crashes.
have OnePlus with OxygenOS 10.3.2 (Android 10).</t>
  </si>
  <si>
    <t>2020-06-07</t>
  </si>
  <si>
    <t>deltachat-deltachat-android-1399</t>
  </si>
  <si>
    <t>avatar-enlarge crash</t>
  </si>
  <si>
    <t>tapping on an avatar crashes however, only on from android versions.
from the log:
the issue is that the acticvity is started with getBaseActivity() which is just not needed and micht also shuffle the activity stack.</t>
  </si>
  <si>
    <t>2020-06-06</t>
  </si>
  <si>
    <t>BloomCycleCare-ChartyMcChartChart-6</t>
  </si>
  <si>
    <t>App crashes when saving 6CB X1</t>
  </si>
  <si>
    <t>Probably related to the extra occurrence shenanigans</t>
  </si>
  <si>
    <t>nextcloud-android-6232</t>
  </si>
  <si>
    <t>Nextcloud Android client crash grid view</t>
  </si>
  <si>
    <t>### Steps to reproduce
1. Select Upload Media
2. Choose Grid view
### Expected behaviour
### Actual behaviour
Android version: Android 11
Device model: Xiaomi Mi 9t
Stock or customized system: Stock
Nextcloud app version: 3.11.1
Nextcloud server version: 18.0.4
Reverse proxy: Nginx</t>
  </si>
  <si>
    <t>SeulGeek-FoodForYou-15</t>
  </si>
  <si>
    <t>[상세 화면] 해당 이미지가 없는 경우 crash가 발생함</t>
  </si>
  <si>
    <t>TeamNewPipe-NewPipe-3751</t>
  </si>
  <si>
    <t>Search non functional on Android tv</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</si>
  <si>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Latest on fdroid 0.19.4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Searches are functional on Android tv
### Actual behaviour
&lt;!-- Tell us what happens instead. --&gt;
Search is not functional with newpipe on Android tv devices. Searches result in an error toast message.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</si>
  <si>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TeamNewPipe-NewPipe-3749</t>
  </si>
  <si>
    <t>[SoundCloud] NewPipe crashes when returning search suggestions.</t>
  </si>
  <si>
    <t>Regression of #3072
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Go to SoundCloud mode
2. Go to the search bar
3. Type anything in
4. NewPipe will crash when attempting to return suggestions.
### Expected behavior
&lt;!-- Tell us what you expect to happen. --&gt;
NewPipe should return search suggestions.
### Actual behaviour
&lt;!-- Tell us what happens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t>
  </si>
  <si>
    <t>2020-06-05</t>
  </si>
  <si>
    <t>aws-amplify-amplify-android-563</t>
  </si>
  <si>
    <t>AWSDataStorePlugin fail to initialize and app crashes</t>
  </si>
  <si>
    <t>have demo android app using Amplify Data store and once while when boot up the app it crashes and would see an error in the log that seems to be related to the plugin. If start the app again then it would be fine.
Here is how initialize the plugin:
If using remote model synchronization
Log.i( MyAmplifyApp Initialized Amplify
catch (error: AmplifyException)
Log.e( MyAmplifyApp Could not initialize Amplify error)
Here the stack trace
Let me know if you need more info.</t>
  </si>
  <si>
    <t>iNPUTmice-Conversations-3766</t>
  </si>
  <si>
    <t>Investigating related crashes caused by RTP session not finishing properly</t>
  </si>
  <si>
    <t>In the past we have gotten several reports of the UI still thinking that call is taking place (showing return to call icon instead of make call) but in reality the connection had already been terminated. (see #3755)
Since 2.8.6 we deliberatly make the app crash to get proper stack trace of what is happening. Here is one:
However that doesn fully explain this as there is in fact call to finish() later in the code. We should probably wait for more crashes to see pattern.</t>
  </si>
  <si>
    <t>tradle-react-native-udp-119</t>
  </si>
  <si>
    <t>Attempt to invoke virtual method 'void java.net.DatagramSocket.setReuseAddress(boolean)' on a null object reference com.tradle.react.UdpSocketClient.bind</t>
  </si>
  <si>
    <t>Seeing numerous crashes in the release build.
&lt;summary&gt;Full crash log&lt; summary&gt;
Fatal Exception: An error occurred while executing doInBackground()
Caused by Attempt to invoke virtual method void on null object reference
Reported in Android 7, 8, and 10.
Sample of how the plugin is used:
Establish new UDP socket only after closing the existing socket completely.
const aPort randomPort()
socket.on( error (error: any)
socket.once( listening ()
function Function null null)
if (socket &amp;&amp; socket.close)
if (callback &amp;&amp; typeof callback function
else if (callback &amp;&amp; typeof callback function
As understandable from the log, it is this line (https: github.com tradle react-native-udp blob master android src main java com tradle react causing the crash.
Would appreciate any help! Thanks!!</t>
  </si>
  <si>
    <t>TeamNewPipe-NewPipe-3743</t>
  </si>
  <si>
    <t>New Pipe not working properly</t>
  </si>
  <si>
    <t>mjmorale-Eventum-266</t>
  </si>
  <si>
    <t>Fix app crash when displaying EventFragment and no attendee</t>
  </si>
  <si>
    <t>2020-06-04</t>
  </si>
  <si>
    <t>material-components-material-components-android-1377</t>
  </si>
  <si>
    <t>[MaterialContainerTransform] IllegalStateException: "End view bounds must not be null, make sure the end view is laid out and measured"</t>
  </si>
  <si>
    <t>am not sure if this should be question or bug report, but after updating to material 1.2.0-beta01 am starting to see random crashes in production when using as Same issue is there in the 1.3.0 alpha1.
cannot reproduce this on any of my devices, but in production there is 5% crash rate.
Fatal Exception: End view bounds must not be null, make sure the end view is laid out and measured
How can make sure that the end view is laid out and measured?</t>
  </si>
  <si>
    <t>Simperium-simperium-android-225</t>
  </si>
  <si>
    <t>Crash Web Browser</t>
  </si>
  <si>
    <t>Add detecting if the device has browser app installed and enabled before launching an activity with browser intent. If the device does not have browser or it is disabled, the app will crash as described in https: github.com Automattic simplenote-android issues 1043. When no browser is detected, dialog is shown with instructions as well as button to copy the URL. message is shown when copying the URL succeeds or fails. See the screenshots below for illustration.
These changes are best tested on Simplenote by pointing your local Simplenote repository to your local Simperium repository. Contact me for details. In order to get the ***No Browser Detected*** dialog to be shown, all browser apps must be uninstalled or disabled on the device before performing the following steps. In order to test the ***Reset*** button in the ***Error*** dialog, change your Simplenote password to more than four and less than eight characters.
0. Clear app data.
1. Tap ***Sign Up*** button.
2. Tap ***Terms and Conditions*** link.
3. Notice ***No Browser Detected*** dialog is shown.
4. Tap ***OK*** button in dialog.
5. Tap back arrow in top app bar.
6. Tap ***Log In*** button.
7. Tap ***Log In with Email*** button.
8. Tap ***Forgot password?*** link.
9. Notice ***No Browser Detected*** dialog is shown.
10. Tap ***OK*** button in dialog.
11. Enter email address in ***Email*** field.
12. Notice ***Log In*** button is disabled.
13. Enter password of more than four and less than eight characters in ***Password*** field.
14. Notice ***Log In*** button is enabled after four characters are input.
15. Tap ***Log In*** button.
16. Notice ***Error*** dialog with password requirements is shown.
17. Tap ***Reset*** button in dialog.</t>
  </si>
  <si>
    <t>2020-06-03</t>
  </si>
  <si>
    <t>openforge-capacitor-game-services-10</t>
  </si>
  <si>
    <t>Crashing when opting out of authentication</t>
  </si>
  <si>
    <t>There are is enabled methods available in android SDKs. will check if ios services also crash the application.
Adding null checks instead of isAvailable calls.</t>
  </si>
  <si>
    <t>openforge-capacitor-game-services-8</t>
  </si>
  <si>
    <t>Resetting progress plugin call crashes instead of warning ios only</t>
  </si>
  <si>
    <t>Adding warning log to plugin call that matches the ios signature. While no reset call is in the android games API, the ios API call is very useful for manual testing.</t>
  </si>
  <si>
    <t>Anuken-Mindustry-2137</t>
  </si>
  <si>
    <t>Game crashes with a nonexistent item name in the itemDrop key in an ore.</t>
  </si>
  <si>
    <t>My bug report isn really bug, but it causes the game to crash every time you open it until you delete it out of your mod folder. The bug is that if you have an ore which has the code:
**Steps to reproduce**: *How you happened across the issue, and what you were doing at the time.*
Create basic mod, with only mod.json and content folder, then create blocks folder in the content folder and
**Link to mod(s) used, if applicable**: *The mod repositories or zip files that are related to the
**Crash report, if applicable**: *The contents of relevant crash report files.**
crash report is in the repository
*Place an (no spaces) between the brackets to confirm that you have read the line below.*
**I have searched the closed and open issues to make sure that this problem has not already been reported.**</t>
  </si>
  <si>
    <t>nextcloud-android-6206</t>
  </si>
  <si>
    <t>Crash on double long-click in Filedisplay activity</t>
  </si>
  <si>
    <t>The app crashes when you enable pick mode with long-click, and then use the long click on another item in this mode.
### Steps to reproduce
1. Long click on an item, it enables pick mode (with checkboxes)
2. Select few items ()
3. Do long click on not-selected item
The app crashes</t>
  </si>
  <si>
    <t>TeamNewPipe-NewPipe-3721</t>
  </si>
  <si>
    <t>Soundcloud doesn't work</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</si>
  <si>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Switch to the SoundCloud tab
2. Press on search
3. See the app crash and give report error.
1. Open SoundCloud link
2. See the app crash and give report error.
&lt;!-- If you can cause the bug to show up again reliably (and hence don have proper set of steps to give us), please still try to give as many details as possible on how you think you encountered the bug. --&gt;
### Expected behavior
&lt;!-- Tell us what you expect to happen. --&gt;
Be able to search in soundcloud tab, or be able to hear songs open links of soundcloud in app.
### Actual behaviour
&lt;!-- Tell us what happens instead. --&gt;</t>
  </si>
  <si>
    <t>2020-06-02</t>
  </si>
  <si>
    <t>nextcloud-android-6200</t>
  </si>
  <si>
    <t>Nextcloud app crashes on start</t>
  </si>
  <si>
    <t>### Steps to reproduce
1. start nextcloud
2. read crashreport
3. crash report:
************ CAUSE OF ERROR ************
Caused by: uid 10121 cannot get user data for accounts of type: nextcloud
... 11 more
************ APP INFORMATION ************
Build flavor: generic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t>
  </si>
  <si>
    <t>stefan-niedermann-nextcloud-notes-847</t>
  </si>
  <si>
    <t>In-Note search crashes on Android 4.4</t>
  </si>
  <si>
    <t>App Version: 2.12.0 2.12.2 (and maybe others)
App Version Code: 2012000
App Flavor: dev
Files App Version Code: 30110090
OS API Level: 19
Model (and Product): Android SDK built for x86 (sdk x86)</t>
  </si>
  <si>
    <t>jroal-a2dpvolume-290</t>
  </si>
  <si>
    <t>Rotating the screen in the preferences interface will cause the app to crash</t>
  </si>
  <si>
    <t>**Describe the bug**
Rotating the screen in the preferences interface will cause the app to crash
Steps to reproduce the behavior:
1. Install a2dp and open app
2. Click three points in the upper right corner
3. Click preferences
4. Rotate screen
**Smartphone (please complete the following information):**
Device: HUAWEI nova pro
OS: EMUI 9.1.1
Add any other context about the problem here.</t>
  </si>
  <si>
    <t>stefan-niedermann-nextcloud-notes-846</t>
  </si>
  <si>
    <t>Searching for ? character crashes the app</t>
  </si>
  <si>
    <t>Start app and click on the magnifier icon start search in the list of notes.
Enter app crashes.
Entering also behaves strange (marks *everything* as search result), one should check this too.
Isaac-Graham might be something for you?
App Version: 2.12.1
App Version Code: 2012002
App Flavor: dev
Files App Version Code: 30110190
OS API Level: 29
Model (and Product): POCO F1 (beryllium)
Root cause seems to be here:</t>
  </si>
  <si>
    <t>2020-06-01</t>
  </si>
  <si>
    <t>OneBusAway-onebusaway-android-1042</t>
  </si>
  <si>
    <t>NPE when checking for CANCELED trips</t>
  </si>
  <si>
    <t>seeing this crash and stack trace in the developer console:
**Steps to reproduce:**
Unknown. guessing get response from the server that doesn include trip status, for some reason.
**Device and Android version:**</t>
  </si>
  <si>
    <t>dhis2-dhis2-android-sdk-1279</t>
  </si>
  <si>
    <t>feat: [androsdk-1160] Avoid crashes when API returns corrupted DataSetElements</t>
  </si>
  <si>
    <t>Solves ANDROSDK-1160 (https: jira.dhis2.org browse ANDROSDK-1160).</t>
  </si>
  <si>
    <t>commons-app-apps-android-commons-3791</t>
  </si>
  <si>
    <t>Prod debug app crashes on startup</t>
  </si>
  <si>
    <t>App crashes on startup while using it on an emulator.
**Steps to reproduce:**
Install and run prod debug on x86 emulator.
**Device and Android version:**
**Commons app version:**
prodDebug on latest master while using an emulator.
**Would you like to work on the issue?**</t>
  </si>
  <si>
    <t>OpenArchive-Save-app-android-223</t>
  </si>
  <si>
    <t>Crashes when logging in to IA account</t>
  </si>
  <si>
    <t>Internet Archive account
1. Selected Archive.Org from Server Screen
2. Enter credentials and login
3. Taken to next screen
1. Selected Archive.Org from Server Screen
2. Enter credentials and login
3. App crashes
As well as:
1. Selected Archive.Org from Server Screen
2. Click login without entering credentials
3. App crashes
Crash reports sent for both processes from both phones.</t>
  </si>
  <si>
    <t>2020-05-31</t>
  </si>
  <si>
    <t>commons-app-apps-android-commons-3790</t>
  </si>
  <si>
    <t>Switch to WorkManagers</t>
  </si>
  <si>
    <t>Summarize your issue in one sentence (what goes wrong, what did you expect to happen)
App crashes when upload is somehow initiated from the background.
**Steps to reproduce:**
Yet to figure out, reported by email
Caused by: Not allowed to start service Intent act cmp fr.free.nrw.commons app is in background uid UidRecord a10f242 u0a101 LAST bg:+10h50m21s78ms idle change:cached procs:1 seq(0,0,0)
... 16 more
**Device and Android version:**
PHONE MODEL Redmi 3S
**Commons app version:**
APP VERSION CODE 709
APP VERSION NAME 2.13
**Would you like to work on the issue?**</t>
  </si>
  <si>
    <t>TeamNewPipe-NewPipe-3702</t>
  </si>
  <si>
    <t>Could not parse old videos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</si>
  <si>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https: www.youtube.com watch?v KaOC9danxNo on newpipe
2. Bug error appears
&lt;!-- If you can cause the bug to show up again reliably (and hence don have proper set of steps to give us), please still try to give as many details as possible on how you think you encountered the bug. --&gt;
### Expected behavior
&lt;!-- Tried opening 7-year-old video and other old videos --&gt;
### Actual behaviour
&lt;!-- the video could not parse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</si>
  <si>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TeamNewPipe-NewPipe-3696</t>
  </si>
  <si>
    <t>Feeds are always outdated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</si>
  <si>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settings,content and set feed threshold to always update
2. Do not enable fetch from dedicated fieldd
3. Restart the app
&lt;!-- If you can cause the bug to show up again reliably (and hence don have proper set of steps to give us), please still try to give as many details as possible on how you think you encountered the bug. --&gt;
### Expected behavior
&lt;!-- Tell us what you expect to happen. --&gt;
Feed should be updated after restart
### Actual behaviour
&lt;!-- Tell us what happens instead. --&gt;
Feeds do not get updated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</si>
  <si>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nextcloud-android-6182</t>
  </si>
  <si>
    <t>Crash on Samsung chromebook plus v2</t>
  </si>
  <si>
    <t>### Steps to reproduce
1. install NC from google play store on chromebook
2. start the NC app
### Expected behaviour
normally start the app
### Actual behaviour
crash and cannot start
Hi all, it work before, but recently found it cannot access NC files via CB files app.
so try to reinstall NC app, after reinstall NC, it even cannot run, NC show the crash error on every boot.
any idea why will that? any workaround, thanks.
Samsung ChromeBook Plus v2 (83.0.4103.77) 64bit</t>
  </si>
  <si>
    <t>2020-05-30</t>
  </si>
  <si>
    <t>TeamNewPipe-NewPipe-3682</t>
  </si>
  <si>
    <t>Suddenly Newpipe crashes for almost any youtube video</t>
  </si>
  <si>
    <t>Kernel version 4.9.112
Newpipe version 0.19.3
### Steps to reproduce the bug
Search for any video and try to play it.
Almost all videos that find by making search end up crashing the app. Only the ones listed by default on opening Newpipe don make the app crash. But these are not strict rules by going long way, can eventually find some videos that can watch even though specifically searched for. However, it maybe 1% of all videos click on.
know you said you only support the latest version, but simply for reference, uninstalled and reinstalled, and repeated this step for each version available (0.19.1, 0.19.2, 0.19.3) and also Newpipe Legacy. I. Get the same behavior for all of these.</t>
  </si>
  <si>
    <t>TeamNewPipe-NewPipe-3677</t>
  </si>
  <si>
    <t>Searching on soundcloud sometimes will crash the app</t>
  </si>
  <si>
    <t>When searching on soundcloud with latest version, sometimes the search suggestions? will cause an error.
The error seemingly doesn appear when New hot is selected before searching.
User Action: get suggestions
Content Language: MY
OS: Linux Android 5.1 22
log&lt; b&gt;&lt; summary&gt;&lt;p&gt;
... 27 more</t>
  </si>
  <si>
    <t>k9mail-k-9-4798</t>
  </si>
  <si>
    <t>Crash when adding hotmail.com account</t>
  </si>
  <si>
    <t>### Expected behavior
### Actual behavior
The app crash during configuration
No bug on 5.6
### Steps to reproduce
1. Add an account hotmail.com
K-9 Mail version: 5.715 debug
Account type (IMAP, POP3, WebDAV Exchange): IMAP</t>
  </si>
  <si>
    <t>2020-05-29</t>
  </si>
  <si>
    <t>k9mail-k-9-4797</t>
  </si>
  <si>
    <t>Crash when start composing mail with account not fully created</t>
  </si>
  <si>
    <t>### Expected behavior
No crash and no ghost account
### Actual behavior
The app keep not fully created account, and this state could lead to crash
### Steps to reproduce
1. In screen Add account, enter the credentials and click next
2. Quit the app during creation
3. Reopen the app
4. Now there is ghost account
5. Try to send mail
add log at beggining of actionCompose method with parameters
As the exception is check that with account complete there is no crash.
K-9 Mail version: 5.715 debug
Account type (IMAP, POP3, WebDAV Exchange): IMAP</t>
  </si>
  <si>
    <t>tradle-react-native-udp-117</t>
  </si>
  <si>
    <t>NullPointerException UdpSocketClient.isMulticast</t>
  </si>
  <si>
    <t>This exception occurs in production builds very few times but think it worth noting. This is the crash report from Google Play Console:</t>
  </si>
  <si>
    <t>akvo-akvo-flow-mobile-1632</t>
  </si>
  <si>
    <t>Crash while creating geoshapes</t>
  </si>
  <si>
    <t>**Describe the bug**
Random crash reported when creating geoshapes. Crash happens quite frequently while user is in the geoshape screen.
Steps to reproduce the behavior:
1. Create geoshape question
2. Make sure location is enabled
2. Click on Capture shape
3. Wait for the crash or try changing map types in the menu
4. See error
Device model: Acer Iconia Tab
OS: Android 4.4.2
App Version 2.9.1
Users reported crash with Fairphone</t>
  </si>
  <si>
    <t>TeamNewPipe-NewPipe-3666</t>
  </si>
  <si>
    <t>Sometimes App crash when clicking show info or download.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</si>
  <si>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requested stream
Request: https: youtu.be mkpd9nF719w
Content Language: ar OM
OS: Linux samsung star2ltexx star2lte:10 QP1A.190711.020 G965FXXU8DTC5:user release-keys 10 29
log&lt; b&gt;&lt; summary&gt;&lt;p&gt;
&lt;!-- That right, here! --&gt;</t>
  </si>
  <si>
    <t>TeamNewPipe-NewPipe-3660</t>
  </si>
  <si>
    <t>Error opening videos (Could not get any stream.)</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</si>
  <si>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Currently, just open video from one of my subscribers and on some videos get this error. Not all of them, but mostly every video. Same error on my Android 10 phone, running different ROM.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User Action: requested stream</t>
  </si>
  <si>
    <t>2020-05-28</t>
  </si>
  <si>
    <t>doublesymmetry-react-native-track-player-956</t>
  </si>
  <si>
    <t>[ios] fix race conditions (close #652)</t>
  </si>
  <si>
    <t>was experiencing bunch of crashes in production with 1.2.3
There was already solution proposed here: https: github.com react-native-kit issues 652
was able to reproduce the issue locally and used Thread Ripper to test the solution (https: github.com react-native-kit issues proposed in the above issue.</t>
  </si>
  <si>
    <t>TeamNewPipe-NewPipe-3659</t>
  </si>
  <si>
    <t>Could not parse website</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</si>
  <si>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youtube.com watch?v dcLaYwl48v0 (one of the results after searching full flex
&lt;!-- If you can cause the bug to show up again reliably (and hence don have proper set of steps to give us), please still try to give as many details as possible on how you think you encountered the bug. --&gt;
### Expected behavior
### Actual behaviour
Guru meditation error report: could not parse website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The markdown converter site gives me an error 404.
&lt;!-- That right, here! --&gt;</t>
  </si>
  <si>
    <t>material-components-material-components-android-1339</t>
  </si>
  <si>
    <t>[MaterialDatePicker / android.widget.TimePicker] XmlPullParserException</t>
  </si>
  <si>
    <t>**Android API version:** 29
P20 P20 lite (TimePicker crash)
Xperia Z5 Compact P20 Redmi Note (MaterialDatePicker crash)
various Android versions: 6.0, 7.1.1, 9.0</t>
  </si>
  <si>
    <t>nextcloud-android-6171</t>
  </si>
  <si>
    <t>Crash on the opening</t>
  </si>
  <si>
    <t>### Steps to reproduce
1. Open the app
### Expected behaviour
the app should open
### Actual behaviour
The app crash with the message below.
The message pop multiple times.
**** CAUSE OF ERROR ****
Caused by: Caller no longer running, last stopped +2s356ms because: timed out while starting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Device model: HONOR STF-L09
Stock or customized system:</t>
  </si>
  <si>
    <t>material-components-material-components-android-1338</t>
  </si>
  <si>
    <t>[MaterialCalendarGridView] NullPointerException in onDraw</t>
  </si>
  <si>
    <t>&lt;item name style item&gt;
**Expected behavior:** no crash
**Android API version:** 29
**Material Library version:** 1.2.0-alpha06</t>
  </si>
  <si>
    <t>aws-amplify-amplify-android-541</t>
  </si>
  <si>
    <t>DataStore crashes app when device loses network connection</t>
  </si>
  <si>
    <t>While running an application that uses the DataStore (with cloud synchronization enabled ), see the DataStore initialize successfully, and begin to process subscription data:
When place the device into Airplane Mode, however, the application crashes with the exception below.
Instead, would expect the DataStore to operate in an offline mode, where-in mutations are queued into the to be dispatched later. When the device regains its connectivity, within reasonable amount of time (a minute?) the Sync Engine should re-form the subscriptions, and start draining the mutation outbox.
**Amplify Android Core, API, DataStore 1.0.0.**
Caused by: AmplifyException message Error during subscription., cause AmplifyException message Subscription completion not acknowledged., cause null, recoverySuggestion Sorry, we don have suggested fix for this error yet. recoverySuggestion Evaluate details.
Caused by: AmplifyException message Subscription completion not acknowledged., cause null, recoverySuggestion Sorry, we don have suggested fix for this error yet.</t>
  </si>
  <si>
    <t>Blankj-AndroidUtilCode-1250</t>
  </si>
  <si>
    <t>[BUG] 1.29.x 汇总</t>
  </si>
  <si>
    <t>27 28 BUG 1.29.x
1.29.0 https: github.com Blankj AndroidUtilCode releases tag 1.29.0
AndroidUtilCode utilcode:1.28.0 utilcodex:1.28.0
Bug Nexus 5X
Android API 27
put your code here
put the stack of crash here</t>
  </si>
  <si>
    <t>TeamNewPipe-NewPipe-3656</t>
  </si>
  <si>
    <t>Could not get any stream</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</si>
  <si>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Search for this video and open it: https: www.youtube.com watch?v KXmdE8FMiq0
&lt;!-- If you can cause the bug to show up again reliably (and hence don have proper set of steps to give us), please still try to give as many details as possible on how you think you encountered the bug. --&gt;
### Expected behavior
&lt;!-- Tell us what you expect to happen. --&gt;
Open the page of the video.
### Actual behaviour
&lt;!-- Tell us what happens instead. --&gt;
Error, see logs section.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Android 5.1.1 22 time 2020-05-27
Could not get any stream. See error variable to get further details. tat
&lt;!-- That right, here! --&gt;</t>
  </si>
  <si>
    <t>2020-05-27</t>
  </si>
  <si>
    <t>react-native-share-react-native-share-789</t>
  </si>
  <si>
    <t>Example app crashes in iOS with react-native0.62.2</t>
  </si>
  <si>
    <t>### Steps to reproduce
1. npx react-native init example
2. cd example
3. npx pod-install
4. copy App.js images components from react-native-share example
5. run app in ios simulator
6. all buttons crashes the app
### Expected behaviour
share menu comes in.
### Actual behaviour
the app crashes without any messages.
**React Native version**:0.62.2
**React Native platform platform version**: iPhone11, iOS 13.4.1
### Link to repo (highly encouraged)</t>
  </si>
  <si>
    <t>k9mail-k-9-4790</t>
  </si>
  <si>
    <t>Crash when attachment file is changed while TC document picker dialog is open</t>
  </si>
  <si>
    <t>### Expected behavior
error message File not found
Folder rescan when switching back to file picker (TC issue)
### Actual behavior
short glimpse of mail editor with attached file, then app crash
### Steps to reproduce
1. Compose mail
2. open file attachment dialog
3. select Total Commander
5. navigate to folder
6. Switch to some file browser and rename file in folder
7. Switch back to K-9, select file (under old filename), attach
with TotalCmd (file: url) nothing is attached
same with Picasa
stock album or Simple Gallery manage to attach the image anyway, but under generic number
K-9 Mail version:
Account type (IMAP, POP3, WebDAV Exchange):
Please take some time to retrieve logs (https: github.com k9mail k-9 wiki LoggingErrors) and attach them here:</t>
  </si>
  <si>
    <t>k9mail-k-9-4789</t>
  </si>
  <si>
    <t>Crashed when deleting multiple emails from unified inbox</t>
  </si>
  <si>
    <t>### Expected behavior
When deleting multiple selected mails in the unified inbox, the app should not crashed.
### Actual behavior
When selecting multiple emails (no matter all selected emails are from the same account or not) in the unified inbox and click the delete button, the app almost always crashed with an
### Steps to reproduce
1. Go to unified inbox
2. Select multiple emails
3. Click delete button
K-9 Mail version: 5.715
Android version: 10
Account type (IMAP, POP3, WebDAV Exchange): mixed imap and pop3
Make sure the Cursor is initialized correctly before accessing data from it.</t>
  </si>
  <si>
    <t>square-okhttp-6092</t>
  </si>
  <si>
    <t>IllegalStateException When Building with -repackageclasses</t>
  </si>
  <si>
    <t>OkHttp version: 4.7.2
getting crash when running my app built with the -repackageclasses proguard rule.
Caused by: package must not be null</t>
  </si>
  <si>
    <t>2020-05-26</t>
  </si>
  <si>
    <t>opensrp-opensrp-client-reveal-755</t>
  </si>
  <si>
    <t>RVL - 1022 - Adding a photo of the checlikst on the IRS Field Officer Form crashes the app</t>
  </si>
  <si>
    <t>Login to the app
Go to the other form section on the hamburger menu
Click on one of the form eg IRS Field Officer.
Click on the edit form and scroll to the section that says: Add photo of today checklist
Observe how clicking that section crashes the app either by closing that section and returning to the map page. Or How it crashes the app and closes it immediately
Screenshot 20200526 155838 org smartregister reveal (https: 61143692</t>
  </si>
  <si>
    <t>amit-schwartz-u-rooMe-124</t>
  </si>
  <si>
    <t>feedback for open-source calss</t>
  </si>
  <si>
    <t>The app looks great but on my samsung A7 device it crashes after one swipe.
undertstand it doesn happen on every device, so maybe the problem is with my device.
Good luck! :)</t>
  </si>
  <si>
    <t>amit-schwartz-u-rooMe-123</t>
  </si>
  <si>
    <t>great app!</t>
  </si>
  <si>
    <t>Loved the app and total design, although had issues:
1. google sign in didn work for me
2. the app crashed when used the pixel emulator, think it has something to do with the background settings, as had similar issue once. can figure it out for you if you like me to.</t>
  </si>
  <si>
    <t>material-components-material-components-android-1331</t>
  </si>
  <si>
    <t>[ShapeableImageView] NullPointerException when setting nullable annotated strokeColor to null</t>
  </si>
  <si>
    <t>If you call whenever the onDraw method of the ShapeableImageView is called, it will crash the entire app with
**Side note**: Kotlin would not let this compile at all if MDC Android was using it.
Have the strokeColor private field be Nullable annotated, assign it to locals and null check it before use.
Here the line where the NPE strikes:
**Material Library version:** 1.2.0-alpha06</t>
  </si>
  <si>
    <t>nextcloud-android-6149</t>
  </si>
  <si>
    <t>App crash in background "Caused by: java.lang.NoSuchFieldException: USER"</t>
  </si>
  <si>
    <t>### Steps to reproduce
Just let Nextcloud run in background (NOT OPENED) few hours.
### Expected behaviour
Sync files and be quiet
### Actual behaviour
Crash 2-3 times day when unlock my phone, the nextcloud app show error screen with error bellow
### Can you reproduce this problem on https: try.nextcloud.com?
### Environment data
Nextcloud server version: Nextcloud 18.0.4
#### Nextcloud log (from Nextcloud app crash)
************ CAUSE OF ERROR ************
Caused by: USER
... 17 more
Caused by: USER
... 26 more
************ APP INFORMATION ************
Build flavor: generic
************ DEVICE INFORMATION ************
************ FIRMWARE ************</t>
  </si>
  <si>
    <t>2020-05-25</t>
  </si>
  <si>
    <t>TeamNewPipe-NewPipe-3646</t>
  </si>
  <si>
    <t>"what's new" crashes on channels that do not have a videos tab</t>
  </si>
  <si>
    <t>Here is an example for such channel (I ve found by chance..):
ve subscribed to it (before finding out about the bug),
and every update to the subscription list what new you ll get an error (I think NewPipe still updates the list from other channels but not sure).
User Action: requested feed
Request: Loading feed
Content Language: GB
OS: Linux samsung j4ltejx j4lte:9 PPR1.180610.011 J400FXXU4BSJ1:user release-keys 28
log&lt; b&gt;&lt; summary&gt;&lt;p&gt;</t>
  </si>
  <si>
    <t>vietcuongk99-HowLongYouPlay-3</t>
  </si>
  <si>
    <t>app crash khi rotate screen ở login/register screen</t>
  </si>
  <si>
    <t>2020-05-23</t>
  </si>
  <si>
    <t>Rajawali-Rajawali-2179</t>
  </si>
  <si>
    <t>Rendering to texture crashes renderer when backgrounding/returning to app</t>
  </si>
  <si>
    <t>#### Rajawali Version or Branch
This issue has been observed on both the publicly released version of Rajawali 1.1.970 as well as the code on master. Relevant code is in but have been able to reproduce when trying to replicate the same type of code elsewhere.
#### Device and Android Version
Tested on multiple devices OS versions as well as the Emulator. Observed on all tested environments.
Utilizing the code infrastructure as it exists in reacts weirdly to the Android lifecycle. You might want to go and read the steps to reproduce now to see how have reproduced the bug. ve debugged this fairly extensively and have some theories about what is going on, but what can say for sure is that the way the renderer re-initializes things after resuming from lifecycle backgrounding returning causes the crash. My running theories of what the cause is:
When you have multiple scenes present in renderer, they are not getting re-initialized correctly. If you comment out line 146 of (the general render call), you do not get the crash. But of course, other things don run (i.e., the animations) either
Something with recreating updating the geometry related to the FBO vbo material. In playing with various permutations of this code, got other low-level exceptions relating to fbo vbo memory.
Perhaps the FBO textures are not cleaned up re-set up properly when returning to the app
One other thing was able to see is that generally the app would crash error out when it hit line 1225 of TextureView.kt, when it was trying to swap buffers and the eglSurface had changed due to the lifecycle event.
In general though, having multiple scenes in the renderer is the best way to see the crash. The other post-processing examples don have this crash because in the onRender() call they only render the class instance, and not the general super.onRender() call
#### Steps to Reproduce
Open the sample app and go to the Render To Texture example
Hit the home button to background the app
Bring the app back to the foreground.
Resulting behavior: On actual devices (Galaxy S9, for example), the render surface just blanks out such that nothing is showing at all. On the emulator the app actually crashes and restarts.
#### Trace or Log Output
Unfortunately on an actual device there is not stack trace to see. The best ve gotten is on the emulator, getting SIGSEGV which includes Fatal signal 11 (SIGSEGV), fault addr 0x20</t>
  </si>
  <si>
    <t>DantSu-ESCPOS-ThermalPrinter-Android-10</t>
  </si>
  <si>
    <t>Need a few easy steps to connect to printer</t>
  </si>
  <si>
    <t>tried to print sample image, turn off bluetooth, but it does not request any bluetooth enable request.Connecting to printer process is not smooth and sometimes app crash, because of **Attempt to read from null array**
&lt;img width 1249 alt Screenshot 2020-05-22 at 11 41 55 PM src https: 6047310
But, https: github.com iYaroslav esc-pos-android (https: github.com iYaroslav esc-pos-android) this one is implemented for the easy and simply way to connect to printer, we can forget about connecting process, but it does not support image and QR code printing yet</t>
  </si>
  <si>
    <t>2020-05-22</t>
  </si>
  <si>
    <t>nextcloud-android-6133</t>
  </si>
  <si>
    <t>NC-app crashes when switching to Grid view on local storage</t>
  </si>
  <si>
    <t>Sounds very similar to #2527, but without scrolling necessary to cause the crash
Deleted cache data and uninstalled installed the app again as suggested, no luck
### Steps to reproduce
1. Go to All Files
2. Using 3dot menu top right, switching to Grid view works just fine
2. Click the sign at the bottom right
3. Select Upload Files
4. Select folder which is located on device storage (any local, such as emulated, storage, 0)
5. Using 3dot menu top right, switching to Grid view crashes the app
### Expected behaviour
Should switch to grid view of items in the folder
### Actual behaviour
### Can you reproduce this problem on https: try.nextcloud.com?
Yes, same issue exists with try.nextcloud.com (demo1)
This issue was reproduced also from two separate android phones, using the same version of NC-app
### Environment data
************ CAUSE OF ERROR ************
************ APP INFORMATION ************
Build flavor: gplay
************ DEVICE INFORMATION ************</t>
  </si>
  <si>
    <t>square-okhttp-6079</t>
  </si>
  <si>
    <t>Crash with HttpLoggingInterceptor on old Android devices</t>
  </si>
  <si>
    <t>OkHttp version: 4.7.0
found this crash on old Android devices while using OkHttp together with corelibs desugaring on Android Studio 4.0
Wondering if it fix that can be done directly in OkHttp, or we may have to wait for this to be supported via desugaring
To reproduce, initialize like:
path to crash is avoided on levels BODY</t>
  </si>
  <si>
    <t>Miguel9r-CS179J-Team10-7</t>
  </si>
  <si>
    <t>Bluetooth testing with simplied app</t>
  </si>
  <si>
    <t>Attempting to test simplified android app which connects to bluetooth and sends which turns on LED. App is able to connect to bluetooth properly however crashes when trying to send signal to turn on LED.
Attached is received error at crash:</t>
  </si>
  <si>
    <t>nextcloud-android-6127</t>
  </si>
  <si>
    <t>IllegalStateException in UploadFilesActivity.showLocalStoragePathPickerDialog: Can not perform this action after onSaveInstanceState</t>
  </si>
  <si>
    <t>Why dont you dont just forward to mail app or send the stuff yourself, forcing me to sign in in force dual auth site just to report this crash anoys me. ..
Whatever thats what the crashing app copyed to my clipboard
************ CAUSE OF ERROR ************
************ APP INFORMATION ************
Build flavor: generic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t>
  </si>
  <si>
    <t>2020-05-21</t>
  </si>
  <si>
    <t>TrackerControl-tracker-control-android-52</t>
  </si>
  <si>
    <t>Toggling on and off quickly causes crash</t>
  </si>
  <si>
    <t>commons-app-apps-android-commons-3763</t>
  </si>
  <si>
    <t>IllegalArgumentException at fetchImagesForDepictedItem</t>
  </si>
  <si>
    <t>1. Go to any item (for instance egg or rabbit ), either via Explore or via depiction in Media Details.
2. Scroll the pictures that depict that item.
USER COMMENT scrolling pics in Explore item
APP VERSION CODE 561
APP VERSION NAME 2.12.3-debug-master
PHONE MODEL SM-G970F
IS SILENT false
If the item has few depictions (for instance dishwasher ), the crash is immediate, no need to scroll.</t>
  </si>
  <si>
    <t>nextcloud-android-6124</t>
  </si>
  <si>
    <t>app crashes while syncinc</t>
  </si>
  <si>
    <t>### Steps to reproduce
This is not reproducer, suspect that something is specific to my setup. However, nothing on the server was changed when this started happening, maybe the app was auto-updated by Android.
1. open Nextcloud app
2. wait for it to sync (with my local server), the little tickmarks at the top are moving
3. crash happens (see backtrace below)
Also, using any of the menu buttons (hamburger button, settings) just freezes the app (w the backtrace message below).
### Expected behaviour
It should sync normally.
### Actual behaviour
The app crashes with
************ CAUSE OF ERROR ************
************ APP INFORMATION ************
Build flavor: gplay
************ DEVICE INFORMATION ************
************ FIRMWARE ************
### Can you reproduce this problem on https: try.nextcloud.com?
If not, please verify server setup and ask for help on forum
cannot change any settings in the app since it just freezes if touch any of the buttons.
### Environment data
Android version: see above</t>
  </si>
  <si>
    <t>7LPdWcaW-GrowTracker-Android-208</t>
  </si>
  <si>
    <t>Backup service crash</t>
  </si>
  <si>
    <t>S2-group-NAPPA-26</t>
  </si>
  <si>
    <t>Test app crashes when requesting the weather</t>
  </si>
  <si>
    <t>### Steps to reproduce
1. Open app
2. Click in weather
3. Click in any city
4. Click in weather
5. App crashes</t>
  </si>
  <si>
    <t>2020-05-20</t>
  </si>
  <si>
    <t>ElderDrivers-EdXposed-554</t>
  </si>
  <si>
    <t>[BUG] Canary tab is missing and Snapchat tab crashes edxposed manager</t>
  </si>
  <si>
    <t>Canary Tab is no longer present in app.
**Xposed Xposed Module List**
**Magisk Magisk Module List**
Magiskhide Props Config
**EdXposed-Riru Versions of EdXposed and Riru**</t>
  </si>
  <si>
    <t>2020-05-19</t>
  </si>
  <si>
    <t>nextcloud-android-6111</t>
  </si>
  <si>
    <t>crashed in background</t>
  </si>
  <si>
    <t>### Steps to reproduce
1. Nothing special
### Expected behaviour
### Actual behaviour
crashes periodically in the background
### Can you reproduce this problem on https: try.nextcloud.com?
Please create test demo account and see if this still happens there.
If yes, please open up bug report
If not, please verify server setup and ask for help on forum
### Environment data
************ CAUSE OF ERROR ************
Caused by: Caller no longer running, last stopped +5s222ms because: timed out while starting
************ APP INFORMATION ************
Build flavor: generic
************ DEVICE INFORMATION ************
************ FIRMWARE ************</t>
  </si>
  <si>
    <t>nextcloud-android-6109</t>
  </si>
  <si>
    <t>How to delete sqlite database</t>
  </si>
  <si>
    <t>was wondering if it is possible to delete the sqlite database the Android app uses.
If uninstall the app clear cache clear storage Nextcloud app still remembers cached my folder structure after reinstalling the app. If open the app after reinstall, see my old files, which already removed. The app then tries to sync but crashes with exception:
Because there was very large folder, the app crashes (SQLiteToobig... Exception).
installed the Nextcloud dev app vai F-Droid which is now working fine (as it is reading the file structure from scratch).
Any help appreciated.</t>
  </si>
  <si>
    <t>TeamNewPipe-NewPipe-3620</t>
  </si>
  <si>
    <t>How to use it</t>
  </si>
  <si>
    <t>nextcloud-android-6106</t>
  </si>
  <si>
    <t>App crashes if connecting via app password</t>
  </si>
  <si>
    <t>App with 3.12 rc2 crashes if try to connect with app password after enabling u2f key.
************ CAUSE OF ERROR ************
************ APP INFORMATION ************
Build flavor: gplay
************ DEVICE INFORMATION ************
************ FIRMWARE ************</t>
  </si>
  <si>
    <t>7LPdWcaW-GrowTracker-Android-207</t>
  </si>
  <si>
    <t>Latest alpha crashes on some devices</t>
  </si>
  <si>
    <t>The latest alpha of the app works well on phone with Android but crashes on tablet with Android 7. Log attached.</t>
  </si>
  <si>
    <t>ankidroid-Anki-Android-6216</t>
  </si>
  <si>
    <t>[2.10] Investigation: Syncing Issues - cards moved back to "New"</t>
  </si>
  <si>
    <t>AnkiDroid Version 2.10.2
Android Version 10
Unknown how to reproduce this right now.
Its not really crash
Syncing is successful
But the cards did yesterday show up on my phone
But dont show up on my laptop when sync
did the cards on my phone and synced it to my laptop
This is the first time it happens to me
use ankidroid lot
tried force full sync and download from the ankiweb server didnt help
And when sync it says sync completed
The cards did yesterday on my phone show up in the new pile on my laptop
Between Anki Desktop 2.1.26 and AnkiDroid</t>
  </si>
  <si>
    <t>2020-05-18</t>
  </si>
  <si>
    <t>square-reader-sdk-flutter-plugin-45</t>
  </si>
  <si>
    <t>Lost connection to device - when authorizing Reader SDK</t>
  </si>
  <si>
    <t>### Describe the issue
seeing the example project is losing connection to physical iPhone device as authorize the Read SDK.
running an iPhone with iOS 13.3.1. **Update:** updated to 13.4.1, same result.
There isn good trace on the error just loses the connection at the end.
Error log details:
Running flutter pub get in example... 1.0s
Launching lib main.dart on iPhone in debug mode...
Signing iOS app for device deployment using developer identity: iPhone Developer: &lt;EMAIL&gt; (&lt;ID&gt;)
Running pod install... 2.3s
This can cause mismatched version of Flutter to be embedded in your app, which may result in App Store submission rejection or crashes.
If you have local Podfile edits you would like to keep, see https: github.com flutter flutter issues 24641 for instructions.
To regenerate the Podfile, run:
rm ios Podfile
Running Xcode build...
Xcode build done. 74.5s
Installing and launching... 55.7s
Debug service listening on ws: localhost:1024 ws
Syncing files to device iPhone 8...
Lost connection to device.
### To Reproduce</t>
  </si>
  <si>
    <t>nextcloud-android-6100</t>
  </si>
  <si>
    <t>deleting a notification</t>
  </si>
  <si>
    <t>deleting notification side nextcloud by pressing the causes nexcloud client to crash:
************ CAUSE OF ERROR ************
************ APP INFORMATION ************
Build flavor: gplay
************ DEVICE INFORMATION ************
************ FIRMWARE ************</t>
  </si>
  <si>
    <t>nextcloud-android-6099</t>
  </si>
  <si>
    <t>NC 3.12.0 RC2 App Crashes</t>
  </si>
  <si>
    <t>### Steps to reproduce
1. Delete multiple files at once and app crashes
### Expected behaviour
************ APP INFORMATION ************
Build flavor: gplay
************ DEVICE INFORMATION ************
************ FIRMWARE ************</t>
  </si>
  <si>
    <t>TeamNewPipe-NewPipe-3605</t>
  </si>
  <si>
    <t>Live stream not showing in subscriber Feed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</si>
  <si>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Live streams asr not showing in the subscribeed feed. After searching for the channel and search inside than only it will showing</t>
  </si>
  <si>
    <t>2020-05-17</t>
  </si>
  <si>
    <t>doublesymmetry-react-native-track-player-944</t>
  </si>
  <si>
    <t>TrackPlayer.updateMetadataForTrack causes app to crash when updated using local file on IOS</t>
  </si>
  <si>
    <t>**Describe the bug**
When updating artwork via metadata) method it won work on android and it causes crash of the app on IOS.
Simply try to update artwork via medatadaForTrack using file from the assets folder.
**Environment (please complete the following information):**
Currently, am using puckeys branch
so have support for the on IOS. But had this problem also with current 1.2.3 version
am running the app in the simulator
**When am updating the artwork using URL it works fine on both platforms.**</t>
  </si>
  <si>
    <t>doublesymmetry-react-native-track-player-943</t>
  </si>
  <si>
    <t xml:space="preserve">my App is crashing when use taps on STOP button (Notification Controls) </t>
  </si>
  <si>
    <t>**Describe the bug**
clear and concise description of what the bug is.
app is crashing in in some phone when use taps on STOP button (Notification Controls)
Steps to reproduce the behavior:
**Environment (please complete the following information):**
Run react-native info in your project and share the content.
API Levels: 23, 26, 27, 28, 29
Build Tools: 23.0.1, 25.0.0, 26.0.0, 26.0.1, 26.0.2, 26.0.3, 27.0.3, 28.0.2, 28.0.3
System Images: android-28 Google APIs Intel x86 Atom, android-29 Google APIs Intel x86 Atom
Android Studio: 3.5
What version are you using?
Are you testing on real device or in the simulator? Which OS version are you running?
in real device
Please, share the code that is causing the issue
if (typeof undefined
async function setup()
await ).then(async ()
error log form Crashlytics</t>
  </si>
  <si>
    <t>nextcloud-android-6096</t>
  </si>
  <si>
    <t>App hangs/crashes on startup</t>
  </si>
  <si>
    <t>### Steps to reproduce
1. Open the app with network connection.
2. Tried reinstalling the app as well.
### Expected behaviour
Open the app to enable browsing of folders.
### Actual behaviour
The app just hangs 15sec after starting it and the error log is shown. It seems related to listing of the folders as the progress bar on top keeps moving until the app crashes.
### Can you reproduce this problem on https: try.nextcloud.com
Didn try this.
### Environment data
Device model: OnePlus
Stock or customized system: stock
Nextcloud app version: 3.11.1
Nextcloud server version: 18.0.4
Reverse proxy: no
#### Web server error log
#### Nextcloud log (data nextcloud.log)
************ CAUSE OF ERROR ************
************ APP INFORMATION ************
Build flavor: gplay</t>
  </si>
  <si>
    <t>2020-05-16</t>
  </si>
  <si>
    <t>TeamNewPipe-NewPipe-3601</t>
  </si>
  <si>
    <t>App crashes when downloading subscribed feed (since 0.19.3)</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</si>
  <si>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Try to open subscribed channels feed (default or custom)
&lt;!-- If you can cause the bug to show up again reliably (and hence don have proper set of steps to give us), please still try to give as many details as possible on how you think you encountered the bug. --&gt;
### Expected behavior
&lt;!-- Tell us what you expect to happen. --&gt;
See my subscribed feed.
### Actual behaviour
&lt;!-- Tell us what happens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ui error
Request: App crash, UI failure
Content Language: GB
OS: Linux Android 28
log&lt; b&gt;&lt; summary&gt;&lt;p&gt;
&lt;!-- That right, here! --&gt;</t>
  </si>
  <si>
    <t>nextcloud-talk-android-887</t>
  </si>
  <si>
    <t>Android App crashs by adding Pictures vom the Photos Folder</t>
  </si>
  <si>
    <t>Wen like to share Photo in chat, type the button, print to the folder an the App crash s. App Version is 8.09 Android is 9. The Photos Folder have 11GB</t>
  </si>
  <si>
    <t>nextcloud-android-6094</t>
  </si>
  <si>
    <t xml:space="preserve">Issue on Android </t>
  </si>
  <si>
    <t>### Steps to reproduce
1. No step: the crash log or unlock screen app, appear without that user start the app nextcloud.
When you want to start the nextcloud apk app, there are no problem.
### unExpected behaviour
sporadic screen of crash log app from nextcloud, without use the app.
-sporadic unlock screen with password without start the app initially, with infinity loop, however put the good password. (I have to lock my phone to exit the loop)
### Environment data
Device model: P20 pro Huawei
Stock or customized system: Stock
Nextcloud app version: 3.12.rc1
Nextcloud server version: 16
Reverse proxy: Letsencrypt
### Nextcloud log (data nextcloud.log)
************ CAUSE OF ERROR ************
************ APP INFORMATION ************
Build flavor: gplay
************ DEVICE INFORMATION ************
************ FIRMWARE ************</t>
  </si>
  <si>
    <t>TeamNewPipe-NewPipe-3595</t>
  </si>
  <si>
    <t>App keeps running in background 0.19.3</t>
  </si>
  <si>
    <t>nextcloud-android-6092</t>
  </si>
  <si>
    <t>App crashes every time a nextcloud talk call comes in</t>
  </si>
  <si>
    <t>### Steps to reproduce
1. Have both apps nextcloud and talk app installed on phone
2. Call the account assigned on that phone by nextcloud talk
3. The call will not be signaled but the nextcloud app is reported to have crashed
### Expected behaviour
Phone signals the call and after ac opting the talk app should build up video or voice conference
### Actual behaviour
No call is signaled and the nextcloud app is reporting rash
### Can you reproduce this problem on https: try.nextcloud.com?
Didn check that so far.
### Environment data
************ CAUSE OF ERROR ************
************ APP INFORMATION ************
Build flavor: gplay
************ DEVICE INFORMATION ************
************ FIRMWARE ************</t>
  </si>
  <si>
    <t>2020-05-15</t>
  </si>
  <si>
    <t>google-google-authenticator-android-119</t>
  </si>
  <si>
    <t>InflateException: Binary XML file line #110</t>
  </si>
  <si>
    <t>This issue is present in the app downloaded from the Play Store playstore
## Describe the Bug
After last google authenticator update, cannot open google authenticator app.
### Intended Behavior
Open google authenticator activity, displaying all my 2fa codes.
### Actual Behavior
Activity crashing at startup.
1. Open app
2. See the app crashing.
Fill out the details about the device and app version in which you encountered the bug.
Device: Pocket23gxx (Samsung SM G11-0B)
OS: Android 4.4.2
Version Google Authenticator 5.10
## Additional Information
Full exception stack trace (taken with logcat):</t>
  </si>
  <si>
    <t>nextcloud-talk-android-845</t>
  </si>
  <si>
    <t>App crashes on trying to open unread messages</t>
  </si>
  <si>
    <t>### Steps to reproduce
1. Launch app(I using nextcloud talk 8.0.9
2. Click on conversation with unread messages
### Expected behaviour
-conversation should open and function as intended
### Actual behaviour
on clicking on conversation with unread messages, app crashes multiple times producing the same cause of error report with option to report error
-crashes persist on switching to other apps(I don think nextcloud closes when switch)
this seems to only happen when there are unread messages
### Can you reproduce this problem on https: try.nextcloud.com?
Sorry, but could not?
Not sure how to reproduce this.
Please create test demo account and see if this still happens there.
If yes, please open up bug report
If not, please verify server setup and ask for help on forum
### Environment data
Sorry, all these below have been provided in the nextcloud log section, all as generated by the nextcloud cause of error report.
Stock or customized system:
Nextcloud app version:
Nextcloud server version:</t>
  </si>
  <si>
    <t>smartdevicelink-sdl_java_suite-1351</t>
  </si>
  <si>
    <t>Samsung devices not properly managing notification channels</t>
  </si>
  <si>
    <t>### Bug Report
Since the channel delete code as added back in last release to address some phones not clearing the notification, new issue has appeared with Samsung devices. These devices are not properly deleting and recreating the notification channel and therefore it throws fatal exception. While the code itself in the library should not allow this to happen, it seems the OS has other issues.
##### Reproduction Steps
1. Star SDL connection like normal
3. Restart SDL connection, should crash
##### Expected Behavior
Notification is displayed and clears properly.
##### Observed Behavior
Notification is not created, RS not started, app experiences fatal crash
Bad notification for startForeground: invalid channel for service notification: sdl notification channel pri contentView null vibrate null sound null tick defaults 0x0 flags 0x40 color 0x00000000 vis PRIVATE semFlags 0x0 semPriority semMissedCount 0)
##### OS Version Information
Assuming Android 9+, likely 10</t>
  </si>
  <si>
    <t>square-okhttp-6053</t>
  </si>
  <si>
    <t>Caused by java.lang.VerifyError: Verifier rejected class com.android.org.conscrypt.ConscryptFileDescriptorSocket</t>
  </si>
  <si>
    <t>Hello, we are coming across following crash in crashlytics for realme 5pro Android OS 10:
We could not reproduce it, but able to see it in crashlytcis. Please find the logs below:
Could you please help on this.</t>
  </si>
  <si>
    <t>nikita36078-J2ME-Loader-689</t>
  </si>
  <si>
    <t>Rockola music player crash</t>
  </si>
  <si>
    <t>(For example, 240x320 or 640x360)
(For example, Samsung Galaxy S7)
**Description of the issue:**
(What the problem? Screenshots showing the issue if applicable)
The app crashes when trying to play mp3 song</t>
  </si>
  <si>
    <t>ankidroid-Anki-Android-6184</t>
  </si>
  <si>
    <t>[2.10.1] Handle massive images in DeckPicker Background</t>
  </si>
  <si>
    <t>100MB image crashed the DeckPicker</t>
  </si>
  <si>
    <t>aws-amplify-amplify-android-466</t>
  </si>
  <si>
    <t>Crashes when subscribe fails</t>
  </si>
  <si>
    <t>Currently, an Android application using DataStore and API crashes when subscribe fails. can reproduce this by creating an API but not pushing it, or simulating low signal conditions using the emulator, with slightly different stack traces:
**No API available**
**Low signal conditions**</t>
  </si>
  <si>
    <t>TeamNewPipe-NewPipe-3591</t>
  </si>
  <si>
    <t xml:space="preserve">Version 19.3 'content unavailable' </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</si>
  <si>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--&gt; it keeps happening regardless of what do. There are no steps.
&lt;!-- If you can cause the bug to show up again reliably (and hence don have proper set of steps to give us), please still try to give as many details as possible on how you think you encountered the bug. --&gt; just used the search engine, tried to pick video and it throws content unavailable in my face.
### Expected behavior
&lt;!-- Tell us what you expect to happen. --&gt; expected to actually be able to play the video.
### Actual behaviour
&lt;!-- Tell us what happens instead. --&gt; pick video and the error comes up. No matter what search, any video at all. This comes up.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</si>
  <si>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2020-05-14</t>
  </si>
  <si>
    <t>cgeo-cgeo-8343</t>
  </si>
  <si>
    <t>[Nightly] c:geo crashes while filtering a list (Transaction too large)</t>
  </si>
  <si>
    <t>**Describe the bug:**
1. open list All caches (as this may be of reasonable size mine has 15220 caches right now)
2. select Filter and set any filter (over here e. g. Not Found which would result in about 9k)
**Actual behavior state after performing these steps:**
Most of the times filtering takes few seconds ... even some seconds with black screen ... but then c:geo just crashes. Sometimes it even shows the filtered list, and in very rare cases you can even show the listed caches on map, but after few seconds c:geo eventually crashes anyway.
**Expected behavior state after performing these steps:**
Show (and let me work with) the filtered list instead of simply crashing.
**Version of c:geo used:**
**Is the problem reproducible:**
Android version: 10
Android build: VOG-L29
Google Play services: disabled 20.15.16 (120400-309763488)
Low power mode: inactive
Compass capabilities: yes
Rotation vector sensor: present
Orientation sensor: present
Magnetometer Accelerometer sensor: present
Direction sensor used: rotation vector
Hide caches: own found
HW acceleration: enabled (default state)</t>
  </si>
  <si>
    <t>k9mail-k-9-4766</t>
  </si>
  <si>
    <t>5.713 crashes when switching to an Office365 account</t>
  </si>
  <si>
    <t>Please search to check for an existing issue (including closed issues, for which the fix may not have yet been released) before opening new issue: https: github.com k9mail k-9 issues?q is%3Aissue
### Expected behavior
Selecting an Office365 Outlook account opens normally.
### Actual behavior
After upgrading to 5.713 from 5.706, K9 would crash when tried switching from the pop mail account had open before upgrading to the Office365 Outlook account. Additionally, turning on the Unified folder wouldn show messages from the Outlook account.
accidentally found fix when checking the Outlook server name in the receiving mail settings, preparatory to trying different mail client. Without changing or editing anything, hitting next started the check server settings script, which seemed to work, and now can use the Outlook account normally. Perhaps force refresh when booting the upgrade for the first time?
### Steps to reproduce
1. Have pre-existing Outlook Office365 account set up in K9 &lt;5.713, as well as pop account.
2. Prior to upgrading, be in the pop account.
3. Upgrade to 5.713 (I used F-Droid).
4. Open K9 and try to switch to the Outlook account.
K-9 Mail version: 5.713
Android version: 6.0.1 on One Plus E1003 running OxygenOS 3.1.4
Account type (IMAP, POP3, WebDAV Exchange): WebDAV Exchange
Please take some time to retrieve logs (https: github.com k9mail k-9 wiki LoggingErrors) and attach them here:</t>
  </si>
  <si>
    <t>aws-amplify-amplify-android-464</t>
  </si>
  <si>
    <t>Synchronization Error with relations</t>
  </si>
  <si>
    <t>Might be duplicate of #461 but don want to crowd that thread if it different. The main difference is that can cause this crash to occur with small amount of data.
type GroceryItem model
type Aisle model
**Steps to Reproduce**
If while my app is running, run the following two GraphQL queries against the AppSync API directly:
The first query (creating the aisle), passes without hitch and see my app UI update to reflect it. However, the second query causes crash.
... 27 more</t>
  </si>
  <si>
    <t>ankidroid-Anki-Android-6177</t>
  </si>
  <si>
    <t>NullPointerException when pressing space bar</t>
  </si>
  <si>
    <t>Judging from the LogCat, the DeckPicker was opened: No startup screens required
--------- beginning of main
--------- beginning of system
--------- beginning of crash</t>
  </si>
  <si>
    <t>aws-amplify-amplify-android-461</t>
  </si>
  <si>
    <t>DataStore initial sync fails when using relations &amp; DynamoDB tables have too many records</t>
  </si>
  <si>
    <t>For schema with types A, B, and relations:
The above relations create Foreign Key restrictions in SQLite.
The order in which the tables are going to be synced is calculated by TopologicalOrdering think and that seem to work for relatively small amount of records.
If in AppSync.DynamoDB we have 10 10 10 items, then DataStore will manage at some point to sync everything.
But if we increase the amount to 100 then my app always crashes with Foreign Key Constraint Failure.
am not 100% sure but what can see the sync engine is trying to save type before all the necessary items are stored locally. Both SQLite tables have at the moment of the crash subset of the records in DynamoDB. And cannot see the related items in my DB which are needed to comply with the Foreign Key restriction. Maybe am missing something?
My next step would be to increase the default limit in the resolvers to make sure the sync engine fetches all the records for now or wait for the to be implemented.</t>
  </si>
  <si>
    <t>nextcloud-android-6070</t>
  </si>
  <si>
    <t>Crash just after pressing synchronise option on android client</t>
  </si>
  <si>
    <t>### Steps to reproduce
1. Don know if reproducable
2. After syncing or directories (which probably hadn finished) pressed sync on another directory and the client crashed immediately
### Expected behaviour
Tell us what should happen
### Actual behaviour
Tell us what happens
************ CAUSE OF ERROR ************
************ APP INFORMATION ************
Build flavor: gplay
************ DEVICE INFORMATION ************
************ FIRMWARE ************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t>
  </si>
  <si>
    <t>2020-05-13</t>
  </si>
  <si>
    <t>hzi-braunschweig-SORMAS-Project-2090</t>
  </si>
  <si>
    <t>Possibility of users directly updating from older versions to current versions</t>
  </si>
  <si>
    <t>### Problem Description
Currently, mobile app users are unable to directly update the SORMAS app from very old version to current version. Forinstance, users cant directly update from 1.37.0 to 1.40.0 without the app crashing.
We have situations whereby mobile users who havent used the app for sometime decide to activate their use. This means they have to uninstall whatever version is on their device, install the latest version and go through the long process of entering server urls, entering login details and synchronization
### Proposed Change
It would be great, if it were possible to have feature that makes it possible for mobile user who is already logged in on an old version, and hasnt used the app for quite sometime, to quickly update from that old version to the most current version and still remain logged in as long as his login details havent changed Chinedar foyiri MateStrysewskeSym
### Possible Alternatives
### Additional Information</t>
  </si>
  <si>
    <t>commons-app-apps-android-commons-3748</t>
  </si>
  <si>
    <t>App crashes when scrolling ITEMS in search activity</t>
  </si>
  <si>
    <t>App crashes when scrolling ITEMS in search activity.
**Steps to reproduce:**
1. Go to Explore
2. Search for rabbit then tap ITEMS
3. Tap an item from recycler view
4. Go back
5. Try to scroll any direction
**Device and Android version:**
Emulator API 29
**Commons app version:**
Latest master prodDebug
**Would you like to work on the issue?**</t>
  </si>
  <si>
    <t>TeamNewPipe-NewPipe-3582</t>
  </si>
  <si>
    <t>Notification Bug</t>
  </si>
  <si>
    <t>There is notification bug where the notification sound keeps ringing. The only way to turn off the notification sound is to either close Newpipe entirely or turn off notifications for Newpipe.
&lt;!-- The comments between these brackets won show up in the submitted issue (as you can see in the preview). --&gt;
&lt;!-- Which version are you using? Hopefully the latest! We just told you that above! --&gt;
Samsung S20 and S10
One UI 2.1
### Steps to reproduce the bug
don know how to reproduce the error. It just randomly appear as listen to music.
One time was listening to music which was connected to the car Bluetooth. Then made phone call. Then hung up. Then then notification sounds started.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</si>
  <si>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TeamNewPipe-NewPipe-3580</t>
  </si>
  <si>
    <t>Fix sending e-mail from crash reporter</t>
  </si>
  <si>
    <t>#### What is it?
Bug fix (user facing)
Feature (user facing)
Code base improvement (dev facing)
Meta improvement to the project (dev facing)
#### Description of the changes in your PR
#### Fixes the following issue(s)
carefully read the contribution guidelines (https: github.com TeamNewPipe NewPipe blob HEAD .github CONTRIBUTING.md) and agree to them.</t>
  </si>
  <si>
    <t>material-components-material-components-android-1297</t>
  </si>
  <si>
    <t>[Continuous Integration] Android API 24 - missing package</t>
  </si>
  <si>
    <t>The command sdkmanager system-images android-$EMULATOR API $ABI dev null failed and exited with during
**Expected behavior:** The CI should not error for this reason and run normally. On master, it should pass
**Source code:** Here is the specific command that creates the error:
sdkmanager system-images android-$EMULATOR API $ABI dev null
what actually crashes however is the $ABI environment variable (equal to google apis armeabi-v7a1)</t>
  </si>
  <si>
    <t>material-components-material-components-android-1295</t>
  </si>
  <si>
    <t>NPE In BottomSheetBehavior ViewDragHelper</t>
  </si>
  <si>
    <t>**Expected behavior:** Not to crash
**Android API version:** 8.1.0
**More Info:** From Android issue tracker (https: issues 156400385):
Looks like this is in https: github.com material-components blob master lib java com google android material bottomsheet which should be filed on https: github.com material-components issues
There already null check earlier in that method at https: github.com material-components blob master lib java com google android material bottomsheet so probably the same defensive check needs to be done everywhere viewDragHelper is used. Going to close this here please refile in the Github tracker.
V8 is the obfuscated name of ViewDragHelper, and is mTouchSlop
Fatal Exception: Attempt to read from field int V8.b on null object reference</t>
  </si>
  <si>
    <t>2020-05-12</t>
  </si>
  <si>
    <t>nextcloud-android-6055</t>
  </si>
  <si>
    <t>Android app crashing</t>
  </si>
  <si>
    <t>### Steps to reproduce
1. Set up automatic uploads for photos from Android
2. Photo library is total 10k files
3. Auto upload is now almost complete 400 remaining)
### Expected behaviour
### Actual behaviour
app stops responding frequently
also crashes frequently with this error:
************ CAUSE OF ERROR ************
Caused by: Caller no longer running, last stopped +18s964ms because: timed out while starting
************ APP INFORMATION ************
Build flavor: gplay
************ DEVICE INFORMATION ************
************ FIRMWARE ************
### Environment data
Device model: Pixel XL
Stock or customized system: stock
Nextcloud app version: 3.11.1
Nextcloud server version: 17.0.1
Reverse proxy: no</t>
  </si>
  <si>
    <t>nextcloud-talk-android-833</t>
  </si>
  <si>
    <t>9.0.0beta5: keeps crashing on Android 5.1</t>
  </si>
  <si>
    <t>Hi, the Android Talk app instantly crashes after launch and keeps crashing in the background (I had this problem with all the 9.0.0beta* releases, might be similar to #799, #800, #801). ve reported the crashes, do you need any more info?
Android 5.1 (SDK version 22)
Asus Z00VD (Zenphone Go ZC500TG)
(Btw, is my old Android version still supported, or should downgrade to the 8.0.* branch?)</t>
  </si>
  <si>
    <t>TeamNewPipe-NewPipe-3575</t>
  </si>
  <si>
    <t>Crash when quickly swiping away search suggestions</t>
  </si>
  <si>
    <t>Happens on at least v0.19.3 and dev, didn test other versions.
User Action: ui error
Request: App crash, UI failure
Content Language: nl NL
OS: Linux samsung a50eea a50:10 QP1A.190711.020 A505FNXXU4BTC9:user release-keys 10 29
log&lt; b&gt;&lt; summary&gt;&lt;p&gt;</t>
  </si>
  <si>
    <t>dimagi-commcare-android-2235</t>
  </si>
  <si>
    <t>Hide menu options when required permissions are missing</t>
  </si>
  <si>
    <t>Removes the options menu completely when we show the missing permissions fragment.
The options menu allows for offline installation, which would crash if user has declined storage permissions.</t>
  </si>
  <si>
    <t>OpenArchive-Save-app-android-213</t>
  </si>
  <si>
    <t>New build constantly crashing</t>
  </si>
  <si>
    <t>1. Download apk
2. Open Save
3. Enable Orbot
4. connect to GoodCloud oa.thegood.cloud
5. click add project
6. Browse Existing
7. Crashed report emailed to you
1. Download apk
2. Open Save
3. connect to GoodCloud oa.thegood.cloud
4. click add project
5. Browse Existing
6. 10 second blank screen then projects showed up
7. Add images
8. Uploading as expected but still from bottom of queue not top issue #202</t>
  </si>
  <si>
    <t>2020-05-11</t>
  </si>
  <si>
    <t>avluis-Hentoid-536</t>
  </si>
  <si>
    <t>Download crash on doujins.com</t>
  </si>
  <si>
    <t>Error log begin
Error log for abcdef 33153 doujins.com 23 errors</t>
  </si>
  <si>
    <t>noties-Markwon-245</t>
  </si>
  <si>
    <t>Weird glitch with Tables?</t>
  </si>
  <si>
    <t>**Markwon version**: 4.3.1
don know if this is mistake on my end, or is an actual problem, but this is what have.
Keep in mind encounter this rarely.
this is the markwon table trying to render:
Date Time Who What Link
18th June 7:30AM PST 2:30PM GMT Gradle (https: gradle.org Building Android apps with Gradle Link (https: reddit.com androiddev comments c22a31 were part of the gradle team ask us anything
20th June 9AM PST 4PM GMT Nerdery (https: www.nerdery.com Remote Android working Link (https: www.reddit.com androiddev comments c2vo8n were part of the nerdery team ask us anything
24th June 10AM PST 5PM GMT Hinge (https: hinge.co General Android development design Link (https: www.reddit.com androiddev comments c4pv9q were part of the hinge team ask us anything
25th June 1PM PST 8PM GMT Bugsnag (https: www.bugsnag.com Mobile crash reporting Link (https: www.reddit.com androiddev comments c5chdo were part of the bugsnag team ask us anything
1st August 12PM PST 7PM GMT Android Engineering Android Link (https: www.reddit.com androiddev comments ci4tdq were on the engineering team for android ask us
29th August 8:30AM PST 3:30PM GMT TomTom (https: www.tomtom.com) Android dev Link (https: www.reddit.com androiddev comments cx1xlt we are part of the maps apis sdk team for tomtom
This is my simple view:
and this is how it comes out:
tried removing everything extra, but keep getting this.
What could it be?
Thanks in advance.</t>
  </si>
  <si>
    <t>smartdevicelink-sdl_java_suite-1343</t>
  </si>
  <si>
    <t>Missing Foreground Permission causes fatal exception</t>
  </si>
  <si>
    <t>### Bug Report
If the router service attempts to start in the foreground without the manifest permission it will cause fatal exception that will crash the app.
##### Reproduction Steps
1. Create Test app without foreground permissions
2. Run application and connect to manticore
##### Expected Behavior
Observe Fatal exception
##### Observed Behavior
Application should not crash and should handle exception gracefully</t>
  </si>
  <si>
    <t>react-native-camera-react-native-camera-2832</t>
  </si>
  <si>
    <t>Huawei P 30 Pro crash recording video</t>
  </si>
  <si>
    <t>**To Do First**
Did you try latest release?
Did you try master?
Did you look for existing matching issues?
&lt;!--Comment in the related ones--&gt;
&lt;!--Please add the used versions branches or leave blank and comment in the optionals if used--&gt;
**Description Current Behaviour**
&lt;!--place your bug description below--&gt;
The app has been successfully tested on several devices like Pixel 4, XIAOMI Note Pro, Huawei 20 Pro 20, ... but in Huawei 30 Pro the video recording crash after few seconds with preview freeze
&lt;!--place screenshots suggestions and other additional infos below--&gt;</t>
  </si>
  <si>
    <t>material-components-material-components-android-1290</t>
  </si>
  <si>
    <t>[Slider] IllegalStateException validateValues</t>
  </si>
  <si>
    <t>As it states in the title it crashing randomly in few devices. can reproduce on all my 20 devices with different SDK and OEMs, but can see it on my console. have no clue how this is possible even after checking the source code of the component.
can see this crash in different apis, such as Android 10, and 8.1, though can see no correlation of being caused by the sdk version since there no pattern. don even know where this is crashing on my code to be honest, specially because can reproduce on my debug builds.
Any hint? More than happy to provide more information as it needed.</t>
  </si>
  <si>
    <t>commons-app-apps-android-commons-3743</t>
  </si>
  <si>
    <t>IndexOutOfBoundsException at SearchActivity, when editing item search string</t>
  </si>
  <si>
    <t>can reproduce it, but on the search screen for items got this crash immediately after typing new character at the end of word:
APP VERSION CODE 699
APP VERSION NAME 2.12.3.699
PHONE MODEL SM-G970F</t>
  </si>
  <si>
    <t>nextcloud-android-6043</t>
  </si>
  <si>
    <t>Upload loop (same files again and again)</t>
  </si>
  <si>
    <t>after update my NC Android client try to upload all my photos again and again, then it crashes.
have disabled auto upload, but app still want to upload all 5k files. have uninstalled app, deleted all data from internal storage and sdcard, but after new installation and login app again start uploading all files again,
### Steps to reproduce
1. Install app
3. upload started
### Expected behaviour
do not upload already uploaded files
### Actual behaviour
app upload same files again and again in loop
### Environment data
Device model: Samsuns S8
Stock or customized system: stock
Nextcloud app version: 3.11.1
Nextcloud server version: 18.0.3
Reverse proxy: nginx
************ CAUSE OF ERROR ************
************ DEVICE INFORMATION ************Brand: samsungDevice: dreamlteModel: SM-G950FId: dreamltexx
************ FIRMWARE ************SDK: 28Release: 9Incremental: G950FXXS8DTCB</t>
  </si>
  <si>
    <t>ankidroid-Anki-Android-6145</t>
  </si>
  <si>
    <t>Crash when exporting collection with time data while using SchedV2</t>
  </si>
  <si>
    <t>###### Reproduction Steps
1. Open AnkiDroid with two decks and several sub deck. Enable Scheduler V2
2. Try to export single deck with time data
3. Try to export whole collection without time data
4. Try to export whole collection while including time data
###### Expected Result
Trying to export single deck shows warning, that exporting single decks with time data is only supported with SchedV1.
When exporting the complete collection with time data, no such warning is shown, so expect it to be able to export the collection
###### Actual Result
Using SchedV2 the collection can be exported without the time data.
When the time data is selected for export, AnkiDroid crashes without further notice when trying to export the collection.
###### Debug info
AnkiDroid Version 2.10beta3
Android Version 10
have searched for similar existing issues here and on the user forum</t>
  </si>
  <si>
    <t>2020-05-10</t>
  </si>
  <si>
    <t>nextcloud-android-6039</t>
  </si>
  <si>
    <t>Crash in grid</t>
  </si>
  <si>
    <t>Then try to send file inside upload files.
it crash then change list to grid
### Steps to reproduce
Step 1: Log ind (Username and Password)
Step 2: Grant access
Step 3: Open default photo (Photos)
Step 4: Press the add button right bottom
Step 5: And Send files
Step 6: Now press the dots top right
Step 7: and press show Grid view
### Expected behaviour
Show grid view
### Actual behaviour
### Can you reproduce this problem on https: try.nextcloud.com?
Please create test demo account and see if this still happens there.
If yes, please open up bug report
If not, please verify server setup and ask for help on forum
### Environment data
Device model: umidigi power
Stock or customized system:</t>
  </si>
  <si>
    <t>TeamNewPipe-NewPipe-3561</t>
  </si>
  <si>
    <t>[0.19.3] App Crash returning from download screen to playlist view that ended</t>
  </si>
  <si>
    <t>User Action: ui error
Request: App crash, UI failure
Content Language: GB
OS: Linux Android 7.1.1 25
log&lt; b&gt;&lt; summary&gt;&lt;p&gt;
... 10 more
App crashed on return from download list.
Queued multiple files on pop-up player
Clicked notification to show playlist queue for pop-up player
Shared one item in list to newpipe to download
Clicked notification to show download list
Pop-up queue ends so drag pop-up player to to exit
Download finished so click back button to exit
Back tries to go back to Newpipe playlist view for pop-up player, which does not exist anymore since dragged pop-up to so it is now null hence the crash</t>
  </si>
  <si>
    <t>2020-05-09</t>
  </si>
  <si>
    <t>ankidroid-Anki-Android-6137</t>
  </si>
  <si>
    <t>Bug: Can't import many files with CJK filenames - filename too long</t>
  </si>
  <si>
    <t>Non-crash, but annoying
44 character Chinese filename gets expanded to 291 character URLEncoded filename which fails the import. Filename removed for user privacy.</t>
  </si>
  <si>
    <t>k9mail-k-9-4748</t>
  </si>
  <si>
    <t>Opening 'About' screen crashes on Android 5</t>
  </si>
  <si>
    <t>Tested with an API 21 emulator. The problem seems to be some value in the vector drawables res drawable-anydpi-v21 ic description light.xml and res drawable-anydpi-v21 ic description dark.xml
Caused by: Invalid float: -1.99.9</t>
  </si>
  <si>
    <t>nextcloud-android-6033</t>
  </si>
  <si>
    <t xml:space="preserve">App crashing </t>
  </si>
  <si>
    <t>************ CAUSE OF ERROR ************
Caused by: Caller no longer running, last stopped +3s632ms because: timed out while starting
************ APP INFORMATION ************
Build flavor: gplay
************ DEVICE INFORMATION ************
************ FIRMWARE ************</t>
  </si>
  <si>
    <t>UCI-Networking-Group-AntMonitor-4</t>
  </si>
  <si>
    <t>FATAL ERROR while updating the app to a modified version</t>
  </si>
  <si>
    <t>trying to enable CONTRIBUTION SECTIONS of AntMonitor, but when build and run the code, get an error. Tis is strange error because if run the app in one device it works, but if run it in another device, it doesn work and get this error. ve seen that maybe change the DATABASE VERSION could be solution, tried it and the error doesn appear but the app is still crashing.
Error Code (SQLITE ERROR)
**Caused By SQL(query) error or missing database.
(no such column: action (code 1): while compiling: SELECT id, appname, label, pii, search enabled, action, is custom FROM TABLE FILTERS WHERE appname is null AND label ?)**</t>
  </si>
  <si>
    <t>nextcloud-android-6032</t>
  </si>
  <si>
    <t>Nextcloud constantly crashing after microSD card change</t>
  </si>
  <si>
    <t>### Steps to reproduce
Shut down phone, replace microSD card, restart phone.
### Expected behaviour
App should still be working normaly
### Actual behaviour
App started to constantly crash every Minutes
### Can you reproduce this problem on https: try.nextcloud.com?
Couldn reproduce it due to hw dependency.
Apparently nextcloud disliked that changed my microSD card (128GB-&gt;256).
After restarting the phone with new microSD card it stated to upload roughly 4000 images which have on my nextcloud instance and which aren on my phone anymore. While trying to figure out what was going wrong the app became even more laggy then it was normally till it finally crashed.
tried to re-open nextcloud but it got stuck everytime in the login window. used androids kill application but it seems to either continue in the background or restart itself. Either way, since the first crash now receiving that crash message every Minutes.
And another info, guess might have chosen in the nextcloud app settings, that it should store stuff on the microSD card.
Practically just used the auto-upload function for camera photos. Since this app doesn support true two-way sync using another app for webdav synchronisation. But they shouldn interfer since they shouldn interfere since they work on different folders and my sync app was even turned off before changing the microSD card.
After restarting tried to remove the admin account from the app in order to reduce the possible damage by this errors. For some reason that started the crash-loop again, wasn able to remove the admin account for my cloud. didn spent time on trying which other features would also result in such crashes and just removed this app since it seems like it is not the right tool for me.
thought the error message could still be useful for you, ll try to answer questions which might come up.
************ CAUSE OF ERROR ************
Caused by: Caller no longer running, last stopped +18s336ms because: timed out while starting
************ APP INFORMATION ************
Build flavor: gplay
************ DEVICE INFORMATION ************</t>
  </si>
  <si>
    <t>nextcloud-android-6031</t>
  </si>
  <si>
    <t>Nextcloud andriod app keeps crashing</t>
  </si>
  <si>
    <t>don understand what is the problem, cleared out the cache in the app and did cold restart on the phone. It was working for about 10 minutes using the auto upload feature. Then this happened... The server is working fine and can use the server.. this is LAN setup for testing before go over WAN... Please help me understand why or what is happening so maybe we all can resolve it for others who suffer the same fate.
************ CAUSE OF ERROR ************
************ APP INFORMATION ************
Build flavor: gplay
************ DEVICE INFORMATION ************
************ FIRMWARE ************
###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t>
  </si>
  <si>
    <t>iNPUTmice-Conversations-3707</t>
  </si>
  <si>
    <t>Catch Native Link Error</t>
  </si>
  <si>
    <t>When using the APK for wrong platform Conversations will crash trying to init WebRTC We can and should catch that Exception and display Application Error instead.</t>
  </si>
  <si>
    <t>2020-05-08</t>
  </si>
  <si>
    <t>covid-diagnostics-covid-mobile-android-83</t>
  </si>
  <si>
    <t>App crashes when the internet is unstable</t>
  </si>
  <si>
    <t>used wifi and it switch in the middle of server call and crashed</t>
  </si>
  <si>
    <t>wallabag-android-app-970</t>
  </si>
  <si>
    <t>SQLiteException</t>
  </si>
  <si>
    <t>new crash report for 2.4.0-beta.1 on Android 9:
Most likely related to https: github.com wallabag android-app commit</t>
  </si>
  <si>
    <t>prebid-prebid-mobile-android-191</t>
  </si>
  <si>
    <t>IllegalAccessError when NativeAsset's subclass is accessed from Kotlin class</t>
  </si>
  <si>
    <t>**Describe the bug**
Possibly the issue connected to https: 2544
Create empty Java and Kotlin applications with just that native ad unit integration from Prebid docs. Java works fine, Kotlin crashes.
No crash happens.
Place in code:
OS: MacOS 10.15.14
Device: Android Emulator Nexus 5X
OS: Android API 29
Can be temporary fixed by moving native ad unit initialisation to Java class.</t>
  </si>
  <si>
    <t>nextcloud-android-6028</t>
  </si>
  <si>
    <t>Android app crash when syncing folder</t>
  </si>
  <si>
    <t>### Steps to reproduce
1. Open Android app
2. Click sync on one foldee
************ CAUSE OF ERROR ************
### Expected behaviour
Folder should sync, this has worked perfectly fine before
### Actual behaviour
App crashes with above log
### Can you reproduce this problem on https: try.nextcloud.com?
Untested, will do so on-demand
### Environment data
Android version: 10 (SDK 29)
Stock or customized system: Stock
Nextcloud app version:
Build flavor: gplay
Nextcloud server version: 18.0.3 (Docker, Apache version)
Reverse proxy: Traefik -&gt; Apache</t>
  </si>
  <si>
    <t>k9mail-k-9-4738</t>
  </si>
  <si>
    <t>Crash with v5.711</t>
  </si>
  <si>
    <t>### Actual behavior
K9 crashed on startup.
### Steps to reproduce
K-9 Mail version: v5.711
All previous pre-release versions before 5.711 were running fine.
Android version: 7.1.2 (LOS 14.1)
--------- beginning of crash</t>
  </si>
  <si>
    <t>nextcloud-android-6024</t>
  </si>
  <si>
    <t>NC-app crashes when opening foto folder</t>
  </si>
  <si>
    <t>### Steps to reproduce
1. Login into NC app
2. click into foto folder and
3. wait till all fotos in are loaded
4. after while app crashes
### Expected behaviour
show list of all fotos contained in foto folder
### Actual behaviour
************ CAUSE OF ERROR ************
************ APP INFORMATION ************
Build flavor: generic
************ DEVICE INFORMATION ************
************ FIRMWARE ************
### Environment data
Android version: see coredump
Device model: SGS7 (see coredump)
Stock or customized system: stock
Nextcloud app version: 3.11.1
Nextcloud server version: 18.04
#### Nextcloud log (data nextcloud.log)</t>
  </si>
  <si>
    <t>trojan-gfw-igniter-217</t>
  </si>
  <si>
    <t>crash about server list [0.9.4-beta]</t>
  </si>
  <si>
    <t>Today, 9:03 AM on app version 210000904
Redmi Redmi K20 Pro (raphael), 5632MB RAM, Android 10</t>
  </si>
  <si>
    <t>TeamNewPipe-NewPipe-3550</t>
  </si>
  <si>
    <t>Audio/Video desync</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</si>
  <si>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NewPipe 0.19.3 (Autoupdate version)
Xiaomi Mi Lite, Android 10, MIUI 11.0.2
### Steps to reproduce the bug
1. Open any video... tested with different videos from different channels, all of them with this issue.
&lt;!-- If you can cause the bug to show up again reliably (and hence don have proper set of steps to give us), please still try to give as many details as possible on how you think you encountered the bug. --&gt;
### Expected behavior
The video plays normally, with the audio in sync (Tested today with 0.19.2).
### Actual behaviour
The video plays normally, but looking carefully, the video and audio began to go out of sync slowly (with video first). In 10-15 minutes the sync is between half second and second, but in 3-5 minutes it is very noticiable.
If you choose any other resolution, move the scroll time, rewind or forward, the video and audio come again in sync, and it began slowly to lost sync again.
This happens with 0.19.3, uninstall and installed 0.19.2, and this is not happening with that version.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(I will need to post at least 10 minutes video play, but can post it if needed)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(It not crash, If can log something, tell me)</t>
  </si>
  <si>
    <t>2020-05-07</t>
  </si>
  <si>
    <t>smarteist-Android-Image-Slider-130</t>
  </si>
  <si>
    <t>Crash zoom-out with 1.3.6 version</t>
  </si>
  <si>
    <t>After update to 1.3.6 version and using false as second params in adapter, during zoom out have this crash:</t>
  </si>
  <si>
    <t>hzi-braunschweig-SORMAS-Project-2010</t>
  </si>
  <si>
    <t>Mobile app crashes when trying to convert a contact without a source case to a new case</t>
  </si>
  <si>
    <t>ElderDrivers-EdXposed-533</t>
  </si>
  <si>
    <t>[BUG] zygote64 crashes on Android 10</t>
  </si>
  <si>
    <t>** What happened?**
am trying to use Riru EdXposed on Genymotion Android 10.0 x86 64 device, but there seems to be bug in the x86 64 version of libriru edxposed.so loading.
zygote64 crashes when riru EdXposed module is loaded.
will try to investigate EdXposed code on my side but would like to know if you have any hint on what is happening.
The same libraries are working without any issue on Android 9.0 x86 64.
**Xposed Xposed Module List**
nothing for now
**Magisk Magisk Module List**
not used, manually installed.
**EdXposed Riru Versions of EdXposed and Riru**
** Logcat Logcat**</t>
  </si>
  <si>
    <t>nextcloud-android-6020</t>
  </si>
  <si>
    <t>2. Click on folder
3.menu Sync this folder
The folder is syncing
************ CAUSE OF ERROR ************
************ APP INFORMATION ************
Build flavor: gplay
************ DEVICE INFORMATION ************
************ FIRMWARE ************</t>
  </si>
  <si>
    <t>Arnab-Banerjee-Kolkata-Vote_Online_App-11</t>
  </si>
  <si>
    <t>app crash fix reqd</t>
  </si>
  <si>
    <t>fix https: stackoverflow.com 36666266</t>
  </si>
  <si>
    <t>nextcloud-talk-android-819</t>
  </si>
  <si>
    <t>beta4 crashes on call leave</t>
  </si>
  <si>
    <t>start audio or video call an leave it</t>
  </si>
  <si>
    <t>iNPUTmice-Conversations-3701</t>
  </si>
  <si>
    <t>Dismiss 'Incoming (video) call' notification on crash</t>
  </si>
  <si>
    <t>If the application crashes the Incoming call notification will continue to ring and annoy the user. Our exception handler should attempt to dismiss the notification.
(Also verify that this is actually happening)</t>
  </si>
  <si>
    <t>2020-05-06</t>
  </si>
  <si>
    <t>Inversion-NL-Toon-Android-18</t>
  </si>
  <si>
    <t>App crashes on certain devices</t>
  </si>
  <si>
    <t>**Describe the bug**
clear and concise description of what the bug is.
FATAL EXCEPTION: main
Caused by: Only fullscreen opaque activities can request orientation
Steps to reproduce the behavior:
1. Start the app for the first time
**App version (please complete the following information):**
App version 0.5.9
**Smartphone (please complete the following information):**
Device: Samsung devices mostly
Android Version: 9.0</t>
  </si>
  <si>
    <t>nextcloud-android-6004</t>
  </si>
  <si>
    <t>Constant app crashes when Syncing (&gt;6k) WhatsAPP Pictures</t>
  </si>
  <si>
    <t>### Steps to reproduce
1. autosync WhatsApp Pictures with &gt;6000 pictures inside
2. nextcloud app responds very slowly during the sync, you will get the app has stopped responding warning **LOT**
3. nextcloud app crashes (crash log below) constantly and has to be restarted over and over again to eventually finish the sync
This only happens when the folder to sync has several thousand files inside.
Syncing folders with less than 2000 pictures videos works fine.
### Expected behaviour
App must not crash, even when syncing several thousand files
### Actual behaviour
app crashes constantly and has to be restarted many times to eventually get everything synced
### Environment data
Android version: 10
Device model: OnePlus 6T, but the same issue occurs on Sony Experia XZ2, Xiaomi Mi A2 and Samsung Galaxy S7
Stock or customized system: stock
Nextcloud app version: 3.11.1
Nextcloud server version: 18.0.4 NX20 hosted by www.hetzner.de, but had the exact same issue with self hosted instance of nextcloud which is why tried hosted instance hoping that this would fix the issue)
Crash Log from nextcloud Android App
**** CAUSE OF ERROR ****
Caused by: Caller no longer running, last stopped +11s207ms because: timed out while starting
**** APP INFORMATION ****</t>
  </si>
  <si>
    <t>2020-05-05</t>
  </si>
  <si>
    <t>TeamNewPipe-NewPipe-3527</t>
  </si>
  <si>
    <t>0.19.3 channel loading issue spotted (might be multiple of them)</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</si>
  <si>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channel that has premiere of video scheulded
1. Go to someordinarygamers channel
&lt;!-- If you can cause the bug to show up again reliably (and hence don have proper set of steps to give us), please still try to give as many details as possible on how you think you encountered the bug. --&gt;
### Expected behavior
&lt;!-- Tell us what you expect to happen. --&gt; should load the channel without fuss
### Actual behaviour
&lt;!-- Tell us what happens instead. --&gt;
Loads and gives error info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</si>
  <si>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2020-05-04</t>
  </si>
  <si>
    <t>material-components-material-components-android-1273</t>
  </si>
  <si>
    <t>[MaterialButton] Material Component Invalid Drawable Tag Vector</t>
  </si>
  <si>
    <t>When use android:drawable* on an XML drawable my application crash on API 21, when use android:icon with the same XML drawable the application doesn crash.
MaterialButton displaying the image on top without crashing.
**Android API version:** 19
**Material Library version:** Material Android Library version you are using here (e.g., 1.1.0-alpha07)
dataBinding enabled true
def navigationVersion 2.2.2
def materialVersion 1.2.0-alpha06
def retrofitVersion 2.8.1
def coroutinesVersion 1.3.4
def moshiVersion 1.9.2
def roomVersion 2.2.5
implementation fileTree(dir: libs include: *.jar
exclude group: glide-parent
Don update this version handle APK 21
annotationProcessor For Kotlin use kapt instead of annotationProcessor</t>
  </si>
  <si>
    <t>commons-app-apps-android-commons-3725</t>
  </si>
  <si>
    <t>App crashes with failed to initialise OKHTTP client in pre-21 devices</t>
  </si>
  <si>
    <t>App crashes with failed to initialize OKHTTP client in pre-LoliPop devices
**Steps to reproduce:**
How can we reproduce the issue?
Open the app in 19 devices
Caused by: Expected Android API level 21+ but was 19
**Device and Android version:**
ANDROID VERSION 4.4.2
PHONE MODEL GT-N5110
**Commons app version:**</t>
  </si>
  <si>
    <t>android-tv-samples-29</t>
  </si>
  <si>
    <t>MusicConsumptionExampleFragment crash in Oreo</t>
  </si>
  <si>
    <t>The sample application crashes at launch upon selecting</t>
  </si>
  <si>
    <t>TeamNewPipe-NewPipe-3524</t>
  </si>
  <si>
    <t>0.19.3 instant crash</t>
  </si>
  <si>
    <t>User Action: ui error
Request: App crash, UI failure
Content Language: en GB
OS: Linux motorola channel reteu channel:9 PPY29.105-134 e13ed:user release-keys 28
1. set the language to polish
(havent tested other languages yet)
2. try to load whats new page
log&lt; b&gt;&lt; summary&gt;&lt;p&gt;</t>
  </si>
  <si>
    <t>gnalberski-GNv1-11</t>
  </si>
  <si>
    <t>[GN] [Main Menu] Crash when User taps 'List of robots' button.</t>
  </si>
  <si>
    <t>Application crash when User taps List of robots button.
1. Launch app
2. Tap List of robots button -&gt; crash</t>
  </si>
  <si>
    <t>2020-05-03</t>
  </si>
  <si>
    <t>nextcloud-android-5999</t>
  </si>
  <si>
    <t>App crashed while uploading usually on large uploads.
************ CAUSE OF ERROR ************
Caused by: Caller no longer running, last stopped +1s454ms because: timed out while starting
************ APP INFORMATION ************
Build flavor: gplay
************ DEVICE INFORMATION ************
************ FIRMWARE ************</t>
  </si>
  <si>
    <t>forrestguice-SuntimesWidget-408</t>
  </si>
  <si>
    <t>NullPointerException when refreshing location</t>
  </si>
  <si>
    <t>1. Settings -&gt; User Interface -&gt; Show Moon .. uncheck this option
2. Set Location -&gt; Current (last known) -&gt; update
The app crashes with the following exception:
This is also the same bug..
1. Settings -&gt; User Interface -&gt; Show Moon .. uncheck this option
2. Open the app at 11:59 PM and wait minute
The app will crash at midnight with the following exception:
This one is similar but different (same root cause)..
1. Settings -&gt; General -&gt; Data Source -&gt; sunrisesunsetlib
2. Settings -&gt; User Interface -&gt; Show Moon .. verify checked
3. Settings -&gt; User Interface -&gt; Show Solstice Equinox .. uncheck
4. Set Location -&gt; Current (last known) -&gt; update
The app crashes with the following exception:
These exceptions were introduced in v0.12.0 during refactor to RecyclerView.</t>
  </si>
  <si>
    <t>Tencent-QMUI_Android-910</t>
  </si>
  <si>
    <t>打开页面快速滑动返回会出现Crash（2.0.0-alpha08）</t>
  </si>
  <si>
    <t>QMUI Android 2.0.0.alpha08
--------- beginning of crash</t>
  </si>
  <si>
    <t>2020-05-02</t>
  </si>
  <si>
    <t>vehiloco-crypto-checker-4</t>
  </si>
  <si>
    <t>Crash when running with wigle-wifi-wardriving.</t>
  </si>
  <si>
    <t>If use Checker Framework 3.3.0, it will crash when running with (https: github.com xwt-benchmarks
Travis log: https: travis-ci.org github vehiloco crypto-checker jobs 671024587</t>
  </si>
  <si>
    <t>GoogleCloudPlatform-fda-mystudies-315</t>
  </si>
  <si>
    <t xml:space="preserve">iOS app crashes when trying to navigate to prev/next month on trends </t>
  </si>
  <si>
    <t>this happened on brand new installation with no data</t>
  </si>
  <si>
    <t>nextcloud-android-5995</t>
  </si>
  <si>
    <t>Crash when autouploading</t>
  </si>
  <si>
    <t>### Steps to reproduce
1. Set large folder to auto upload
2. See the app crash continuosly
### Expected behaviour
The folder should fully upload
### Actual behaviour
The app has been crashing for days and the amount of conflicts keeps increasing too, which makes the crashing worse
************ CAUSE OF ERROR ************
************ APP INFORMATION ************
Build flavor: gplay
************ DEVICE INFORMATION ************
************ FIRMWARE ************</t>
  </si>
  <si>
    <t>2020-05-01</t>
  </si>
  <si>
    <t>TeamNewPipe-NewPipe-3512</t>
  </si>
  <si>
    <t>Too Much Recaptcha</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</si>
  <si>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Do anything that interacts with YouTube
Do anything that interacts with YouTube
&lt;!-- If you can cause the bug to show up again reliably (and hence don have proper set of steps to give us), please still try to give as many details as possible on how you think you encountered the bug. --&gt;
### Expected behavior
&lt;!-- Tell us what you expect to happen. --&gt;
expect to be able to watch videos and view channels and refresh feeds etc
### Actual behaviour
&lt;!-- Tell us what happens instead. --&gt;
get shown Recaptcha but once doing it nothing happens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
It didn crash or break or recognise bug so have no logs</t>
  </si>
  <si>
    <t>doublesymmetry-react-native-track-player-924</t>
  </si>
  <si>
    <t>Crash when in the url there is no streaming content</t>
  </si>
  <si>
    <t>**Describe the bug**
The app crashes when put an url that has no streaming content (like www.google.com) in IOS on release. If use an invalid url like hello it doesnt happen
Use the code and run the app on release mode on IOS
**Environment (please complete the following information):**
OS: macOS 10.15.3
CPU: (8) x64 Intel(R) Core(TM) i7-4870HQ CPU 2.50GHz
Memory: 786.83 MB 16.00 GB
Shell: 5.7.1 bin zsh
Watchman: 4.9.0 usr local bin watchman
CocoaPods: 1.9.1 usr local bin pod
Platforms: iOS 13.4, DriverKit 19.0, macOS 10.15, tvOS 13.4, watchOS 6.2
Android NDK: 21.1.6352462
Android Studio: 3.6
Xcode: 11.4.1 11E503a usr bin xcodebuild
Java: javac 12 usr bin javac
Python: 2.7.16 usr bin python
cli: Not Found
react: 16.11.0 16.11.0
react-native: 0.62.2 0.62.2
*react-native*: Not Found</t>
  </si>
  <si>
    <t>2020-04-30</t>
  </si>
  <si>
    <t>ElderDrivers-EdXposed-526</t>
  </si>
  <si>
    <t>[BUG] Invalid monitor state ForwardingAddress</t>
  </si>
  <si>
    <t>** What happened?**
These crashes occur quite often in random packages apps.
The stack trace seem pretty much useless but they do have one thing in common:
The app wanted to access one of its resources stored in its apk (like strings, layouts,...) and failed
Fatal signal (SIGABRT), code -6 (SI TKILL) in tid 2838 (Binder:2732 1), pid 2732
*** *** *** *** *** *** *** *** *** *** *** *** *** *** *** ***
Build fingerprint: samsung kltexx klte:6.0.1 MMB29M G900FXXU1CRH1:user release-keys
signal (SIGABRT), code -6 (SI TKILL), fault addr --------
Abort message: monitor.cc:1120 Invalid monitor state ForwardingAddress
r0 00000000 r1 00000b16 r2 00000006 r3 00000008
r4 00000aac r5 00000b16 r6 8900a1b4 r7 0000010c
r8 00000002 r9 00000000 r10 cfffffff r11 a36f28a8
ip 00000041 sp 8900a1a0 lr a5273125 pc a526ae4a
**Xposed Xposed Module List**
**Magisk Magisk Module List**
riru edxposed sandhook
**EdXposed Riru Versions of EdXposed and Riru**
** Logcat Logcat**</t>
  </si>
  <si>
    <t>iNPUTmice-Conversations-3682</t>
  </si>
  <si>
    <t>App crashes on tablet when audio calling</t>
  </si>
  <si>
    <t>#### General information
**Device:** Samsung Tab 2016 SM T580
**Android Version:** Android (LineageOS)
**Server name:** jabber.de
**Conversations source:** PlayStore
#### Steps to reproduce
when calling via the app on tablets, the completely crashes and closes. the app crashes when the called party accepts the call. Video calls work without problems. Calling also works on mobile phones (with LineageOS). has any other similar problems?
would also like to be able to switch the calls to speakers. an associated button is of course also missing. would also find it good if call sign could be heard for the caller, now all you have to do is look at the display to see if the call has already been answered.
know that the function is only new, there may be bug or two</t>
  </si>
  <si>
    <t>2020-04-29</t>
  </si>
  <si>
    <t>morenoh149-react-native-contacts-516</t>
  </si>
  <si>
    <t>Contacts.getAll() crashes Android app when permissions are not granted</t>
  </si>
  <si>
    <t>If permissions are not granted, the callback should be called, with the error field being non-null undefined.
err should be defined
App crashes completely. React Native does not even have the chance to catch the error.
let status await CONTACTS)
console.log( status status)
async function contactsGetAll(): Promise&lt;Contact
return new Promise((res, rej)
console.log( err err)
if (err) rej(err)
Check permissions before calling Contacts.getAll()
let status await CONTACTS)
if (status denied status never ask again
throw Error( Permissions not granted to access Contacts</t>
  </si>
  <si>
    <t>ankidroid-Anki-Android-6089</t>
  </si>
  <si>
    <t>Crash when clicking on deck options</t>
  </si>
  <si>
    <t>###### Reproduction Steps
1. Press and hold on deck.
2. Click on Options
###### Expected Result
Should go to the options menu for that deck. have couple of decks that do not exhibit this behaviour and they are in the same options group.
###### Actual Result
The program crashes.
###### Debug info
AnkiDroid Version 2.9.6
Android Version 6.0.1
*Enter an character to confirm the points below:*
have searched for similar existing issues here and on the user forum</t>
  </si>
  <si>
    <t>TeamNewPipe-NewPipe-3499</t>
  </si>
  <si>
    <t>Download crashes at 99.93%</t>
  </si>
  <si>
    <t>This happens when start the download and leave the app in the background. When go to see the download it stuck. so need to pause and start again so it ends.</t>
  </si>
  <si>
    <t>2020-04-28</t>
  </si>
  <si>
    <t>google-ExoPlayer-7306</t>
  </si>
  <si>
    <t>Not allowed to start service, app is in background</t>
  </si>
  <si>
    <t>### REQUIRED Issue description
When disable foreground service, DownloadService restarting will trigger since app is in background, invoking startService is not permitted.
### REQUIRED Reproduction steps
There is downloads in queue because of network requirement is not met
app is in background
network requirement is met
restartService() trigger crash
### REQUIRED Link to test content
### full bug report captured from the device
### REQUIRED Version of ExoPlayer being used
### REQUIRED Device(s) and version(s) of Android being used
Can you wrap restartService() code in (https: github.com google ExoPlayer blob release-v2 library core src main java com google android exoplayer2 offline with catching to prevent from crash, like below:
private void restartService()
Intent intent getIntent(context, serviceClass, RESTART)
The service is background only. Use ACTION INIT rather than ACTION RESTART because
ACTION RESTART is handled as though KEY FOREGROUND is set to true.
Intent intent getIntent(context, serviceClass, INIT)
The process is classed as idle by the platform. Starting background service is not
allowed in this state.
Log.w(TAG, Failed to restart DownloadService (process is idle).</t>
  </si>
  <si>
    <t>hzi-braunschweig-SORMAS-Project-1931</t>
  </si>
  <si>
    <t>Events entered without LGA, crashes the disease slideshow on dashboard</t>
  </si>
  <si>
    <t>### Bug Description
Users are able to enter Events on Nigerian server without inputing LGA which is required field.
### Steps to Reproduce
### Expected Behavior
This should not be possible.
### System Details
Android version Browser:
### Additional Information</t>
  </si>
  <si>
    <t>dev-labs-bg-fullscreen-video-view-71</t>
  </si>
  <si>
    <t>App Crash on Pre Android 10</t>
  </si>
  <si>
    <t>There is method named used in VideoControllerView This method is available only in Android 10 and the app is crashing on versions below Android 10. Need to use</t>
  </si>
  <si>
    <t>aws-aws-iot-device-sdk-java-v2-53</t>
  </si>
  <si>
    <t>Crash in AWS IoT Device SDK</t>
  </si>
  <si>
    <t>Confirm by changing to below to ensure that it bug:
ve searched for previous similar issues (https: github.com aws issues) and didn find any solution
**Describe the bug**
am using aws-iot-device-sdk to communicate with AWS IoT Core. met some crash problem while sending the MQTT message to AWS IoT Core quickly repeatably. Please refer to the steps below:
STEP1 make MQTT message in Java client program.
STEP2 send MQTT message repeatably using aws-iot-device-sdk Java version.
STEP3 The crash appears in my client program. (The crash timing is random but could reproduce this issue easily)
**SDK version number**
https: github.com aws
**Platform OS Hardware Device**
OS: Windows 10
Device: Java Sample Application in aws-iot-device-sdk
**To Reproduce (observed behavior)**
Steps to reproduce the behavior (please share code)
1. Just run the sample application of aws-iot-device-sdk
2. Send MQTT message quickly repeatably. (100 messages per second)
We ve used the sample below:
while (count++ messagesToPublish)
published MqttMessage(topic, QualityOfService.AT LEAST ONCE, false)
It should be run without any problem.</t>
  </si>
  <si>
    <t>GoogleCloudPlatform-fda-mystudies-252</t>
  </si>
  <si>
    <t>Mobile app crashes when it fails to retrieve resource</t>
  </si>
  <si>
    <t>On iOS, when the mobile app attempts to retrieve study resource, but that resource is unavailable on the server, the mobile app crashes to the home screen. In this particular situation, the app was attempting to retrieve PDF. This was not tested for app-level resources, but the issue likely exists there as well. This was not tested on Android.</t>
  </si>
  <si>
    <t>andrzejchm-RESTMock-111</t>
  </si>
  <si>
    <t>Upgrading to OkHttp 4.5.0</t>
  </si>
  <si>
    <t>ve upgraded my app to OkHttp 4.5.0 and am no longer able to run RestMock tests. The app crashes with this error:</t>
  </si>
  <si>
    <t>2020-04-27</t>
  </si>
  <si>
    <t>OneBusAway-onebusaway-android-1037</t>
  </si>
  <si>
    <t>Google Maps SDK causing widespread crashes</t>
  </si>
  <si>
    <t>Late last week Google pushed an update to file used by the Maps SDK in all Android and iOS apps that caused widespread crashes. The issue is here:
If user opened an app while this bad file was live, they are stuck in crash loop. If the user didn open the app while the bad file was live, they should be ok.
Google is working release for Google Play Services to fix, but in the mean-time they are suggesting all developers push out workaround update to their apps
Here the latest advice:
We can tell each user to manually do this:
&gt;* Clear the affected app data (not just the cache), or uninstall then reinstall the affected app(s).
Or we can push the following code fix:
SharedPreferences google bug 154855417 Context.MODE PRIVATE)
if fixed ))
File corruptedZoomTables new File(getFilesDir(), ZoomTables.data
File new File(getFilesDir(),
catch (Exception e)
**Steps to reproduce:**
Start the app while the bad Google Play Services file was live, and keep trying to restart the app
App is in crash loop if opened when bad file was live
**Device and Android version:**</t>
  </si>
  <si>
    <t>material-components-material-components-android-1251</t>
  </si>
  <si>
    <t>[catalog-demo] Bottom sheet crashes on api level 17</t>
  </si>
  <si>
    <t>1. Open catalog demo -&gt; Bottom Sheet -&gt; Vertically scrollable content demo
2. Got crash on Android 4.2
**Android API version:** 17
**Material Library version:** 1.2.0-alpha06</t>
  </si>
  <si>
    <t>k9mail-k-9-4697</t>
  </si>
  <si>
    <t>Delete account crash</t>
  </si>
  <si>
    <t>on current master
&lt;img width 961 alt image src https: 3314607
and after delete an account run into this
&lt;img width 869 alt image src https: 3314607
Now can start app again, but selection an account run into next crash
&lt;img width 829 alt image src https: 3314607</t>
  </si>
  <si>
    <t>2020-04-26</t>
  </si>
  <si>
    <t>zhanghai-AndroidFastScroll-18</t>
  </si>
  <si>
    <t>FixItemDecorationRecyclerView crashes in runtime</t>
  </si>
  <si>
    <t>If you try to use this will definitely crash with ClassCastException in runtime.
As you can see in the source code:
protected void dispatchDraw( NonNull Canvas canvas)
for (int 0, count count ++i)
FixItemDecoration decor (FixItemDecoration)
for (int 0, count count ++i)
FixItemDecoration decor (FixItemDecoration)
public void addItemDecoration( NonNull ItemDecoration decor, int index)
public ItemDecoration index)
You wrap ItemDecorations into FixItemDecoration (see addItemDecoration method) and then you cast it in such way FixItemDecoration decor (FixItemDecoration) (see dispatchDraw method)
Please fix this.</t>
  </si>
  <si>
    <t>GoogleChrome-android-browser-helper-89</t>
  </si>
  <si>
    <t>Crash on start: Non-browser selected</t>
  </si>
  <si>
    <t>**Describe the bug**
While the default system browser (where any link opens by default) is set to an actual browser (Brave, also tried setting to Chrome), for some reason an app that is not browser and does not appear in the system browser selection (Revolut) is selected as TWA provider which causes crash on start.
Launching the app on my phone in debug mode returns these logs before the app crashes:
The app should not crash
**Smartphone (please complete the following information):**
OS: Android on newest patch (April 2020)
Browser: Brave Browser
Originally posted at https: github.com GoogleChromeLabs bubblewrap issues 143</t>
  </si>
  <si>
    <t>MrCatDog-JustCalc-3</t>
  </si>
  <si>
    <t>Dot button drops the app.</t>
  </si>
  <si>
    <t>Misuse of dot button like 3.5. (double dot in number) or .+3 (dot without number) leads to crash.
Parser should be reworked.
MrCatDog do your work or you would be fired!</t>
  </si>
  <si>
    <t>2020-04-25</t>
  </si>
  <si>
    <t>TeamNewPipe-NewPipe-3484</t>
  </si>
  <si>
    <t>Could not play this stream</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</si>
  <si>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Play any videos
(might be hard to reproduce)
&lt;!-- If you can cause the bug to show up again reliably (and hence don have proper set of steps to give us), please still try to give as many details as possible on how you think you encountered the bug. --&gt;
### Expected behavior
To play video without random errors
### Actual behaviour
Could not play this stream appear randomly even it is cached and connection is fine and fast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</si>
  <si>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cyclestreets-android-368</t>
  </si>
  <si>
    <t>NPE: fatal crash in some circumstances when pressing Back</t>
  </si>
  <si>
    <t>Note that this is unrelated to #364 (or the fix for it).
This has been seen as crash scenario in the Play console ve figured out how to reproduce it myself.
Use the Nav menu to go:
Then press Back couple of times, it crashes.
Stack trace is:
Looks like in certain pathways the Fragment Activity is null.</t>
  </si>
  <si>
    <t>material-components-material-components-android-1245</t>
  </si>
  <si>
    <t>[BottomAppBar] setting elevation crashes in version 1.1.0 stable material libraray android</t>
  </si>
  <si>
    <t>--------- beginning of crash
... 28 more
**Expected behavior:** it should not crash obviously
**Source code:** &lt;?xml version 1.0 encoding utf-8 ?&gt;
&lt;include layout layout layout toolbar landing
**Android API version:** 28
**Material Library version:** Material Android Library version you are using here (e.g., 1.1.0 stable)
To help us triage faster, please check to make sure you are using the latest version (https: github.com material-components releases) of the library.
We also happily accept pull requests (https: github.com material-components pulls).</t>
  </si>
  <si>
    <t>NordicSemiconductor-Android-BLE-Library-188</t>
  </si>
  <si>
    <t>Crash in BleManager.onDeviceReady (BleManager.java:2215)</t>
  </si>
  <si>
    <t>With v2.1.1, got crash once on Samsung Galaxy S9 (Android 10) because mBluetoothGatt was null
protected void onDeviceReady()
This looks like race condition between the main thread runnable and close() method.</t>
  </si>
  <si>
    <t>nextcloud-android-5936</t>
  </si>
  <si>
    <t>Android crashed</t>
  </si>
  <si>
    <t>### Steps to reproduce
1. open app
2. upload some files
3. look at settings
### Expected behaviour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 APP INFORMATION ************
Build flavor: gplay</t>
  </si>
  <si>
    <t>marksuth-indigenous-android-362</t>
  </si>
  <si>
    <t>Back button on trip crashes the app</t>
  </si>
  <si>
    <t>Use the back button on the device itself as workaround for now.</t>
  </si>
  <si>
    <t>2020-04-24</t>
  </si>
  <si>
    <t>commons-app-apps-android-commons-3706</t>
  </si>
  <si>
    <t>Crash when trying to upload from camera or gallery</t>
  </si>
  <si>
    <t>&lt;s&gt;When access to gallery permission is not given and attempted to upload from gallery, experienced this crash:&lt; s&gt;
It crashes from both gallery and camera wheneverI try to upload
--------- beginning of crash</t>
  </si>
  <si>
    <t>commons-app-apps-android-commons-3705</t>
  </si>
  <si>
    <t>Crash when viewing pic I just uploaded</t>
  </si>
  <si>
    <t>Latest macgills (most probably also happens on latest master).
Maybe not reproducible.
Upload image (with depiction and no categories)
Details activity loads, then crashes
APP VERSION CODE 561
APP VERSION NAME
PHONE MODEL SM-G970F
IS SILENT false</t>
  </si>
  <si>
    <t>nextcloud-android-5928</t>
  </si>
  <si>
    <t>Repeating crash in background</t>
  </si>
  <si>
    <t>### Steps to reproduce
1. Unfortunately, it has been simply crashing periodically when running in the background. will attempt to gather more useful feedback.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</si>
  <si>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cgeo-cgeo-8241</t>
  </si>
  <si>
    <t>Google maps crashing</t>
  </si>
  <si>
    <t>Quite lot of reports on all support channels, that c:geo crashes when opening the live map with GMaps.
Some users additionally reported, that also the native Google Maps app crashes on start, which makes me think its not our problem.
can reproduce, but lets monitor this.
Seems to be bug on side of Google Maps, according to their issue tracker: https: issues 154855417
You may want to set c:geo to use OpenStreetMap (OSM) until that fixed see Settings Map Select Map Source OSM: Map</t>
  </si>
  <si>
    <t>2020-04-23</t>
  </si>
  <si>
    <t>karimassi-balelec-bud-136</t>
  </si>
  <si>
    <t>Fix app crashing when trying to display the unknown location of a friend</t>
  </si>
  <si>
    <t>nextcloud-android-5926</t>
  </si>
  <si>
    <t>App crashes when opening folder that contains subfolder with many files</t>
  </si>
  <si>
    <t>### Steps to reproduce
This is what think happened. haven had the chance to try to reliably reproduce yet, but if someone wants me to, could give it try. Anyway, here goes:
1. Create folder foo and subfolder bar inside it
1. Create huge number of files (4700+ in my case, doesn have to be done on Android) in bar
1. Open foo and bar in the Android app so it cached.
1. On another device (or in the web GUI), create new subfolder in foo called baz and move bar into baz
1. Open foo in the Android app again, and it crashes.
************ CAUSE OF ERROR ************
************ APP INFORMATION ************
Build flavor: gplay
************ DEVICE INFORMATION ************
************ FIRMWARE ************
### Expected behaviour
The app shouldn crash.
### Actual behaviour
The app crashes over and over again when opening the foo folder.
### Environment data
Android version: 10
Device model: OnePlus Pro
Stock or customized system: stock</t>
  </si>
  <si>
    <t>Fitbit-bitgatt-25</t>
  </si>
  <si>
    <t>Feature/update upstream</t>
  </si>
  <si>
    <t>Fixes crash from the system and exposes it to the consumer
Removes test code from other build types than debug</t>
  </si>
  <si>
    <t>TeamNewPipe-NewPipe-3473</t>
  </si>
  <si>
    <t>no valid zip file when trying to import old setup</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</si>
  <si>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settings
2. import previous new pipe set up
3. select the file from your phone
&lt;!-- If you can cause the bug to show up again reliably (and hence don have proper set of steps to give us), please still try to give as many details as possible on how you think you encountered the bug. --&gt;
### Expected behavior
&lt;!-- Tell us what you expect to happen. --&gt;
for me to have all of my music back so can keep all of my play lists and my watch history
### Actual behaviour
&lt;!-- Tell us what happens instead. --&gt;
get told no valid zip file everytime try to import the setup and my playlists stay the same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</si>
  <si>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nextcloud-android-5914</t>
  </si>
  <si>
    <t>************ CAUSE OF ERROR ************
************ APP INFORMATION ************
Build flavor: gplay
************ DEVICE INFORMATION ************
************ FIRMWARE ************
Steps to reproduce
1. Open nextcloud app on tablet
2. Choose folder
3. Click sync and after sometime it shows the error above.
### Expected behaviour
no errors. Due to large number of files can really tell if the files were actually synced.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t>
  </si>
  <si>
    <t>2020-04-22</t>
  </si>
  <si>
    <t>nextcloud-android-5913</t>
  </si>
  <si>
    <t>Next Nextcloud crash</t>
  </si>
  <si>
    <t>### Steps to reproduce
1. Mind your own business watching YouTube
2. Notice the broadcast is interrupted by Nextcloud app which opened itself by itself only to tell you it has closed itself.
### Expected behaviour
YouTube is watched independently of background apps.
### Actual behaviour
Broadcast is interrupted to display Nextcloud crash information.
### Can you reproduce this problem on https: try.nextcloud.com?
Please create test demo account and see if this still happens there.
If yes, please open up bug report
If not, please verify server setup and ask for help on forum
### Environment data
Android version: 10
Device model: Google Pixel
Stock or customized system: stock
Nextcloud app version: 3.11.1 RC
Nextcloud server version: 18.0.3
#### Web server error log
Insert your webserver log here
#### Nextcloud log (data nextcloud.log)</t>
  </si>
  <si>
    <t>google-ExoPlayer-7278</t>
  </si>
  <si>
    <t>How to correctly remove PlayerMessage?</t>
  </si>
  <si>
    <t>### Searched documentation and description of the problem
developing an app where let user listen to some audio content. My content is built with and provided to the user as playlist. There are advertisements baked into my content, HLS files. In the response from the API have information when exactly the ad begins, when user reached middle of the ad and the end of the ad. would like to be able to send send data to the API in those points in timeline. have checked all of the possible options in library like AdsMediaSource ClippingMediaSource and nothing matches my requirement as well as PlayerMessage It lets me set points in my media files and be notified when user reached one.
using following methods to set time when message should be sent:
SECONDS TO MILLISECONDS
From what observed, PlayerMessage is assigned to windowIndex (media on my playlist) and it great, because when for example add message to 4th windowIndex then remove 3rd item and starting playing next one (the on that have message assigned), the message is delivered.
User can remove items in playlist and add them again. So ideally it would be to react on Timeline change and remove all of the messages and add it again, to make 100% sure that those are added in correct points of timeline.
My problem is that when trying cancel current messages:
and then adding them again in current positions, getting following error:
The error is not exactly related to what doing, but is always happening when deleting MediaSource from the playlist that had PlayerMessage and adding it again and trying to add its PlayerMessage
From what can see in the crash report it says Index: 14, Size: so it seems like the messages were removed from the list, but it somehow tries to iterate through them with higher index than the number of the items currently on the list.
My question is: is it correct use case of the PlayerMessage Maybe there is better tool for this use case? Ideally it would be if could add the points to MediaSource directly and be notified when user reached one, but didn find way to do that.
It not abusing PlayerMessage then why getting an error when trying to add them more?</t>
  </si>
  <si>
    <t>TeamNewPipe-NewPipe-3469</t>
  </si>
  <si>
    <t>Error when searching on SoundCloud</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</si>
  <si>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Select SoundCloud before mainscreen loads
try searching something and error will show up
you can search before loading mainscreen by slowing your internet
&lt;!-- If you can cause the bug to show up again reliably (and hence don have proper set of steps to give us), please still try to give as many details as possible on how you think you encountered the bug. --&gt;
### Expected behavior
&lt;!-- Tell us what you expect to happen. --&gt;
it should show up your searched songs
### Actual behaviour
&lt;!-- Tell us what happens instead. --&gt;
it shows error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</si>
  <si>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TeamNewPipe-NewPipe-3468</t>
  </si>
  <si>
    <t>0.19.2</t>
  </si>
  <si>
    <t>nextcloud-android-5911</t>
  </si>
  <si>
    <t>nextcloud app crashed during upload</t>
  </si>
  <si>
    <t>### Steps to reproduce
1. upload mutliple files automatically
2. If it starts uploading, open the NC App
************ CAUSE OF ERROR ************
************ APP INFORMATION ************
Build flavor: gplay
************ DEVICE INFORMATION ************
************ FIRMWARE ************</t>
  </si>
  <si>
    <t>2020-04-21</t>
  </si>
  <si>
    <t>BogdanDinescu-EventiFind-13</t>
  </si>
  <si>
    <t>Stergere eveniment</t>
  </si>
  <si>
    <t>Cand stergi un eveniment, acesta figureaza in continuare ca joined la cei care au dat join. Aceasta poate cauza crash atunci cand utilizatorul vrea sa vada evenimentele la care dat join. In plus ca raman date redundante in baza de date.</t>
  </si>
  <si>
    <t>google-ExoPlayer-7273</t>
  </si>
  <si>
    <t>ExoPlayer Looper.myLooper() internal crash on dev-2 branch with DASH Live stream WV L3</t>
  </si>
  <si>
    <t>### REQUIRED Issue description
Regarding an already filed issue (https: github.com google ExoPlayer issues 6348) what is happening also with the streams and devices we are working with, we have done some testing with the **dev-2** branch (checked out on 12 of April 2020). It turned out that the playback of live stream is not starting. Looking into the logs the issue was identified in SampleQueue.java function onFormatResult line 800.
The crash was because the assertion have failed for Looper.myLooper().
Replacing it with didn crash and playback works nicely.
### REQUIRED Reproduction steps
This is an application what we develop for one of our clients.
There are Live DASH streams with protected with WideVine L3.
### REQUIRED Link to test content
test stream and additional will be shared separately in an e-mail.
### REQUIRED full bug report captured from the device
### REQUIRED Version of ExoPlayer being used
ExoPlayerLib 2.11.4 from **dev-2** branch, checked out on 18 of April 2020.
### REQUIRED Device(s) and version(s) of Android being used
Samsung Galaxy S10 with Android 10.
Crash happened in 100%</t>
  </si>
  <si>
    <t>SubhamTyagi-android-ocr-4</t>
  </si>
  <si>
    <t>app gets crashed every time</t>
  </si>
  <si>
    <t>Please help what am doing wrong</t>
  </si>
  <si>
    <t>fiskaly-fiskaly-sdk-java-2</t>
  </si>
  <si>
    <t>Random segmentation faults</t>
  </si>
  <si>
    <t>This happens constantly when running with OpenJDK 11 and less often but still occasionally when using OpenJDK 8:
fatal error has been detected by the Java Runtime Environment:
SIGSEGV (0xb) at pc 0x00007fc2303f47d8, pid 2233, tid 2260
JRE version: OpenJDK Runtime Environment (11.0.6+10) (build
Java VM: OpenJDK 64-Bit Server VM mixed mode, sharing, tiered, compressed oops, g1 gc, linux-amd64)
405 c2 java.base 11.0.6 (49 bytes) 0x00007fc2303f47d8
When remove from ClientLibrary.java it seems to run stable without JVM crashes.
Please let me know if you need further information such as the JVM error report file.</t>
  </si>
  <si>
    <t>material-components-material-components-android-1229</t>
  </si>
  <si>
    <t>[MaterialAlertDialogBuilder] MaterialAlertDialogBuilder crashes because of Theme</t>
  </si>
  <si>
    <t>**Expected behavior:** shouldn crash
positive btn label, null)
negative btn label, null)
&lt;item name style item&gt;
**Android API version:** 29
To help us triage faster, please check to make sure you are using the latest version (https: github.com material-components releases) of the library.
We also happily accept pull requests (https: github.com material-components pulls).</t>
  </si>
  <si>
    <t>SubhamTyagi-Last-Launcher-55</t>
  </si>
  <si>
    <t>Backup button makes a crash on android 6</t>
  </si>
  <si>
    <t>dear devs the backup button makes crash on android 6, can you fix it all just give me some advice on that.
Originally posted by wyfhust in https: github.com SubhamTyagi Last-Launcher issues</t>
  </si>
  <si>
    <t>2020-04-20</t>
  </si>
  <si>
    <t>jaychenblue-scout-concordia-290</t>
  </si>
  <si>
    <t>Fix for the app crash on map click immediately after application launch</t>
  </si>
  <si>
    <t>Fixes the app crash on map click immediately after application launch.
try catch block to handle nullable exceptions as some resources being set are still at the time of the event as the event to assign them some value has not yet occured.</t>
  </si>
  <si>
    <t>2020-04-19</t>
  </si>
  <si>
    <t>jaychenblue-scout-concordia-287</t>
  </si>
  <si>
    <t>D-9 App crash when clicking on map immediately after launch</t>
  </si>
  <si>
    <t>**Related to issue**:
**Reported by**: Manpreet Sohal
**API Version**: API 28
Application crashes after click on map when application is first launched.
**Steps to reproduce**:
1. Launch the application
2. Click anywhere on the map
Application should handle the click appropriately is to where the on click event happens and should not crash regardless of where the click occurs and whether any event should occur or not.</t>
  </si>
  <si>
    <t>nextcloud-android-5901</t>
  </si>
  <si>
    <t>Constant crashes in the background</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</si>
  <si>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
************ CAUSE OF ERROR ************
Caused by: Caller no longer running, last stopped +32s353ms because: cancelled due to doze
************ APP INFORMATION ************</t>
  </si>
  <si>
    <t>skynet-im-skynet-android-27</t>
  </si>
  <si>
    <t>Bugfixes</t>
  </si>
  <si>
    <t>Again, multiple bugfixes and enhancements:
An old sporadic internal RecyclerView crash
Improve message state reliability by rewriting packet awaiter
Some minor improvements</t>
  </si>
  <si>
    <t>WenXiaowei-Stalker_App-29</t>
  </si>
  <si>
    <t>l'app crasha se si fa un refresh delle organizzazioni mentre ci sono tracciamenti attivi.</t>
  </si>
  <si>
    <t>2020-04-18</t>
  </si>
  <si>
    <t>cgeo-cgeo-8226</t>
  </si>
  <si>
    <t>android.os.BadParcelableException in cgeo.geocaching.maps.routing</t>
  </si>
  <si>
    <t>Reported as new crash with 2020.04.15-RC on Google Play.
Several devices running Android or 10.</t>
  </si>
  <si>
    <t>TeamNewPipe-NewPipe-3452</t>
  </si>
  <si>
    <t>App makes invalid crash JSON</t>
  </si>
  <si>
    <t>App spits out an invalid JSON structure when exception is sent automatically by email, e.g. this
This is how it is look like in Outlook.com (outlook.com)
Annotation 2020-04-18 095159 (https: 6388034
cannot validate in neither in your formatter (https: nor in other other online validators</t>
  </si>
  <si>
    <t>TeamNewPipe-NewPipe-3451</t>
  </si>
  <si>
    <t xml:space="preserve">Can't some play videos at 720/ 480p </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</si>
  <si>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https: youtu.be 7q12 f3UM9g
2. Select the 480p Quality from either the Downoad or Play Option
&lt;!-- If you can cause the bug to show up again reliably (and hence don have proper set of steps to give us), please still try to give as many details as possible on how you think you encountered the bug. --&gt;
### Expected behavior
&lt;!-- Tell us what you expect to happen. --&gt;
the video should be playing in 480p
### Actual behaviour
&lt;!-- Tell us what happens instead. --&gt;
the video isnt playing in 480p but im getting black loading screen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</si>
  <si>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TeamNewPipe-NewPipe-3447</t>
  </si>
  <si>
    <t>UI crash when resuming the about activity</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</si>
  <si>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Open the app
2. Select about from the hamburger menu
3. (Maybe not necessery) scroll down bit
4. Open resource heavy app (like snapchat) so it pauses the NewPipe activity
5. Re-open the NewPipe app
&lt;!-- If you can cause the bug to show up again reliably (and hence don have proper set of steps to give us), please still try to give as many details as possible on how you think you encountered the bug. --&gt;
### Expected behavior
&lt;!-- Tell us what you expect to happen. --&gt;
Resume the about activity app or redirect to the home activity.
### Actual behaviour
&lt;!-- Tell us what happens instead. --&gt;</t>
  </si>
  <si>
    <t>2020-04-16</t>
  </si>
  <si>
    <t>NordicSemiconductor-Android-DFU-Library-229</t>
  </si>
  <si>
    <t>NegativeArraySizeException crash in SecureDfuImpl.java</t>
  </si>
  <si>
    <t>**DFU Bootloader version (please complete the following information):**
SDK version: SDK 15.3
Bonding used: no
Library version: 1.10.1
**Device information (please complete the following information):**
Device: Xiaomi Mi A3
**Describe the bug**
Ran into negative array size exception crash while performing series of DFU operations, one after the other. This doesn happen all the time, but we run into it few times while upgrading hundreds of devices
am using the DFU library in an application that upgrades series of nRF52832 based devices. The app picks one badge at time, moves it into DFU mode and then starts DFU operation. The mechanism for moving the badge to DFU mode is proprietary and doesn use the standard buttonless service. The app does *not* establish its own GATT connection before handing off to the DFU operation.
Fatal Exception: -16117760</t>
  </si>
  <si>
    <t>nextcloud-android-5891</t>
  </si>
  <si>
    <t>UploadsStorageManager: Couldn't read row 1872, col 1 from CursorWindow.</t>
  </si>
  <si>
    <t>### Steps to reproduce
1. Open the app
### Actual behaviour
The app crashes
### Environment data
Device model: OnePlus 6T
Stock or customized system: Stock
Nextcloud app version: 30110090
Nextcloud server version: 18.0.3
Reverse proxy: nginx
************ CAUSE OF ERROR ************
************ APP INFORMATION ************
Build flavor: generic
************ DEVICE INFORMATION ************
************ FIRMWARE ************</t>
  </si>
  <si>
    <t>nextcloud-android-5889</t>
  </si>
  <si>
    <t>App ist suddenly crashing when running in background</t>
  </si>
  <si>
    <t>************ CAUSE OF ERROR ************
************ APP INFORMATION ************
Build flavor: gplay
************ DEVICE INFORMATION ************
************ FIRMWARE ************
### Steps to reproduce
Unknown the Nextcloud app is just running in the background and when switch my Screen on see the crash message...
### Expected behaviour
no crash should happen
### Environment data
Stock or customized system:
Nextcloud app version:
Nextcloud server version:</t>
  </si>
  <si>
    <t>commons-app-apps-android-commons-3663</t>
  </si>
  <si>
    <t>App crashes due to network issue</t>
  </si>
  <si>
    <t>Studies have shown that mobile apps are prone to crashes due to network issue, mainly because successful network calls return unexpected or no data. And we found that when the field of the app(version 243) network return data (JSON format) is null or the network request fails (status code is 404), the app has crashed. the specific crash information is as follows:
No suitable parent found from the given view. Please provide valid view.
... 18 more</t>
  </si>
  <si>
    <t>martykan-forecastie-466</t>
  </si>
  <si>
    <t>Studies have shown that mobile apps are prone to crashes due to network issue, mainly because successful network calls return unexpected or no data. And we found that when this app (version 21) network returned data is null or empty(JSON format), the app has crashed. the specific crash information is as follows:
Unable to start activity ComponentInfo Attempt to invoke virtual method java.lang.String on null object reference
Caused by: Attempt to invoke virtual method java.lang.String on null object reference</t>
  </si>
  <si>
    <t>nextcloud-android-5882</t>
  </si>
  <si>
    <t>Enabling auto-upload on Camera folder crashes app with ANR</t>
  </si>
  <si>
    <t>### Steps to reproduce
1. have decently sized camera folder
2. go to Auto upload
3. toggle camera folder (cloud icon)
### Expected behaviour
setting toggles, folder is enabled for auto upload
### Actual behaviour
Application freezes, ANR follows shortly after
### Environment data
Android version: 10
Device model: OnePlus 6T
Stock or customized system: stock
Nextcloud app version: master
Nextcloud server version: not relevant
Inside this if massinve database on main thread occurs:
This won work. We need to move this massive to background thread. For the time being, propose we don enable upload of existing files by default.</t>
  </si>
  <si>
    <t>2020-04-15</t>
  </si>
  <si>
    <t>GoogleChrome-android-browser-helper-86</t>
  </si>
  <si>
    <t>Links from Gmail mobile app are opening in micro-browser or crashing</t>
  </si>
  <si>
    <t>**Describe the bug**
After recent update to last stable version of we started to observe bug across many devices that caused crashes or improper behavior that happens when people are opening specific links on the up-to-date Gmail mobile Android app. It is problem only concerning this mobile mail client, it doesn appear on Outlook mobile or other clients there links are opening properly as TWA.
Steps to reproduce the behavior:
1. Receive an e-mail on Gmail mobile app that contains link to TWA-bundled app
2. Click on that link
3. Either website will be opened in Chrome micro-browser or it will crash at that point, it won open it as TWA
When TWA app is installed on device, such links should always open as existing or new TWA instance.
**Did this ever used to work**
Earlier versions and Gmail mobile client app.
**Smartphone (please complete the following information):**
Device: OnePlus Pro
OS: Android 10
Browsers Installed: Chrome
Browser Versions: latest
library version: latest stable
Gmail Android client app version: latest stable</t>
  </si>
  <si>
    <t>jaychenblue-scout-concordia-266</t>
  </si>
  <si>
    <t>D-7 Program crashes when getting directions if the searchMarker is never specified.</t>
  </si>
  <si>
    <t>**Related to issue**: #27
**Reported by**: Vincent Cerri
**API Version**: API 29
**Steps to reproduce**:
1. Open the application
2. Click the search bar and type an indoor location e.g H-205
3. Search for destination e.g H-110
**Expected results**: Directions should be displayed from the starting location to the destination.
**Actual results**: Crash</t>
  </si>
  <si>
    <t>nextcloud-android-5878</t>
  </si>
  <si>
    <t>Adding AutoUpload folders causes Android app to be unresponsive and crash on reopening</t>
  </si>
  <si>
    <t>oliexdev-openScale-570</t>
  </si>
  <si>
    <t>Fetching measurements from Sanitas SBF70 suddenly throws an error</t>
  </si>
  <si>
    <t>**Describe the bug**
do step on my Sanitas SBF70 here an then accumulate some measurements before fire up openScale pro to fetch the recent ones. Last time it worked flawlessly was on March, 27th 2020.
Today wanted to fetch the past measures (maybe to 4, not sure). My settings are that the scale is not connected automatically when open the app. tap manually on the Bluetooth icon and usually the scale is seen, connected and recent data is fetched without issues, but not so today.
Steps to reproduce the behavior:
1. Tap on Bluetooth icon to connect to scale
2. As soon as the bubble Connection established (I run my version in German language where it says Verbindung hergestellt shows up the app crashes and the helpless bug screen is shown
3. This can be reproduced everytime now (a restart of the phone or turning off Bluetooth doesn change the behavior)
4. haven had this problem before
Reproduced with latest dev version (https: github.com oliexdev openScale releases tag travis-dev-build): no
Normal fetching of stored past measurements as it worked flawlessly before.
Error details captured from bug screen:
Build version: 2.2.0-pro
Attach debug log (see Settings -&gt; About -&gt; Save debug log to file) that is captured while reproducing the issue.
Because the app crashes to the bug screen don see much meaningful data in the saved debug log from above procedure. Attached copy here anyway but removed personal data from it.</t>
  </si>
  <si>
    <t>TeamNewPipe-NewPipe-3439</t>
  </si>
  <si>
    <t>Fails to load some results in what's new screen</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</si>
  <si>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what new
2. Press on refresh (refresh button)
says couldn load result (with snackbar to report the problem)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 Logs converted through NPE to Markdown converter)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</si>
  <si>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nextcloud-android-5869</t>
  </si>
  <si>
    <t>NextCloud Android App Crash</t>
  </si>
  <si>
    <t>am creating this at the behest the app after it crashed.
simply rebooted my phone, and tried to start NextCloud. The app wouldn start, then showed me this crash report. This was also the first time restarted my phone since installing the app. Also, since this error occurred, have been unable to start NextCloud and my phone has become extremely sluggish and unresponsive.
Let me know if can provide any other info.
************ CAUSE OF ERROR ************
Caused by: Caller no longer running, last stopped +14s12ms because: timed out while starting
************ APP INFORMATION ************
Build flavor: gplay
************ DEVICE INFORMATION ************
************ FIRMWARE ************</t>
  </si>
  <si>
    <t>2020-04-14</t>
  </si>
  <si>
    <t>google-ExoPlayer-7234</t>
  </si>
  <si>
    <t>MediaSessionConnector.PlaybackPreparer parameter is not properly annotated with @Nullable</t>
  </si>
  <si>
    <t>parameter extras is not annotated with Nullable.
This forces kotlin to override nonnull parameter.
As tested, this will crash on api level 19 and 21: Parameter specified as non-null is null: method parameter extras</t>
  </si>
  <si>
    <t>ElderDrivers-EdXposed-512</t>
  </si>
  <si>
    <t>[BUG] OnePlus 6T Chrome based apps crash with any module enabled.</t>
  </si>
  <si>
    <t>** What happened?**
When enabling any module in edXposed it causes any chrome based application to crash, this happenes in both versions
**Xposed Xposed Module List**
**Magisk Magisk Module List**
**EdXposed Riru Versions of EdXposed and Riru**</t>
  </si>
  <si>
    <t>material-components-material-components-android-1207</t>
  </si>
  <si>
    <t xml:space="preserve">[TextInputLayout] Material design is not working for hint /background selectors </t>
  </si>
  <si>
    <t>was using Material design 1.1.0
For tabs with viewpager2 updated it to 1.2.0-alpha05 Material library version it was working fine for single module but was crashing for another module where ve developed my custom material designed TextInputLayout. changed theme from to and crash fixed. After fixing crash and upgrading theme it is showing me white floating label buttons indiators etc.
old file had conflict with material while using AppCompact with parent after updating to 1.2.0-alpha05 it was resolved but style background is not working now.
&lt;!-- your app branding color for the app bar --&gt;
&lt;item name colorPrimary color white&lt; item&gt;
&lt;!-- darker variant for the status bar and contextual app bars --&gt;
&lt;item name colorPrimaryDark color colorPrimary New&lt; item&gt;
&lt;!-- theme UI controls like checkboxes and text fields also known as secondary color --&gt;
&lt;item name colorAccent color a465661&lt; item&gt;
&lt;style name AppTheme parent
&lt;!-- Customize your theme here. --&gt;
&lt;item name colorPrimary color white&lt; item&gt;
&lt;item name colorPrimaryDark color green&lt; item&gt;
&lt;item name colorAccent color a465661&lt; item&gt;
&lt;style name parent
&lt;item name boxStrokeColor color border stroke grey&lt; item&gt;
&lt;item name android:textColor color black&lt; item&gt;
&lt;item name android:textStyle &gt;normal&lt; item&gt;
&lt;item name errorTextAppearance style error label&lt; item&gt;
&lt;item name style item&gt;</t>
  </si>
  <si>
    <t>2020-04-13</t>
  </si>
  <si>
    <t>dimagi-commcare-android-2219</t>
  </si>
  <si>
    <t>Fabric debug crash - The Crashlytics build ID is missing</t>
  </si>
  <si>
    <t>updating fabric https: github.com dimagi commcare-android pull 2214) broke the debug builds for me with crash on application startup
This was only hapening on debug builds and not release due to fabric not properly shutting down fabric based on</t>
  </si>
  <si>
    <t>Blankj-AndroidUtilCode-1223</t>
  </si>
  <si>
    <t>[BUG] 1.28.x 汇总</t>
  </si>
  <si>
    <t>1.27.x BUG 1.28.x
1.28.0 https: github.com Blankj AndroidUtilCode releases tag 1.28.0
ImageUtils getBitmap(final InputStream is, final int maxWidth, final int maxHeight) OOM (https: github.com Blankj AndroidUtilCode issues 1225)
topActivity TransActivity (https: github.com Blankj AndroidUtilCode issues 1207)
String dirPath, Comparator&lt;File&gt; comparator) comparator
UriUtils#uri2File Unknown URI BUG
TransActivity SDK 21 BUG
tinker tinker Utils#init
(https: github.com Blankj AndroidUtilCode issues 1234)
NPE (https: github.com Blankj AndroidUtilCode issues 1244)
support isNewTask (https: github.com Blankj AndroidUtilCode issues 1239)
Publish bus plugin v2.6. Publish api plugin v1.4.
BusUtils#postSticky tag post bug
AndroidUtilCode utilcode:1.28.0 utilcodex:1.28.0
Bug Nexus 5X
Android API 27
put your code here
put the stack of crash here</t>
  </si>
  <si>
    <t>2020-04-12</t>
  </si>
  <si>
    <t>material-components-material-components-android-1204</t>
  </si>
  <si>
    <t>[MaterialAlertDialogBuilder] Creating MaterialAlertDialogBuilder crashes with ThemeEnforcement when using webview</t>
  </si>
  <si>
    <t>Weirdly enough, there are conditions for it:
1. Web view in Activity view or fragment.
2. Using wrapper for resources in Like:
override fun getResources(): Resources
class AppResources(res: Resources) res.displayMetrics, res.configuration)
**Android API version:** 8.1 (it doesn crash in 10 or R)
**Material Library version:** 1.2.0-alpha05</t>
  </si>
  <si>
    <t>nextcloud-android-5856</t>
  </si>
  <si>
    <t>crash when resolving image conflict</t>
  </si>
  <si>
    <t>************ CAUSE OF ERROR ************
Caused by: Caller no longer running, last stopped +10s288ms because: timed out while starting
************ APP INFORMATION ************
Build flavor: generic
************ DEVICE INFORMATION ************
************ FIRMWARE ************</t>
  </si>
  <si>
    <t>nextcloud-android-5855</t>
  </si>
  <si>
    <t>nextcloud-android-5854</t>
  </si>
  <si>
    <t>### Steps to reproduce
1. Once at morning Nextcloud client started for endless asking my pin. Then at the back arrow got the crash report being shared.
3. Please find the logs from the crash report:
************ CAUSE OF ERROR ************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t>
  </si>
  <si>
    <t>aws-amplify-amplify-android-377</t>
  </si>
  <si>
    <t>ApiException: Could not retrieve the response body from the returned JSON</t>
  </si>
  <si>
    <t>When my computer is connected to the network, but doesn have accessibility to the internet, the following Amplify error crashes the application.
Caused by: Connection closed by peer</t>
  </si>
  <si>
    <t>2020-04-11</t>
  </si>
  <si>
    <t>CoronaTeam-CoronaGame-109</t>
  </si>
  <si>
    <t>[CRASH] Status screen crashes when clicking refresh</t>
  </si>
  <si>
    <t>**Steps to reproduce:**
Navigate to status screen from MainActivity, click on Refresh.</t>
  </si>
  <si>
    <t>nextcloud-android-5849</t>
  </si>
  <si>
    <t>android client crash when open local markdown file</t>
  </si>
  <si>
    <t>### Steps to reproduce
1. modify markdown file outside the app
2. open the app and locate the file
3. the app show an error flag on the file
4. open the file in the app
### Expected behaviour
Tell us what should happen
************ CAUSE OF ERROR ************
... 11 more
************ APP INFORMATION ************
Build flavor: versionDev
************ DEVICE INFORMATION ************
************ FIRMWARE ************</t>
  </si>
  <si>
    <t>AthulKrishna14310-inlens_official-59</t>
  </si>
  <si>
    <t>Main Activity crash issue</t>
  </si>
  <si>
    <t>2020-04-10</t>
  </si>
  <si>
    <t>commons-app-apps-android-commons-3639</t>
  </si>
  <si>
    <t>[2.13-release] Crash when trying to upload images</t>
  </si>
  <si>
    <t>face the following crash whenever try to upload picture using the app build from the 2.13-release branch pointing at
**Steps to reproduce:**
1. Build an app from the 2.13-release branch
2. Open the app
3. Tap on the button
4. Choose the Gallery or Camera option
5. Complete the action for the corresponding action
6. Observe the crash
**Device and Android version:**
Samsung SM-J111F Android 5.1.1
**Commons app version:**</t>
  </si>
  <si>
    <t>TeamNewPipe-NewPipe-3411</t>
  </si>
  <si>
    <t>Feed fragment crash when reloading multiple times</t>
  </si>
  <si>
    <t>0.19.1 on F-Droid
0.19.2 on GitHub
### Steps to reproduce the bug
Hitting multiple times the refresh button in the new feed fragment leads to this crash mauriciocolli
This bug was sent to me by user.
User Action: ui error
Request: App crash, UI failure
Content Language: IN
OS: Linux realme RMX1971 RMX1971:10 QKQ1.190918.001 1579185288:user release-keys 10 29
log&lt; b&gt;&lt; summary&gt;&lt;p&gt;</t>
  </si>
  <si>
    <t>nextcloud-android-5843</t>
  </si>
  <si>
    <t>Android client crashed</t>
  </si>
  <si>
    <t>### Steps to reproduce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 CAUSE OF ERROR ************
Caused by: Trying to execute remote operation with NULL Context
************ APP INFORMATION ************
Build flavor: gplay</t>
  </si>
  <si>
    <t>Concordia-Campus-Guide-Concordia-Campus-Guide-272</t>
  </si>
  <si>
    <t>Null Pointer Exception on ZoomInLocation in LocationFragment</t>
  </si>
  <si>
    <t>**Describe the bug**
clear and concise description of what the bug is.
When toggling the French translation button, the application crashes due to NPE
**User Story Reference (Optional)**
#158 Since the French translation button triggers the main activity to be recreated, the map may not always be loaded right away. Therefore, at the moment of the zoom in, it would require null check.
Steps to reproduce the behavior:
Tap on the French translation toggle button
clear and concise description of what you expected to happen.
When French translation button is toggle, the application should not crash
&lt;img width 1178 alt Screen Shot 2020-04-09 at 12 40 38 PM src https: 32281531</t>
  </si>
  <si>
    <t>2020-04-09</t>
  </si>
  <si>
    <t>ElderDrivers-EdXposed-508</t>
  </si>
  <si>
    <t xml:space="preserve">[BUG] Amazon Fire HD 10 - Fire OS maverick - null pointer reference on Magisk hiding </t>
  </si>
  <si>
    <t>Installed Magisk 20.4 MagiskManager 7.5
Have temporary root with mtk-su based on this topic https: showpost.php?p 82081703&amp;postcount 1001
After adding Riru-Core riru edxposed sandooh modules on magisk boot it freezes. Only reboot helps
**Xposed Module List**
**Magisk Magisk Module List**
Riru EdXposed SandHook
**EdXposed Riru Versions of EdXposed and Riru**
** Logcat Logcat**
--------- beginning of crash</t>
  </si>
  <si>
    <t>react-native-camera-react-native-camera-2780</t>
  </si>
  <si>
    <t>Android Camera1 race condition crash</t>
  </si>
  <si>
    <t>**To Do First**
Did you try latest release?
Did you try master?
Did you look for existing matching issues?
&lt;!--Comment in the related ones--&gt;
&lt;!--Please add the used versions branches or leave blank and comment in the optionals if used--&gt;
**Description Current Behaviour**
&lt;!--place your bug description below--&gt;
Looks like if the camera is unmounted stopped at the same time capture event happens, race condition can trigger the following crash:
Camera is being used after Camera.release() was called
&lt;!--place your expected behaviour below--&gt;
**Steps to Reproduce**
&lt;!--describe how to produce the error below--&gt;
Could not directly reproduce the issue myself since it comes from race condition, but if we review the code, the race condition is quite obvious.
Possible fix: Add synchronized null checks on the take picture callback. Our camera object should be null after being stopped as long was use the synchronized block.
sibelius what do you think about this? will be working on the crash fix shortly since we ve been receiving few crashes from this in the past week.
&lt;!--**Does it work with Expo Camera?**--&gt;
&lt;!--Check usage with Expo and comment in this section- https: github.com react-native-camera blob master docs Expo Usage.md
You should open an issue there as well, so we can cooperate in solution.--&gt;
&lt;!--place screenshots suggestions and other additional infos below--&gt;</t>
  </si>
  <si>
    <t>2020-04-08</t>
  </si>
  <si>
    <t>react-native-share-react-native-share-757</t>
  </si>
  <si>
    <t>App crashed when calling the Share.open()</t>
  </si>
  <si>
    <t>### Steps to reproduce
const url data:image png base64,$ base64FileString
### Expected behaviour
Open share action sheet on iPhone
### Actual behaviour
*** Terminating app due to uncaught exception reason: NSURLResponse allHeaderFields unrecognized selector sent to instance 0x2818c8e80
**React Native version**: 0.62.0
**React Native platform platform version**: iOS 13.4</t>
  </si>
  <si>
    <t>pushbots-pushbots-react-native-8</t>
  </si>
  <si>
    <t>NetInfo.isConnected.fetch() undefined is not a function</t>
  </si>
  <si>
    <t>In latest version of NetInfo package fetch(), addeventlistener and removeeventlistner are directly called from NetInfo. So please update your package as it is making the app crash.
react native v0.62.0</t>
  </si>
  <si>
    <t>nextcloud-android-5831</t>
  </si>
  <si>
    <t>Netxcloud Error crash on CAT S52</t>
  </si>
  <si>
    <t>### Steps to reproduce
1. open the app
2. type in server
3. sign with credentials
### Expected behaviour
open the app to work with it
### Actual behaviour
the app crashes
### Environment data
Device model: CAT S52
Nextcloud app version:
Build flavor: gplay
Nextcloud server version:
#### Nextcloud log (data nextcloud.log)</t>
  </si>
  <si>
    <t>TeamNewPipe-NewPipe-3387</t>
  </si>
  <si>
    <t>Can't open or subscribe to channels from other regions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</si>
  <si>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 Version 0.19.2
&lt;!-- Which version are you using? Hopefully the latest! We just told you that above! --&gt;
### Steps to reproduce the bug
1. Open Adult Swim
2. Try to open both, the UK channel and the Deutschland (germany) channel
&lt;!-- If you can cause the bug to show up again reliably (and hence don have proper set of steps to give us), please still try to give as many details as possible on how you think you encountered the bug. --&gt;
### Expected behavior
&lt;!-- Tell us what you expect to happen. --&gt;
should be able to subscribe to both or at least view both
### Actual behaviour
Clicking on adult swim (regular) forwards to adult swim deutschland (germany)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</si>
  <si>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2020-04-07</t>
  </si>
  <si>
    <t>leondeklerk-SmartController-13</t>
  </si>
  <si>
    <t>Refactor view binder</t>
  </si>
  <si>
    <t>Implemented view and data binding, reducing the overall amount of code and boilerplate code.
Fixed an issue where list longer than the device screen could fit would crash the application.
Added some more JavaDoc and comments.</t>
  </si>
  <si>
    <t>twilio-video-quickstart-android-493</t>
  </si>
  <si>
    <t>Crash when switching cameras on Samsung "plus" phones (Tab, S20)</t>
  </si>
  <si>
    <t>Customers are getting crashes on particular Samsung models:
We have bugsnag reports and one customer reported that it crashed every time he switched cameras (from the front camera to the back).
Possibly related to #419 or #431
### Steps to Reproduce
We don have one of these devices ATM, but customer reported that switching cameras immediately crashed the app.
We can provide more code, but our cameracompat code is probably the most relevant:
#### Expected Behavior
#### Actual Behavior
Crash with NPE
#### Reproduces how Often
We don know exactly, but customer reported 100%.
Attempt to get length of null array
#### Video Android SDK
#### Android API
#### Android Device</t>
  </si>
  <si>
    <t>TeamNewPipe-NewPipe-3381</t>
  </si>
  <si>
    <t>Broken title in drawer</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</si>
  <si>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Go to ...
2. Press on ....
3. Swipe down to ....
1. Open drawer menu
&lt;!-- If you can cause the bug to show up again reliably (and hence don have proper set of steps to give us), please still try to give as many details as possible on how you think you encountered the bug. --&gt;
### Expected behavior
&lt;!-- Tell us what you expect to happen. --&gt;
### Actual behaviour
&lt;!-- Tell us what happens instead. --&gt;
Broken logo as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&lt;!-- That right, here! --&gt;</t>
  </si>
  <si>
    <t>2020-04-06</t>
  </si>
  <si>
    <t>hzi-braunschweig-SORMAS-Project-1765</t>
  </si>
  <si>
    <t>HTTPS not working in payara 5.192 with Open JDK 8u241</t>
  </si>
  <si>
    <t>### TLDR: Workaround
Do not use JDK above 8u202 to avoid Exceptions with Handshaker
### Bug Description
This is not relevant for production servers. Those are using HTTPS with Apache and forward the request to the internal HTTP ports.
Trying to open SORMAS UI via HTTPS gives the following exception
util Collection Ljava lang String )Lsun security ssl
### Steps to Reproduce
1. Use JDK 8.241 (Zulu OpenJDK). E.g JDK 8.201 is working fine for me
2. Use payara 5.192 (looks like newer versions that still use grizzly npn 1.8.1 still face the same issue)
3. Deploy the ear and UI war to the server
4. Try to open the web app via HTTPS
### Expected Behavior
Should not crash
### System Details
Android version Browser: Firefox
### Additional Details
We should check whether using the latest payara with higher JDK version (e.g. 13) works.</t>
  </si>
  <si>
    <t>proyecto26-react-native-inappbrowser-150</t>
  </si>
  <si>
    <t>Crash ChromeTabsManagerActivity.java line 52</t>
  </si>
  <si>
    <t>10 crashes affecting users in the last 30 days
Android and 10
### Which platform(s) does your issue occur on?
### Please, provide the following version numbers that your issue occurs with:</t>
  </si>
  <si>
    <t>hzi-braunschweig-SORMAS-Project-1759</t>
  </si>
  <si>
    <t>Request time-out seems to crash server</t>
  </si>
  <si>
    <t>If you ve never submitted an issue to the SORMAS repository before or this is your first time using this template, please read the Contributing guidelines (accessible in the right sidebar) for an explanation about the information we like you to provide.
### Bug Description
### Steps to Reproduce
1. Open configruation developer in web UI and generate 1000 cases
2. The request takes too long and will time-out
3. **No other user can connect to the server now** (e.g. delete browser cookies to try).
In contrast, when you do the following the server does not crash
1. Open configruation developer in web UI and generate 1000 cases
2. Close the browser window or delete the cookies for the active page and reload
3. You can still connect to the server, even though the process is still running and takes lot of CPU time.
### Expected Behavior
Even when request takes lot of time and time-out happens, other users should still be able to connect to the server.
### System Details
SORMAS version: 1.37.2
Android version Browser: Firefox 74.0</t>
  </si>
  <si>
    <t>ElderDrivers-EdXposed-504</t>
  </si>
  <si>
    <t>[BUG] MOTO G7 Plus - unofficial Lineage OS 16.1 - null pointer dereference during boot within zygote64</t>
  </si>
  <si>
    <t>Since 4.6.X get stuck during the boot process. zygote64 crash again and again. Devices doesn reboot but keep trying to start zygote64. Didn have any problems with 4.5.x and the crash happen with or without any module enabled. Dalvik cache cleaned for the logcat test.
**Xposed Module List**
Statusbar Download Progress
**Magisk Module List**
mm (recovery script)
riru edxposed (sandyhook but same problem with YAHFA)
riru storage redirect
**Versions of EdXposed and Riru**
--------- beginning of crash</t>
  </si>
  <si>
    <t>iatenine-Social-Distancing-App-4</t>
  </si>
  <si>
    <t>Notification method in service class seems to crash newer phones</t>
  </si>
  <si>
    <t>Get this error and app crash when start broadcast button is pushed on Oreo phone
Older Android versions such as Nougat don seem to care</t>
  </si>
  <si>
    <t>condog190-5E-Initiative-Tracker-129</t>
  </si>
  <si>
    <t>Resize background image for compatibility</t>
  </si>
  <si>
    <t>Background image is too large and is causing crashes with lower (25) android api versions</t>
  </si>
  <si>
    <t>2020-04-05</t>
  </si>
  <si>
    <t>nextcloud-android-5809</t>
  </si>
  <si>
    <t>Conf of auto upload leads to crash</t>
  </si>
  <si>
    <t>One plus T, android 10 (oxygen os 10.3.2
Nextcloud app crash when configuring automatic upload.
Settings get registered but app needs force shutdown.
Lots of other problems long delais when changing other settings in the app.</t>
  </si>
  <si>
    <t>TeamNewPipe-NewPipe-3368</t>
  </si>
  <si>
    <t>Instead of crashing, or showing an error, can Newpipe just... not scroll?</t>
  </si>
  <si>
    <t>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0.21.9 (earlier 0.19.1)
### Steps to reproduce the bug
&lt;!-- If you can reproduce it, please try to give as many details as possible on how you think you got to the bug. --&gt;
1. Search something.
2. Turn off internet.
3. Scroll down the list.
### Expected behavior
Since Newpipe can load new items in the list without internet, it should just not scroll after the last already loaded one. You could mention the network error and show the retry button in the space below the last list item.
### Actual behaviour
Screen clears and shows Network Error with Retry button.
In rare cases like just got, crash. UI error. It seems to involve the AndroidX RecyclerView.
Interestingly, with this error page, tapping back takes you to the home screen, but you can open Newpipe from its launcher and use it without any error. If you tap back from there, though, you re taken to the error page again. It in the backstack or something.
If you turn internet back on and then open Newpipe, it removes the error page from the backstack.
User Action: ui error
Request: App crash, UI failure</t>
  </si>
  <si>
    <t>k9mail-k-9-4639</t>
  </si>
  <si>
    <t>K9 crashes on every start, and crashes SystemUI with notification</t>
  </si>
  <si>
    <t>Possibly the same as #4592, but that issue was closed without resolution.
### Expected behavior
K9 Mail starts
### Actual behavior
K9 Mail crashes on every start, even after rebooting
### Steps to reproduce
am not sure how to reproduce at this point. But will write all know below, and maybe you can give me leads to follow on in order to pinpoint the issue
K-9 Mail version: 5.6 (F-droid Suggested but also after upgrade to 5.707
8.0.0 (ShiftOS with February 2020 update)
Account type (IMAP, POP3, WebDAV Exchange):
1) Installed K9 fresh on new phone from F-droid (that was 5.6)
2) Imported backup from previous phone
3) Provided account password and could receive email
4) Could open and use K9 mail multiple times
5) Put phone to airplane mode for the night
6) Disabled airplane mode in the morning
7) Received an email notification but dismissed it
8) Later tried to open K9 via shortcut in order to read email
9) Crash, also on retry
10) Rebooted phone</t>
  </si>
  <si>
    <t>wiglenet-wigle-wifi-wardriving-415</t>
  </si>
  <si>
    <t>[FIX] preventing crash on data fragment detatched</t>
  </si>
  <si>
    <t>crash from reporting on 2.51
we COULD try and re-attach to the running activity, but suspect this is happening when someone shuts the app down or crash in mid-backup</t>
  </si>
  <si>
    <t>2020-04-04</t>
  </si>
  <si>
    <t>nextcloud-android-5807</t>
  </si>
  <si>
    <t>Sharing image without signing in (Crash)</t>
  </si>
  <si>
    <t>### Steps to reproduce
1. Just downloaded the app without opening it
2. Open default Samsung gallery
3. Try to share an image via the share context menu to Nextcloud
4. Nextcloud app opens with crash
### Expected behaviour
Some warning should appear, that have not added Server yet
### Actual behaviour
App crashed with the error log below
### Can you reproduce this problem on https: try.nextcloud.com?
Is an android app, so no
### Environment data
Android version: 10
Device model: SM-G970F (Samsungs S10e)
Stock or customized system: Stock
Nextcloud app version: 30110090
Nextcloud server version:
#### Nextcloud log (data nextcloud.log)
************ CAUSE OF ERROR ************
************ APP INFORMATION ************</t>
  </si>
  <si>
    <t>AEFeinstein-mtg-familiar-511</t>
  </si>
  <si>
    <t>Investigate Decklist Crashes</t>
  </si>
  <si>
    <t>Investigate these three crash reports, which all deal with the decklist</t>
  </si>
  <si>
    <t>nextcloud-android-5805</t>
  </si>
  <si>
    <t>Caused by: java.lang.SecurityException: Caller no longer running</t>
  </si>
  <si>
    <t>### Steps to reproduce
When Nextcloud synchronise my mobile it crashes sometimes.
### Expected behaviour
************ CAUSE OF ERROR ************
Caused by: Caller no longer running, last stopped +2s161ms because: timed out while starting
************ APP INFORMATION ************
Build flavor: gplay
************ DEVICE INFORMATION ************
************ FIRMWARE ************</t>
  </si>
  <si>
    <t>deltachat-deltachat-android-1283</t>
  </si>
  <si>
    <t>webview (used in help) may crash on android5 without google services</t>
  </si>
  <si>
    <t>see https: stackoverflow.com questions 59572065
this is fixed in however, we should probably wait until there is stable 1.2.0 release to avoid maybe larger problems.</t>
  </si>
  <si>
    <t>nextcloud-android-library-421</t>
  </si>
  <si>
    <t>Cannot compile anymore with gradle 3.6.2</t>
  </si>
  <si>
    <t>The recent update to gradle 3.6.2 added new lint check that now blocks using the nextcloud android library because of the commons-httpclient library conflict (see #411).
Error output is:
implementation jar remove after entire switch to lib v2
Explanation for issues of type
There are number of libraries that duplicate not just functionality of
the Android platform but using the exact same class names as the ones
provided in Android -- for example the apache http classes. This can lead
to unexpected crashes.
To solve this, you need to either find newer version of the library which
no longer has this problem, or to repackage the library (and all of its
dependencies) using something like the jarjar tool, or finally, rewriting
the code to use different APIs (for example, for http code, consider using
HttpUrlConnection or library like okhttp).
Only workarounds so far is to stay with the old gradle 3.6.1 or switch off the lint errors. Both are no long-term solutions for production code.</t>
  </si>
  <si>
    <t>hzi-braunschweig-SORMAS-Project-1744</t>
  </si>
  <si>
    <t>App crashes when updating from 1.36.2 to 1.37.1</t>
  </si>
  <si>
    <t>If you ve never submitted an issue to the SORMAS repository before or this is your first time using this template, please read the Contributing guidelines (accessible in the right sidebar) for an explanation about the information we like you to provide.
### Bug Description
### Steps to Reproduce
Using automatic update from 1.36.2 to 1.37.1</t>
  </si>
  <si>
    <t>AmazMod-AmazMod-847</t>
  </si>
  <si>
    <t>Watch in DND, custom notifications are not saved</t>
  </si>
  <si>
    <t>When watch is DND, notifications are send, user is not disturbed, notification counter is updated however, custom notifications are not stored in the notification list. prepared part of the code in commit however change still needs to be make because app crashes when opening notifications list (more info in code).
My code is in comment to avoid the crashes.</t>
  </si>
  <si>
    <t>TeamNewPipe-NewPipe-3350</t>
  </si>
  <si>
    <t>UI crash when searching for 'Live TV' and app language set to Hindi</t>
  </si>
  <si>
    <t>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 Steps to reproduce the bug
&lt;!-- If you can reproduce it, please try to give as many details as possible on how you think you got to the bug. --&gt;
1. Change the App Language to Hindi
2. Search for live tv from the home screen
### Expected behavior
List of live streams currently airing
### Actual behaviour
Sudden UI crash
### Screenshots Screen records
User Action: ui error
Request: App crash, UI failure
Content Language: IN
OS: Linux Android 28
log&lt; b&gt;&lt; summary&gt;&lt;p&gt;</t>
  </si>
  <si>
    <t>2020-04-03</t>
  </si>
  <si>
    <t>TeamNewPipe-NewPipe-3348</t>
  </si>
  <si>
    <t>Background play crash</t>
  </si>
  <si>
    <t>ve had this problem for like half year and ve expected someone else to have it too and report it, really no one? using android 4.4.4 and (before that update half year ago) the background player worked just fine. can use VLC for external player for background and that works, it just really crusty and really liked the default background player so wondered if anyone knew something on this issue. Did it start taking up more ram at that point or something? My device (i9070) only has about 640 megs.
### Steps to reproduce the bug
Push Background on any video
### Expected behavior
The background play to work as intended
### Actual behaviour
The onscreen message Playing in background appears, and never goes away until the app has crashed.
The background player notification appears, but with the video duration and elapsed time both showing 00:00, the audio plays for about 15 seconds during which the app slowly grinds to halt (can scroll anything or do anything at all). After being fully frozen for few seconds it crashes with just Newpipe has stopped no error report thing.</t>
  </si>
  <si>
    <t>mapbox-mapbox-events-android-472</t>
  </si>
  <si>
    <t>Modify error reporting for API &gt;= 26</t>
  </si>
  <si>
    <t>We are experiencing crashes within JobIntentService on and above API 26. Linking the Google issue here (https: issues 63622293). As workaround, we will continue to use JobIntentService below API 26 (Android O) and use network request to report errors on or above API 26.</t>
  </si>
  <si>
    <t>nextcloud-android-5799</t>
  </si>
  <si>
    <t>Android app is crashing.</t>
  </si>
  <si>
    <t>### Steps to reproduce
1. Install nextcloud on Android.
2. Enable auto upload of photos.
3. Observe that nextcloud is crashing often trying to upload photos.
************ CAUSE OF ERROR ************
Caused by: Caller no longer running, last stopped +15s721ms because: timed out while starting
************ APP INFORMATION ************
Build flavor: gplay
************ DEVICE INFORMATION ************
************ FIRMWARE ************
### Expected behaviour
Tell us what should happen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t>
  </si>
  <si>
    <t>ECE493-Group5-adjustable-audio-114</t>
  </si>
  <si>
    <t>Song randomly disappears from playlist after some time outside of the app.</t>
  </si>
  <si>
    <t>Steps to reproduce:
Queue song into the playlist but don play it.
Exit from the app to the home screen.
Wait about 30 seconds to minute.
Open up the app again. Notice that song disappears from the playlist.
Now try adding song again to the playlist.
Notice that application crashes.
The reason the application crashes is because mediaPlayer is set to null in the adapter. This implies that the MusicService calls onDestroy() for some reason. More investigation is required.</t>
  </si>
  <si>
    <t>react-native-share-react-native-share-746</t>
  </si>
  <si>
    <t>Crash on Android with url: file://</t>
  </si>
  <si>
    <t>trying to share file using the following options:
err &amp;&amp; console.log( Share failed: err)
When the Share.open is called the app crashes crashes and looking at logcat the following error is logged:
### Expected behaviour
Share with the file
### Actual behaviour
**React Native version**: 0.61.5</t>
  </si>
  <si>
    <t>CMPUT301W20T07-arrival-157</t>
  </si>
  <si>
    <t>Crashing on startup when accepting permissions</t>
  </si>
  <si>
    <t>App seems to crash the first time user accepts permissions.</t>
  </si>
  <si>
    <t>2020-04-02</t>
  </si>
  <si>
    <t>CMPUT301W20T07-arrival-156</t>
  </si>
  <si>
    <t>Crashing if there is more than one request on an account - Rider Side</t>
  </si>
  <si>
    <t>If rider has more than one request the app is not setting the one with open status to current so the app is crashing since it does not know which request to select for the current request.</t>
  </si>
  <si>
    <t>CMPUT301W20T07-arrival-153</t>
  </si>
  <si>
    <t>Ride history crashing on both sides</t>
  </si>
  <si>
    <t>SmartDeviceLink-Examples-example_weather_app_android-18</t>
  </si>
  <si>
    <t>WeatherService sending errorupdate broadcast for location and network even though both are available</t>
  </si>
  <si>
    <t>When the sdlservice is sets up the correct ErrorUpdate broadcast receiver and is tested with an emulator the network and location services are not flagged as unavailable in the WeatherService and therefore sends ErrorUpdate broadcast before the sdlManager is initialized, this causes the sdlService to trhow null pointer exception
Run the application against manticore using an emulator with google play services
Application should run, establish connection to manticore, and weather data should appear on manticore
applicaiton crashes due to on within the sdlManager</t>
  </si>
  <si>
    <t>hzi-braunschweig-SORMAS-Project-1724</t>
  </si>
  <si>
    <t>App crashes when postponing install of update from 1.36.1 to 1.37.0</t>
  </si>
  <si>
    <t>If you ve never submitted an issue to the SORMAS repository before or this is your first time using this template, please read the Contributing guidelines (accessible in the right sidebar) for an explanation about the information we like you to provide.
### Bug Description
App crashes when user wishes to download the latest version but install it later.
### Steps to Reproduce
1. Pre-requiste: User has to be using 1.36.1 version of Sormas android app
2. Open the Sormas app, an alert indicating to download new version is shown, Click on Download
3. Another alert asking to install is displayed, Click on Cancel
4. Try Reopening the app if the app is closed.
### Expected Behavior
The app should not crash and should ask the user to install to proceed further or only install option must be provided to the user if it is mandatory to update the app.
### System Details
Device: Samsung Galaxy 10
SORMAS version: 1.36.1 updated to 1.37
Android version Browser: Android version 10
### Additional Information
Adb logs attached.</t>
  </si>
  <si>
    <t>TeamNewPipe-NewPipe-3333</t>
  </si>
  <si>
    <t>Crash when launching background player,v0.19.1</t>
  </si>
  <si>
    <t>After choosing to start background playback, clicking the notification bar crashes when bringing up the background player Android 4.4,v0.19.1.Thank you</t>
  </si>
  <si>
    <t>Blankj-AndroidUtilCode-1213</t>
  </si>
  <si>
    <t>[BUG] 1.27.x 汇总</t>
  </si>
  <si>
    <t>1.27.x bug :-)
1.27.0 https: github.com Blankj AndroidUtilCode releases tag 1.27.0
ActivityUtils finish BUG
PathUtils SD BUG
(https: github.com Blankj AndroidUtilCode issues 1216)
ActivityUtils finish BUG
AndroidUtilCode utilcode:1.27.0 utilcodex:1.27.0
Bug Nexus 5X
Android API 27
put your code here
put the stack of crash here</t>
  </si>
  <si>
    <t>ECE493-Group5-adjustable-audio-100</t>
  </si>
  <si>
    <t>Change equalizer settings after enable/disabling the microphone causes a crash</t>
  </si>
  <si>
    <t>believe this might have been fixed in your branch atyrrell1</t>
  </si>
  <si>
    <t>2020-04-01</t>
  </si>
  <si>
    <t>nathanww-ContactApp-1</t>
  </si>
  <si>
    <t>Occasional crash when adding beacons to the ignore list</t>
  </si>
  <si>
    <t>ubergeek42-weechat-android-439</t>
  </si>
  <si>
    <t>Activities appear black or “hang” when switching the theme in preferences on Android 5 &amp; 6</t>
  </si>
  <si>
    <t>the hung activities are not actually hung but they don receive keypresses or react to the back button. can be mitigated by minimizing and restoring the activity twice.
the issue is in the library (https: issues 131851825). 1.2.0-alpha03 seems to be fixing it for android 6, at least. using this alpha results in crash here that happens after switching to the light theme:
as this is rather minor issue and only affects few old android versions suggest waiting for 1.2.0</t>
  </si>
  <si>
    <t>TeamNewPipe-NewPipe-3323</t>
  </si>
  <si>
    <t>Background music open newpipe background player bug</t>
  </si>
  <si>
    <t>User Action: ui error
Request: App crash, UI failure
Content Language: it IT
OS: Linux Android 4.4.4 19
log&lt; b&gt;&lt; summary&gt;&lt;p&gt;
... 20 more
found this bug, when put the music or video in the background and press on the notification to open the player the app crash.</t>
  </si>
  <si>
    <t>TeamNewPipe-NewPipe-3322</t>
  </si>
  <si>
    <t>Fix mute button causing crashes on API 19</t>
  </si>
  <si>
    <t>#### What is it?
Bug fix :fire:
#### Long description of the changes in your PR
Fixes crashes when instantiating the background and popup queues, due to problem in obtaining and setting the drawable to the menu icon on API 19.
#### Fixes the following issue(s)
#### Testing apk
tested this fix on Android 4.4 (API 19, emulator) and Android 7.1 (phone). AnotherLife could you test this apk?
carefully read the contribution guidelines (https: github.com TeamNewPipe NewPipe blob HEAD .github CONTRIBUTING.md) and agree to them.</t>
  </si>
  <si>
    <t>google-ExoPlayer-7168</t>
  </si>
  <si>
    <t>Getting NullPointerException when calling DrmSessionManager.release()</t>
  </si>
  <si>
    <t>### REQUIRED Issue description
Judging by stacktraces we see in Crashlytics, the crash occurs while ExoPlayer releases itself, most likely when finishig an Activity. We weren able to reproduce it, as it occurrs on devices we don have.
### REQUIRED Reproduction steps
We don have any details about it yet, as Crashlytics log is all we have right now.
It most likely occurrs after calling on one of devices mentioned at the bottom of the page.
### REQUIRED full bug report captured from the device
### REQUIRED Version of ExoPlayer being used
### REQUIRED Device(s) and version(s) of Android being used
Android Versions: 5.1, 5.1.1, 6.0.1, 7.0, 7.1.2, 10</t>
  </si>
  <si>
    <t>CMPUT301W20T07-arrival-147</t>
  </si>
  <si>
    <t xml:space="preserve">Crash When Sending Notifications </t>
  </si>
  <si>
    <t>When accepting ride request as driver, the app crashes with the following error:
This is caused by line getRiderToken() in</t>
  </si>
  <si>
    <t>2020-03-31</t>
  </si>
  <si>
    <t>TeamNewPipe-NewPipe-3320</t>
  </si>
  <si>
    <t>Crash when trying to switch to my currently playing playlist</t>
  </si>
  <si>
    <t>This is super-frequent crash that happens when am playing video on popup (that have started from the What New tab) and tap on the Notification in order to get to the playlist am currently watching. don mean normal playlist, mean the videos have been enqeuing and watching.
What causes this error? And why are there backslashes and forward slashes there in that filename?</t>
  </si>
  <si>
    <t>PojavLauncherTeam-PojavLauncher-33</t>
  </si>
  <si>
    <t>The versions 1.8,1.9,1.10,1.11 is not working</t>
  </si>
  <si>
    <t>On 1.8 when you jump or fly game freeze and crash on 1.9,1.10,1.11 when you load world and when you move game crash and am using android oreo</t>
  </si>
  <si>
    <t>PojavLauncherTeam-PojavLauncher-32</t>
  </si>
  <si>
    <t>Preview 9 makes all versions unplayable</t>
  </si>
  <si>
    <t>In the new Preview basically you cannot play any version from 1.7.10 onwards it cannot be played, when starting any version it launches crash report</t>
  </si>
  <si>
    <t>nextcloud-android-5785</t>
  </si>
  <si>
    <t>App Crashes on start and bringes app to foreground</t>
  </si>
  <si>
    <t>### Steps to reproduce
1. Open the App
Similar Problems here:
### Expected behaviour
Open the App without crash
### Actual behaviour
App Crashes directly after start
Nextcloud server version: 18.0.3
**** CAUSE OF ERROR ****
**** APP INFORMATION ****
Build flavor: gplay
**** DEVICE INFORMATION ****
**** FIRMWARE ****</t>
  </si>
  <si>
    <t>TeamNewPipe-NewPipe-3317</t>
  </si>
  <si>
    <t>Albums from Youtube Music are crashing after that the app is killed</t>
  </si>
  <si>
    <t>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0.19.0, and also 0.19.1
### Steps to reproduce the bug
&lt;!-- If you can reproduce it, please try to give as many details as possible on how you think you got to the bug. --&gt;
Steps to reproduce the behavior:
1. Pick an album from music.youtube.com, save it. For example (because ll add the crash report), Future nostalgia (https: music.youtube.com playlist?list OLAK5uy nQ or you can go on music.youtube.com and search by album.
2. Force close the app, or wait until Android will automatically do this
3. Now open it again, from the bookmarked playlist, not from the link. It will produce the crash (if the app was indeed killed).
### Expected behavior
It expected not to crash
### Actual behaviour
### More context
ve noticed that NewPipe converts the playlist, from music.youtube.com link: https: music.youtube.com playlist?list OLAK5uy nQ to youtube.com link: https: www.youtube.com playlist?list OLAK5uy nQ
maybe it is related.
Reopening the playlist from the link debug and doesn produce the crash anymore, but as soon as you force stop the app, it does again that.
It doesn happen with playlist mixes like TOP 50, Trending 20 which start with RDCLAK</t>
  </si>
  <si>
    <t>CMPUT301W20T22-EasyRide-58</t>
  </si>
  <si>
    <t>Rider home screen</t>
  </si>
  <si>
    <t>Add three different requests
Click on the third request. The app will crash.</t>
  </si>
  <si>
    <t>2020-03-30</t>
  </si>
  <si>
    <t>CMPUT301W20T22-EasyRide-56</t>
  </si>
  <si>
    <t>Delete request</t>
  </si>
  <si>
    <t>Once the request is deleted, the request still shows up.
If the request is pressed, the app crashes</t>
  </si>
  <si>
    <t>amahi-android-529</t>
  </si>
  <si>
    <t>App Crash in settings</t>
  </si>
  <si>
    <t>The app crashes when changing between light and dark theme
Screenshot com miui home (https: 41450463</t>
  </si>
  <si>
    <t>commons-app-apps-android-commons-3607</t>
  </si>
  <si>
    <t>App keeps crashing on opening</t>
  </si>
  <si>
    <t>App keeps crashing on opening.
**Steps to reproduce:**
cloned the repo from GitHub and tried to compile it. Can open the app now.
Caused by: Room cannot verify the data integrity. Looks like you ve changed schema but forgot to update the version number. You can simply fix this by increasing the version number.
Caused by: Room cannot verify the data integrity. Looks like you ve changed schema but forgot to update the version number. You can simply fix this by increasing the version number.
**Device and Android version:**
Redmi Note Pro
MIUI version 11
**Commons app version:**</t>
  </si>
  <si>
    <t>eduvpn-android-262</t>
  </si>
  <si>
    <t>eduVPN app crashes if no profile is available for user</t>
  </si>
  <si>
    <t>use ACLs to check the logged in user permissions in the eduVPN profile configuration. If no profile is available (ACL check fails for user), the app crashes instead of displaying an error message.</t>
  </si>
  <si>
    <t>TeamNewPipe-NewPipe-3303</t>
  </si>
  <si>
    <t>v0.19.0 crashes as soon I open the app</t>
  </si>
  <si>
    <t>was previously using v0.18.5 which was working fine for me, now after updating the app crashes as soon as open it. unable to even get into the app to backup my data. Please help.
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 Steps to reproduce the bug
&lt;!-- If you can reproduce it, please try to give as many details as possible on how you think you got to the bug. --&gt;
Steps to reproduce the behavior:
1. Open app
### Expected behavior
Open the app without it crashing.
### Actual behaviour
The app crashes as soon as open it.
### Screenshots Screen records
If your bug includes crash, please head over to the incredible bugreport to markdown converter (https: ). Copy the result. Paste it here:
User Action: ui error
Request: App crash, UI failure
Content Language: US
OS: Linux samsung d2qsq d2q:10 QP1A.190711.020 N975USQU2BTA9:user release-keys 10 29</t>
  </si>
  <si>
    <t>bumptech-glide-4165</t>
  </si>
  <si>
    <t>In 4.11.0 crash generating thumbnails of big sized videos</t>
  </si>
  <si>
    <t>Please fill in the below fields with some data to help us best diagnose the issue.
The more specific you are, the better! You can help lot by not making us ask these questions.
Feel free to remove any irrelevant parts that you know are not related to the issue.
Any HTML comment like this will be stripped when rendering markdown, no need to delete them.
&lt;!-- What version of Glide you re running, for example: 3.7.1 3.8.0-SNAPSHOT 4.0.0-SNAPSHOT
It essentially the version number from your build.gradle: dependencies compile ...:x.y.z --&gt;
**Glide Version**: 4.11.0
&lt;!-- Do you use any integration library, like OkHttp3 or Volley? For example:
Fails to display with stock networking, but works with okhttp3-1.4.0 --&gt;
**Integration libraries**: Default installation
&lt;!-- What devices you managed to get the issue to come up on? For example:
fails on Galaxy S4 GT-I9500 4.4.2, works fine on Nexus 6P 5.1 and Genymotion Nexus 5.0.1 --&gt;
**Device Android Version**: Huawei p30 Android 10
&lt;!-- Share the details of your issue in prose, detailing actual and expected behavior. It also helps if you give some info **why** you are trying to do something as opposed to **what** is not working. --&gt;
**Issue details Repro steps Use case background**:
Closes (crashes) the activity when try to load big sized video file into an imageview. Running well with previous versions (4.10.0) Tested with 2Gb video file.
&lt;!-- How do you use Glide?
Make sure you include everything as is in your app code:
Changing single method parameter can yield totally different results.
Please clarify any magic variables that appear in the code, for example: this is Fragment</t>
  </si>
  <si>
    <t>react-native-camera-react-native-camera-2773</t>
  </si>
  <si>
    <t>Crash when pass codec and bitrate</t>
  </si>
  <si>
    <t>Crash in iOS 10.3.4
This is my code for record Options.
const dim Dimensions.get( window
if (Platform.OS ios
options videoBitrate 0.8 1000 1000
options quality 4:3
const majorVersionIOS 10)
if (majorVersionIOS 11)
if (dim.width 800)
options codec HVEC
options codec H264
options codec H264
options quality 720p
options videoBitrate 1000 1000
It work fine in Android but when run this in iOS app got crashed. Here are the logs from Xcode
*** Terminating app due to uncaught exception reason: *** The only supported key is AVVideoCodecKey the following keys are illegal:
*** First throw call stack:
(0x1c0f3b3d 0x1b37b067 0x22a1d3bd 0x2f2acd 0xb75467 0xb8166f 0xb78a39 0xb8376b 0xb83471 0x1b97687d 0x1b97645c)</t>
  </si>
  <si>
    <t>nextcloud-android-5771</t>
  </si>
  <si>
    <t>App crashes daily</t>
  </si>
  <si>
    <t>### Steps to reproduce
1. No special steps, just running in the background
### Expected behaviour
************ CAUSE OF ERROR ************
************ APP INFORMATION ************
Build flavor: gplay
************ DEVICE INFORMATION ************
************ FIRMWARE ************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</si>
  <si>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condog190-5E-Initiative-Tracker-115</t>
  </si>
  <si>
    <t>Add error handling for custom NPC entry</t>
  </si>
  <si>
    <t>Custom NPCs can be added in through the Combatants Activity but there should be error handling of some sort on the fields to prevent crashes. Currently the fields can be left empty and the app will crash when clicking the next button.</t>
  </si>
  <si>
    <t>cgeo-cgeo-8167</t>
  </si>
  <si>
    <t>Crash when modifying filtered list</t>
  </si>
  <si>
    <t>Open list with many caches
Set filter so that subset is remaining (I used: Status archived)
On the filtered list, select Menu Manage caches Delete all
Filtered caches are deleted as expected, but app crashes immediately afterwards
No crash, filtered caches deleted</t>
  </si>
  <si>
    <t>2020-03-29</t>
  </si>
  <si>
    <t>google-ExoPlayer-7160</t>
  </si>
  <si>
    <t xml:space="preserve"> java.lang.UnsupportedOperationException in maybeUpdateMediaTimeHistory method</t>
  </si>
  <si>
    <t>### REQUIRED Issue description
am playing around with the new
When setting the keepHistory boolean to false the exception will be fired and app will crash
When setting the keepHistory boolean to true the exception will be fired and app will not crash
seems like that keepHistory should be conditioned before calling the add method in since the operation cannot be done on the
private void realtimeMs, long mediaTimeMs)
if STATE PLAYING)
if (mediaTimeMs C.TIME UNSET)
long previousMediaTimeMs 1)
long realtimeMs, previousMediaTimeMs
mediaTimeMs C.TIME UNSET
##### My Code
new context this, renderersFactory)
(eventTime, playbackStats) -&gt;
### REQUIRED Reproduction steps
Describe how the issue can be reproduced, ideally using the ExoPlayer demo app
or small sample app that you re able to share as source code on GitHub.
### REQUIRED Link to test content
Provide JSON snippet for the demo app media.exolist.json file, or link to
media that reproduces the issue. If you don wish to post it publicly, please</t>
  </si>
  <si>
    <t>nextcloud-android-5766</t>
  </si>
  <si>
    <t>app crash while viewing photos, out of memory error</t>
  </si>
  <si>
    <t>### Steps to reproduce
1. open photos
2. view picture
3. Swipe left or right several times
### Expected behaviour
Tell us what happens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3.11.0
Nextcloud server version: 18.0.3
#### Web server error log
Insert your webserver log here
#### Nextcloud log (data nextcloud.log)
Insert your Nextcloud log here</t>
  </si>
  <si>
    <t>nextcloud-android-5764</t>
  </si>
  <si>
    <t>Auto bug report from android crash</t>
  </si>
  <si>
    <t>************ CAUSE OF ERROR ************
************ APP INFORMATION ************
Build flavor: gplay
************ DEVICE INFORMATION ************
************ FIRMWARE ************
### Actual behaviour
Tell us what happens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
#### Nextcloud log (data nextcloud.log)
Insert your Nextcloud log here</t>
  </si>
  <si>
    <t>TeamNewPipe-NewPipe-3292</t>
  </si>
  <si>
    <t>Fix UI crash in Settings, Content (chinese language)</t>
  </si>
  <si>
    <t>&lt;!-- Hey there. Thank you so much for improving NewPipe. Please take moment to fill out the following suggestion on how to structure this PR description. Having roughly the same layout helps everyone considerably :)--&gt;
#### What is it?
#### Fixes the following issue(s)
&lt;!-- Also add reddit or other links which are relevant to your change. --&gt;
Fix UI crash in Settings, Content (chinese language)
carefully read the contribution guidelines (https: github.com TeamNewPipe NewPipe blob HEAD .github CONTRIBUTING.md) and agree to them.</t>
  </si>
  <si>
    <t>2020-03-28</t>
  </si>
  <si>
    <t>SkyTubeTeam-SkyTube-712</t>
  </si>
  <si>
    <t>Fatal crash - IllegalArgumentException: Failed to find configured root that contains...</t>
  </si>
  <si>
    <t>This exception issue was found in the version 2.97. fail to come up with short event trace to help reproduce due to the original logged trace is too long ...
But the issue was triggered when clicking Open with from the menu (see the last screenshot of event trace below). Let me know if you need more info from my side.
&lt;img src https: 3156978 width 400 height 600
One stack trace:
FATAL EXCEPTION: main
Another stack trace with similar root cause:
FATAL EXCEPTION: main</t>
  </si>
  <si>
    <t>X-dea-flutter_vpn-45</t>
  </si>
  <si>
    <t>doesn't work on devices like pixel 2</t>
  </si>
  <si>
    <t>added the ndk filters as described on read me.
However when build appbundle and run it on pixel it crashes on start up
drops coudln find libflutter.so</t>
  </si>
  <si>
    <t>SkyTubeTeam-SkyTube-710</t>
  </si>
  <si>
    <t>Fatal crash - NullPointerException - Attempt to invoke virtual method 'void androidx.swiperefreshlayout.widget.SwipeRefreshLayout.setVisibility(int)' on a null object reference</t>
  </si>
  <si>
    <t>The bug was found in the version 2.97. It shares the similar root cause with #704 but was thrown from different location, i.e.,
FATAL EXCEPTION: main</t>
  </si>
  <si>
    <t>2020-03-27</t>
  </si>
  <si>
    <t>moberwasserlechner-capacitor-oauth2-73</t>
  </si>
  <si>
    <t>In Xcode 11.4 this plugin causes a crash</t>
  </si>
  <si>
    <t>Same issue as https: github.com ionic-team capacitor pull 2414
ll create pr for it shortly.</t>
  </si>
  <si>
    <t>nextcloud-android-5753</t>
  </si>
  <si>
    <t xml:space="preserve">Android app crash log </t>
  </si>
  <si>
    <t>Android app crash:
************ CAUSE OF ERROR ************
************ APP INFORMATION ************
Build flavor: gplay
************ DEVICE INFORMATION ************
************ FIRMWARE ************</t>
  </si>
  <si>
    <t>TeamNewPipe-NewPipe-3280</t>
  </si>
  <si>
    <t>Background player randomly closes (stops playing)</t>
  </si>
  <si>
    <t>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0.18.7 (Updated today)
### Steps to reproduce the bug
&lt;!-- If you can reproduce it, please try to give as many details as possible on how you think you got to the bug. --&gt;
Steps to reproduce the behavior:
1. Select saved playlist (Skip this for single song)
2. Select song to play in background, or start playlist to play in background.
### Expected behavior
The music should play as normal and without any issues.
### Actual behaviour
The music randomly stops.
### Screenshots Screen records
If applicable, add screenshots or screen recording to help explain your problem. GitHub should support uploading them directly in the issue field. If your file is too big, feel free to paste link from an image video hoster here instead.
If your bug includes crash, please head over to the incredible bugreport to markdown converter (https: ). Copy the result. Paste it here:
&lt;!-- That right, here! --&gt;
### Additional information</t>
  </si>
  <si>
    <t>material-components-material-components-android-1159</t>
  </si>
  <si>
    <t>[DatePicker] Date May 31 not showing up, causes crash</t>
  </si>
  <si>
    <t>May 31 is not shown in the calendar unless you open May and **scroll down**. This causes crashes. No other month or date seems to have this problem.
1. Open calendar (will open in March since it March today)
2. Use arrows to go to May
Actual Result: May 31 is not shown (you have to scroll down to see it)
Expected Result: May 31 is shown
Here are the ways ve found to make May 31 show up without scrolling down:
Go to May. Go to March. Go to May.
Go to July. Go to May.
Select start date.
Open the edit dates view (by pressing the pen). Close it.
Change year to 2021. Change back to 2020. Go to May.
Steps to make the calendar crash:
1. Open calendar
2. Select range including May 31
4. Open calendar
5. Go to May
Actual Result: Crash
May 31 not shown
Screenshot 2020-03-27 at 11 50 00 (https: 49907258
May 31 shown after start date has been selected</t>
  </si>
  <si>
    <t>ECE493-Group5-adjustable-audio-79</t>
  </si>
  <si>
    <t>Microphone Service causes app to crash</t>
  </si>
  <si>
    <t>It seems like it fails to disconnect from the service when switching between fragments, as shown below:</t>
  </si>
  <si>
    <t>TeamNewPipe-NewPipe-3279</t>
  </si>
  <si>
    <t>Handle content not available exception more comprehensively</t>
  </si>
  <si>
    <t>#### What is it?
#### Long description of the changes in your PR
Some fragments were not handling these types of exceptions.
We should improve the display of exceptions in the future by showing more specific details, like not found.
For now, Content unavailable is better than crash.
#### Relates to the following issue(s)</t>
  </si>
  <si>
    <t>ECE493-Group5-adjustable-audio-76</t>
  </si>
  <si>
    <t>Playing music after performing hearing test crashes the program</t>
  </si>
  <si>
    <t>It seems to be related to the audio focus logic. Any ideas?</t>
  </si>
  <si>
    <t>nextcloud-android-5749</t>
  </si>
  <si>
    <t>Android client crashes on opening a folder that contained a folder transferred to another user</t>
  </si>
  <si>
    <t>### Steps to reproduce
1. Open client
2. Enter InstantUpload, which housed the folder transfered to another user
3. Wait for client to finish loading InstantUpload, where it crashes
### Expected behaviour
Tell us what should happen
Folder should load without client crashing
### Actual behaviour
Tell us what happens
Client shows seemingly cached view of the InstantUpload folder. see folder called tmp which had been transferred to another user or weeks prior. The loading animation starts to drop frames until the client crashes.
### Can you reproduce this problem on https: try.nextcloud.com?
Please create test demo account and see if this still happens there.
If yes, please open up bug report
If not, please verify server setup and ask for help on forum
### Environment data
Device model: oneplus
Stock or customized system: stock
Nextcloud app version: f-droid 3.10.1
Nextcloud server version: 18.0.3
#### Web server error log</t>
  </si>
  <si>
    <t>2020-03-26</t>
  </si>
  <si>
    <t>nextcloud-android-5747</t>
  </si>
  <si>
    <t>20200320 crash report</t>
  </si>
  <si>
    <t>### Steps to reproduce
1. Hamburger menu. Go to Auto-upload.
2. Then settings for folder.
3. Check also upload existing files and save.
### Expected behaviour
Tell us what should happen
Should set settings.
### Actual behaviour
Tell us what happens
Freezes, then Force closes.
### Can you reproduce this problem on https: try.nextcloud.com?
Please create test demo account and see if this still happens there.
If yes, please open up bug report
If not, please verify server setup and ask for help on forum
### Environment data
Stock or customized system:
Nextcloud app version:
Nextcloud server version:
#### Web server error log
Insert your webserver log here</t>
  </si>
  <si>
    <t>TeamNewPipe-NewPipe-3277</t>
  </si>
  <si>
    <t>Crash when sharing a certain playlist to Newpipe</t>
  </si>
  <si>
    <t>Oh no, bug! It happens. Thanks for reporting an issue with NewPipe.
Use this template to notify us if you found bug.
To make it easier for us to help you please enter detailed information below.
Please note, we only support the latest version of NewPipe and the master branch. Make sure you have that version installed. If you don t, upgrade reproduce the problem before opening the issue. The release page (https: github.com TeamNewPipe NewPipe releases latest) is the go-to place to get this version. In order to check your app version, open the left drawer and click on About
&lt;!-- Which version are you using? --&gt;
### Steps to reproduce the bug
&lt;!-- If you can reproduce it, please try to give as many details as possible on how you think you got to the bug. --&gt;
Steps to reproduce the behavior:
Share this playlist with Newpipe: https: www.youtube.com playlist?list PLoHg1UZiy8oG j8mN7byXpybTONmYDXt
### Expected behavior
Newpipe should open the playlist normally. (It opens normally if you paste this URL into the search bar.)
### Actual behaviour
If your bug includes crash, please head over to the incredible bugreport to markdown converter (https: ). Copy the result. Paste it here:
&lt;!-- That right, here! --&gt;
User Action: requested playlist
Request: https: www.youtube.com playlist?list
Content Language: en IN
OS: Linux Android 28
log&lt; b&gt;&lt; summary&gt;&lt;p&gt;</t>
  </si>
  <si>
    <t>X-dea-flutter_vpn-44</t>
  </si>
  <si>
    <t>When pressing back button on the app brings to home screen and crash</t>
  </si>
  <si>
    <t>When pressing back button on the app brings to home screen and crash.
App keeps stopping</t>
  </si>
  <si>
    <t>Concordia-Campus-Guide-Concordia-Campus-Guide-155</t>
  </si>
  <si>
    <t>App crashes when selecting a building on the search page</t>
  </si>
  <si>
    <t>**Describe the bug**
When clicking on search icon, we are taken to the search page. Once there, we click on building like CL index and it crashes most of the time.
click on search
click on cl index
should show the route page
ezgif com-video-to-gif (2) (https: 34817695</t>
  </si>
  <si>
    <t>ionic-team-capacitor-2639</t>
  </si>
  <si>
    <t>bug: Example App crashes on repeating local notifications</t>
  </si>
  <si>
    <t>## Capacitor Version
Cloned from master and built as decribed in example README
## Affected Platform(s)
&lt;!-- Leave these checkboxes EMPTY until after the issue is created. Once the issue is created, check one or more boxes for the platform(s) this bug affects. --&gt;
## Current Behavior
&lt;!-- Describe how the bug manifests. Be specific. --&gt;
App crashes when hitting one of the repeating local notification buttons.
## Expected Behavior
&lt;!-- Describe what the behavior would be without the bug. --&gt;
App shall not crash and notifications shall be repeated.
## Sample Code or Sample Application Repo
This repositorie example app.
## Reproduction Steps
Build the example app as describe in the example README. (Skip the electron parts, because the build generates errors and does not work as described in the README)
## Other Technical Details
Tested on Android
&lt;!-- Please provide the following information with your request, and any other relevant technical details (versions of IDEs, local environment info, plugin information or links, etc). --&gt;
npm --version output:
node --version output:</t>
  </si>
  <si>
    <t>2020-03-25</t>
  </si>
  <si>
    <t>ankidroid-Anki-Android-5864</t>
  </si>
  <si>
    <t>[ACRA 2.9] Preferences: Crash selecting "Third Party Apps" when no browser installed</t>
  </si>
  <si>
    <t>Seen this crash few times in row on 2.9.5. guess this is from an automated testing tool or modified hardware. Should be simple to fix though.
&lt;summary&gt;Crash 1&lt; summary&gt;</t>
  </si>
  <si>
    <t>SkyTubeTeam-SkyTube-702</t>
  </si>
  <si>
    <t>Fatal crash - Fragment ChannelBrowserFragment has not been attached yet.</t>
  </si>
  <si>
    <t>have searched the history issue list, and have not found similar bug.
The bug was found in the latest release version 2.971 and also the previous version 2.97, and were reproduciable on both Google Plxel and an Android emulator 6.0 device
1. go to the subscribe page of an video,
2. quickly press the back icon on the top of the page (before the subscribe page finishes the loading)
3. scroll the video list
4. the app crashes
-Crash stack (from the latest release version 2.971 (2020-03-23 21:22)</t>
  </si>
  <si>
    <t>BiglySoftware-BiglyBT-Android-135</t>
  </si>
  <si>
    <t>Crash when folding up a group of torrents</t>
  </si>
  <si>
    <t>When the torrent list has multiple items, grouping rows will appear allowing you to collapse section. For example, if you sort by State, torrents downloading will be under one header, seeding will be in another, etc.
Sometimes, when clicking on the button in the header to collapse the section, the app will stall and crash. This happens usually on the bottom most grouping, and when one of the torrents is removed before the header is updated to reflect it.</t>
  </si>
  <si>
    <t>nextcloud-android-5735</t>
  </si>
  <si>
    <t>java.lang.RuntimeException: Error receiving broadcast Intent</t>
  </si>
  <si>
    <t>### Steps to reproduce
1. First off: do not remember all my steps and cannot reproduce this error
2. Navigate to file which is not downloaded yet
3. Select the file
4. don think saw the Opening dialog
5. the App crashed
### Expected behaviour
The App does not crash
### Actual behaviour
### Environment data
Android version: Android 8.0.0
Nextcloud app version: 3.10.1
Nextcloud server version: 15.0.14
#### Nextcloud log (data nextcloud.log)
************ CAUSE OF ERROR ************
************ APP INFORMATION ************
Build flavor: gplay
************ DEVICE INFORMATION ************
************ FIRMWARE ************</t>
  </si>
  <si>
    <t>2020-03-24</t>
  </si>
  <si>
    <t>BogdanDinescu-EventiFind-9</t>
  </si>
  <si>
    <t>Cand dezactivezi permisiunea de locatie in timp ce aplicatia e deschisa, da crash.</t>
  </si>
  <si>
    <t>Ar trebui intrebat din nou pt permisiune, posibila rezolvare?</t>
  </si>
  <si>
    <t>2020-03-23</t>
  </si>
  <si>
    <t>nextcloud-android-5731</t>
  </si>
  <si>
    <t>Nextcloud Android Client crashes when editing a text file.</t>
  </si>
  <si>
    <t>### Steps to reproduce
1. added some text to textfile stored in Nextcloud on my laptop
2. removed that text after viewing the longer file on my phone
3. After editing the file on my laptop, tried to open it on my phone, crashing nextcloud.
### Expected behaviour
It should not crash. Nextcloud mobile shows the correct expected filesize.
### Actual behaviour
It crashes everytime attempt to open the new text file.
### Can you reproduce this problem on https: try.nextcloud.com?
unsure of how to link the trial server to my phone to reproduce -- not sure what the passcode to link the two is.
### Environment data
Android version: 10
Device model: OnePlus 6T
Stock or customized system:
Nextcloud app version: 3.10.1
Nextcloud server version: Version 2.6.4stable-Win64 (build 20200303).
#### Web server error log
Insert your webserver log here
#### Nextcloud log (data nextcloud.log)
************ CAUSE OF ERROR ************</t>
  </si>
  <si>
    <t>mit-cml-appinventor-sources-2112</t>
  </si>
  <si>
    <t>Fix crash in Navigation component</t>
  </si>
  <si>
    <t>Navigation component made use of
which wasn added to Android until API 19. This change passes UTF-8
instead and lets the system handle the charset lookup.</t>
  </si>
  <si>
    <t>grpc-grpc-java-6850</t>
  </si>
  <si>
    <t>Port is bound if start is Interrupted</t>
  </si>
  <si>
    <t>### What version of gRPC-Java are you using?
GRPC 1.25.0, but the problem can be found also in master
### What is your environment?
Linux, OpenJDK 11
### What did you expect to see?
expected GRPC server not to keep bound port if the start fails due to interruption.
### What did you see instead?
When interrupt the start of server during binding to port (https: github.com grpc grpc-java blob netty src main java io grpc netty the server fails correctly but the port is still bound.
When the server is starting for the second time, the port is still bound which leads to failure.
### Steps to reproduce the bug
little background story: have nothing to do with GRPC, am trying to implement restarting Spring Application Context on signal (HTTP REST call) due to reloading the whole app (the main reason is that the database structures have changed). The signal can come at any point when the web server is alive, which can be even before the application context is fully refreshed. If the signal comes and there is thread creating an application context, we interrupt it, discard its result, and start new context. hope this explains the role of interruption in my use case.
One of the beans is GRpcServerStarter which encloses Server (NettyServer). If the initialization of this bean is interrupted at the wrong stage (server is binding to port), then the future.await() is interrupted, server crashes, bean is not created, application context is closed. This however still leads to the port being bound, and the binding leaking.
After this interruption, there is no way to create new server as the port is used.
Caused by: Failed to bind
... 13 common frames omitted
Caused by: Address already in use
... common frames omitted
assume that fix should handle better the by trying to unbind the port. guess that this bug could be fixed in Netty, however from theit point of view, the binding can still succeed you were just not patient enough to wait for the result, and it is your problem that you crash.</t>
  </si>
  <si>
    <t>PhenoApps-Field-Book-121</t>
  </si>
  <si>
    <t>[BUG] CassavaBase BrAPI date formatting issue</t>
  </si>
  <si>
    <t>**Describe the bug**
App crashes when attempting to connect to CassavaBase and download list of fields. The issue is related to the date formatting used for certain fields in Cassavabase.
1. Authorize Field Book to connect to BrAPI
2. Attempt to import new field from BrAPI source
1. Is this an issue that can be solved by making changes to the javalib PhenoApp library?
2. Does should BrAPI require certain format for times dates?
ctucker3 nickpalladino lukasmueller peterrosario</t>
  </si>
  <si>
    <t>2020-03-22</t>
  </si>
  <si>
    <t>Concordia-Campus-Guide-Concordia-Campus-Guide-141</t>
  </si>
  <si>
    <t>Center Coordinates Attribute Null for Some Buildings</t>
  </si>
  <si>
    <t>**Describe the bug**
When click on CI Annex from the search results in the Search Activity, the app crashes. **I believe it is because some buildings are missing the center coordinates attributes in the JSON file.**
**User Story Reference (Optional)**
Main Activity --&gt; Click on Geolocalisation button --&gt; Click on Search button --&gt; Search Activity page --&gt; Click on building Henry F. Hall Building --&gt; Routes Activity page --&gt; Click on the text field of From --&gt; Search Activity page --&gt; Click on CI Annex --&gt; App crashes
If click on Ci Annex should be able to then call the Google Directions Map API to get directions from or to that place depending on which text field clicked on the Routes Activity page.</t>
  </si>
  <si>
    <t>ECE493-Group5-adjustable-audio-67</t>
  </si>
  <si>
    <t>Permissions not handled correctly</t>
  </si>
  <si>
    <t>We only check for the read and write external storage. We don check for the rest of the permissions. This caused an issue on the emulator when only those permissions were enabled, the microphone service crashed and the app failed.</t>
  </si>
  <si>
    <t>nextcloud-android-5709</t>
  </si>
  <si>
    <t>App crashes on first use start  as secondary user/profile</t>
  </si>
  <si>
    <t>### Steps to reproduce
1. Open app
2. Sign in
### Expected behaviour
Get into folders view
### Actual behaviour
### Environment data
Nextcloud app version:
#### App error log
************ CAUSE OF ERROR ************
************ APP INFORMATION ************
Build flavor: generic
************ DEVICE INFORMATION ************
************ FIRMWARE ************</t>
  </si>
  <si>
    <t>TeamNewPipe-NewPipe-3255</t>
  </si>
  <si>
    <t>Phone crashes when opening "What's New" in the latest two versions</t>
  </si>
  <si>
    <t>First of,: Awesome app for any phone especially for phones without those
Today updated from 0.18.4 to 0.18.7 and immediately ran into issues opening the What New tab. Every time try to do so, the loading circle starts (as usual), after second or two the animation stops moving but stays visible. again few seconds later my phone (not just the app) crashes completely and automatically reboots.
As you can see, not able to submit any regular crash reports, because the app never shows me one, instead the phone shuts down completely. But if you know things can test to further narrow down the problem, please tell me.
use NewPipe for few months now and this error never occurred previously. The described behavior also happens with the version 0.18.6 (I tried it out, too) that had skipped (because not updating f-droid that often). haven tried 0.18.5 yet as it isn listed in f-droid. Do you thing, is it worth testing this version?
running Fairphone model with Android 7.1.2.</t>
  </si>
  <si>
    <t>2020-03-21</t>
  </si>
  <si>
    <t>Fr4gorSoftware-SecScanQR-145</t>
  </si>
  <si>
    <t>[BUG] When scanning Data Matrix code SecScanQR crashes</t>
  </si>
  <si>
    <t>ve tried to scan data matrix code which contains obviously non-ASCII characters (scanned with another scanner) then SecScanQR crashes with the error message No valid input for this format
Used device: Fairphone
Example data matrix: https: www.irishapps.com wp-content uploads 2014 04 Other -2 -Code -Types 05.jpg</t>
  </si>
  <si>
    <t>k9mail-k-9-4620</t>
  </si>
  <si>
    <t>Crash when saving attachment because no Activity found for CREATE_DOCUMENT Intent</t>
  </si>
  <si>
    <t>have set up an account with pgp (most messages like the one from logcat are only encrypted, not signed)
The message text is not shown but file to show or save is presented
pressing save crashes
open only suggests openkeychain
Version is 5.707 from f-droid
thunderbird opens the mail inline
&lt;&lt;&lt; log count 45 &gt;&gt;&gt;
Not starting debugger since process cannot load the jdwp agent.
The ClassLoaderContext is special shared library.
FATAL EXCEPTION: main
Not starting debugger since process cannot load the jdwp agent.
Waiting for blocking GC ProfileSaver
WaitForGcToComplete blocked ProfileSaver on HeapTrim for 11.418ms
The ClassLoaderContext is special shared library.</t>
  </si>
  <si>
    <t>nextcloud-android-5699</t>
  </si>
  <si>
    <t>Sudden crash</t>
  </si>
  <si>
    <t>### Steps to reproduce
### Expected behaviour
Tell us what should happen
### Actual behaviour
Tell us what happens
### Environment data
Stock or customized system:
Nextcloud app version:
Nextcloud server version:
#### Web server error log
Insert your webserver log here
#### Nextcloud log (data nextcloud.log)
Insert your Nextcloud log here</t>
  </si>
  <si>
    <t>2020-03-20</t>
  </si>
  <si>
    <t>CMPUT301W20T17-BeepBeep-43</t>
  </si>
  <si>
    <t>Confirm a ride when no location is selected will crash the app</t>
  </si>
  <si>
    <t>**Describe the bug**
Confirm ride when no location is selected will crash the app</t>
  </si>
  <si>
    <t>2020-03-19</t>
  </si>
  <si>
    <t>nextcloud-android-5689</t>
  </si>
  <si>
    <t>Nextcloud share Android crash</t>
  </si>
  <si>
    <t>### Steps to reproduce
1. Create folder in the app
2. Click on share
3. Share link
### Expected behaviour
Tell us what should happen
Walk though the share process
### Actual behaviour
Tell us what happens
************ CAUSE OF ERROR ************
Caused by: socket is closed
... 26 more
************ APP INFORMATION ************
Build flavor: gplay
************ DEVICE INFORMATION ************
************ FIRMWARE ************
### Environment data
Stock or customized system:
Nextcloud app version:
Nextcloud server version:</t>
  </si>
  <si>
    <t>ankidroid-Anki-Android-5836</t>
  </si>
  <si>
    <t>Probable Race Condition in Database Commit Code</t>
  </si>
  <si>
    <t>Copied from https: github.com ankidroid Anki-Android issues
Probable race conditions during normal operation causing partial writes of JSONObject to the database (tearing). This would cause hard-to-quantify data corruption issues.
code&lt; b&gt;&lt; summary&gt;
through the code&lt; b&gt;&lt; summary&gt;
1. We update an in-memory copy of col.decks
2. We update database copy of cards
As seen above, we have an in-memory copy of col.decks whereas cards is persisted.
On crash, this becomes permanent
does this work in the happy path?&lt; b&gt;&lt; summary&gt;
Reviewer performs save onStop()
are the problems?&lt; b&gt;&lt; summary&gt;
col needs to be consistent, for example: col.mod col.models col.dconf depend on data in col.decks
col does not support delta-based updates due to all fields being JSON, (you can just update newToday
col can be large (mine is &gt;300KB of text). Desktop addons use it to store arbitrary data, and it contains all the HTML templates.
Our use of AsyncTask means that updates to the JSONObjects are nonatomic. We can, and most likely already do experience bugs due to JSON tearing
does Anki deal with it?&lt; b&gt;&lt; summary&gt;
Anki takes out long-running transaction over the database, It loses reviews, but stays consistent if the application is killed.
can we do?&lt; b&gt;&lt; summary&gt;
Assuming don crash the application, so we don need to deal with this isn an acceptable answer and that we shouldn allow for JSON tearing.
Convert all operations over col to be atomic.</t>
  </si>
  <si>
    <t>google-ExoPlayer-7108</t>
  </si>
  <si>
    <t>crash when I switch between WIFI and 4G when playing dash video, how to resolve this?</t>
  </si>
  <si>
    <t>Caused by: recvfrom failed: ETIMEDOUT (Connection timed out)
Caused by: failed to connect to 117.131.18.30 (port 8080) after 8000ms: connect failed: ENETUNREACH (Network is unreachable)</t>
  </si>
  <si>
    <t>CMPUT301W20T17-BeepBeep-39</t>
  </si>
  <si>
    <t>App crash when viewing driver profile in order history when the order have no drive</t>
  </si>
  <si>
    <t>**Describe the bug**
App crash when viewing driver profile in order history when the order have no drive
Should hide view button when no driver is associated with the order</t>
  </si>
  <si>
    <t>CMPUT301W20T17-BeepBeep-38</t>
  </si>
  <si>
    <t>App crash when trying to view Order History</t>
  </si>
  <si>
    <t>**Describe the bug**
App crash when trying to view Order History
does not define no-argument constructor. If you are using ProGuard, make sure these constructors are not stripped</t>
  </si>
  <si>
    <t>Concordia-Campus-Guide-Concordia-Campus-Guide-117</t>
  </si>
  <si>
    <t>Application is open before user permissions are given.</t>
  </si>
  <si>
    <t>**Describe the bug**
The application starts running before the user gave permission for google calendar and his location which leads to crash of the whole app
reinstall the application from scratch (first time)
click on allow all the time for the location
exit the app
4- reopen the app
5- the app crashes
the user should be asked for the current location and then calendar and then it should allow the user to use the application.</t>
  </si>
  <si>
    <t>nextcloud-android-5686</t>
  </si>
  <si>
    <t xml:space="preserve">crash when creating new folders on cloud </t>
  </si>
  <si>
    <t>app crashes when creating new folder on cloud within instant upload dialog
************ CAUSE OF ERROR ************
************ APP INFORMATION ************
Build flavor: gplay
************ DEVICE INFORMATION ************
************ FIRMWARE ************</t>
  </si>
  <si>
    <t>2020-03-18</t>
  </si>
  <si>
    <t>jaychenblue-scout-concordia-170</t>
  </si>
  <si>
    <t>D-5 Bug when accessing Google calendar after removing Google account form device</t>
  </si>
  <si>
    <t>**Related to issue**: #165
**Reported by**: Averynder
**API Version**: Api 28
**Steps to reproduce**:
1. Access Google Calendar on the ScoutConcordia app
2. Remove Google account from the device
3. Try to access the Google Calendar again on the ScoutConcorda ap
User should be asked to sign in again when the try to access their calendar after removing their account from the device and have not set up their account again.
The application crashes</t>
  </si>
  <si>
    <t>2020-03-16</t>
  </si>
  <si>
    <t>commons-app-apps-android-commons-3531</t>
  </si>
  <si>
    <t>Application crashes when clicking the GridView adapter of Bookmarks.</t>
  </si>
  <si>
    <t>Application crashes when clicking the grid view after changing the theme in Bookmarks.
**Steps to reproduce:**
Go to the bookmarks section
Change the theme by going to the navigation drawer
Go back to the Bookmarks section
Select one image view in the Grid view
**Device and Android version:**
Device name Pixel 3a XL
Android version Android 10
API level 29
**Commons app version:**
**Would you like to work on the issue?**</t>
  </si>
  <si>
    <t>wiglenet-wigle-wifi-wardriving-410</t>
  </si>
  <si>
    <t>[FIX] m8b exception from cluster 25369553</t>
  </si>
  <si>
    <t>someone had bad MAC address passed to m8b gen in crashlogs</t>
  </si>
  <si>
    <t>nextcloud-android-5669</t>
  </si>
  <si>
    <t>App crash when connecting DAVx5</t>
  </si>
  <si>
    <t>### Steps to reproduce
Not entirely sure. was setting up DAVx5, OpenTasks, and Etar for the first time. started the connection process in Davx5, then spent some time customizing the connection. When backed out of the app, whatever it returned to crashed apparently.
### Environment data
Android version: 9.0
Device model: NOOK Tablet 10.1
Stock or customized system: Phh Treble 9.0
Nextcloud app version: 3.10.1
Nextcloud server version: 15.0.5
#### Web server error log
Nothing for today date
#### Nextcloud log (data nextcloud.log)
Unsure of what log this is.
**See below for app-generated error message:**
************ CAUSE OF ERROR ************
Caused by: Trying to execute remote operation with NULL Context
************ APP INFORMATION ************
Build flavor: generic
************ DEVICE INFORMATION ************
************ FIRMWARE ************</t>
  </si>
  <si>
    <t>nextcloud-android-5666</t>
  </si>
  <si>
    <t>Talk recurrent crash</t>
  </si>
  <si>
    <t>### Steps to reproduce
1. Answer to messages
### Expected behaviour
Tell us what should happen
### Actual behaviour
Tell us what happens
Crash, with fingerprint asked Many Times sometimes
### Environment data
Stock or customized system:
Nextcloud app version:
Nextcloud server version:
#### Web server error log
Insert your webserver log here
#### Nextcloud log (data nextcloud.log)
Insert your Nextcloud log here
************ CAUSE OF ERROR ************
************ APP INFORMATION ************
Build flavor: gplay
************ DEVICE INFORMATION ************
************ FIRMWARE ************</t>
  </si>
  <si>
    <t>cgeo-WhereYouGo-86</t>
  </si>
  <si>
    <t>Spotaneous crashes on zone and item interaction</t>
  </si>
  <si>
    <t>**Describe the bug:**
friend submitted the following recordings to me via WA and commented:
This happens on any cartridge, some stored months ago, some recently test builds for unpublished caches
After some short time in the cartridge, it seems to happen on an interaction with zones or items, booted out back to the main menu. (The error message invalid cartridge that pops up is appearing since had messed up cartridge some earlier time, but it didn go away after fixing it. It should not be related with the current problem)
The folder is set to the Android Downloads so can download cartridges via browser and have them available in the app immediately workaround for the not working direct download in the time before the update
The problem seems independent of the cartridge source, e.g. local test build or website download.
This happens only since the update (they hadn used the beta).
On secondary device, this problem is not present and on my device it also not present
**Is the problem reproducible:**
**To (possibly) Reproduce:**
Steps to reproduce the behavior:
1. Set the cartridges directory to the Android Downloads folder.
2. Download and start some cartridge
3. Interact with zones or items
4. Crash without specific error message
**Actual behavior state after performing these steps:**
Cartridges are stopped spontaneously.
**Expected behavior state after performing these steps:**
Cartridges should run smoothly.
**Version of WhereYouGo used:**</t>
  </si>
  <si>
    <t>2020-03-15</t>
  </si>
  <si>
    <t>opensrp-opensrp-client-chw-hf-55</t>
  </si>
  <si>
    <t>Ensure a child profile can be opened on the HF Child profile</t>
  </si>
  <si>
    <t>When you click on child profile from Child register on the HF side, it should take you to the child. It now results in app crashing
Open child register
Click child record
Error: Unfortunately, Kituoni has stopped.</t>
  </si>
  <si>
    <t>opensrp-opensrp-client-chw-family-planning-62</t>
  </si>
  <si>
    <t>CMPUT301W20T07-arrival-83</t>
  </si>
  <si>
    <t>Empty Fare Crashes App</t>
  </si>
  <si>
    <t>App Version: at least #81
Android Version: 7.0
What happened: If the fare is left empty in the dialog and the user pressed OK, the app will crash.</t>
  </si>
  <si>
    <t>2020-03-14</t>
  </si>
  <si>
    <t>MakerStation-FabCatApp-4</t>
  </si>
  <si>
    <t>Reset all threads not working</t>
  </si>
  <si>
    <t>It just crashes, we need to investigate.</t>
  </si>
  <si>
    <t>2020-03-13</t>
  </si>
  <si>
    <t>MakerStation-FabCatApp-3</t>
  </si>
  <si>
    <t>Error during bluetooth disconnection</t>
  </si>
  <si>
    <t>If the remote device disconnects and the warning popup isn triggered, if you press disconnect the app will crash.
We probably need to add some null checks.</t>
  </si>
  <si>
    <t>nextcloud-android-5650</t>
  </si>
  <si>
    <t>Netxloud crashed</t>
  </si>
  <si>
    <t>commons-app-apps-android-commons-3507</t>
  </si>
  <si>
    <t>App Crashes in MediaDetailsFragment with ClassCastException</t>
  </si>
  <si>
    <t>Open MediaDetails from the MainActivity and Swipe the ViewPager till it reaches it end, the app crashes
**Steps to reproduce:**
Open MediaDetails from the MainActivity and Swipe the ViewPager till it reaches it end
**Device and Android version:**
**Commons app version:**
**Would you like to work on the issue?**</t>
  </si>
  <si>
    <t>nextcloud-android-5647</t>
  </si>
  <si>
    <t>************ CAUSE OF ERROR ************
Caused by: Fragment 39969a0 not attached to context.
************ APP INFORMATION ************
Build flavor: gplay
************ DEVICE INFORMATION ************
************ FIRMWARE ************</t>
  </si>
  <si>
    <t>2020-03-12</t>
  </si>
  <si>
    <t>trojan-gfw-igniter-117</t>
  </si>
  <si>
    <t>a crash, would you like to fix it ?</t>
  </si>
  <si>
    <t>using your latest code to compile, on master branch. After connect to server successfully, stop the client manually. Then it crash, here the log below. By the way, would you like to release the latest apk that base on the latest code?</t>
  </si>
  <si>
    <t>k3b-APhotoManager-168</t>
  </si>
  <si>
    <t>Incremental Photo Backup to Zip-File not working anymore</t>
  </si>
  <si>
    <t>In Backup to Zip-File after setting the backup parameters and starting the Backup the app crashes.
Bu8g since app Version 0.8.1.200212 (45)</t>
  </si>
  <si>
    <t>nextcloud-android-5637</t>
  </si>
  <si>
    <t>App crashing randomly</t>
  </si>
  <si>
    <t>2020-03-11</t>
  </si>
  <si>
    <t>SanojPunchihewa-f5n-136</t>
  </si>
  <si>
    <t>App crash in MinItActivity</t>
  </si>
  <si>
    <t>**Describe the bug**
In the MinIt mode, app crashes when canceled the compress files popup in the upload results state.
Steps to reproduce the behavior:
1. Process job in MinIt
2. Go to upload result state in MinIt
3. Press Compress Files and cancel it.
4. App crashes
Popup should close without crashing the app
**Smartphone (please complete the following information):**
Device: LG Screen</t>
  </si>
  <si>
    <t>2020-03-10</t>
  </si>
  <si>
    <t>nextcloud-android-5618</t>
  </si>
  <si>
    <t>### Steps to reproduce
1. don know. sporadic.
************ CAUSE OF ERROR ************
************ APP INFORMATION ************
Build flavor: gplay
************ DEVICE INFORMATION ************
************ FIRMWARE ************</t>
  </si>
  <si>
    <t>nextcloud-android-5615</t>
  </si>
  <si>
    <t>App crashes, if share button is pressed</t>
  </si>
  <si>
    <t>### Steps to reproduce
1. Nginx (1.17.9) with reverse proxy
2. ssl protocols TLSv1.3 ssl ciphers HIGH:!aNULL:!MD5
3. http2 enabled
4. Open App, hit share button on any file
### Expected behaviour
Hit share button
Get share view
### Actual behaviour
Hit share button
Opens view where can see the share view for two seconds
App crashes with exception
### Environment data
Android version: 10
Device model: star2lte (Samsung S9+)
Stock or customized system: Stock
Nextcloud app version: 30100190
Nextcloud server version: 18.0.0
Nginx reverse proxy: 1.17.9
#### Android App Exception log</t>
  </si>
  <si>
    <t>condog190-5E-Initiative-Tracker-98</t>
  </si>
  <si>
    <t>Add Error handling ensuring that the API is not called on invalid or duplicate monsters</t>
  </si>
  <si>
    <t>Error handling should be put in place to ensure the user does not put in any non-correct monster names into the monster picker as this causes the API to crash</t>
  </si>
  <si>
    <t>2020-03-09</t>
  </si>
  <si>
    <t>condog190-5E-Initiative-Tracker-95</t>
  </si>
  <si>
    <t>Imputing no value in the damage/heal field causes the app to crash</t>
  </si>
  <si>
    <t>In the heal damage input field the user could remove the default in the field and hit damage or heal. Doing so causes the app to crash. Should use try catch to fix and default to</t>
  </si>
  <si>
    <t>UCSD-CSE-110-2020-team-project-team-25-193</t>
  </si>
  <si>
    <t>App Crashes when adding new run.</t>
  </si>
  <si>
    <t>Add run, app crashes.</t>
  </si>
  <si>
    <t>2020-03-08</t>
  </si>
  <si>
    <t>oliexdev-openScale-557</t>
  </si>
  <si>
    <t>Crash when saving table row.</t>
  </si>
  <si>
    <t>When editing table row and pressing save the app crashes (attach different user to row)
Nokia plus, Android 10
1. Open app
4. open row you want to edit
5. press pencil icon
6. change name
7. press ok
8. press save icon
App should now crash
Reproduced with latest dev version (https: github.com oliexdev openScale releases tag travis-dev-build): no just the app store version.
Save the row and not crash.
Build version: 2.2.0-pro</t>
  </si>
  <si>
    <t>applivery-applivery-android-sdk-57</t>
  </si>
  <si>
    <t xml:space="preserve"> [BUG] App crashing due to UserFeedBackView trying to be added multiple times</t>
  </si>
  <si>
    <t>Organization Owner email address: alvaro.bl91 gmail.com
**Describe the bug**
Due to race condition, sometimes when taking screenshoot the SDK is notified multiple times as per registered MediaStore ContentObserver design, which leads towards trying to show UserFeedbackView on every notification. As UserFeedback is stored as static field, the FragmentManager throws an Exception when trying to add the same exact Fragment more than once.
Steps to reproduce the behavior:
1. Go to Sample App
2. Enable screenshot feedback
3. Take screenshot
4. Eventually the crash will appear
The app should handle this situation and provides some type of mutual exclusion strategy when between screenshots processing.
Also, UserFeedbackView should no be stored static field because it is memory leak.
**Smartphone (please complete the following information):**
Device: Pixel 2XL
OS: Android 10</t>
  </si>
  <si>
    <t>2020-03-06</t>
  </si>
  <si>
    <t>broken-shotgun-run-lines-15</t>
  </si>
  <si>
    <t>fix dialog crash</t>
  </si>
  <si>
    <t>Changes in the PR:
Removes DialogUtil and manually trying to dismiss Dialogs whose view reference might be invalid.
Adjusts RateThisApp config to show popup less for people who don use the app as much.
Fix parser to use Multiline flag to more properly fix section header regex.
Updates gradle and build tools version.</t>
  </si>
  <si>
    <t>rodit-SnapMod-64</t>
  </si>
  <si>
    <t>Snapchat crashing after 1.5 update</t>
  </si>
  <si>
    <t>Snapchat starter to crash after 1.5 update, ve tried clean installing it but it didn helped. Cleaning Snapchat and or SnapMod data didn worked.</t>
  </si>
  <si>
    <t>2022-04-26</t>
  </si>
  <si>
    <t>PojavLauncherTeam-PojavLauncher-3141</t>
  </si>
  <si>
    <t xml:space="preserve">[BUG] Random crashes during gameplay. </t>
  </si>
  <si>
    <t>### Describe the bug
When playing version 1.8.9, crashes randomly happen during gameplay without any set condition. Current settings are:
2584 MB RAM
Renderer: GL4ES 1.1.5
Runtime Manager: Java
The crashes seem to happen on any settings, as ve tried most possible combinations like with Java 17, vgpu, GL4ES 1.1.4, as well as lower RAM settings (900 MB).
The crashes occur on Forge 1.8.9, vanilla 1.8.9 and Optifine 1.8.9 (all tested) usually between 10 minutes to an hour into playing.
(Used forge mods: Essential, Patcher, Optifine)
An important information may also be that the server joining is Hypixel and gamemode Skyblock, which might have some part in these crashes since no crashes outside the specific gamemode have been encountered.
### The log file and images videos
### Steps To Reproduce
1. Start Pojav Launcher
2. Pick version 1.8.9
3. Playing on hypixel.net and Skyblock gamemode
Then, the game crashes at random times.
### Expected Behavior
expect being able to play longer amounts of time without crashes occuring.
Device model: Xiaomi Redmi Note Pro 128
CPU architecture: aarch64
Android version: 10</t>
  </si>
  <si>
    <t>mtotschnig-MyExpenses-964</t>
  </si>
  <si>
    <t>Transfer with picture attachment in sealed account leads to crash during backup restore</t>
  </si>
  <si>
    <t>PojavLauncherTeam-PojavLauncher-3135</t>
  </si>
  <si>
    <t>[BUG] The mode NEU keeps crashing my game for some reason</t>
  </si>
  <si>
    <t>### Describe the bug
The bug is that my game runs fine for the first five minutes of joining hypixel (a server) then crashes out of nowhere
### The log file and images videos
---- Minecraft Crash Report ----
Contact their authors BEFORE contacting forge
Surprise! Haha. Well, this is awkward.
detailed walkthrough of the error, its code path and all known details is as follows:
-- Head --
-- Affected level --
Level name: MpServer
All players: 22 total EntityPlayerSP Fu ad 39171, MpServer -10.91, 70.00, -60.65 EntityOtherPlayerMP Treyman315 39174, MpServer -10.94, 82.57, -60.66 EntityOtherPlayerMP 713vbizw12 320, MpServer -31.00, 73.00, -95.50 EntityOtherPlayerMP qm8tcqv0e3 148, MpServer 27.50, 71.00, -43.50 EntityOtherPlayerMP m6oazig0ew 149, MpServer 25.00, 64.00, -41.00 EntityOtherPlayerMP m1fm4l64wk 204, MpServer -41.50, 70.00, -64.50 EntityOtherPlayerMP 1rzt8jcs91 158, MpServer -24.50, 71.00, -58.50 EntityOtherPlayerMP b08z3yq569 350, MpServer 23.00, 77.00, -69.50 EntityOtherPlayerMP iad49vmo94 237, MpServer -10.00, 70.00, -67.00 EntityOtherPlayerMP 7fqv7hn522 295, MpServer 8.50, 71.00, -94.50 EntityOtherPlayerMP t74yvpw19y 318, MpServer -31.00, 73.00, -85.50 EntityOtherPlayerMP e074n198db 319, MpServer -36.00, 73.00, -85.50 EntityOtherPlayerMP g050nu7733 321, MpServer -36.00, 73.00, -95.50 EntityOtherPlayerMP kv09lti1xd 348, MpServer 15.50, 70.00, -71.81 EntityOtherPlayerMP z168u59a77 349, MpServer 23.00, 71.00, -69.00 EntityOtherPlayerMP uvo38726zw 363, MpServer -32.50, 71.00, -76.50 EntityOtherPlayerMP tae14d5s24 364, MpServer -39.50, 70.00, -78.91 EntityOtherPlayerMP 7ee21f2064 294, MpServer 7.00, 70.00, -85.00 EntityOtherPlayerMP cro31uvq46 162, MpServer -47.00, 74.00, -30.50 EntityOtherPlayerMP qx8wdr2qmd 296, MpServer -46.50, 73.00, -90.50 EntityOtherPlayerMP gm8473h82b 203, MpServer -49.50, 70.00, -68.50 EntityOtherPlayerMP mri611pw1k 239, MpServer 15.50, 72.00, -21.50
Chunk stats: 441, 441
Level generator: ID 01 flat, ver 0. Features enabled: false
Level generator options:
Level spawn location: -3.00,70.00,-70.00 World: (-3,70,-70), Chunk: (at 13,4,10 in -1,-5 contains blocks -16,0,-80 to -1,255,-65), Region: (-1,-1 contains chunks -32,-32 to -1,-1, blocks -512,0,-512 to -1,255,-1)
Level time: 766135843 game time, 632531 day time
Level storage version: 0x00000 Unknown?
Level weather: Rain time: (now: false), thunder time: (now: false)
Level game mode: Game mode: survival (ID 0). Hardcore: false. Cheats: false
Forced entities: 522 total EntityArmorStand Armor Stand 7168, MpServer 0.00, 71.53, -101.00 EntityArmorStand Armor Stand 1024, MpServer 12.56, 62.66, -2.22 EntityArmorStand Armor Stand 1025, MpServer 12.56, 61.97, -2.47 EntityArmorStand Armor Stand 1026, MpServer 12.56, 60.31, -0.88 EntityArmorStand Armor Stand 1027, MpServer 11.31, 60.31, -0.88 EntityArmorStand Armor Stand 1028, MpServer 11.28, 60.31, -1.50 EntityArmorStand Armor Stand 15365, MpServer -30.50, 59.94, -88.50 EntityArmorStand Armor Stand 1029, MpServer 11.94, 60.31, -1.50 EntityArmorStand Armor Stand 15366, MpServer -30.50, 59.56, -88.50 EntityArmorStand Armor Stand 1030, MpServer 11.91, 60.31, -0.91 EntityArmorStand Armor Stand 1031, MpServer 12.56, 60.31, -1.50 EntityArmorStand Armor Stand 1032, MpServer 12.53, 61.59, -0.88 EntityArmorStand Armor Stand 1033, MpServer 11.22, 61.59, -0.84 EntityArmorStand Armor Stand 1034, MpServer 11.22, 61.59, -1.75 EntityArmorStand Armor Stand 1035, MpServer 11.22, 61.59, -1.28 EntityArmorStand Armor Stand 1036, MpServer 11.66, 61.59, -0.84 EntityArmorStand Armor Stand 15373, MpServer -42.50, 59.94, -90.50 EntityArmorStand Armor Stand 7181, MpServer 52.50, 68.00, -82.50 EntityArmorStand Armor Stand 1037, MpServer 12.09, 61.59, -0.84 EntityArmorStand Armor Stand 15374, MpServer -42.50, 59.56, -90.50 EntityArmorStand Armor Stand 7182, MpServer 52.50, 67.75, -82.50 EntityArmorStand Armor Stand 1038, MpServer 11.22, 62.03, -0.84 EntityArmorStand Armor Stand 15375, MpServer -48.50, 59.94, -88.50 EntityArmorStand Armor Stand 1039, MpServer 11.22, 62.03, -1.28 EntityArmorStand Armor Stand 15376, MpServer -48.50, 59.56, -88.50 EntityArmorStand Armor Stand 1040, MpServer 11.66, 62.03, -0.84 EntityArmorStand Armor Stand 15377, MpServer -45.50, 59.94, -80.50 EntityArmorStand Armor Stand 1041, MpServer 12.09, 62.03, -0.84 EntityArmorStand Armor Stand 15378, MpServer -45.50, 59.56, -80.50 EntityArmorStand Armor Stand 1042, MpServer 12.53, 62.03, -0.88 EntityArmorStand Armor Stand 15379, MpServer -48.50, 59.94, -83.50 EntityArmorStand Armor Stand 1043, MpServer 11.22, 62.03, -1.75 EntityArmorStand Armor Stand 15380, MpServer -48.50, 59.56, -83.50 EntityArmorStand Armor Stand 1044, MpServer 11.91, 61.69, -1.50 EntityArmorStand Armor Stand 15381, MpServer -42.50, 59.94, -86.50 EntityArmorStand Armor Stand 1045, MpServer 12.53, 61.69, -1.50 EntityArmorStand Armor Stand 15382, MpServer -42.50, 59.56, -86.50 EntityArmorStand Armor Stand 1046, MpServer 11.31, 61.69, -1.50 EntityArmorStand Armor Stand 1047, MpServer 12.56, 61.69, -0.91 EntityArmorStand Armor Stand 1048, MpServer 11.31, 61.69, -0.88 EntityArmorStand Armor Stand 1049, MpServer 11.94, 60.81, -1.50 EntityArmorStand Armor Stand 1050, MpServer 11.97, 61.59, -1.97 EntityArmorStand Armor Stand 1051, MpServer 12.00, 61.59, -1.03 EntityArmorStand Armor Stand 1052, MpServer 12.00, 62.00, -1.28 EntityArmorStand Armor Stand 1053, MpServer 12.00, 62.00, -1.75 EntityArmorStand Armor Stand 1054, MpServer 11.91, 61.69, -0.91 EntityArmorStand Armor Stand 1055, MpServer 12.66, 61.59, -1.31 EntityArmorStand Armor Stand 1056, MpServer 12.63, 61.59, -1.75 EntityArmorStand Armor Stand 15393, MpServer -30.50, 59.94, -92.50 EntityArmorStand Armor Stand 1057, MpServer 11.19, 62.81, -0.72 EntityArmorStand Armor Stand 15394, MpServer -30.50, 59.56, -92.50 EntityArmorStand Armor Stand 1058, MpServer 11.19, 62.75, -1.94 EntityArmorStand Armor Stand 15395, MpServer -36.50, 59.94, -90.50 EntityArmorStand Armor Stand 1059, MpServer 11.19, 62.75, -1.09 EntityArmorStand Armor Stand 15396, MpServer -36.50, 59.56, -90.50 EntityArmorStand Armor Stand 1060, MpServer 11.22, 62.75, -1.50 EntityArmorStand Armor Stand 15397, MpServer -33.50, 59.94, -100.50 EntityArmorStand Armor Stand 1061, MpServer 10.47, 62.19, -1.31 EntityArmorStand Armor Stand 15398, MpServer -33.50, 59.56, -100.50 EntityArmorStand Armor Stand 1062, MpServer 10.53, 62.16, -1.44 EntityArmorStand Armor Stand 15399, MpServer -36.50, 59.94, -94.50 EntityArmorStand Armor Stand 1063, MpServer 12.56, 62.66, -0.88 EntityArmorStand Armor Stand 15400, MpServer -36.50, 59.56, -94.50 EntityArmorStand Armor Stand 1064, MpServer 12.56, 62.66, -1.31 EntityArmorStand Armor Stand 15401, MpServer -30.50, 59.94, -97.50 EntityArmorStand Armor Stand 1065, MpServer 12.53, 62.66, -1.75 EntityArmorStand Armor Stand 15402, MpServer -30.50, 59.56, -97.50 EntityArmorStand Armor Stand 1066, MpServer 12.53, 62.66, -0.81 EntityArmorStand Armor Stand 15403, MpServer -39.50, 59.94, -100.50 EntityArmorStand Armor Stand 1067, MpServer 12.56, 62.41, -0.59 EntityArmorStand Armor Stand 15404, MpServer -39.50, 59.56, -100.50 EntityArmorStand Armor Stand 1068, MpServer 12.56, 61.97, -0.63 EntityArmorStand Armor Stand 15409, MpServer -42.50, 59.94, -94.50 EntityArmorStand Armor Stand 15410, MpServer -42.50, 59.56, -94.50 EntityArmorStand Armor Stand 15411, MpServer -48.50, 59.94, -92.50 EntityArmorStand Armor Stand 15412, MpServer -48.50, 59.56, -92.50 EntityArmorStand Armor Stand 15413, MpServer -45.50, 59.94, -100.50 EntityArmorStand Armor Stand 15414, MpServer -45.50, 59.56, -100.50 EntityArmorStand Armor Stand 1087, MpServer 12.50, 60.63, -4.28 EntityArmorStand Armor Stand 1088, MpServer 12.50, 60.63, -4.88 EntityArmorStand Armor Stand 1089, MpServer 12.50, 60.63, -5.50 EntityArmorStand Armor Stand 1090, MpServer 12.50, 60.63, -6.75 EntityArmorStand Armor Stand 1091, MpServer 12.50, 60.63, -6.13 EntityArmorStand Armor Stand 1092, MpServer 12.50, 61.19, -6.84 EntityArmorStand Armor Stand 1093, MpServer 12.50, 61.19, -4.19 EntityArmorStand Armor Stand 1094, MpServer 12.50, 61.56, -4.28 EntityArmorStand Armor Stand 1095, MpServer 12.50, 61.56, -4.88 EntityArmorStand Armor Stand 1096, MpServer 12.50, 61.56, -5.50 EntityArmorStand Armor Stand 1097, MpServer 12.50, 61.56, -6.16 EntityArmorStand Armor Stand 1098, MpServer 12.50, 61.56, -6.78 EntityArmorStand Armor Stand 1099, MpServer 12.47, 60.88, -4.56 EntityArmorStand Armor Stand 1100, MpServer 12.50, 61.19, -5.09 EntityArmorStand Armor Stand 1101, MpServer 12.44, 60.88, -6.50 EntityArmorStand Armor Stand 1102, MpServer 12.50, 61.19, -6.16 EntityArmorStand Armor Stand 1103, MpServer 12.56, 61.56, -5.28 EntityArmorStand Armor Stand 80, MpServer 11.44, 74.50, -110.25 EntityArmorStand Armor Stand 1104, MpServer 12.53, 61.56, -5.75 EntityArmorStand Armor Stand 81, MpServer 11.69, 74.47, -110.16 EntityItemFrame 1106, MpServer 18.50, 73.50, -48.03 EntityArmorStand Armor Stand 82, MpServer 11.56, 73.81, -110.09 EntityItemFrame 1107, MpServer 16.50, 73.50, -48.03 EntityArmorStand Armor Stand 83, MpServer 12.44, 74.03, -110.38 EntityArmorStand Armor Stand 84, MpServer 11.97, 73.78, -107.66 EntityArmorStand Armor Stand 85, MpServer 11.56, 74.00, -110.25 EntityArmorStand Armor Stand 86, MpServer 12.50, 74.47, -106.94 EntityArmorStand Armor Stand 87, MpServer 12.44, 73.56, -106.81 EntityArmorStand Armor Stand 88, MpServer 11.56, 73.56, -110.22 EntityArmorStand Armor Stand 89, MpServer 12.38, 74.31, -107.78 EntityArmorStand Armor Stand 90, MpServer 12.34, 74.19, -109.50 EntityArmorStand Armor Stand 91, MpServer 12.16, 74.00, -109.78 EntityArmorStand Armor Stand 92, MpServer 12.47, 74.22, -109.50 EntityOtherPlayerMP mri611pw1k 239, MpServer 15.50, 72.00, -21.50 EntityArmorStand Armor Stand 93, MpServer 12.41, 74.53, -106.94 EntityArmorStand Armor Stand 94, MpServer 12.00, 73.56, -110.22 EntityArmorStand Armor Stand 95, MpServer 11.75, 73.75, -107.69 EntityArmorStand Armor Stand 96, MpServer 12.44, 73.34, -109.81 EntityArmorStand Armor Stand 97, MpServer 12.03, 74.31, -107.81 EntityArmorStand Armor Stand 98, MpServer 12.09, 73.63, -107.56 EntityArmorStand Armor Stand 99, MpServer 12.44, 73.34, -106.81 EntityArmorStand Armor Stand 100, MpServer 12.00, 73.34, -106.81 EntityArmorStand Armor Stand 101, MpServer 11.69, 74.50, -110.22 EntityArmorStand Armor Stand 102, MpServer 12.41, 73.78, -107.66 EntityArmorStand Armor Stand 103, MpServer 12.00, 73.34, -110.22 EntityArmorStand Armor Stand 104, MpServer 12.53, 74.50, -109.91 EntityArmorStand Armor Stand 105, MpServer 12.41, 73.56, -109.38 EntityArmorStand Armor Stand 106, MpServer 12.44, 74.22, -109.28 EntityArmorStand Armor Stand 107, MpServer 12.09, 74.63, -107.56 EntityArmorStand Armor Stand 108, MpServer 12.41, 74.53, -109.94 EntityArmorStand Armor Stand 7276, MpServer -59.50, 89.00, -16.50 EntityArmorStand Armor Stand 109, MpServer 11.91, 74.22, -107.78 EntityArmorStand Armor Stand 7277, MpServer -59.50, 88.75, -16.50 EntityArmorStand Armor Stand 110, MpServer 12.31, 74.03, -107.22 EntityArmorStand Armor Stand 111, MpServer 12.28, 73.81, -109.41 EntityArmorStand Armor Stand 112, MpServer 12.53, 74.19, -109.50 EntityArmorStand Armor Stand 113, MpServer 11.97, 73.34, -107.69 EntityArmorStand Armor Stand 114, MpServer 12.34, 74.50, -109.91 EntityArmorStand Armor Stand 115, MpServer 12.00, 74.00, -106.81 EntityArmorStand Armor Stand 116, MpServer 12.78, 74.97, -107.84 EntityArmorStand Armor Stand 117, MpServer 11.66, 74.47, -110.31 EntityArmorStand Armor Stand 118, MpServer 12.09, 74.13, -107.56 EntityArmorStand Armor Stand 119, MpServer 12.09, 74.88, -107.56 EntityArmorStand Armor Stand 120, MpServer 11.88, 73.84, -107.22 EntityArmorStand Armor Stand 121, MpServer 12.31, 74.09, -107.22 EntityArmorStand Armor Stand 122, MpServer 11.97, 74.03, -110.38 EntityArmorStand Armor Stand 123, MpServer 12.41, 73.56, -110.25 EntityArmorStand Armor Stand 124, MpServer 11.56, 74.00, -109.97 EntityArmorStand Armor Stand 125, MpServer 12.19, 74.00, -109.41 EntityArmorStand Armor Stand 126, MpServer 12.00, 74.53, -106.91 EntityArmorStand Armor Stand 127, MpServer 11.94, 74.47, -106.94 EntityArmorStand Armor Stand 128, MpServer 12.25, 73.81, -109.81 EntityArmorStand Armor Stand 129, MpServer 12.22, 73.56, -107.25 EntityArmorStand Armor Stand 130, MpServer 12.41, 74.00, -109.81 EntityArmorStand Armor Stand 131, MpServer 12.44, 74.00, -106.81 EntityArmorStand Armor Stand 132, MpServer 12.09, 73.38, -107.56 EntityArmorStand Armor Stand 133, MpServer 11.56, 73.34, -110.25 EntityArmorStand Armor Stand 134, MpServer 12.13, 74.22, -107.81 EntityArmorStand Armor Stand 135, MpServer 12.47, 74.22, -107.78 EntityArmorStand Armor Stand 136, MpServer 12.41, 73.56, -109.78 EntityArmorStand Armor Stand 137, MpServer 12.44, 73.34, -109.38 EntityArmorStand Armor Stand 138, MpServer 12.22, 73.34, -107.25 EntityArmorStand Armor Stand 3210, MpServer -9.00, 68.00, -125.00 EntityArmorStand Armor Stand 139, MpServer 12.22, 74.47, -106.94 EntityArmorStand Armor Stand 3211, MpServer -9.00, 67.75, -125.00 EntityArmorStand Armor Stand 3212, MpServer -3.00, 72.63, -108.50 EntityArmorStand Armor Stand 140, MpServer 12.00, 73.56, -106.81 EntityArmorStand Armor Stand 141, MpServer 12.41, 73.34, -107.66 EntityArmorStand Armor Stand 142, MpServer 12.41, 73.72, -109.38 EntityArmorStand Armor Stand 143, MpServer 12.41, 73.34, -110.25 EntityArmorStand Armor Stand 144, MpServer 12.09, 73.88, -107.56 EntityArmorStand Armor Stand 145, MpServer 12.41, 74.53, -109.69 EntityArmorStand Armor Stand 3218, MpServer -3.00, 72.94, -108.50 EntityArmorStand Armor Stand 146, MpServer 12.09, 74.38, -107.56 EntityArmorStand Armor Stand 3219, MpServer 4.50, 72.13, -114.50 EntityOtherPlayerMP qm8tcqv0e3 148, MpServer 27.50, 71.00, -43.50 EntityOtherPlayerMP m6oazig0ew 149, MpServer 25.00, 64.00, -41.00 EntityArmorStand Armor Stand 3227, MpServer 2.00, 72.38, -110.50 EntityArmorStand Armor Stand 3228, MpServer 2.00, 72.00, -110.50 EntityArmorStand Armor Stand 3229, MpServer 2.00, 71.63, -110.50 EntityOtherPlayerMP 1rzt8jcs91 158, MpServer -24.50, 71.00, -58.50 EntityArmorStand Armor Stand 39072, MpServer 46.56, 69.20, -41.72 EntityArmorStand Armor Stand 3234, MpServer -21.50, 68.09, -124.50 EntityOtherPlayerMP cro31uvq46 162, MpServer -47.00, 74.00, -30.50 EntityArmorStand Armor Stand 3235, MpServer -21.50, 67.84, -124.50 EntityArmorStand Armor Stand 12453, MpServer -64.50, 70.09, -116.50 EntityArmorStand Armor Stand 12454, MpServer -64.50, 69.75, -116.50 EntityArmorStand Armor Stand 12455, MpServer -35.50, 69.09, -112.50 EntityArmorStand Armor Stand 12456, MpServer -35.50, 68.84, -112.50 EntityArmorStand Armor Stand 3240, MpServer -28.50, 69.09, -125.50 EntityArmorStand Armor Stand 3241, MpServer -28.50, 68.84, -125.50 EntityArmorStand Armor Stand 3255, MpServer -49.50, 70.00, -68.50 EntityArmorStand Armor Stand 3256, MpServer -49.50, 69.75, -68.50 EntityArmorStand Armor Stand 3257, MpServer -36.00, 73.00, -95.50 EntityArmorStand Armor Stand 3258, MpServer -36.00, 72.75, -95.50 EntityArmorStand Armor Stand 3259, MpServer -41.50, 70.00, -64.50 EntityArmorStand Armor Stand 3260, MpServer -41.50, 69.75, -64.50 EntityArmorStand Armor Stand 3261, MpServer -46.50, 73.00, -90.50 EntityArmorStand Armor Stand 3262, MpServer -46.50, 72.75, -90.50 EntityArmorStand Armor Stand 3263, MpServer -39.50, 70.00, -78.91 EntityArmorStand Armor Stand 3264, MpServer -39.50, 69.75, -78.91 EntityArmorStand Armor Stand 3265, MpServer -31.00, 73.00, -85.50 EntityArmorStand Armor Stand 3266, MpServer -31.00, 72.75, -85.50 EntityArmorStand Armor Stand 3267, MpServer -31.00, 73.00, -95.50 EntityArmorStand Armor Stand 3268, MpServer -31.00, 72.75, -95.50 EntityArmorStand Armor Stand 3269, MpServer -32.50, 71.00, -76.50 EntityArmorStand Armor Stand 3270, MpServer -32.50, 70.75, -76.50 EntityArmorStand Armor Stand 3271, MpServer -36.00, 73.00, -85.50 EntityArmorStand Armor Stand 3272, MpServer -36.00, 72.75, -85.50 EntityOtherPlayerMP gm8473h82b 203, MpServer -49.50, 70.00, -68.50 EntityOtherPlayerMP m1fm4l64wk 204, MpServer -41.50, 70.00, -64.50 EntityArmorStand Armor Stand 3284, MpServer 25.00, 64.00, -41.00 EntityArmorStand Armor Stand 3285, MpServer 25.00, 63.75, -41.00 EntityArmorStand Armor Stand 3286, MpServer 25.50, 71.00, -64.50 EntityVillager Villager 214, MpServer -7.50, 70.00, -75.50 EntityArmorStand Armor Stand 3287, MpServer 25.50, 70.63, -64.50 EntityArmorStand Armor Stand 3288, MpServer 27.50, 71.00, -43.50 EntityVillager Villager 216, MpServer 28.50, 69.00, -57.50 EntityArmorStand Armor Stand 3289, MpServer 27.50, 70.75, -43.50 EntityArmorStand Armor Stand 3290, MpServer 28.50, 69.09, -57.50 EntityArmorStand Armor Stand 3291, MpServer 28.50, 68.84, -57.50 EntityVillager Villager 222, MpServer -16.50, 70.00, -81.50 EntityVillager Villager 226, MpServer 17.50, 70.00, -100.00 EntityVillager Villager 228, MpServer -0.50, 70.00, -54.50 EntityArmorStand 7Lv30 cCrypt Ghoul a2000 a2000 31974, MpServer -65.75, 52.09, -116.75 EntityArmorStand Armor Stand 3304, MpServer 52.00, 69.00, -43.00 EntityVillager Villager 232, MpServer -6.50, 70.00, -89.50 EntityArmorStand Armor Stand 3305, MpServer 52.00, 68.75, -43.00 EntityArmorStand Armor Stand 3306, MpServer 38.50, 68.09, -46.50 EntityVillager Villager 234, MpServer -35.50, 70.00, -36.50 EntityArmorStand Armor Stand 3307, MpServer 38.50, 67.84, -46.50 EntityArmorStand Armor Stand 3308, MpServer 46.50, 69.47, -34.50 EntityArmorStand Armor Stand 3309, MpServer 46.50, 69.09, -34.50 EntityOtherPlayerMP iad49vmo94 237, MpServer -10.00, 70.00, -67.00 EntityArmorStand Armor Stand 3310, MpServer 46.50, 68.72, -34.50 EntityArmorStand Armor Stand 3311, MpServer 41.50, 70.00, -39.50 EntityOtherPlayerMP mri611pw1k 239, MpServer 15.50, 72.00, -21.50 EntityArmorStand Armor Stand 3312, MpServer 41.50, 69.75, -39.50 EntityArmorStand Armor Stand 3315, MpServer 41.50, 70.50, -63.50 EntityArmorStand Armor Stand 3316, MpServer 41.50, 70.25, -63.50 EntityArmorStand Armor Stand 39172, MpServer -10.66, 70.25, -61.47 EntityArmorStand 7Lv64 9Fu ad Lion 39173, MpServer -11.19, 71.06, -61.75 EntityOtherPlayerMP Treyman315 39174, MpServer -10.94, 82.57, -60.66 EntityArmorStand Armor Stand 262, MpServer 15.41, 72.00, -13.25 EntityArmorStand Armor Stand 263, MpServer 14.94, 72.00, -13.22 EntityArmorStand Armor Stand 264, MpServer 14.53, 72.00, -13.25 EntityArmorStand Armor Stand 265, MpServer 14.09, 72.00, -13.22 EntityArmorStand Armor Stand 266, MpServer 13.66, 72.00, -13.22 EntityArmorStand Armor Stand 267, MpServer 14.97, 72.00, -13.66 EntityArmorStand Armor Stand 268, MpServer 13.63, 72.00, -13.66 EntityOtherPlayerMP 713vbizw12 320, MpServer -31.00, 73.00, -95.50 EntityArmorStand Armor Stand 269, MpServer 14.06, 72.00, -13.66 EntityOtherPlayerMP j3f9pk414d 11, MpServer 11.50, 71.00, -101.00 EntityArmorStand Armor Stand 270, MpServer 14.53, 72.00, -13.66 EntityOtherPlayerMP 3t5a70p404 12, MpServer 0.00, 71.00, -101.00 EntityArmorStand Armor Stand 271, MpServer 15.38, 72.00, -13.69 EntityOtherPlayerMP qm8tcqv0e3 148, MpServer 27.50, 71.00, -43.50 EntityArmorStand Armor Stand 272, MpServer 15.34, 71.41, -13.44 EntityOtherPlayerMP m6oazig0ew 149, MpServer 25.00, 64.00, -41.00 EntityArmorStand Armor Stand 273, MpServer 15.31, 71.84, -13.44 EntityOtherPlayerMP m1fm4l64wk 204, MpServer -41.50, 70.00, -64.50 EntityArmorStand Armor Stand 274, MpServer 13.84, 70.28, -13.44 EntityOtherPlayerMP 73628l5q58 209, MpServer 30.50, 70.00, -90.50 EntityArmorStand Armor Stand 275, MpServer 13.84, 70.91, -13.44 EntityOtherPlayerMP e9475omei4 212, MpServer 34.50, 71.00, -100.50 EntityArmorStand Armor Stand 276, MpServer 14.53, 72.13, -13.25 EntityOtherPlayerMP 1rzt8jcs91 158, MpServer -24.50, 71.00, -58.50 EntityArmorStand Armor Stand 3349, MpServer 34.50, 71.09, -100.50 EntityArmorStand Armor Stand 277, MpServer 14.31, 72.13, -13.81 EntityArmorStand Armor Stand 3350, MpServer 34.50, 70.72, -100.50 EntityArmorStand Armor Stand 278, MpServer 14.19, 71.50, -14.34 EntityArmorStand Armor Stand 279, MpServer 15.31, 72.13, -13.44 EntityOtherPlayerMP 7fqv7hn522 295, MpServer 8.50, 71.00, -94.50 EntityArmorStand Armor Stand 280, MpServer 13.81, 71.72, -13.59 EntityOtherPlayerMP t74yvpw19y 318, MpServer -31.00, 73.00, -85.50 EntityArmorStand Armor Stand 281, MpServer 13.81, 71.38, -13.59 EntityOtherPlayerMP e074n198db 319, MpServer -36.00, 73.00, -85.50 EntityOtherPlayerMP g050nu7733 321, MpServer -36.00, 73.00, -95.50 EntityOtherPlayerMP kv09lti1xd 348, MpServer 15.50, 70.00, -71.81 EntityArmorStand Armor Stand 8476, MpServer 51.50, 79.00, -13.50 EntityOtherPlayerMP z168u59a77 349, MpServer 23.00, 71.00, -69.00 EntityItemFrame 1309, MpServer -20.50, 73.50, -38.03 EntityArmorStand Armor Stand 8477, MpServer 51.50, 78.75, -13.50 EntityOtherPlayerMP uvo38726zw 363, MpServer -32.50, 71.00, -76.50 EntityItemFrame 1310, MpServer -18.50, 73.50, -38.03 EntityOtherPlayerMP tae14d5s24 364, MpServer -39.50, 70.00, -78.91 EntityOtherPlayerMP 7ee21f2064 294, MpServer 7.00, 70.00, -85.00 EntityOtherPlayerMP 069uj5u7k1 210, MpServer 33.50, 70.00, -95.50 EntityOtherPlayerMP hc132rtdl7 211, MpServer 32.50, 77.00, -93.50 EntityOtherPlayerMP 7ee21f2064 294, MpServer 7.00, 70.00, -85.00 EntityOtherPlayerMP 7fqv7hn522 295, MpServer 8.50, 71.00, -94.50 EntityOtherPlayerMP qx8wdr2qmd 296, MpServer -46.50, 73.00, -90.50 EntityArmorStand Armor Stand 297, MpServer -45.50, 59.63, -100.50 EntityArmorStand Armor Stand 298, MpServer -39.50, 59.63, -100.50 EntityArmorStand Armor Stand 299, MpServer -33.50, 59.63, -100.50 EntityArmorStand Armor Stand 300, MpServer -30.50, 59.63, -97.50 EntityItemFrame 301, MpServer -16.97, 73.50, -83.50 EntityItemFrame 302, MpServer -16.97, 73.50, -85.50 EntityArmorStand Armor Stand 303, MpServer -30.50, 59.63, -92.50 EntityArmorStand Armor Stand 304, MpServer -30.50, 59.63, -88.50 EntityArmorStand Armor Stand 305, MpServer -30.50, 59.63, -83.50 EntityArmorStand Armor Stand 1330, MpServer 15.50, 70.00, -71.78 EntityArmorStand Armor Stand 306, MpServer -33.50, 59.63, -80.50 EntityItem item.item.swordIron 37170, MpServer -42.50, 61.00, -90.50 EntityArmorStand Armor Stand 1331, MpServer 15.50, 69.75, -71.78 EntityArmorStand Armor Stand 307, MpServer -36.50, 59.63, -86.50 EntityItem item.item.swordIron 37171, MpServer -42.50, 61.00, -86.50 EntityArmorStand Armor Stand 1332, MpServer 7.00, 70.25, -85.00 EntityArmorStand Armor Stand 308, MpServer -36.50, 59.63, -90.50 EntityItem 37172, MpServer -39.50, 61.00, -80.50 EntityArmorStand Armor Stand 1333, MpServer 7.00, 70.00, -85.00 EntityArmorStand Armor Stand 309, MpServer -36.50, 59.63, -94.50 EntityArmorStand Armor Stand 1334, MpServer 7.00, 69.75, -85.00 EntityArmorStand Armor Stand 310, MpServer -42.50, 59.63, -94.50 EntityArmorStand bTravel to: 1335, MpServer -2.50, 70.44, -62.50 EntityArmorStand Armor Stand 311, MpServer -42.50, 59.63, -90.50 EntityArmorStand aYour Island 1336, MpServer -2.50, 70.06, -62.50 EntityArmorStand Armor Stand 312, MpServer -42.50, 59.63, -86.50 EntityArmorStand Hub Selector 1337, MpServer -10.00, 70.00, -67.00 EntityArmorStand Armor Stand 313, MpServer -39.50, 59.63, -80.50 EntityArmorStand lCLICK 1338, MpServer -10.00, 69.75, -67.00 EntityArmorStand Armor Stand 314, MpServer -45.50, 59.63, -80.50 EntityArmorStand Vex 1339, MpServer -16.50, 70.09, -81.50 EntityArmorStand Armor Stand 8507, MpServer 5.50, 32.13, -106.50 EntityArmorStand Armor Stand 315, MpServer -48.50, 59.63, -83.50 EntityArmorStand lCLICK 1340, MpServer -16.50, 69.84, -81.50 EntityArmorStand Armor Stand 316, MpServer -48.50, 59.63, -88.50 EntityArmorStand Armor Stand 8508, MpServer 5.50, 33.72, -119.50 EntityArmorStand Banker 1341, MpServer -24.50, 71.00, -58.50 EntityArmorStand Armor Stand 317, MpServer -48.50, 59.63, -92.50 EntityArmorStand Armor Stand 8509, MpServer 5.50, 33.34, -119.50 EntityArmorStand lCLICK 1342, MpServer -24.50, 70.75, -58.50 EntityArmorStand Armor Stand 8510, MpServer 5.50, 32.97, -119.50 EntityOtherPlayerMP t74yvpw19y 318, MpServer -31.00, 73.00, -85.50 EntityArmorStand Armor Stand 1343, MpServer -6.50, 70.09, -89.50 EntityArmorStand Armor Stand 8511, MpServer 5.50, 32.59, -119.50 EntityOtherPlayerMP e074n198db 319, MpServer -36.00, 73.00, -85.50 EntityArmorStand Armor Stand 1344, MpServer -6.50, 69.84, -89.50 EntityArmorStand Armor Stand 8512, MpServer 17.50, 33.53, -119.50 EntityOtherPlayerMP 713vbizw12 320, MpServer -31.00, 73.00, -95.50 EntityArmorStand Jack 1345, MpServer -0.50, 70.09, -54.50 EntityArmorStand Armor Stand 8513, MpServer 17.50, 33.16, -119.50 EntityOtherPlayerMP g050nu7733 321, MpServer -36.00, 73.00, -95.50 EntityArmorStand lCLICK 1346, MpServer -0.50, 69.84, -54.50 EntityArmorStand Armor Stand 8514, MpServer 17.50, 32.81, -119.50 EntityArmorStand Leo 1347, MpServer -7.50, 70.09, -75.50 EntityArmorStand Armor Stand 8515, MpServer -6.50, 33.53, -119.50 EntityArmorStand lCLICK 1348, MpServer -7.50, 69.84, -75.50 EntityArmorStand Armor Stand 8516, MpServer -6.50, 33.16, -119.50 EntityArmorStand Armor Stand 8517, MpServer -6.50, 32.81, -119.50 EntityArmorStand Armor Stand 8521, MpServer 1.50, 32.00, -119.50 EntityArmorStand Armor Stand 8522, MpServer 1.50, 31.75, -119.50 EntityArmorStand Armor Stand 8529, MpServer 9.50, 32.00, -119.50 EntityArmorStand Armor Stand 8530, MpServer 9.50, 31.75, -119.50 EntityArmorStand Armor Stand 8533, MpServer 5.50, 32.25, -119.50 EntityOtherPlayerMP kv09lti1xd 348, MpServer 15.50, 70.00, -71.81 EntityOtherPlayerMP z168u59a77 349, MpServer 23.00, 71.00, -69.00 EntityOtherPlayerMP b08z3yq569 350, MpServer 23.00, 77.00, -69.50 EntityOtherPlayerMP uvo38726zw 363, MpServer -32.50, 71.00, -76.50 EntityOtherPlayerMP tae14d5s24 364, MpServer -39.50, 70.00, -78.91 EntityItemFrame 375, MpServer 21.97, 73.50, -86.50 EntityArmorStand Armor Stand 376, MpServer 38.50, 73.53, -37.50 EntityArmorStand Armor Stand 1440, MpServer 23.00, 71.00, -69.00 EntityArmorStand Armor Stand 1441, MpServer 23.00, 70.75, -69.00 EntityArmorStand Armor Stand 1442, MpServer 23.00, 77.00, -69.50 EntityArmorStand Armor Stand 1443, MpServer 23.00, 76.75, -69.50 EntityItemFrame 457, MpServer -6.50, 73.50, -93.97 EntityItemFrame 458, MpServer -8.50, 73.50, -93.97 EntityArmorStand Armor Stand 477, MpServer -7.00, 76.41, -26.00 EntityArmorStand Armor Stand 481, MpServer 44.50, 75.41, -122.50 EntityOtherPlayerMP cro31uvq46 162, MpServer -47.00, 74.00, -30.50 EntityArmorStand Armor Stand 485, MpServer -15.50, 64.53, -109.50 EntityOtherPlayerMP qx8wdr2qmd 296, MpServer -46.50, 73.00, -90.50 EntityArmorStand Armor Stand 27110, MpServer -3.50, 70.13, -13.50 EntityArmorStand Armor Stand 26096, MpServer 20.00, 61.09, -9.00 EntityArmorStand Armor Stand 26097, MpServer 20.00, 60.84, -9.00 EntityArmorStand Armor Stand 7666, MpServer -39.50, 59.94, -80.50 EntityArmorStand Armor Stand 498, MpServer 40.50, 66.53, -64.50 EntityArmorStand Armor Stand 7667, MpServer -39.50, 59.56, -80.50 EntityArmorStand Armor Stand 500, MpServer 26.50, 78.53, -64.50 EntityArmorStand Armor Stand 7668, MpServer -33.50, 59.94, -80.50 EntityArmorStand Armor Stand 7669, MpServer -33.50, 59.56, -80.50 EntityArmorStand Armor Stand 7671, MpServer -36.50, 59.94, -86.50 EntityArmorStand Armor Stand 7672, MpServer -36.50, 59.56, -86.50 EntityArmorStand Armor Stand 6648, MpServer 32.50, 77.00, -93.50 EntityArmorStand Armor Stand 6649, MpServer 32.50, 76.75, -93.50 EntityArmorStand Armor Stand 8703, MpServer -25.69, 68.09, -103.09 EntityArmorStand Armor Stand 8704, MpServer -25.69, 67.84, -103.09 EntityArmorStand Armor Stand 520, MpServer -19.50, 88.53, -11.50 EntityArmorStand fVault 2574, MpServer -28.50, 71.31, -61.50 EntityArmorStand lCLICK 2575, MpServer -28.50, 70.94, -61.50 EntityArmorStand Armor Stand 527, MpServer -52.50, 68.53, -99.50 EntityArmorStand Armor Stand 1555, MpServer 0.00, 71.25, -101.00 EntityArmorStand Armor Stand 1556, MpServer 0.00, 71.00, -101.00 EntityArmorStand Armor Stand 1557, MpServer 0.00, 70.75, -101.00 EntityArmorStand Armor Stand 1558, MpServer 8.50, 71.63, -94.50 EntityArmorStand Armor Stand 1559, MpServer 8.50, 71.38, -94.50 EntityArmorStand Armor Stand 1560, MpServer 8.50, 71.00, -94.50 EntityArmorStand Armor Stand 1561, MpServer 8.50, 70.75, -94.50 EntityArmorStand Armor Stand 1562, MpServer 11.50, 71.00, -101.00 EntityArmorStand Armor Stand 1563, MpServer 11.50, 70.75, -101.00 EntityArmorStand Armor Stand 1564, MpServer 17.50, 70.09, -100.00 EntityArmorStand Armor Stand 1565, MpServer 17.50, 69.84, -100.00 EntityArmorStand Armor Stand 542, MpServer -48.50, 88.53, -71.50 EntityArmorStand Armor Stand 1570, MpServer 30.50, 70.00, -90.50 EntityArmorStand Armor Stand 1571, MpServer 30.50, 69.75, -90.50 EntityArmorStand 7Lv30 cCrypt Ghoul a2000 a2000 32291, MpServer -60.72, 53.09, -118.53 EntityArmorStand Armor Stand 556, MpServer -23.50, 86.53, -62.50 EntityArmorStand Armor Stand 1581, MpServer 6.50, 73.00, -110.50 EntityArmorStand Armor Stand 1582, MpServer 6.50, 72.75, -110.50 EntityArmorStand Armor Stand 1583, MpServer 12.00, 73.94, -108.50 EntityArmorStand Armor Stand 1584, MpServer 34.50, 71.09, -100.50 EntityArmorStand Armor Stand 1585, MpServer 34.50, 70.72, -100.50 EntityArmorStand Armor Stand 1586, MpServer 12.00, 74.53, -108.50 EntityArmorStand Armor Stand 1587, MpServer 28.00, 70.09, -116.00 EntityArmorStand Armor Stand 1588, MpServer 28.00, 69.84, -116.00 EntityArmorStand Armor Stand 1589, MpServer 33.50, 70.00, -95.50 EntityArmorStand Armor Stand 1590, MpServer 33.50, 69.75, -95.50 EntityArmorStand Armor Stand 1591, MpServer 12.00, 74.25, -108.50 EntityArmorStand Armor Stand 7770, MpServer -37.50, 68.00, -125.50 EntityArmorStand Armor Stand 7771, MpServer -37.50, 67.75, -125.50 EntityItem 38504, MpServer -30.50, 61.00, -92.50 EntityItem 38505, MpServer -30.50, 61.00, -88.50 EntityItem 38506, MpServer -30.50, 61.00, -83.50 EntityArmorStand Armor Stand 618, MpServer 26.94, 60.41, -5.16 EntityItem item.item.swordIron 38507, MpServer -33.50, 61.00, -80.50 EntityArmorStand Armor Stand 619, MpServer 26.44, 61.50, -5.50 EntityItem 38508, MpServer -36.50, 61.00, -86.50 EntityArmorStand Armor Stand 620, MpServer 26.44, 61.81, -5.50 EntityItem item.item.swordIron 38509, MpServer -36.50, 61.00, -90.50 EntityArmorStand Armor Stand 621, MpServer 26.44, 62.19, -5.50 EntityArmorStand Armor Stand 622, MpServer 26.81, 61.94, -6.69 EntityArmorStand Armor Stand 623, MpServer 26.13, 62.03, -4.44 EntityArmorStand Armor Stand 624, MpServer 26.50, 62.56, -5.50 EntityArmorStand Armor Stand 625, MpServer 26.44, 62.59, -5.69 EntityArmorStand Armor Stand 626, MpServer 26.44, 62.59, -5.34 EntityArmorStand Armor Stand 627, MpServer 26.72, 62.50, -6.16 EntityArmorStand Armor Stand 628, MpServer 26.88, 62.34, -6.13 EntityArmorStand Armor Stand 629, MpServer 26.66, 62.16, -6.00 EntityArmorStand Armor Stand 630, MpServer 26.63, 62.41, -6.09 EntityArmorStand Armor Stand 631, MpServer 26.88, 62.50, -6.19 EntityArmorStand Armor Stand 632, MpServer 26.25, 62.38, -4.88 EntityArmorStand Armor Stand 633, MpServer 26.00, 62.31, -4.97 EntityArmorStand Armor Stand 634, MpServer 26.06, 62.50, -4.84 EntityArmorStand Armor Stand 635, MpServer 26.22, 62.19, -5.03 EntityArmorStand Armor Stand 636, MpServer 26.47, 63.22, -5.50 EntityArmorStand Armor Stand 637, MpServer 26.34, 62.81, -5.78 EntityArmorStand Armor Stand 638, MpServer 26.38, 62.81, -5.19 EntityArmorStand Armor Stand 639, MpServer 26.63, 62.81, -5.81 EntityArmorStand Armor Stand 640, MpServer 26.66, 62.81, -5.19 EntityPlayerSP Fu ad 39171, MpServer -10.91, 70.00, -60.65 EntityArmorStand Armor Stand 655, MpServer 27.00, 61.72, -0.72 EntityArmorStand Armor Stand 656, MpServer 27.00, 61.41, -0.72 EntityArmorStand Armor Stand 657, MpServer 27.00, 61.13, -0.72 EntityArmorStand Armor Stand 658, MpServer 26.47, 61.13, -0.72 EntityArmorStand Armor Stand 659, MpServer 26.50, 61.81, -1.50 EntityArmorStand Armor Stand 660, MpServer 26.50, 61.81, -1.25 EntityArmorStand Armor Stand 661, MpServer 26.50, 61.81, -1.00 EntityArmorStand Armor Stand 662, MpServer 26.50, 61.81, -0.78 EntityArmorStand Armor Stand 663, MpServer 26.78, 60.28, -1.28 EntityArmorStand Armor Stand 664, MpServer 26.75, 60.28, -1.75 EntityArmorStand Armor Stand 665, MpServer 27.56, 60.56, -0.69 EntityArmorStand Armor Stand 666, MpServer 27.56, 60.56, -1.59 EntityArmorStand Armor Stand 667, MpServer 26.78, 61.63, -0.63 EntityArmorStand Armor Stand 668, MpServer 26.81, 61.63, -1.66 EntityArmorStand Armor Stand 673, MpServer 26.50, 61.00, 2.50 EntityArmorStand Armor Stand 674, MpServer 26.50, 61.00, 2.50 EntityArmorStand Armor Stand 675, MpServer 26.53, 62.47, 2.50 EntityArmorStand Armor Stand 676, MpServer 25.88, 62.19, 1.97 EntityArmorStand Armor Stand 3777, MpServer -35.50, 70.09, -36.50 EntityArmorStand Armor Stand 3778, MpServer -35.50, 69.84, -36.50 E</t>
  </si>
  <si>
    <t>2022-04-25</t>
  </si>
  <si>
    <t>broken-shotgun-run-lines-12</t>
  </si>
  <si>
    <t>**Describe the bug**
Attempting to background app during lengthy import (most PDF imports are long) can cause app to crash.
1. Enable this option on your device: Settings -&gt; Developer Options -&gt; Don keep Activities.
2. Press Home button while the AsyncTask is executing and the ProgressDialog is showing.
Dialogs should be handled properly and be handled properly when the app is background, event during an asynchronous operation.</t>
  </si>
  <si>
    <t>ankidroid-Anki-Android-5794</t>
  </si>
  <si>
    <t>Crash with no user warning when WebView updates Android 5.x</t>
  </si>
  <si>
    <t>###### Reproduction Steps
1. Remove Android System Webview updates on Samsung galaxy phone (mostly) Android 5.x
2. Open AnkiDroid
3. Run Play Store updates (to update the Android System WebView)
###### Expected Result
The App *should* reload (part of the webview update) and worst case notify the user the webview is not available
###### Actual Result
The App is reloaded but because it touches the WebView immediately on startup and the WebView is not there, it crashes
Normally would say ignore it but we will support 5.x for while longer and this crashes people lot, 2-3 day so it makes our top-10 crash list.
Also, it should be an easy fix, with the proper fix being to catch this exception bubbling up, test if the webview is available ourselves, and if it is not then throw dialog with translated error message telling the user AnkiDroid relies on the System WebView which is unavailable. This can happen if the system is installing updates. Please try again in few minutes and then an app close (since we can work without webview anyway)
###### Debug info
*Enter an character to confirm the points below:*
have searched for similar existing issues here and on the user forum</t>
  </si>
  <si>
    <t>castle-castle-android-26</t>
  </si>
  <si>
    <t>[CRASH] App crashes when using Biometric Api</t>
  </si>
  <si>
    <t>Castle integration causes crash due to the fact that sets its title to null.
Caused by: Attempt to invoke interface method java.lang.String on null object reference</t>
  </si>
  <si>
    <t>AthulKrishna14310-inlens_official-43</t>
  </si>
  <si>
    <t>Invite Link Crashing</t>
  </si>
  <si>
    <t>if the person already present in album check the reason for crashing
am able to rejoin the expired album that is quit by the Admin.
Rejoin Alert should be made with CFAlert dialogue.
-Check if all album procedures are stating on invite link click</t>
  </si>
  <si>
    <t>andOTP-andOTP-500</t>
  </si>
  <si>
    <t>App crashes if incorrect secret is entered</t>
  </si>
  <si>
    <t>#### General information
**App version:** 0.7.0
**App source:** built from sources
**Android Version:** Android
**Custom ROM:** emulator
Same crash on actual devices with app 0.7.0 and 0.6.3.1 from F-Droid.
#### Expected result
**What is expected?**
An error message is displayed.
**What does happen instead?**
#### Steps to reproduce
Open entry creation dialog -&gt; Enter details).
Enter test in the Secret field (and fill other required fields).</t>
  </si>
  <si>
    <t>AdguardTeam-ContentBlocker-220</t>
  </si>
  <si>
    <t>Fix crashes from the Play store</t>
  </si>
  <si>
    <t>So, we found few crashes related to old class FilterRuleDaoImpl, few Activity classes, etc.
We need to fix them asap.</t>
  </si>
  <si>
    <t>cgeo-WhereYouGo-65</t>
  </si>
  <si>
    <t>Reports about crashes when starting cartridges</t>
  </si>
  <si>
    <t>While downloading is confirmed working by all beta testers, there are some reports about not being able to play cartridges. We did not actively change any code in this part, however due to the raised targetSDK guess there might be new problems.
am currently waiting to get some GC-codes where cartridges are problematic. tried to start several and had no problem so far.</t>
  </si>
  <si>
    <t>k9mail-k-9-4592</t>
  </si>
  <si>
    <t>K9 crashes on start after Androidupdate</t>
  </si>
  <si>
    <t>### Expected behavior
The app should work as before.
### Actual behavior
When open the app it crashes and closes several times.
### What changed?
ve installed the security update for my shiftphone.
It is the security update for the wireless lan chip issue.
### Steps to reproduce
1. Open the app
3. reopen it, and it crashes again
K-9 Mail version: 5.705 and 5.600 happens on both
Android version: 8.0.0
Account type (IMAP, POP3, WebDAV Exchange): IMAP</t>
  </si>
  <si>
    <t>CMPUT301W20T17-BeepBeep-9</t>
  </si>
  <si>
    <t>App crash after sign out</t>
  </si>
  <si>
    <t>**Describe the bug**
After signout, if we don log back in immediately, the app will crash
Steps to reproduce the behavior:
1. open app
3. sign out
4. quit app
5. reopen app</t>
  </si>
  <si>
    <t>2020-03-05</t>
  </si>
  <si>
    <t>CMPUT301W20T17-BeepBeep-7</t>
  </si>
  <si>
    <t>App stop working after closing</t>
  </si>
  <si>
    <t>**Describe the bug**
After login, if you quit the app times, the app will stop working
Steps to reproduce the behavior:
1. open app
4. open app
6. open app
6. app crash</t>
  </si>
  <si>
    <t>nextcloud-android-5590</t>
  </si>
  <si>
    <t>3.11.0 RC1: Upload existing files makes app hang</t>
  </si>
  <si>
    <t>### Steps to reproduce
1. Go to automatic uploads
2. Choose folder with lot of existing files and enable Upload existing files
3. Close the dialog
### Expected behaviour
Existing files should be uploaded if they are not uploaded already.
### Actual behaviour
App hangs and crashes.
### Environment data
The folder has lot of files (10.000+ images). folder with not so many files seems to work, at least the app does not hang.
Android version: 10
Device model: Pixel 4XL
Stock or customized system: Stock
Nextcloud app version: 3.11.0 RC1
Nextcloud server version: 18.0.1</t>
  </si>
  <si>
    <t>barbeau-gpstest-386</t>
  </si>
  <si>
    <t>Crash when selecting log file on root directory</t>
  </si>
  <si>
    <t>Seen on the Google Play console if the user tries to pick log file to share that has been stored in the root directory, you ll get the following crash:
Caused by: length index
GPSTest stores files in hard-coded gnss log directory so the user must be trying to share file not logged via GPSTest, so this is corner-case, but it would still be nice to not crash.
**Steps to reproduce:**
1. Enable logging (e.g., NMEA) in Settings
1. Tap on Share file
1. Use your file manager to browse to the root directory of your phone and pick file there
Share the file you picked
**Device and Android version:**</t>
  </si>
  <si>
    <t>defold-extension-iap-18</t>
  </si>
  <si>
    <t>iOS crash, empty IAPProduct</t>
  </si>
  <si>
    <t>Sometimes, when developer create new purchase, AppStore returns IAPProduct with empty fields (except productIdentifier) and app crash on the following line:
think extension should check if this field empty and provide debug message.
found that after few renaming of purchases (yes, just rename purchase in App Store Connect, and then rename it back), start receiving valid purchase info.
More info here: https: github.com defold editor2-issues issues 2908</t>
  </si>
  <si>
    <t>commons-app-apps-android-commons-3466</t>
  </si>
  <si>
    <t>No crash information in crash email (Gmail)</t>
  </si>
  <si>
    <t>Since rather long time, ACRA seems to not attach logs to the crash report email.
For instance, just got crash and after the ACRA screen, Gmail opens on this screen:
As you can see, the email is empty, so there is no point sending it.
Fortunately had logcat running this time, here it is, hopefully it can explain why the crash info is not included in the email:</t>
  </si>
  <si>
    <t>Instabug-Instabug-Android-285</t>
  </si>
  <si>
    <t>IllegalStateException in FeatureRequestsDetailsFragment on version 8.7.2</t>
  </si>
  <si>
    <t>### Steps to Reproduce the Problem
getting the crash report in Crashlytics but can reproduce this issue
### Expected Behavior
App doesn crash
### Actual Behavior
App crashes with log:
Fatal Exception: Fragment 5a41f42 not attached to context.
### Instabug integration code
### SDK Version
### Android Version Device Model</t>
  </si>
  <si>
    <t>2020-03-04</t>
  </si>
  <si>
    <t>nextcloud-android-5577</t>
  </si>
  <si>
    <t>Details view crash</t>
  </si>
  <si>
    <t>### Steps to reproduce
1. Open folder
2. On one file, tap the dots
3. Tap Details
### Expected behaviour
### Actual behaviour
Crash shortly after showing the tabbed interface (Activity Sharing)
### Environment data
Android version: **10**
Device model: **Nokia Plus**
Stock or customized system: **Stock**
Nextcloud app version: **3.10.1**
Nextcloud server version: **18.0.x** (1? unsure)
#### Web server error log
#### Nextcloud log (data nextcloud.log)
************ CAUSE OF ERROR ************
Caused by: SSL handshake aborted:
... 26 more
************ APP INFORMATION ************
Build flavor: gplay</t>
  </si>
  <si>
    <t>square-okhttp-5844</t>
  </si>
  <si>
    <t>ConnectionPool.cleanup has ConcurrentModificationException</t>
  </si>
  <si>
    <t>use okhttp 3.12.3 and found this crash:</t>
  </si>
  <si>
    <t>Simerjit-developer-Team2-11</t>
  </si>
  <si>
    <t xml:space="preserve">app crashes when we navigate to terms and conditions page </t>
  </si>
  <si>
    <t>From Menu, when select Terms Conditions app crashes</t>
  </si>
  <si>
    <t>TachibanaGeneralLaboratories-download-navi-56</t>
  </si>
  <si>
    <t>Deleting multiple files caused crash</t>
  </si>
  <si>
    <t>Never happened before, though, when deleting multiple files.</t>
  </si>
  <si>
    <t>2020-03-03</t>
  </si>
  <si>
    <t>nextcloud-android-5568</t>
  </si>
  <si>
    <t>### Steps to reproduce
1. Install Nexcloud app from Google Play store
2. Launch the app
### Expected behaviour
App should open at least
### Actual behaviour
Series of system message that the app crashed
### Environment data
Android version: 6.0.1
Device model: Samsung SM-G906K
Stock or customized system: Stock
Nextcloud app version: 3.10.1
Nextcloud server version:
#### Web server error log
Inser your Nextcloud server log here
#### Nextcloud log (data nextcloud.log)
************ CAUSE OF ERROR ************
************ APP INFORMATION ************
Build flavor: gplay
************ DEVICE INFORMATION ************</t>
  </si>
  <si>
    <t>square-okhttp-5840</t>
  </si>
  <si>
    <t>Crash on Android 10 with underscore in subdomain</t>
  </si>
  <si>
    <t>Crash on OkHttp 3.12.9 and 3.12.10 when URL subdomain contains underscores. Reproducible on API 29 (Android 10) emulator but not API 28 (Android 9).
On OkHttp 3.12.8 it errors but does not crash. Similarly OkHttp 3.12.10 errors but does not crash on Android 9.
Reproduce by making GET request to an HTTPS URL with underscore in subdomain.
saw old issue #242 closed saying underscores aren allowed in hostnames, which may be technically true, but they are sometimes seen in the wild. Examples:
https: open nsfw.gitlab.io (which was highly circulated on the web few years ago)
https: example underscore
https: instant regret.reddit.com
OkHttp 3.12.10 on Android 10:
--------- beginning of crash
Caused by: The input does not conform to the STD ASCII rules. line: 0. preContext: postContext: underscore
OkHttp 3.12.8 on Android 10, error but no crash:
Caused by: Invalid input to toASCII: example
... 23 more
Caused by: Invalid input to toASCII: example
... 26 more
Caused by: The input does not conform to the STD ASCII rules. line: 0. preContext: postContext: underscore
... 34 more</t>
  </si>
  <si>
    <t>square-okhttp-5837</t>
  </si>
  <si>
    <t>okhttp3 is throwing java.net.ConnectException when calling .intercept()</t>
  </si>
  <si>
    <t>Here the code am using
class val helper: RequestHelper) Interceptor
override fun intercept(chain: Interceptor.Chain): Response
if (code 200
&amp;&amp; HOST BASE)
throw IOException( Error while generating Hmac for Response JSON
This line here is crashing with this stack trace
am unsure of what can be causing that?</t>
  </si>
  <si>
    <t>2020-03-02</t>
  </si>
  <si>
    <t>readrops-Readrops-55</t>
  </si>
  <si>
    <t>Application crashes when entering an url without http scheme</t>
  </si>
  <si>
    <t>Should be because of the SSO login of yunohost, but would like to know how to connect freshrss hosted on yunohost to Readrops. Any hint</t>
  </si>
  <si>
    <t>koral---android-gif-drawable-729</t>
  </si>
  <si>
    <t xml:space="preserve">Android 10 </t>
  </si>
  <si>
    <t>nextcloud-android-5556</t>
  </si>
  <si>
    <t>nextcloud android application crash</t>
  </si>
  <si>
    <t>### Steps to reproduce
### Expected behaviour
Nextcloud android application should not crash while opening or downloading pdf files from cloud server.
### Actual behaviour
Tell us what happens Nextcloud android application crashed while opening or downloading pdf files from cloud server.
### Environment data
Android version: 8.1
Device model: Samsung Note
Stock or customized system: Stock
Nextcloud app version: 3.10.1
Nextcloud server version:
#### Web server error log
Insert your webserver log here
#### Nextcloud log (data nextcloud.log)
Insert your Nextcloud log here
************ CAUSE OF ERROR ************
************ APP INFORMATION ************
Build flavor: gplay
************ DEVICE INFORMATION ************
************ FIRMWARE ************</t>
  </si>
  <si>
    <t>deltachat-deltachat-android-1259</t>
  </si>
  <si>
    <t>reproducible crash when generating a qr-code with core1.26</t>
  </si>
  <si>
    <t>trying to generate qr code with unreleased android 1.2.1 using core1.26 crashes reliably. not sure, where it comes from, maybe also an build failure or so.</t>
  </si>
  <si>
    <t>2020-03-01</t>
  </si>
  <si>
    <t>ramack-ActivityDiary-292</t>
  </si>
  <si>
    <t>``NumberFormatException`` when updating distance and can never open the setting page anymore</t>
  </si>
  <si>
    <t>This exception was found on the master (v1.4.0, the latest code version) and Google Android phone. This crash issue is similar to #285 but was caused from another function.
The exception trace:
Once this issue happens, the setting page cannot be opened, and the app crashes with the exception trace below.
FATAL EXCEPTION: main
Caused by: Invalid int:</t>
  </si>
  <si>
    <t>druit-Wallet-Analyzer-19</t>
  </si>
  <si>
    <t>OCR Library Error</t>
  </si>
  <si>
    <t>Tesseract OCR Library crashes after reading bmp image with error:</t>
  </si>
  <si>
    <t>commons-app-apps-android-commons-3442</t>
  </si>
  <si>
    <t>Mapbox localization related crash on app start</t>
  </si>
  <si>
    <t>App crashes on start if using the en-gb locale. think this is because the mapbox dependency was updated but the corresponding localization plugin was not.
**Steps to reproduce:**
Set the system language to en-gb Open the app.
**Device and Android version:**
What make and model device (e.g., Samsung J7) did you encounter this on? Simulator
What Android version (e.g., Android 4.0 Ice Cream Sandwich or Android 6.0 Marshmallow) are you running? API 28
**Commons app version:**
**Would you like to work on the issue?**
Yep, think the fix is simply matching the major versions again.</t>
  </si>
  <si>
    <t>sc4v3ng3r-flutter_audio_query-16</t>
  </si>
  <si>
    <t>getSongsById</t>
  </si>
  <si>
    <t>crash application if memberIds contain only one song title.</t>
  </si>
  <si>
    <t>nextcloud-android-5551</t>
  </si>
  <si>
    <t>### Steps to reproduce
0. Create new group and user in that group
0. This user logs in on his mobile device
1. He Uses subfolder of Photos (a folder that existed when finished my Nextcloud setup) to upload all photos from his mobile device with the app
2. Login in as admin on your pc and download the group folder app.
3. Create group folder Photos and give the new group writing permission. The admin also gets all permissions in the new group.
4. The earlier created user looks into his app again and sees his folder replaced by the group folder
5. He decides to upload his stuff to another folder which he newly creates. He clciks on ok and the app crashes.
### Expected behaviour
would have expected to either have normal folders and group folders distinguished or to be warned when create folder with the same name
app not crashing
### Actual behaviour
the other folder disappeared
the app crashed
### Environment data
Stock or customized system:
Nextcloud app version:
Nextcloud server version:
#### Web server error log
Insert your webserver log here</t>
  </si>
  <si>
    <t>TeamNewPipe-NewPipe-3163</t>
  </si>
  <si>
    <t>Crash when share video to download</t>
  </si>
  <si>
    <t>Steps to reproduce:
Share video to newpipe and select download.
Share another video to newpipe and click download
open newpipe from notification, before title to save appears (it usually takes few seconds before dialog appears)
User Action: ui error
Request: App crash, UI failure
Content Language: GB
OS: Linux Android 7.1.1 25
log&lt; b&gt;&lt; summary&gt;&lt;p&gt;</t>
  </si>
  <si>
    <t>2020-02-29</t>
  </si>
  <si>
    <t>ankidroid-Anki-Android-5780</t>
  </si>
  <si>
    <t>Soft crash to decklist during reviews.</t>
  </si>
  <si>
    <t>Every day when review my deck, get soft crash where get dumped back to the deck list. When this happens, the new cards also resets, so get more new cards for that day, even if went through my for the day.
This happens every day, so should be able to capture this behaviour while logging or something, if neeed.
###### Reproduction Steps
1. Review cards
2. Until crash
3. The end
###### Expected Result
Complete reviews as normal
###### Actual Result
As noted above, crash back to the deck list.
###### Debug info
AnkiDroid Version 2.10alpha41
Android Version 10
*Enter an character to confirm the points below:*
have searched for similar existing issues here and on the user forum</t>
  </si>
  <si>
    <t>catalinghita8-android-mvvm-rxjava2-dagger2-1</t>
  </si>
  <si>
    <t>Clicking Quake fragment causes app to crash</t>
  </si>
  <si>
    <t>very helpful pedagogical example, it seems to crash when attempting to click single quake fragment and be redirected tot he URL specified</t>
  </si>
  <si>
    <t>2020-02-28</t>
  </si>
  <si>
    <t>cs-4518-fp-23</t>
  </si>
  <si>
    <t>App crashes when attempting to view chord progressions with only one or two stored notes</t>
  </si>
  <si>
    <t>nextcloud-android-5543</t>
  </si>
  <si>
    <t>NC Crash report on android app</t>
  </si>
  <si>
    <t>### Steps to reproduce
1. Tried to open sample .pdf
2. It prompts to select .odd viewer
3. Crashes prior to selection.
### Expected behaviour
Tell us what should happen
shod be able to select pdf viewer and the file should open.
### Actual behaviour
Tell us what happens
The app crashes and displays crash report and prompts to send the Nextcloud on github.
### Environment data
Stock or customized system:
Nextcloud app version:
Nextcloud server version:
#### Web server error log
no access to server right now
Insert your webserver log here
#### Nextcloud log (data nextcloud.log)
Insert your Nextcloud log here
************ CAUSE OF ERROR ************</t>
  </si>
  <si>
    <t>CaptainSpam-geohashdroid-73</t>
  </si>
  <si>
    <t>Globalhashes crash if the date isn't in the stock cache</t>
  </si>
  <si>
    <t>There reports of crashes when requesting Globalhashes. Tracing it down, it looks like it happens if the stock price hasn been fetched yet, and more to the point, logging statement is trying to dereference null Graticule object. This should be simple fix.</t>
  </si>
  <si>
    <t>CorvetteCole-PixelWatchFace-18</t>
  </si>
  <si>
    <t>watch face crash upon rapid and repeated toggling of options in companion app</t>
  </si>
  <si>
    <t>as the title says. this bug needs to be fixed. probably will need to track down the issue using adb and debug version of the application on watch</t>
  </si>
  <si>
    <t>2020-02-27</t>
  </si>
  <si>
    <t>jellyfin-jellyfin-androidtv-365</t>
  </si>
  <si>
    <t>% symbol in episode title (metadata) crashes player</t>
  </si>
  <si>
    <t>Just ran into this with the most recent Better Call Saul episode 50% Off
Using either of the two built in players would crash the app (there were some bug reports sent), and using the external player would just stop the app with the show backdrop (i.e. never transferring to the external app).
removed the from the filename and the issue persisted. then removed the from the episode title metadata, making the title display in my library as 50 Off and the episode played immediately.
honestly haven checked this with another file, but it was pretty clear change from not working to working only after took out the</t>
  </si>
  <si>
    <t>haiyangwu-mediasoup-demo-android-3</t>
  </si>
  <si>
    <t>App crash when enter the room after  exit room</t>
  </si>
  <si>
    <t>kalaspuffar-secure-quick-reliable-login-467</t>
  </si>
  <si>
    <t>App crashes on non-SQRL QR codes</t>
  </si>
  <si>
    <t>### Issue or error solving.
The app crashes when scanning non-SQRL barcodes like this one:</t>
  </si>
  <si>
    <t>MozillaReality-FirefoxReality-2881</t>
  </si>
  <si>
    <t>Crash on pause/resume on HTC</t>
  </si>
  <si>
    <t>&lt;!--- State the version number and build ID affected. --&gt;
&lt;!--- The build ID is obtained by clicking on the build date in settings. --&gt;
Firefox Reality version:
Firefox Reality build ID: v9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Launch FxR
4. Goto 2.
## Current Behavior
&lt;!--- If describing bug, tell us what happens instead of the expected behavior. --&gt;
&lt;!--- If suggesting change improvement, explain the difference from current behavior. --&gt;
FxR will eventually fail to launch and only shows blank screen. Eventually it will crash with the following stack trace:
## Expected Behavior
&lt;!--- If you re describing bug, tell us what should happen. --&gt;
&lt;!--- If you re suggesting change improvement, tell us how it should work. --&gt;
FxR should not crash.
have been able to reproduce this in v8.1. It seems to happen quicker when you run other applications between pausing and resuming FxR. used FxR 1.3.2 and would play videos in it between pausing and resuming.</t>
  </si>
  <si>
    <t>TeamNewPipe-NewPipe-3147</t>
  </si>
  <si>
    <t>Crash after importing Youtube subscriptions</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</si>
  <si>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en GB
OS: Linux samsung beyond2lteeea beyond2:10 QP1A.190711.020 G975FXXU3BSKO:user release-keys 10 29
log&lt; b&gt;&lt; summary&gt;&lt;p&gt;
This crash happens when you re importing Youtube subsciption list and leaving the page with the youtube link using the back key, It crashes and never opens again</t>
  </si>
  <si>
    <t>nextcloud-android-5526</t>
  </si>
  <si>
    <t>Constant crashing on one of my android devices</t>
  </si>
  <si>
    <t>Regularly receiving this error. This error only happens on one of my devices. This error pops up even when client is running in the background. see it after returning to my device after few hours.
************ CAUSE OF ERROR **********
************ APP INFORMATION ************
Build flavor: gplay
************ DEVICE INFORMATION ************
************ FIRMWARE ************
### Environment data
Android version: Android 9.0
Device model: Samsung Tab S4 (SM-T830)
Stock or customized system: Stock ROM
Nextcloud app version: Current Beta version (3.10.1)
Nextcloud server version: 18.0.1</t>
  </si>
  <si>
    <t>2020-02-26</t>
  </si>
  <si>
    <t>XBigTK13X-snowgloo-10</t>
  </si>
  <si>
    <t>Application crash on data connectivity drop</t>
  </si>
  <si>
    <t>was driving around connected to the VPN playing some music. Half way through track, the audio stopped. tried selecting other songs, next, forward, etc and nothing would play. might have driven through dead zone.
An error was logged to the server, which is posted below.</t>
  </si>
  <si>
    <t>nextcloud-android-5523</t>
  </si>
  <si>
    <t>nextcloud android application crashed when downloading files from server</t>
  </si>
  <si>
    <t>mapbox-mapbox-events-android-458</t>
  </si>
  <si>
    <t>🐞 Random crash when app was in the background</t>
  </si>
  <si>
    <t>Android OS Version 10
Device model(s): Google Pixel XL
App: Mapbox Test App
**Steps to Reproduce**
Hard to reproduce and doesn always happen
What did you expect?
15% 1357 system server: 7.7% user 7.7% kernel faults: 4892 minor 96 major
15% 624 surfaceflinger: 8.8% user 6.6% kernel faults: 599 minor major
10% 1033 media.swcodec: 7.2% user 3% kernel faults: 9130 minor 25 major
5.7% 284 crtc commit:127: 0% user 5.7% kernel
0% 1021 media.codec: 0% user 0% kernel faults: 4659 minor 62 major
2.9% 289 pp event: 0% user 2.9% kernel
2.3% 883 audioserver: 1.9% user 0.4% kernel faults: 118 minor major
0% 2148 .qtidataservices: 0% user 0% kernel faults: 1158 minor 88 major
0% 995 media.extractor: 0% user 0% kernel faults: 1958 minor 29 major
1% 1133 adbd: 0.4% user 0.5% kernel faults: minor
0% 2092 .dataservices: 0% user 0% kernel faults: 995 minor 194 major
0.7% 580 servicemanager: 0.4% user 0.2% kernel
0.5% 7580 kworker u16:1: 0% user 0.5% kernel
0.5% 13178 kworker u16:4: 0% user 0.5% kernel</t>
  </si>
  <si>
    <t>barbeau-gpstest-380</t>
  </si>
  <si>
    <t>NPE in UIUtils.createShareDialog()</t>
  </si>
  <si>
    <t>From user report and Google Play console crash when sharing location:
**Steps to reproduce:**
1. Enable logging in Settings
1. Deny file storage permission
1. Tap on share location
**Device and Android version:**
App version: v3.5.5 (61-google)
Android version: 28
GNSS HW Year: 2016
Raw measurements: SUPPORTED
Navigation messages: SUPPORTED</t>
  </si>
  <si>
    <t>2020-02-25</t>
  </si>
  <si>
    <t>nextcloud-android-5513</t>
  </si>
  <si>
    <t>App crashes when accepting login notification</t>
  </si>
  <si>
    <t>### Steps to reproduce
1. Open app
2. Open sidebar and tap on notifications
3. Accept the displayed login notification
### Expected behaviour
Notification is accepted and the app does not crash
### Actual behaviour
The notification is accepted and the login is made possible but the app crashes immediately
### Environment data
Android version: 10
Device model: Oneplus
Stock or customized system: stock oxygenos
Nextcloud app version: 3.10.1
Nextcloud server version: 18.0.1
#### App log
************ CAUSE OF ERROR ************
************ APP INFORMATION ************
Build flavor: gplay
************ DEVICE INFORMATION ************
************ FIRMWARE ************</t>
  </si>
  <si>
    <t>2020-02-24</t>
  </si>
  <si>
    <t>Bartekm1996-Invi-20</t>
  </si>
  <si>
    <t>Zxing crashes on rare ocassions</t>
  </si>
  <si>
    <t>Zxing crashes on rare occasions,
Can access the device camera</t>
  </si>
  <si>
    <t>material-components-material-components-android-1054</t>
  </si>
  <si>
    <t>[MaterialCardView] Inflation crash when used with android:onClick in 1.1.0</t>
  </si>
  <si>
    <t>**Expected behavior:** MaterialCardView should inflate as expected
**Android API version:** 29
**Material Library version:** 1.1.0
Note, this works in 1.0.0 but crashes in 1.1.0 with this trace as cardViewHelper is null.
... 33 more</t>
  </si>
  <si>
    <t>2020-02-23</t>
  </si>
  <si>
    <t>tanguyantoine-react-native-music-control-319</t>
  </si>
  <si>
    <t>Certain Android devices...Couldn't expand RemoteViews for: StatusBarNotification</t>
  </si>
  <si>
    <t>When using the Music Control on certain Android devices it crashes the app. Some versions of Android work fine. Customers reported this to me on Version 7.1 of Android and was able to reproduce.
Googling this error there seems like many suggestions such as this one, although it seems like there are variety of things that cause the problem.
1. Error getting in logcat
&lt;!-- replace the balnk space within backets by so that it checks the box -) --&gt;</t>
  </si>
  <si>
    <t>2020-02-22</t>
  </si>
  <si>
    <t>nextcloud-android-5505</t>
  </si>
  <si>
    <t>App crash while viewing images</t>
  </si>
  <si>
    <t>### Steps to reproduce
1. Open Nextcloud App
2. Open folder with at least 200 300 photos (2 3MB per photo)
3. Tap on photo to see the preview
4. Swipe right to see the next photo preview
5. Wait until you see the preview and then do point again (repeat until app crash)
### Expected behaviour
App not crash and can see the other photo previews
### Actual behaviour
### Environment data
************ CAUSE OF ERROR ************
************ APP INFORMATION ************
Build flavor: gplay
************ DEVICE INFORMATION ************
************ FIRMWARE ************</t>
  </si>
  <si>
    <t>nextcloud-android-5503</t>
  </si>
  <si>
    <t>java.net.UnknownHostException crashes the client</t>
  </si>
  <si>
    <t>************ CAUSE OF ERROR ************
... 29 more
************ APP INFORMATION ************
Build flavor: gplay
************ DEVICE INFORMATION ************
************ FIRMWARE ************</t>
  </si>
  <si>
    <t>inaturalist-iNaturalistAndroid-781</t>
  </si>
  <si>
    <t>Prompt for storage permission when recording a new sound in an external app</t>
  </si>
  <si>
    <t>1. Get fresh install of iNat, no permissions granted
1. Install an external audio recorder like RecForge II
1. Start new obs by recording new sound choose to record with the external recorder
1. Record the sound and save to return to iNat
1. iNat will either crash or fail to get the sound
We should be prompting the user to grant us storage access, probably in as we seem to be doing in</t>
  </si>
  <si>
    <t>mit-cml-appinventor-sources-2049</t>
  </si>
  <si>
    <t>Fix accelerometer crashing emulator if UseLegacy is off</t>
  </si>
  <si>
    <t>2020-02-21</t>
  </si>
  <si>
    <t>opensrp-opensrp-client-giz-malawi-226</t>
  </si>
  <si>
    <t>App crashing when saving an edit on weight</t>
  </si>
  <si>
    <t>nextcloud-android-5500</t>
  </si>
  <si>
    <t>dev version crashed</t>
  </si>
  <si>
    <t>### Steps to reproduce
### Expected behaviour
Tell us what should happen
### Actual behaviour
Tell us what happens
### Environment data
Stock or customized system:
Nextcloud app version:
latest dev version
Nextcloud server version:
#### Web server error log
Insert your webserver log here
#### Nextcloud log (data nextcloud.log)
Insert your Nextcloud log here
************ CAUSE OF ERROR ************
************ APP INFORMATION ************
Build flavor: versionDev
************ DEVICE INFORMATION ************
************ FIRMWARE ************</t>
  </si>
  <si>
    <t>nextcloud-android-5499</t>
  </si>
  <si>
    <t>App crash by opening synced files</t>
  </si>
  <si>
    <t>### Steps to reproduce
1. Sync files from cloud e.g. pdf
2. Open pdf or show details
### Expected behaviour
opens file with system app
### Actual behaviour
crashes when opening downloaded files out of nextcloud app
### Environment data
Android version: 5.1.1
Device model: Samsung P600
Stock or customized system:
Nextcloud app version: 3.10.0
Nextcloud server version: latest
************ CAUSE OF ERROR ************
Caused by: Trust anchor for certification path not found.
... 26 more
Caused by: Trust anchor for certification path not found.
... 36 more
************ APP INFORMATION ************
Build flavor: gplay</t>
  </si>
  <si>
    <t>k9mail-k-9-4554</t>
  </si>
  <si>
    <t>Many crashes 5.705</t>
  </si>
  <si>
    <t>After installing version: 5.705
An error occurred in the K-9 Mail application.
And on subsequent attempts to start the application, the same message is displayed.
K-9 Mail version: 5.705
Android version: 5.1
Account type (IMAP, POP3, WebDAV Exchange): IMAP
Please take some time to retrieve logs (https: github.com k9mail k-9 wiki LoggingErrors) and attach them here:
799): Display listener for pid 8385 died.</t>
  </si>
  <si>
    <t>2020-02-20</t>
  </si>
  <si>
    <t>ankidroid-Anki-Android-5764</t>
  </si>
  <si>
    <t>Avoid crash on audio clip w/no extension or mime type</t>
  </si>
  <si>
    <t>## Pull Request template
## Purpose Description
#5755 was major improvement in audio clip handling but there was still crash, this time related to my attempt to debug log the mime-type information
Caused by: Couldn read row 0, col from CursorWindow. Make sure the Cursor is initialized correctly before accessing data from it.
Hard to win on this one!
So removed the debug logging which accessed the column
added extra logging about what was happening and send an error report now so we can see how often it happens and with what kinds of data, but we will not crash anymore
## How Has This Been Tested?
Same as previous PR tested file that has an extension and one that has only MIME type from google drive, but don know what content provider to use that won provide mime type information so can reproduce the fail path yet. can guarantee we don crash on it now though at least
## Learning (optional, can help others)
You just never know when an API will throw RuntimeException...
Please, go through these checks before submitting the PR.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</si>
  <si>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2020-02-18</t>
  </si>
  <si>
    <t>inspiraluna-doiContacts-51</t>
  </si>
  <si>
    <t>Contacts: After new contact, crash when clicking on contact details</t>
  </si>
  <si>
    <t>This happens only when the DOI is not confirmed.</t>
  </si>
  <si>
    <t>nextcloud-android-5490</t>
  </si>
  <si>
    <t>### Steps to reproduce
1. Random crash
### Actual behaviour
Tell us what happens
### Environment data
Device model: Xiaomi mi a2 lite
Stock or customized system: stock
Nextcloud app version: 3.10.1
Nextcloud server version:</t>
  </si>
  <si>
    <t>Haptic-Apps-Slide-3124</t>
  </si>
  <si>
    <t>Opening "Link handling" or trying to search Settings when multiple browsers with the same name are installed causes crash</t>
  </si>
  <si>
    <t>Slide version: 6.2.2
Android version: 10
Logcat (Link handling): https: pastebin.com raw DAfSypZc
Logcat (Search): https: pastebin.com raw vUYCChay
Steps to reproduce:
1. Install Slide
2. Open Slide and navigate to Link handling (or try to search anything in the Settings page) It should work fine.
5. Open Slide and navigate to Link handling (or search settings) again. It should crash.
6. Uninstall either browser (or both, but only need to remove one)
7. Open Link handling or search one last time. It should work again.
For settings search: the search bar can be opened, but typing anything crashes. For link handling, it crashes immediately when you open it.</t>
  </si>
  <si>
    <t>opensrp-opensrp-client-chw-hf-48</t>
  </si>
  <si>
    <t>App crashes on opening child profile</t>
  </si>
  <si>
    <t>The App crashes on opening child profile from any register.</t>
  </si>
  <si>
    <t>nextcloud-android-library-404</t>
  </si>
  <si>
    <t>SocketTimeoutException on library v2</t>
  </si>
  <si>
    <t>ezaquarii AndyScherzinger have you experienced that on your devices?
This is high crash rate on google dev console, so we should try to fix it.
It seems we have default of 10s set, but on old library we only use 5s for connect.
So hesitate to stupidly increase the timeout, but wonder why it takes more than double the time to get connection.</t>
  </si>
  <si>
    <t>amahi-android-507</t>
  </si>
  <si>
    <t>App crashed with landscape as well as Query issue(Myntra)</t>
  </si>
  <si>
    <t>App crashed on reopening as there was problem in setDelay method as far as can judge plus there is some problem with sql querry.
error in generating contents from myntra.com</t>
  </si>
  <si>
    <t>2020-02-17</t>
  </si>
  <si>
    <t>ankidroid-Anki-Android-5760</t>
  </si>
  <si>
    <t>Use application-level resources for Async fragments</t>
  </si>
  <si>
    <t>## Pull Request template
## Purpose Description
ImportDialog was still crashing after #5743
Turns out my initial fix was *almost* correct but not quite. was accessing the resources non-idiomatically compared with the other
Now use the built-in function as opposed to attempting to access the resources via the context
Use the methods that exist they exist for reason of course. Learning they exist so use them is on me
## How Has This Been Tested?
local jacocoTestReport to make sure it worked, then an import of deck on an API28 emulator. Everything is still fine on the happy path but this is an exception fix of course
will continue watching acralyzer until nail this one, it our most frequent crash at the moment.</t>
  </si>
  <si>
    <t>TeamNewPipe-NewPipe-3105</t>
  </si>
  <si>
    <t>Crash during share from Downloads inside app</t>
  </si>
  <si>
    <t>Steps to reproduce:
1. Go to Downloads folder inside app via three-dot button
2. Click Share on any video
User Action: ui error
Request: App crash, UI failure
Content Language: GB
OS: Linux xiaomi onc onc:9 PKQ1.181021.001 release-keys 28
log&lt; b&gt;&lt; summary&gt;&lt;p&gt;</t>
  </si>
  <si>
    <t>k3b-APhotoManager-167</t>
  </si>
  <si>
    <t>[CRASH] on removing an image</t>
  </si>
  <si>
    <t>**Describe the bug**
delete image inside Image-Detail-View leads to immediate crash. It wasn so before upgrade to 0.8.1.200212
**Smartphone (please complete the following information):**
Android version Android-7.1
Photo Manager Version (https: github.com k3b APhotoManager releases) 0.8.1.200212 F-Droid</t>
  </si>
  <si>
    <t>ankidroid-Anki-Android-5758</t>
  </si>
  <si>
    <t xml:space="preserve">Filter Deck crashes </t>
  </si>
  <si>
    <t>###### Reproduction Steps
1. Tap on filtered deck.
2. Program crashes
###### Expected Result
Deck to open
(Last apk without this issue was 2.9.3.b1)
###### Actual Result
###### Debug info
*Enter an character to confirm the points below:*
have searched for similar existing issues here and on the user forum</t>
  </si>
  <si>
    <t>2020-02-16</t>
  </si>
  <si>
    <t>material-components-material-components-android-1026</t>
  </si>
  <si>
    <t>When i update to 1.1.0 all my input layouts go wrong and crash app</t>
  </si>
  <si>
    <t>When update to 1.1.0 all my input layouts go wrong and crash app! can anybody explain whats going on?</t>
  </si>
  <si>
    <t>ankidroid-Anki-Android-5756</t>
  </si>
  <si>
    <t>Crash on preview of card added to dynamic deck</t>
  </si>
  <si>
    <t>Saw our first google crash report in long time
###### Reproduction Steps
1. create dynamic deck based on previewing ahead day
2. click the FAB button to add note (should go to current dynamic deck)
3. in note editor click the the cards button at bottom to open template editor
4. in template editor click the eyeball at the top to open the preview
###### Expected Result
You should see preview
###### Actual Result
So here the questions:
1. is it legal to add card to dynamic deck? seems like no? If no, should the FAB add card actions toast that you can add to dynamic deck?
###### Debug info
*Enter an character to confirm the points below:*
have searched for similar existing issues here and on the user forum</t>
  </si>
  <si>
    <t>nextcloud-android-5481</t>
  </si>
  <si>
    <t>Continuous crashes (SQLiteBlobTooBigException) in FileSyncAdapter</t>
  </si>
  <si>
    <t>Many crashes, every day.
Started with client version **30090290** (if remember well), still occuring with version **30100190**.
Sync ing involves about 2300 files, dispersed over 260 folders, for total of 4GB.
May be related to issues #3358 #4409 #4414
(all these issues were closed due to staleness but the problem is clearly not fixed).
************ CAUSE OF ERROR ************
************ APP INFORMATION ************
Build flavor: generic
************ DEVICE INFORMATION ************
************ FIRMWARE ************</t>
  </si>
  <si>
    <t>Firefds-FirefdsKit-7</t>
  </si>
  <si>
    <t>**Describe the bug**
The app crashes after seconds of being in it, despite the fact that the functions enabled work, the standard phone app settings also crashes. All applications that are changed, as if they see that they are doing something indecent and fly out. The camera shows errors in the background, although it takes photos and saves them. Well, in the end, note that the new reboot icons are little out of style, although they are made very nicely
Device: Galaxy Note 10+</t>
  </si>
  <si>
    <t>k9mail-k-9-4539</t>
  </si>
  <si>
    <t>Main UI constantly crash after updated to 5.704</t>
  </si>
  <si>
    <t>The notification and background sync still works, can see folder check notices. But the UI won open always unfortunately *** has stopped
am using F-Droid build 5.704.
Just updated to 5.705, this issue persists.
If try to downgrade always get the failed to install error after the package installer screen. Looks like am stuck.
The crash log says:
versionName 5.705 versionCode 27005
... 10 more</t>
  </si>
  <si>
    <t>2020-02-15</t>
  </si>
  <si>
    <t>ankidroid-Anki-Android-5755</t>
  </si>
  <si>
    <t>Fix add audio crashes</t>
  </si>
  <si>
    <t>## Pull Request template
## Purpose Description
Add audio clips was highly requested feature, and it worked structurally but failed when confronted with unexpected audio clip names or unexpected content resolver states (like, no results it always expected one)
Also the error handling and implementation of file copies were non-standard
Best to review each commit separately as they are discrete and independently useful
1. generalize the ability to show toasts (so we can inform users of audio clip issues)
1. standardize the content file copy and error handling using existing helper function
1. improve content resolver results handling in case results are empty or contain an audio clip with no file extensions
## How Has This Been Tested?
used an API29 emulator attached to google play account so could use my Google Drive as source of audio files that would not be resolved to file paths.
added two audio files, one with extension and one without to my google drive
verified crashes when attempting to add the audio file without an extension
verified everything works for both files after all the changes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</si>
  <si>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nextcloud-android-5479</t>
  </si>
  <si>
    <t>NC - Android client crashes when swiping images during full-img download</t>
  </si>
  <si>
    <t>### Steps to reproduce
1. Open image folder and enlarge images. (Switch to full screen slide show)
2. Swipe left and right
3. If client offers to download original version of image as no smaller version is stored, do not answer, but swipe to another image. (Also had crashes step 3)
4. Repeat couple of times and client crashes
### Expected behaviour
Client should discard message, and display next image.
### Actual behaviour
Client crashes, displays cause of error and dies. Error report says out of memory
Ram never drops below 40% 1.7 Gb free. (checked with RAM-monitoring tool)
### Environment data
Android version: 6.01
Device model: Lenovo YT3-X90F
Stock or customized system: stock
Nextcloud app version: 3.10.1
Nextcloud server version: 17.0.2
#### Client error report
Interesting (IMHO) information marked bold
************ CAUSE OF ERROR ************
************ APP INFORMATION ************</t>
  </si>
  <si>
    <t>ankidroid-Anki-Android-5752</t>
  </si>
  <si>
    <t>Avoid crashing if initialization of CustomTabs fails</t>
  </si>
  <si>
    <t>## Pull Request template
## Purpose Description
Apparently you can get SecurityException now when trying to use CustomTabs
In the area the SecurityException would be thrown now, catch it, de-initialize the CustomTabs helper objects and set static flag that init failed
When callers try to open custom tab later, this flag is consulted and results in using the fallback if there was failure
## How Has This Been Tested?
emulator API28 was able to open the help link etc from within AnkiDroid after the changes, so normal CustomTabsClient things are working (the logcat contained evidence that CustomTabs was in use)
hard to replicate the crash but know fallback was working, so re-using the fallback in the case of the exception should be safe
## Learning (optional, can help others)
There is no documentation anywhere that SecurityException can be thrown there. Frustrating
Please, go through these checks before submitting the PR.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</si>
  <si>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2020-02-14</t>
  </si>
  <si>
    <t>ankidroid-Anki-Android-5749</t>
  </si>
  <si>
    <t>Replace apache http remnant / Beolingus parse fix</t>
  </si>
  <si>
    <t>## Pull Request template
## Purpose Description
noticed crash in 2.9 related to Apache HTTP client and it led me to discover there was one more Apache HTTP remnant in the HttpFetcher used to download pronunciation and translations.
additionally discovered, while testing, that Beolingus had changed their response text to include extra information after the word, so our pronunciation downloader was no longer matching it correctly, so no pronunciations were ever found for words that definitely had matches
Fixes #5376 by altering beolingus match to contains vs equals
Converts HttpFetcher to OkHTTP
Converts online requests to HTTPS
Fixes the matcher so beolingus works
## How Has This Been Tested?
API28 emulator, it easily reproduced all the problems, and worked after making these changes
## Learning (optional, can help others)
Describe the research stage
Links to blog posts, patterns, libraries or addons used to solve this problem
Please, go through these checks before submitting the PR.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</si>
  <si>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ankidroid-Anki-Android-5748</t>
  </si>
  <si>
    <t>Avoid crash if collection closes while reminder is building</t>
  </si>
  <si>
    <t>Caused by: Cannot perform this operation because the connection pool has been closed.
This shows up in the crash database for people with auto-sync on startup,
that closes the database when it is done, at the same time the reminder could
still be in process of being built.
Simple extract method refactor for the part of reminder build that touches
the collection, and we give it one more try on reminder notification
If that doesn work, we at least don crash now
## How Has This Been Tested?
Difficult to reproduce because it is timing-related, but the alteration still functions correctly on the happy path, and by visual inspection not sure how it could make things worse, while it should stop the crash
## Learning (optional, can help others)
Please, go through these checks before submitting the PR.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</si>
  <si>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barbeau-gpstest-373</t>
  </si>
  <si>
    <t>Crash on legacy GpsStatus devices</t>
  </si>
  <si>
    <t>On pre-N devices, or if you uncheck Settings-&gt;Use GNSS API you ll get crash:
**Steps to reproduce:**
On pre Android device start app
**Device and Android version:**
Pre Android devices</t>
  </si>
  <si>
    <t>cgeo-cgeo-8126</t>
  </si>
  <si>
    <t>[Nightly] Live Map crash with OSM and OpenAndroMaps</t>
  </si>
  <si>
    <t>**Describe the bug:**
When Live Map shows reasonable amount of caches, moving the map around crashes the map.
Steps to reproduce the behavior:
1. open e. g. GC7NDVZ
2. open map view by e. g. clicking listing page compass rose
3. select an offline map (I tested OSM and two different OpenAndroMaps)
4. zoom out to scale of km
5. activate update map (as for me see 364 caches right now)
6. move the map around bit ... (500 west then 1000 back east is sufficient over here)
7. crash ... then listing page will be shown
**Version of c:geo used:**
**Is the problem reproducible:**
--- System information ---
Android version: 10
Android build: VOG-L29
Google Play services: disabled 20.04.14 (120400-294335909)
Low power mode: inactive
Compass capabilities: yes
Rotation vector sensor: present
Orientation sensor: present</t>
  </si>
  <si>
    <t>nextcloud-android-5475</t>
  </si>
  <si>
    <t>Unexpected android app crash</t>
  </si>
  <si>
    <t>StringCare-AndroidLibrary-75</t>
  </si>
  <si>
    <t>Gradle crash</t>
  </si>
  <si>
    <t>Gradle always crashes while using this obfuscator:
Gradle build daemon disappeared unexpectedly (it may have been killed or may have crashed)</t>
  </si>
  <si>
    <t>opensrp-opensrp-client-giz-malawi-204</t>
  </si>
  <si>
    <t>App crashing when a user clicks on a child</t>
  </si>
  <si>
    <t>Turn off BCG Scar reminder</t>
  </si>
  <si>
    <t>nextcloud-android-5468</t>
  </si>
  <si>
    <t>Viewing newly uploaded pictures crash</t>
  </si>
  <si>
    <t>### Steps to reproduce
1. View pictures one at time and slide through them
2. Some pictures are not shown, msg: do want to download the full picture. Click yes
### Expected behaviour
Tell us what should happen
The picture should be downloaded and shown
### Actual behaviour
Tell us what happens
************ CAUSE OF ERROR ************
************ APP INFORMATION ************
Build flavor: gplay
************ DEVICE INFORMATION ************
************ FIRMWARE ************</t>
  </si>
  <si>
    <t>readrops-Readrops-51</t>
  </si>
  <si>
    <t>Crash of the application on startup</t>
  </si>
  <si>
    <t>After installing from F-droid, managed to run the application one time, got the welcome screen where selected add local RSS. The application crashed. Since then, can even open it anymore, it crashes directly on startup.
Issue experienced on Android 6.0.1 with standard manufacturer ROM (Sony).
Here the adb logcat -v threadtime after crash:</t>
  </si>
  <si>
    <t>Awful-Awful.apk-702</t>
  </si>
  <si>
    <t>Find On Page causing crashes</t>
  </si>
  <si>
    <t>All right looks like they pushed this out to everyone there an internal findAllAsync call in the webview library that doesn like null s, and oh hay guess what the standard find toolbar sends when it empty and you first click on it?
We re calling to show this widget and the docs say
This method was deprecated in API level 18.
This method does not work reliably on all Android versions implementing custom find dialog using provides more robust solution.
which guess is one way of saying we re gonna break this with NPEs so write your own toolbar so looks like we need to make our own damn find dialog
related to #671 because we ll have to style our artisanally crafted toolbar that doesn explode when you touch it</t>
  </si>
  <si>
    <t>2020-02-13</t>
  </si>
  <si>
    <t>inaturalist-iNaturalistAndroid-777</t>
  </si>
  <si>
    <t>App crashes when I try to add an ID to a sound upload of mine after it's synced</t>
  </si>
  <si>
    <t>user reported this, as they like to record an obs with sound, then research the sound and add an ID after the obs has been synced. can replicate in version 1.17.1 390
1. Make new observation, choose to record sound, and record the sound.
2. Sync the observation without adding any ID.
3. After the observation is synced, open it up and suggest an ID.
4. The app stops running.</t>
  </si>
  <si>
    <t>square-okhttp-5783</t>
  </si>
  <si>
    <t>Logging interceptor causes app to crash in some cases</t>
  </si>
  <si>
    <t>Here goes the stacktrace:
cannot write test for you, because don actually know why does it occurs.
Thanks in advance for fixing it.</t>
  </si>
  <si>
    <t>nextcloud-android-5464</t>
  </si>
  <si>
    <t>Mobile App crash on Lollypop</t>
  </si>
  <si>
    <t>************ CAUSE OF ERROR ************
... 22 more
... 25 more
************ APP INFORMATION ************
Build flavor: gplay
************ DEVICE INFORMATION ************
************ FIRMWARE ************
### Steps to reproduce
### Expected behaviour
Tell us what should happen
### Actual behaviour
Tell us what happens
### Environment data
Stock or customized system:
Nextcloud app version:
Nextcloud server version:
#### Web server error log
Insert your webserver log here
#### Nextcloud log (data nextcloud.log)
Insert your Nextcloud log here</t>
  </si>
  <si>
    <t>nextcloud-android-5460</t>
  </si>
  <si>
    <t>crash in search</t>
  </si>
  <si>
    <t>### Steps to reproduce
1. Open Nextcloud dev
2. Open the subfolder Documents
### Expected behaviour
search the folder
### Actual behaviour
The app crashes
### Environment data
Android version: 10
Device model: Xiaomi Mi 9SE
Stock or customized system: Customized, Bliss Rom 12.3 (lineage based)
Nextcloud app version: Version 20200212 dev
Nextcloud server version: 17.02
************ CAUSE OF ERROR ************
Caused by: java.lang.Object cannot be cast to java.lang.Void
************ APP INFORMATION ************
Build flavor: versionDev
************ DEVICE INFORMATION ************
************ FIRMWARE ************</t>
  </si>
  <si>
    <t>opensrp-opensrp-client-reveal-644</t>
  </si>
  <si>
    <t>RVL-719: Hierarchy error messages after crash   Attach</t>
  </si>
  <si>
    <t>This has been seen across multiple release versions:
After the app crashes, when the user tries to login again, they get the following error messages:
Fetching Structure: This operational area has not been defined in the system. Please try to sync your device. Please contact the system admin if that doesn solve the issue noting the operational area number ...Thailand test site BVBD1....
Error Processing Locations Hierarchy: Error Processing Locations Hierarchy Log off to download location hierarchy again.
Once the user logs off and clears the data from the tablet, they are able to login again. However, they should not have to clear the data.</t>
  </si>
  <si>
    <t>raphaelmue-travlyn-22</t>
  </si>
  <si>
    <t>Error handling on client side</t>
  </si>
  <si>
    <t>When an exception is thrown on client side (e.g. when the server is not available), the whole app crashed. An solution would be to implement logic, that when e.g. the class ApiClient raises an exception, this exception is caught, redirected to the respective Activity and the user is informed about the problem.
Every activity implements the Application interface, which has method showErrrorDialog This has to be called from the ApiClient class.
For each Exception class there has to be some kind of Formatter, that formats the exception message into an error message that the user can read. This might be implemented using polymorphism.</t>
  </si>
  <si>
    <t>2020-02-12</t>
  </si>
  <si>
    <t>NordicSemiconductor-Android-DFU-Library-218</t>
  </si>
  <si>
    <t>Version 1.9.1 crashes with missing Gson dependency</t>
  </si>
  <si>
    <t>The issue has been reported here:
It is caused by missing Gson dependency in the pom file. This will be fixed in 1.9.2.
As workaround, add dependency to Gson in build.gradle your module, as suggested one comment below: https: github.com NordicSemiconductor Android-DFU-Library issues</t>
  </si>
  <si>
    <t>ankidroid-Anki-Android-5744</t>
  </si>
  <si>
    <t>Mathjax wrong api crash</t>
  </si>
  <si>
    <t>## Pull Request template
## Purpose Description
The crash database had good number of crashes like this:
Caused by: No virtual method group(Ljava lang String )Ljava lang String in class Ljava util regex Matcher or its super classes (declaration of appears in system framework core-libart.jar)
Turns out PR #5673 used an API26 regex API and we did not catch it
added lint job that will fail NewApi lint violations
modified the regex API usage to use numbered matches
## How Has This Been Tested?
demonstrated the NewApi failure first: https: travis-ci.com mikehardy Anki-Android jobs 286172124
There is unit test for the mathjax code, which is very helpful, so verified that failed modifying the regex in deliberately incorrect way, then verified it worked after what believe is the appropriate edit to use numbered groups
agentydragon it would be nice if you looked at the modified regex to make sure didn do anything braindead, handy enough with regex to know that am no master</t>
  </si>
  <si>
    <t>ankidroid-Anki-Android-5743</t>
  </si>
  <si>
    <t>Fix ImportDialog IllegalStateException crash</t>
  </si>
  <si>
    <t>It appears ImportDialog can be requested in an async manner now from the
system file picker, and attempting to show the dialog when the Activity
has gone away results in crash.
This is simple conversion to an AsyncDialogFragment so we can gracefully
toast message instead of crashing
am unable to reproduce this but the crash reporting system is littered with it, and all the async infrastructure exists, so it seems sensible to fix
## How Has This Been Tested?
On an API28 emulator exported and imported bunch of times to make sure normal imports still worked.</t>
  </si>
  <si>
    <t>Blockstream-green_android-80</t>
  </si>
  <si>
    <t>Scanning invalid BIP21 QR code will crash the app</t>
  </si>
  <si>
    <t>Scanning invalid BIP21 QR code will crash the app
### Steps to reproduce
Try scanning this
### Expected behaviour
Was expecting Invalid Address
### Actual behaviour
Pop-up appears every time
Green keeps stopping
### Device or machine
### Additional info
This other invalid URI gave me invalid address but the above URI just makes the app crash</t>
  </si>
  <si>
    <t>2020-02-11</t>
  </si>
  <si>
    <t>nextcloud-android-5456</t>
  </si>
  <si>
    <t>Crash app version dev</t>
  </si>
  <si>
    <t>After entering Favorites or Shared the app crashes.
************ CAUSE OF ERROR ************
Caused by: java.lang.Object cannot be cast to java.lang.Void
************ APP INFORMATION ************
Build flavor: versionDev
### Environment data
Nextcloud app version: dev-20200211
Nextcloud server version: 18.0.0</t>
  </si>
  <si>
    <t>getodk-collect-3635</t>
  </si>
  <si>
    <t>Error when form with reference to last-saved instance is downloaded</t>
  </si>
  <si>
    <t>#### Software and hardware versions
#### Problem description
When form with reference to the last-saved instance is downloaded, the last-saved instance isn created so there crash when Collect tries to build FormDef to get the geo coordinate for mapping.
See user report (https: 18814 37?u ln).
#### Steps to reproduce the problem
1. Create form with reference to the last saved instance such as
1. Upload it to server
1. Download it from Collect
#### Expected behavior
Downloading form with last-saved works.</t>
  </si>
  <si>
    <t>nextcloud-android-5454</t>
  </si>
  <si>
    <t>(Auto sync) App crashes when trying to create a folder for auto upload</t>
  </si>
  <si>
    <t>When you want to automatically synchronize your files in Auto upload and specify you want to create folder instead of using default remote folder it opens an explorer instance in which you can create or choose folder.
If you try to create folder, the app crashes and indicates this error
So, you can create folder in which auto-sync your pictures</t>
  </si>
  <si>
    <t>nextcloud-android-5453</t>
  </si>
  <si>
    <t>App crashes when trying to login with 2FA notifications enabled</t>
  </si>
  <si>
    <t>### Steps to reproduce
1. Open Nextcloud Android App
2. Start Login Process in new browser window with 2FA activated and notifications activated
3. See what happens to the android app
### Expected behaviour
App should not crash, but show the notification to accept the login
### Actual behaviour
### Environment data
************ CAUSE OF ERROR ************
************ APP INFORMATION ************
Build flavor: gplay
************ DEVICE INFORMATION ************
************ FIRMWARE ************
Nextcloud server version: 17.0.2
#### Web server error log
notifications Info: GuzzleHttp Exception ClientException: Client error: POST https: notifications resulted in 400 Bad Request response:
GuzzleHttp Promise Promise-&gt;wait()
GuzzleHttp Client-&gt;request( post https: push-no ... proxy: null,ver ...
OCA Notifications OC Notification Notification
13. var www html lib private Notification Manager.php line 214</t>
  </si>
  <si>
    <t>ramack-ActivityDiary-285</t>
  </si>
  <si>
    <t>``NumberFormatException`` and can never open the setting page anymore</t>
  </si>
  <si>
    <t>This exception was found on the master (v1.4.0, the latest code version) and Google Android phone.
The exception trace:
Once this issue happens, the setting page cannot be opened, and the app crashes with the exception trace below.
Caused by: Invalid int:</t>
  </si>
  <si>
    <t>TeamNewPipe-NewPipe-3072</t>
  </si>
  <si>
    <t xml:space="preserve">[Soundcloud] NewPipe crashes when searching </t>
  </si>
  <si>
    <t>carefully read the contribution guidelines (https: github.com TeamNewPipe NewPipe blob HEAD .github CONTRIBUTING.md) and agree to them.
checked if the issue feature exists in the latest version.
did use the incredible bugreport to markdown converter (https: to paste bug reports.
Any attempt made to make searches or return search suggestions causes NewPipe to crash. See crash logs.
When returning search suggestions:
User Action: get suggestions
Content Language: US
OS: Linux Android 10 29
log&lt; b&gt;&lt; summary&gt;&lt;p&gt;
... 26 more
When executing search:
User Action: searched
Content Language: US
OS: Linux Android 10 29
log&lt; b&gt;&lt; summary&gt;&lt;p&gt;
... 15 more</t>
  </si>
  <si>
    <t>2020-02-10</t>
  </si>
  <si>
    <t>nextcloud-android-5446</t>
  </si>
  <si>
    <t>Client chrashes right after installing</t>
  </si>
  <si>
    <t>### Steps to reproduce
1. Install from F-Droid
2. Try to launch
### Expected behaviour
### Actual behaviour
App crashes after splash screen
### Environment data
Android version: 5.1
Device model: Meizu M3
Stock or customized system: CM 12.1
Nextcloud app version: 3.9.2
Nextcloud server version: not matter
#### Web server error log
even not logged in!
#### Nextcloud log (data nextcloud.log) (i don know where is should be file, here is logcat output instead)
DEBUG 341): *** *** *** *** *** *** *** *** *** *** *** *** *** *** *** ***
DEBUG 341): Build fingerprint: Meizu cm m3 m3:5.1.1 LMY49J test-keys
DEBUG 341): Revision:
DEBUG 341): ABI: arm64
DEBUG 341): signal (SIGABRT), code -6 (SI TKILL), fault addr --------</t>
  </si>
  <si>
    <t>defold-extension-iap-16</t>
  </si>
  <si>
    <t>IAP can crash on Android when not setting a callback function before buying an IAP</t>
  </si>
  <si>
    <t>nextcloud-android-5441</t>
  </si>
  <si>
    <t>Random crashes on more than one device</t>
  </si>
  <si>
    <t>### Steps to reproduce
This crash occurs without app interaction.
The same crash occurs on OnePlus 6T running OxygenOS and 6T running LineageOS.
************ CAUSE OF ERROR ************
************ APP INFORMATION ************
Build flavor: gplay
************ DEVICE INFORMATION ************
************ FIRMWARE ************
### Expected behaviour
### Actual behaviour
Random crashes in background
### Environment data
Android version: Pie (OxygenOS and LineageOS)
Device model: OnrPlus 6T
Stock or customized system: both
Nextcloud app version: see above
Nextcloud server version: 18
#### Web server error log
will check and update ticket
#### Nextcloud log (data nextcloud.log)</t>
  </si>
  <si>
    <t>nextcloud-android-5439</t>
  </si>
  <si>
    <t xml:space="preserve">Random crash </t>
  </si>
  <si>
    <t>### Steps to reproduce
1. Random crash
### Expected behaviour
Tell us what should happen
### Actual behaviour
Tell us what happens
### Environment data
Stock or customized system:
Nextcloud app version:
Nextcloud server version:
#### Web server error log
Insert your webserver log here
#### Nextcloud log (data nextcloud.log)
Insert your Nextcloud log here</t>
  </si>
  <si>
    <t>2020-02-09</t>
  </si>
  <si>
    <t>jellyfin-jellyfin-androidtv-325</t>
  </si>
  <si>
    <t>Crash on re-entring the app if its process has been killed by Android in the meantime (aka The Clock Crash)</t>
  </si>
  <si>
    <t>Currently, the app crashes when re-entered after its process got killed by the system.
To force this crash for debugging purposes, set Developer Options -&gt; Background Process Limit to No background processes
Stack traces look something like this
Fixing this will probably require rather involved refactoring.</t>
  </si>
  <si>
    <t>nextcloud-android-5437</t>
  </si>
  <si>
    <t>Timeout exception is not catched</t>
  </si>
  <si>
    <t>### Steps to reproduce
1. do something on slow server
### Expected behaviour
an toast should be displayed, but please add settings option to set the waitingtime
### Actual behaviour
an exception is raised and the app crashed
### Environment data
Stock or customized system:
Nextcloud app version:
Nextcloud server version:
#### Android Exception message
************ CAUSE OF ERROR ************
Caused by: socket is closed
... 26 more
************ APP INFORMATION ************
Build flavor: gplay
************ DEVICE INFORMATION ************
************ FIRMWARE ************</t>
  </si>
  <si>
    <t>nextcloud-android-5435</t>
  </si>
  <si>
    <t>Repeated crashes after I factory reset my phone, with a clean is os</t>
  </si>
  <si>
    <t>wallabag-android-app-918</t>
  </si>
  <si>
    <t>App crashes immediately if installed on SD card</t>
  </si>
  <si>
    <t>Version 2.3.0 crashes immediately if it is installed on the SD card, but functions normally otherwise. have tried clearing cache, clearing data, uninstalling reinstalling the app, and changing the database location in settings. don know where to find logs, otherwise would include them. Device is Samsung Galaxy Tab with SD card, Android 9.</t>
  </si>
  <si>
    <t>2020-02-08</t>
  </si>
  <si>
    <t>nextcloud-android-5430</t>
  </si>
  <si>
    <t>crash when opening conflicted file</t>
  </si>
  <si>
    <t>### Steps to reproduce
1. Create file conflict between phone and server
2. Sync phone
3. Open file with conflict
### Expected behaviour
### Actual behaviour
crash with error report
#### Web server error log
Insert your webserver log here
************ CAUSE OF ERROR ************
************ APP INFORMATION ************
Build flavor: generic
************ DEVICE INFORMATION ************
************ FIRMWARE ************</t>
  </si>
  <si>
    <t>nextcloud-android-5427</t>
  </si>
  <si>
    <t>Nextcloud crashes</t>
  </si>
  <si>
    <t>### Steps to reproduce
1. Attempt to open an existing file from on server with android phone.
2. After waiting for few seconds, Nextcloud app on Android crashes.
3. Repeated attempts yield the same results.
### Expected behaviour
Tell us what should happen
### Actual behaviour
Tell us what happens
### Environment data
Stock or customized system:
Nextcloud app version:
Nextcloud server version:
#### Web server error log
Insert your webserver log here
#### Nextcloud log (data nextcloud.log)
Insert your Nextcloud log here</t>
  </si>
  <si>
    <t>k9mail-k-9-4519</t>
  </si>
  <si>
    <t>SearchPreferenceActionView crash on orientation change</t>
  </si>
  <si>
    <t>### Steps to reproduce
1. Open General settings
2. Click on search icon
3. Optional: enter some text
4. Change screen orientation</t>
  </si>
  <si>
    <t>sambatech-player_sdk_android-86</t>
  </si>
  <si>
    <t>Correção Live SDK Android</t>
  </si>
  <si>
    <t>## que est sendo entregue
Existia um problema na em transmiss es Live no SDK Android. erro era replic vel seguia um padr o:
1. Live come tocar
2. Toca exatamente 30 segundos
3. Fica carregando (trocando para URL de Backup)
4. Se estiver transmitindo para URL de Backup ele toca mais 30 segundos crasha
5. Se estiver transmitindo para URL de Backup ele crasha
raiz do problema era implementa de Cache para download de conte do para assitir Offline. Esta funcionalidade entra em conflito com forma que Live toca conte do. Assim, foi adicionado uma tratativa para habilitar cache quando contexto live.
**Issue relacionada:** https: github.com sambatech webops issues 4062</t>
  </si>
  <si>
    <t>2020-02-07</t>
  </si>
  <si>
    <t>sambatech-player_sdk_android-85</t>
  </si>
  <si>
    <t>jellyfin-jellyfin-androidtv-312</t>
  </si>
  <si>
    <t>Changing Languages Crashes App</t>
  </si>
  <si>
    <t>From nibill1d on Reddit (https: www.reddit.com jellyfin comments ezgy3q new android tv release v0110 improved video fgoos8f):
Did this also fix the bug that when you change the language, at first it doesn change anything and if you try again the whole app crashes?</t>
  </si>
  <si>
    <t>onaio-rdt-standard-245</t>
  </si>
  <si>
    <t>App crashing when a user accesses RDT details where the RDT ID is null</t>
  </si>
  <si>
    <t>Login with user indtester1
Click on Burgandy Standard profile
Click on RDT ID null</t>
  </si>
  <si>
    <t>onaio-rdt-standard-244</t>
  </si>
  <si>
    <t>App crashing when a user clicks on some profiles</t>
  </si>
  <si>
    <t>Login using indtester1, and click on Whom, 10</t>
  </si>
  <si>
    <t>applivery-applivery-android-sdk-56</t>
  </si>
  <si>
    <t>[BUG] Control the exception for Object Expected</t>
  </si>
  <si>
    <t>Organization Owner email address: Gigigo
App ID: McDonalds :-D
**Describe the bug**
The application crashed yesterday afternoon and it was because the response of the request that arrived was not string instead of an object as expected. It would be necessary to control the exception of the request library for when the object cannot be parsed to have controllable generic error.
Steps to reproduce the behavior:
1. Go to ...
2. Click on ....
3. Scroll down to ....
4. See error</t>
  </si>
  <si>
    <t>applivery-applivery-android-sdk-55</t>
  </si>
  <si>
    <t>App crashing on startup (Applivery initalization) [BUG]</t>
  </si>
  <si>
    <t>Organization Owner email address: mobile supermercato24.it
App ID: (all apps)
**Describe the bug**
The app crashes when it opened.
This error is reported in the stacktrace:
Caused by Expected BEGIN OBJECT but was STRING at line column path
Steps to reproduce the behavior:
Open the app and wait for the SDK initalization
**Smartphone (please complete the following information):**
Device: all devices
OS: Android, all versions</t>
  </si>
  <si>
    <t>2020-02-06</t>
  </si>
  <si>
    <t>material-components-material-components-android-990</t>
  </si>
  <si>
    <t>HTML Option crashes the WebView on Android 6</t>
  </si>
  <si>
    <t>version 1.1.0, the render of an html option will crash the app.
This doesn happen on Android 6.
**Expected behaviour:** HTML Option should be rendered without crashing the app.
&lt;option&gt;Option One&lt; option&gt;
&lt;option&gt;Option Two&lt; option&gt;
**Android API version:** 23
**Material Library version:** 1.1.0-alpha06, 1.2.0-alpha04, any 1.0.0.</t>
  </si>
  <si>
    <t>fieldsight-fieldsight-mobile-509</t>
  </si>
  <si>
    <t>Syns crashes when trying to download multiple projects</t>
  </si>
  <si>
    <t>#### Software and hardware versions
FieldSight v.3.3.4, Android 10
#### Problem description
Download fails when downloading multiple projects
#### Steps to reproduce the problem
1. Open sync
2. Select multiple projects
3. Tap download
#### Expected behavior
1. Open sync
2. Select multiple projects
3. Tap download
4. Download should suceeed
#### Other information</t>
  </si>
  <si>
    <t>jellyfin-jellyfin-androidtv-296</t>
  </si>
  <si>
    <t>Crash when signing into server</t>
  </si>
  <si>
    <t>This is from user crash report in tracepot. Not sure if this is actually an issue here or in the apiclient.</t>
  </si>
  <si>
    <t>2020-02-05</t>
  </si>
  <si>
    <t>aprsworld-awat-6</t>
  </si>
  <si>
    <t>GPS resetting</t>
  </si>
  <si>
    <t>Installed the test version (apk have is from Dec 18) and noticed GPS seemed to be crashing repeatedly. (ie, GPS Status would pop up and disappear over and over). Restarted the app and issue went away. Need to do some further testing and make sure this is not going to be happening in the field.</t>
  </si>
  <si>
    <t>nextcloud-android-5408</t>
  </si>
  <si>
    <t>App crashes for no apparent reason</t>
  </si>
  <si>
    <t>### Steps to reproduce
### Expected behaviour
don know, resume from sleep?
### Actual behaviour
Error popping above other apps
### Environment data
Huawei P30 lite
Stock or customized system:
Nextcloud app version:
Nextcloud server version:
17.0.3 but also earlier versions
#### Web server error log
Insert your webserver log here
#### Nextcloud log (data nextcloud.log)
Insert your Nextcloud log here</t>
  </si>
  <si>
    <t>TeamNewPipe-NewPipe-3059</t>
  </si>
  <si>
    <t>DeadSystemException</t>
  </si>
  <si>
    <t>searched video, clicked the 40 result. app crash. repeated, same. force close clean install, same. reboot, same.
User Action: ui error
Request: App crash, UI failure
Content Language: GB
OS: Linux Android 28
log&lt; b&gt;&lt; summary&gt;&lt;p&gt;</t>
  </si>
  <si>
    <t>material-components-material-components-android-980</t>
  </si>
  <si>
    <t>[MaterialDatePicker] Crash - Scroll to Min Year of CalendarConstraint</t>
  </si>
  <si>
    <t>have calendar set up that requires user to enter their DOB
The constraints are in reference to **TODAY** and require user to be within 18 and 100 years of age.
val calendar UTC ))
If the **current** selection of the calendar is set to January 1st, 1975 which is within the valid range, and the user changes the active YEAR to 1920 the app crashes with the following stack trace.
The calendar is attempting to scroll to JANUARY OF 1920 which is an invalid target position (-1) as the minimum date is in FEBRUARY of 1920 This scenario works just fine when scrolling to the MAXIMUM end
The calendar should scroll to February of 1920 i.e. the minimum allowed date within that year
**Android API version:** Android API version here
**Material Library version:**
To help us triage faster, please check to make sure you are using the latest version (https: github.com material-components releases) of the library.
Confirmed on latest stable release
We also happily accept pull requests (https: github.com material-components pulls).
pekingme Please let me know if you like some support on this. Since this scenario works just fine scrolling to the maximum constraint, anticipate the fix should be quick one.</t>
  </si>
  <si>
    <t>2020-02-04</t>
  </si>
  <si>
    <t>nextcloud-android-5394</t>
  </si>
  <si>
    <t>cant open pdf without previous downloading it from TLS1.3 only server</t>
  </si>
  <si>
    <t>### Steps to reproduce
1. Set server to tls 1.3 only
2. try to open remote pdf file in android client
### Expected behaviour
### Actual behaviour
client app crashes
### Environment data
xiaomi mi 9t
Stock or customized system:
tried on both
Nextcloud app version:
Tried both 3.10.0 and 3.10.1 RC1
Nextcloud server version:
same was on 16.x and now on latest stable 17.x
************ CAUSE OF ERROR ************
Caused by: SSL handshake aborted: ssl 0x7e6d9fd048: Failure in SSL library, usually protocol error
... 26 more
************ APP INFORMATION ************
Build flavor: gplay
************ DEVICE INFORMATION ************</t>
  </si>
  <si>
    <t>opensrp-opensrp-client-opd-68</t>
  </si>
  <si>
    <t>App crashes when Patient Image is added or updated</t>
  </si>
  <si>
    <t>Registration of patient with photo forces the app to crash</t>
  </si>
  <si>
    <t>square-okhttp-5770</t>
  </si>
  <si>
    <t>DefaultProxySelector: IllegalArgumentException: protocol = https host = null</t>
  </si>
  <si>
    <t>Okhttp version: 4.3.1
When using okhttp request an URL https: it crashes:
Fatal Exception: protocol https host null</t>
  </si>
  <si>
    <t>ankidroid-Anki-Android-5736</t>
  </si>
  <si>
    <t>Okhttp interrupted crash</t>
  </si>
  <si>
    <t>## Pull Request template
## Purpose Description
OkHTTP uses slightly different errors to percolate timeouts and connection interruptions vs the apache-http library, so we are now misinterpreting relatively harmless errors has something we should crash on
added the two okio (okhttp underlying library) messages to our connection error logic
## How Has This Been Tested?
Installed and used on API28 and API29 emulators to do conflict full sync, no-op sync, then to sync the results of small review between them, it all still worked. also checked interrupting data while full sync was happening and it threw an error message instead of crashing
After the one commit with what should be the crash fix there is second separate one which delints the file bit. Look at the commits separately for easy review
## Learning (optional, can help others)
googled for the error present in the stack trace after stepping through the control flow in our connection code to see how the error was circulating
Please, go through these checks before submitting the PR.
You have not changed whitespace unnecessarily (it makes diffs hard to read)
You have descriptive commit message with short title (first line, max 50 chars).
Your code follows the style of the project (e.g. never omit braces in if statements)
You have commented your code, particularly in hard-to-understand areas
You have performed self-review of your own code</t>
  </si>
  <si>
    <t>2020-02-03</t>
  </si>
  <si>
    <t>nextcloud-android-5391</t>
  </si>
  <si>
    <t>Nextcloud Android Client crash on accessing file details</t>
  </si>
  <si>
    <t>### Steps to reproduce
1. Open Nextcloud
2. Select any file or folder detail
3. The app crash
### Expected behaviour
File detail view should be seen
### Actual behaviour
The app crashs offering debug info
### Environment data
Android version: 6.0.1
Device model: Samsung S5 Neo
Stock or customized system: Stock
Nextcloud app version: 3.10.0
Nextcloud server version: Nextcloud Hub 18
#### Web server error log
No error on web server error log
#### Nextcloud log (data nextcloud.log)
******** CAUSE OF ERROR ********
Caused by: Trust anchor for certification path not found.
... 26 more</t>
  </si>
  <si>
    <t>nextcloud-android-5390</t>
  </si>
  <si>
    <t>Nextcloud crashes on attempting to open a text file.</t>
  </si>
  <si>
    <t>### Steps to reproduce
1. Tap text file (.txt) that has not been downloaded
2. Wait, and crash
### Expected behaviour
Tell us what should happen
Text file should download and display on the screen
### Actual behaviour
Tell us what happens
Error log appears. Text file has actually been downloaded and after restarting Nextcloud on the Android device will open as expected with single tap.
### Environment data
Stock or customized system:
Nextcloud app version:
Nextcloud server version:
#### Web server error log
Insert your webserver log here
#### Nextcloud log (data nextcloud.log)
#### Android Nextcloud log
Nextcloud crashed ************ CAUSE OF ERROR ************
************ APP INFORMATION ************
Build flavor: gplay</t>
  </si>
  <si>
    <t>TeamNewPipe-NewPipe-3046</t>
  </si>
  <si>
    <t>Fix bug causing crashes when sharing a downloaded file.</t>
  </si>
  <si>
    <t>carefully read the contribution guidelines (https: github.com TeamNewPipe NewPipe blob HEAD .github CONTRIBUTING.md) and agree to them.
Tested it on my android 10 and 7.1 devices.
When sharing video to vlc media player it doesn start playing it, but this should be related to them.
Related stackoverflow: https: stackoverflow.com questions 38200282</t>
  </si>
  <si>
    <t>nextcloud-android-5380</t>
  </si>
  <si>
    <t>Creating a folder when setting remote sync folder from Android phone crashes app</t>
  </si>
  <si>
    <t>### Steps to reproduce
1. Set up sync folder.
2. Configure local folder on SD card
3. Start setting destination folder
4. Create new folder from within this
5. Set to this folder.
6. Watch it crash
### Expected behaviour
Tell us what should happen
### Actual behaviour
Tell us what happens
### Environment data
Stock or customized system:
Nextcloud app version:
Nextcloud server version:
#### Web server error log
Insert your webserver log here
#### Nextcloud log (data nextcloud.log)
************ CAUSE OF ERROR ************
************ APP INFORMATION ************</t>
  </si>
  <si>
    <t>nextcloud-android-5377</t>
  </si>
  <si>
    <t>Error while using App or/and syncing</t>
  </si>
  <si>
    <t>If Sync items or browse in the App, it crashes sometimes. While syncing the App often freeze.
************ CAUSE OF ERROR ************
************ APP INFORMATION ************
Build flavor: gplay
************ DEVICE INFORMATION ************
************ FIRMWARE ************
Nextcloud Server Version
Nothing in Server logs.
If you need more Information, Tell me.</t>
  </si>
  <si>
    <t>2020-02-02</t>
  </si>
  <si>
    <t>TeamNewPipe-NewPipe-3045</t>
  </si>
  <si>
    <t>Share a download from NewPipe creates an error. v18.2</t>
  </si>
  <si>
    <t>User Action: ui error
Request: App crash, UI failure
Content Language: GB
OS: Linux Android 28
log&lt; b&gt;&lt; summary&gt;&lt;p&gt;</t>
  </si>
  <si>
    <t>nextcloud-android-5373</t>
  </si>
  <si>
    <t>Cannot open any file from my nextcloud server</t>
  </si>
  <si>
    <t>### Steps to reproduce
### Expected behaviour
Tell us what should happen
After update to actual version(3.10) of android client cannot open any file from my nextcloud server with previous version(3.9.2) everything works fine
### Actual behaviour
Tell us what happens
when try to download file apps crashes and reveive an java error and app crashes
### Environment data
Motorola Moto x4
Stock or customized system:
Nextcloud app version:
Nextcloud server version:
#### Web server error log
Insert your webserver log here
#### Nextcloud log (data nextcloud.log)
**** CAUSE OF ERROR ****
Caused by: Trust anchor for certification path not found.</t>
  </si>
  <si>
    <t>nextcloud-android-5372</t>
  </si>
  <si>
    <t>Crash when viewing a pdf file</t>
  </si>
  <si>
    <t>### Steps to reproduce
1. Click on pdf file to view. Pdf file when not previously down loaded generates crash. Way to circumvent this problem is to force the downloas first.
2. ************ CAUSE OF ERROR ************
Caused by: Trust anchor for certification path not found.
... 27 more
Caused by: Trust anchor for certification path not found.
... 37 more
************ APP INFORMATION ************
Build flavor: gplay
************ DEVICE INFORMATION ************
************ FIRMWARE ************
### Expected behaviour
Tell us what should happen
### Actual behaviour
Tell us what happens
### Environment data
Stock or customized system:
Nextcloud app version:
Nextcloud server version:
#### Web server error log</t>
  </si>
  <si>
    <t>NordicSemiconductor-Android-BLE-Library-154</t>
  </si>
  <si>
    <t>BleServerManager description helper crash</t>
  </si>
  <si>
    <t>Possible in description method (https: github.com NordicSemiconductor Android-BLE-Library blob master ble src main java no nordicsemi android ble
sharedDescriptors null check and initialization could be added.</t>
  </si>
  <si>
    <t>2020-02-01</t>
  </si>
  <si>
    <t>nextcloud-android-5370</t>
  </si>
  <si>
    <t>App crashes on 2FA notification approve when Google analytics is blocked</t>
  </si>
  <si>
    <t>### Steps to reproduce
1. Enable 2FA via Notification
2. Block all ad traffic with pihole in your network
3. Login in Website
4. Open Android App
5. Open notifications
6. Approve --&gt; login works
7. app crashes because Google analytics is not reachable
### Expected behaviour
app does not crash
### Actual behaviour
### Environment data
Android version: 10
Device model: OnePlus 7T pro
Stock or customized system:
Nextcloud app version: latest
Nextcloud server version: 18
#### App error log
************ CAUSE OF ERROR ************
************ APP INFORMATION ************</t>
  </si>
  <si>
    <t>nextcloud-android-5369</t>
  </si>
  <si>
    <t>Next cloud app crash</t>
  </si>
  <si>
    <t>### Steps to reproduce
1. Open pdf in nextcloud app
************ CAUSE OF ERROR ************
Caused by: Trust anchor for certification path not found.
... 26 more
Caused by: Trust anchor for certification path not found.
... 40 more
************ APP INFORMATION ************
Build flavor: gplay
************ DEVICE INFORMATION ************
************ FIRMWARE ************
## Expected behaviour
Tell us what should happen
### Actual behaviour
Tell us what happens
### Environment data
Stock or customized system:
Nextcloud app version:
Nextcloud server version:
#### Web server error log</t>
  </si>
  <si>
    <t>aws-amplify-aws-sdk-android-1510</t>
  </si>
  <si>
    <t>getIdentityId() returns null the first time after Sign In in Android, crashes app but if reopened behaves normally</t>
  </si>
  <si>
    <t>**Describe the bug**
getIdentityId() returns null the first time after signing in. This will
crashes the app. But when the app is reopened, things behave normally.
Here the code that have tried:
IDENTITY POOL ID replaced by Identity Pool ID of mine
Regions.AP SOUTH Region
new Thread(new Runnable()
public void run()
Had to start new thread as it was giving error about using the main thread.
Another thing tried:
new Thread(new Runnable()
public void run()
final AWSCredentials credentials
Here the error that shows up in Logcat:
get this same result every time.
Normal, smooth login
**Desktop (please complete the following information):**
OS: Android Oreo
Thank you for your valuable time.
Actually, the issue is that the identity ID am getting from these methods</t>
  </si>
  <si>
    <t>zoontek-react-native-bootsplash-58</t>
  </si>
  <si>
    <t>ViewGroup.removeView on null object reference</t>
  </si>
  <si>
    <t>Hi! Thanks for this awesome lib! Today found weird crash report coming from bootsplash. It has only been reported by specific device so far, here are the details:
### My environment
react-native version: 0.61.5
OS version: 5.0
Device: Samsung Galaxy Note
### Reproducing the issue
not sure how but think it kinda my fault but perhaps it should also be addressed by this library if it hasn already. got two places where call the method to hide the bootsplash:
... somewhere in my boot sequence
If for some reason we take more than seconds to boot
this hides bootsplash and shows spinner
Wait until we re ready to show the splashscreen
guessing that the second call to RNBootSplash.hide could fail in this particular config because the View no longer exists and bootsplash doesn handle that case? wasn handling that particular case because... well, assumed it would just do nothing
This problem doesn seem to affect any other device yet but ll keep an eye on it.
not sure. Perhaps checking if the reference is not null before calling removeView ll try to add check on the React side to avoid calling RNBootSplash.hide twice and see if this fixes the issue for me.
not an Android dev, so haven checked the code to see if perhaps that exactly what happened here.</t>
  </si>
  <si>
    <t>ElderDrivers-EdXposed-456</t>
  </si>
  <si>
    <t>[BUG]  'java.lang.Class java.lang.Object.getClass()' on a null object reference on Sandhook version</t>
  </si>
  <si>
    <t>** What happened?**
On Samsung S8 with latest Android 9, when opening contacts app the app crashes.
This happens when using my Firefds Kit module with this code:
.getBoolean(PREF DISABLE NUMBER FORMATTING, false)))
catch (Throwable e)
The method the module is trying to hook to is:
public static boolean
This crash only happens on EdXposed Sandhook version. When using YAHFA version this crash doesn happen
**Xposed Xposed Module List**
Firefds Kit Pie
NoAds For Youtube
YouTube Background Player
**Magisk Magisk Module List**
Magisk Manager 7.5.1
**EdXposed Riru Versions of EdXposed and Riru**
0.4.5.1 beta Sandhook
** Logcat Logcat**
Caused by: Attempt to invoke virtual method java.lang.Class on null object reference</t>
  </si>
  <si>
    <t>nextcloud-android-5366</t>
  </si>
  <si>
    <t>crash after login during accsess filesystem</t>
  </si>
  <si>
    <t>### Steps to reproduce
1. downlod nextcloud app form fdroid
2. Start the APP and login
3. Grant accsess to the filesystem
### Expected behaviour
Tell us what should happen
### Actual behaviour
Tell us what happens
### Environment data
Stock or customized system:
lineage os 16.0
Nextcloud app version:
Nextcloud server version:
#### Web server error log
Insert your webserver log here
#### Nextcloud log (data nextcloud.log)
Insert your Nextcloud log here
### Nextcloud app log:
************ CAUSE OF ERROR ************
************ APP INFORMATION ************</t>
  </si>
  <si>
    <t>2020-01-31</t>
  </si>
  <si>
    <t>armpatch-TrainingLog-13</t>
  </si>
  <si>
    <t>Cannot add exercises to other days</t>
  </si>
  <si>
    <t>crashes when you try to add an exercise to another day.</t>
  </si>
  <si>
    <t>nextcloud-android-5364</t>
  </si>
  <si>
    <t>Nextcloud App crashs after upgrade to 17</t>
  </si>
  <si>
    <t>Not similar to Issue #5305
### Steps to reproduce
1. Every time start the app Nextcloud client (3.10.0) on Samsung Galaxy S9+ immedately the app crash with report CAUSE OF ERROR no access to Nextcloud server. This status is after ve initialed the access from app to server. In server log find the authorization for the device Samsung Galaxy.
--- What happened before the issue ---
2. the same Nextcloud App works fine to server Nextcloud 16.0.7
3. upgrade manually the server to 17.0.2
4. Access to Nextcloud with webgui (Mozilla, Chrome, Edge etc) and Nextcloud app iOS (iPhone) works fine, like the desktop client too (Windows 10)
5. Only the app Nextcloud client (3.10.0) crashs. Two times app uninstalled und re-installed no benefice.
### Actual behaviour
see point #1
### Environment data
************ APP INFORMATION ************
Build flavor: gplay
************ DEVICE INFORMATION ************
************ FIRMWARE ************
Stock or customized system:
Nextcloud app version: 3.10.0 (January, 17. 2020)
Nextcloud server version: 17.0.2
#### Web server error log
Insert your webserver log here</t>
  </si>
  <si>
    <t>nextcloud-android-5362</t>
  </si>
  <si>
    <t>Webview on lolilop crashes</t>
  </si>
  <si>
    <t>When user wants to connect on Lolipop (API 22) through web view, the client crashes.
Here is the stacktrace
It happens only on lolipop (api 22), on all nc versions.</t>
  </si>
  <si>
    <t>nextcloud-android-5356</t>
  </si>
  <si>
    <t>Frequent Crashes on Nokia 7.2</t>
  </si>
  <si>
    <t>### Steps to reproduce
1. don know what causes it. The app simply crashes sporadically.
2. am pretty sure it only happens when the screen is off.
### Expected behaviour
### Actual behaviour
Full screen crash notification appears
************ CAUSE OF ERROR ************
************ APP INFORMATION ************
Build flavor: gplay
************ DEVICE INFORMATION ************
************ FIRMWARE ************</t>
  </si>
  <si>
    <t>2020-01-30</t>
  </si>
  <si>
    <t>aws-amplify-aws-sdk-android-1461</t>
  </si>
  <si>
    <t>Number format exception Transfer Record</t>
  </si>
  <si>
    <t>Sharing the crash logs
AWS s3 transfer utility causes crash. Have seen similar bug
For input string: ANY
AWS Android SDK Version: e.g. 2.16.6, older versions also
Device: e.g. Galaxy S9 and many devices</t>
  </si>
  <si>
    <t>renyuneyun-Easer-322</t>
  </si>
  <si>
    <t>App crash after saveing in battery level condition</t>
  </si>
  <si>
    <t>**Describe the bug**
App crashed after clicking on save button in battery level condition dialog
Steps to reproduce the behavior:
1. Add new Condition
2. Select Battery Level Condition
3. Click on button save
4. See App Crash
Message about wrong input.</t>
  </si>
  <si>
    <t>getodk-collect-3615</t>
  </si>
  <si>
    <t>Collect crashes after minimizing an app when Rank widget popup displayed.</t>
  </si>
  <si>
    <t>#### Software and hardware versions
Collect v1.25.1, Android v4.2-10, device used...
#### Problem description
Collect crashes after minimizing extinguishing an app when Rank widget popup displayed.
#### Steps to reproduce the problem
1. Open Rank widget
2. Click Rank items button
3. Minimize extinguish the app
#### Expected behavior
The app should not crash. User should be able to restore the app from the background.
#### Other information
have used All widgets form with rank widget.</t>
  </si>
  <si>
    <t>OpenArchive-Save-app-android-204</t>
  </si>
  <si>
    <t>Pausing upload crashes app half the time</t>
  </si>
  <si>
    <t>Dropbox server (rr personal account) and Good Cloud server
1. Upload multiple files
2. Click on circled number to go to Uploads view
3. Click Edit in upper right corner
4. **Expected result** upload pauses
**Actual result** some of the time (maybe half), it behaves as expected, but the other half of the time, the app crashes to the main android screen.</t>
  </si>
  <si>
    <t>2020-01-29</t>
  </si>
  <si>
    <t>ankidroid-Anki-Android-5731</t>
  </si>
  <si>
    <t>Avoid RuntimeException crash in Sound</t>
  </si>
  <si>
    <t>## Pull Request template
## Purpose Description
It is not documented, but in AOSP source RuntimeException may be
thrown for variety of reasons while retrieving media metadata
This fix expands the catch to handle those RuntimeExceptions, even
though we can really recover from them. The method is only responsible
for returning the duration of the sound, and it will now default to
in these cases.
This media duration method itself is only used when AnkiDroid is
configured for auto-advancing review, to calculate the delay correctly.
Since the file is likely inaccessible anyway, waiting for duration in
that case seems correct anyway
## How Has This Been Tested?
Local run of the app on simulator API28, plus CI should check it. That said, having stack trace with only one possible way it can happen based on inspection of AOSP source gives me confidence
## Learning (optional, can help others)
Here the source for the Java file, where RuntimeException is not documented, but you can see where the URI) code goes native:
Here the native code where it will chuck RuntimeException if there are any problems: https: github.com aosp-mirror platform frameworks base blob master media jni android media
Since it obvious it can happen, and the consequence is light, seems best to catch it vs crashing.
Please, go through these checks before submitting the PR.
You have not changed whitespace unnecessarily (it makes diffs hard to read)</t>
  </si>
  <si>
    <t>enviroCar-enviroCar-app-389</t>
  </si>
  <si>
    <t>App crash on export track</t>
  </si>
  <si>
    <t>**Describe the bug**
App crashes on Export track
Steps to reproduce the behavior:
1. Goto My Tracks Fragment
2. Select the menu of the track to be exported.
3. Select export track.
**Why app is crashing**
getUser() is null
**How will fix**
Check if user logged in or not in case not logged in show snackbar showing message login to export</t>
  </si>
  <si>
    <t>nextcloud-android-5348</t>
  </si>
  <si>
    <t>### Steps to reproduce
1. Phone was in flight mode energy safe mode during night
2. Disabled themin the morning. It connected to the Wi-Fi and mobile network
3. Nextcloud crash just popped up.
### Expected behaviour
Tell us what should happen
### Actual behaviour
Tell us what happens
### Environment data
10 (Havoc 3.0)
Stock or customized system:
Nextcloud app version:
Nextcloud server version:
#### Web server error log
Insert your webserver log here
#### Nextcloud log (data nextcloud.log)
************ CAUSE OF ERROR ************
************ APP INFORMATION ************
Build flavor: gplay
************ DEVICE INFORMATION ************</t>
  </si>
  <si>
    <t>nextcloud-android-5344</t>
  </si>
  <si>
    <t>pdf crash mobile app</t>
  </si>
  <si>
    <t>************ CAUSE OF ERROR ************
Caused by: Trust anchor for certification path not found.
... 26 more
Caused by: Trust anchor for certification path not found.
... 35 more
************ APP INFORMATION ************
Build flavor: gplay
************ DEVICE INFORMATION ************
************ FIRMWARE ************
### Steps to reproduce
1. Open pdf
### Expected behaviour
it should open
### Actual behaviour
### Environment data
Stock or customized system:
Nextcloud app version:
Nextcloud server version:
#### Web server error log
Insert your webserver log here</t>
  </si>
  <si>
    <t>2020-01-28</t>
  </si>
  <si>
    <t>nextcloud-android-5341</t>
  </si>
  <si>
    <t>mobile app crashes when opening a pdf document</t>
  </si>
  <si>
    <t>************ CAUSE OF ERROR ************
Caused by: Trust anchor for certification path not found.
... 26 more
Caused by: Trust anchor for certification path not found.
... 39 more
************ APP INFORMATION ************
Build flavor: gplay
************ DEVICE INFORMATION ************
************ FIRMWARE ************</t>
  </si>
  <si>
    <t>TeamNewPipe-NewPipe-3023</t>
  </si>
  <si>
    <t>Recaptcha crash on app open</t>
  </si>
  <si>
    <t>carefully read the contribution guidelines (https: github.com TeamNewPipe NewPipe blob HEAD .github CONTRIBUTING.md) and agree to them.
checked if the issue feature exists in the latest version.
did use the incredible bugreport to markdown converter
User Action: ui error
Request: App crash, UI failure
Content Language: GB
OS: Linux Android 10 29
log&lt; b&gt;&lt; summary&gt;&lt;p&gt;</t>
  </si>
  <si>
    <t>commons-app-apps-android-commons-3352</t>
  </si>
  <si>
    <t>App Crashing when changing theme when an uploaded image is already viewed</t>
  </si>
  <si>
    <t>The application is crashing.
If one clicks on an uploaded picture from the home screen then tries to change the theme of the application(dark light) then returning to the previous activity the application will crash.
**Steps to reproduce:**
1. Upload picture.
2. Go settings by swiping from left to right to open the Navigation Drawer.
3. Switch between the themes.
4. Press the back button.
Add logcat files here (if possible).
**Device and Android version:**
Device Model: Redmi Note Pro
Is it the stock version from the manufacturer or custom ROM Yes
**Commons app version:**
ezgif (https: 32506591
**Would you like to work on the issue?**
Yes. would like to work on the issue.</t>
  </si>
  <si>
    <t>nextcloud-android-5334</t>
  </si>
  <si>
    <t>Crash when syncing with ~40gb music folder</t>
  </si>
  <si>
    <t>Seems to happen when trying to sync any folder of more than gb or so
### Steps to reproduce
1. Have folder with 10+GB of files on your nextcloud server
2. Open your android app that is paired with your nextcloud server
3. Press the three dots next to the folder from step 1. and press sync
4. The window with this app has stopped responding keeps popping up even if you press wait
### Expected behaviour
would expect nextcloud to sync the local folder with the remote one and keep both folders in sync after the initial download
### Actual behaviour
The aforementioned this app has stopped responding pops up. If don press wait within few seconds, the entire app closes. If press wait enough times it seems to eventually start downloading something but will still pop up with that dialog and if don press wait it ll crash mid-download
### Environment data
Android version: OxygenOS 9.0.9
Stock or customized system: Stock
Nextcloud app version:
Build flavor: gplay
Nextcloud server version:
17.0.2.1 running on NextcloudPi v1.20.1 on an RPI3
#### Stack trace
#### Nextcloud log (data nextcloud.log)</t>
  </si>
  <si>
    <t>2020-01-27</t>
  </si>
  <si>
    <t>nextcloud-android-5333</t>
  </si>
  <si>
    <t>Nextcloud App crashes on activity tab</t>
  </si>
  <si>
    <t>### Steps to reproduce
1. open activity tab
2. download file, or refresh tab
3. nextcloud chrashed
### Expected behaviour
Tell us what should happen
### Actual behaviour
Tell us what happens
### Environment data
Device model: Huaewi p10
Stock or customized system:EMUI 9.1.0
Nextcloud app version: 3.1.10
Nextcloud server version: 17.0.2
Activity app version:2.10.1
Insert your Nextcloud log here
************ CAUSE OF ERROR ************
************ APP INFORMATION ************
Build flavor: gplay
************ DEVICE INFORMATION ************
************ FIRMWARE ************</t>
  </si>
  <si>
    <t>nextcloud-android-5327</t>
  </si>
  <si>
    <t xml:space="preserve">app crash when I click on share button </t>
  </si>
  <si>
    <t>### Steps to reproduce
1. when click on share button
************ CAUSE OF ERROR ************
Caused by: Trust anchor for certification path not found.
... 26 more
Caused by: Trust anchor for certification path not found.
... 40 more
************ APP INFORMATION ************
Build flavor: gplay
************ DEVICE INFORMATION ************
************ FIRMWARE ************</t>
  </si>
  <si>
    <t>MiKinshu-SilverBook-28</t>
  </si>
  <si>
    <t>App crashing.</t>
  </si>
  <si>
    <t>The app crashes when no input in given in the Enter classes attended and Enter total no of classes till today fields of Add subject fragment.</t>
  </si>
  <si>
    <t>TeamNewPipe-NewPipe-3015</t>
  </si>
  <si>
    <t>FireTV wonky aspect ratio: far too wide</t>
  </si>
  <si>
    <t>Of the functions have tested the most problematic is emailing crash report. There is no email client available. researching side load option. Popup video always crashes on my 4k stick. am using USB ethernet bridge for throughput.
am able to navigate with fire remote.
had hoped to watch (skim) daily hours of senate trial video. After frustrating minutes of searching the video does play full screen but the aspect ratio is extremely wonky. It fills the screen width but the height is not commensurate. selected 720p video.</t>
  </si>
  <si>
    <t>nextcloud-android-5319</t>
  </si>
  <si>
    <t>Android App Crash when clicking on a document file. (No online office installed)</t>
  </si>
  <si>
    <t>### Steps to reproduce
1. Click in the app on .doc file.
2. On the NextCloud Server Onlyoffice isn install.
3. App crashes
### Expected behaviour
The file should open in an extern Office App on the Phone
### Actual behaviour
### Environment data
Device model: moto G6
Stock or customized system: Stock
Nextcloud app version: 3.10.0
Nextcloud server version: 17.0.2
************ CAUSE OF ERROR ************
Caused by: Trust anchor for certification path not found.
... 26 more
Caused by: Trust anchor for certification path not found.
... 40 more
************ APP INFORMATION ************
Build flavor: gplay
************ DEVICE INFORMATION ************</t>
  </si>
  <si>
    <t>2020-01-26</t>
  </si>
  <si>
    <t>nextcloud-android-5318</t>
  </si>
  <si>
    <t>Crash when deleting locally only</t>
  </si>
  <si>
    <t>### Steps to reproduce
1. From folder shared with you
2. Select (video) file (60 MB)
3. Select delete locally only
### Expected behaviour
Remove file from my device
### Actual behaviour
The app crash
### Environment data
Android version: 10 (OxygenOS 10.3.0)
Device model: OnePlus 6T
Stock or customized system: stock
Nextcloud app version: 3.9.2
Nextcloud server version: 17.0.2
#### Nextcloud log (data nextcloud.log)
************ CAUSE OF ERROR ************
************ APP INFORMATION ************
Build flavor: generic
************ DEVICE INFORMATION ************
************ FIRMWARE ************</t>
  </si>
  <si>
    <t>nextcloud-android-5317</t>
  </si>
  <si>
    <t>app crashing when reciving notfication</t>
  </si>
  <si>
    <t>### Steps to reproduce
1. login on new device
2. choose Two-Factor Authentication via Nextcloud notification as second factor
3. watch the app crash ...
### Expected behaviour
show notification or similar to allow reject login
### Actual behaviour
### Environment data
Android version: 7.1.2
Device model: SM-G920F
Stock or customized system: lineage OS 14.1
Nextcloud app version: 3.10.0
Nextcloud server version: 17.0.2
#### Web server error log
Insert your webserver log here
#### Nextcloud log (data nextcloud.log)
************ CAUSE OF ERROR ************
************ APP INFORMATION ************
Build flavor: gplay
************ DEVICE INFORMATION ************</t>
  </si>
  <si>
    <t>nextcloud-android-5309</t>
  </si>
  <si>
    <t>### Steps to reproduce
1. Create work profile in Android
2. Install Nextcloud (from F-Droid or Aptoide)
3. Input server URL and credentials
### Expected behaviour
Nextcloud app opens normally, displaying the File tab
### Actual behaviour
App crashes with error report
### Environment data
Stock or customized system:
Nextcloud app version:
Nextcloud server version:
************ CAUSE OF ERROR ************
************ APP INFORMATION ************
Build flavor: gplay
************ DEVICE INFORMATION ************
************ FIRMWARE ************
#### Web server error log
#### Nextcloud log (data nextcloud.log)
Insert your Nextcloud log here</t>
  </si>
  <si>
    <t>2020-01-25</t>
  </si>
  <si>
    <t>nextcloud-android-5308</t>
  </si>
  <si>
    <t xml:space="preserve">exception when opening PDF </t>
  </si>
  <si>
    <t>### Steps to reproduce
1. Click on listed PDF file to open.
2. Unfortunately, Nextcloud has stopped message
3. An exception log appears Nextcloud crashed
4. The file starts downloading in the background.
### Expected behaviour
The PDF should (start downloading or) open (or you should have to choice to select an app to open with)
### Actual behaviour
An exception happens and the log appears.
#### Web server error log
See next comment</t>
  </si>
  <si>
    <t>nextcloud-android-5305</t>
  </si>
  <si>
    <t>Nextcloud App crashes on android</t>
  </si>
  <si>
    <t>### Steps to reproduce
1. Start downloding file from your nextcloud. App crashes.
2. Possibly an invalid cert could cause this problem. Browsing the directory hierarchies does work but downloading file does not.
### Environment data
Device model: S8
Stock or customized system:
Nextcloud app version:
************ CAUSE OF ERROR ************
************ APP INFORMATION ************
Build flavor: gplay
************ DEVICE INFORMATION ************
************ FIRMWARE ************</t>
  </si>
  <si>
    <t>react-native-share-react-native-share-687</t>
  </si>
  <si>
    <t>My android release app crash, is it possible to work without changing file path provider?</t>
  </si>
  <si>
    <t>### Steps to reproduce
Implement react-native-share without changing the file path provider -&gt; crash on release build
Implement react-native-share and changing the file path provider -&gt; it works for sharing but making capture from camera with (https: github.com not work
### Expected behaviour
Release build should not crashing when using react-native-share and should not make other library not working
### Actual behaviour
know there is solution by changing file path provider to make release build not crashing on #200
if change the file path provider it works, but it will make (https: github.com not able to pick image
**React Native version**: 0.61.5
**React Native platform platform version**: Android 7.0
### Link to repo (highly encouraged)</t>
  </si>
  <si>
    <t>nextcloud-android-5302</t>
  </si>
  <si>
    <t>Dev version crashes on startup</t>
  </si>
  <si>
    <t>### Steps to reproduce
1. Open App
2. Necxtcloud dev keeps stopping
### Expected behaviour
It should not crash
### Actual behaviour
### Environment data
Device model: Google Pixel XL
Stock or customized system: Stock rooted (Magisk)
Nextcloud app version: 20200110
Nextcloud server version: Unknown
#### Web server error log
Insert your webserver log here
#### Nextcloud log (data nextcloud.log)</t>
  </si>
  <si>
    <t>2020-01-24</t>
  </si>
  <si>
    <t>GrapheneOS-Auditor-64</t>
  </si>
  <si>
    <t>Auditor app crashes on initial device pairing</t>
  </si>
  <si>
    <t>The Auditor app keeps stopping when attempting to perform the initial pairing between phone and tablet.
Both devices are running Auditor version 17.
Steps to reproduce issue:
1. Launch Auditor on both devices.
2. Tap auditor (device performing verification) on the Pixel.
3. Tap auditee (device being verified) on the Tab A.
4. Scan QR code shown on the other device.
5. The app crashes.
No issues when auditor and auditee are switched pairing and verification are successful.
Please let me know if additional information is needed.</t>
  </si>
  <si>
    <t>deltachat-deltachat-android-1222</t>
  </si>
  <si>
    <t>oauth2 crashes in 1.1.0 and 1.1.1</t>
  </si>
  <si>
    <t>1.0.* is fine, may be core issue, there were no changes in the android part iirc.</t>
  </si>
  <si>
    <t>HarvestProfit-react-native-rectangle-scanner-9</t>
  </si>
  <si>
    <t>Fixes iOS dual camera crash issue</t>
  </si>
  <si>
    <t>2020-01-23</t>
  </si>
  <si>
    <t>HarvestProfit-react-native-rectangle-scanner-8</t>
  </si>
  <si>
    <t>Crashes on iPhones with multiple back cameras</t>
  </si>
  <si>
    <t>This is the only details get from Sentry Production Error Handling but it looks like any iPhone with multiple cameras will lead to crash.
EXC BAD ACCESS
Exception 1, Code 19923264, Subcode
Attempted to dereference garbage pointer 0x130013001300140.</t>
  </si>
  <si>
    <t>nextcloud-android-5295</t>
  </si>
  <si>
    <t>Crash when inspecting an image's properties</t>
  </si>
  <si>
    <t>### Steps to reproduce
Android client did left to right swipe then images selected an image then selected properties (second down in the list). The crash was mediate.
### Actual behaviour
************ CAUSE OF ERROR ************
Caused by: Trust anchor for certification path not found.
... 26 more
Caused by: Trust anchor for certification path not found.
... 40 more
************ APP INFORMATION ************
Build flavor: gplay
************ DEVICE INFORMATION ************
************ FIRMWARE ************
### Environment data
Stock or customized system:
Nextcloud app version:
Nextcloud server version:
#### Web server error log
Insert your webserver log here
#### Nextcloud log (data nextcloud.log)
Insert your Nextcloud log here</t>
  </si>
  <si>
    <t>TeamNewPipe-NewPipe-2979</t>
  </si>
  <si>
    <t>NPE on reCAPTCHA challenge</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</si>
  <si>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FR
OS: Linux Android 8.1.0 27
log&lt; b&gt;&lt; summary&gt;&lt;p&gt;
was scrolling what new in peertube.co.uk instance. It happens everytime scroll to look at few videos</t>
  </si>
  <si>
    <t>2020-01-22</t>
  </si>
  <si>
    <t>nextcloud-android-5284</t>
  </si>
  <si>
    <t xml:space="preserve">Nextcloud for android crashes if trying to download file </t>
  </si>
  <si>
    <t>************ CAUSE OF ERROR ************
Caused by: Trust anchor for certification path not found.
... 26 more
Caused by: Trust anchor for certification path not found.
... 40 more
************ APP INFORMATION ************
Build flavor: gplay
************ DEVICE INFORMATION ************
************ FIRMWARE ************</t>
  </si>
  <si>
    <t>commons-app-apps-android-commons-3335</t>
  </si>
  <si>
    <t>Hotfix: Crash on startup</t>
  </si>
  <si>
    <t>To fix VojtechDostal crash on startup</t>
  </si>
  <si>
    <t>2020-01-21</t>
  </si>
  <si>
    <t>martykan-forecastie-429</t>
  </si>
  <si>
    <t>GraphActivity crashing</t>
  </si>
  <si>
    <t>Here is adb logcat output</t>
  </si>
  <si>
    <t>nextcloud-android-5264</t>
  </si>
  <si>
    <t xml:space="preserve">Nextcloud Android client crashes when trying to open Details for a task coach file </t>
  </si>
  <si>
    <t>OpenArchive-Save-app-android-199</t>
  </si>
  <si>
    <t>Crashes to Android desktop when waiting</t>
  </si>
  <si>
    <t>Good Cloud server
When let the galaxyS7 just sit while uploading is slow or crashed,
1. Select and upload bunch of images
2. Set down phone with upload screen open
3. Wait for uploads to finish
4. **Expected Results** uploads finish and the app is still open
4. **Actual Results** uploads either do or don finish and the Android desktop is open instead of the app
found this while testing stuff related to uploads and don have full description, will add more details. don have timing info yet and haven finished testing if this also happens on other screens or with other phones. This happened at least three times as described above.</t>
  </si>
  <si>
    <t>Zhuinden-simple-stack-215</t>
  </si>
  <si>
    <t>Starting navigation from inside `ScopedService.Activated` is not safe</t>
  </si>
  <si>
    <t>During activation dispatch, calling immediately destroys the scope hierarchy BEFORE the dispatch is complete.
Gives you this beautiful crash that was totally hoping to never see, surprised to have actually triggered it myself.
possible solution would be to detach and re-attach the StateChanger while the dispatching is active.
But this is quite pain in the ass and ll write unit tests for this when can. It kinda past AM. :thinking:
The quick-fix solution (in the code where onActive() calls will be Handler.post
This is not as scary as it looks though, ve built stuff on onScopeActive before and apparently the race is only between actually triggering navigation that destroys scopes right there and then. That navigation action *should* be enqueued, but currently it is not.</t>
  </si>
  <si>
    <t>nextcloud-android-5258</t>
  </si>
  <si>
    <t xml:space="preserve">Dev build is crashing </t>
  </si>
  <si>
    <t>am using the Fdroid version of the dev build and just upgraded it to 20200110 Prior to the upgrade have experienced no crashes, cant tell what the version was propbably it was the one before.
am using it on LineageOS 14.1
open the app, and it crashes right away, was able to capture the log below. PLease let me know if you need more log stuff</t>
  </si>
  <si>
    <t>2020-01-20</t>
  </si>
  <si>
    <t>nextcloud-android-5250</t>
  </si>
  <si>
    <t>Nextcloud App crashing creating directory in Autoupload menu</t>
  </si>
  <si>
    <t>### Steps to reproduce
1. Select Auto upload and Open the menu to select the folder to sync
2. Create folder as the prefered path does not exist yet
3. Confirm folder creation and the App will crash
### Expected behaviour
Tell us what should happen
### Actual behaviour
Tell us what happens
### Environment data
Android version: See below
Device model: See below
Stock or customized system: stock
Nextcloud app version: See below
Nextcloud server version: 17
#### Web server error log
Insert your webserver log here
#### Nextcloud log (data nextcloud.log)
Insert your Nextcloud log here
************ CAUSE OF ERROR ************
************ APP INFORMATION ************</t>
  </si>
  <si>
    <t>material-components-material-components-android-925</t>
  </si>
  <si>
    <t>Received some reports java.lang.IllegalArgumentException: Illegal state argument: 5</t>
  </si>
  <si>
    <t>We have received some reports about this stacktrace.
Fatal Exception: Illegal state argument:
have read and analyze the problem it seems as the view is not hideable, but it isn true, the view is hideable as you can see in the next code.
This is the function use for hide view.
public void hidePlayer()
0, 0, 0)
catch (Exception e)
Timber.e(e, Workaround fabric random crash
Devices report by version:
Android 9: 33%
Android 8: 22%
Android 7: 16%
android 6: 12%
Devices report by brands:</t>
  </si>
  <si>
    <t>nextcloud-android-5245</t>
  </si>
  <si>
    <t>crash displying a pdf file</t>
  </si>
  <si>
    <t>### Steps to reproduce
1. Create pdf file using pdflatex in Nextcloud folder on Ubuntu 18.04
2. Open said pdf file in Android on Samsung Galaxy Note
### Expected behaviour
Tell us what should happen
Pdf file should display
### Actual behaviour
Tell us what happens
Flashes pdf as text file then complains of internal error then crashes.
### Environment data
Stock or customized system:
Nextcloud app version:
Nextcloud server version:
#### Web server error log
Insert your webserver log here
#### Nextcloud log (data nextcloud.log)
Insert your Nextcloud log here
************ CAUSE OF ERROR ************
************ APP INFORMATION ************
Build flavor: gplay</t>
  </si>
  <si>
    <t>2020-01-19</t>
  </si>
  <si>
    <t>nextcloud-android-5241</t>
  </si>
  <si>
    <t>App 3.10.0 crashes when tryimg to share a folder</t>
  </si>
  <si>
    <t>### Steps to reproduce
1. Try to share folder with user
2. app crashes
### Expected behaviour
app doesn crash
### Actual behaviour
Tell us what happens
### Environment data
Android version: 9.0
Stock or customized system:
Nextcloud app version:
Nextcloud server version:
#### Web server error log
Insert your webserver log here
#### Nextcloud log (data nextcloud.log)
Insert your Nextcloud log here</t>
  </si>
  <si>
    <t>material-components-material-components-android-923</t>
  </si>
  <si>
    <t xml:space="preserve">[Slider] Xml valueFrom and valueTo order problem </t>
  </si>
  <si>
    <t>everything works well, but when switch places of android:valueTo 10 and android:valueFrom
while coding or using built in studio code formatter, app crashes with error
**Expected behavior:** thing order of those two attributes shouldn matter
**Android API version:** 28
**Material Library version:** 1.2.0-alpha03
To help us triage faster, please check to make sure you are using the latest version (https: github.com material-components releases) of the library.
We also happily accept pull requests (https: github.com material-components pulls).</t>
  </si>
  <si>
    <t>nextcloud-android-5240</t>
  </si>
  <si>
    <t>Crash on open document</t>
  </si>
  <si>
    <t>Pasting crash report here. Hope its useful. tried to open markdown file locally on Android from the NC interface. Possibly there were unsynced changes, though they should have been synced as the device had working Internet connection.
************ CAUSE OF ERROR ************
************ APP INFORMATION ************
Build flavor: gplay
************ DEVICE INFORMATION ************
************ FIRMWARE ************</t>
  </si>
  <si>
    <t>nextcloud-android-5239</t>
  </si>
  <si>
    <t>App crashes randomly</t>
  </si>
  <si>
    <t>### Steps to reproduce
1. Do nothing, it just appears from time to time when the app is in background
### Expected behaviour
### Actual behaviour
seems like there is something wrong with the tracking
### Environment data
currently cleaned the notifications-table in the database and logged of from this device in order to get rid of the HTTP 400 errors from Nextcloud push service.
************ CAUSE OF ERROR ************
************ APP INFORMATION ************
Build flavor: gplay
************ DEVICE INFORMATION ************
************ FIRMWARE ************</t>
  </si>
  <si>
    <t>nextcloud-android-5237</t>
  </si>
  <si>
    <t xml:space="preserve">Nextcloud dev crashes while downloading a document </t>
  </si>
  <si>
    <t>### Steps to reproduce
1. Start Nextcloud dev
2. Navigate to the document to download
3. Tap on the document
### Expected behaviour
Document is downloaded and options to open displayed.
### Actual behaviour
Download begins, Nextcloud dev crashes and is restarted by Android.
### Environment data
Android version: 8.0.0
Device model: Samsung SM-A320FL
Stock or customized system: Stock
Nextcloud app version: 20191221
Nextcloud server version: 16.0.3
#### Web server error log
Insert your webserver log here
#### Nextcloud log (data nextcloud.log)
************ CAUSE OF ERROR ************
************ APP INFORMATION ************
Build flavor: versionDev</t>
  </si>
  <si>
    <t>nextcloud-android-5236</t>
  </si>
  <si>
    <t>Nextcloud crashing when accessing pdf file</t>
  </si>
  <si>
    <t>### Steps to reproduce
1. Pickt any pdf not cached locally.
### Expected behaviour
Download and visualize pdf
### Actual behaviour
Tell us what happens
Shows the download screen and then crashes
### Environment data
Device model: Samsung galaxy tab s6 SM-T 860
Stock or customized system:
Nextcloud app version: 3.0.0
Nextcloud server version:
#### Web server error log
Insert your webserver log here
#### Nextcloud log (data nextcloud.log)
************ CAUSE OF ERROR ************
Caused by: Trust anchor for certification path not found.
... 26 more
Caused by: Trust anchor for certification path not found.
... 40 more</t>
  </si>
  <si>
    <t>2020-01-18</t>
  </si>
  <si>
    <t>nextcloud-android-5235</t>
  </si>
  <si>
    <t xml:space="preserve">Show file/folder sharing details </t>
  </si>
  <si>
    <t>### Steps to reproduce
0. Self signed server certificate
1. Click on sharing symbol of preshared folder file in app
### Expected behaviour
Show details, modify sharing options
### Actual behaviour
App crashes with error message
### Environment data
Stock or customized system:
Nextcloud app version:
Nextcloud server version:
#### Web server error log
Insert your webserver log here
#### Nextcloud log (data nextcloud.log)
************ CAUSE OF ERROR ************
Caused by: Trust anchor for certification path not found.
... 26 more
Caused by: Trust anchor for certification path not found.
... 40 more
************ APP INFORMATION ************</t>
  </si>
  <si>
    <t>mgks-Android-SmartWebView-131</t>
  </si>
  <si>
    <t>Html select crashes the App</t>
  </si>
  <si>
    <t>Html select crashes the App.
tried many support libraries</t>
  </si>
  <si>
    <t>inaturalist-iNaturalistAndroid-769</t>
  </si>
  <si>
    <t>Crash when returning to sound player</t>
  </si>
  <si>
    <t>1. Find an obs with sound and go to its obs detail view
1. Start playing the sound
1. While the sound is playing, tap the taxon to go to the taxon detail view
1. Tap back to return to the obs detail view
1. The sound is not playing but the pause icon is visible as if it was playing. If you tap the pause icon, the app crashes.</t>
  </si>
  <si>
    <t>2020-01-17</t>
  </si>
  <si>
    <t>renyuneyun-Easer-310</t>
  </si>
  <si>
    <t>Crash pivot-menu</t>
  </si>
  <si>
    <t>**Describe the bug**
Open the Povit-Menu will end in crash, it doesn matter if clear cache or something else. Errorlog is always 100% the same.
Steps to reproduce the behavior:
1. Go to main screen
2. Click on bacon icon
3. Click on Povit-Menu
4. See errorlog
Open the Povit-Menu^^
**Extra phone information:**</t>
  </si>
  <si>
    <t>material-components-material-components-android-917</t>
  </si>
  <si>
    <t>[BaseTransientBottomBar] 1.1.0-rc01 causes View.invalidate(boolean) NullPointerException</t>
  </si>
  <si>
    <t>After updating from Material 1.0.0 to 1.1.0-rc01 saw multiple reports of crashes with (and no app specific code in stacktrace).
Stacktraces look like:
(if needed can find few more stacktrace, but they seem to differ just by line numbers)
**Expected behavior:** should not cause crashes NPE
Steps to reproduce are unfortunately unknown, it seems to be relatively rare.
The issue did not happen in 1.0.0
**Material Library version:** 1.1.0-rc01</t>
  </si>
  <si>
    <t>nextcloud-android-5219</t>
  </si>
  <si>
    <t>App crashes in background</t>
  </si>
  <si>
    <t>since few days my Nextcloud app constantly crashes in background. It happens frequently if the app is not opened.
am using OnePlus running HavocOS on Android 10 and Nextcloud Version 3.10.0 RC3.
The error message is always the same:
Caused by: Caller no longer running, last stopped +4s683ms because: timed out while starting
Hopefully there is somebody to help me with this problem.</t>
  </si>
  <si>
    <t>2020-01-16</t>
  </si>
  <si>
    <t>wordpress-mobile-WordPressMocks-16</t>
  </si>
  <si>
    <t>Update cocoapods to the latest version</t>
  </si>
  <si>
    <t>#### Proposed Changes
Updates CocoaPods to the latest version this fixes bug that was making it impossible to release new version via the command line.
#### To Test
The only real way to test this would be to do new release. You can try making new release (on develop by running bundle exec pod trunk push it ll crash. If you try again on this branch, it ll fail saying this version already exists that means the crash is fixed..
You can also see that this PR fixes the issue by taking look at the release was able to do yesterday (https: github.com wordpress-mobile WordPressMocks releases tag 0.0.7) after applying this fix locally
cc wordpress-mobile platform-9</t>
  </si>
  <si>
    <t>Technion236272-2020a-Cue-79</t>
  </si>
  <si>
    <t>Fix: App crashes when switching to landscape in the business sign-up activity</t>
  </si>
  <si>
    <t>defold-extension-iap-14</t>
  </si>
  <si>
    <t>IAP crashes sometimes on Android when doing buy directly after restore</t>
  </si>
  <si>
    <t>do not have stacktrace errors logs at the moment.
This doesn seem to happen if add timer.delay of 0.1 for the buy instead of making it directly after.</t>
  </si>
  <si>
    <t>react-native-cookies-cookies-9</t>
  </si>
  <si>
    <t>[iOS] CookieManager.get with useWebKit crash if argument is not a url</t>
  </si>
  <si>
    <t>CookieManager.get( google.com true)
Please provide clear and concise description of what the bug is.
Include screenshots if needed.
Please test using the latest release of the library, as maybe said bug has been already fixed.
If the library has multiple install methods, describe installation method (e.g., pod, not pod, with jetifier etc)
## Environment info
Run react-native info in your terminal and copy the results here. Also, include the *precise* version number of this library that you are using in the project
React native info output:
API Levels: 23, 27, 28, 29
Build Tools: 27.0.3, 28.0.3, 29.0.2
System Images: android-23 Intel x86 Atom, android-23 Google APIs Intel x86 Atom, android-24 Google Play Intel x86 Atom, android-27 Google Play Intel x86 Atom, android-28 Intel x86 Atom 64, android-28 Google APIs Intel x86 Atom, android-28 Google Play Intel x86 Atom, android-29 Google APIs Intel x86 Atom
Android Studio: 3.5
Library version: 1.0.1
## Steps To Reproduce
Run this and crash. Won crash if it url like https: google.com
CookieManager.get( google.com true)
## Reproducible sample code
Please add to your issue repro, fresh codebase with the minimal changes so that the bug can be tested in isolation
CookieManager.get( google.com true)</t>
  </si>
  <si>
    <t>2020-01-15</t>
  </si>
  <si>
    <t>nextcloud-talk-android-707</t>
  </si>
  <si>
    <t>App crashes on shutdown</t>
  </si>
  <si>
    <t>**Sometimes** when the application is turned off, an app crash occurs.
1. Receiving new message.
2. Read the message by push notification.
3. Close the app.
4. **Sometimes** the application crashes.
Android Talk 7.0.8 and v8.0.0beta3
Below the stack trace from the system:</t>
  </si>
  <si>
    <t>4Q-s-r-o-ota_update-24</t>
  </si>
  <si>
    <t>App closes when starts installing</t>
  </si>
  <si>
    <t>Since updated to Flutter 1.12, ota update doesn work. When call it, it downloads the new APK, and when the Status INSTALLING the app crashes. It logs nothing neither with nor without verbose.</t>
  </si>
  <si>
    <t>nextcloud-talk-android-704</t>
  </si>
  <si>
    <t>Crash app 8.0.0b2 - push notifications</t>
  </si>
  <si>
    <t>When you try to read message by push notification, an app crash occurs.
Talk Android 8.0.0b2</t>
  </si>
  <si>
    <t>nextcloud-android-5204</t>
  </si>
  <si>
    <t>App crashes when attempting to move a file</t>
  </si>
  <si>
    <t>### Steps to reproduce
1. Tap on move for one or more files
### Expected behaviour
### Actual behaviour
### Environment data
Device model: Sony Xperia compact
Stock or customized system: stock
Nextcloud app version:3.1. Rc2
Nextcloud server version:?
************ CAUSE OF ERROR ************
************ APP INFORMATION ************
Build flavor: gplay
************ DEVICE INFORMATION ************
************ FIRMWARE ************
#### Web server error log
Insert your webserver log here
#### Nextcloud log (data nextcloud.log)
Insert your Nextcloud log here</t>
  </si>
  <si>
    <t>federicoiosue-Omni-Notes-741</t>
  </si>
  <si>
    <t>Crash while choosing category</t>
  </si>
  <si>
    <t>In current develop branch is issue with nullpointer exception while choosing the category.
Fresh install of ON
create new note, add category --&gt; All OK. (New category is created)
Current editing note is still opened... Now tap again on the category icon in menu bar --&gt; app crash
The problem is in --&gt; .**txtTitle**. is NULL
public void onBindViewHolder NonNull CategoryViewHolder holder, int position)
--&gt; crash here</t>
  </si>
  <si>
    <t>2020-01-14</t>
  </si>
  <si>
    <t>Simperium-simperium-android-216</t>
  </si>
  <si>
    <t>Ignore corrupted ghosts</t>
  </si>
  <si>
    <t>There are occasions where the stored contents of ghost may be corrupted
outside of the control of this library. One such occasion was discovered when
sqlite was improperly converting malformed UTF-16 data into UTF-8. In these
cases we risk treating corrupted data as valid and causing more harm to the
ghost and bucket value. Additionally we risk corrupting the JSON structure
stored in the database which can lead to crashes when reading or using it.
In this patch we re performing one simple validation to make sure that we don
attempt to use ghost which we cannot parse as JSON. Should the occasion arise
then the library should attempt to retrieve the latest ghost from the server
and start fresh with its processing.
Although it looks like this patch may introduce vector for losing changes it
actually closing vector for an app crash the data would have never made it in
the first place.</t>
  </si>
  <si>
    <t>nextcloud-android-5199</t>
  </si>
  <si>
    <t>Trying to copy a file crahes the app</t>
  </si>
  <si>
    <t>### Steps to reproduce
1. Go to folder
2. Select file with long tap
3. Select Copy
### Expected behaviour
prompt is open to chose where to copy the file
### Actual behaviour
the app crashes
### Environment data
Android version: (may patch)
Device model: lg g6
Stock or customized system: stock plus magisk
Nextcloud app version: 3.10.0 RC2
Nextcloud server version: 16.0.6
#### Web server error log
Insert your webserver log here
#### Nextcloud log (data nextcloud.log)
Can find it
Insert your Nextcloud log here</t>
  </si>
  <si>
    <t>nextcloud-android-5183</t>
  </si>
  <si>
    <t>Creating folder from auto upload folder selection causes crash</t>
  </si>
  <si>
    <t>ElderDrivers-EdXposed-443</t>
  </si>
  <si>
    <t>[BUG] Exposed Framework is installed, but not active</t>
  </si>
  <si>
    <t>** What happened?**
Exposed Framework is installed, but not active
**Xposed Xposed Module List**
No module active
**Magisk Magisk Module List**
**EdXposed Riru Versions of EdXposed and Riru**
** Logcat Logcat**
--------- beginning of crash</t>
  </si>
  <si>
    <t>nextcloud-android-5182</t>
  </si>
  <si>
    <t>App crash on photos tab open</t>
  </si>
  <si>
    <t>### Steps to reproduce
1. Open app
2. Open photos tab
3. App crashed
### Expected behaviour
Tell us what should happen
### Actual behaviour
Tell us what happens
### Environment data
************ CAUSE OF ERROR ************
************ APP INFORMATION ************
Build flavor: gplay
************ DEVICE INFORMATION ************
************ FIRMWARE ************
Stock or customized system:
Nextcloud app version:
Nextcloud server version:
#### Web server error log
Insert your webserver log here
#### Nextcloud log (data nextcloud.log)</t>
  </si>
  <si>
    <t>nextcloud-android-5176</t>
  </si>
  <si>
    <t>Synchronize a big folder causes some bugs</t>
  </si>
  <si>
    <t>When you want to synchronize folder (of 150GB+) manually (by click on contextual menu of the folder, then Synchronize ), after 30s there is Nextcloud isn responding message asking for killing keeping the process.
1) Why does the app show message asking to kill or continue the process, if this one is able to finish crash without any damage (because it an async task)
2) Why does the app allow to synchronize 150GB+ if the device doesn have 150GB of memory
3) Why cannot we abort the operation
Thank you for your answers :)</t>
  </si>
  <si>
    <t>2020-01-13</t>
  </si>
  <si>
    <t>nextcloud-android-5173</t>
  </si>
  <si>
    <t>Fc app on selecting storage folder auto uploaded</t>
  </si>
  <si>
    <t>### Steps to reproduce
1. Clicking on auto upload
2. Selecting folder
3. Select Configure
4. Trying to change the Remote folder,
nextcloud crashes afterwards
### Expected behaviour
nextcloud remote structure should show up to change the remote folder.
### Actual behaviour
App instantly force closes.
### Environment data
Android version: 10, Miui11
Device model: Xiaomi mi
Stock or customized system: MiuiMix 11.2
Nextcloud app version: 3.10.0 RC2
Nextcloud server version: 17.0.2
#### Web server error log
Insert your webserver log here
************ CAUSE OF ERROR ************
************ APP INFORMATION ************</t>
  </si>
  <si>
    <t>avluis-Hentoid-447</t>
  </si>
  <si>
    <t>Build issues with ObjectBox 2.5.0 + Glide 4.11.0</t>
  </si>
  <si>
    <t>When include both ObjectBox 2.5.0 and Glide 4.11.0 on my app, it crashes at startup.
Objectbox to v2.4.1
or Glide to v4.10.0
makes the app start again properly
See https: github.com objectbox objectbox-java issues 810 for details</t>
  </si>
  <si>
    <t>nextcloud-android-5171</t>
  </si>
  <si>
    <t>crash when opening markdown file details</t>
  </si>
  <si>
    <t>### Steps to reproduce
1. Visit markdown file and open it
2. Open the details field from the available options on the upper right
### Expected behaviour
View file details
### Actual behaviour
### Environment data
Android version: 7.1.1
Device model: J5 2016
Stock or customized system: Stock
Nextcloud app version:
Nextcloud server version: 15
************ CAUSE OF ERROR ************
************ APP INFORMATION ************
Build flavor: generic
************ DEVICE INFORMATION ************
************ FIRMWARE ************</t>
  </si>
  <si>
    <t>nextcloud-android-5170</t>
  </si>
  <si>
    <t xml:space="preserve">Unexpected Crash </t>
  </si>
  <si>
    <t>### Steps to reproduce
1. Don know exactly. App opened the crash log automatically
### Expected behaviour
Tell us what should happen
### Actual behaviour
Tell us what happens
App opened the log window
### Environment data
Stock or customized system:
Nextcloud app version:
Nextcloud server version:
#### Web server error log
Insert your webserver log here
#### Nextcloud log (data nextcloud.log)
Nextcloud android app logs
************ CAUSE OF ERROR ************
************ APP INFORMATION ************
Build flavor: gplay
************ DEVICE INFORMATION ************
************ FIRMWARE ************</t>
  </si>
  <si>
    <t>ElderDrivers-EdXposed-442</t>
  </si>
  <si>
    <t>[BUG] Unfortunately installed 0.4.6.0.</t>
  </si>
  <si>
    <t>EdXposed Manager offered to update the Xposed Framework to 0.4.6.0 from 0.4.5.1 through Magisk Manager. No mention of needing custom Magisk install there so now stuck. My device (marlin Pixel XL running LineageOS version keeps crashing during the boot, and for some reason it isn critical crash so it gets stuck on the boot animation for LineageOS and never actually boots into the system, nor reboot at all unless press and hold the power button. did an adb logcat logcat.txt for little while and posted the results below to show. can boot into the bootloader, but ve attempted several times to boot into the latest twrp.img or to run the flash-all file from the factory image, and in either case, fastboot freezes if it gets asked anything besides --help or devices, meaning still stuck.
have read through #384 and it doesn appear that any of the solutions offered there work at all. cannot install the custom Magisk if cannot boot into anything to flash it using Magisk Manager. Further, the release for 0.4.6.0 mentions that the custom Magisk is only required because https: github.com topjohnwu Magisk pull 1685 isn merged yet, however, quick look at it shows it closed, and merged Someone said the following solution:
Next time, you can boot into the loading screen, connect via adb and then do:
touch cache .disable magisk
have attempted to do this, but the su command doesn actually work, it freezes for little while and eventually returns Permission denied -- after all cannot give adb root permissions for the first time if cannot get into the system to get asked to do so. don know what to do to get out of this. Help me please.
**Xposed Module List**
Due to the above issue of not being able to boot into anything besides bootloader, can actually give this information because don know exactly which modules had installed.
**Magisk Module List**
Due to the above issue of not being able to boot into anything besides bootloader, can actually give this information because don know exactly which modules had installed.
**Versions of EdXposed and Riru**
*It can help us to locate issue, must use our logcat module*
do not know what logcat module this is talking about, and doubt could somehow manage to install it currently. Still, the attachment is the result of adb logcat so perhaps it will help.</t>
  </si>
  <si>
    <t>cgeo-cgeo-8069</t>
  </si>
  <si>
    <t>Settings.getDefaultNavigationTool() fails</t>
  </si>
  <si>
    <t>During research for #8067 ve stumbled upon crashing. It tries to read string from c:geo settings and to convert the value to an integer.
If the value returned is an empty string, converting to integer fails with an exception, leading to c:geo crashing.
For me this happened after uninstalling c:geo, reinstalling dev version and reading backup database, thus never having set any preference. haven tested if it reproducible yet, but the code should be able to cope with this conversion correctly anyway.</t>
  </si>
  <si>
    <t>2020-01-12</t>
  </si>
  <si>
    <t>Intelehealth-Android-Mobile-Client-782</t>
  </si>
  <si>
    <t>Android app crash on-field crash at vso region at playstore latest version in lenovo tab (ViewRootImpl.java line 1184)</t>
  </si>
  <si>
    <t>Fatal Exception: The specified message queue synchronization barrier token has not been posted or has already been removed.</t>
  </si>
  <si>
    <t>nextcloud-android-5166</t>
  </si>
  <si>
    <t>[3.10.0 RC2] Crash upon entering Photos tab (OnePlus 7T)</t>
  </si>
  <si>
    <t>### Steps to reproduce
1. Launch Nextcloud Android app
2. Tap the three-line icon on upper left corner
3. Tap Photos
### Expected behaviour
Entering photos gallery on app
### Actual behaviour
App crashes (Nextcloud has stopped)
### Environment data
Android version: 10
Oxygen OS 10.0.7.HD65AA
Stock or customized system:
Nextcloud app version:
(Happens to stable release as well)
Nextcloud server version:
(Server side should be fine. Tried web browser and iOS app and both entered gallery normally)
#### Web server error log
Insert your webserver log here
#### Nextcloud log (data nextcloud.log)
************ CAUSE OF ERROR ************</t>
  </si>
  <si>
    <t>nextcloud-android-5165</t>
  </si>
  <si>
    <t>The client crashes every time when trying to change the remote directory under automatic upload</t>
  </si>
  <si>
    <t>### Actual behaviour
The client crashes every time when trying to change the remote directory under automatic upload
### Environment data
************ APP INFORMATION ************
Build flavor: gplay
************ DEVICE INFORMATION ************
************ FIRMWARE ************
Nextcloud app version: 3.10.0 RC2
Nextcloud server version: 17.0.2
************ CAUSE OF ERROR ************</t>
  </si>
  <si>
    <t>nextcloud-android-5162</t>
  </si>
  <si>
    <t>App dev crashes on startup</t>
  </si>
  <si>
    <t>When starting the app, it crashes from versions dev-20200110 and dev-20200112
### Environment data
Nextcloud app version:</t>
  </si>
  <si>
    <t>nextcloud-android-5161</t>
  </si>
  <si>
    <t>[3.10 RC2] Trying to move folder crashes app</t>
  </si>
  <si>
    <t>### Steps to reproduce
1. Press dots right from folder
2. Choose Move
3. App crashes
### Expected behaviour
Folder choose dialog should appear
### Actual behaviour
### Environment data
Stock or customized system:
Nextcloud app version:
Nextcloud server version:
#### App error log
************ CAUSE OF ERROR ************
************ APP INFORMATION ************
Build flavor: gplay
************ DEVICE INFORMATION ************
************ FIRMWARE ************</t>
  </si>
  <si>
    <t>nextcloud-android-5160</t>
  </si>
  <si>
    <t>Crash after changing themes</t>
  </si>
  <si>
    <t>### Steps to reproduce
1. Open Nextcloud android sync client v3.10.0 rc2.
2. Set theme to dark, then check how it looks.
3. Change theme to follow system, it still dark.
4. Go to settings again and press theme the client crashes.
### Expected behaviour
### Actual behaviour
The client crashes.
### Environment data
Android version: Android 6, patch level may 5th 2017.
Device model: Lenovo Tab A10-70F
Stock or customized system: Stock
Nextcloud app version: 3.10.0 rc2
Nextcloud server version: 17.0.
#### Web server error log
Insert your webserver log here
#### Nextcloud log (data nextcloud.log)
************ CAUSE OF ERROR ************
Caused by: Receiver not registered: ee4640d
... 10 more</t>
  </si>
  <si>
    <t>DigitalCampus-oppia-mobile-android-982</t>
  </si>
  <si>
    <t>App crashing when using back icon in course page</t>
  </si>
  <si>
    <t>ve been testing v7.0.3 of the Academy app, and keep getting an error message when use the back arrow in the top left corner to navigate back to the home page from the course list. The error says Unfortunately, Academy has stopped When click Ok taken back to the home page, so the app isn crashing, but tried restarting the app and the phone and continue to see the error message every time try to navigate back from the course list.
fix the bug
add test for this</t>
  </si>
  <si>
    <t>2020-01-11</t>
  </si>
  <si>
    <t>k9mail-k-9-4437</t>
  </si>
  <si>
    <t>[message rendering] IllegalStateException: Unable to create layer for FrameLayout</t>
  </si>
  <si>
    <t>### Expected behavior
Show mail content
### Actual behavior
### Steps to reproduce
1. Open buggy mail.
2. If doesnt work open second time same mail.
3. App crash. Done
K-9 Mail version:
Wybrane tygodnia (aktualizacja).txt (https: github.com k9mail k-9 files 4047910
Changed from eml to txt.</t>
  </si>
  <si>
    <t>2020-01-10</t>
  </si>
  <si>
    <t>microsoft-appcenter-sdk-android-1348</t>
  </si>
  <si>
    <t>Crash: StackOverflowError in CryptoUtils.java</t>
  </si>
  <si>
    <t>We are seeing few crashes from our users that seem to be coming from within the AppCenter SDK. It seems to happen only on Android 6.0.1.
In the CryptoUtils.java file do see the possibility for unlimited recursion. Perhaps it could be updated to put an artificial limit on the number of recursion steps?
Here is the stack trace:</t>
  </si>
  <si>
    <t>getsentry-sentry-java-809</t>
  </si>
  <si>
    <t>New version 1.7.29 doesn't work on API lower than 19</t>
  </si>
  <si>
    <t>On low level APIs it crashes on line</t>
  </si>
  <si>
    <t>nextcloud-android-5146</t>
  </si>
  <si>
    <t>Nextcloud app crash in background</t>
  </si>
  <si>
    <t>### Steps to reproduce
1. Random background crash
### Environment data
Device model: Samsung Galaxy A50
Stock or customized system: stock
Nextcloud app version: 3.9.2
Nextcloud server version: 13.0
************ CAUSE OF ERROR ************
************ APP INFORMATION ************
Build flavor: gplay
************ DEVICE INFORMATION ************
************ FIRMWARE ************</t>
  </si>
  <si>
    <t>android-tv-samples-19</t>
  </si>
  <si>
    <t>[Leanback] Header State initialized with `HEADERS_HIDDEN` cause Fragment.getView() to not be null</t>
  </si>
  <si>
    <t>&lt;!--- Provide general summary of the issue in the Title above --&gt;
## Expected Behavior
&lt;!--- If you re describing bug, tell us what should happen --&gt;
&lt;!--- If you re suggesting change improvement, tell us how it should work --&gt;
Leanback Android Application project (https: github.com android tv-samples tree master Leanback)
App launched with HIDDEN) should hide the header and still display the rows.
## Current Behavior
&lt;!--- If describing bug, tell us what happens instead of the expected behavior --&gt;
&lt;!--- If suggesting change improvement, explain the difference from current behavior --&gt;
On app launched, it is not displaying any items in the MainFragment.java
Pressing anything else on the D-pad (e.g. Press down), it will crash the app with the logs below:
Pressing left D-pad will open the Header and start to display the items.
## Possible Solution
&lt;!--- Not obligatory, but suggest fix reason for the bug, --&gt;
&lt;!--- or ideas how to implement the addition or change --&gt;
## Steps to Reproduce (for bugs)
&lt;!--- Provide link to live example, or an unambiguous set of steps to --&gt;
&lt;!--- reproduce this bug. Include code to reproduce, if relevant --&gt;
In https: github.com android tv-samples blob master Leanback app src main java com example android tvleanback ui
Change ENABLED) to HIDDEN)</t>
  </si>
  <si>
    <t>nextcloud-android-5142</t>
  </si>
  <si>
    <t>Crash when sharing directory on External storage</t>
  </si>
  <si>
    <t>### Steps to reproduce
1. Tried share folder. The folder is on Nas external drive
2. The app crashes
### Expected behaviour
Tell us what should happen
Allows me to share by link
### Actual behaviour
Tell us what happens
### Environment data
Huawei p30 pro
Stock or customized system:
Nextcloud app version:
Nextcloud server version:
************ APP INFORMATION ************
Build flavor: gplay
************ DEVICE INFORMATION ************
************ FIRMWARE ************
************ CAUSE OF ERROR ************
************ APP INFORMATION ************
Build flavor: gplay</t>
  </si>
  <si>
    <t>2020-01-09</t>
  </si>
  <si>
    <t>nextcloud-android-5137</t>
  </si>
  <si>
    <t>Error at starting the app</t>
  </si>
  <si>
    <t>### Steps to reproduce
1. ve just started my app (using it for some months now)
### Expected behaviour
expect my app to start but it crashes while trying to update content from the server.
### Actual behaviour
The app crashes while trying to update the content from server.
### Server version
### Mobile info and logs
************ CAUSE OF ERROR ************
************ APP INFORMATION ************
Build flavor: gplay
************ DEVICE INFORMATION ************
************ FIRMWARE ************</t>
  </si>
  <si>
    <t>nextcloud-android-5131</t>
  </si>
  <si>
    <t>Nextcloud app crashes under work profile on Huawei P30 with EMUI 9.1</t>
  </si>
  <si>
    <t>### Steps to reproduce
1. open nextcloud app
3. app crashes
### Expected behaviour
Tell us what should happen
the app should show the server content
### Actual behaviour
Tell us what happens
### Environment data
Android version: 9.1
Device model: Huawei P30
Stock or customized system: EMUI 9.1
Nextcloud app version: 3.9.2
Nextcloud server version: 12
#### Web server error log
Insert your webserver log here
#### Nextcloud log (data nextcloud.log)
************ CAUSE OF ERROR ************
************ APP INFORMATION ************
Build flavor: gplay</t>
  </si>
  <si>
    <t>TeamNewPipe-NewPipe-2940</t>
  </si>
  <si>
    <t>Formatter crash due to urdu alphabet</t>
  </si>
  <si>
    <t>carefully read the contribution guidelines (https: github.com TeamNewPipe NewPipe blob HEAD .github CONTRIBUTING.md) and agree to them.
checked if the issue feature exists in the latest version.
did use the incredible bugreport to markdown converter (https: to paste bug reports.
Urdu strings import soundcloud instructions and did you mean are causing crash.
Here is the crash log
User Action: ui error
Request: App crash, UI failure
Content Language: GB
OS: Linux Android 8.1.0 27
log&lt; b&gt;&lt; summary&gt;&lt;p&gt;
exactly know why it crashing but can fix it (alphabet weirdies)
The string in english &lt;string name did you mean &gt;Did you mean: %1$s ?&lt; string&gt;
In urdu &lt;string name did you mean %1$s ?&lt; string&gt;
as you can see %1$s is not in the right order
same for import soundcloud instructions
English &lt;string name import soundcloud instructions &gt;Import SoundCloud profile by typing either the URL or your ID: n1. Enable desktop mode in web-browser (the site is not available for mobile devices) n2. Go to this URL: %1$s n3. Log in when asked n4. Copy the profile URL you were redirected to.&lt; string&gt;
&lt;string name import soundcloud instructions &gt;URL ID SoundCloud
n2. URL %1
n4. .&lt; string&gt;
If someone succes to make %1$s in the right order, it will be fixed.</t>
  </si>
  <si>
    <t>nextcloud-android-5126</t>
  </si>
  <si>
    <t>Crash Log</t>
  </si>
  <si>
    <t>few months ago, NC crashed with the message below.
don use NC anymore, so don care if you fix it, but thought it might the helpful to you.
************ CAUSE OF ERROR ************
************ APP INFORMATION ************
Build flavor: gplay
************ DEVICE INFORMATION ************
************ FIRMWARE ************</t>
  </si>
  <si>
    <t>2020-01-08</t>
  </si>
  <si>
    <t>ostrya-PresencePublisher-21</t>
  </si>
  <si>
    <t>v2.0.0 crashes on startup</t>
  </si>
  <si>
    <t>It says must enable location services (which wasn necessary before) and then crashes. would add some logs, but it doesn stay up long enough to get any.
Sony Z5 Compact Android 5.1.1</t>
  </si>
  <si>
    <t>2020-01-07</t>
  </si>
  <si>
    <t>stefan-niedermann-nextcloud-notes-669</t>
  </si>
  <si>
    <t>App crashes when select folder</t>
  </si>
  <si>
    <t>Since the last two updates everytime choose folder the app crashed.
It leaves message as follows:</t>
  </si>
  <si>
    <t>stefan-niedermann-nextcloud-notes-668</t>
  </si>
  <si>
    <t>Empty two-digit numbered-list item crashes application</t>
  </si>
  <si>
    <t>This is curious bug. The application reproducibly crashes when previewing note that contains numbered list, given the following two constraints:
The number of the last list item has at least two digits.
That last list item contains no actual text.
### Affected version
Nextcloud Notes 2.4.0 from F-Droid
### How to reproduce
1. Create new note.
2. Insert the following text into the note (yes, that only three characters ):
3. Tap the preview button ).
4. Witness the application go down in flames.
The above text is minimal example. The crash is reproducible with arbitrary numbered lists as long as the aforementioned constraints are fulfilled.
### Stack trace</t>
  </si>
  <si>
    <t>cgeo-cgeo-8062</t>
  </si>
  <si>
    <t>changing storage location crashes with android.view.InflateException: Binary XML file line #44: Error inflating class &lt;unknown&gt;</t>
  </si>
  <si>
    <t>**Describe the bug:**
cgeo crashes when try to move data to the SD Card
Steps to reproduce the behavior:
Go to Settings -&gt; Offline Data -&gt; Select Geocache data directory and select the SD Card
**Actual behavior state after performing these steps:**
**Expected behavior state after performing these steps:**
expected the app to do anything but crash.
**Version of c:geo used:**
2019.12.30 from f-droid
**Is the problem reproducible:**
Yes, 100%, all the time.
--- System information ---
Android version: 7.1.1
Android build: 2.7.0 20181002-1711
Google Play services: enabled 19.8.31 (040308-284611645)
Low power mode: inactive
Compass capabilities: yes
Rotation vector sensor: present
Orientation sensor: present
Magnetometer Accelerometer sensor: present</t>
  </si>
  <si>
    <t>aws-amplify-amplify-android-221</t>
  </si>
  <si>
    <t>[API] Gson serializer does not handle timezone offset in seconds</t>
  </si>
  <si>
    <t>Sample code to reproduce:
Gson gson new Gson()
logcat report from integration test (breaks CircleCI workflow):
--------- beginning of crash</t>
  </si>
  <si>
    <t>nextcloud-android-5106</t>
  </si>
  <si>
    <t>App crashing on new folder creation</t>
  </si>
  <si>
    <t>### Steps to reproduce
1. Go to automatic upload.
2. Add own folder (custom)
3. When selecting folder on Nextcloud choose creat new.
4. After entering new folder name Rozmowy app crashing.
### Expected behaviour
### Actual behaviour
App crashing with many errors:
************ CAUSE OF ERROR ************
************ APP INFORMATION ************
Build flavor: gplay
************ DEVICE INFORMATION ************
************ FIRMWARE ************
### Environment data
Android version: 10
Device model: Xiaomi Mi9
Stock or customized system: MIUI 11 Global EU
Nextcloud app version: 3.9.2
Nextcloud server version: 17.0.2
#### Web server error log</t>
  </si>
  <si>
    <t>nextcloud-android-5105</t>
  </si>
  <si>
    <t>2020-01-06</t>
  </si>
  <si>
    <t>nextcloud-android-5104</t>
  </si>
  <si>
    <t>Nextcloud crash on large upload</t>
  </si>
  <si>
    <t>square-okhttp-5706</t>
  </si>
  <si>
    <t>Android AGP 4.0, R8 - Http2Writer NPE Okhttp v4.3.0</t>
  </si>
  <si>
    <t>Seeing the following crashes on Android with Okhttp v4.3.0, not happening on v4.2.2
Using http2 rest endpoints with retrofit and rxjava.
Fatal Exception: m0.a
Fatal Exception: m0.a</t>
  </si>
  <si>
    <t>Technion236272-2020a-Cue-61</t>
  </si>
  <si>
    <t>Fix: trying to log out from a client account causes a crash</t>
  </si>
  <si>
    <t>BenSiso include the crash log below</t>
  </si>
  <si>
    <t>nextcloud-android-5103</t>
  </si>
  <si>
    <t>App Crash at creating new folder at server</t>
  </si>
  <si>
    <t>### Steps to reproduce
1. successfully installed nextcloud installed nextcloud to my mobile.
2. tried to create custom sync path from local to server. storage emulated WhatsApp)
3. Clicked choose remote path and there want to create new folder. At this point it will crash.
### Expected behaviour
new folder should be created
### Actual behaviour
crashed with log file
### Environment data
Android version: 10
Device model: OnePlus 6T
Stock or customized system: Stock OOS 10.3.0
Nextcloud app version:
Nextcloud server version:
#### Web server error log
No error there
#### Nextcloud log (data nextcloud.log)
************ CAUSE OF ERROR ************
************ APP INFORMATION ************
Build flavor: gplay</t>
  </si>
  <si>
    <t>square-okhttp-5705</t>
  </si>
  <si>
    <t>RealWebSocket send throws writerTask NPE</t>
  </si>
  <si>
    <t>okhttp 4.3.0 throws NPE each time try to send command via websocket.
writerTask is null in
private fun runWriter()
crashes in this line
val server MockWebServer()
val request Request.Builder()
.url(server.url( path ))
.header( User-Agent Test Case
val client OkHttpClient()
val listener object WebSocketListener()
val command id file
val webSocket listener)
RealWebSocket crashes with runWriter writerTask!! NPE
This seems to be 100% reproducible in 4.3.0. Had about 1000 crashes on that version on small amount of sessions.
This (almost) does not happen with the same code on okhttp 4.2.2 (2 crashes in 1000x user count in much longer period)</t>
  </si>
  <si>
    <t>nextcloud-android-5100</t>
  </si>
  <si>
    <t>App crashed when try to view details or open file</t>
  </si>
  <si>
    <t>### Steps to reproduce
1. select directory
2. select files
3. Choose details or click file
### Expected behaviour
Appear info details regarding file file content appear for read
### Actual behaviour
### Environment data
Android version: 6.0.1
Device model: Samsung SM-J700F
Stock or customized system:
Nextcloud app version: 11
Nextcloud server version: 11
#### Web server error log
Insert your webserver log here
#### Nextcloud log (data nextcloud.log)
Insert your Nextcloud log here</t>
  </si>
  <si>
    <t>wallabag-android-app-896</t>
  </si>
  <si>
    <t>App crashes when during start</t>
  </si>
  <si>
    <t>am moving the bug entry from #890 to here.
wallabag app version:
wallabag app installation source (e.g. Gplay, F-Droid, manual):
Android OS version:
Android ROM (e.g. stock, LineageOS, SlimRom, ):
wallabag server version:
Do you have enabled?: yes no
The app keeps crashing afterward full sync, even when it is fresh new setup. was able to load all the articles and browse couple articles. Then restart the app now it constantly crashes.
tracked this issue down to huge articles added recently. Deleting those articles from the server makes the app stable again. Please see the link below for the article list, do not know which one causing it, but by removing those from my instance was able to make the app work properly again. beware, some of those articles are very large.
Url list (use wallabagapp as the password)</t>
  </si>
  <si>
    <t>2020-01-05</t>
  </si>
  <si>
    <t>cgeo-cgeo-8059</t>
  </si>
  <si>
    <t>High power consumption, frequent crashes, caches not being displayed and other strange behavior</t>
  </si>
  <si>
    <t>For now this is only reminder to myself to cross-check some mysterious program behavior experienced during today cache tour:
had current master version installed and handful of UDC created
before today tour downgraded to current release
high power consumption (but this may be due to the low temperatures)
some stored lists could not be loaded anymore, others worked
search by GC code did not work for some caches
displaying live map did not show all caches in the displayed area, only map-ping stored list did
unsure yet whether this is general problem in current release, comes from having UDC in release version, some unspecific problem of my GPS or some other reason will need to debug into it.</t>
  </si>
  <si>
    <t>nextcloud-android-5095</t>
  </si>
  <si>
    <t>Crash on notification</t>
  </si>
  <si>
    <t>### Steps to reproduce
1. Receive notification
### Expected behaviour
Tell us what should happen
### Actual behaviour
Tell us what happens
### Environment data
Device model: Nokia Plus
Stock or customized system: Stock
Nextcloud app version:
Nextcloud server version:
#### Web server error log
Insert your webserver log here
#### Nextcloud log (data nextcloud.log)
Insert your Nextcloud log here
Mobile crash info.
************ CAUSE OF ERROR ************
************ APP INFORMATION ************
Build flavor: gplay
************ DEVICE INFORMATION ************</t>
  </si>
  <si>
    <t>stefan-niedermann-nextcloud-notes-662</t>
  </si>
  <si>
    <t>ACCOUNT_ID was not created on upgrade</t>
  </si>
  <si>
    <t>while ago the Notes App crashes at every startup. Therefore it is quite useless as it is.
am using OnePlus with Havoc OS on Android 10.
The Error is following:
... 11 more
hope somebody can help me.
With best regards</t>
  </si>
  <si>
    <t>TeamNewPipe-NewPipe-2922</t>
  </si>
  <si>
    <t>Op7/Android 10 This permission is needed to open in popup mode.</t>
  </si>
  <si>
    <t>carefully read the contribution guidelines (https: github.com TeamNewPipe NewPipe blob HEAD .github CONTRIBUTING.md) and agree to them.
checked if the issue feature exists in the latest version.
did use the incredible bugreport to markdown converter (https: to paste bug reports.
One oneplus Pro running the latest Android 10 international firmware if set to minimize to the popup player when you hit home small message appears over the home button saying This permission is needed to open in popup mode but it doesn identify what permission. Additionally went into the permissions for Newpipe and the only one available is Storage which has already been allowed. assume you need permission to overdraw screens but it doesn say that nor give me opportunity to enable it. Since the app did not crash didn include that. Reasonably certain it either an oxygenos or Android 10 issue but figured would provide the heads up.
Additionally when chose the option to play in background it worked after brief pause in the music however even after the song ended newpipe continued to cause excessive battery drain until Oxygenos flagged it and prompted me to force kill it.</t>
  </si>
  <si>
    <t>nextcloud-android-5091</t>
  </si>
  <si>
    <t>client crashing on load</t>
  </si>
  <si>
    <t>### Steps to reproduce
1. Open Nextcloud app
2. Wait for sync to complete
### Expected behaviour
it should complete and allow me to browse my Nextcloud files.
### Actual behaviour
### Environment data
************ CAUSE OF ERROR ************
************ APP INFORMATION ************
Build flavor: gplay
************ DEVICE INFORMATION ************
************ FIRMWARE ************
Device model: Nokia 7.2
Stock or customized system: Stock (Android One)
Nextcloud app version: 3.9.2
Nextcloud server version: 16.0.5
#### Web server error log
#### Nextcloud log (data nextcloud.log)</t>
  </si>
  <si>
    <t>2020-01-04</t>
  </si>
  <si>
    <t>ElderDrivers-EdXposed-432</t>
  </si>
  <si>
    <t>[BUG] system-ui crashes in libart.so</t>
  </si>
  <si>
    <t>** What happened?**
my System-UI crashed once again.
The guys from GravityBox told me its EdXposed related (see my issue at GB (https: github.com GravityBox GravityBox issues 2044))
The crashes seem random. Usually after some seconds the lockscreen re-appears, sometimes the crash causes soft-boot (but without boot-animation)
**Xposed Xposed Module List**
but it does not seem module, but core related
**Magisk Magisk Module List**
BusyBox for Android NDK
Magisk Manager for Recovery Mode (mm)
**EdXposed Riru Versions of EdXposed and Riru**
** Logcat Logcat**
--------- beginning of system
--------- beginning of crash
--------- beginning of main</t>
  </si>
  <si>
    <t>LawnchairLauncher-lawnchair-1895</t>
  </si>
  <si>
    <t>Home widget doesn't show time, weather</t>
  </si>
  <si>
    <t>&lt;!--- Provide general summary of the issue in the Title above --&gt;
&lt;!--- Check if your issue or something similar has been reported before (if yes upvote comment there) --&gt;
&lt;!--- Please not that we don accept any bug reports for Versions 1.* anymore --&gt;
When first installed lawnchair, the weather showed up, but couldn get the time to show up. reset the phone and then neither the time or the weather showed up.
## Expected Behavior
time weather shoud show up
## Actual Behavior
see the date and the now playing or greeting.
## Steps to Reproduce
Install the home widget
moto g3 marshmallow
&lt;!--- If possible, include logcat of the issue, otherwise remove this section--&gt;
&lt;!--- Navigate to Documents Lawnchair and share the most recent crash log from there. --&gt;
&lt;!--- If you can see any crash logs in there, try using this --&gt;
&lt;!--- app (https: android apps-games to capture crash logs. --&gt;
your log here</t>
  </si>
  <si>
    <t>k9mail-k-9-4423</t>
  </si>
  <si>
    <t>Many crashes</t>
  </si>
  <si>
    <t>Since some months the app doesn work at all. It crashes, with the message the app unexpectedly closed
K-9 Mail version: 5.205
Android version: 8.1.0
Account type (IMAP, POP3, WebDAV Exchange): POP3
Please take some time to retrieve logs (https: github.com k9mail k-9 wiki LoggingErrors) and attach them here:</t>
  </si>
  <si>
    <t>UriahShaulMandel-BaldPhone-181</t>
  </si>
  <si>
    <t>AppsActivity crashes on phones with lineageOS installed (and some others)</t>
  </si>
  <si>
    <t>**Describe the bug**
The AppsActivity crashes on phones with lineageOS installed (and some others)
To not crash lol to add the picture to the database successfully
Also, quite sure it has something to do with these two:</t>
  </si>
  <si>
    <t>2020-01-03</t>
  </si>
  <si>
    <t>MCMrARM-revolution-irc-236</t>
  </si>
  <si>
    <t>inputbox becomes weird after pasting text from clipboard</t>
  </si>
  <si>
    <t>inputbox is going crazy after pasting text from clipboard (input-lag, autocomplete clears word completely and after undetermined time app crashes...
it is possible that this is not client bug
Android 7.0, Revolution IRC 0.5.2, Keyboard: Gboard 5.1.18</t>
  </si>
  <si>
    <t>deltachat-deltachat-android-1205</t>
  </si>
  <si>
    <t>importing an old backup leads to ANRs</t>
  </si>
  <si>
    <t>ve imported backup that was some months old.
After the initial import the UI became unresponsable and after while the app crashed.
The core seems to struggle with duplicated database entries:
Tested on Samsung Galaxy S4 mini, Android 9, latest deltachat master branch</t>
  </si>
  <si>
    <t>nextcloud-android-5090</t>
  </si>
  <si>
    <t>Crash on Mobile Device</t>
  </si>
  <si>
    <t>Created text document with an image.
image (png) isn displayed if you open the file.
If you click on details the nextcloud app crashes.
Working on desktop.</t>
  </si>
  <si>
    <t>square-okhttp-5682</t>
  </si>
  <si>
    <t>okhttp 4.3.0 crash with custom X509TrustManager</t>
  </si>
  <si>
    <t>Android 10 specific.
Custom X509TrustManager in use, extending from installed with
Updating okhttp from 4.2.2 to 4.3.0 causes crash when installing the trust manager:
Looking up the commits this seems to be introduced by https: github.com square okhttp commit that cut down on reflective calls on the trust manager.
Fixed this by adding an implementation of the missing method in the custom trust manager. Note the Android platform exception message is off-by-one String arg.
private Method checkServerTrusted
public chain, String authType, String host) throws
if (checkServerTrusted null)
throw new String, String) not implemented in delegate
list chain, authType, host)
throw new Failed to call checkServerTrusted e)
if (e.getCause() instanceof
if (e.getCause() instanceof RuntimeException)
throw (RuntimeException) e.getCause()
throw new checkServerTrusted failed e.getCause())
With this in place the app is no longer crashing and not really expecting okhttp to change here. Posting this issue as reference to others who might have the same issue.</t>
  </si>
  <si>
    <t>2020-01-02</t>
  </si>
  <si>
    <t>ElderDrivers-EdXposed-426</t>
  </si>
  <si>
    <t>Oneplus 6t Module list not found</t>
  </si>
  <si>
    <t>--------- beginning of head
Powered by Log Catcher
QQ chat group 855219808
--------- beginning of system info
Android version: 10
Android sdk: 29
Android build: QKQ1.190716.003
ROM build description: OnePlus6T-user 10 QKQ1.190716.003 1912142009 release-keys
--------- beginning of main
--------- beginning of system
--------- beginning of crash</t>
  </si>
  <si>
    <t>Intelehealth-Android-Mobile-Client-781</t>
  </si>
  <si>
    <t xml:space="preserve">Android crash: PhysicalExamActivity.java line 175 </t>
  </si>
  <si>
    <t>Fatal Exception: Unable to start activity ComponentInfo exam Attempt to invoke virtual method int on null object reference</t>
  </si>
  <si>
    <t>Technion236272-2020a-QuickThumbs-127</t>
  </si>
  <si>
    <t>Bug-sounds-make-game-crash-on-old-versions</t>
  </si>
  <si>
    <t>The game crashes on calling on the cat sound, in api 23-24 at least, we need to figure out the exact problem and find other sound libraries if needed.</t>
  </si>
  <si>
    <t>2020-01-01</t>
  </si>
  <si>
    <t>stefan-niedermann-nextcloud-notes-652</t>
  </si>
  <si>
    <t>App crashes on sync</t>
  </si>
  <si>
    <t>Nextcloud Notes 2.2.0
Nextcloud app 3.9.2
Nextcloud Notes continuously crashes, this has started happening with new Nextcloud app update.
This is the error:
FATAL EXCEPTION: AsyncTask #2
Caused by: Attempt to invoke virtual method int on null object reference</t>
  </si>
  <si>
    <t>nextcloud-android-5083</t>
  </si>
  <si>
    <t>A crash</t>
  </si>
  <si>
    <t>************ CAUSE OF ERROR ************
... 24 more
... 27 more
************ APP INFORMATION ************
Build flavor: gplay
************ DEVICE INFORMATION ************
************ FIRMWARE ************</t>
  </si>
  <si>
    <t>2019-12-31</t>
  </si>
  <si>
    <t>ElderDrivers-EdXposed-420</t>
  </si>
  <si>
    <t>短信相关模块不工作</t>
  </si>
  <si>
    <t>** What happened?**
pixel4 android 10 12 OTA Hook hook OTA
**Xposed Xposed Module List**
**Magisk Magisk Module List**
Riru Location Report Enabler
Riru Storage Redirect(Enhanced mode)
**EdXposed Riru Versions of EdXposed and Riru**
** Logcat Logcat**
--------- beginning of head
Powered by Log Catcher
QQ chat group 855219808
--------- beginning of system info
Android version: 10
Android sdk: 29
Android build: QQ1C.191205.016.A1
ROM build description: flame-user 10 QQ1C.191205.016.A1 6015682 release-keys
--------- beginning of system
--------- beginning of main
--------- beginning of crash</t>
  </si>
  <si>
    <t>2019-12-29</t>
  </si>
  <si>
    <t>Technion236272-2020a-Cue-48</t>
  </si>
  <si>
    <t>after sign in fix: requires android.permission.READ_EXTERNAL_STORAGE</t>
  </si>
  <si>
    <t>we have problem with the business logo.
did new sign up that is longer that the last one, and the user should choose logo image from his phone gallery to be the logo of his business.
then, in BOSignUp3, which is the last sign up stage, the user sign up with email and password, create the business and insert it to the firebase and then call load logo() which load the logo to the firebase.
deleted from the manifest the request for READ, and also read on the internet that if the min API is lower then 23, you can ask permission (or don have to?) so can understand why it still crashes and how can we fix it?
appriciate if you can help!</t>
  </si>
  <si>
    <t>ElderDrivers-EdXposed-419</t>
  </si>
  <si>
    <t>[BUG]hook play商店64位应用存在bug  微信国内64位能正常hook play版64位就hook不了</t>
  </si>
  <si>
    <t>--------- beginning of head
Powered by Log Catcher
QQ chat group 855219808
--------- beginning of system info
Android version: 8.1.0
Android sdk: 27
Android build: OPM7.181205.001
ROM build description: osborn-user 7.1.1 NGI77B dev-keys
--------- beginning of main
--------- beginning of system
--------- beginning of crash
play hook hook</t>
  </si>
  <si>
    <t>nextcloud-android-5072</t>
  </si>
  <si>
    <t>Crash on create folder, method custom folder</t>
  </si>
  <si>
    <t>### Steps to reproduce
1. In auto uploads, setup custom folder
2. Pick local sync source
3. When choosing destination folder, create new folder and the app crashes after folder name is given.
### Expected behaviour
create new destination folder
### Actual behaviour
### Environment data
************ CAUSE OF ERROR ************
************ APP INFORMATION ************
Build flavor: gplay
************ DEVICE INFORMATION ************
************ FIRMWARE ************</t>
  </si>
  <si>
    <t>2019-12-28</t>
  </si>
  <si>
    <t>TeamNewPipe-NewPipe-2903</t>
  </si>
  <si>
    <t>Invalid json from bug report</t>
  </si>
  <si>
    <t>carefully read the contribution guidelines (https: github.com TeamNewPipe NewPipe blob HEAD .github CONTRIBUTING.md) and agree to them.
checked if the issue feature exists in the latest version.
did use the incredible bugreport to markdown converter (https: to paste bug reports.
As eladkarako stated in https: github.com TeamNewPipe NewPipe issues the couldn convert bug report crash log generated by NewPipe. This is due to some unescaped inside the exception string: ... host youtube.com No ... After escaping correctly ... host youtube.com No ... the bug report could be converted correctly.
bug report generated by NewPipe&lt; summary&gt;&lt;p&gt;
bug report&lt; summary&gt;&lt;p&gt;
bug report converted to Markdown using &lt;a href https: &gt;this&lt; a&gt;&lt; summary&gt;&lt;p&gt;
User Action: requested stream
Request: https: www.youtube.com watch?v 7im9BFEHzEs
Content Language: GB
OS: Linux Android 28
log&lt; b&gt;&lt; summary&gt;&lt;p&gt;
Caused by: Unable to resolve host youtube.com No address associated with hostname
... 30 more
... 56 more</t>
  </si>
  <si>
    <t>nextcloud-android-5071</t>
  </si>
  <si>
    <t>App crashes when trying to upload file without setting up an account first</t>
  </si>
  <si>
    <t>### Steps to reproduce
1. Install nextcloud files app
2. Do not open or setup nextcloud files app
3. Go to the gallery, open photo, click on share, select nextcloud
### Expected behaviour
show the login page
### Actual behaviour
************ CAUSE OF ERROR ************
************ APP INFORMATION ************
Build flavor: gplay
************ DEVICE INFORMATION ************
************ FIRMWARE ************</t>
  </si>
  <si>
    <t>TeamNewPipe-NewPipe-2900</t>
  </si>
  <si>
    <t xml:space="preserve">Most YouTube videos is unavailable even though video is available in Youtube. </t>
  </si>
  <si>
    <t>Various videos have sent the prompt Content Unavailable even though the video is playable in YouTube app. No other information such as description, next video etc is missing. However comment section is present. didn bother to give out screenshot as it is normal prompt and there is no crash. Hope the problem is fixed.</t>
  </si>
  <si>
    <t>react-native-camera-react-native-camera-2656</t>
  </si>
  <si>
    <t>Android crash - java.lang.NullPointerException</t>
  </si>
  <si>
    <t>**To Do First**
Did you try latest release?
Did you try master?
Did you look for existing matching issues?
&lt;!--Comment in the related ones--&gt;
&lt;!--Please add the used versions branches or leave blank and comment in the optionals if used--&gt;
Android: Android Xioami Redmi Note Pro
**Description Current Behaviour**
Just got this crash from the error reporting too:
Attempt to invoke interface method java.lang.Object on null object reference
Not entirely sure what the issue, but looks like missing null check. Why the picture sizes would be null is unknown, but suspect an unsupported aspect ratio or something. It would be good for the code to not crash and rather fallback to some value.
&lt;!--place your bug description below--&gt;
&lt;!--place your expected behaviour below--&gt;
**Steps to Reproduce**
Mount camera and capture. Possibly with an unsupported aspect ratio (e.g., 1:1)
&lt;!--describe how to produce the error below--&gt;
&lt;!--**Does it work with Expo Camera?**--&gt;
&lt;!--Check usage with Expo and comment in this section- https: github.com react-native-camera blob master docs Expo Usage.md
You should open an issue there as well, so we can cooperate in solution.--&gt;
&lt;!--place screenshots suggestions and other additional infos below--&gt;</t>
  </si>
  <si>
    <t>2019-12-27</t>
  </si>
  <si>
    <t>nextcloud-android-5068</t>
  </si>
  <si>
    <t>PreviewTextFragment crashes :(</t>
  </si>
  <si>
    <t>After the commit https: github.com nextcloud android commit (Direct editing support) the PreviewTextFragment creates an error when instanciated (so the app crashes), here is an error
This happens when click on text file on master branch.
tobiasKaminsky do you know how to fix that</t>
  </si>
  <si>
    <t>stefan-niedermann-nextcloud-notes-642</t>
  </si>
  <si>
    <t>App crashes when clicking on checkbox</t>
  </si>
  <si>
    <t>clicked on checkbox in checklist in the expectation that it would no longer be checked.
## Error log</t>
  </si>
  <si>
    <t>nextcloud-android-5067</t>
  </si>
  <si>
    <t>Crash on multiple files upload</t>
  </si>
  <si>
    <t>************ CAUSE OF ERROR ************
************ APP INFORMATION ************
Build flavor: gplay
************ DEVICE INFORMATION ************
************ FIRMWARE ************
### Steps to reproduce
1. Upload multiple files at same time to nextcloud
2. Switch to different app while spinner is visible
3. Ensure everything is happening on slow upload connection
### Expected behaviour
### Actual behaviour
repeatedly requested fingerprint, when changed to different app, it crashed
### Environment data
Stock or customized system:
Nextcloud app version:
Nextcloud server version:
#### Web server error log
Insert your webserver log here
#### Nextcloud log (data nextcloud.log)
Insert your Nextcloud log here</t>
  </si>
  <si>
    <t>2019-12-26</t>
  </si>
  <si>
    <t>segler-alex-RadioDroid-641</t>
  </si>
  <si>
    <t>App Crashes with Off-Wi-Fi Warning Enabled</t>
  </si>
  <si>
    <t>With **off-Wi-Fi warning** enabled, click any station under mobile data, the app crashes.</t>
  </si>
  <si>
    <t>libgdx-libgdx-5870</t>
  </si>
  <si>
    <t>ArrayIndexOutOfBoundsException at AndroidMultiTouchHandler</t>
  </si>
  <si>
    <t>#### Issue details
From time to time see this crash reported on my live wallpaper apps. It is impossible for me to reproduce.
#### Version of LibGDX and or relevant dependencies
Fatal Exception: length 20 index 20
#### Please select the affected platforms
It looks like the problem resides in this line (https: github.com libgdx libgdx blob backends gdx-backend-android src com badlogic gdx backends android where it seems that the input.realId.length is bigger than while they must be equal (but can be wrong). Thanks for your support.</t>
  </si>
  <si>
    <t>2019-12-25</t>
  </si>
  <si>
    <t>nextcloud-android-5063</t>
  </si>
  <si>
    <t>Nexcloud crashed</t>
  </si>
  <si>
    <t>Nextcloud hasked to paste this in here
************ CAUSE OF ERROR ************
************ APP INFORMATION ************
Build flavor: gplay
************ DEVICE INFORMATION ************
************ FIRMWARE ************</t>
  </si>
  <si>
    <t>2019-12-24</t>
  </si>
  <si>
    <t>nextcloud-android-5059</t>
  </si>
  <si>
    <t>Running in Samsung Knox app crashes</t>
  </si>
  <si>
    <t>### Steps to reproduce
### Expected behaviour
Tell us what should happen
### Actual behaviour
Tell us what happens
************ CAUSE OF ERROR ************
************ APP INFORMATION ************
Build flavor: gplay
************ DEVICE INFORMATION ************
************ FIRMWARE ************
### Environment data
Stock or customized system:
Nextcloud app version:
Nextcloud server version:
#### Web server error log
Insert your webserver log here
#### Nextcloud log (data nextcloud.log)
Insert your Nextcloud log here</t>
  </si>
  <si>
    <t>2019-12-23</t>
  </si>
  <si>
    <t>nextcloud-android-5058</t>
  </si>
  <si>
    <t>Error when you try to connect on an already logged server/user</t>
  </si>
  <si>
    <t>When you re connected on server and want to connect on the SAME server with the SAME user, AND ONLY if you use webview login url by default, the app will crash because mAuthStatusView is not defined in
solution would be to create try-catch in showAuthStatus method, but it ugly because the musts show the login input to show the error message.
If webview login url is defined, the wanted behaviour is ALWAYS to connect through this specified URL and we don want to show the URL input Activity for login.
So what suggest, is to create Toast containing the error, and if the login fail, we finish Authenticator Activity (only if webview login url is defined).
AndyScherzinger tobiasKaminsky ve figured out that everything related to branding was really not necessary, are you interested in this kind of issue or not? Thanks for your answer and have happy holiday :D</t>
  </si>
  <si>
    <t>AppsFlyerSDK-appsflyer-react-native-plugin-134</t>
  </si>
  <si>
    <t>API docs for sendDeepLinkData are incorrect</t>
  </si>
  <si>
    <t>The docs for the function sendDeepLinkData are incorrect and instead of saying it accepts callback function it should say that it accepts string as the url of the deep link.
In fact, attempting to provide function would cause the app to crash.
have small PR to fix this although don seem to have permissions to push to this repo.</t>
  </si>
  <si>
    <t>nextcloud-android-5052</t>
  </si>
  <si>
    <t>crash on android</t>
  </si>
  <si>
    <t>2019-12-22</t>
  </si>
  <si>
    <t>square-reader-sdk-flutter-plugin-42</t>
  </si>
  <si>
    <t>Production builds break with Flutter 1.12</t>
  </si>
  <si>
    <t>### Describe the issue
clear and concise description of what the issue is.
For example When try to authorize my Reader with valid location and
OAuth access token, the plugin returns an exception with message
authorization failed unexpectedly.
Error log details:
paste your error log here
Each time you open the app, it immediately crashes and logcat outputs this error:
### To Reproduce
Steps to reproduce the issue.
1. Initialize the SDK
1. Get valid authz code
1. Call await and failed
Here is the piece of code that reproduce the issue.
void authorize(String authCode) async
on ReaderSdkException catch (e)</t>
  </si>
  <si>
    <t>2019-12-21</t>
  </si>
  <si>
    <t>nextcloud-android-5051</t>
  </si>
  <si>
    <t>Nexcloud crash on browse</t>
  </si>
  <si>
    <t>Nexcloud asked to put this in here
************ CAUSE OF ERROR ************
************ APP INFORMATION ************
Build flavor: gplay
************ DEVICE INFORMATION ************
************ FIRMWARE ************</t>
  </si>
  <si>
    <t>nextcloud-android-5050</t>
  </si>
  <si>
    <t>Next Cloud apps crash</t>
  </si>
  <si>
    <t>aws-amplify-aws-sdk-android-1387</t>
  </si>
  <si>
    <t>S3 TransferUtility Upload part interrupted: time out and socket is closed</t>
  </si>
  <si>
    <t>have an app in which uploads videos to S3 using TransferUtility.
It works in most cases, but in Xiomi MI Lite, it crashes.
thought it was max size issue, but is not.
appreciate any suggestions on how to fix it.
Here is my code:
private void uploadFile()
Regions.US EAST Region
get file to upload
prepend android- interviewId .mp4
AmazonS3Client s3 new
final TransferUtility transferUtility new TransferUtility(s3,
ClientConfiguration clientConfiguration new
final TransferObserver transferObserver
mobvideosappin The bucket to upload to
prepend, The key for the uploaded object
videoToUpload The file where the data to upload exists
public void onStateChanged(int id, TransferState state)
Thread th new Thread((Runnable)
if FOR NETWORK))
public void id, long bytesCurrent, long bytesTotal)</t>
  </si>
  <si>
    <t>2019-12-20</t>
  </si>
  <si>
    <t>TuyaInc-tuyasmart_home_android_sdk-76</t>
  </si>
  <si>
    <t>应用切换后台后moniter进程crash：null notification</t>
  </si>
  <si>
    <t>Caused by: null notification</t>
  </si>
  <si>
    <t>OpenTracksApp-OpenTracks-107</t>
  </si>
  <si>
    <t>Bug: crash on show import dialog</t>
  </si>
  <si>
    <t>Reported via Google Play store crash analytics.
Affected version code: 3175
Android version: 6.0 (Samsung)
Seems to be related to state loss of the activity: https: stackoverflow.com questions 44699944</t>
  </si>
  <si>
    <t>NightscoutFoundation-xDrip-1139</t>
  </si>
  <si>
    <t>libre status crash when sensor stopped</t>
  </si>
  <si>
    <t>open Status page
the application will crash</t>
  </si>
  <si>
    <t>2019-12-19</t>
  </si>
  <si>
    <t>nextcloud-android-5036</t>
  </si>
  <si>
    <t>Crash at leaving the app</t>
  </si>
  <si>
    <t>### Actual behaviour
The App crashed
### Expected behaviour
It should not crash at leaving the app
### Steps to reproduce
### Environment data
Stock or customized system:
Nextcloud app version:
Nextcloud server version:
#### Web server error log
Insert your webserver log here
#### Nextcloud log (data nextcloud.log)
Insert your Nextcloud log here</t>
  </si>
  <si>
    <t>google-ExoPlayer-6785</t>
  </si>
  <si>
    <t>IllegalStateException at DefaultDownloadIndex.getDownloadForCurrentRow</t>
  </si>
  <si>
    <t>### Issue description
The following crash is being seen in Crashlytics
It appears that the download progress is null which is failing the assertion. From what can see this progress is returned from the database.
Over the last 90 days: This issue has 1070 crashes affecting 110 users.
### Reproduction steps
We have not been able to reproduce this issue ourselves, but it is currently our biggest crash in Crashlytics and has recently generated velocity alert.
### Link to test content
If required please let us know and we can try to provide access to test user account
### full bug report captured from the device
As above this is an issue from Crashlytics so unable to capture bug report ourselves
### Version of ExoPlayer being used
### Device(s) and version(s) of Android being used
80% Samsung (Galaxy S8, S9, S8+)
5% Huawei (p20 lite, Y7 Prime 2019, smart 2019)
4% OnePlus (A6000, 7T Pro, 5T)
4% OPPO (CPH1725)
25% In background
93% Proximity On</t>
  </si>
  <si>
    <t>opensrp-opensrp-client-giz-malawi-164</t>
  </si>
  <si>
    <t>QA Bugs and Issues v0.2.4</t>
  </si>
  <si>
    <t>The mother created from the Child Registration still appears in ANC! The app does not crash anymore, but that record should not be there.
When the user logs in and they set the site characteristics, they land on the ANC page. The same was also noted where sometimes when you login it lands you on the child register instead of the all clients register. The recommendation is to have setting which has the default register view, so that if this is set, it goes to that as landing page else it takes the normal behaviour.
In OPD, When registering new patient, and using the national ID lookup, you go to an existing person profile, when you choose to check in, it gives the form but does not save the information and it does not open the diagnose and treat form.
The vaccine due column:BCG scar is not confirmed (after the 14 weeks not months or 12 weeks! interval) and the HW acknowledges that fact in the reminder that persistently appears (until BCG expiry in year). Change the schedule of BCG Repeated dose to start at 14weeks.
Increase mother match lookup to 60seconds</t>
  </si>
  <si>
    <t>ElderDrivers-EdXposed-413</t>
  </si>
  <si>
    <t>[BUG] module doesn't load on Android 10 Samsung note 9 /note 10</t>
  </si>
  <si>
    <t>** What happened?**
Module doesn load. No error but module not working and log shoeing module doesn load
**Xposed Xposed Module List**
**Magisk Magisk Module List**
**EdXposed Riru Versions of EdXposed and Riru**
** Logcat Logcat**
--------- beginning of head
Powered by Log Catcher
QQ chat group 855219808
--------- beginning of system info
Android version: 10
Android sdk: 29
Android build: QP1A.190711.020
ROM build description: d2sxx-user 10 QP1A.190711.020 N975FXXU1BSL7 release-keys
--------- beginning of main
--------- beginning of system
--------- beginning of crash
log It can help us to locate issue, must use our logcat module</t>
  </si>
  <si>
    <t>2019-12-18</t>
  </si>
  <si>
    <t>segler-alex-RadioDroid-634</t>
  </si>
  <si>
    <t>Most happening crash from google console</t>
  </si>
  <si>
    <t>does anybody know how to handle this crash?
it happened over 400 times last days on peoples devices according to google console.
did not then call ServiceRecord 774908e u0 .PlayerService
main tid Native
main prio tid Native
group main sCount dsCount flags obj 0x78c45870 self 0x7021e14c00
sysTid 30273 nice cgrp default sched handle 0x70a7cb2548
state schedstat 218301665 33115884 291 utm 13 stm core HZ 100
stack stackSize 8MB
#03 pc 0000000000126964 system lib64 libandroid runtime.so (android::android os MessageQueue nativePollOnce( JNIEnv*, jobject*, long, int)+44)</t>
  </si>
  <si>
    <t>google-ExoPlayer-6776</t>
  </si>
  <si>
    <t>IndexOutOfBoundsException during playback</t>
  </si>
  <si>
    <t>### REQUIRED Issue description
get the following exception and crash while playing audio.
### REQUIRED Reproduction steps
cannot reliably reproduce this issue, but suspect that it might be caused by multiple calls to Rough application flow is as follows...
Add single MediaSource to
Prepare player with that
Once the timeline has changed set speed and playWhenReady to true
Add multiple (variable number of) additional MediaSources to the
### REQUIRED Link to test content
Do not have any of this right now.
### REQUIRED full bug report captured from the device
Will do if necessary.
### REQUIRED Version of ExoPlayer being used
### REQUIRED Device(s) and version(s) of Android being used
Pixel Android 10</t>
  </si>
  <si>
    <t>2019-12-17</t>
  </si>
  <si>
    <t>google-ExoPlayer-6775</t>
  </si>
  <si>
    <t>HLS playback fails if chunk requests returns HTTP 416 status code</t>
  </si>
  <si>
    <t>### Issue description
Exoplayer is crashed and doesn switch to another stream (variant) if the new position in the stream is out-of-range.
### Reproduction steps
1. Provide playlist with several streams (*.ts extension)
For example in my case, there are streams:
stream song name high quality.ts (some chunks in the stream are broken)
stream song name low quality.ts (works propertly)
2. Play the playlist
For example, playback starts from stream song name low quality.ts and after period of time, the current stream will be switched to more high-quality video which is broken since some chunks are not accessible.
#### Actual behavior
Exoplayer crashes with error OUT OF RANGE
#### Excepted behaviour
Current stream should be change to proper stream. In above case the current stream should be changed to stream song name low quality.ts
### Exoplayer Version</t>
  </si>
  <si>
    <t>applivery-applivery-android-sdk-52</t>
  </si>
  <si>
    <t>Android App crashing on release builds [BUG]</t>
  </si>
  <si>
    <t>Organization Owner email address: max.lapides tonal.com
**Describe the bug**
am building flutter app and trying to set up the Android SDK with my project. The app will crash on start when release build is running on device. have reproduced this behavior in sample project: https: github.com natalieeeflores applivery-crash. have been trying to debug the issue by building the app onto my phone. run flutter build apk to generate the apk and flutter install -d &lt;device id&gt; to install the app on my device.
Below are the main files that modified.
def localProperties new Properties()
def localPropertiesFile rootProject.file( local.properties
UTF-8 reader -&gt;
def flutterRoot flutter.sdk
if (flutterRoot null)
throw new GradleException( Flutter SDK not found. Define location with flutter.sdk in the local.properties file.
def flutterVersionCode flutter.versionCode
if (flutterVersionCode null)
def flutterVersionName flutter.versionName
if (flutterVersionName null)
apply plugin: kotlin-android
main.java.srcDirs src main kotlin
TODO: Add your own signing config for the release build.
Signing with the debug keys for now, so flutter run --release works.
source .. ..
override fun onCreate()</t>
  </si>
  <si>
    <t>nextcloud-android-5016</t>
  </si>
  <si>
    <t>What should we do about scoped storage in android 10?</t>
  </si>
  <si>
    <t>Following #5014 tobiasKaminsky ezaquarii AndyScherzinger
### Actual behaviour
In android 10, scoped storage prevents the Nextcloud app from reading files in external storages
Note that it able to detect presence of files in the special media storages, but it fails to create thumbnails
### Expected behaviour
It shouldn fail to read access external files
### Steps to reproduce
1. Have some newly created images in media folders
2. Open auto upload tab, thumbnails fail to appear
There are probably other crashes and bugs related to this.
### Environment data
Android version: 10
Device model: emulator
Stock or customized system: stock with play store
Nextcloud app version: latest master (3.10.0 alpha)
Nextcloud server version: latest stable (17.x)
### Access failing logs
Unable to decode stream: storage emulated DCIM Camera IMG 20191216 113726.jpg: open failed: EACCES (Permission denied)</t>
  </si>
  <si>
    <t>2019-12-16</t>
  </si>
  <si>
    <t>square-okhttp-5649</t>
  </si>
  <si>
    <t>Apps crash on OkHttp  (serious problem！)</t>
  </si>
  <si>
    <t>The problem arises after booting up the Android device.
This bug caused lots of Apps which use OkHttp library to connect to their servers crashed.
It is low probability of random events.
--------- beginning of crash</t>
  </si>
  <si>
    <t>nextcloud-android-5003</t>
  </si>
  <si>
    <t>Background job keep crashing</t>
  </si>
  <si>
    <t>### Actual behaviour
Randomly, like each 5min or 10 or 20 background job crash. Whatever was doing (like firefox), the nextcloud app keeps getting focus to show me the error.
### Expected behaviour
### Steps to reproduce
Hard to reproduce.
### Environment data
One plus 3t
Stock or customized system:
Nextcloud app version:
Nextcloud server version:
#### Web server error log
Insert your webserver log here
#### Nextcloud log (data nextcloud.log)
Insert your Nextcloud log here
Nextcloud crash log from Android
************ CAUSE OF ERROR ************
Caused by: Caller no longer running, last stopped +3s819ms because: timed out while starting
************ APP INFORMATION ************
Build flavor: generic
************ DEVICE INFORMATION ************</t>
  </si>
  <si>
    <t>2019-12-15</t>
  </si>
  <si>
    <t>nextcloud-android-5002</t>
  </si>
  <si>
    <t>App crashes after launching file details page</t>
  </si>
  <si>
    <t>### Steps to reproduce
1. Launch master-compiled QA variant app
2. Open file details page
3. Wait until it force-closes
### Environment data
Nextcloud app version: master</t>
  </si>
  <si>
    <t>2019-12-14</t>
  </si>
  <si>
    <t>Neamar-KISS-1312</t>
  </si>
  <si>
    <t>Crash when icons goes into each other + lock favorite</t>
  </si>
  <si>
    <t>Sometimes, when swipe accidentally one of my favorite app into one other the application crash (see .gif).
Fix this bug would be nice, but add the possibility to lock freeze favorites apps docker is greater.</t>
  </si>
  <si>
    <t>ElderDrivers-EdXposed-410</t>
  </si>
  <si>
    <t>can get edxposed to work on my newly upgraded pixel xl. Now with Dec 2019 android
Here my logcat. Logcat is also attached, which might be easier to read. What do do about the file that is missing?
--------- beginning of head
Powered by Log Catcher
QQ chat group 855219808
--------- beginning of system info
Android version: 10
Android sdk: 29
Android build: QQ1A.191205.008
ROM build description: crosshatch-user 10 QQ1A.191205.008 5974827 release-keys
--------- beginning of main
--------- beginning of system
--------- beginning of crash</t>
  </si>
  <si>
    <t>ostrya-PresencePublisher-19</t>
  </si>
  <si>
    <t>Release 1.7.0 is missing Paho library</t>
  </si>
  <si>
    <t>For some reason, something has gone wrong in building the release. This causes the app to crash with</t>
  </si>
  <si>
    <t>2019-12-13</t>
  </si>
  <si>
    <t>fossasia-open-event-organizer-android-2001</t>
  </si>
  <si>
    <t>Bug: App crashes after selecting a local image for new event</t>
  </si>
  <si>
    <t>**Describe the bug**
The app crashes after selecting graphic from the phone storage.
1. Go to New Event
2. Fill event details and reach Step
3. Click on the camera icon to select graphic from phone.
4. As soon as you select an image, the app crashes
The image should be selected and loaded in the specified space.
Caused by: StrictMode ThreadPolicy violation
&lt;!-- If applicable, add screenshots to help explain your problem. --&gt;
Device Samsung Galaxy J8
Android Version Pie 9.0
The problem appears to be due to the StrictMode Policies
**Would you like to work on the issue?**</t>
  </si>
  <si>
    <t>nextcloud-android-4999</t>
  </si>
  <si>
    <t>Only trigger media scanner for media files</t>
  </si>
  <si>
    <t>There several places in the app where triggerMediaScan() is called (https: github.com nextcloud android search?q Code). This happens irrespective of the mimeType which is available in some of these places.
For huge non-media files, this can slow down the system significantly and even crash with OOM errors. Furthermore when writing these files with DocumentsProvider, maybe the user doesn want these files get indexed by the media scanner?
Anyway, simple fix would be to check the mimetype for media files and only trigger scan for those.</t>
  </si>
  <si>
    <t>nextcloud-android-4996</t>
  </si>
  <si>
    <t>crash when uploading a file</t>
  </si>
  <si>
    <t>opensrp-opensrp-client-immunization-113</t>
  </si>
  <si>
    <t>Add Null check when populating Vaccine Schedule Map</t>
  </si>
  <si>
    <t>For special vaccines included in the Vaccine Repo Enum and not present in the vaccines.json configuration file, null values are added to the vaccineSchedules map which causes crash when processing offline alert schedules</t>
  </si>
  <si>
    <t>MartyrPher-SMAPI-Android-Installer-39</t>
  </si>
  <si>
    <t>0.9.2 - No Stardew Valley folder causes installer to crash</t>
  </si>
  <si>
    <t>If the user did not create save file for Stardew Valley, the Stardew Valley folder will not exist. The Installer tries to create the Mods folder into directory that doesn exist. Causing crash. Very bad.</t>
  </si>
  <si>
    <t>ElderDrivers-EdXposed-409</t>
  </si>
  <si>
    <t>[BUG] 一加7p新系统无法工作，貌似是权限有问题</t>
  </si>
  <si>
    <t>** What happened?**
**EdXposed Riru Versions of EdXposed and Riru**
** Logcat Logcat**
--------- beginning of head
Powered by Log Catcher
QQ chat group 855219808
--------- beginning of system info
Android version: 10
Android sdk: 29
Android build: QKQ1.190716.003
ROM build description: OnePlus7Pro-user 10 QKQ1.190716.003 1911250200 release-keys
--------- beginning of main
--------- beginning of system
--------- beginning of crash
log It can help us to locate issue, must use our logcat module</t>
  </si>
  <si>
    <t>2019-12-12</t>
  </si>
  <si>
    <t>hzi-braunschweig-SORMAS-Project-1419</t>
  </si>
  <si>
    <t>Error in POE user account</t>
  </si>
  <si>
    <t>This error occurs when the user tries to move from case information to person information in the edit mode. The app crashes or an error message pops up
WhatsApp Image 2019-12-12 at 14 11 57 (https: 50739609</t>
  </si>
  <si>
    <t>niranjan-nagaraju-notification-center-7</t>
  </si>
  <si>
    <t>App crashes when a penultimate card is swiped, and subsequently the last card is clicked</t>
  </si>
  <si>
    <t>App crashes when penultimate card is swiped, and then subsequently when the next card header is clicked to expand, the adapter crashes with an
Other times, the crash is due to</t>
  </si>
  <si>
    <t>forrestguice-SuntimesWidget-376</t>
  </si>
  <si>
    <t>crash when time zone does not exist</t>
  </si>
  <si>
    <t>###### Reproduction Steps
1. tap Location and set wrong name in setting location dialog
2. tap Update
3. tap set timezone where the default time zone will be none
4. tap set
###### Expected Result
dialog with some information that the location is wrong
###### Actual Result
crash, the stack trace is:
###### Debug info
Android Version 4.4.4</t>
  </si>
  <si>
    <t>isurunuwanthilaka-d2d-app-android-39</t>
  </si>
  <si>
    <t>App crash randomly</t>
  </si>
  <si>
    <t>bilde2910-Hauk-100</t>
  </si>
  <si>
    <t>Catch large values for duration</t>
  </si>
  <si>
    <t>1.5.2 app server
Duration 99999999 minutes -&gt; Share period is too long!
Duration 99999999 hours or days -&gt; **Connection established** but the **Your location share has expired** pops-up right away -&gt; OK -&gt; OK again in the established dialogue
In the error dialogue do state what are the min max values.
And the crashes eg. Duration minutes...</t>
  </si>
  <si>
    <t>deltachat-deltachat-android-1158</t>
  </si>
  <si>
    <t>crash after login with nexus4/android kitkat</t>
  </si>
  <si>
    <t>the app starts up, shows login dialog, but crashes during config.
completely reproducible in the android emulator, log (https: gist.github.com r10s
am pretty sure, this has worked one or two weeks ago.</t>
  </si>
  <si>
    <t>k9mail-k-9-4359</t>
  </si>
  <si>
    <t>Attempting to create new identity crashes app</t>
  </si>
  <si>
    <t>K-9 mail configured with single IMAP account with just the default identity. Attempting to add new identity crashes the app and brings up K-9 Mail keeps stopping dialog box.
### Expected behavior
Mail-&gt;Manage Identities-&gt;New identity should allow adding new identity.
### Actual behavior
Click the New Identity button once brings you back to Sending Mail page. Going into Manage Identities and clicking new identity again brings up the K-9 Mail keeps stopping dialog box.
### Steps to reproduce
K-9 Mail version: 5.701
Android version: 10
Account type (IMAP, POP3, WebDAV Exchange): IMAP</t>
  </si>
  <si>
    <t>nextcloud-android-4988</t>
  </si>
  <si>
    <t xml:space="preserve">Android app crashes when I try to use settings </t>
  </si>
  <si>
    <t>### Actual behaviour
Tell us what happens
### Expected behaviour
Tell us what should happen
### Steps to reproduce
### Environment data
Stock or customized system:
Nextcloud app version:
Nextcloud server version:
#### Web server error log
Insert your webserver log here
#### Nextcloud log (data nextcloud.log)
************ CAUSE OF ERROR ************
Caused by: java.lang.Boolean cannot be cast to java.lang.String
... 11 more
************ APP INFORMATION ************
Build flavor: versionDev
************ DEVICE INFORMATION ************
************ FIRMWARE ************</t>
  </si>
  <si>
    <t>2019-12-11</t>
  </si>
  <si>
    <t>nextcloud-android-4985</t>
  </si>
  <si>
    <t xml:space="preserve">Android nextcloud crashing repeatedly </t>
  </si>
  <si>
    <t>### Actual behaviour
Tell us what happens
Nextcloud client randomly crashes while doing background tasks. doing something else, unrelated, and the crash report interrupts what doing.
### Expected behaviour
Tell us what should happen
Nextcloud should do its thing without crashing...
### Steps to reproduce
1. Install nextcloud client
2. Setup sync folders
3. Go about your other business
### Environment data
Stock or customized system:
Nextcloud app version:
Nextcloud server version:
#### Web server error log
Insert your webserver log here
#### Nextcloud log (data nextcloud.log)
************ CAUSE OF ERROR ************
Caused by: Caller no longer running, last stopped +11s458ms because: timed out while starting
************ APP INFORMATION ************</t>
  </si>
  <si>
    <t>nextcloud-android-4984</t>
  </si>
  <si>
    <t>app not syncing auto upload folder and crashing sometimes</t>
  </si>
  <si>
    <t>### Actual behaviour
Tell us what happens
app not syncing auto upload folder and crashing sometimes
### Expected behaviour
Tell us what should happen
autosync camera folder
### Steps to reproduce
1. Open app
2. click on folder
3. ... sync now
### Environment data
Device model: a5y17lte
Stock or customized system: ressurection remix 7.0.0
Nextcloud app version: 3.9.2
Nextcloud server version: 17.0.1
#### Web server error log
Insert your webserver log here
#### Nextcloud log (data nextcloud.log)
Insert your Nextcloud log here
************ CAUSE OF ERROR ************</t>
  </si>
  <si>
    <t>ankidroid-Anki-Android-5655</t>
  </si>
  <si>
    <t>crash when there is no card to preview</t>
  </si>
  <si>
    <t>###### Reproduction Steps
1. Tap card browser
2. Tap more options
3. Tap preview when there is no card or when no card exists after filtering
###### Expected Result
###### Actual Result
###### Debug info
AnkiDroid Version 2.9alpha25
Android Version 4.4.4
*Enter an character to confirm the points below:*
have searched for similar existing issues here and on the user forum</t>
  </si>
  <si>
    <t>nextcloud-android-4981</t>
  </si>
  <si>
    <t>OOM crash when browsing pictures.</t>
  </si>
  <si>
    <t>My picture collection must be around 40k photos. was swiping the images was just few pictures in when it crashed.</t>
  </si>
  <si>
    <t>Piwigo-Piwigo-Android-213</t>
  </si>
  <si>
    <t>random crash on upload</t>
  </si>
  <si>
    <t>Reported via ACRA:</t>
  </si>
  <si>
    <t>2019-12-10</t>
  </si>
  <si>
    <t>nextcloud-android-4972</t>
  </si>
  <si>
    <t>Netxcloud Dev app crashes when trying to open settings</t>
  </si>
  <si>
    <t>### Actual behaviour
App crashes when trying to open the settings page. Standard app works fine. Only the Dev version crashes. Tried clearing cache and data with no effect.
### Expected behaviour
Expecting the settings page to show.
### Steps to reproduce
1. Open app
2. Tap menu icon
3. Tap Settings
### Environment data
Stock or customized system:
Nextcloud app version:
Nextcloud server version:
15 and 17
#### App Crash Report Log
************ CAUSE OF ERROR ************
Caused by: Attempt to invoke interface method int on null object reference
... 11 more
************ APP INFORMATION ************
Build flavor: versionDev
************ DEVICE INFORMATION ************</t>
  </si>
  <si>
    <t>myxor-WhoRules-11</t>
  </si>
  <si>
    <t>Choosing a new ruler when no people are availabe crashes the app</t>
  </si>
  <si>
    <t>2019-12-09</t>
  </si>
  <si>
    <t>fossasia-pslab-android-2019</t>
  </si>
  <si>
    <t>Crashing of the App while using the Logged Data</t>
  </si>
  <si>
    <t>On pressing the icon next to the delete option in the logged data(images provided below) the app crashes followed by complete blacking out of the phone screen.
**Steps to reproduce it**
1) Use any of the gadgets present in PSLab such as the oscilloscope or the lux meter.
2) Record the data observed by the instrument.
3) Go to the drop down menu and select the logged data option.
4) Press the icon to the left of the bin delete icon.
5) The app crashes on doing so.
**Screenshots of the issue**
Screenshot io pslab (https: 58459496
Screenshot io pslab (https: 58459496
Screenshot io pslab (https: 58459496
Screenshot io pslab (https: 58459496
**Would you like to work on the issue?**
Yes if given the option would like to work on the problem.</t>
  </si>
  <si>
    <t>commons-app-apps-android-commons-3288</t>
  </si>
  <si>
    <t>Crash on image upload</t>
  </si>
  <si>
    <t>Some logs has sent from user, it says during the upload, it crashes.
**Steps to reproduce:**
Try to upload some images. wild idea this issue should only be reproducible for some android versions, prpobably &lt;11. For our reports they are: ANDROID VERSION 8.0.0 and
APP VERSION CODE 475
APP VERSION NAME 2.11.0
ANDROID VERSION 8.0.0</t>
  </si>
  <si>
    <t>fossasia-pslab-android-2017</t>
  </si>
  <si>
    <t>### App crashes when recording oscilloscope
**I opened oscilloscope in pslab**
Screenshot 20191209-134848 (https: 39716499
**And selected In-Built Mic**
Screenshot 20191209-134827 (https: 39716499
**when try to record it the app crashes**
Screenshot 20191209-134832 (https: 39716499</t>
  </si>
  <si>
    <t>google-ExoPlayer-6738</t>
  </si>
  <si>
    <t>Getting java.lang.AbstractMethodError: abstract method "void com.google.android.exoplayer2.analytics.AnalyticsListener.onLoadStarted</t>
  </si>
  <si>
    <t>am using exoplayer version 2.10.4 with androidX and gradle version 3.5.3.
am getting runtime crash
The crash appears after updating the gradle version to 3.5+
works very well and no runtime error. But without this flag, the app crashes.
As observed, the gradle code shrinking tool doesn work well if the interface has any optional method.
The proguard as follows
Dependencies as follows.</t>
  </si>
  <si>
    <t>nextcloud-android-4968</t>
  </si>
  <si>
    <t>App crashes when trying to enter "settings"</t>
  </si>
  <si>
    <t>************ CAUSE OF ERROR ************
Caused by: Attempt to invoke interface method int on null object reference
************ APP INFORMATION ************
Build flavor: versionDev
************ DEVICE INFORMATION ************
************ FIRMWARE ************</t>
  </si>
  <si>
    <t>nextcloud-android-4967</t>
  </si>
  <si>
    <t>app crashes when uploading a bunch of pics</t>
  </si>
  <si>
    <t>### Actual behaviour
Tell us what happens
### Expected behaviour
Tell us what should happen
### Steps to reproduce
### Environment data
Stock or customized system:
Nextcloud app version:
Nextcloud server version:
#### Web server error log
Insert your webserver log here
#### Nextcloud log (data nextcloud.log)
Insert your Nextcloud log here</t>
  </si>
  <si>
    <t>2019-12-08</t>
  </si>
  <si>
    <t>usabilla-usabilla-u4a-react-native-87</t>
  </si>
  <si>
    <t>Send event after form dismissing crashes then app (iOS)</t>
  </si>
  <si>
    <t>How to reproduce:
1. Send event (to trigger active form to open)
2. Dismiss the form
3. Reset campaign data
4. Send event again
Then app crashes.
tried this with the sample app.</t>
  </si>
  <si>
    <t>libgdx-libgdx-5857</t>
  </si>
  <si>
    <t>IndexOutOfBounds in com.badlogic.gdx.controllers.desktop.ois.OisJoystick.buttonPressed</t>
  </si>
  <si>
    <t>see https: github.com libgdx libgdx blob extensions gdx-controllers src com badlogic gdx controllers desktop ois (plus probably the function following that one).
crashes in games like PokeMMO and (according to google) Slay the Spire (found this report when looking for the issue: https: steamcommunity.com app 646570 discussions 1751232561619087220 ), when tools like ckb-next (required for corsair input devices on linux) or xboxdrv are being used.
Error message getting in PokeMMO:
ERROR 2019-12-08 18-31-36 CET LWJGL Application f.Vv:? Fatal render error.</t>
  </si>
  <si>
    <t>AlphaWallet-alpha-wallet-android-1020</t>
  </si>
  <si>
    <t>Using wallet with imported private key crashes</t>
  </si>
  <si>
    <t>2019-12-07</t>
  </si>
  <si>
    <t>nextcloud-android-4955</t>
  </si>
  <si>
    <t>Nextcloud Dev settings crashed</t>
  </si>
  <si>
    <t>### Actual behaviour
when try to open the settings the app crash
### Expected behaviour
### Steps to reproduce
1. open the app
2. go into settings
### Environment data
Device model: Samsung j5 2016
Stock or customized system: LineageOS 16
Nextcloud server version:
#### Web server error log
************ CAUSE OF ERROR ************
Caused by: java.lang.Boolean cannot be cast to java.lang.String
... 11 more
************ APP INFORMATION ************
Build flavor: versionDev
************ DEVICE INFORMATION ************
************ FIRMWARE ************
#### Nextcloud log (data nextcloud.log)
Insert your Nextcloud log here</t>
  </si>
  <si>
    <t>2019-12-06</t>
  </si>
  <si>
    <t>nextcloud-android-4951</t>
  </si>
  <si>
    <t>Mobile app 3.9.0 crashed looking at file details</t>
  </si>
  <si>
    <t>### Actual behaviour
Android app crashed when chevking file details
### Expected behaviour
look at details
### Steps to reproduce
1. open app
2. check file details
### Environment data
see below for bug output copy pasted on mobile. contact me for more details
#### Web server error log
Insert your webserver log here
#### Nextcloud log (data nextcloud.log)
************ CAUSE OF ERROR ************
************ APP INFORMATION ************
Build flavor: gplay
************ DEVICE INFORMATION ************
************ FIRMWARE ************</t>
  </si>
  <si>
    <t>2019-12-05</t>
  </si>
  <si>
    <t>andOTP-andOTP-437</t>
  </si>
  <si>
    <t>After OS loss, can't enable keystore</t>
  </si>
  <si>
    <t>#### General information
**App version:** 0.6.3.1
**App source:** F-Droid
**Android Version:** 10 (Pixel 2)
**Custom ROM:** No
#### Expected result
**What is expected?**
Should be able to setdatabase encryption to Android KeyStore.
**What does happen instead?**
Encryption key not loaded
message, followed by
Failed to change database encryption,
falling back to original state!
not set up to capture logs with ADB.
#### Steps to reproduce
Android crashed and had to perform hard reset, so lost the DB on the device. do sync exports to desktop when adding new keys, so had JSON export to reload. However, for reason can recall (but *believe* was similar message), was unable to load the JSON into the keystore when recreated the DB, so used pin.
Now unable to change the DB type, which, of course is preventing me from using fingerprint login. not having this issue with any other app that uses the fingerprint auth mechanism, e.g. Keepass2Android however, none of those come from F-Droid.</t>
  </si>
  <si>
    <t>marksuth-indigenous-android-264</t>
  </si>
  <si>
    <t>Check crashes report</t>
  </si>
  <si>
    <t>There are some crashes in some places, let try and fix them, especially those with the highest impact
security exception getting all accounts
sqlite exception when saving style
couple of nullpointer exceptions in various places</t>
  </si>
  <si>
    <t>tinode-tindroid-67</t>
  </si>
  <si>
    <t>sometimes ,when i logined to the contacts,it crashed</t>
  </si>
  <si>
    <t>change this line in Tinode.java
private HashMap&lt;String, Topic&gt; mTopics
private Topic&gt; mTopics</t>
  </si>
  <si>
    <t>k9mail-k-9-4343</t>
  </si>
  <si>
    <t>A NullPointerException caused by intent handling</t>
  </si>
  <si>
    <t>noticed crash in logs in the latest released version 5.7.0.1.
### Exception trace:
FATAL EXCEPTION: main
Caused by: Attempt to invoke interface method java.util.Iterator on null object reference
### Test Case</t>
  </si>
  <si>
    <t>OpenArchive-Save-app-android-173</t>
  </si>
  <si>
    <t>App crashed when adding item to queue that was uploading</t>
  </si>
  <si>
    <t>1. Upload files to goodcloud folder
2. add files to upload in batch
3. one begins to upload
4. App crashes
Could not reproduce, will add if happens again</t>
  </si>
  <si>
    <t>nextcloud-android-4943</t>
  </si>
  <si>
    <t>App crash - Error inflating class android.webkit.WebView</t>
  </si>
  <si>
    <t>### Actual behaviour
Tell us what happens
### Expected behaviour
Tell us what should happen
### Steps to reproduce
### Environment data
Device model: Mate 31 PRO
Stock or customized system:
Nextcloud app version:
Nextcloud server version:
#### Web server error log
************ CAUSE OF ERROR ************
... 21 more
... 24 more
************ APP INFORMATION ************
Build flavor: gplay
************ DEVICE INFORMATION ************
************ FIRMWARE ************
#### Nextcloud log (data nextcloud.log)
Insert your Nextcloud log here</t>
  </si>
  <si>
    <t>2019-12-04</t>
  </si>
  <si>
    <t>nextcloud-android-4942</t>
  </si>
  <si>
    <t xml:space="preserve">NexCloud crashed. </t>
  </si>
  <si>
    <t>NextCloud app crashed and asked me to leave this here.
************ CAUSE OF ERROR ************
************ APP INFORMATION ************
Build flavor: gplay
************ DEVICE INFORMATION ************
************ FIRMWARE ************</t>
  </si>
  <si>
    <t>alipay-SoloPi-120</t>
  </si>
  <si>
    <t>[BUG]录制用例过程中点击“截图断言”或“根据截图点击”时crash</t>
  </si>
  <si>
    <t>**Describe the bug **
clear and concise description of what the bug is.
**To Reproduce **
Steps to reproduce the behavior:
1. pi solopi app crash
If possible, please use video to reproduce the behavior
**Error Stack **
If applicable, add screenshots to help explain your problem.
**Device Info ** Redmi 8A
Manufacturer e.g. Huawei Redmi
Device e.g. Huawei P30 Redmi 8A
OS e.g. Android 9.0 Android
CPU Structure CPU e.g. arm64 v8a ARMv7 Processor rev (v7l)
SoloPi Version SoloPi e.g. 0.9.2 0.9.2
**Additional context **
Add any other context about the problem here.</t>
  </si>
  <si>
    <t>ElderDrivers-EdXposed-402</t>
  </si>
  <si>
    <t>[BUG] modules.list 不存在</t>
  </si>
  <si>
    <t>** What happened?**
**Xposed Xposed Module List**
**Magisk Magisk Module List**
**EdXposed Riru Versions of EdXposed and Riru**
** Logcat Logcat**
log It can help us to locate issue, must use our logcat module
--------- beginning of crash</t>
  </si>
  <si>
    <t>k9mail-k-9-4341</t>
  </si>
  <si>
    <t>Changing theme crashes settings</t>
  </si>
  <si>
    <t>### Actual behavior
Changing the theme in settings makes the app crash. This was not an issue when implementing #4279. Caused by #4305?
K-9 Mail version: 5.701-SNAPSHOT
Android version: LineageOS 16.0
Please take some time to retrieve logs (https: github.com k9mail k-9 wiki LoggingErrors) and attach them here:</t>
  </si>
  <si>
    <t>android-tv-samples-13</t>
  </si>
  <si>
    <t>SettingsExampleFragment.PrefFragment must be a public static class to be  properly recreated from instance state</t>
  </si>
  <si>
    <t>was running the LeanbackShowcase app in an Android 10 (or Q) emulator.
Suddently when have clicked on the Settings item, the app just crashed with the following error:
Caused by: Fragment must be public static class to be properly recreated from instance state.</t>
  </si>
  <si>
    <t>2019-12-03</t>
  </si>
  <si>
    <t>nextcloud-android-4931</t>
  </si>
  <si>
    <t>Huawei p30 work profile - crash</t>
  </si>
  <si>
    <t>### Actual behaviour
Tell us what happens
have nextcloud app installed in my android work profile. launch the app and insert username and password. After looking for files in the Cloud, it crashes unexpectedly.
### Expected behaviour
Tell us what should happen
It should get my files in the Cloud.
### Steps to reproduce
1. Launch app
2. Get access by username and password
3. Wait for loading
### Environment data
Android version: pie
Device model: huawei p30
Stock or customized system:
Nextcloud app version: 3.9.0
Nextcloud server version:
#### Web server error log
Insert your webserver log here
#### Nextcloud log (data nextcloud.log)
Insert your Nextcloud log here</t>
  </si>
  <si>
    <t>0us-IE303911-Klubbhuset-168</t>
  </si>
  <si>
    <t>If the user doesn't choose an image when creating org, the app crashes</t>
  </si>
  <si>
    <t>0us-IE303911-Klubbhuset-167</t>
  </si>
  <si>
    <t>If user spams the upload image btn the app crashes</t>
  </si>
  <si>
    <t>tchapgouv-tchap-android-legacy-560</t>
  </si>
  <si>
    <t>App crashes during `computeDisplayNameFromUserId`</t>
  </si>
  <si>
    <t>TeamNewPipe-NewPipe-2838</t>
  </si>
  <si>
    <t>Bad behavior when downloading videos through native YouTube app share function</t>
  </si>
  <si>
    <t>carefully read the contribution guidelines (https: github.com TeamNewPipe NewPipe blob HEAD .github CONTRIBUTING.md) and agree to them.
checked if the issue feature exists in the latest version.
did use the incredible bugreport to markdown converter (https: to paste bug reports.
It isn crash.
will post video since think it is self explanatory, but ll summary the few issues.
After selecting video for download, NewPipe stays opened, frozen, with the youtube screen you had opened (00:23). You have to manually switch from NewPipe to YouTube again.
After downloading video, when choosing another one, it brings again the latest video you already downloaded instead the one you are fetching. (00:37). You have to repeat the steps in order to get the actual video you want to download.
Ironically when you cancel, the floating window disappears correctly (so NewPipe doesn stay open, frozen) and you can continue to browse YouTube.
This behavior wasn present in past versions. ve been using this feature for as long as can remember using the app.
using the latest stable version from Github.
Samsung Galaxy J7 2018 (j737a) with android 8.0</t>
  </si>
  <si>
    <t>CMU-CREATE-Lab-preK-emotions-app-96</t>
  </si>
  <si>
    <t>Periodic crashing</t>
  </si>
  <si>
    <t>2019-12-02</t>
  </si>
  <si>
    <t>nextcloud-android-4914</t>
  </si>
  <si>
    <t>Crash after synchronize folder</t>
  </si>
  <si>
    <t>3-4 .mp4 (each &lt;100kB) and 2-300 .jpg (each few kB) were in the folder. After sync comoleted, app crashed.
************ CAUSE OF ERROR ************
************ APP INFORMATION ************
Build flavor: generic
************ DEVICE INFORMATION ************
************ FIRMWARE ************</t>
  </si>
  <si>
    <t>nextcloud-android-4913</t>
  </si>
  <si>
    <t>NextCloud on Android - crash</t>
  </si>
  <si>
    <t>0us-IE303911-Klubbhuset-145</t>
  </si>
  <si>
    <t>Repair develop</t>
  </si>
  <si>
    <t>Proper response on create new user
App doesn crash if there are no organizations to load.
No longer squeezes the fields when keyboard pops up when creating new account</t>
  </si>
  <si>
    <t>CordelleNeufeld-FitBrosApp-85</t>
  </si>
  <si>
    <t>Fix calculate button to handle no data entry</t>
  </si>
  <si>
    <t>The app crashes if calculate button is clicked for BMI RFA calculators if no data is entered by the user.</t>
  </si>
  <si>
    <t>2019-12-01</t>
  </si>
  <si>
    <t>nextcloud-android-4905</t>
  </si>
  <si>
    <t>Illegal argument exception: ActivityRecord not found</t>
  </si>
  <si>
    <t>### Actual behaviour
photo upload with large backlog 3000 photos) on slow network keeps crashing.
It starts syncing some files, but every so often crashes.
### Expected behaviour
no exception raised
### Steps to reproduce
### Environment data
9, kernel 3.18.120
Stock or customized system:
Nextcloud app version:
Nextcloud server version:
#### Web server error log
Insert your webserver log here
#### Nextcloud log (data nextcloud.log)
************ CAUSE OF ERROR ************
************ APP INFORMATION ************
Build flavor: gplay
************ DEVICE INFORMATION ************
************ FIRMWARE ************</t>
  </si>
  <si>
    <t>2019-11-30</t>
  </si>
  <si>
    <t>wiglenet-wigle-wifi-wardriving-383</t>
  </si>
  <si>
    <t>[ENH] removing compromised lib that we suspected of being a crash source</t>
  </si>
  <si>
    <t>uses replacement animated &lt;vector&gt; item in place of the old GIF resource.
Animation is different from the original because android animation of clipping paths doesn appear compatible with our original design.
This will require EXTENSIVE version testing to make sure it plays nice with everything.</t>
  </si>
  <si>
    <t>2019-11-29</t>
  </si>
  <si>
    <t>commons-app-apps-android-commons-3244</t>
  </si>
  <si>
    <t>All uploads crash in prodRelease, 2.11.0~1c470241e</t>
  </si>
  <si>
    <t>When testing prodRelease on current master, all uploads crash as soon as select the photo to upload
**Steps to reproduce:**
Clean install app on prodRelease build, select picture to upload
USER COMMENT upload from Nearby
APP VERSION CODE 475
APP VERSION NAME 2.11.0
PHONE MODEL SM-G960F
... 11 more
IS SILENT false</t>
  </si>
  <si>
    <t>react-native-camera-react-native-camera-2612</t>
  </si>
  <si>
    <t>Hardware issue from customer</t>
  </si>
  <si>
    <t>**To Do First**
**Ask your Question**
Hi using RNCamera in my product but getting hardware errors from my customers in Sentry like this
Camera2.java line 970
My question is: Can RNCamera is cause this issue?
not every customer has this issue only this devices crashes:
Galaxy Tab 10.1</t>
  </si>
  <si>
    <t>aws-amplify-aws-sdk-android-1336</t>
  </si>
  <si>
    <t>Using v2.16.4 causes FileInputStream crash on Android 5.1</t>
  </si>
  <si>
    <t>**Describe the bug**
was using v2.16.0 on Android 5.1 and it worked fine.
Today tried to update it to v2.16.4 and got an issue with reading files in my app:
FATAL EXCEPTION: main
Named(OPTIONS PATH) optionsPath: String,
val file File(optionsPath)
val str 8)
It seems that throws an exception.
To be honest don know how to explain that, yet. This file is not read by AWS SDK, reading file in my own code, but still, got this issue only when update AWS IOT SDK to v2.16.4. tested also v2.16.2, v2.16.3. Same problem.
(Tested as well v2.16.1, but using this one facing the issue reported in #1259 #1275)
**Which AWS service(s) are affected?**
**Environment Information (please complete the following information):**
AWS Android SDK Version: 2.16.2, 2.16.3, 2.16.4
Device: Custom device
Android Version: 5.1 (API 21)
Specific to simulators: No</t>
  </si>
  <si>
    <t>commons-app-apps-android-commons-3237</t>
  </si>
  <si>
    <t>App crashes if user taps my location button while the map is loading.</t>
  </si>
  <si>
    <t>Tap my location button while map loading, the app crashes. Reported by nicolas-raoul
**Steps to reproduce:**
Tap my location button while map loading
USER COMMENT tap my location button while map loading
APP VERSION CODE 500
APP VERSION NAME 2.11.0.500
PHONE MODEL SM-G970F
IS SILENT false
**Device and Android version:**
PHONE MODEL SM-G970F
**Commons app version:**
APP VERSION NAME 2.11.0.500
**Would you like to work on the issue?**</t>
  </si>
  <si>
    <t>eclipse-deeplearning4j-examples-927</t>
  </si>
  <si>
    <t>Error running HouseNumberDetection example</t>
  </si>
  <si>
    <t>try to run the example after successful compilation, but when run the example using the runexamples.sh script and selecting the number, 96, get this message:
o.d.z.ZooModel Using cached model at Users aironman .deeplearning4j models tinyyolo tiny-yolo-voc dl4j inference.v2.zip
o.d.z.ZooModel Verifying download...
o.d.z.ZooModel Checksum local is 1256226465, expecting 1256226465
o.n.l.f.Nd4jBackend Loaded CpuBackend backend
fatal error has been detected by the Java Runtime Environment:
SIGSEGV (0xb) at pc 0x00007fff67cf30b4, pid 12394, tid 0x0000000000000e03
JRE version: OpenJDK Runtime Environment (8.0 222-b10) (build 1.8.0 222-b10)
Java VM: OpenJDK 64-Bit Server VM (25.222-b10 mixed mode bsd-amd64 compressed oops)
cxxabiv1:: si class type info::has unambiguous public base( cxxabiv1:: dynamic cast info*, void*, int) const+0x4
Failed to write core dump. Core dumps have been disabled. To enable core dumping, try ulimit -c unlimited before starting Java again
An error report file with more information is saved as:
Users aironman gitProjects hs err pid12394.log
If you would like to submit bug report, please visit:
The crash happened outside the Java Virtual Machine in native code.
See problematic frame for where to report the bug.
My environment is osx, 10.15.1 (19B88), 2.4 GHz 8-core Intel Core i9, 32 GB 2400 MHz DDR4
Please describe your issue, along with:
Deeplearning4j version 1.0.0-beta5
platform information (OS, etc) My environment is osx, 10.15.1 (19B88), 2.4 GHz 8-core Intel Core i9, 32 GB 2400 MHz DDR4</t>
  </si>
  <si>
    <t>2019-11-28</t>
  </si>
  <si>
    <t>commons-app-apps-android-commons-3228</t>
  </si>
  <si>
    <t>App crashes at start on current master, beta debug</t>
  </si>
  <si>
    <t>fetched upstream and app does not start anymore. After being logged in it crashes.
**Steps to reproduce:**
Start the app with current master
Caused by: baseUrl must end in https: www. wikidata.org
**Device and Android version:**
API 21 Emulator
**Commons app version:**</t>
  </si>
  <si>
    <t>k9mail-k-9-4301</t>
  </si>
  <si>
    <t>Unified folders crash K9</t>
  </si>
  <si>
    <t>### Expected behavior
Opening the Spam any folder in the unified account shows the (spam) folder merged for all accounts in one place.
### Actual behavior
Clicking on Spam or any other folder crashes the app, when the unified account is selected.
### Steps to reproduce
1. Switch to the unified account
2. Open the drawer
3. Click on Spam or any other folder
K-9 Mail version:
It is also very inconsistent if the unified folders are shown in the drawer or not.</t>
  </si>
  <si>
    <t>0us-IE303911-Klubbhuset-115</t>
  </si>
  <si>
    <t>App: Repair QR-Scanner + styling</t>
  </si>
  <si>
    <t>The QR scanner is not working as it should, when member gets retrieved from server, the app never tries to retrieve another one.
The QR scanner needs some better styling.
The QR Scanner crashes when scanning qr code without token</t>
  </si>
  <si>
    <t>2019-11-27</t>
  </si>
  <si>
    <t>MozillaReality-FirefoxReality-2383</t>
  </si>
  <si>
    <t>IllegalStateException when capturing snapshot</t>
  </si>
  <si>
    <t>This is one of the top crashers in v7 crash stats</t>
  </si>
  <si>
    <t>fieldsight-fieldsight-mobile-495</t>
  </si>
  <si>
    <t>Stops instance-sync-task (#494)</t>
  </si>
  <si>
    <t>Thank you for contributing to FieldSight!
#### What has been done to verify that this works as intended?
Opened Edit and upload screens and it did not crash
#### Why is this the best possible solution? Were any other approaches considered?
We do not use InstanceSyncTask but we would like to extened ODKs screens for upload and edit.
So, just exited (Killed) that task.
We could make changes in how InstanceSyncTask work, so that it does not crash or We could remove all the places that InstanceSyncTask is being called but this would require large amount of unneeded changes.
#### How does this change affect users? Describe intentional changes to behavior and behavior that could have accidentally been affected by code changes. In other words, what are the regression risks?
#### Do we need any specific form for testing your changes? If so, please attach one.
Yes, Instructions are on #494
#### Before submitting this PR, please make sure you have:
run gradlew checkAll and confirmed all checks still pass OR confirm CircleCI build passes and run gradlew locally.</t>
  </si>
  <si>
    <t>CMPUT301F19T19-legendary-fiesta-84</t>
  </si>
  <si>
    <t>Bug: Friend delete button crash.</t>
  </si>
  <si>
    <t>inaturalist-react-native-inat-camera-30</t>
  </si>
  <si>
    <t>Crash in INatCameraView.onLayout</t>
  </si>
  <si>
    <t>There crash that has affected 270 users to date (mostly on Samsung Galaxy devices). The crash log says this is happening in the method.
Here the Logcat file (https: github.com inaturalist files 3894808 logcat.9.txt) for this crash.
And also, here are few additional descriptions of the crash from Google Play:
FATAL EXCEPTION: main</t>
  </si>
  <si>
    <t>smartdevicelink-sdl_java_suite-1237</t>
  </si>
  <si>
    <t>Potential NPE in TextAndGraphicManager</t>
  </si>
  <si>
    <t>### Bug Report
could crash with NPE if the HU sends display capability with no text fields. The manager should handle that correctly because textFields is an optional field in the new WindowCapability
##### Reproduction Steps
1- Update the display capability in HMI and remove all textFields
2- Use the screenManager to set the text fields
##### Expected Behavior
App should not set the text fields but shouldn crash
##### Observed Behavior
App crashes with an NPE exception
##### OS Version Information
Android Version: 10.0
SDL Android Version: 4.10.1
Testing Against: Core Generic HMI develop branches</t>
  </si>
  <si>
    <t>2019-11-26</t>
  </si>
  <si>
    <t>opensrp-opensrp-client-giz-malawi-153</t>
  </si>
  <si>
    <t>App crash when click back from Settings</t>
  </si>
  <si>
    <t>App crashes or closes when you click back from Settings after opening from the All Clients Register</t>
  </si>
  <si>
    <t>nextcloud-android-4888</t>
  </si>
  <si>
    <t>Nextcloud crashes randomly on Android 10</t>
  </si>
  <si>
    <t>### Actual behaviour
The app crashes randomly, and also when unlocking an account using 2FA notification method
### Expected behaviour
Well, just normally work
### Steps to reproduce
1. Log-in from another device
2. Select notification 2FA methods
3. And you get an android pop-up warning you that nextcloud crashes.
### Environment data
************ APP INFORMATION ************
Build flavor: gplay
************ DEVICE INFORMATION ************
************ FIRMWARE ************
Nextcloud server version: 17.0.0.1
#### Nextcloud log (data nextcloud.log)</t>
  </si>
  <si>
    <t>2019-11-25</t>
  </si>
  <si>
    <t>deltachat-deltachat-android-1128</t>
  </si>
  <si>
    <t>qr code scanning crashes on 64bit</t>
  </si>
  <si>
    <t>probably an issue somewhere in the wrapper.</t>
  </si>
  <si>
    <t>TrackerControl-tracker-control-android-10</t>
  </si>
  <si>
    <t>java.lang.RuntimeException: InputChannel is not initialized.</t>
  </si>
  <si>
    <t>There seem to be weird error within the leading, sometimes leading to the following crashing with the error message in 1.0.0-alpha7
This issue is known by Google, but has no fix, see here (https: issues 37018931). Device restart might help (https: stackoverflow.com questions 34039657</t>
  </si>
  <si>
    <t>osmdroid-osmdroid-1441</t>
  </si>
  <si>
    <t>weather demo app crash</t>
  </si>
  <si>
    <t>2019-11-24</t>
  </si>
  <si>
    <t>artyomd-Injector-107</t>
  </si>
  <si>
    <t>Not working android version 19</t>
  </si>
  <si>
    <t>Good bug reports include failing test! Creating minimal project for reproducing the issue will help us to fix it fast.
Android kitkat crash when load from dex. Show class not found exception. Other android 19 is working fine. Can you please solved this problem.Thanks for awesome library</t>
  </si>
  <si>
    <t>segler-alex-RadioDroid-619</t>
  </si>
  <si>
    <t>crash on android 9</t>
  </si>
  <si>
    <t>did not then call ServiceRecord</t>
  </si>
  <si>
    <t>commons-app-apps-android-commons-3217</t>
  </si>
  <si>
    <t>NullPointerException at ContributionsFragment.onAuthCookieAcquire when starting the app after a few hours</t>
  </si>
  <si>
    <t>have noticed this kind of crashes recently:
1) Use the app
2) Do other things
3) The next day, tap the Commons icon to launch it
4) Immediate crash
APP VERSION CODE 494
APP VERSION NAME 2.11.0.494
PHONE MODEL SM-G970F</t>
  </si>
  <si>
    <t>nextcloud-android-4877</t>
  </si>
  <si>
    <t>Crash application</t>
  </si>
  <si>
    <t>### Actual behaviour
The application crashed while running in background.
### Expected behaviour
It should not have any issues with connection to Firebase (due to log data) and should work as usual
### Steps to reproduce
don know exact reason of this crash, but it probably was
0. Install Android app, just use it, nothing special
1. Install Ubuntu desktop client, log in onto it, synchronize your files
2. Unlock your phone (the app just ran in background, it was NOT opened)
3. See this error
************ CAUSE OF ERROR ************
************ APP INFORMATION ************
Build flavor: gplay
************ DEVICE INFORMATION ************
************ FIRMWARE ************
#### Nextcloud log (data nextcloud.log)</t>
  </si>
  <si>
    <t>2019-11-22</t>
  </si>
  <si>
    <t>Lindronics-flir_app-2</t>
  </si>
  <si>
    <t>Crash in Android emulator</t>
  </si>
  <si>
    <t>The application crashes upon startup in the Android emulator.
USB debugging seems fine.</t>
  </si>
  <si>
    <t>react-native-svg-react-native-svg-1201</t>
  </si>
  <si>
    <t>iOS crashes when offset is set to a large number</t>
  </si>
  <si>
    <t>ve experienced this by accidentally setting the value of the offset property to 750% and the iOS app would just crash.
&lt;LinearGradient id gradient2
&lt;Stop offset 50% stopColor stepThree
&lt;Stop offset 750% stopColor stepFour
While the value in question is something that would probably never be used for the offset still believe that it should not hard crash the app.
ve used the LinearGradient in combination with Circle
strokeDasharray 45 200
transform rotation: 63</t>
  </si>
  <si>
    <t>nextcloud-android-4875</t>
  </si>
  <si>
    <t>Player service: illegal state exception</t>
  </si>
  <si>
    <t>ezaquarii found this in gplay crash reports, which are automatically created.
Unfortunately there is no further info.
Can you have look into this? If you cannot find cause, then just close it :-)
It only happened to users right now, so it should be no big issue.</t>
  </si>
  <si>
    <t>nextcloud-android-4874</t>
  </si>
  <si>
    <t>Fresh installation: share file to app</t>
  </si>
  <si>
    <t>### Actual behaviour
crash, but without shown to user
### Expected behaviour
### Steps to reproduce
1. fresh installation
2. share file to nc app
This leads to crash reports on google dev console.
My first idea is to check if we have an account and only then throw the error, otherwise just return with toast(?)?</t>
  </si>
  <si>
    <t>opensrp-opensrp-client-reveal-579</t>
  </si>
  <si>
    <t>Random App Crashing on Thailand v2.6.2</t>
  </si>
  <si>
    <t>The tablet crashes at random times when leave the tablet sitting idle for some time.
APK version: 2.6.2 (filename:
There sync intent service being called from the togo library that causing the crash. Below is the logcat:</t>
  </si>
  <si>
    <t>2019-11-21</t>
  </si>
  <si>
    <t>ethand91-mediasoup-android-sample-3</t>
  </si>
  <si>
    <t xml:space="preserve">Application crash after sometime,  when more then 3-4 users are joined a room. </t>
  </si>
  <si>
    <t>Application crash after joining in room by more then 3-4 users.</t>
  </si>
  <si>
    <t>dariuszseweryn-RxAndroidBle-648</t>
  </si>
  <si>
    <t>crash in stopLeScan because "BT Adapter is not turned ON"</t>
  </si>
  <si>
    <t>With RxAndroidBle v1.10.4 any advice on how to deal with this crash?</t>
  </si>
  <si>
    <t>htl-anichstrasse-htl-catcher-9</t>
  </si>
  <si>
    <t>Game sometimes crashes on "New Game"</t>
  </si>
  <si>
    <t>When in game over activity, the game sometimes crashes seemingly without any reason. Try to reproduce the issue and check the logs.</t>
  </si>
  <si>
    <t>2019-11-20</t>
  </si>
  <si>
    <t>google-ExoPlayer-6674</t>
  </si>
  <si>
    <t>NPE in MediaCodecAudioRenderer</t>
  </si>
  <si>
    <t>### REQUIRED Issue description
seeing small amount of in crashlytics related to ExoPlayer.
### REQUIRED Reproduction steps
it reported automatically, do not own stream source or device to reproduce
### REQUIRED Link to test content
it reported automatically, do not own stream source or device to reproduce
### REQUIRED full bug report captured from the device
Here is exoplayer log with partially deobfuscated callstack.
Checking the source code, there are multiple code paths where can be called with null from
Caused by: Attempt to invoke virtual method int on null object reference
### REQUIRED Version of ExoPlayer being used
### REQUIRED Device(s) and version(s) of Android being used
OS Level 28</t>
  </si>
  <si>
    <t>kongzue-Dialog-77</t>
  </si>
  <si>
    <t xml:space="preserve">[BUG]crash </t>
  </si>
  <si>
    <t>dont support Activity? only .AppCompatActivity?</t>
  </si>
  <si>
    <t>opensrp-opensrp-client-chw-1019</t>
  </si>
  <si>
    <t>Fix App crash when you use search on top of due only filter - Test Me ChaFam Family</t>
  </si>
  <si>
    <t>Stage server moa login, V1.0.10, built on Nov 14th
Family register list page, tap the due only filter
With filter still on, search for Test Me in the search bar
The app crashes</t>
  </si>
  <si>
    <t>2019-11-19</t>
  </si>
  <si>
    <t>opensrp-opensrp-client-chw-anc-369</t>
  </si>
  <si>
    <t>Fix app crashing in ANC register when you tap on newly registered ANC woman</t>
  </si>
  <si>
    <t>Stage server moa login, V1.0.10, built on Nov 14th
registered new ANC woman Dora Marie Smith as ANC. completed an ANC home visit, and now the app crashes every time tap on her record in the ANC register list.
don remember any remarkable action steps that led to this, as was demoing the app and not specifically testing anything, but can hand over the device to see what the crash logs are saying.</t>
  </si>
  <si>
    <t>geopaparazzi-geopaparazzi-641</t>
  </si>
  <si>
    <t>From ACRA - LayerManager.setEnabled</t>
  </si>
  <si>
    <t>Was fiddling with layers. Had just re-added an OSM layer and was turning another off. think. Not entirely sure.
LOGCAT --------- beginning of main
--------- beginning of crash
APP VERSION CODE 96
PHONE MODEL Pixel 3a XL
APP VERSION NAME 6.0.0
ANDROID VERSION 10</t>
  </si>
  <si>
    <t>triniwiz-nativescript-image-cache-it-62</t>
  </si>
  <si>
    <t>Handler broken image error</t>
  </si>
  <si>
    <t>My app works fine using this plug-in but if the image is corrupted over http the app crashes. Is there way to handler broken image, 0k size, wrong extension and so on errors?
See below stacktrace on Android..
An uncaught Exception occurred on pool-9-thread-1 thread.</t>
  </si>
  <si>
    <t>2019-11-18</t>
  </si>
  <si>
    <t>nextcloud-android-4842</t>
  </si>
  <si>
    <t>Crash in image viewer</t>
  </si>
  <si>
    <t>1. Download an image
2. Open the downloaded image by clicking it
3. Tap anywhere in the image area to hide nav bar
4. Wait 1s to not trigger double tap to zoom
5. Tap again to reshow nav bar -&gt; crash
************ CAUSE OF ERROR ************
... 17 more
************ APP INFORMATION ************
Build flavor: gplay
************ FIRMWARE ************</t>
  </si>
  <si>
    <t>Intelehealth-Android-Mobile-Client-776</t>
  </si>
  <si>
    <t>App crashes while creating patient in Odiya in identification screen</t>
  </si>
  <si>
    <t>App is crashing when patient changes the language to Odiya and selects date of birth in patient identification screen while creating patient.</t>
  </si>
  <si>
    <t>ionic-team-capacitor-2186</t>
  </si>
  <si>
    <t>bug: App crashes while geolocation is disabled and user grants permission</t>
  </si>
  <si>
    <t>## Capacitor Version
npx cap doctor output:
capacitor cli 1.3.0
capacitor core 1.3.0
capacitor ios 1.3.0
capacitor android 1.3.0
success Android looking great!
## Affected Platform(s)
## Current Behavior
When device the GPS service is turned off
And perrmissions are granted
Then the application crashes
## Expected Behavior
The application does not crash
## Reproduction Steps
Call watchPosition or getCurrentPosition from the Geolocation plugin while the GPS service is turned off. After the user grants permission in the permission popup, the app will crash.
## Other Information
Caused by: invalid provider: null</t>
  </si>
  <si>
    <t>2019-11-17</t>
  </si>
  <si>
    <t>square-okhttp-5605</t>
  </si>
  <si>
    <t>Fatal Exception: java.util.NoSuchElementException</t>
  </si>
  <si>
    <t>Hey, some of users getting this weird crash.
The crash stack trace from crashlytics:
OkHttp version: 3.14.1
using the following dependencies:
Base requestsClient code:
private long DEFUALT CALL TIMEOUT 15
private long DEFUALT CONNECT TIMEOUT
CONNECT TIMEOUT, TimeUnit.SECONDS)
retrofit new Retrofit.Builder()</t>
  </si>
  <si>
    <t>nextcloud-android-4838</t>
  </si>
  <si>
    <t>Background app crash</t>
  </si>
  <si>
    <t>### Actual behaviour
When closing the background apps, Nextcloud reported crash.
### Expected behaviour
### Steps to reproduce
1. Open Nextcloud Dev (fdroid, v20191108)
2. Set folder to sync.
3. Close app.
4. Use other apps.
5. Close allbackground apps.
### Pasted crashdump provided by my device
************ CAUSE OF ERROR ************
************ APP INFORMATION ************
Build flavor: versionDev
************ DEVICE INFORMATION ************
************ FIRMWARE ************</t>
  </si>
  <si>
    <t>nextcloud-android-4836</t>
  </si>
  <si>
    <t>App v3.9.0 crashes when trying to view "Details" of *.md files</t>
  </si>
  <si>
    <t>### Actual behaviour
App crashes when trying to view Details of *.md files.
### Expected behaviour
new view with the well-known details should be shown.
### Steps to reproduce
1. Open Android App version 3.9.0
2. Go into the Notes folder
3. Tap on *.md file so that it gets displayed
4. Tap on the 3-dot-kontext-menu in the upper right corner and choose Details
### Environment data
Android version: 6.0.1
Device model: Motorola G3
Stock or customized system: stock
Nextcloud app version: 3.9.0
Nextcloud server version: 16.0.4.1 (owncube.com)
#### Web server error log
Insert your webserver log here
#### Nextcloud log (data nextcloud.log)
************ CAUSE OF ERROR ************
on null object reference at</t>
  </si>
  <si>
    <t>compumovil1930-Ratatouille-69</t>
  </si>
  <si>
    <t>When submit form with empty fields the app crashes.</t>
  </si>
  <si>
    <t>2019-11-16</t>
  </si>
  <si>
    <t>square-react-native-square-reader-sdk-101</t>
  </si>
  <si>
    <t>SOLVED: authorizeAsync(authCode) crashes iPad, but not simulator.</t>
  </si>
  <si>
    <t>When run the authorizeAsync method on an iPad, the app crashes and cannot restart. The code runs, as am able to log the value after the await, however the app crashes (stops and force exits) right after. To run again, it needs to be reinstalled (deleted and rebuilt in xcode). The app only crashes with valid authcode. Invalid codes return proper error messages and the app continues running fine.
It works as expected in the simulator however.
Device permissions are working fine and handled in previous screens.
### To Reproduce
1. Connect iPad device to Xcode and build app to that device
Here the piece of code that reproduce the issue.
import authorizeAsync from
authorizeReader async (authCode)
using generated mobile auth code for quick start
const authorizedLocation await
### Expected behavior
Authorization method resolves and the app continues running.
**Environment (please complete the following information):**
OS and version: target iOS 11.1+
dev environment: MacOS 10.15
Reader SDK version: 1.3.0
React Native Environment Info:
iPad Pro (9.7-inch)
added an exception breakpoint, and then called bt after the (lldb) in the console and this is what got:
frame #0: 0x000000018285a930 libsystem kernel.dylib abort with payload</t>
  </si>
  <si>
    <t>fossasia-pslab-android-2008</t>
  </si>
  <si>
    <t>App crash on Creating Config File</t>
  </si>
  <si>
    <t>When we try to Create Config File the app crashes.
Config File should be created
**Steps to reproduce it**
1.Open Generate Config File from Navigation Drawer
2.Give some value to time interval
3.Click on Create Config File
**LogCat for the issue**
**Would you like to work on the issue?**
Yes, but please guide me for the actual behaviour for this</t>
  </si>
  <si>
    <t>material-components-material-components-android-765</t>
  </si>
  <si>
    <t>[MaterialCheckBox] Crash with .Bridge theme and checkBoxStyle</t>
  </si>
  <si>
    <t>layout features MaterialCheckBox
.Bridge theme is used
checkBoxStyle is set and inherits from
**Expected behavior:** App doesn crash
**Android API version:** 29
**Material Library version:** 1.1.0-beta01
Caused by: Failed to resolve attribute at index 36: TypedValue 0x2 0x7f030263
... 101 more</t>
  </si>
  <si>
    <t>2019-11-15</t>
  </si>
  <si>
    <t>react-native-camera-react-native-camera-2587</t>
  </si>
  <si>
    <t>[Android] RNCamera crashes/freezes occasionally</t>
  </si>
  <si>
    <t>**To Do First**
Did you try latest release?
Did you try master?
Did you look for existing matching issues?
&lt;!--Comment in the related ones--&gt;
&lt;!--Please add the used versions branches or leave blank and comment in the optionals if used--&gt;
**Description Current Behaviour**
have an app that uses (picture shown below). One of the tab displays RNCamera and used as barcode scanner. The problem running into is the tab with RNCamera will occasionally freezes crashes the app completely.
ran adb logcat to see what going on but not very efficient with Android native to tell so going to post here.
When the RNCamera is working, here what shown in the adb logcat
and here the screen of simulator:
When the RNCamera isn working:
and here the screen:
noticed the difference between two logcat is Camera3-Device related logs are nowhere to be found in the logcat when RNCamera is not working
1. The screen (1) that contains the RNCamera is StackNavigator.
2. Upon mount, (1) will check for CAMERA permission and request CAMERA permission if appropriate.
&lt;Scanner is regular component (not React Navigation Component) that houses the RNCamera tried leaving just the RNCamera there without any parent or child, the issue is still happening.
This is the Navigation Screen that houses the Scanner (which in turns render RNCamera ).
Should not crash freeze
**Steps to Reproduce**</t>
  </si>
  <si>
    <t>2019-11-14</t>
  </si>
  <si>
    <t>classapp-react-native-video-helper-16</t>
  </si>
  <si>
    <t>Without rotated property crash on compress.</t>
  </si>
  <si>
    <t>Try compress video recorded in some devices who don save in metadata rotated property. When try compress app crash.</t>
  </si>
  <si>
    <t>commons-app-apps-android-commons-3203</t>
  </si>
  <si>
    <t>Review: App crash when rotating the Peer Review screen</t>
  </si>
  <si>
    <t>Summarize your issue in one sentence (what goes wrong, what did you expect to happen)
App is getting crash when rotate the screen for Is this correctly categorized? title.
**Steps to reproduce:**
How can we reproduce the issue?
What did you expect the app to do, and what did you see instead?
Steps to reproduce
1. Go to the Navigation Drawer and click on Review
2. Click seems fine times for the image.
3. Now Is this correctly categorized? title will come.
4. Rotate the screen, app will crash.
**Device and Android version:**
SONY XPERIA Android version
**Commons app version:**
**Would you like to work on the issue?**</t>
  </si>
  <si>
    <t>2019-11-13</t>
  </si>
  <si>
    <t>renyuneyun-Easer-290</t>
  </si>
  <si>
    <t>**Describe the bug**
Easer crashes when save new script.
Steps to reproduce the behavior:
1. Install Easer 0.7.9beta from F-Droid
2. Start Easer
3. Turn on External logging (Grant access...)
4. Stop Easer
5. Start Easer
6. Create Event: Timer: Longer Time Inexact Minutes One Time
7. Create Profile: WiFi On
8. Create Script: Profile as above, Event as above Repeatable Volatile
9. Save Crash
Well, it should not crash.
**Extra phone info (please complete the following information):**
ROM: Android 8.1.0, security patch level 5.9.2019</t>
  </si>
  <si>
    <t>CMPUT301F19T09-vibes-102</t>
  </si>
  <si>
    <t>Database initialization for unit/intent testing</t>
  </si>
  <si>
    <t>Database is not initialized correctly for testing. Thus when test gets to the point where it tries to work with the user class (which will inevitably make call to the database) the test crashes.
Below is an example stack trace:
... 56 more</t>
  </si>
  <si>
    <t>2019-11-12</t>
  </si>
  <si>
    <t>OpenArchive-Save-app-android-157</t>
  </si>
  <si>
    <t>App crashes when adding an image to folder when only connected to WebDav</t>
  </si>
  <si>
    <t>1. selected photo to add to project that was already set up
2. clicked Add(1) in lower right
3. App Crashed
4. Reopened app and selected photo was in queue for upload and uploaded successfully
Happened after fresh reinstall after one other photo uploaded successfully</t>
  </si>
  <si>
    <t>OpenArchive-Save-app-android-153</t>
  </si>
  <si>
    <t>App crashes when proofmode enabled</t>
  </si>
  <si>
    <t>1. enabled proofmode in app settings data usage
2. went to active project
3. selected photo
4. hit add(1) in lower right
5. app crashed
6. reopened app
7. deselected proofmode
8. went to active project
9. selected photo
10. hit add(1) in lower right
11. app crashed
12. had to reinstall app</t>
  </si>
  <si>
    <t>k9mail-k-9-4248</t>
  </si>
  <si>
    <t>master branch crashes on start when trying to add an IMAP account</t>
  </si>
  <si>
    <t>### Expected behavior
k9 should allow to create an IMAP account without crashing
### Actual behavior
After entering the details for the incoming server, the screen for outgoing server settings appears shortly, but then k9 crashes with following errors:
### Steps to reproduce
1. Clone git repository, open the project in Android studio, Build, start debug, wait for the start screen welcome to K-9 Mail) to appear
2. Click on Next then the screen Set up new account shows up
3. enter email address and Password
4. Click on MANUAL SETUP then Account type shows up
5. click on IMAP then Incoming server settings shows up
6. Enter your server details
7. Click on NEXT then screen appears with checking incoming server settings...
8. When the outgoing server settings screen appears, the app crashes
K-9 Mail version: 5.700-SNAPSHOT, master on 2019-11-12
Android version: 7.1.2
Account type (IMAP, POP3, WebDAV Exchange): IMAP</t>
  </si>
  <si>
    <t>nextcloud-android-4818</t>
  </si>
  <si>
    <t>App crashes when resizing image</t>
  </si>
  <si>
    <t>### Actual behaviour
App just crashed when resizing image
### Expected behaviour
expected image resized, as suggested by app message
### Steps to reproduce
1. Open an image in mobile app (Android)
2. When appears message suggesting resize the image to view better, the app just crashes
### Environment data
Stock or customized system:
Nextcloud app version:
Nextcloud server version:
#### Web server error log
Insert your webserver log here
#### Nextcloud log (data nextcloud.log)
************ CAUSE OF ERROR ************
************ APP INFORMATION ************
Build flavor: gplay
************ DEVICE INFORMATION ************
************ FIRMWARE ************</t>
  </si>
  <si>
    <t>2019-11-11</t>
  </si>
  <si>
    <t>CordelleNeufeld-FitBrosApp-28</t>
  </si>
  <si>
    <t>Fix BMI calculator button crashing app</t>
  </si>
  <si>
    <t>If the input fields are left empty on the BMI calculator, the calculate button will crash the app.</t>
  </si>
  <si>
    <t>applivery-applivery-android-sdk-50</t>
  </si>
  <si>
    <t xml:space="preserve"> Showing Dialog with Title Applivery Exception </t>
  </si>
  <si>
    <t>We suspects It opens dialogue everytime there is an exception. We are monitoring the crashes and we dont want the appliverly dialogue to come everytime there is no internet or an unhandled exception</t>
  </si>
  <si>
    <t>nextcloud-android-4816</t>
  </si>
  <si>
    <t>nextcloud Android app crashing when sync a big folder (10Gb)</t>
  </si>
  <si>
    <t>### Actual behaviour
sync of big folder. Freese several tomes then crash
### Expected behaviour
### Steps to reproduce
### Environment data
Stock or customized system:
Nextcloud app version:
Nextcloud server version:
#### Web server error log
Insert your webserver log here
#### Nextcloud log (data nextcloud.log)
Insert your Nextcloud log here</t>
  </si>
  <si>
    <t>GoogleChrome-android-browser-helper-38</t>
  </si>
  <si>
    <t>NullPointerException - CustomTabsSession is required for launching a TWA</t>
  </si>
  <si>
    <t>We recently launched our TWA application and saw few of these crashes come in. We are using **0.1.0-alpha1**. have not experienced this issue myself so have no way of reproducing it.</t>
  </si>
  <si>
    <t>nextcloud-android-4812</t>
  </si>
  <si>
    <t>Selecting SSO login account crashes</t>
  </si>
  <si>
    <t>### Actual behaviour
tap the account name for sso login
### Expected behaviour
### Steps to reproduce
See details below.
TLDR this is an older samsung device but with current playstore nextcloud and DAVx5 The bug is minor since can use the other auth method but still, as this paid app expect this to be caught and message to be displayed at least :-)
************ CAUSE OF ERROR ************
************ APP INFORMATION ************
Build flavor: gplay
************ DEVICE INFORMATION ************
************ FIRMWARE ************</t>
  </si>
  <si>
    <t>2019-11-09</t>
  </si>
  <si>
    <t>nextcloud-android-4811</t>
  </si>
  <si>
    <t>mobile client keeps crashing once a day</t>
  </si>
  <si>
    <t>The client does work but get crash report
### Actual behaviour
crash of client about once day
### Expected behaviour
### Steps to reproduce
1. Just have the client open
2. Do have gpslogger installed
3. And talk and passwords
### Environment data
Android version: latest
Device model: samsung s9
Stock or customized system: stock
Nextcloud app version: latest
Nextcloud server version: 17.1
************ CAUSE OF ERROR ************
************ APP INFORMATION ************
Build flavor: gplay
************ DEVICE INFORMATION ************
************ FIRMWARE ************
#### Web server error log</t>
  </si>
  <si>
    <t>galbertsson-EdgeLight-6</t>
  </si>
  <si>
    <t>Null pointer expection, getAppSetting</t>
  </si>
  <si>
    <t>ACRA reports crash</t>
  </si>
  <si>
    <t>2019-11-08</t>
  </si>
  <si>
    <t>react-native-share-react-native-share-627</t>
  </si>
  <si>
    <t>Illegal callback invocation from native module. This callback type only permits a single invocation from native code.</t>
  </si>
  <si>
    <t>That is different from #583
### Steps to reproduce
1. Open share dialog
2. Choose an app and cancel
3. While the dialog is still open, choose another app
### Expected behaviour
Choose another app and successfully share
### Actual behaviour
Trying to share through different app crashes if you previously cancelled
**React Native version**: 0.59.10
**React Native platform platform version**: iOS 13.1.3.
Does not reproduce on Android, since Android closes share dialog once you choose the app
### Link to repo (highly encouraged)</t>
  </si>
  <si>
    <t>zhanghai-AndroidFastScroll-4</t>
  </si>
  <si>
    <t>**AndroidFastScroll version 1.0.0**
R.drawable.afs md2 track)!!)
R.drawable.afs md2 thumb)!!)
private val popupStyle Consumer&lt;TextView&gt; popupView -&gt;
Fatal Exception: path must be convex</t>
  </si>
  <si>
    <t>CMPUT301F19T09-vibes-61</t>
  </si>
  <si>
    <t xml:space="preserve">MapFilter radio buttons imported by MoodListFilter crash app when used </t>
  </si>
  <si>
    <t>The name of MapFilter should also be changed.</t>
  </si>
  <si>
    <t>2019-11-07</t>
  </si>
  <si>
    <t>CMPUT301F19T09-vibes-60</t>
  </si>
  <si>
    <t>Crashes on Map Button on start up</t>
  </si>
  <si>
    <t>When the Map Button is pressed too quickly on start up, the application will crash. Others buttons do not have this issue.</t>
  </si>
  <si>
    <t>CMPUT301F19T09-vibes-59</t>
  </si>
  <si>
    <t>Network issues lead to app crash</t>
  </si>
  <si>
    <t>When there are network conectivity issues the app crashes and this should be handled more gracefully.</t>
  </si>
  <si>
    <t>iamraf-IEE-Apps-1</t>
  </si>
  <si>
    <t>Fatal Exception: io.reactivex.exceptions.OnErrorNotImplementedException</t>
  </si>
  <si>
    <t>Need to handle the exception with empty body to prevent application from crashing</t>
  </si>
  <si>
    <t>nextcloud-android-4805</t>
  </si>
  <si>
    <t xml:space="preserve">Crash after deleting my Account </t>
  </si>
  <si>
    <t>### Actual behaviour
Tell us what happens
deleted my Account in the App to add new one. But after deleted my actual Account the App crashes and dont let me type in new Account.
### Expected behaviour
Tell us what should happen
think the App should Start and act like fresh installed App.
### Steps to reproduce
1.deleting an active Account
2. Try to add new Account
### Environment data
Stock or customized system:
Nextcloud app version:
Nextcloud server version:
#### Web server error log
Insert your webserver log here
#### Nextcloud log (data nextcloud.log)
Insert your Nextcloud log here
************ CAUSE OF ERROR ************
************ APP INFORMATION ************
Build flavor: gplay</t>
  </si>
  <si>
    <t>GoogleChrome-android-browser-helper-36</t>
  </si>
  <si>
    <t>Library crashes when used with androidx.browser latest version</t>
  </si>
  <si>
    <t>### Steps to reproduce
1. Configure the app build.gradle with the latest versions of both androidx.browser and
2. Launch Chrome Custom Tab like in the demo example:
builder new https: www.google.com ))
new null, null)
### Expected result
The tab should open without any error. This is the case if we use androidx.browser version 1.2.0-alpha08.
### Actual result
An exception is thrown. Stack trace:
### Proposed fix
TwaLauncher should be modified so that it no longer calls That method no longer exists. It was removed in androidx.browser v1.2.0-alpha09.</t>
  </si>
  <si>
    <t>Catfriend1-syncthing-android-538</t>
  </si>
  <si>
    <t>Insta-Crash on 1.3.1.3 on Android 10 (no crash with flightmode!)</t>
  </si>
  <si>
    <t>Good morning :)
Today installed 1.3.1.3 and got an instant crash. When enable flight mode, the app doesnt crash.
Im using only the wifi run condition.
Hope this helps to solve the issue
### Description of the issue
### Version Information
App Version: 1.3.1.3
Syncthing Version: v1.3.1
Android Version: Android 10
Device manufacturer: Oneplus</t>
  </si>
  <si>
    <t>Catfriend1-syncthing-android-537</t>
  </si>
  <si>
    <t>Systematic crash on launch of Syncthing-fork's latest version on Nokia 8.1 with Android 10</t>
  </si>
  <si>
    <t>### Description of the issue
just installed the latest version of Syncthing-fork on my Nokia 8.1 with an up-to-date system (Android 10), and cannot launch it anymore: it systematically crashes at once. Just to be sure, restarted the phone, but it didn solve anything: Syncthing-fork still crashes on launch. tried to send feedback using Android, but not sure if it ll reach you, so prefer to post an issue here. did include the system log in the feedback sent not sure how can include the same info here (I could see the system log while sending it, but for some stupid reason, it seems can copy anything to paste it elsewhere...). Please tell me if you need any more info and how to get it...
### Version Information
Syncthing Version: v1.3.1.2
Android Version: Android 10, security patch level dated Sep 5th, 2019
Device manufacturer: Nokia
Device model: 8.1</t>
  </si>
  <si>
    <t>zhanghai-MaterialRatingBar-63</t>
  </si>
  <si>
    <t>Crash on Android 10 &amp; Samsung</t>
  </si>
  <si>
    <t>Hi! We began facing that crash:
(unfortunately we lost proguard mappings for that build)
It fires only on 10th of Android and as far as we can see in crashlytic only on samsung yet.
We have following usage:
style style RatingBarSmall
And the style is:
&lt;style name RatingBarSmall parent
&lt;item name android:clickable &gt;false&lt; item&gt;
&lt;item name android:focusable &gt;false&lt; item&gt;
&lt;item name android:isIndicator &gt;true&lt; item&gt;
&lt;item name android:max &gt;10&lt; item&gt;
&lt;item name android:numStars &gt;10&lt; item&gt;
&lt;item name android:stepSize &gt;0.1&lt; item&gt;
&lt;item name tools:ignore NewApi &gt;#F5BC00&lt; item&gt;
&lt;item name tools:ignore NewApi &gt;#00000000&lt; item&gt;</t>
  </si>
  <si>
    <t>2019-11-06</t>
  </si>
  <si>
    <t>aws-amplify-aws-sdk-android-1298</t>
  </si>
  <si>
    <t>Pinpoint initialisation crash</t>
  </si>
  <si>
    <t>don know how to reproduce the crash but get this report in Google Play:</t>
  </si>
  <si>
    <t>square-okhttp-5587</t>
  </si>
  <si>
    <t>MockWebserver crashing with ssl negotiation error</t>
  </si>
  <si>
    <t>We are still not sure about the root cause but our acceptance tests execution phase is failing sometimes due to MockWebserver (**4.2.1**) crashing when the following error happens in acceptConnections()
Any ideas about this? Shouldn this be handled by MockWebserver
Thanks in advance!</t>
  </si>
  <si>
    <t>fieldsight-fieldsight-mobile-472</t>
  </si>
  <si>
    <t xml:space="preserve">Forms list screen crashing in few samsung, oppo devices </t>
  </si>
  <si>
    <t>Stacktrace from firebase</t>
  </si>
  <si>
    <t>marksuth-indigenous-android-251</t>
  </si>
  <si>
    <t>Individual source timeline crashes</t>
  </si>
  <si>
    <t>To reproduce, click on say mpatshi, or david.
not so much used this feature (not many server understand this yet), but still, annoying :)</t>
  </si>
  <si>
    <t>2019-11-05</t>
  </si>
  <si>
    <t>tinashec-Rooms-13</t>
  </si>
  <si>
    <t>Pull to refresh crashes the app</t>
  </si>
  <si>
    <t>MozillaReality-FirefoxReality-2144</t>
  </si>
  <si>
    <t>Fix crash in onLoadRequest()</t>
  </si>
  <si>
    <t>Fix for the following crash: https: report index</t>
  </si>
  <si>
    <t>2019-11-04</t>
  </si>
  <si>
    <t>fossasia-neurolab-android-526</t>
  </si>
  <si>
    <t xml:space="preserve">The app crashes when you try to navigate out of it </t>
  </si>
  <si>
    <t>**Describe the bug**
The app crashes on second back press when you try to navigate away from it.
The app should successfully exit on pressing the back button second time.
**Steps to reproduce it**
Open the app
Try to close the app by pressing back button twice.
**LogCat for the issue**
&lt;td&gt;Device&lt; td&gt;&lt;td&gt;Lenovo K8 Note&lt; td&gt;
&lt;td&gt;Android version OS&lt; td&gt;&lt;td&gt; 8.0&lt; td&gt;
**Would you like to work on the issue?**</t>
  </si>
  <si>
    <t>galbertsson-EdgeLight-2</t>
  </si>
  <si>
    <t>'null' is shown in notification</t>
  </si>
  <si>
    <t>Sometimes null is shown in notification without the application crashing.
This problem is able to be reproduced by showing the contents of Snapchat notification.
Something must be done with how things are rendered when they do not exist. Alternatively this could be problem with notification return null rather than null when copying the contents of the notification.</t>
  </si>
  <si>
    <t>nextcloud-android-4792</t>
  </si>
  <si>
    <t>App crashes every time I try to create a new folder</t>
  </si>
  <si>
    <t>Catfriend1-syncthing-android-529</t>
  </si>
  <si>
    <t>Syncthing Camera crashes on pre-nougat Cyanogen OS</t>
  </si>
  <si>
    <t>2019-11-03</t>
  </si>
  <si>
    <t>Piwigo-Piwigo-Android-185</t>
  </si>
  <si>
    <t>SDK version &lt; 21 (pre Lollipop) not supported</t>
  </si>
  <si>
    <t>received via ACRA crash report email:
APP VERSION CODE 102
APP VERSION NAME 1.0.2
ANDROID VERSION 4.4.4
Caused by: Expected Android API level 21+ but was 19
... 24 more
So as it turns out, one of the dependencies we use (okhttp) depends on Android (or later). That why propose to follow this, even if it cuts few percent of potential users. Lollipop is out for years and even with the good will to support old devices we should care more about few more important features for the majority of users instead of investing too much time in supporting old stuff.</t>
  </si>
  <si>
    <t>2019-11-02</t>
  </si>
  <si>
    <t>processing-processing-android-575</t>
  </si>
  <si>
    <t>Monoscopic renderer in VR library is broken</t>
  </si>
  <si>
    <t>Calling fullScreen(MONO) crashes the sketch in version 4.1</t>
  </si>
  <si>
    <t>2019-11-01</t>
  </si>
  <si>
    <t>aws-amplify-aws-sdk-android-1289</t>
  </si>
  <si>
    <t>TransferNetworkLossHandler can crash the thread when using a poor network connection</t>
  </si>
  <si>
    <t>**Describe the bug**
is crashing on an illegal state exception when the network connection is poor.
Couldn read row 988, col from CursorWindow. Make sure the Cursor is initialized correctly before accessing data from it.
1. Use slow network connection 100kbps)
1. Attempt to upload files to s3.
1. on upload failure, terminate TransferUtility and create new instance for when the network reconnects.
**Which AWS service(s) are affected?**
Failures in the TransferUtility should not terminate the thread via an uncaught exception. The transfer utility should close gracefully.
AWS Android SDK Version: 2.16.1
Android Version: 7.0
Specific to simulators: Unknown
The exception is being caught with:</t>
  </si>
  <si>
    <t>processing-processing-android-574</t>
  </si>
  <si>
    <t>Using lights with textured shapes in AR crashes the sketch</t>
  </si>
  <si>
    <t>Tested with textured PShapes, either without lights or lit shapes out textures is fine.</t>
  </si>
  <si>
    <t>fieldsight-fieldsight-mobile-442</t>
  </si>
  <si>
    <t>App hangs and crashes when 4000 markers are being plotted on the map.</t>
  </si>
  <si>
    <t>Using https: github.com osmdroid osmdroid wiki should fix this</t>
  </si>
  <si>
    <t>SanojPunchihewa-f5n-71</t>
  </si>
  <si>
    <t>Unexpected behaviour when switched to another app when f5n is running</t>
  </si>
  <si>
    <t>**Describe the bug**
While command is running, if switch to another app (eg: messenger) and later come back to f5n, the log outputs of f5n are missing (see screenshot). Then if go back, the app crashes (see screenshot)
Steps to reproduce the behavior:
1. Run minimap2 on dataset which takes around minute to run. tried small dataset on chr22.
2. While the command is running, goto messenger or any other app
3. After around minutes come back to f5c
4. See that log output is missing
5. then try to go back few times (the back button in Android)
6. f5n crashes
after going to another app and coming back things are missing:
Press back button few times:
**Smartphone (please complete the following information):**
Device: LG Q6
OS: Android 8.1.0</t>
  </si>
  <si>
    <t>onaio-rdt-standard-212</t>
  </si>
  <si>
    <t>Fix app crash on manual capture</t>
  </si>
  <si>
    <t>Closes #211 and closes #208 and closes #209</t>
  </si>
  <si>
    <t>2019-10-31</t>
  </si>
  <si>
    <t>onaio-rdt-standard-211</t>
  </si>
  <si>
    <t>Fix bugs</t>
  </si>
  <si>
    <t>Fix bug which causes app to crash after manual capture
Fix test compile error</t>
  </si>
  <si>
    <t>andreynovikov-trekarta-89</t>
  </si>
  <si>
    <t>Missing build resources (affects runtime!)</t>
  </si>
  <si>
    <t>Somewhere before the VTM update building broke here probably the new 3D building update?
Current head builds, but the app crashes (in the emulator) did wipe data on the image, clean, rebuild everything in the app. Is it my configuration?
have to checkout commit (tag: 2019.09fix1), just before amenities can be tapped commit to get running app.
Logcat gives this error maybe you can tell something from this?
Launching app on Unihertz Atom.
Waiting for process to come online...
Connected to process 4021 on device emulator-5554
Capturing and displaying logcat messages from application. This behavior can be disabled in the Logcat output section of the Debugger settings page.
Could not get last known location. This is probably because the app does not have any location permissions. Falling back to hardcoded sunrise sunset values.
New ES: null
Caused by: could not locate data
Process 4021 terminated.</t>
  </si>
  <si>
    <t>jellyfin-jellyfin-androidtv-177</t>
  </si>
  <si>
    <t>Crash when adding server</t>
  </si>
  <si>
    <t>installed the 0.10 apk for Android TV on my Philips Android TV.
The app crash and exit when adding server...</t>
  </si>
  <si>
    <t>leancloud-java-unified-sdk-78</t>
  </si>
  <si>
    <t>第三方登录 failOnNotExist 参数使用报错</t>
  </si>
  <si>
    <t>Android (https: leancloud.cn docs leanstorage **failOnNotExist**
Map&lt;String, Object&gt; authData new HashMap&lt;String, Object&gt;()
authData.put( expires in 7200)
authData.put( openid 1234567890
authData.put( access token ACCESS TOKEN1
authData.put( refresh token REFRESH TOKEN2
authData.put( scope SCOPE
AVUser user new AVUser()
public void d)
public void onNext(AVUser avUser)
public void onError(Throwable e)
AVException avException new AVException(e)
if (code 211)
public void onComplete()
--------- beginning of crash
for method APIService.signup
Caused by: URL 1.1 users does not contain failOnNotExist (parameter #2)
for method APIService.signup
... 11 more</t>
  </si>
  <si>
    <t>wallabag-android-app-863</t>
  </si>
  <si>
    <t>Wallabag crashes immediately after fresh install (Samsung Note 10+)</t>
  </si>
  <si>
    <t>### Actual behaviour
The app crashes immediately after starting.
### Expected behaviour
The app should start.
### What have you tried to resolve the issue?
Reinstall the app
Steps to reproduce the issue
1. Install the app on Samsung Note10+
2. Start the app
**wallabag app version**: latest 2.2.4
**wallabag app installation source** (e.g. Gplay, F-Droid, manual): Google Play Store
**Android OS version**:
**Android ROM** (e.g. stock, LineageOS, SlimRom, ): Stock
**Android hardware**: Samsung Note 10+
**wallabag server version**: Version: 2.3.3
**Do you have enabled?**: no
## adb logcat
Your experience with wallabag Android app
switched my phone this week and put all the effort into getting the log file. Wallabag has become essential in organizing my reading material. would hate to switch to another product because unable to use the app! Keep up the good work!</t>
  </si>
  <si>
    <t>2019-10-30</t>
  </si>
  <si>
    <t>react-native-share-react-native-share-618</t>
  </si>
  <si>
    <t>IOS 12.2 Copy option with base64 img crash or stops the app</t>
  </si>
  <si>
    <t>### Steps to reproduce
1. Make an image to share
2. Open dialog and select copy
### Expected behaviour
Only be copied and close the prompt
### Actual behaviour
When click in Copy option this breaks the app
### Here is gif
Actually use to make an base64 img for my app share
uri is base64 img string
console.log( do something with options)
).catch(e console.log(e, rejected share ))
**React Native version**: 0.60.5
**React Native platform platform version**: iOS 12.2
### Link to repo (highly encouraged)</t>
  </si>
  <si>
    <t>2019-10-29</t>
  </si>
  <si>
    <t>avluis-Hentoid-402</t>
  </si>
  <si>
    <t>Gallery screen - Changing the device orientation crashes the app</t>
  </si>
  <si>
    <t>gini-gini-vision-lib-android-256</t>
  </si>
  <si>
    <t>Pia 375 open application settings crash</t>
  </si>
  <si>
    <t>When the camera screen is launched without having camera permissions we ask the user to grant camera permissions by tapping button to open the application details in the android settings app.
This caused crash because startActivity() was called on the Application instance instead of the Activity instance.
Lots of files were touched in order to pass the Activity instance around instead of the Application one. The actual fix is here (https: github.com gini blob ginivision src main java net gini android vision internal util</t>
  </si>
  <si>
    <t>nextcloud-android-4745</t>
  </si>
  <si>
    <t>urgent security risk -&gt; learn more button -&gt; crash</t>
  </si>
  <si>
    <t>### Actual behaviour
Crash when click on learn more button about security notification inside app
### Expected behaviour
Should open Web link in external browser guess
### Steps to reproduce
### Environment data
Android version: 10
Device model: xiaomi mi9t
Stock or customized system: xiaomi.eu
Nextcloud app version:
Nextcloud server version:
#### Web server error log
Insert your webserver log here
#### Nextcloud log (data nextcloud.log)
************ CAUSE OF ERROR ************
************ APP INFORMATION ************
Build flavor: gplay
************ DEVICE INFORMATION ************
************ FIRMWARE ************</t>
  </si>
  <si>
    <t>SkyTubeTeam-SkyTube-594</t>
  </si>
  <si>
    <t>App crashes when switching to "Feed" tab</t>
  </si>
  <si>
    <t>Just updated to SkyTube Extra v2.966 and noticed that when navigating switching to Feed tab, the app crashes.
**OS Version:** Android</t>
  </si>
  <si>
    <t>2019-10-28</t>
  </si>
  <si>
    <t>nextcloud-android-4743</t>
  </si>
  <si>
    <t>google-ExoPlayer-6588</t>
  </si>
  <si>
    <t>Crash when using CacheDataSource</t>
  </si>
  <si>
    <t>### REQUIRED Issue description
Thanks for developing such great app, learned lot from it.
But now suffered crash with it after using the CacheDataSource and related class
This is the code use for adding cache for player:
fun Context, bandwidthMeter: DataSource.Factory
APPLICATION NAME), bandwidthMeter)
return IGNORE CACHE ON ERROR)
private fun Context): Cache?
var cache: Cache? null
val cachePath File.separator PLAYER CACHE SUBDIRECTORY
val cacheFile File(cachePath)
MAX CACHE SIZE),
### REQUIRED Reproduction steps
This is an occasional crash. haven reproduced this crash yet, but from the crashlytics of the fabric, more than 600 users suffered it with more than 1800 times in the past days.
### REQUIRED full bug report captured from the device
Here below are the detailed crash message:
Crash 1, happened on multiple devices with system version 4, 5, and 6.
Crash 2, happened on multiple devices with system version 8,9 and 10.
Fatal Exception: stack size 1042KB
Crash 3, happened on multiple devices with system version 5, and 7.</t>
  </si>
  <si>
    <t>2019-10-27</t>
  </si>
  <si>
    <t>square-okhttp-5575</t>
  </si>
  <si>
    <t xml:space="preserve">App crashes on throwing the exception from the Interceptor </t>
  </si>
  <si>
    <t>**There are the implementations have been using**
**This is the network interceptor class**
private val applicationContext
override fun intercept(chain: Interceptor.Chain): Response
return if (!isConnectionOn())
private fun Boolean
val timeoutMs 1500
val sock Socket()
val sockaddr InetSocketAddress( 8.8.8.8 53)
catch (e: IOException)
private fun isConnectionOn(): Boolean
return connection null &amp;&amp;
if (activeNetwork null)
return (activeNetwork.type WIFI
**My Retrofit client**
operator fun invoke(
val gson GsonBuilder()
val retrofit Retrofit.Builder()
this is how am calling the api
catch (e: Exception)</t>
  </si>
  <si>
    <t>ElderDrivers-EdXposed-377</t>
  </si>
  <si>
    <t>[BUG] v0.4.6.0 crashes while 0.4.5.1 does not</t>
  </si>
  <si>
    <t>** What happened?**
EdXposed-v0.4.6.0 logcat Crash SandHook YAHFA
**Xposed Xposed Module List**
**Magisk Magisk Module List**
Riru Core v19.5
Riru EdXposed v0.4.6.0 beta.4471(SandHook YAHFA)
**EdXposed Riru Versions of EdXposed and Riru**
** Logcat Logcat**
*** *** *** *** *** *** *** *** *** *** *** *** *** *** *** ***
Build fingerprint: xiaomi violet violet:9 PKQ1.181203.001 release-keys
signal 11 (SIGSEGV), code (SEGV MAPERR), fault addr 0x0
x0 0000000070a03478 x1 0000007ff2b9a178 x2 0000007ff2b9a178 x3 0000007a18614c00
x4 0000007ff2b9a5b0 x5 0000007a11a6a5ea x6 8000000000000000 x7 642e6c6e624b23ff
x8 0000000000000000 x9 0000000000000000 x10 0000000000430000 x11 0000007a17de3688
x12 0000007a17d08b30 x13 0000007a17d08b84 x14 0000007a17d08be4 x15 0000000000000000
x16 0000007ff2b9a178 x17 0000000000000000 x18 0000000012c00098 x19 0000000070a03478
x20 0000007a9e5e95e0 x21 0000007a18614c00 x22 0000007ff2b9a410 x23 0000007a11a6a5ea
x24 0000000000000004 x25 0000007a9e5e95e0 x26 0000007a18614ca0 x27 0000000000000001
x28 0000000000000001 x29 0000007ff2b9a150
sp 0000007ff2b9a130 lr 0000007a18b08688 pc 0000007a18b086dc</t>
  </si>
  <si>
    <t>project-travel-mate-Travel-Mate-779</t>
  </si>
  <si>
    <t>[BUG] Crash right after app startup</t>
  </si>
  <si>
    <t>**Describe the bug**
just pulled the repository and launched build, the application instantly crashed.
See the Additional context for error logs.
Steps to reproduce the behavior:
1. Run the application (debug variant)
2. See the application crash
The application runs normally.
**Device Information (please complete the following information):**
Device: Nexus 6P (emulator) Pixel XL (emulator)
OS: Android 8.1
App Version: 5.6.2
like to work on this issue.</t>
  </si>
  <si>
    <t>2019-10-26</t>
  </si>
  <si>
    <t>marksuth-indigenous-android-243</t>
  </si>
  <si>
    <t>The app crashes when turning the channel list to fast</t>
  </si>
  <si>
    <t>double check other activities</t>
  </si>
  <si>
    <t>aws-amplify-aws-sdk-android-1275</t>
  </si>
  <si>
    <t>Crash of AWS IoT SDK v2.16.1 on Android 5.1</t>
  </si>
  <si>
    <t>**Describe the bug**
Failed resolution of: Ljavax net ssl SNIHostName
Caused by: Didn find class on path: DexPathList
lib arm, vendor lib, system lib
Caused by: Class not found using the boot class loader no stack available
code sample or steps:
provided AWS sample code
**Which AWS service(s) are affected?**
No crashes on launch.
**Environment Information (please complete the following information):**
AWS Android SDK Version: 2.16.1
Device: Custom Device
Android Version: 5.1
Specific to simulators: No
2.16.0 works fine.</t>
  </si>
  <si>
    <t>warmshowers-wsandroid-342</t>
  </si>
  <si>
    <t>Crash when rotating with dialog open</t>
  </si>
  <si>
    <t>**Describe the bug**
Crash when rotating with dialog open.
1. Click user marker on map. Popup with user info opens
2. Rotating phone crashes app
**Please complete the following information**
Device: Google Pixel (Emulator)
App version: 3.1.3
Reported in the forum: https: www.warmshowers.org node 343324</t>
  </si>
  <si>
    <t>renyuneyun-Easer-284</t>
  </si>
  <si>
    <t>When switching the app to active it crashes after the todays FDroid update 0.7.9-beta.
Steps to reproduce the behavior:
1. Go to red *x* button
2. Click on *x* to activate app
3. few seconds later app crashes</t>
  </si>
  <si>
    <t>ElderDrivers-EdXposed-376</t>
  </si>
  <si>
    <t>[BUG] zygote64 boot loop caused by signal 11 (SIGSEGV), code 2 (SEGV_ACCERR)</t>
  </si>
  <si>
    <t>** What happened?**
zygote64 crash boot loop, zygote32
app process32 --zygote app process64 --zygote Segmentation fault
**Xposed Xposed Module List**
Magisk riru riru-edxposed-yahfa
**Magisk Magisk Module List**
**EdXposed Riru Versions of EdXposed and Riru**
** Logcat Logcat**</t>
  </si>
  <si>
    <t>nextcloud-android-4732</t>
  </si>
  <si>
    <t>crash when trying to switch sorting while moving a file</t>
  </si>
  <si>
    <t>### Actual behaviour
app crashes displaying an error log
### Expected behaviour
should be able to change sorting of files in folder while moving file
### Steps to reproduce
1. move file
2. go to an other directory where you have large amount of folders where you want the alphabetical last folder
3. select sorting from the menu and click on Z-A
4. see the app crashing
### Environment data
Device model: HTC U12+
Stock or customized system: stock
Nextcloud app version: 3.8.1
Nextcloud server version: 16.0.5
#### Crash log
************ CAUSE OF ERROR ************
************ APP INFORMATION ************
Build flavor: generic
************ DEVICE INFORMATION ************
************ FIRMWARE ************</t>
  </si>
  <si>
    <t>2019-10-25</t>
  </si>
  <si>
    <t>opensrp-opensrp-client-giz-malawi-137</t>
  </si>
  <si>
    <t>Release v 0.2.0 QA Bugs</t>
  </si>
  <si>
    <t>Cannot create an ANC contact. App crashes.
When the user logs in and they set the site characteristics, they land on the ANC page. The same was also noted where sometimes when you login it lands you on the child register instead of the all clients register. The recommendation is to have setting which has the default register view, so that if this is set, it goes to that as landing page else it takes the normal behaviour.
On click of the service bar button that is shown below, it should show the service locations. It works when you click on the area where the name is, but not on the drop down button
On the OPD profile of patient, remove the current options under the kebab menu OR Put generic placeholders e.g. menu1 We shall add the menu items later. It currently has Switch Language and Logout.
When client is created through the mother details when registering child, it created in the ANC register which should not be the case. On click on the ANC profile it crashed the app. Find way of removing this entry from the ANC register
The lookup on National ID works but crashes instead of re-directing to the persons profile within that register.
Lookup on lastname works, though it does not take you to the profile within that register
Once the first user sets the site characteristics, it still shows up for the second user within the same location. This is not the expected behaviour
OPD Registration form should have the title as OPD Registration not Opd Registration</t>
  </si>
  <si>
    <t>joel0-TallyTSLUMD-7</t>
  </si>
  <si>
    <t>Fix crash from unexpected character</t>
  </si>
  <si>
    <t>Fix for #6</t>
  </si>
  <si>
    <t>2019-10-24</t>
  </si>
  <si>
    <t>joel0-TallyTSLUMD-6</t>
  </si>
  <si>
    <t>Intermittent crash</t>
  </si>
  <si>
    <t>appears to be in some network packets instead of an integer. Cause is unknown.</t>
  </si>
  <si>
    <t>segler-alex-RadioDroid-580</t>
  </si>
  <si>
    <t>fatal crash when toggle views under Favorites</t>
  </si>
  <si>
    <t>This issue was encountered in the latest code commit version (version 0.79, git a214abe ). But forget to capture the whole bug-triggering event sequence. attached the stack trace here. Hope it is useful to localize the culprit of the issue. Let me know if you need more info.
the stack strace
FATAL EXCEPTION: main
Caused by: Attempt to invoke virtual method java.util.List on null object reference
... 10 more
Force finishing activity .ActivityMain</t>
  </si>
  <si>
    <t>2019-10-23</t>
  </si>
  <si>
    <t>ElderDrivers-EdXposed-373</t>
  </si>
  <si>
    <t>[BUG] crash in nativeForkAndSpecialize after normal boot (4471 YAHFA)</t>
  </si>
  <si>
    <t>The first normal boot often ends up with soft reboot shortly after booting. After such soft reboot, often no further crashes are observed and system runs normally.
OnePlus Pro running Oxygen OS 10.0.1
**Xposed Module List**
**Magisk Module List**
EdXposed v0.4.6.0 beta.4471 (YAHFA)
(using custom Magisk v20 from https: github.com solohsu magisk files)</t>
  </si>
  <si>
    <t>2019-10-22</t>
  </si>
  <si>
    <t>ElderDrivers-EdXposed-372</t>
  </si>
  <si>
    <t>[BUG] system_server crash using SandHook-v0.4.6.0_beta.4471</t>
  </si>
  <si>
    <t>Always soft reboots immediately after booting (log attached). Seems to be GC related (similar we had in the past).
Also can see some errors related to SElinux relabeling but not sure if they play any role or could have another negative side effects (log attached).
OnePlus Pro running Oxygen OS 10.0.1
**Xposed Module List**
**Magisk Module List**
EdXposed v0.4.6.0 beta.4471 (Sandhook)
(using custom Magisk v20 from https: github.com solohsu magisk files)</t>
  </si>
  <si>
    <t>OpenTracksApp-OpenTracks-49</t>
  </si>
  <si>
    <t>Crash when opening Settings activity</t>
  </si>
  <si>
    <t>Thanks for this great app!
have searched open issues but didn find this one, sorry if have missed it.
For some reason, after while, settings stopped working when try to open settings screen, app crashes.
Version V3.2.1, from F-Droid.
Samsung S7 Edge, Android 8.
Below is adb shell logcat</t>
  </si>
  <si>
    <t>2019-10-21</t>
  </si>
  <si>
    <t>miguelpruivo-flutter_file_picker-161</t>
  </si>
  <si>
    <t>onActivityResult edge case</t>
  </si>
  <si>
    <t>**Describe the bug**
There seems to be an edge case in https: github.com miguelpruivo flutter file picker blob android src main java com mr flutter plugin filepicker
where the object Result could be null. This crash has been registered from Google Play.
**File picker version: 1.4.2**
Motorola Moto (5S) Plus (sanders nt), Android 8.1 Samsung Galaxy A20 (a20p), Android
**Flutter Version details**</t>
  </si>
  <si>
    <t>square-okhttp-5562</t>
  </si>
  <si>
    <t>Crash: Unexpected TLS version: NONE In Android 9.0</t>
  </si>
  <si>
    <t>My Android app use okhttp 3.10.0 for almost 1year, and it is stable. Just last month, we switch http to https, then many crash occur In Android 9.0,
blew is the stacktrace,
Unexpected TLS version NONE
Anyone get some ideas about this crash?</t>
  </si>
  <si>
    <t>bitstadium-HockeySDK-Android-435</t>
  </si>
  <si>
    <t>Java.Lang.RuntimeException: Adding window failed ---&gt; Java.Lang.Exception: Transaction failed on small parcel; remote process probably died</t>
  </si>
  <si>
    <t>Getting this runtime crash and its recorded by Hockey app.
... 16 more
Xamarin caused by: Adding window failed ---&gt; Transaction failed on small parcel remote process probably died
--- End of inner exception stack trace ---
--- End of managed stack trace ---
... 16 more</t>
  </si>
  <si>
    <t>2019-10-19</t>
  </si>
  <si>
    <t>Swati4star-Images-to-PDF-827</t>
  </si>
  <si>
    <t>crashes reported</t>
  </si>
  <si>
    <t>nextcloud-android-4704</t>
  </si>
  <si>
    <t>### Actual behaviour
Tell us what happens
### Expected behaviour
Tell us what should happen
### Steps to reproduce
### Environment data
Stock or customized system:
Nextcloud app version:
Nextcloud server version:
#### Web server error log
Insert your webserver log here
#### Nextcloud log (data nextcloud.log)
Insert your Nextcloud log here
************ CAUSE OF ERROR ************
************ APP INFORMATION ************
Build flavor: gplay
************ DEVICE INFORMATION ************
************ FIRMWARE ************</t>
  </si>
  <si>
    <t>2019-10-18</t>
  </si>
  <si>
    <t>inaturalist-iNaturalistAndroid-722</t>
  </si>
  <si>
    <t>Going back while recording sound causes endless loading (or crash)</t>
  </si>
  <si>
    <t>Create new observation
record the sound
Don press done, but go back (eg because the sound was not good and you want to re-record)
try to record new sound
get an endless Loading screen
unable to go back
have to force close iNat app
Same issue if you have an existing observation
Record sound, but don press done, just go back to re-record.
Record the sound, press done, and endless Loading screen.
Note that believe she is using the built-in sound recorder. There are some large crash logs in slack: https: archives G041A2Z1W p1571388239011300
When try to replicate given the steps above (on Pixel 3), just get crash immediately after tapping the back button in the left side of the header.</t>
  </si>
  <si>
    <t>svenmeier-coxswain-93</t>
  </si>
  <si>
    <t xml:space="preserve">6.2 app crash </t>
  </si>
  <si>
    <t>app crash after plug in usb cable and start training. downloaded 6.1 from github and installed it, works without issues again
thxs for this great app, hopefully you can find the rc for the crash</t>
  </si>
  <si>
    <t>MozillaReality-FirefoxReality-2020</t>
  </si>
  <si>
    <t>App crashes on window.open (tabs)</t>
  </si>
  <si>
    <t>&lt;!--- State the version number and build ID affected. --&gt;
&lt;!--- The build ID is obtained by clicking on the build date in settings. --&gt;
Firefox Reality version:
Firefox Reality build ID: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Go to https: www.w3schools.com jsref met win prompt.asp
2. Click on Try it yourself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new session should be opened.
## Possible Solution
&lt;!--- Optional --&gt;</t>
  </si>
  <si>
    <t>twilio-video-quickstart-android-447</t>
  </si>
  <si>
    <t>App crash in native library: unpublishVideoTrack</t>
  </si>
  <si>
    <t>tested on samsung xiaomi same result
it happens when is called in onPause(), and screen capture is active.. when screen capture is not active, it works fine...</t>
  </si>
  <si>
    <t>AChep-AcDisplay-161</t>
  </si>
  <si>
    <t>Application crashes when Clicking a Notification that has Actions</t>
  </si>
  <si>
    <t>Simply enable application as normal and have notification that has action buttons, click one of them when in the lockscreen and the app will crash.
Tested in my own device Xiaomi A2 Lite with Android Pie 9.</t>
  </si>
  <si>
    <t>2019-10-17</t>
  </si>
  <si>
    <t>nextcloud-android-4702</t>
  </si>
  <si>
    <t>App keeps crashing while syncing</t>
  </si>
  <si>
    <t>### Actual behaviour
While syncing (back- or foreground) the app keeps on crashing due to an uninitialized database cursor
### Expected behaviour
Files should be synced to my server
### Steps to reproduce
Enable file syncing
### Environment data
************ CAUSE OF ERROR ************
************ APP INFORMATION ************
Build flavor: gplay
************ DEVICE INFORMATION ************
************ FIRMWARE ************</t>
  </si>
  <si>
    <t>ukanth-afwall-1025</t>
  </si>
  <si>
    <t>App fc on applying rules</t>
  </si>
  <si>
    <t>The new beta2 crashes on applying iptables and won reopen (therefore no logs) on Moto G5s running Android ViperOS, Radium kernel, Magisk 20, EdXposed, Adguard default DNS. Clean installation of afwall.
No issues on previous beta build..</t>
  </si>
  <si>
    <t>react-native-camera-react-native-camera-2549</t>
  </si>
  <si>
    <t>RNCamera crash on Android when Expo Unimodules installed</t>
  </si>
  <si>
    <t>**To Do First**
Did you try latest release?
Did you try master?
Did you look for existing matching issues?
&lt;!--Comment in the related ones--&gt;
Android version crashes after Unimodules installed for other Expo packages.
iOS version crashes after Unimodules installed for other Expo packages.
&lt;!--Please add the used versions branches or leave blank and comment in the optionals if used--&gt;
**Description Current Behaviour**
&lt;!--place your bug description below--&gt;
After installing (0.7.0-rc.1) for other Expo libraries, RNCamera started to crash the App.
&lt;!--place your expected behaviour below--&gt;
**Steps to Reproduce**
&lt;!--describe how to produce the error below--&gt;
&lt;!--**Does it work with Expo Camera?**--&gt;
&lt;!--Check usage with Expo and comment in this section- https: github.com react-native-camera blob master docs Expo Usage.md
You should open an issue there as well, so we can cooperate in solution.--&gt;
This bug can be related with React Native 0.61.*
It looks like the packages below works okay for iOS (not tested on Android)
Also tried with removing problem seems persisting with 0.61.*, so think it not really related with unimodules but 0.61.* upgrade.</t>
  </si>
  <si>
    <t>microsoft-appcenter-sdk-android-1282</t>
  </si>
  <si>
    <t>Crash when starting download of update</t>
  </si>
  <si>
    <t>Sometimes we get crash when the AppCenter SDK tries to download an app update.
Caused by: println needs message
&lt;!-- If making feature request, remove the below information --&gt;
### **Repro Steps**
Please list the steps used to reproduce your issue.
1. Freshly installed an old release of the app
2. Update dialog is shown, option to download the app update is selected
3. Download should start, but the app crashes
1. Which SDK version are you using?
2. Which OS version did you experience the issue on?
3. What device version did you see this error on? Were you using an emulator or physical device?
Google Pixel physical device
--------- beginning of crash
Caused by: println needs message
Caused by: println needs message</t>
  </si>
  <si>
    <t>balthazar-react-native-zeroconf-103</t>
  </si>
  <si>
    <t>Fix iOS application crash when formatting TXTRecordData</t>
  </si>
  <si>
    <t>This fix addresses the presented issue in #65 and implements the changes suggested.</t>
  </si>
  <si>
    <t>square-okhttp-5558</t>
  </si>
  <si>
    <t xml:space="preserve">IndexOutOfBoundsException when unverifiedHandshake.peerCertificates().get(0) in Okhttp 3.13.1 </t>
  </si>
  <si>
    <t>have been testing HTTP2 with Glide with Okhttp, both running on 16 threads. Glide has been downloading images from our server through Charles proxy. All from the same endpoint. We are using: Okhttp 3.13.1. The crash happened randomly while downloading Nth element.
this line has problem:
X509Certificate cert (X509Certificate)
In below case there was no peerCertificates</t>
  </si>
  <si>
    <t>material-components-material-components-android-685</t>
  </si>
  <si>
    <t>Shape Theming crash</t>
  </si>
  <si>
    <t>Shape Theming crash on android in honor pro.</t>
  </si>
  <si>
    <t>ankidroid-Anki-Android-5523</t>
  </si>
  <si>
    <t>[2.9 ACRA] CardBrowser crash with sort settings</t>
  </si>
  <si>
    <t>Looks like simple type conversion issue</t>
  </si>
  <si>
    <t>2019-10-15</t>
  </si>
  <si>
    <t>ankidroid-Anki-Android-5521</t>
  </si>
  <si>
    <t>[2.9 ACRA] crash releasing audio recorder</t>
  </si>
  <si>
    <t>This one should be easy</t>
  </si>
  <si>
    <t>ankidroid-Anki-Android-5518</t>
  </si>
  <si>
    <t>[2.9 ACRA] crash in DeckTask.doInBackgroundUpdateNote</t>
  </si>
  <si>
    <t>Apparently we assume the Card object will be there but sometimes it is not?</t>
  </si>
  <si>
    <t>ankidroid-Anki-Android-5516</t>
  </si>
  <si>
    <t>[2.9 ACRA] crash in DeckTask.doInBackgroundRenderBrowserQA</t>
  </si>
  <si>
    <t>This might be data related?
Caused by: Index: 446, Size:</t>
  </si>
  <si>
    <t>ankidroid-Anki-Android-5515</t>
  </si>
  <si>
    <t>[2.9 ACRA] crash while handling search request with no results?</t>
  </si>
  <si>
    <t>Caused by: Attempt to invoke interface method int on null object reference</t>
  </si>
  <si>
    <t>ankidroid-Anki-Android-5513</t>
  </si>
  <si>
    <t>[2.9 ACRA] crash adding bitmap to card</t>
  </si>
  <si>
    <t>ankidroid-Anki-Android-5510</t>
  </si>
  <si>
    <t>[2.9 ACRA] crash creating CardBrowser options menu</t>
  </si>
  <si>
    <t>Somehow the Collection can be null while creating the Card Browser options menu?</t>
  </si>
  <si>
    <t>ankidroid-Anki-Android-5509</t>
  </si>
  <si>
    <t>[2.9 ACRA] crash adding audio to card</t>
  </si>
  <si>
    <t>ankidroid-Anki-Android-5508</t>
  </si>
  <si>
    <t>[2.9 ACRA] media recording stop failure can cause a crash</t>
  </si>
  <si>
    <t>This looks like runtime crash we could catch and message better to the user?</t>
  </si>
  <si>
    <t>ankidroid-Anki-Android-5505</t>
  </si>
  <si>
    <t>[2.9 ACRA] Could not import apkg from ContentProvider</t>
  </si>
  <si>
    <t>The root cause of this one might be permissions or similar that we cannot solve, but it should probably be handled with good user message if it is not already? And then if it has good user message it should not be crash report in ACRA</t>
  </si>
  <si>
    <t>ankidroid-Anki-Android-5504</t>
  </si>
  <si>
    <t>[2.9 ACRA] App state crash - DeckPicker.showImportDialog after onSaveInstanceState</t>
  </si>
  <si>
    <t>This one looks like good mystery to untangle happens to quite few people</t>
  </si>
  <si>
    <t>nethesis-nethcti-app-android-5</t>
  </si>
  <si>
    <t>Many fix</t>
  </si>
  <si>
    <t>This pr fix some problems about the login logged accounts:
1. Now after the first login, the login menu item is removed and added the logout menu item, so user can be logged with only one account.
2. The back button from assistant go to Linphone Activity if in login and in login in in qr code scan.
3. Now the login view is more material design friendly, this process can be done in all the application.
4. Some minor layout fixes about spacing, padding, useless layout and styles
5. Fixed an error when scanning fake qr code that may cause the application crash
6. Now the Login in progress view appear correctlly in both login mode, login view and qr code scanning</t>
  </si>
  <si>
    <t>ankidroid-Anki-Android-5503</t>
  </si>
  <si>
    <t>[2.9 ACRA] BootService.scheduleDeckReminder crash, null Collection on startup</t>
  </si>
  <si>
    <t>eclipse-keyple-java-153</t>
  </si>
  <si>
    <t>pcsc : jvm crash with a pcsc example on MacOs</t>
  </si>
  <si>
    <t>OS macOs 10.12.6
Random crash while running Demo Pcsc on MacOs Sierra 10.12.6
see attached dump
fatal error has been detected by the Java Runtime Environment:
SIGILL (0x4) at pc 0x00007fff905587cd, pid 6190, tid 22531
JRE version: Java(TM) SE Runtime Environment (8.0 40-b27) (build 1.8.0 40-b27)
os object release+0x31</t>
  </si>
  <si>
    <t>SanojPunchihewa-f5n-32</t>
  </si>
  <si>
    <t>App crashes when clipboard is empty</t>
  </si>
  <si>
    <t>If nothing is copied to the clipboard the app crashes when PASTE PATH button is clicked</t>
  </si>
  <si>
    <t>nextcloud-android-4680</t>
  </si>
  <si>
    <t>App crash - v3.8.1</t>
  </si>
  <si>
    <t>Application crashes while running in the caching process:
************ CAUSE OF ERROR ************
************ APP INFORMATION ************
Build flavor: gplay
### Environment data
Nextcloud app version: 3.8.1
Nextcloud server version: 17.0.0</t>
  </si>
  <si>
    <t>2019-10-14</t>
  </si>
  <si>
    <t>oliexdev-openScale-508</t>
  </si>
  <si>
    <t>No connection to the Sanitas SBF70</t>
  </si>
  <si>
    <t>using Openscale until version 2.1.0 with Sanitas SBF70 without problems.
After updating to 2.1.1 did not got connections to the scale with the comment maximale Anzahl
gleichzeitiger Benutzer erreicht reseted the scale and after had connected for the first time to the scale datasets were transfered.
With the next connection to the scale Openscale gives me the same user message: maximale Anzahl gleichzeitiger Benutzer erreicht
In the debug-log finded the same comment:
One time Openscale also crashed with the followed error messages:
Build version: 2.1.1
On F-Droid downgrade to version 2.1.0 was not possible.</t>
  </si>
  <si>
    <t>oliexdev-openScale-507</t>
  </si>
  <si>
    <t>Openscale crashes to error message after every reading</t>
  </si>
  <si>
    <t>1. Open app and wait for scale to recognise user.
2. Take reading.
3. As soon as Bluetooth connection closes app crashes wit an image of dead bug.
Build version: 2.1.1-pro</t>
  </si>
  <si>
    <t>EE461L-Our-Green-Routine-Our-Green-Routine-16</t>
  </si>
  <si>
    <t>Calculate button on footprint page crashes (when implemented)</t>
  </si>
  <si>
    <t>Probably simple mistake on how the input is being read and parsed. Currently returns 15.0 as points regardless. But whenever the input is linked to the output there an error.</t>
  </si>
  <si>
    <t>2019-10-13</t>
  </si>
  <si>
    <t>nextcloud-android-4674</t>
  </si>
  <si>
    <t>nextcloud-android-4671</t>
  </si>
  <si>
    <t>Nextcloud android crash</t>
  </si>
  <si>
    <t>### Actual behaviour
Tell us what happens
Application crash when clicking on notification dismiss
### Expected behaviour
Tell us what should happen
Continue to main screen of nextcloud app
### Steps to reproduce
1. Open notification screen
2. Click on notify later (deny)
3. App crash
### Environment data
Stock or customized system:
Nextcloud app version:
Nextcloud server version:
#### Web server error log
Insert your webserver log here
#### Nextcloud log (data nextcloud.log)
Insert your Nextcloud log here
************ CAUSE OF ERROR ************
************ APP INFORMATION ************</t>
  </si>
  <si>
    <t>LawnchairLauncher-lawnchair-1775</t>
  </si>
  <si>
    <t>Folders only containing hidden apps are wrongly displayed &amp; crash Lawnchair</t>
  </si>
  <si>
    <t>An app folder only containing hidden apps is wrongly displayed in the app drawer and opening it will reliably crash Lawnchair. have checked, that there are no similar issues reported before.
## Expected Behavior
Folders that don contain any visible apps should not be displayed in the app drawer
No reasonable action such as opening folder should crash Lawnchair
## Actual Behavior
Folder that don contain any visible apps but only hidden ones are displayed in the app drawer
Opening that empty folder will crash Lawnchair
## Steps to Reproduce
1. In settings, enable categorization and use the folder feature
2. Create new folder and add single app that is hidden from view in the app drawer
3. Check your app drawer
4. The folder is displayed (bug)
5. Opening that folder will crash Lawnchair (bug)
Device: BQ Aquaris
Android version: 8.1.0
Launcher version: 2.0-2497</t>
  </si>
  <si>
    <t>2019-10-12</t>
  </si>
  <si>
    <t>nextcloud-android-4667</t>
  </si>
  <si>
    <t>crash single sign on with news</t>
  </si>
  <si>
    <t>### Actual behaviour
try to use single sign in for the android News app.
When select my account and press ok it crashes.
Using an unofficial build of AospExtended.
### Expected behaviour
Tell us what should happen
### Steps to reproduce
************ CAUSE OF ERROR ************
... 11 more
************ APP INFORMATION ************
Build flavor: generic
************ DEVICE INFORMATION ************
************ FIRMWARE ************
### Environment data
Stock or customized system:
Nextcloud app version:
Nextcloud server version:
#### Web server error log
Insert your webserver log here
#### Nextcloud log (data nextcloud.log)</t>
  </si>
  <si>
    <t>nextcloud-android-4666</t>
  </si>
  <si>
    <t>nextcloud crashes when opening a photo from photo view with a green check mark</t>
  </si>
  <si>
    <t>### Actual behaviour
### Expected behaviour
photo should be shown
### Steps to reproduce
1. Auto upload is activated with move to app folder
2. Tap on photo that has green check mark
### Environment data
Device model: pixel xl
Stock or customized system: customized, carbonrom, nextcloud installed via fdroid
Nextcloud app version:
Nextcloud server version:
#### Web server error log
#### Nextcloud log (data nextcloud.log)
************ CAUSE OF ERROR ************
************ APP INFORMATION ************
Build flavor: generic
************ DEVICE INFORMATION ************
************ FIRMWARE ************</t>
  </si>
  <si>
    <t>stefan-niedermann-nextcloud-notes-604</t>
  </si>
  <si>
    <t>Crash upon cutting the last item of a bullet list</t>
  </si>
  <si>
    <t>Notes version: 1.0.0
Android version: 9.0
make list of items, using notation for each list item
select last item
*Notes* crashes with following log</t>
  </si>
  <si>
    <t>forrestguice-SuntimesWidget-365</t>
  </si>
  <si>
    <t>full moon allarm/notification</t>
  </si>
  <si>
    <t>if set alarm for full moon with offset before 2d and 2h or more the app crash.</t>
  </si>
  <si>
    <t>2019-10-11</t>
  </si>
  <si>
    <t>mukeshsolanki-country-picker-android-84</t>
  </si>
  <si>
    <t>Crash by rotating the screen with BottomSheet style</t>
  </si>
  <si>
    <t>### Subject of the issue
crash occurs by rotating the screen with BottomSheet dialog while it is opened
### Steps to reproduce
1) Using BottomSheet style open the picker
2) Rotate the screen
### Expected behaviour
Picker remains open
### Actual behaviour
Npe during initiateUi(</t>
  </si>
  <si>
    <t>nextcloud-android-4662</t>
  </si>
  <si>
    <t>Crash on opening conflicting markdown file</t>
  </si>
  <si>
    <t>### Actual behaviour
edited file tmr.md from my notes folder with the markor app
on opening in nextcloud app afterwards nextcloud app briefly showed conflict dialog, then crashed
### Expected behaviour
### Steps to reproduce
1. see above
### Environment data
Device model: P024
Stock or customized system: stock
Nextcloud app version: unsure
Nextcloud server version: 16
This is from the app crash report:
************ CAUSE OF ERROR ************
************ APP INFORMATION ************
Build flavor: generic
************ DEVICE INFORMATION ************
************ FIRMWARE ************</t>
  </si>
  <si>
    <t>nextcloud-android-4661</t>
  </si>
  <si>
    <t>Android for Work COPE - App crash Android 9.0</t>
  </si>
  <si>
    <t>Problem exists only in Android 9.0 devices
************ CAUSE OF ERROR ************
************ APP INFORMATION ************
Build flavor: gplay
************ DEVICE INFORMATION ************
************ FIRMWARE ************</t>
  </si>
  <si>
    <t>nextcloud-android-4660</t>
  </si>
  <si>
    <t>App crashes on login</t>
  </si>
  <si>
    <t>### Actual behaviour
Keeps crashing afer logged in on my Nextcloud server. Worked fine before updated the server from 16 to 17.
Dev version also crashes
### Expected behaviour
hoped it would not crash
### Steps to reproduce
1. Install android app
2. Login into your account
3. Wait for 1-2 sec
### Environment data
Stock or customized system:
Nextcloud app version:
Nextcloud server version:
#### Web server error log
There was nothing in the logs
#### Nextcloud log (data nextcloud.log)
Nothing of relevance here either
App crash report
************ CAUSE OF ERROR ************
************ APP INFORMATION ************</t>
  </si>
  <si>
    <t>JPGalovic-Daydreamer_COS30017_AD-1</t>
  </si>
  <si>
    <t>App crashes on Initial Run</t>
  </si>
  <si>
    <t>Issue seems to be caused by File Manager, Debug reporting Fatal Exception, Out of Bounds Exception on copyFiles()</t>
  </si>
  <si>
    <t>material-components-material-components-android-668</t>
  </si>
  <si>
    <t>TextInputLayout with TextInputEditText fast input crash</t>
  </si>
  <si>
    <t>If type quickly into the TextInputEditText my app crashes silently (there is no output to Android Studio logcat).
However, if type slowly into the TextInputEditText, there is no crash.
would expect that typing quickly into the TextInputEditText does not cause crash.
&lt;?xml version 1.0 encoding utf-8 ?&gt;
class AddCardFragment Fragment()
private fun newInstance() AddCardFragment()
private var null
val fragmentInstance newInstance()
const val NO CUSTOMIZATION SUPPLIED
No customization object has been provided to the AddCardFragment
private lateinit var viewModel: AddCardViewModel
private lateinit var binding:
override fun onCreateView(
R.layout.add card fragment, container, false)
override fun Bundle?)
if (it) View.VISIBLE else View.GONE
**Android API version:**
**Material Library version:**
However, have also tried with number of the 1.1.0-alpha libraries and the issue is still present.
Android Emulator running on Mac (Pixel API 28) and on Pixel XL physical device running Android</t>
  </si>
  <si>
    <t>2019-10-10</t>
  </si>
  <si>
    <t>harshsri2208-MEME-1</t>
  </si>
  <si>
    <t>App stops on sharing</t>
  </si>
  <si>
    <t>When we press the share button after creating the meme the app crashes</t>
  </si>
  <si>
    <t>2019-10-09</t>
  </si>
  <si>
    <t>nextcloud-android-4634</t>
  </si>
  <si>
    <t xml:space="preserve">android.app.RemoteServiceException: Context.startForegroundService() did not then call </t>
  </si>
  <si>
    <t>************ CAUSE OF ERROR ************
************ APP INFORMATION ************
Build flavor: gplay
************ DEVICE INFORMATION ************
************ FIRMWARE ************
### Actual behaviour
got error message Nextcloud crashed
### Expected behaviour
None in particular
### Steps to reproduce
### Environment data
Stock or customized system:
Nextcloud app version:
Nextcloud server version:
#### Web server error log
Insert your webserver log here
#### Nextcloud log (data nextcloud.log)
Insert your Nextcloud log here</t>
  </si>
  <si>
    <t>nextcloud-android-4628</t>
  </si>
  <si>
    <t>Android App crashes on Sync, when Folder was changed</t>
  </si>
  <si>
    <t>### Actual behaviour
Android APP crashes when synching with Server
### Expected behaviour
Changed Folder should resync
### Steps to reproduce
1. Create Folder with some Files in it
2. Open the Android App and open and some files in this Folder and Subfolders
3. Change something Outside the Android App in the Folder
4. Open App an go again in the Folder or resync it
### Environment data
Device model: Oneplus A3003
Stock or customized system:
Customized System with based in Lineage OS
Nextcloud app version: 3.8.0
Nextcloud server version: 16.0.5
************ CAUSE OF ERROR ************
************ APP INFORMATION ************
Build flavor: generic
************ DEVICE INFORMATION ************
************ FIRMWARE ************</t>
  </si>
  <si>
    <t>2019-10-08</t>
  </si>
  <si>
    <t>react-native-camera-react-native-camera-2525</t>
  </si>
  <si>
    <t>Android random crash on Camera1 setDisplayOrientation</t>
  </si>
  <si>
    <t>**To Do First**
Did you try latest release?
Did you try master?
Did you look for existing matching issues?
&lt;!--Comment in the related ones--&gt;
&lt;!--Please add the used versions branches or leave blank and comment in the optionals if used--&gt;
**Description Current Behaviour**
Our crash reporting have just reported an unhandled exception from
The reason of this is quite unknown and random, but guess we should have try catch somewhere there. See stack trace below.
In addition, the error happened after continuously rotating the device in about 15 seconds intervals.
Any ideas why would Android API refuse to set the display orientation? sorry if the error is not that good, but that all that was reported.
if setting orientation fails usually this would be because of hardware or other low-level error, or because release() has been called on this Camera instance.
&lt;!--place your expected behaviour below--&gt;
**Steps to Reproduce**
Steps to reproduce are unknown.
set display orientation failed</t>
  </si>
  <si>
    <t>smartdevicelink-sdl_java_suite-1193</t>
  </si>
  <si>
    <t>NPE when using Static Icons in the MenuManager</t>
  </si>
  <si>
    <t>### Bug Report
When attempting to use Static Icon via the MenuManager, occurs with the following stack trace:
##### Reproduction Steps
1. Attempt to create menu item with static icon
##### Expected Behavior
The provided static icon appears in the HMI next to the specified menu item
##### Observed Behavior
App crashes with
##### OS Version Information
Android Version: 9, Pixel 11 Emulator
SDL Android Version: develop branch
Testing Against: Core develop branch Generic HMI develop branch
##### Test Case, Sample Code, and or Example App
final MenuCell new MenuCell( new CALL), null, new
public void trigger)</t>
  </si>
  <si>
    <t>material-components-material-components-android-661</t>
  </si>
  <si>
    <t>[FloatingActionButton] App crashes because of shapeAppearance on FAB</t>
  </si>
  <si>
    <t>**Expected behavior:** It should not crash.
Here is the problem, making cornerSizeTopRight and to 30dp is causing the crash.
link to the Gif (https: github.com ashraf-patel blob master gifs 30dpCorners.gif)
&lt;style name parent
&lt;item name cornerFamily &gt;rounded&lt; item&gt;
&lt;item name cornerSizeTopLeft &gt;0dp&lt; item&gt;
&lt;item name cornerSizeTopRight &gt;30dp&lt; item&gt;
&lt;item name &gt;0dp&lt; item&gt;
&lt;item name &gt;30dp&lt; item&gt;
&lt;style name parent
&lt;item name cornerFamily &gt;rounded&lt; item&gt;
&lt;item name cornerSizeTopLeft &gt;0dp&lt; item&gt;
&lt;item name cornerSizeTopRight &gt;0dp&lt; item&gt;
&lt;item name &gt;0dp&lt; item&gt;
&lt;item name &gt;0dp&lt; item&gt;
**Android API version:** OS: 8.0
**Material Library version:** 1.1.0-beta01
**Issue in original repository:** https: github.com android sunflower issues 519</t>
  </si>
  <si>
    <t>TeamNewPipe-NewPipe-2704</t>
  </si>
  <si>
    <t>any video play triggers recaptcha and ui crashes</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</si>
  <si>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GB
OS: Linux Android 28
any video play triggers recaptcha and ui crashes
log&lt; b&gt;&lt; summary&gt;&lt;p&gt;</t>
  </si>
  <si>
    <t>react-native-camera-react-native-camera-2523</t>
  </si>
  <si>
    <t>crash on iphone 6+, ios 12.2</t>
  </si>
  <si>
    <t>**Description Current Behaviour**
Crash when take photo with takePictureAsync()
try debug in RNCamera.m then see crash at</t>
  </si>
  <si>
    <t>JakeWharton-dagger-reflect-175</t>
  </si>
  <si>
    <t>dagger-reflect does not resolve Provider/Lazy indirection based dependency cycles</t>
  </si>
  <si>
    <t>Running following code:
fun provideFactory(): TestFactory
abstract class MainModule
abstract fun bindA(testClassA: TestClassA): Any
class TestFactory Inject constructor(
private val providers: Map&lt; Class&lt;*&gt;, Provider&lt;Any&gt;&gt;
fun createA(): TestClassA
Suppress( UNCHECKED CAST
return (providers as
class TestClassA Inject constructor(val factory: TestFactory)
Snapshot fetched on Mon Oct 2019 8:00:00 UTC&gt;
Will result in following crash:
Exception in thread main Dependency cycle for test.TestFactory
from Map class test.TestClassA Binds
which forms cycle.
Kapt dagger handles this code fine.</t>
  </si>
  <si>
    <t>2019-10-07</t>
  </si>
  <si>
    <t>skynet-im-skynet-android-8</t>
  </si>
  <si>
    <t>Message selection UI fault</t>
  </si>
  <si>
    <t>**Describe the bug**
When the user selects messages in chat the app sometimes doesn display the correct message as selected but usually one message above. Twometer mentioned that this can even lead to crashes in some cases.
The UI should always show the message selected that the user clicked on.</t>
  </si>
  <si>
    <t>getsentry-sentry-java-773</t>
  </si>
  <si>
    <t>Crash in capture method on Huawei devices</t>
  </si>
  <si>
    <t>have not been able to reproduce yet, but getting significant amount of crashes reported in Google Play where trying to send non-fatal exception causes fatal exception to be thrown.
Although this is probably bug in the OS, think it would be good to not crash the app when trying to report non-fatal crash</t>
  </si>
  <si>
    <t>nextcloud-android-4618</t>
  </si>
  <si>
    <t>Nextcloud client android crashes caller no longer running</t>
  </si>
  <si>
    <t>### Actual behaviour
Out of nowhere this morninf, nextcloud client android crashes each time open it.
### Expected behaviour
It should open normally.
### Steps to reproduce
1. Open nextcloud client.
### Environment data
Stock or customized system:
Nextcloud app version:
Nextcloud server version:
Also, have two nextcloud server, identical in version.
#### Web server error log
No real log: there are logs relates to my PC nextcloud client but nothing for android when it crashes.
#### Nextcloud log (data nextcloud.log)
Nextcloud client stacktrace log
************ CAUSE OF ERROR ************
Caused by: Caller no longer running, last stopped +2s616ms because: timed out while starting
************ APP INFORMATION ************
Build flavor: generic
************ DEVICE INFORMATION ************</t>
  </si>
  <si>
    <t>jMonkeyEngine-jmonkeyengine-1197</t>
  </si>
  <si>
    <t>ClassCastException in LODGeomap.createMesh()</t>
  </si>
  <si>
    <t>In recent master branch, crashes with the following stack trace:
quick glance at the source code suggests this has to do with PR #1136.</t>
  </si>
  <si>
    <t>greenaddress-abcore-98</t>
  </si>
  <si>
    <t>Target Android 9, to allow Android 10 devices to execute binaries from app home dir</t>
  </si>
  <si>
    <t>Android 10 won allow apps targeting Android 10 to excute binaries from its app home directory. Currently this causes ABCore on Android 10 to fail launching tor and bitcoind and crash soon afterwards.
This PR rolls back ABCore to target Android (API level 28) in order to fix this temporarily. See issue #97 for more details and discussion of future options</t>
  </si>
  <si>
    <t>2019-10-06</t>
  </si>
  <si>
    <t>nextcloud-android-4615</t>
  </si>
  <si>
    <t>Crash after granting app permission for login</t>
  </si>
  <si>
    <t>### Actual behaviour
### Expected behaviour
app should show files in account
### Steps to reproduce
1. Login to your nextcloud instance
2. Grant the permission for app to login
3. Grant or prevent file permission (for android system) that app requests from you
4. App crashes
5. Open app again and app crashes even after force stop and...
### Environment data
Device model: Honor 10 lite
Stock or customized system: stock work profile
Nextcloud app version: latest 3.8.0
Nextcloud server version: 16.0.4
#### Web server error log
Insert your webserver log here
#### Nextcloud log (data nextcloud.log)
Insert your Nextcloud log here
************ CAUSE OF ERROR ************
************ APP INFORMATION ************</t>
  </si>
  <si>
    <t>nextcloud-android-4614</t>
  </si>
  <si>
    <t>[Crash] Couldn't read row 1062</t>
  </si>
  <si>
    <t>### Actual behaviour
App crashes when updating files view
### Expected behaviour
Should not crash
### Steps to reproduce
0. Have large nextcloud instance?
1. Open the app
2. Swipe down in the files view
3. App becomes unresponsive and crashes. (App seems to always crash with Couldn read row 1062
************ CAUSE OF ERROR ************
************ APP INFORMATION ************
Build flavor: gplay
************ DEVICE INFORMATION ************
************ FIRMWARE ************</t>
  </si>
  <si>
    <t>Haptic-Apps-Slide-3076</t>
  </si>
  <si>
    <t>Slide crashes when clicking image of certain post</t>
  </si>
  <si>
    <t>Slide version: 6.2.2
Android version: (Huawei P30)
Slide crashes when click on the image of this post:
This does not happen for other posts.</t>
  </si>
  <si>
    <t>project-travel-mate-Travel-Mate-730</t>
  </si>
  <si>
    <t>Bug:Delhi weather forecast causes app crash</t>
  </si>
  <si>
    <t>nextcloud-android-4610</t>
  </si>
  <si>
    <t>Changing the account/domain does not work</t>
  </si>
  <si>
    <t>### Actual behaviour
changed the domain of my nc install. As In wanted to change the same in the apps account settings. After the basic input wanted to see the details for the second account but at first the app did not load for long time and than it crashed.
### Expected behaviour
App accepts the new domain and lets me proceed.
### Steps to reproduce
1. Open account setting.
2. Add new account.
3. App freezes or quits.
### Environment data
Android version: 8.1
Device model: Moto G5
Stock or customized system: Stock
Nextcloud app version: 3.8.9
Nextcloud server version: 16.0.5
#### Web server error log
Could not find that one :-)
#### Nextcloud log (data nextcloud.log)
************ CAUSE OF ERROR ************
************ APP INFORMATION ************
Build flavor: generic</t>
  </si>
  <si>
    <t>ZiiS-HueWidgets-4</t>
  </si>
  <si>
    <t>Fix crashes due to wrong account types</t>
  </si>
  <si>
    <t>On some real devices we are given accounts which don belong
to us, then get exceptions when we try and use them. Add
defensive code to ingnore unrequested accounts.</t>
  </si>
  <si>
    <t>2019-10-05</t>
  </si>
  <si>
    <t>MozillaReality-FirefoxReality-1918</t>
  </si>
  <si>
    <t>Handle exceptions thrown by java.net.URI</t>
  </si>
  <si>
    <t>Handles the following crashes from unhandled exceptions:</t>
  </si>
  <si>
    <t>2019-10-04</t>
  </si>
  <si>
    <t>bluelinelabs-Conductor-567</t>
  </si>
  <si>
    <t>NullPointerException with unregisterForActivityResults</t>
  </si>
  <si>
    <t>am using the 3.0.0-rc2 version of conductor and seeing this crash occasionally when popping current controller:
ve reviewed few of the previous issues and they are marked as closed from the 2.x version.
Any suggestions or direction here?</t>
  </si>
  <si>
    <t>moberwasserlechner-capacitor-oauth2-55</t>
  </si>
  <si>
    <t>Android crash with NullPointerException</t>
  </si>
  <si>
    <t>In google console see handful of crashes with the following stacktrace attached
Any idea what might be causing this?
Using version 1.0.1 with the following invocation:</t>
  </si>
  <si>
    <t>opentok-opentok-react-native-357</t>
  </si>
  <si>
    <t>Android crash: Exception in native call from JS</t>
  </si>
  <si>
    <t>Android (Galaxy S9):
Crashes when disconnecting from the call.
Happens when calls the SDK method of Session.java
**Steps to reproduce**
Just leave the call on Android with other users (doesn happen every time though).
**Relevant logs and or screenshots**
Screenshot 20190926-145530 29k dev (https: 52274775</t>
  </si>
  <si>
    <t>2019-10-03</t>
  </si>
  <si>
    <t>cgeo-cgeo-7875</t>
  </si>
  <si>
    <t>cgeo wont run unless you update Google Play Services</t>
  </si>
  <si>
    <t>While trying quick check of current nightlies on different test devices encountered the following:
Samsung Galaxy S3 with older Cyanogen Mod running Android 6.0.1
Enter credentials following first steps
Start live map
Instead of the live map prompt is shown saying c:geo won run unless you update Google Play Services and an Update button below.
Live map loading indication keeps showins but nothing happens
Clicking on Update makes c:geo crash
When changing the map source to OSM:Map the live map works normal. Only Google maps affected
Is this message produced by us or some side effect of something else
Probably this device does not have any Google Play Services on board (due to Cyanogen Mod), but have to doublecheck.
However this should not prevent the app (especially Google Maps) from working, should it?</t>
  </si>
  <si>
    <t>2019-10-02</t>
  </si>
  <si>
    <t>nextcloud-android-4603</t>
  </si>
  <si>
    <t>App crash during sync of folder</t>
  </si>
  <si>
    <t>### Actual behaviour
App crashes when syncing folder in background
### Expected behaviour
should sync the folder without crash
### Steps to reproduce
1. Sync folder
2. Put client into background
### Environment data
Stock or customized system:
Nextcloud app version:
Nextcloud server version:
************ CAUSE OF ERROR ************
************ APP INFORMATION ************
Build flavor: gplay
************ DEVICE INFORMATION ************
************ FIRMWARE ************</t>
  </si>
  <si>
    <t>evernote-android-job-591</t>
  </si>
  <si>
    <t>No virtual method setInitialDelay() with WorkManager 2.2.0</t>
  </si>
  <si>
    <t>Using the latest stable releases of android-job and WorkManager:
get this crash when try to schedule job:
This is the first time have tried to add the WorkManager dependency, so don know if it worked with older (or non-AndroidX) WorkManager versions. Previously was just using android-job default implementation without WorkManager, and that has always worked fine.
If remove the WorkManager dependency then everything works.
am using Jetifier.</t>
  </si>
  <si>
    <t>Alfresco-activiti-android-app-95</t>
  </si>
  <si>
    <t>[APS] Account - Application is crashing if the address to connect to contains spaces</t>
  </si>
  <si>
    <t>JIRA https: issues.alfresco.com jira browse ANDROID-858</t>
  </si>
  <si>
    <t>material-components-material-components-android-645</t>
  </si>
  <si>
    <t>[Theme.MaterialComponents] Theme.MaterialComponents crashes on devices &lt; 8.1</t>
  </si>
  <si>
    <t>am using stable version of Material components 1.0.0. am receiving this error on devices 8.1:
You need to use Theme.AppCompat theme (or descendant) with this activity.
In my AndroidManifest.xml am using:
android:theme style AppTheme
and in styles:
&lt;style name BaseAppTheme parent
Android versions 8.1 and above are working fine. My app supports minimum SDK 21.</t>
  </si>
  <si>
    <t>nextcloud-android-4585</t>
  </si>
  <si>
    <t>can't login Android 6.0</t>
  </si>
  <si>
    <t>### Actual behaviour
app crashes after tap on login button
### Expected behaviour
shows up login screen
### Steps to reproduce
1. Open app
2. Tap on login button
3. App crashes
### Environment data
Android version: 6.0
Device model: Meizu pro (M570H)
Stock or customized system: Flyme 6.3.0.0G
Nextcloud app version: 3.8.0
Nextcloud server version: 16.0
#### Web server error log
can even input server address in app
#### Nextcloud log (data nextcloud.log)
can even input server address in app</t>
  </si>
  <si>
    <t>2019-09-30</t>
  </si>
  <si>
    <t>fossasia-open-event-organizer-android-1951</t>
  </si>
  <si>
    <t>App crashes when "share" is clicked.</t>
  </si>
  <si>
    <t>**Describe the bug**
After creating new event, app crashes when share option is clicked.
1. Create new Event.
2. Open Navigation Drawer.
3. Click on share option.
&lt;!-- Please complete the following information --&gt;
Android Version Pie
**Would you like to work on the issue?**
&lt;!-- Please let us know if you can work on it or the issue should be assigned to someone else. --&gt;
Other: Open to all.</t>
  </si>
  <si>
    <t>oliexdev-openScale-498</t>
  </si>
  <si>
    <t>MQTT Crashes app</t>
  </si>
  <si>
    <t>Updated to latest build this morning, enabled MQTT on Samsung A7 2018 (Android Pie) phone and as soon as clicked on the username field and press backspace few times the app crashes... When restarting the app crashes immediatley have to uninstall the app completely and reinstall the app to get it to work again.
Have done it times now and it always crashes when take away the username.
Build version: 0.3</t>
  </si>
  <si>
    <t>nextcloud-android-4581</t>
  </si>
  <si>
    <t>Crash on conflict</t>
  </si>
  <si>
    <t>### Actual behaviour
When file is found to be conflicted there is null pointer exception once the dialog stating the file is conflicted opens.
### Expected behaviour
It shouldn crash
### Steps to reproduce
1. Edit file locally that fails sync
2. Edit the same file on different computer device that does successfully sync
3. Re-try opening the file on the device that failed sync
### Environment data
Stock or customized system:
Nextcloud app version:
Nextcloud server version:
#### Web server error log
Insert your webserver log here
#### Nextcloud log (data nextcloud.log)
Insert your Nextcloud log here</t>
  </si>
  <si>
    <t>2019-09-29</t>
  </si>
  <si>
    <t>aws-amplify-aws-sdk-android-1226</t>
  </si>
  <si>
    <t>Crashes related to com.amazonaws.internal.keyvaluestore.KeyProvider23.getKey</t>
  </si>
  <si>
    <t>**Describe the bug**
am getting such crashes on fabric report and play store Android Vitals section.
KeyProvider23.java line 73
code sample or steps:
**Which AWS service(s) are affected?** S3
While uploading is being initiated it crashing cause of
If applicable, add screenshots to help explain your problem.
**Environment Information (please complete the following information):**
AWS Android SDK Version: 2.14.2
Device: Karbon, Nokia
Android Version: Marshmallow
Specific to simulators: No
am continuously posting problems but not getting any satisfactory results and not on time. Losing confidence of thousands of users. Hope will get proper fix.</t>
  </si>
  <si>
    <t>nextcloud-android-4579</t>
  </si>
  <si>
    <t>Moving over 2500 pictures results in crash</t>
  </si>
  <si>
    <t>### Actual behaviour
selected over 2500 pictures to move them into folder. Select, hit move in the menu, app crashed
### Expected behaviour
select, hit move select target folder, move all files.
### Steps to reproduce
1. Select over 2500 pictures
2. Hit move in the menu
over 2500 pictures, don know which number is the turning point from working to crashing
### Environment data
************ CAUSE OF ERROR ************
... 25 more
************ APP INFORMATION ************
Build flavor: gplay
************ DEVICE INFORMATION ************
************ FIRMWARE ************
Stock or customized system: stock
Nextcloud app version:
Nextcloud server version:
#### Web server error log
Insert your webserver log here</t>
  </si>
  <si>
    <t>nextcloud-android-4578</t>
  </si>
  <si>
    <t>Crash in Favorites</t>
  </si>
  <si>
    <t>### Actual behaviour
Tell us what happens
Nextcloud App crashed when selected Favorites in the menu.
#### Nextcloud log (data nextcloud.log)
************ CAUSE OF ERROR ************
************ APP INFORMATION ************
Build flavor: gplay
************ DEVICE INFORMATION ************
************ FIRMWARE ************</t>
  </si>
  <si>
    <t>osmdroid-osmdroid-1407</t>
  </si>
  <si>
    <t>speech bubble causes crash after back button during animation</t>
  </si>
  <si>
    <t>Please note: issues related to or caused by osmbonuspack will be closed with
suggestion to open an issue at https: github.com MKergall osmbonuspack
(feel free to delete whatever doesn apply)
## Issue Type
Build system related
## Description and or steps code to reproduce the problem
### If it bug, version(s) of android this affects:
### Version of osmdroid the issue relates to:
Handing Exception on to default ExceptionHandler</t>
  </si>
  <si>
    <t>2019-09-28</t>
  </si>
  <si>
    <t>SkyTubeTeam-SkyTube-571</t>
  </si>
  <si>
    <t>[bug] configure channel blocking at the subscribe page leading to fatal crash</t>
  </si>
  <si>
    <t>have searched the history issue list, and have not found similar bug.
The bug was found in the latest release version 2.965 and also the previous version 2.964, and were reproduciable on both Google Plxel and an Android emulator 6.0 device
Bug: go to the subscribe page of an video, and try to configure blocking channels, the app will crash
SkyTube-Extra-2 (https: 3156978
-Crash stack (from the latest release version 2.965)
FATAL EXCEPTION: main
Force finishing activity</t>
  </si>
  <si>
    <t>nextcloud-android-4574</t>
  </si>
  <si>
    <t>Android client crashed twice in Dex on Note 10+</t>
  </si>
  <si>
    <t>2019-09-27</t>
  </si>
  <si>
    <t>SanojPunchihewa-f5n-12</t>
  </si>
  <si>
    <t>f5n crashes when 'home' button is pressed while running a pipeline</t>
  </si>
  <si>
    <t>this think we have to discuss. user would prefer to run the pipeline on the background.</t>
  </si>
  <si>
    <t>SecUSo-privacy-friendly-qr-scanner-53</t>
  </si>
  <si>
    <t>App crashes when scanning QR code with vcard</t>
  </si>
  <si>
    <t>The app crashes when scan QR code with (valid) vcard. The vcard info is shown after the scan for moment, before the crash message from Android appears.
installed the app from Google Play Store and have the latest version installed. am using Android on Nokia 6.1 with the latest updates available from Nokia.</t>
  </si>
  <si>
    <t>geosolutions-it-smb-android-108</t>
  </si>
  <si>
    <t>Crash when opening available competition</t>
  </si>
  <si>
    <t>The app crashes clicking on comptetition inside the list of Disponibili</t>
  </si>
  <si>
    <t>material-components-material-components-android-632</t>
  </si>
  <si>
    <t>[BottomSheetDialog] Crash when call dimiss()</t>
  </si>
  <si>
    <t>Implemented and when tried to dimiss the by calling dismiss() its throw error
**Expected behavior:** its shouldn crash
**Source code:** The code snippet which is causing this issue. Please consider attaching minimal sample app that reproduces the issue.
**Android API version:** 23
**Material Library version:** 1.1.0-alpha10
To help us triage faster, please check to make sure you are using the latest version (https: github.com material-components releases) of the library.
We also happily accept pull requests (https: github.com material-components pulls).</t>
  </si>
  <si>
    <t>material-components-material-components-android-631</t>
  </si>
  <si>
    <t>[MaterialDatePicker] Crash on SingleDateSelector when erasing typed in date</t>
  </si>
  <si>
    <t>1. Show the MaterialDatePicker for selecting single date
1. Click on the edit toggle to go to the TextInputEditText view
1. Type one digit
1. Erase the digit
1. crash will occur
**Expected behavior:** The field should be empty with no crash.
The issue seems to be that within onTextChanged passes null into onValidDate (line 64), which SingleDateSelector passes into select (line 115), which has the signature public void select(long selection) and can accept null values.
**Android API version:** Tested on API 29
**Material Library version:** 1.1.0-alpha10</t>
  </si>
  <si>
    <t>2019-09-26</t>
  </si>
  <si>
    <t>nextcloud-android-4562</t>
  </si>
  <si>
    <t>App crash while opening photo</t>
  </si>
  <si>
    <t>Opened app, opened sub menu photos, clicked one of the photos, then the app crashed with this:
************ CAUSE OF ERROR ************
************ APP INFORMATION ************
Build flavor: generic
************ DEVICE INFORMATION ************
************ FIRMWARE ************</t>
  </si>
  <si>
    <t>nextcloud-android-4561</t>
  </si>
  <si>
    <t>Just start from PlayMarket try login, crash</t>
  </si>
  <si>
    <t>### Actual behaviour
### Expected behaviour
Must be enter login menu to site
### Steps to reproduce
1. Play Market
### Environment data
Device model: meizu 5s
Stock or customized system:
Nextcloud server version:undefined
#### Nextcloud log (data nextcloud.log)
************ CAUSE OF ERROR ************
************ APP INFORMATION ************
Build flavor: gplay
************ DEVICE INFORMATION ************
************ FIRMWARE ************</t>
  </si>
  <si>
    <t>opensrp-opensrp-client-giz-malawi-116</t>
  </si>
  <si>
    <t>Disable adding mothers from child registration into the ANC register</t>
  </si>
  <si>
    <t>These mothers have incomplete information that causes the app to crash
Also create an issue for fixing the crash when the</t>
  </si>
  <si>
    <t>square-okhttp-5497</t>
  </si>
  <si>
    <t>Unknown Error: "???" okhttp3.internal.http2.Http2Writer.data</t>
  </si>
  <si>
    <t>using retrofit on my Android Project and got report from crashlytics but surprisingly has no stack trace:
These are my dependencies concerning this issue.
Any chance we can identify such occurrence? Device used is Samsung Galaxy Tab A, Android Pie (9)</t>
  </si>
  <si>
    <t>nextcloud-android-4556</t>
  </si>
  <si>
    <t>App opens itself and crashes then</t>
  </si>
  <si>
    <t>Since the last update get random crashes out of nowhere, the App opens itself and displays this message:
************ CAUSE OF ERROR ************
Caused by: Caller no longer running, last stopped +3s780ms because: timed out while starting
************ APP INFORMATION ************
Build flavor: gplay
************ DEVICE INFORMATION ************
************ FIRMWARE ************
Also sometimes the App opens itself to ask for Fingerprint Password. It doesn accept the password fingerprint though and asks again. This happened 10 times while writing this.</t>
  </si>
  <si>
    <t>ponewheel-android-ponewheel-98</t>
  </si>
  <si>
    <t xml:space="preserve">Listing ride activities crashes </t>
  </si>
  <si>
    <t>It looks like on the latest release exporting the logs is broken. It likely still is logging the CSV, just crashing when trying to open the activity and or share the logs. And obscure error is obscure, deep in the bad choice decision by me at the time to use databinding for the UI and observables... and might be result of updating the target SDK.
Might also relate to https: github.com ponewheel android-ponewheel issues 30</t>
  </si>
  <si>
    <t>2019-09-25</t>
  </si>
  <si>
    <t>nextcloud-android-4553</t>
  </si>
  <si>
    <t>Start and crash after setup</t>
  </si>
  <si>
    <t>### Actual behaviour
start and crash
or if not yet setup, start setup and crash
### Expected behaviour
well no crash
### Steps to reproduce
### Environment data
Xperia xa2 (H3113)
Stock or customized system:
Nextcloud app version:
Nextcloud server version:
#### app error log
************ CAUSE OF ERROR ************
************ APP INFORMATION ************
Build flavor: gplay
************ DEVICE INFORMATION ************
************ FIRMWARE ************</t>
  </si>
  <si>
    <t>2019-09-24</t>
  </si>
  <si>
    <t>TeamNewPipe-NewPipe-2663</t>
  </si>
  <si>
    <t>Impossible to find or play any video</t>
  </si>
  <si>
    <t>carefully read the contribution guidelines (https: github.com TeamNewPipe NewPipe blob HEAD .github CONTRIBUTING.md) and agree to them.
checked if the issue feature exists in the latest version.
did use the incredible bugreport to markdown converter (https: to paste bug reports.
Since 2019 09 20 it is impossible to find or play (open) any video. Infinite loading on trending tab (it caused some UI error once, but can reproduce it to get crash report). App reinstalling did not help.
SoundCloud and MediaCCC services are working without any issues.
Please inform, if any additional information is needed.
Unable to find videos. Search suggestions are showing, search results not (error).
User Action: searched
Content Language: GB
OS: Linux Android 5.0.1 21
log&lt; b&gt;&lt; summary&gt;&lt;p&gt;
When opening link, any action (show info, open in player, etc.) causing error.
User Action: requested stream
Request: https: www.youtube.com watch?v -cdveCh1kQk, opened with video player
Content Language: GB
OS: Linux Android 5.0.1 21
log&lt; b&gt;&lt; summary&gt;&lt;p&gt;</t>
  </si>
  <si>
    <t>defold-extension-iap-3</t>
  </si>
  <si>
    <t>App crashes on Chinese Android device with no Google Play Services (DEF-1702)</t>
  </si>
  <si>
    <t>Comment from sofia.hedlund Samsung Galaxy Note med android 4.1.2. (det en Kinesiskt variant av Google android, de har inte google services det ska finnas en likadan Sthlm
Apparently we have sent two chinese mobiles to LQA team. However, they were two XIAOMI devices which havent tested on yet.
tested on XIAOMI device here today. It also crashed. If you contact debra.karneman She has might be able to lend you XIAOMI device.</t>
  </si>
  <si>
    <t>nextcloud-android-4549</t>
  </si>
  <si>
    <t>Android Mobile app crash in photos section</t>
  </si>
  <si>
    <t>Hack1nFzyz-Hack1nFzyz-3</t>
  </si>
  <si>
    <t>Invalid Class Exception</t>
  </si>
  <si>
    <t>** *Important! Please update to the latest version and retry before you submit new issue.**
## 1. Describe the bug
clear and concise description of what the bug is, and label it as bug
ICE when deserializing
## 2. To Reproduce
Steps to reproduce the behavior:
1. Click button (...)
2. Type (...)
3. Click button (...)
5. Error appears App crashes
## 3. Expected behavior
clear and concise description of what you expected to happen.
## 4. Environment:
Android Version e.g., Android 9.0 (...)
ROM Version e.g., Miui 10 9.6.13 Beta (...)
## 5. Additional Context
Add any other context about the problem here.</t>
  </si>
  <si>
    <t>2019-09-23</t>
  </si>
  <si>
    <t>greenrobot-EventBus-608</t>
  </si>
  <si>
    <t xml:space="preserve">Fatal crash when registering androidx.appcompat.widget.AppCompatEditText with EventBus </t>
  </si>
  <si>
    <t>Android API 17
public class SearchEditText extends AppCompatEditText
private boolean false
public context, AttributeSet attrs)
public context, AttributeSet attrs, int defStyleAttr)
super(context, attrs, defStyleAttr)
public boolean onKeyPreIme( int key code, KeyEvent event
if event null &amp;&amp; event.getKeyCode() KeyEvent.KEYCODE BACK &amp;&amp; event.getAction() KeyEvent.ACTION UP
return super.onKeyPreIme( key code, event
*error happens here
public void event)</t>
  </si>
  <si>
    <t>material-components-material-components-android-620</t>
  </si>
  <si>
    <t>[TabLayout]App crashes when badge is created then notifyDataSetChanged is called</t>
  </si>
  <si>
    <t>**Expected behavior:** should not crash the app, whether badge is set or not.
**Source code:** See sample project (https: github.com elshadsm blob master app src main java com example simple test application MainActivity.kt)
**Android API version:** 29
**Material Library version:** 1.1.0-alpha10</t>
  </si>
  <si>
    <t>privacyidea-privacyidea-authenticator-76</t>
  </si>
  <si>
    <t>The application crashes when it tries to load a broken firebase configuration</t>
  </si>
  <si>
    <t>This occurs when QR-code that contains broken firebase configuration is scanned and the configuration gets saved.</t>
  </si>
  <si>
    <t>material-components-material-components-android-619</t>
  </si>
  <si>
    <t>[TabLayout] Widget.MaterialComponents.TabLayout crash in 1.1.0-alpha10</t>
  </si>
  <si>
    <t>**Expected behavior:** Can use style style in version 1.1.0-alpha1 to 1.1.0-alpha10
**Android API version:** API 28
**Material Library version:** 1.1.0-alpha01 to 1.1.0-alpha10
To help us triage faster, please check to make sure you are using the latest version (https: github.com material-components releases) of the library.
We also happily accept pull requests (https: github.com material-components pulls).</t>
  </si>
  <si>
    <t>material-components-material-components-android-618</t>
  </si>
  <si>
    <t>[TabLayout] TabLayout crashes randomly.</t>
  </si>
  <si>
    <t>For simple implementation, have code that removes all tabs and adds them in one cycle.
The line crashes intermittently.
**Expected behavior:** Tabs are updated with the newest list reliable, all the time.
val tab listView.newTab()
**Android API version:** API 28
**Material Library version:** 1.0.0
To help us triage faster, please check to make sure you are using the latest version (https: github.com material-components releases) of the library.
We also happily accept pull requests (https: github.com material-components pulls).</t>
  </si>
  <si>
    <t>2019-09-22</t>
  </si>
  <si>
    <t>material-components-material-components-android-616</t>
  </si>
  <si>
    <t>[TabLayout] TabLayoutMediator crashes if page count decreases</t>
  </si>
  <si>
    <t>**Expected behavior:** Tabs are updated reflecting adapter state (new last tab is selected).
**Source code:** See sample project (https: github.com gmk57 TestViewPager blob master app src main java gmk57 testviewpager MainActivity.kt)
**Android API version:** 25, 28
**Material Library version:** 1.1.0-alpha10</t>
  </si>
  <si>
    <t>2019-09-21</t>
  </si>
  <si>
    <t>shiftlyapp-Shiftly-65</t>
  </si>
  <si>
    <t>Sharing crashes after merges of branches</t>
  </si>
  <si>
    <t>nextcloud-android-4534</t>
  </si>
  <si>
    <t>Client crashing when browsing files</t>
  </si>
  <si>
    <t>### Actual behaviour
Tell us what happens
Exception happens when trying to browse files:
************ CAUSE OF ERROR ************
************ APP INFORMATION ************
Build flavor: gplay
************ DEVICE INFORMATION ************
************ FIRMWARE ************
### Expected behavior
List of files is displayed.
### Steps to reproduce
1. Launch client that all
### Environment data
Stock or customized system:
Nextcloud app version:
Newest to date
Nextcloud server version:
Newest to date
#### Web server error log
Insert your webserver log here</t>
  </si>
  <si>
    <t>2019-09-20</t>
  </si>
  <si>
    <t>nextcloud-android-4531</t>
  </si>
  <si>
    <t>Password manager crash</t>
  </si>
  <si>
    <t>nextcloud-android-4525</t>
  </si>
  <si>
    <t>### Actual behaviour
Open Nextcloud app, Click login button crash
### Expected behaviour
Be able to use the app without it crashing
### Steps to reproduce
1. Install Nextcloud dev app (2019-09-14)
### Environment data
Stock or customized system:
Nextcloud app version: dev 2019-09-14
Nextcloud server version: 16
### Android App Crash Logs
************ CAUSE OF ERROR ************
************ APP INFORMATION ************
Build flavor: versionDev
************ DEVICE INFORMATION ************
************ FIRMWARE ************</t>
  </si>
  <si>
    <t>2019-09-19</t>
  </si>
  <si>
    <t>amplitude-Amplitude-Android-201</t>
  </si>
  <si>
    <t>NullPointerException when setting ID (possibly with wrong input)</t>
  </si>
  <si>
    <t>Fatal Exception: to invoke virtual method int on null object reference Raw Text
think this error should be caught, currently it crashes android application</t>
  </si>
  <si>
    <t>privacyidea-privacyidea-authenticator-75</t>
  </si>
  <si>
    <t>Application crashes when the keystore is unavailable</t>
  </si>
  <si>
    <t>If the android keystore is unavailable the application will crash. The user should get the information that the application does not support the device in that case (without the keystore nothing can be securely saved on the android device).</t>
  </si>
  <si>
    <t>nextcloud-android-4524</t>
  </si>
  <si>
    <t>Nextcloud Android app Crashes after logging in</t>
  </si>
  <si>
    <t>### Actual behaviour
Open Nextcloud app, crashes before any action happens
### Expected behaviour
Be able to use the app without it crashing
### Steps to reproduce
1. Install Nextcloud app
2. Connect to Nextcloud server
### Environment data
Android version: Android 10
Device model: Google Pixel XL
Stock or customized system: Stock
Nextcloud app version: Not sure. Downloaded from play store
Nextcloud server version: 16.04
#### Web server error log
************ CAUSE OF ERROR ************
************ APP INFORMATION ************
Build flavor: gplay
************ DEVICE INFORMATION ************
************ FIRMWARE ************
#### Nextcloud log (data nextcloud.log)</t>
  </si>
  <si>
    <t>nextcloud-android-4521</t>
  </si>
  <si>
    <t>### Actual behaviour
### Steps to reproduce
have NextCload app running in the background
### Environment data
Device model: Samsung SG5
Stock or customized system: LineageOS
************ CAUSE OF ERROR ************
************ APP INFORMATION ************
Build flavor: gplay
************ DEVICE INFORMATION ************
************ FIRMWARE ************</t>
  </si>
  <si>
    <t>2019-09-18</t>
  </si>
  <si>
    <t>nextcloud-android-4520</t>
  </si>
  <si>
    <t>Crash when deleting on Android app</t>
  </si>
  <si>
    <t>### Actual behaviour
When delete multiple photos from my Nextcloud in my Android app, it crashes.
### Expected behaviour
Delete witout crash.
### Environment data
Android version: 9.0
Device model: Redmi Note SD (mido)
Stock or customized system: custom Syberia OS
Nextcloud app version: 3.8.0
Nextcloud server version: 15.0.10 (Yunohost)
#### Web server error log
Insert your webserver log here
#### Nextcloud log (data nextcloud.log)
************ CAUSE OF ERROR ************
************ APP INFORMATION ************
Build flavor: gplay
************ DEVICE INFORMATION ************
************ FIRMWARE ************</t>
  </si>
  <si>
    <t>nextcloud-android-4519</t>
  </si>
  <si>
    <t xml:space="preserve">Application crash while setting up backup of a photo dir on Android </t>
  </si>
  <si>
    <t>innoveit-react-native-ble-manager-553</t>
  </si>
  <si>
    <t>[Android] ClassCastException in LollipopScanManager</t>
  </si>
  <si>
    <t>Android v7.1.2 (SHV40 u, AQUOS sense)
### Expected behaviour
No Exception, or can understand why App is Crashed by the logs.
### Actual behaviour
tried to scan some times, Exception occured and my App crashed.
In this case, There are no logs in Chrome console when use react-native run-android
### Steps to reproduce
1. kick BleManager.scan as follow param:
2. When failed to scan, retry this.
3. The ClassCastException occured after 20 seconds from step2
4. App crashed.
### Stack trace and console log
This is in Logcat of Android Studio:
This is the first time to submit issue in GitHub.
If need to write more information, kindly tell me.</t>
  </si>
  <si>
    <t>oliexdev-openScale-497</t>
  </si>
  <si>
    <t>Unable to sync to google</t>
  </si>
  <si>
    <t>**Describe the bug**
Unable to use openscale sync. Throws an error
Steps to reproduce the behavior:
1. Go to openScale sync
2. Click on manual sync
3. See error
Reproduced with latest openscale sync version on play store
Expected to sync
figure it crashed because there is some error in my data
Build version: 0.2
Attach debug log (see Settings -&gt; About -&gt; Save debug log to file) that is captured while reproducing the issue.</t>
  </si>
  <si>
    <t>material-components-material-components-android-608</t>
  </si>
  <si>
    <t xml:space="preserve">[DatePicker] Null pointer exception in mobile date picker </t>
  </si>
  <si>
    <t>1. Launch Material Date Picker in Catalog (Pickers -&gt; Demo -&gt; Launch Material Date Picker)
2. Select any day in the view so that it highlighted
3. Press the edit icon to switch to the TextInput field.
4. The TextInput field should be populated with the selected date.
5. Press the backspace key to erase the text.
6. The app will immediately crash after erasing the last character from the field.
Erasing the last character in the TextInput field should be erased.
**Android API version:**
**Material Library version:**
Samsung S8 and Pixel XL</t>
  </si>
  <si>
    <t>2019-09-17</t>
  </si>
  <si>
    <t>AnaelMobilia-NextINpact-Unofficial-250</t>
  </si>
  <si>
    <t>Crash lors du retour à l'article</t>
  </si>
  <si>
    <t>Crash lorsque appli est laiss longtemps sur la vue des commentaires.
Lorsque retour en arri re (dans article donc), application crashe.
Cause probable le context fournit depuis est plus valable.
try catch et relancer activit</t>
  </si>
  <si>
    <t>raphw-byte-buddy-732</t>
  </si>
  <si>
    <t>Spaces in executable name causes the program to crash</t>
  </si>
  <si>
    <t>when running mockito (and bytebuddy) in IntelliJ, the test run crashes since the java executable has spaces in the path. The problem anyhow is not spaces, but quoting paths that has spaces. Spaced paths should not be quoted. This fails when running the program.
Minimal repro of quotes in file name:
public class Hello
public static void main(String args) throws IOException
List&lt;String&gt; list new ArrayList&lt;String&gt;()
list.add( Applications IntelliJ IDEA 2019.3 EAP.app Contents jbr Contents Home bin java
ProcessBuilder builder new
catch (Exception e)
If take quotes off, the program runs fine. believe this might have been breaking change in some Java version. running java 12.0.1 and IntelliJ is running Java 11.0.4+12-b462.3 on macOS.
Related issue for IntelliJ: https: issue IDEA-222903</t>
  </si>
  <si>
    <t>material-components-material-components-android-605</t>
  </si>
  <si>
    <t>[Library] NoClassDefFoundError</t>
  </si>
  <si>
    <t>**Expected behavior:** Screenshots and or description of expected behavior
**Source code:** In my case am using the AltBeacon Library (https: altbeacon.github.io ), when start ranging beacons in Region the app crashes.
**Material Library version:** 1.1.0-alpha09 to alpha10</t>
  </si>
  <si>
    <t>lfuelling-lrkFM-38</t>
  </si>
  <si>
    <t>App crashes when creating 7z archive</t>
  </si>
  <si>
    <t>**Describe the bug**
Something wrong. App crashes when tap on 7z archive.
Bug was sent in via email.</t>
  </si>
  <si>
    <t>nextcloud-android-4517</t>
  </si>
  <si>
    <t>Synchronization crash</t>
  </si>
  <si>
    <t>************ CAUSE OF ERROR ************
************ APP INFORMATION ************
Build flavor: gplay
************ DEVICE INFORMATION ************
************ FIRMWARE ************
### Actual behaviour
Folder sync had no proggress
### Expected behaviour
sync should finish
### Steps to reproduce
1. Client already configured and have synced folder
2. On specific folder menu selecting sync
3. Waiting few minutes for the crush
### Environment data
Android version: 9.1
Stock or customized system: stock
Nextcloud app version: 3.8.0
Nextcloud server version: 16
#### Web server error log
Insert your webserver log here</t>
  </si>
  <si>
    <t>2019-09-16</t>
  </si>
  <si>
    <t>MozillaReality-FirefoxReality-1844</t>
  </si>
  <si>
    <t>Crash Report [@ java.net.URISyntaxException: at java.net.URI$Parser.fail(URI.java) ]</t>
  </si>
  <si>
    <t>&lt;!--- State the version number and build ID affected. --&gt;
&lt;!--- The build ID is obtained by clicking on the build date in settings. --&gt;
Firefox Reality version: 1.4
Firefox Reality build ID:
&lt;!--- Include the name and version of the hardware VR headset you experienced the bug in. --&gt;
## Steps to Reproduce
This is the second highest crasher on https: home product FirefoxReality for the FxR 1.4 release.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FxR should not crash.</t>
  </si>
  <si>
    <t>jellyfin-jellyfin-androidtv-157</t>
  </si>
  <si>
    <t>DTS playback downmixed</t>
  </si>
  <si>
    <t>When playing movie with DTS audio on my Philips Android TV or xiaomi Mibox, it is most often downmixed to stereo (AV receiver can see 5.1 input) and even sometime no sound or app crash.
Dolby digital audio tracks seem OK
direct play is activated in app settings DTS option also</t>
  </si>
  <si>
    <t>TeamNewPipe-NewPipe-2634</t>
  </si>
  <si>
    <t>App crash when downloading: permission denied (0.17.2)</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</si>
  <si>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GB
OS: Linux motorola athene athene:7.0 NPJ25.93-14 16:user release-keys 7.0 24
log&lt; b&gt;&lt; summary&gt;&lt;p&gt;
Caused by: Permission denied
... 10 more
saw #1544 but that should be fixed in 0.17 according to the linked issue.</t>
  </si>
  <si>
    <t>react-native-svg-react-native-svg-1108</t>
  </si>
  <si>
    <t>[iOS][crash]EXC_BAD_ACCESS: countByEnumeratingWithState:objects:count: &gt; setSrc: &gt; Attempted to dereference garbage pointer 0x30.</t>
  </si>
  <si>
    <t>API Levels: 23, 24, 25, 26, 27, 28
Build Tools: 23.0.1, 23.0.3, 25.0.1, 25.0.2, 25.0.3, 26.0.1, 26.0.2, 27.0.3, 28.0.2, 28.0.3
It crashed when keep switching pictures multiple times
this is error:</t>
  </si>
  <si>
    <t>nextcloud-android-4512</t>
  </si>
  <si>
    <t>App crashes on home folder (during refresh)</t>
  </si>
  <si>
    <t>### Actual behaviour
Open the app (already configured)
Wait it crash (if force refresh it will crash sooner
### Expected behaviour
### Environment data
1. Server has enabled
#### Nextcloud log (data nextcloud.log)
************ CAUSE OF ERROR ************
************ APP INFORMATION ************
Build flavor: versionDev
************ DEVICE INFORMATION ************
************ FIRMWARE ************</t>
  </si>
  <si>
    <t>2019-09-15</t>
  </si>
  <si>
    <t>nextcloud-android-4508</t>
  </si>
  <si>
    <t>Crash when navigating away from photos (photo details not opening)</t>
  </si>
  <si>
    <t>### Actual behaviour
### Expected behaviour
opening some details fragment?
### Steps to reproduce
1. Open photo tab
2. Tap on photo in the list
3. Tap on more and then details
4. Photo closes, back in the photo list, navigate to all files
5. Receive crash report and submit on GitHub
Nextcloud server version:
#### Web server error log
Insert your webserver log here
no log entries
#### Nextcloud log (data nextcloud.log)
************ CAUSE OF ERROR ************
************ APP INFORMATION ************
Build flavor: gplay
************ DEVICE INFORMATION ************
************ FIRMWARE ************</t>
  </si>
  <si>
    <t>2019-09-14</t>
  </si>
  <si>
    <t>nextcloud-android-4503</t>
  </si>
  <si>
    <t>Crashes after splash screen</t>
  </si>
  <si>
    <t>### Actual behaviour
Tell us what happens
The app crashes after splash screen.
### Expected behaviour
Tell us what should happen
The app should start.
### Steps to reproduce
1. Install app
3. Restart app
### Environment data
Stock or customized system:
Nextcloud app version:
Nextcloud server version:
#### Web server error log
Insert your webserver log here
#### Nextcloud log (data nextcloud.log)
Insert your Nextcloud log here</t>
  </si>
  <si>
    <t>fossasia-phimpme-android-2868</t>
  </si>
  <si>
    <t>Connect to us on facebook crashes</t>
  </si>
  <si>
    <t>**Describe the bug**
On clicking connect to us on facebook, the app crashes
1. Go to About
2. Click on Connect to facebook at the bottom
Should not crash
**Would you like to work on the issue?**
&lt;!-- Please let us know if you can work on it or the issue should be assigned to someone else. --&gt;</t>
  </si>
  <si>
    <t>cgeo-cgeo-7841</t>
  </si>
  <si>
    <t>Google Maps v2 crashes on targetSDK 28</t>
  </si>
  <si>
    <t>When changing targetDSK to 28 manually on today master branch, c:geo directly crashes when starting live map with Google Maps enabled.
This is on Android 10, started in an AS emulator session.</t>
  </si>
  <si>
    <t>2019-09-13</t>
  </si>
  <si>
    <t>raphw-byte-buddy-723</t>
  </si>
  <si>
    <t>VM crashes when using EmulatedAttachment on Windows 10 with long argument</t>
  </si>
  <si>
    <t>When the agent path plus the argument exceeds 272 chars, the VM crashes with the following message:
Process finished with exit code -1073741819 (0xC0000005)
When it more than 264 chars and less than 273 chars, the agentmain method receives truncated argument string.
You can reproduce that by modifying this test
Is that something that can be worked around fixed or is that an inherent Windows restriction? In the latter case, it probably better to fail fast within Byte Buddy than letting the VM crash.
similar restriction seems to apply for the emulated attach on Posix (Mac OS), as well as the non-emulated attach( but the limit seems to be around the 1000 char mark.</t>
  </si>
  <si>
    <t>fabienli-DokuwikiAndroid-8</t>
  </si>
  <si>
    <t>Crash when trying to sync</t>
  </si>
  <si>
    <t>On my Galaxy S2, when selecting the synchro item from the main menu, the app always crashes to desktop.
Screenshot of the stacktrace:
Unfortunately that all the crash report contained regarding the app itself.
Activating full debug logs doesn give additional info as well.</t>
  </si>
  <si>
    <t>react-native-share-react-native-share-583</t>
  </si>
  <si>
    <t>Illegal callback invocation from native module. This callback type only permits a single invocation from native code</t>
  </si>
  <si>
    <t>Crash with error Illegal callback invocation from native module. This callback type only permits single invocation from native code when you cancel sharing
### Steps to reproduce
1. Use iOS 13
2. Open share dialog using Share.open
3. Tap message for example
4. Cancel message
5. Cancel share
### Expected behaviour
There should be no crash
### Actual behaviour
**React Native version**: 0.60.5
**React Native platform platform version**: iOS 13.0
### Link to repo (highly encouraged)</t>
  </si>
  <si>
    <t>2019-09-12</t>
  </si>
  <si>
    <t>applivery-applivery-android-sdk-45</t>
  </si>
  <si>
    <t>Update package download location</t>
  </si>
  <si>
    <t>saw that you download the update packages in the public download folder. This is not problem for me right now, but if someone targets Android 10 (29) and does not set true in its manifest, this will crash on Android 10 devices. Would it be possible to use internal cache folder of the app instead It would have multiple benefits
Does not crash on Android 10 without
Ready for Android 11
No need to ask for the external storage permission
The cache folder can be cleaned by the system if space is needed
Programmatically speaking, it means replacing</t>
  </si>
  <si>
    <t>material-components-material-components-android-590</t>
  </si>
  <si>
    <t>[MaterialDatePicker] NPE after EditText becomes empty</t>
  </si>
  <si>
    <t>**Expected behavior:** It should handle the null value without any crash
**Source code:** Here how used it:
Log.d( Test it.toString())
**Android API version:** 29
**Material Library version:** 1.1.0-alpha10</t>
  </si>
  <si>
    <t>google-ExoPlayer-6425</t>
  </si>
  <si>
    <t>ArrayIndexOutOfBoundsException in ImaAdsLoader.updateImaStateForPlayerState</t>
  </si>
  <si>
    <t>we have videos with ads in our app, and we have in the ima extension. We don have specific scenario for this crash and it happens randomly on many devices. attach the stack trace below:
Fatal Exception: length index
my version is 2.10.3 and used google pixel 3XL android 9.0
&lt;!-- DO NOT DELETE
validate template true
template path .github ISSUE TEMPLATE bug.md</t>
  </si>
  <si>
    <t>square-react-native-square-reader-sdk-86</t>
  </si>
  <si>
    <t>Unable to start receiver com.squareup.queue.QueueService$BootReceiver: java.lang.SecurityException: getSerial: The user 10191 does not meet the requirements to access device identifiers</t>
  </si>
  <si>
    <t>### Describe the issue
When try to launch the app on Android (10) the app instantly crashes.
Error log details:
Caused by: getSerial: The user 10191 does not meet the requirements to access device identifiers.
**Environment (please complete the following information):**
Platform: Pixel XL on Android (10) device
version: https: github.com square commit
Android SDK version: 1.3.2
React Native Environment Info:
Android Studio: 3.4</t>
  </si>
  <si>
    <t>2019-09-11</t>
  </si>
  <si>
    <t>voxeet-voxeet-uxkit-android-4</t>
  </si>
  <si>
    <t>Crash when using camera on SDK levels &lt; 21</t>
  </si>
  <si>
    <t>**Describe the bug**
Voxeet crashes when turning on video on sdk lower than 21 while readme on repo site states that 16+ should be supported. Reproduced on multiple devices in sample app. Attached log from boot up of sample app to crash (Produced on Galaxy S3)
**Steps to Reproduce the Problem**
1. Join conference.
2. Turn on camera.
Device: Samsung Galaxy S3 (GT-I9300), LG Nexus
OS: Android 4.3, 4.4.4</t>
  </si>
  <si>
    <t>Alfresco-activiti-android-app-88</t>
  </si>
  <si>
    <t>ANDROID-840 [APS] Application crashes when showing specific forms</t>
  </si>
  <si>
    <t>JIRA https: issues.alfresco.com jira browse ANDROID-840</t>
  </si>
  <si>
    <t>react-native-svg-react-native-svg-1099</t>
  </si>
  <si>
    <t>Application keeps crashing when using svg with xlinkHref</t>
  </si>
  <si>
    <t>Everytime try to import the following svg into the application it crashes and im forced to reinstall it, here my svg code,
import React from react
import Svg, Defs, LinearGradient, Stop, G, Path from react-native-svg
const SvgComponent (props)
&lt;Svg viewBox 340.24 340.22 ...props
gradientTransform rotate(45 2934.26 4030.054)
&lt;Stop offset stopColor #fff stopOpacity
&lt;Stop offset stopColor #fff
&lt;G data-name Layer
M175 192.69a42.08 42.08 00-29.86 12.36l-99 99a139.82 139.82 0099.29 42.13 00175 192.69z
transform translate(-4.88 -4.89)
fill url(#prefix a)
M6.89 4.89l138.22 138.23a42.3 42.3 0059.79 0l98-98a139.74 139.74 00-98.2-40.23z
transform translate(-4.88 -4.89)
fill url(#prefix b)
M175 155.48a42.08 42.08 01-29.86-12.36L6.89 139.8 0046 303.91l.11.1 99-99a42.3 42.3 0159.79 0l140 140h.2V145.43A140 140 00303.91 98A42.13 42.13 01175 155.48z
transform translate(-4.88 -4.89)
fill url(#prefix c)
export default SvgComponent
think the issue is related to **xlinkHref**, beucase all the over svg have worked so far but none had xlinkHref.</t>
  </si>
  <si>
    <t>Alfresco-activiti-android-app-85</t>
  </si>
  <si>
    <t>ANDROID-776 [APS] Application is crashing when loading processes in specific states</t>
  </si>
  <si>
    <t>JIRA https: issues.alfresco.com jira browse ANDROID-776</t>
  </si>
  <si>
    <t>react-native-camera-react-native-camera-2479</t>
  </si>
  <si>
    <t>MLKit Text Recognition When Using Front Camera</t>
  </si>
  <si>
    <t>**To Do First**
Did you try latest release?
Did you try master?
Did you look for existing matching issues?
**Description Current Behaviour**
The issue is when doing rotateTextX on for nested structure as:
When the nested element is of type element skip the components computation.
**Steps to Reproduce**
1. Set RNCamera with type and callback for detecting text onTextRecognized this.textRecognized
2. Show text to the camera and it will crash.
Simply adding validation for type element should be enough.</t>
  </si>
  <si>
    <t>Alfresco-activiti-android-app-84</t>
  </si>
  <si>
    <t>ANDROID-835 - [APS] The application is crashing when switching the rotation while viewing a specific form</t>
  </si>
  <si>
    <t>JIRA https: issues.alfresco.com jira browse ANDROID-835</t>
  </si>
  <si>
    <t>2019-09-10</t>
  </si>
  <si>
    <t>opensrp-opensrp-client-reveal-431</t>
  </si>
  <si>
    <t>RVL-428 &amp; RVL-429 Namibia spray form validation issues</t>
  </si>
  <si>
    <t>There are few issues with the Namibia spray form that are captured in tickets in Jira. We need to fix these:
RVL-428 https: browse RVL-428
We have errors when trying to edit partially sprayed structures and fully sprayed structures.
Editing Spray Status of Partially Sprayed Structure:
No change in existing fields but adding mop-up: Can save edited form
Change in existing fields without adding mop-up: App crashes
Editing Spray Status of Fully Sprayed Structure:
The Save button doesn work when you change values from the first visit. (i.e. name of head of household) This is the case on both
Steps to Reproduce:
Complete the spray form with status partially sprayed
Click the form again and try to edit one of the fields from the first visit section.
Tap Save and the save button works (because the spray
RVL-429 https: browse RVL-429
If there are unsprayed sprayable structures, user needs to specify breakdown by type of structure. Only those types are shown for which sprayable structures exist.
However, all such types are not showing up in the form when first filling it up, but only show up as errors when user tries to save the form.</t>
  </si>
  <si>
    <t>SecUSo-privacy-friendly-food-tracker-64</t>
  </si>
  <si>
    <t>Update UI from the UI thread. Fixes: #54 #55 #58 #59</t>
  </si>
  <si>
    <t>This fixes the crash on the GenerateKeyActivity under Android 7.</t>
  </si>
  <si>
    <t>2019-09-09</t>
  </si>
  <si>
    <t>cgeo-cgeo-7824</t>
  </si>
  <si>
    <t>Map crashes on Android 10</t>
  </si>
  <si>
    <t>**Describe the bug:**
have Google Pixel xl running on Android 10. When switch the map to Gmaps, cgeo crashes with NoClassDefFound for Apaches Http Client class.
will try to analyze and fix this this evening, but think it good idea to open the issue now.
On Android 10 use Gmaps as map provider.
**Actual behavior state after performing these steps:**
FC caused by NoClassDefFound exception.
**Expected behavior state after performing these steps:**
The map showing gmaps. :-)
**Version of c:geo used:**
**Is the problem reproducible:**
Android version: 10
Android build: QP1A.190711.020
Google Play services: enabled 19.0.56 (120400-262933554)
Low power mode: inactive
Compass capabilities: yes
Rotation vector sensor: present
Orientation sensor: present
Magnetometer Accelerometer sensor: present
Direction sensor used: rotation vector
Hide own found: false</t>
  </si>
  <si>
    <t>2019-09-08</t>
  </si>
  <si>
    <t>square-react-native-square-reader-sdk-82</t>
  </si>
  <si>
    <t>Αndroid Q (10) crash</t>
  </si>
  <si>
    <t>### Describe the issue
When try to launch the app on Android (10) the app instantly crashes.
Error log details:
Caused by: The exception was not handled due to missing onError handler in the subscribe() method call. Further reading: https: github.com ReactiveX RxJava wiki Error-Handling Invalid primitive conversion from long to int
Caused by: Invalid primitive conversion from long to int
### To Reproduce
Run any app that contains the SDK on Android (10) (API 29)
### Expected behavior
**Environment (please complete the following information):**
platform: Android 10 device
Reader SDK version: https: github.com square commit
React Native Environment Info:
Android Studio: 3.4</t>
  </si>
  <si>
    <t>2019-09-07</t>
  </si>
  <si>
    <t>nextcloud-android-4476</t>
  </si>
  <si>
    <t>Crash on Huawei Mediapad M5 after login</t>
  </si>
  <si>
    <t>### Actual behaviour
Client crashes on File listing right after first login. Unusable after that.
### Expected behaviour
### Steps to reproduce
1. Start App
### Environment data
Device model: Huawei M5
Stock or customized system: Stock, unrooted
Nextcloud app version: 3.8.0 RC4
Nextcloud server version: 16.0.4
#### Web server error log
Insert your webserver log here
#### Nextcloud log (data nextcloud.log)
************ CAUSE OF ERROR ************
************ APP INFORMATION ************
Build flavor: gplay
************ DEVICE INFORMATION ************
************ FIRMWARE ************</t>
  </si>
  <si>
    <t>2019-09-06</t>
  </si>
  <si>
    <t>fossasia-neurolab-android-458</t>
  </si>
  <si>
    <t>Settings screen issue</t>
  </si>
  <si>
    <t>**Describe the bug**
When the setting screen operated in landscape mode the config fragment kind of collapses.
The bug must be removed for better user experience.
**Steps to reproduce it**
&lt;!--Add steps to reproduce the bug.--&gt;
**LogCat for the issue**
&lt;!--Provide logs for the crash here.--&gt;
**Screenshots of the issue**
&lt;td&gt;Device&lt; td&gt;&lt;td&gt;e.g. Mi Note 3&lt; td&gt;
&lt;td&gt;Android version OS&lt; td&gt;&lt;td&gt;eg: Marshmello td&gt;
**Would you like to work on the issue?**
Yes would like to work</t>
  </si>
  <si>
    <t>fossasia-neurolab-android-457</t>
  </si>
  <si>
    <t>Settings Screen Issue</t>
  </si>
  <si>
    <t>**Describe the bug**
&lt;!-- When the settings screen operated in landsape mode, the config fragment kind of collapses --&gt;
&lt;!-- The bug described must be removed or the app should be used in potrait mode--&gt;
**Steps to reproduce it**
&lt;!--Add steps to reproduce the bug.--&gt;
**LogCat for the issue**
&lt;!--Provide logs for the crash here.--&gt;
**Screenshots of the issue**
&lt;!--Where-ever possible add screenshot of the issue. Use &lt;img src https: drive.google.com file view?usp sharing width 200 tag--&gt;
&lt;td&gt;Device&lt; td&gt;&lt;td&gt;e.g. Moto G5 Plus&lt; td&gt;
&lt;td&gt;Android version OS&lt; td&gt;&lt;td&gt;eg: Oreo 8.1&lt; td&gt;
**Would you like to work on the issue?**
&lt;!-- want to work --&gt;</t>
  </si>
  <si>
    <t>opensrp-opensrp-client-giz-malawi-88</t>
  </si>
  <si>
    <t>When BCG Repeated Dose is undone, the app crashes</t>
  </si>
  <si>
    <t>Just give BCG on kid over weeks and when the BCG scar dialog shows up, click on *No Scar*, Click *Create Reminder*
Give the **BCG Repeated Dose** and later undo it
Undo the **BCG Dose**
Go to the register page
Go back to the child
Give the **BCG Dose** again and try going to the register page
The app starts crashing at this point</t>
  </si>
  <si>
    <t>nextcloud-android-4471</t>
  </si>
  <si>
    <t>Random crashes from app</t>
  </si>
  <si>
    <t>### Actual behaviour
Nextcloud pops up and says it crashed, even when not using it. The app wants me to report, so will in case it helps
### Expected behaviour
It should not.
### Steps to reproduce
not sure, it pops up randomly
### Environment data
Device model: Xiaomi mi
Stock or customized system: Lineage OS 16
************ CAUSE OF ERROR ************
************ APP INFORMATION ************
Build flavor: gplay
************ DEVICE INFORMATION ************
************ FIRMWARE ************</t>
  </si>
  <si>
    <t>2019-09-05</t>
  </si>
  <si>
    <t>opensrp-opensrp-client-reveal-423</t>
  </si>
  <si>
    <t xml:space="preserve">Fix App Crashes </t>
  </si>
  <si>
    <t>The crash is logged on Fabric</t>
  </si>
  <si>
    <t>JavaCafe01-PdfViewer-41</t>
  </si>
  <si>
    <t>Application crashes on Android 10.</t>
  </si>
  <si>
    <t>### Issue Summary
Application crashes on Android 10.
### Steps to Reproduce the Problem
As soon as you try to use the file picker the application crashes. If you try to open PDF from another program action it crashes. Uninstalled and reinstalled to no effect.
App Version: 3.1 via F-Droid
Android Version: 10</t>
  </si>
  <si>
    <t>niccokunzmann-mundraub-android-293</t>
  </si>
  <si>
    <t>Own Plants on the map are not updated</t>
  </si>
  <si>
    <t>&lt;!-- If you report an app crash, please attach the file
from the root of your phone file system. --&gt;
The own plants are not updated, even if the map is reloaded.</t>
  </si>
  <si>
    <t>ehwlfk2-Wegloo-67</t>
  </si>
  <si>
    <t xml:space="preserve">Catch Crash 관련 </t>
  </si>
  <si>
    <t>1. JAVA file
2. layout file
3. Do it firebase catch crash</t>
  </si>
  <si>
    <t>SkyTubeTeam-SkyTube-548</t>
  </si>
  <si>
    <t>App crashes when pressing the search button and trying to use it</t>
  </si>
  <si>
    <t>Hello, like to report problem on Skytube Extra that have since v2.963.
When press the search button after the app started up, it always immediately crashes with dialog saying Unfortunately, SkyTube Extra has sopped.
My phone is Xperia LT25i (AX) and Android version is 4.3, please help.
Log file is attached here.</t>
  </si>
  <si>
    <t>2019-09-04</t>
  </si>
  <si>
    <t>material-components-material-components-android-565</t>
  </si>
  <si>
    <t>[TextView, FloatingActionButton] App crashes when colorAccent not specified</t>
  </si>
  <si>
    <t>&lt;item name colorAccent color colorAccent&lt; item&gt;
As per the logcat, realized that this code was making it crash:
And also, this code (I commented the above code to test each component):
understand that supposed to use MaterialTextView. However, using material should not break my old TextView s. Also, think the reason FAB crashes is because there are references to colorAccent within it codebase. Here my logcat partial dump if it would help:
--------- beginning of crash
Caused by: Failed to resolve attribute at index 6: TypedValue 0x2 0x101009b
**Android API version:** API 19
**Material Library version:** 1.1.0-alpha09</t>
  </si>
  <si>
    <t>nextcloud-android-library-336</t>
  </si>
  <si>
    <t>Library crashes at authorization using Android 9</t>
  </si>
  <si>
    <t>After updated my project to Android (API 28) the library no longer works as it crashes
due to class not being to load NTLMScheme
have included the legacy library in the project
other clouds (Google Drive api, Dropbox api etc) depending on this library work OK, it just the authorization that does not work.
checked the contents of the legacy .jar and see the class is inside that .jar, but seems at different path. Any ide how to fix this?</t>
  </si>
  <si>
    <t>Catfriend1-syncthing-android-490</t>
  </si>
  <si>
    <t>NPE crash when config.xml "version" attr is broken</t>
  </si>
  <si>
    <t>AppV 1.2.2.1 From Gplay report:</t>
  </si>
  <si>
    <t>material-components-material-components-android-561</t>
  </si>
  <si>
    <t>[TextInputLayout] TextInputLayout with AutoCompleteTextView makes app crash on recreate</t>
  </si>
  <si>
    <t>When opening PopupWindow using an inside TextInputLayout and rotating the device afterwards (therefore recreating the activity), the application crashes. This is because showing PopupWindow is not possible before the activity is visible, however, in its implementation the TextInputLayout calls and makes the try to re-open the popup (which is the expected behaviour, but done too early).
**Android API version:** 28
**Material Library version:** 1.1.0-alpha09</t>
  </si>
  <si>
    <t>2019-09-03</t>
  </si>
  <si>
    <t>CleverTap-clevertap-android-sdk-33</t>
  </si>
  <si>
    <t>Null Pointer Exception on DeviceInfo.java on sdk version 3.5.1</t>
  </si>
  <si>
    <t>The Logs for the crash is as:
Caused by to invoke virtual method void java.lang.String) on null object reference Raw Text</t>
  </si>
  <si>
    <t>niccokunzmann-mundraub-android-289</t>
  </si>
  <si>
    <t>Satellite images not showing up</t>
  </si>
  <si>
    <t>&lt;!-- If you report an app crash, please attach the file
from the root of your phone file system. --&gt;</t>
  </si>
  <si>
    <t>plusonelabs-calendar-widget-318</t>
  </si>
  <si>
    <t>Sometimes after device unlock the widget is stuck at "ToDo Agenda Loading..." view</t>
  </si>
  <si>
    <t>Hi, since last update (v3.0), even recreating the widget from scratch, keeps crashing after few hours...
Xiaomi Mi Mix 3, Android 9, Rootless Launcher
Screenshot amirz rootless nexuslauncher (https: 41381350</t>
  </si>
  <si>
    <t>2019-09-02</t>
  </si>
  <si>
    <t>BoardiesITSolutions-FileDirectoryPicker-3</t>
  </si>
  <si>
    <t>Crash when opening DirectoryPicker</t>
  </si>
  <si>
    <t>**Describe the bug**
Upon starting the activity, the application crashes because of an unhandled by
Caused by: Attempt to get length of null array
Interestingly this worked in the application, but upon switching flavors, this picker does no longer work. Have you ever tested it with build flavors?
Any ideas what could be the reason for this library to not be able to retrieve the folders in one flavor, but work fine in the other?</t>
  </si>
  <si>
    <t>guardianproject-proofmode-64</t>
  </si>
  <si>
    <t>Crash When Notarize without Internet Access</t>
  </si>
  <si>
    <t>APP crashes when notarizing without Internet access (WiFi or LTE). The following is the error message.
Android API 26
Device WiFi and LTE are disabled but GPS sensor is enabled
Preferences autoNotarize is enabled but trackLocation trackDeviceId and trackMobileNetwork are disabled</t>
  </si>
  <si>
    <t>material-components-material-components-android-558</t>
  </si>
  <si>
    <t>[NavigationView] hangs and stop responding after androidx</t>
  </si>
  <si>
    <t>When open activity that has NavigationView in it everything gone black and hangs and stay like that until close the app, no crash happening.
the app was working fine until migrated to androidx using android studio.
That my navigationView
even when open new activity with that contain only navigation view using
also tried to change the navigationview to that one:
&lt;?xml version 1.0 encoding utf-8 ?&gt;
and still have the same problem, screen hangs and nothing happen until close the app.
**Android API version:** 29
**Material Library version:** tried 1.0.0 1.1.0-alpha07 1.1.0-alpha08 1.1.0-alpha09
and using java 8:
this is the full log from the start</t>
  </si>
  <si>
    <t>2019-09-01</t>
  </si>
  <si>
    <t>ThaChillera-CardScore-21</t>
  </si>
  <si>
    <t>Save game restore game crash</t>
  </si>
  <si>
    <t>Game crashes when restoring game with players that have been deleted
1. check if player is deleted
2. don delete players, just hide them</t>
  </si>
  <si>
    <t>Catfriend1-syncthing-android-477</t>
  </si>
  <si>
    <t>FolderList/DeviceList[Fragment] crash while parsing "config.xml"</t>
  </si>
  <si>
    <t>2019-08-31</t>
  </si>
  <si>
    <t>fossasia-neurolab-android-448</t>
  </si>
  <si>
    <t>Density screen crash</t>
  </si>
  <si>
    <t>**Describe the bug**
Memory graph density screen crash
No crash and display proper density graph.
**Steps to reproduce it**
Click on density after data importing in memory graph.
**LogCat for the issue**
**Would you like to work on the issue?**</t>
  </si>
  <si>
    <t>nextcloud-android-4438</t>
  </si>
  <si>
    <t xml:space="preserve">Nextcloud Android app crashes when selecting a folder, switching into gallery mode and go back </t>
  </si>
  <si>
    <t>### Actual behaviour
The app crashes instantly
### Expected behaviour
The app should go back to the normal file browser with the selection still in place
### Steps to reproduce
1. Select folder
2. Go into gallery mode
3. Click on the back button
### Environment data
Device model: xiaomi mi
Stock or customized system: custom rom havoc OS aosp
Nextcloud app version: 3.8.0 rc3
Nextcloud server version: 16.0.3
#### Web server error log
Insert your webserver log here
#### Nextcloud log (data nextcloud.log)
************ CAUSE OF ERROR ************
************ APP INFORMATION ************
Build flavor: gplay
************ DEVICE INFORMATION ************</t>
  </si>
  <si>
    <t>2019-08-30</t>
  </si>
  <si>
    <t>square-okhttp-5402</t>
  </si>
  <si>
    <t>IllegasStateException closed</t>
  </si>
  <si>
    <t>Hi, have random crash in Fabric. But can reproduce it.
Users download file from server. For download use regular HttpUrlConnection and read bytes from InputStream in while. On some iteration of read this crash happen. close InputStream only in finally, so it can be closed before while finish.
public static Response downloadFile(String url, String tmpFile) throws IOException
InputStream is null
OutputStream os null
URL urlFile new URL(url)
HttpURLConnection connection (HttpURLConnection)
Map&lt;String, List&lt;String&gt;&gt; responseHeaders
result new Response(code, size, responseHeaders)
if (code OK)
final byte buf new byte 1024
This read random crash
while ((read is.read(buf)) -1)
os.write(buf, 0, read)
if (is null)
if (os null)
Looks like 100% Samsung. Android 6, 7, 8,
Also looks like this happen always near finish of download. For example from 2738688 bytes was downloaded 2716156 and only 22532 left. Many crashes near the end of download.</t>
  </si>
  <si>
    <t>square-okhttp-5401</t>
  </si>
  <si>
    <t>UndeliverableException after update from 3.14.2 to 4.0.0</t>
  </si>
  <si>
    <t>After updating okhttp to version 4.0.0 4.1.0 application crashes with on devices running Android 10</t>
  </si>
  <si>
    <t>Alfresco-activiti-android-app-80</t>
  </si>
  <si>
    <t>[APS] The application is crashing when switching the rotation while viewing a form</t>
  </si>
  <si>
    <t>JIRA https: issues.alfresco.com jira browse ANDROID-820
also fixes https: issues.alfresco.com jira browse ANDROID-822</t>
  </si>
  <si>
    <t>material-components-material-components-android-549</t>
  </si>
  <si>
    <t>[BottomNavigationView] crash when bundling bottomnavigationview</t>
  </si>
  <si>
    <t>**Expected behavior:** If the material design component is saving state for performance reasons, there shouldn be reason that the state should cause crash through normal lifecycle events.
**Source code:** We aren doing anything advanced here
In our activity we are using the binding to simply set up with nav controller
val navController R.id.teams nav fragment)
In our xml
**Android API version:** Android PIE, api 28
**Material Library version:** 1.1.0-alpha03</t>
  </si>
  <si>
    <t>2019-08-29</t>
  </si>
  <si>
    <t>opensrp-opensrp-client-chw-717</t>
  </si>
  <si>
    <t>Clicking a family on All Families causes the app to crash</t>
  </si>
  <si>
    <t>Clicking family on the All Families register causes the app to crash.</t>
  </si>
  <si>
    <t>gggiovanny-dicas-auditorias-app-3</t>
  </si>
  <si>
    <t>Arreglar posibles crasheos</t>
  </si>
  <si>
    <t>Cambiar lanzamientos de excepciones throwables por respuestas de error que muestren un toast informando de status,</t>
  </si>
  <si>
    <t>2019-08-28</t>
  </si>
  <si>
    <t>gggiovanny-dicas-auditorias-app-1</t>
  </si>
  <si>
    <t>Crasheo general de la aplicacion</t>
  </si>
  <si>
    <t>En la pantalla de auditorias, la app crashea al consultar datos de la api cuando se intenta llenar un campo de la dataclasss cuando esta no existe el el registro</t>
  </si>
  <si>
    <t>nextcloud-android-4433</t>
  </si>
  <si>
    <t>FC while entering a synchronised folder</t>
  </si>
  <si>
    <t>just had my first NC app crash ever. did sync files which seemes to have succeeded. just wanted to check and browsed that folder when the app crashed.
use the latest Play Store Beta NC app on OnePlus 6T, official OOS 9.0.16, Android 9.</t>
  </si>
  <si>
    <t>material-components-material-components-android-542</t>
  </si>
  <si>
    <t>[MaterialDatePicker] Crash when not using `viewInflaterClass` in the theme</t>
  </si>
  <si>
    <t>In my theme have viewInflaterClass set to the so not getting automatic conversion to MaterialButton for Button in my xml.
When trying to use MaterialDatePicker it crashes on showing the dialog with the following error:
This happens because the internal layouts that the date picker uses (like mtrl picker actions reference Button in their layouts and assume that these are replaced by MaterialButton at runtime.
Since these layouts are used internally, they should probably use references to MaterialButton directly.
No crash when showing the dialog
Easy to reproduce when changing viewInflaterClass in the theme to anything but the default in the Material theme, but please let me know if you need sample to reproduce.
**Android API version:**
Not specific to an API version
**Material Library version:**</t>
  </si>
  <si>
    <t>nextcloud-android-4431</t>
  </si>
  <si>
    <t>Foto local crash</t>
  </si>
  <si>
    <t>### Actual behaviour
betrifft den Men punkt Fotos in der Nextcloudandroidapp Wenn man ein Foto heruntergeladen hat kann man es nicht erneut ausw hlen. Dies st einen Fehler aus
### Expected behaviour
Tell us what should happen
### Steps to reproduce
1. Foto is local on the handy
2. clicking again triggers an error.
### Environment data
Stock or customized system:
Nextcloud app version:
Nextcloud server version:
#### Web server error log
Insert your webserver log here
#### Nextcloud log (data nextcloud.log)
************ CAUSE OF ERROR ************
************ APP INFORMATION ************
Build flavor: gplay
************ DEVICE INFORMATION ************
************ FIRMWARE ************</t>
  </si>
  <si>
    <t>danielR2001-flutter_exoplayer-5</t>
  </si>
  <si>
    <t>Notification Customization</t>
  </si>
  <si>
    <t>Hi would like to ask if its possible to implement the following customizations.
way to show the current progress of the audio in the notification or hide the progressbar and show text with the current time.
way to show seekPosition buttons to skip for example seconds in the notification.
Customize the Icons for example outline icons or fontawesome icons etc.
Dismiss the notification if the audio was stopped with audioPlayer.stop()
It is dismissed but restarts after some milliseconds and displays the notification again and if try to play again it crashes because the player was released after the stop methode.
way to decide between expanded or collapsed notification style if possible.
If subtitle is empty -&gt; show the title centered vertical on the collapsed notification</t>
  </si>
  <si>
    <t>inaturalist-iNaturalistAndroid-700</t>
  </si>
  <si>
    <t>org.inaturalist.android.ObservationCursorAdapter.loadPhotoInfo crash</t>
  </si>
  <si>
    <t>Fatal Exception: java.lang.String cannot be cast to
Happening bit in build 363</t>
  </si>
  <si>
    <t>inaturalist-iNaturalistAndroid-699</t>
  </si>
  <si>
    <t>okhttp3.internal.platform.AndroidPlatform.buildIfSupported</t>
  </si>
  <si>
    <t>Caused by Expected Android API level 21+ but was 19
Pretty recent crash, supposedly hitting folks running Android (how are they even doing that?) and Android 7.</t>
  </si>
  <si>
    <t>shiftlyapp-Shiftly-51</t>
  </si>
  <si>
    <t>Delete user crashes group</t>
  </si>
  <si>
    <t>2019-08-27</t>
  </si>
  <si>
    <t>wdullaer-MaterialDateTimePicker-609</t>
  </si>
  <si>
    <t>NullPointer if app switcher is opened</t>
  </si>
  <si>
    <t>implemented simple datepicker with some selectable dates.
If the picker is open and open the app switcher on my Samsung S5 mini running 6.0.1 the app crashes with the following log:
Is there way to prevent the crash?</t>
  </si>
  <si>
    <t>2019-08-26</t>
  </si>
  <si>
    <t>MozillaReality-FirefoxReality-1658</t>
  </si>
  <si>
    <t>The app crashes while navigating on Youtube website</t>
  </si>
  <si>
    <t>** Affected Versions :**
Firefox Reality 1.4-32352315 (08.23.2019)
** Affected Platforms :**
Oculus Pacific Android 7.1.2 (Oculus Go)
Oculus Quest Android 7.1.1
HTC Vive Focus Plus Android 7.1.2
Have the latest Firefox Reality 1.4-32352315 (08.23.2019) apk. installed.
The headset is turned on.
** Steps to reproduce :**
1. Open the app.
2. Open recommended video from Youtube.
3. Scroll through the page and play second video.
4. Observe the behavior.
** Expected results :**
The websites is correctly scrolled navigated.
** Actual results :**
The app crashes.
Attached is screen recording of the issue: link (https: drive.google.com open?id
Also, here is the logcat (https: drive.google.com open?id recorded while reproducing this issue.</t>
  </si>
  <si>
    <t>opensrp-opensrp-client-chw-671</t>
  </si>
  <si>
    <t>Changing the primary caregiver (French version) crashes the app</t>
  </si>
  <si>
    <t>Open family, go to top right dropdown menu and select change primary caregiver Changer la gardienne in French).</t>
  </si>
  <si>
    <t>opensrp-opensrp-client-chw-670</t>
  </si>
  <si>
    <t>Changing the family head (French version) crashes the app</t>
  </si>
  <si>
    <t>Open family, go to top right dropdown menu and select change family head Changer le chef de nage in French).</t>
  </si>
  <si>
    <t>opensrp-opensrp-client-chw-668</t>
  </si>
  <si>
    <t>Fix app crashing after tapping on child row in family profile page</t>
  </si>
  <si>
    <t>The app crashes when tap on the child row in the family profile. You expect the child profile to open, but the app crashes instead.
This is the 23 August Togo release.</t>
  </si>
  <si>
    <t>opensrp-opensrp-client-chw-anc-243</t>
  </si>
  <si>
    <t>open-webrtc-toolkit-owt-client-android-141</t>
  </si>
  <si>
    <t>huawei Mate8 publish or subscribe stream with h264 lead crash</t>
  </si>
  <si>
    <t>AlphaWallet-alpha-wallet-android-832</t>
  </si>
  <si>
    <t>Kill the landscape mode switch when asking for fingerprint</t>
  </si>
  <si>
    <t>When agreed to Upgrade my security was prompt to use fingerprint sensor. Then, while trying to lift up phone to do so, it switches from portrait mode to landscape and caused an error. The app crashed and had to start the backup process again.</t>
  </si>
  <si>
    <t>Swati4star-Images-to-PDF-789</t>
  </si>
  <si>
    <t>QR code &amp; bar code scanner not working properly</t>
  </si>
  <si>
    <t>### Steps to reproduce
on home page, select QR Barcodes
Scan QR code or bar code
Enter PDF name
### Expected behaviour
PDF should get created
### Actual behaviour
App closes on scanning QR code crashes on using barcodes.</t>
  </si>
  <si>
    <t>2019-08-25</t>
  </si>
  <si>
    <t>nextcloud-android-4414</t>
  </si>
  <si>
    <t>App crash on start and periodically on folder sync</t>
  </si>
  <si>
    <t>### Actual behaviour
App crash on start and periodically on folder sync
### Expected behaviour
app opened and sync files
### Steps to reproduce
1. install app
2. login to server
### Environment data
Device model: SM-G965F
Stock or customized system: stock
Nextcloud app version: 3.8.0 RC2
Nextcloud server version: 16.0.4
************ CAUSE OF ERROR ************
************ APP INFORMATION ************
Build flavor: gplay
************ DEVICE INFORMATION ************
************ FIRMWARE ************
#### Web server error log
#### Nextcloud log (data nextcloud.log)
nextcloud-server logs empty</t>
  </si>
  <si>
    <t>nextcloud-android-4413</t>
  </si>
  <si>
    <t>Crash after upgrade</t>
  </si>
  <si>
    <t>### Actual behaviour
After upgrade, when logging into the server the app crashed
### Expected behaviour
It should authorize the device and log in
### Steps to reproduce
1. Upgrade the app
2. Start the app and supply credentials
3. Authorize the device
### Exception log
************ CAUSE OF ERROR ************
************ APP INFORMATION ************
Build flavor: gplay
************ DEVICE INFORMATION ************
************ FIRMWARE ************
#### Web server error log
Insert your webserver log here
#### Nextcloud log (data nextcloud.log)
Insert your Nextcloud log here</t>
  </si>
  <si>
    <t>2019-08-24</t>
  </si>
  <si>
    <t>nextcloud-android-4407</t>
  </si>
  <si>
    <t>nextcloud-android-4405</t>
  </si>
  <si>
    <t>crash open dir</t>
  </si>
  <si>
    <t>2019-08-23</t>
  </si>
  <si>
    <t>opensrp-opensrp-client-reveal-378</t>
  </si>
  <si>
    <t>Investigate Sync Logout (Every 15 mins)</t>
  </si>
  <si>
    <t>The Thailand team has reported that the app logs out users about every 15 minutes while they are using the app. Please investigate this and see if the automatic sync that runs every 15 minutes is causing the user to be logged out or some crash.</t>
  </si>
  <si>
    <t>freshollie-UsbGps4Droid-16</t>
  </si>
  <si>
    <t>v2.1.6 crashes at start but not v2.1.3 on LineageOS 9 possibly due to an issue with notifications</t>
  </si>
  <si>
    <t>Thank you for the great app.
Here is the logcat output which indicates the problem:</t>
  </si>
  <si>
    <t>Omega-R-OmegaRecyclerView-140</t>
  </si>
  <si>
    <t>Crash when using data binding</t>
  </si>
  <si>
    <t>First of all, thank your for this library and your work. Really appreciated.
have problem and could use some help.
have the following layout:
&lt;?xml version 1.0 encoding utf-8 ?&gt;
layout layout new element appbar collapsing classic
layout layout element tracklist header
layout layout new element loading
layout layout new element error
layout layout new element empty content
which contains your recyclerView, header and footer. This layout, as well as the header layout are using data binding.
override fun LayoutInflater, container: ViewGroup?, savedInstanceState: Bundle?): View?
binding R.layout.new fragment album, container, false)
Unfortunately, it crashes with the following message:
Does the library support data binding? What else might be the reason for the crash?</t>
  </si>
  <si>
    <t>nextcloud-android-4399</t>
  </si>
  <si>
    <t>Crash when selecting from the app menu</t>
  </si>
  <si>
    <t>When choosing from the menu Shared On device Photos etc. At one point crash app occurred.
************ CAUSE OF ERROR ************
Attempt to invoke virtual method char on null object reference
### Environment data
Nextcloud app version: dev-20190823
Nextcloud server version: 16.0.4</t>
  </si>
  <si>
    <t>TuyaInc-tuyasmart_home_android_sdk-61</t>
  </si>
  <si>
    <t>sdk crash</t>
  </si>
  <si>
    <t>commons-app-apps-android-commons-3140</t>
  </si>
  <si>
    <t>IndexOutOfBoundsException when scrolling on Explore items, after a night of not using the app</t>
  </si>
  <si>
    <t>Yesterday on the emulator was scrolling items in the Explore activity, and let the app like this.
This morning came back to my computer, scrolled bit again, and got this crash:
APP VERSION CODE 243
APP VERSION NAME 2.10.2-debug-upload caption depict
PHONE MODEL Android SDK built for x86</t>
  </si>
  <si>
    <t>wiglenet-wigle-wifi-wardriving-366</t>
  </si>
  <si>
    <t>[FIX] Fix for old sqlite w/ no instr() function</t>
  </si>
  <si>
    <t>this will be slower, but won crash on old (4.x) Android devices. Notes that instr() support seems to be occasionally present but unreliable on these devices.</t>
  </si>
  <si>
    <t>2019-08-22</t>
  </si>
  <si>
    <t>cgeo-cgeo-7804</t>
  </si>
  <si>
    <t>Illegal Argument Exception in mapsforge V6</t>
  </si>
  <si>
    <t>**Describe the bug:**
Tonight tried to debug user problem online on Facebook looking into the real time crash reports.
The user problem was, that c:geo crashed immediately after invoking any map action (live map, map of cache). The user was using an offline map.
After changing to Google Maps in settings the problem was gone. After changing back to OSM, no matter if offline or online, the crashes have been back.
think have tracked down the relevant report on Google Play.
This seems to be rather special case as it affects only two users at the moment.
Still would like to know whats going on here
**Version of c:geo used:**
**Is the problem reproducible:**</t>
  </si>
  <si>
    <t>cgeo-cgeo-7800</t>
  </si>
  <si>
    <t>Google maps/satellite use old mapsforge v3?</t>
  </si>
  <si>
    <t>When using Google: Map and Google: Satellite, these are shown using old mapsforge v3 library, apparently, even though this has been disabled in Settings-&gt;Map.
deduce this from the following:
map settings menu is the old style menu
(AFAIK show circles is not available in the newer library)
the new tile scaling for high res displays is not applied.
Steps to reproduce the behavior:
1. have old mapsforge v3 disabled in settings-&gt;maps
2. open map. choose google layer.
3. open map settings (for confirmation)
**Expected behavior state after performing these steps:**
There is room for lot of discussion and what should be done, think.
hide unsupported layers according to settings?
it would be settings consistent behaviour to show only supported layers by selected map library.
it is detrimental to the user to prevent google layers usage if newer library selected (also default setting), but results in inconsistencies (such as presented here).
it would mean complicating the life of the user to show him error message and instructions to change library setting to see google layers
it would be vary bad policy towards users to simply hide the google layers and only make some reference in the docs about it (bad PR).
presume this is because the newer library does not support google layers or other technical or legal reasons and solving these problems would automatically resolve this issue as well.
Can it be solved in the not too distant future?
also suspect this mixup has caused many crashes in the previous release. (I experienced and reported some myself).
**Version of c:geo used:**</t>
  </si>
  <si>
    <t>cgeo-cgeo-7799</t>
  </si>
  <si>
    <t>Use compact icons apparently does not always work for waypoint icons</t>
  </si>
  <si>
    <t>Just tested against known crashes of previous version release, after upgrade to 2019.08.18.
Using map with old mapsforge v3 disabled.
As switch map settings -&gt; use compact icons the icons for waypoints do not change.
Steps to reproduce:
1. open map
2. map settings, check use compact icons
waypoint icons are unchanged.
if at this point go back to main menu, then return to map, now all icons are the same (as they should be displayed correctly).
3. uncheck use compact icons
waypoint icons remain unchanged (compact).
again, if go to main menu, then back to map, now see icons correctly.
**Expected behavior state after performing these steps:**
All icons should change consistently.
**Version of c:geo used:**
**Is the problem reproducible:**</t>
  </si>
  <si>
    <t>innoveit-react-native-ble-manager-542</t>
  </si>
  <si>
    <t>App crashes when advertisement data seems to be null</t>
  </si>
  <si>
    <t>iOS Android: iOS 12.4
got this error from Bugsnag on the production version of my app. It seems like RSSI or the Advertisement data is null and the app crashes.
*** attempt to insert nil object from objects
Frameworks CoreFoundation exceptionPreprocess
usr lib libobjc.A.dylib objc exception throw
Frameworks CoreFoundation NSDictionary
Frameworks CoreBluetooth CBCentralManager
Frameworks CoreBluetooth CBCentralManager handleMsg:args:
Frameworks CoreBluetooth 30- CBXpcConnection handleMsg: block invoke
usr lib system libdispatch.dylib dispatch call block and release
usr lib system libdispatch.dylib dispatch client callout
usr lib system libdispatch.dylib dispatch lane serial drain$VARIANT$mp
usr lib system libdispatch.dylib dispatch lane invoke$VARIANT$mp
usr lib system libdispatch.dylib dispatch main queue callback 4CF$VARIANT$mp
Frameworks CoreFoundation CFRUNLOOP IS SERVICING THE MAIN DISPATCH QUEUE
Frameworks CoreFoundation CFRunLoopRun
PrivateFrameworks GraphicsServices GSEventRunModal
PrivateFrameworks UIKitCore.framework UIKitCore UIApplicationMain</t>
  </si>
  <si>
    <t>nextcloud-android-4369</t>
  </si>
  <si>
    <t>Crash when entering external folder</t>
  </si>
  <si>
    <t>************ CAUSE OF ERROR ************
************ APP INFORMATION ************
Build flavor: gplay
************ DEVICE INFORMATION ************
************ FIRMWARE ************
Steps to reproduce: have several local folders mounted in NC as External storage. Every time app crashes when try to enter in one specific folder, which is accessible in web portal and webdav. If more info is needed can provide it.</t>
  </si>
  <si>
    <t>MozillaReality-FirefoxReality-1627</t>
  </si>
  <si>
    <t>Crash on resume</t>
  </si>
  <si>
    <t>&lt;!--- State the version number and build ID affected. --&gt;
&lt;!--- The build ID is obtained by clicking on the build date in settings. --&gt;
Firefox Reality version: 1.4
Firefox Reality build ID: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Resume FxR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FxR shouldn crash on resume.
## Possible Solution
&lt;!--- Optional --&gt;
&lt;!--- Feel free to suggest fix reason for the bug, --&gt;</t>
  </si>
  <si>
    <t>defold-extension-push-4</t>
  </si>
  <si>
    <t>Android app crash in background</t>
  </si>
  <si>
    <t>App crashed in background when receiving push that was sended with latest Firebase API.
Legacy variant from Defold manual (https: www.defold.com manuals push android setup) works well.
Tested with Defold versions: 1.2.159, 1.2.160.
Tested on Samsung Galaxy S10 (Android 9), LG Nexus (Android 6).
Can be reproduced with:
https: www.npmjs.com package firebase-admin
Test message from https:</t>
  </si>
  <si>
    <t>2019-08-21</t>
  </si>
  <si>
    <t>Alfresco-activiti-android-app-77</t>
  </si>
  <si>
    <t>App crashes when trying to see the chosen item from the typeahead field</t>
  </si>
  <si>
    <t>JIRA https: issues.alfresco.com jira browse ANDROID-815</t>
  </si>
  <si>
    <t>2019-08-20</t>
  </si>
  <si>
    <t>moberwasserlechner-capacitor-oauth2-52</t>
  </si>
  <si>
    <t>Android: App crashes if Intent data is null</t>
  </si>
  <si>
    <t>line 222 response
Will crash the application when data is null.
When chrome custom tabs(used by AppAuth) redirect back to the application using the uri scheme, the data provided to can be null.
Passing this to the causes the application to crash.
The same sort of issue can be found here (https: github.com FormidableLabs issues 130)</t>
  </si>
  <si>
    <t>opensrp-opensrp-client-chw-634</t>
  </si>
  <si>
    <t>Registering family head, child U5, other family member picture crashes app</t>
  </si>
  <si>
    <t>When registering new client on the health facility app and you try to take picture of the client, the app crashes.
1. Add new family
2. Add the family name information
3. Add the family head and try to take picture same is true for children U5, other family members
4. App crashes</t>
  </si>
  <si>
    <t>nextcloud-android-4353</t>
  </si>
  <si>
    <t>Photo view stops after 95 pictures</t>
  </si>
  <si>
    <t>OK, just tested the 10427 build: no crash to report yet, but still stops after 95 pictures...
Originally posted by mlaverdiere in https: github.com nextcloud android pull</t>
  </si>
  <si>
    <t>sqlcipher-android-database-sqlcipher-469</t>
  </si>
  <si>
    <t>native crash libsqlcipher.so 000c6008</t>
  </si>
  <si>
    <t>### Expected Behavior
### Actual Behavior
Crash type: native
App version: 5.3.2
CPU loadavg: unknown
CPU online: 0-7
System memory total: 3805108 kB
System memory used: 3150420 kB
Number of threads: 50
API level: 28
Build fingerprint: HUAWEI MHA-AL00 HWMHA:9 HUAWEIMHA-AL00 179C00R1:user release-keys
signal (SIGILL), code (ILL ILLOPC), fault addr 0xc3c2a008
r0 00000000 r1 20000011 r2 c5aea220 r3 00000008
r4 c3d3a6a8 r5 c47ec070 r6 00000001 r7 fffffb27
r8 c3b7fbd8 r9 f10182c0 r10 00000000 r11 f1018628
ip 50b1bcf1 sp c47ec050 lr c3b7fcf8 pc c3c2a008
### Steps to Reproduce
SQLCipher version (can be identified by executing PRAGMA cipher version ):
SQLCipher for Android version:</t>
  </si>
  <si>
    <t>TeamNewPipe-NewPipe-2543</t>
  </si>
  <si>
    <t>Network error</t>
  </si>
  <si>
    <t>So used 0.17.0 and just suddenly get Network error and the app is actling weird. cannot access my bookmarks, the inside of them. But sometimes can but then Newpipe just crashes after looking around. can search and use the Internet in every other app except Newpipe. Tried 0.17.1 too, nothing. tried VPN, nothing. tried my phone, nothing. Is this an issue for more than just me? also restarted my WiFi and rebooted my phone. Nothing</t>
  </si>
  <si>
    <t>2019-08-19</t>
  </si>
  <si>
    <t>opensrp-opensrp-client-core-308</t>
  </si>
  <si>
    <t xml:space="preserve">Return error if the server url settings is blank or has incorrect url </t>
  </si>
  <si>
    <t>Give an error underneath the input text with the message URL cannot be empty The error message should be in red color
Configure crashlytics so that we know when an app crashes, and per the user statement:
It was bringing pop up message Malawi HIS has stopped It should provide message that prompts user to check the url i.e Wrong URL or please check and update
With wrong URL configured, the app allows the user to login due to offline support. The sync failed toaster message appears and disappears. If internet is on, then the message should be changed to Sync Failed. Check server URL configuration
With correct URL configured but it is unreachable or returns an error, If internet is on, then the message should be changed to Sync Failed. Could not connect to the server</t>
  </si>
  <si>
    <t>MozillaReality-FirefoxReality-1597</t>
  </si>
  <si>
    <t>App crashes when a session is persisted without being fully created</t>
  </si>
  <si>
    <t>&lt;!--- State the version number and build ID affected. --&gt;
&lt;!--- The build ID is obtained by clicking on the build date in settings. --&gt;
Firefox Reality version: 1.4
Firefox Reality build ID: 2744a230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Launch FxR
2. Open new window
3. Immediately after opening the window click on the home button and quit the app.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App should be quit and the windows state should be persisted.
## Possible Solution</t>
  </si>
  <si>
    <t>opensrp-opensrp-client-chw-629</t>
  </si>
  <si>
    <t>App crashes when removing a family head or primary caregiver family member</t>
  </si>
  <si>
    <t>App crashes when you are removing family member who is also the head of the family
App crashes when you are removing family member who is also the primary caregiver
1. Navigate to family profile page
2. Select Remove existing family member
3. Select the family head or primary caregiver
4. App crashes</t>
  </si>
  <si>
    <t>opensrp-opensrp-client-chw-628</t>
  </si>
  <si>
    <t>App crashes when changing family head</t>
  </si>
  <si>
    <t>App crashes when you try to change the family head from the family profile page
1. Go to family profile page
2. Select Change family head from dot drop down
3. App crashes</t>
  </si>
  <si>
    <t>opensrp-opensrp-client-chw-627</t>
  </si>
  <si>
    <t>App crashes when changing the primary care giver</t>
  </si>
  <si>
    <t>App crashes when you try to change the family primary caregiver.
1. Open family profile
2. Select Change primary caregiver
3. App crashes</t>
  </si>
  <si>
    <t>fieldsight-fieldsight-mobile-347</t>
  </si>
  <si>
    <t>If app crashes while filling forms user is redicreted to odk main menu.</t>
  </si>
  <si>
    <t>connectbot-connectbot-710</t>
  </si>
  <si>
    <t>NPE on org.connectbot.service.TerminalBridge#onDraw</t>
  </si>
  <si>
    <t>## Bug description
## Steps to reproduce
1. Connect to Ubuntu Bionic 18.04.2 LTS host
2. Open tmux
3. Start fiddling with zoom and scroll until it crashes
## Expected behavior
It shouldn crash
## Android device
Device: Android emulator (google apis playstore x86)
OS: Android PSR1.180720.075
ConnectBot Version: 1.9.5, as well as master.
## Server information
OS: Ubuntu Bionic 18.04.2 LTS
SSH Software and Version: OpenSSH 7.6p1
Tmux version: 2.6
## Additional context
One sample crash trace:</t>
  </si>
  <si>
    <t>google-ExoPlayer-6308</t>
  </si>
  <si>
    <t>ImaAdsLoader null pointer at ImaAdsLoader.stop when trying to call Player.removeListener</t>
  </si>
  <si>
    <t>### REQUIRED Issue description
on crashlytics an increasingly large number of the following exception are popping up
the code for stopping and destroying is as follows
protected void onStop()
protected void onDestroy()
if (imaAdsLoader null)
### REQUIRED Reproduction steps
it is unclear when and why the issue occurs so can be reproduced by us for now
but it is normal behavior in our app to pause the player activity then show another activity
then return to the video player activity multiple times during content play
### REQUIRED Link to test content
### REQUIRED full bug report captured from the device
### REQUIRED Version of ExoPlayer being used
### REQUIRED Device(s) and version(s) of Android being used
mostly it is happening on Samsung Galaxy Grand Prime Plus devices running Android and OS
&lt;!-- DO NOT DELETE
validate template true
template path .github ISSUE TEMPLATE bug.md</t>
  </si>
  <si>
    <t>2019-08-18</t>
  </si>
  <si>
    <t>AlphaWallet-alpha-wallet-android-814</t>
  </si>
  <si>
    <t>Transactions involving ether crash</t>
  </si>
  <si>
    <t>Go to WETH tokencard and wrap ether for WETH, it will crash. We need to fix this before the tutorial</t>
  </si>
  <si>
    <t>forrestguice-SuntimesWidget-353</t>
  </si>
  <si>
    <t>Intent resolution bugs</t>
  </si>
  <si>
    <t>Hello, we find several bugs in the code of 14 activities in version 0.11.3
Because all these activities are exported ones, i.e., be exposed to outside, they may receive unfriendly commands and then lead to app crash.
Please help to confirm whether these crashes are bugs or just because of the misexposure of activities.
We believe that fixing these bugs will further improve the robustness of this app.
The exception trace is:
*FATAL EXCEPTION: main
Caused by: Attempt to invoke virtual method boolean on null object reference
The exception trace is:
*FATAL EXCEPTION: main
Caused by: For input string:
The exception trace is:
*FATAL EXCEPTION: main
The exception trace is:
*FATAL EXCEPTION: main
The exception trace is:
*FATAL EXCEPTION: main
The exception trace is:
*FATAL EXCEPTION: main
The exception trace is:
*FATAL EXCEPTION: main</t>
  </si>
  <si>
    <t>2019-08-16</t>
  </si>
  <si>
    <t>react-native-webrtc-react-native-callkeep-82</t>
  </si>
  <si>
    <t>App crash, android 4.4.4</t>
  </si>
  <si>
    <t>what android supported version by this library
run the app on android 4.4.4 it crash
run it on android 5.1 it run perfectly</t>
  </si>
  <si>
    <t>UweTrottmann-SeriesGuide-662</t>
  </si>
  <si>
    <t>Include Play Core library to help fix sideloaded App Bundle APK</t>
  </si>
  <si>
    <t>SeriesGuide 50 ships as Android App Bundle. Based on crash logs there are many users which sideload the app. Due to the switch to app bundle they only sideload the master APK which does not include all resources, leading to crashes.
Use the Play Core library which can detect broken installs and direct users to download the app from Google Play. Or maybe roll our own detection and hint that full, sideloadable APK is available in this repo.</t>
  </si>
  <si>
    <t>k9mail-k-9-4160</t>
  </si>
  <si>
    <t>The application still has some bugs</t>
  </si>
  <si>
    <t>Hello. noticed some crashes in logs. The corresponding commit version of code is e85e91c, and application version is 5.6.
The exception trace is:
*FATAL EXCEPTION: main
The exception trace is:
*FATAL EXCEPTION: main
Caused by: Attempt to invoke virtual method boolean on null object reference
The exception trace is:
*FATAL EXCEPTION: main
Caused by: Attempt to invoke virtual method boolean on null object reference
Because all these activities are exported ones, i.e., be exposed to outside, they may receive unfriendly commands and then lead to app crash. After investigation, we found that the missing of null checkers causes those crashes.
Please help to confirm whether they are true bugs. We believe that fixing these bugs will further improve the robustness of this app.</t>
  </si>
  <si>
    <t>2019-08-15</t>
  </si>
  <si>
    <t>deltachat-deltachat-android-1023</t>
  </si>
  <si>
    <t>Crash on missing/not working camera or sensors</t>
  </si>
  <si>
    <t>Device: bq Aquaris
Delta Chat Version: 0.500.0
Expected behavior: Start as usual
Actual behavior: Total application crash
Steps to reproduce the problem: Break your sensors cameraserver firmware</t>
  </si>
  <si>
    <t>2019-08-14</t>
  </si>
  <si>
    <t>niccokunzmann-mundraub-android-264</t>
  </si>
  <si>
    <t>Saved search results are restored in reversed order</t>
  </si>
  <si>
    <t>&lt;!-- If you report an app crash, please attach the file
from the root of your phone file system. --&gt;
When open and close the app or the search for places, the saved places change their order.</t>
  </si>
  <si>
    <t>zeroc-ice-ice-demos-71</t>
  </si>
  <si>
    <t>cpp11/IceGrid/customLocator failure on macOS high_sierra</t>
  </si>
  <si>
    <t>This demo is failing in CI
Running on ice-dist-macos-high sierra-test-3.7
*** running demo 26 37 in Users vagrant workspace ice-dist 3.7 dist-utils demoscript ice cpp11 IceGrid customLocator
*** configuration: --mode release --fast --debug
using Ice installation from usr local
running demos from Users vagrant workspace ice-dist 3.7 dist-utils build ice builds
cleaning databases... ok
starting icegridnode... (icegridnode --Ice.Config config.grid
starting custom locator... (. locator
deploying application... (icegridadmin --Ice.Config config.grid)
testing client without context... (. client
testing client with context... (. client --context)
Traceback (most recent call last):
File Users vagrant workspace ice-dist 3.7 dist-utils demoscript ice cpp11 IceGrid customLocator expect.py line 73, in &lt;module&gt;
connection refused: Connection refused
try to manually run the demo in the VM and saw that the locator is crashing because of missing symbol
Referenced from: Users vagrant workspace ice-dist 3.7 dist-utils build ice builds cpp11 IceGrid customLocator locator
Expected in: usr local opt ice lib libIce++11.37.dylib</t>
  </si>
  <si>
    <t>niccokunzmann-mundraub-android-263</t>
  </si>
  <si>
    <t>Plant map does not go places of the search</t>
  </si>
  <si>
    <t>&lt;!-- If you report an app crash, please attach the file
from the root of your phone file system. --&gt;
When go to Find Places and click on result, the map does not go to this place.</t>
  </si>
  <si>
    <t>MozillaReality-FirefoxReality-1566</t>
  </si>
  <si>
    <t>Prevent crash reporter from getting stuck in an infinte loop</t>
  </si>
  <si>
    <t>2019-08-13</t>
  </si>
  <si>
    <t>twilio-video-quickstart-android-431</t>
  </si>
  <si>
    <t xml:space="preserve">Samsung S10 experiences crash when joining a room or when switching cameras </t>
  </si>
  <si>
    <t>Certain Samsung S10 models are currently crashing when switching cameras or joining room. These models contain more than two cameras and we are currently working to update our SDK to handle this use case.
Apps that consume video by Twilio and run on Samsung S10 will experience hard crash crash when switching the camera or joining room.
### Effected models
### Steps to Reproduce
1. Install quickStart on Samsung S10
2. Switch the camera or join room
#432 contains temporary fix in which checks that camera supports ImageFormat.PRIVATE before allowing the camera to be used as capture device. This will prevent the crash.
We are actively working on more long term solution and will update this issue as we move forward.</t>
  </si>
  <si>
    <t>mauron85-react-native-background-geolocation-409</t>
  </si>
  <si>
    <t>Occasional issue causing crashes: CursorWindowAllocationException</t>
  </si>
  <si>
    <t>&lt;!-- PLEASE DON DELETE THIS TEMPLATE, OR YOUR ISSUE WILL BE CLOSED IGNORED !!! --&gt;
&lt;!--- Provide general summary of the issue in the Title above --&gt;
## Your Environment
Session ID: DNE v2
OS Version: 8.1.0
RAM Free: 16%
Disk Free: 79.4%
Library version: 0.8.3
While listening in the background as foreground app, see few crashes from my users each day in Fabric.io with this stack trace
## Expected Behavior
## Actual Behavior
Crashes in the background
## Possible Fix
did some googling of this same exception and its possible we aren dealing with SQLite cursors correctly. Maybe we aren releasing db cursors, or maybe because it is multi-threaded, separate threads are contesting for cursors. If it is contestation issue, then we may be able to just use an AtomicVariable&lt;&gt; in Java to lock and limit one thread to reading writing from SQLite at time. Just theory, though.
## Steps to Reproduce
It is intermittent, which makes it hard to reproduce.
We are listening and mapping driver locations for logistics app. When the crash occurs, their location tracking stops working until they get to their next stop.
## Debug logs
#0. Crashed: Thread-67
#0. Crashed: Thread-67</t>
  </si>
  <si>
    <t>Haptic-Apps-Slide-3050</t>
  </si>
  <si>
    <t>App crash when loading comments in post</t>
  </si>
  <si>
    <t>Slide version: 6.2
Android version: 8.0
It appears some comments from this post causes app to crash and reload:</t>
  </si>
  <si>
    <t>2019-08-11</t>
  </si>
  <si>
    <t>renyuneyun-Easer-242</t>
  </si>
  <si>
    <t>Error/crash when selecting "extras" in Send Broadcast operation</t>
  </si>
  <si>
    <t>When attempting to create Send Broadcast operation within profile, Easer crashes when press on the extras button.
This occurs with version 0.7.7.7 on Android 8.1.0.
Here is the stacktrace generated with logging:</t>
  </si>
  <si>
    <t>Swati4star-Images-to-PDF-784</t>
  </si>
  <si>
    <t>Crashes reported on playstore</t>
  </si>
  <si>
    <t>Pasting few logs which are causing app (v94) to crash:</t>
  </si>
  <si>
    <t>2019-08-10</t>
  </si>
  <si>
    <t>Neamar-KISS-1253</t>
  </si>
  <si>
    <t>Adding widgets cause a crash for the Settings app</t>
  </si>
  <si>
    <t>app version: 3.10.2
android version: (LineageOS 16 Aug Nightly)
device used: Google Pixel
screenshot (https: imgur.com n5qYzw0)
This prevents me from selecting and adding widget.
Selecting widgets in HGLauncher similarly crashes, but no issues with stock launcher-based launchers.
Tried searching through adb logcat, and this seems to be the crash:</t>
  </si>
  <si>
    <t>2019-08-09</t>
  </si>
  <si>
    <t>nextcloud-android-4305</t>
  </si>
  <si>
    <t>App crash on "login" in FirstRunActivity</t>
  </si>
  <si>
    <t>MozillaReality-FirefoxReality-1545</t>
  </si>
  <si>
    <t>Crash in telemetry</t>
  </si>
  <si>
    <t>&lt;!--- Include the name and version of the hardware VR headset you experienced the bug in. --&gt;
## Steps to Reproduce
1) Launch FxR
2) Enter private browsing
3) exit private browsing by pressing the private browsing icon in the tray
4) Notice the close button is still visible over the window
5) click the close button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Close button should not be visible and telemetry shouldn crash</t>
  </si>
  <si>
    <t>2019-08-08</t>
  </si>
  <si>
    <t>zeroc-ice-ice-demos-69</t>
  </si>
  <si>
    <t>Android hello demo crash</t>
  </si>
  <si>
    <t>Let the demo open on my phone and saw that crash, demo wasn doing anything.</t>
  </si>
  <si>
    <t>twilio-video-quickstart-android-430</t>
  </si>
  <si>
    <t>No static method create()Lorg/webrtc/EglBase; in quickStart &amp; quickStartKotlin</t>
  </si>
  <si>
    <t>Both quickStart quickStartAndroid crash immediately after taking camera and mic permissions with the following error log
Tried deleting global and local .gradle folders but didnt help
All relevant version information for issue.
#### Video Android SDK
#### Android API
Android API 28
#### Android Device
Emulator image API 28 x86 64</t>
  </si>
  <si>
    <t>wiglenet-wigle-wifi-wardriving-358</t>
  </si>
  <si>
    <t>[FIX] crashes on older android devices</t>
  </si>
  <si>
    <t>android makes it hard to add new features while maintaining long-tail compat.</t>
  </si>
  <si>
    <t>2019-08-07</t>
  </si>
  <si>
    <t>pazaan-600SeriesAndroidUploader-254</t>
  </si>
  <si>
    <t>Dot character in basal pattern causes NS crash</t>
  </si>
  <si>
    <t>Uploader Version Number: 0.7 Hungarian default pattern names
Your Android Phone Model Name (e.g. Samsung J1 Ace): All
Android Version Number (e.g. use 4.4 for 4.4.4): All
Network Connection at the time the issue occurred (Wi-Fi, Mobile): All
Nightscout website version: 0.12.3
#### Brief Explanation of Issue
If there is dot character in the name of basal pattern (for example Day Off is Szab.nap the profile creation causes MongoDB error during profile upload and also all profiles are lost in NS because of the delete command, which is executed before the create command.
#### Uploader Error Code
(processProfile) Service Unavailable
#### Steps to Reproduce (for bugs)
1. Put dot character in the name of basal pattern
2. Execute basal pattern update
#### Severity Score
Hungarian version is not working, but will change the translation so there will be no more dots in the default Hungarian basal pattern names (for exmaple Day Off is Szab.nap in the Hungarian 640G), however if user puts dot in the name of the pattern the error will occur again.</t>
  </si>
  <si>
    <t>opentok-opentok-react-native-324</t>
  </si>
  <si>
    <t>Android crash app when change streamId for subscriber component</t>
  </si>
  <si>
    <t>want to switch to another subscriber stream but it cause the crash in Android, not in iOS.
**Steps to reproduce**
Build component with streamId, after that re-render with another streamId and it crash with the following error: The specific child already has parent. You must call removeView() on the child parent first.
am following the spinet to custom subscriber view, just subscriber is available at time.
import OTSubscriberView from
Render prop function
&lt;OTSubscriberView streamId streamId style subscriberStyle
**What is the current *bug* behavior?**
Cause crash app
**What is the expected *correct* behavior?**
It can switch to another stream correctly like in iOS.
**Relevant logs and or screenshots**</t>
  </si>
  <si>
    <t>square-okhttp-5331</t>
  </si>
  <si>
    <t>Native Crash in okhttp 3.12.2</t>
  </si>
  <si>
    <t>got the crash on some devices
#08 pc 0000ae15 system lib libjavacrypto.so armeabi-v8
10 #09 pc 0000f845 system lib libjavacrypto.so armeabi-v8
11 #10 pc 002f063f data dalvik-cache arm system framework boot.oat armeabi</t>
  </si>
  <si>
    <t>RoverPlatform-rover-android-419</t>
  </si>
  <si>
    <t xml:space="preserve">Text Poll Measurement Vote Percentage Text Issue </t>
  </si>
  <si>
    <t>sdk causes crash because margin layout params of VotePercentageText are null after changing what is passed to the function</t>
  </si>
  <si>
    <t>2019-08-06</t>
  </si>
  <si>
    <t>niccokunzmann-mundraub-android-255</t>
  </si>
  <si>
    <t>Map chooses center as plant location</t>
  </si>
  <si>
    <t>&lt;!-- If you report an app crash, please attach the file
from the root of your phone file system. --&gt;
When choose location for plant, the location of the center is chosen.
However, we have marker to choose the position of the plant and this location should be used.</t>
  </si>
  <si>
    <t>niccokunzmann-mundraub-android-253</t>
  </si>
  <si>
    <t>Can not select plant location on edit after search</t>
  </si>
  <si>
    <t>&lt;!-- If you report an app crash, please attach the file
from the root of your phone file system. --&gt;
When edit plant, would like to use the search.
can use it but it always jumps back to the initial position.</t>
  </si>
  <si>
    <t>niccokunzmann-mundraub-android-250</t>
  </si>
  <si>
    <t>Can not select offline areas after a search</t>
  </si>
  <si>
    <t>&lt;!-- If you report an app crash, please attach the file
from the root of your phone file system. --&gt;
Offline areas should be selected even if the map was searched.</t>
  </si>
  <si>
    <t>aws-amplify-aws-sdk-android-1115</t>
  </si>
  <si>
    <t>Error in decryption key initializing CognitoCachingCredentialsProvider</t>
  </si>
  <si>
    <t>**Describe the bug**
Amazon crash on initialization of
code sample or steps:
initialize Handler class which will handle TextToSpeech requests.
class UtteranceHandler extends Handler
the context passed to handler is MainActivity
private void initPollyClient()
Cognito pool ID. Pool needs to be unauthenticated pool with
Amazon Polly permissions.
String COGNITO POOL ID ***
Region of Amazon Polly.
Regions MY REGION ***
Initialize the Amazon Cognito credentials provider.
context.get(), program crashes on this line
COGNITO POOL ID,
Create client that supports generation of pre-signed URLs.
**Which AWS service(s) are affected?**
am trying to user the Amazon polly service
clear and concise description of what you expected to happen.
The code shown should initialize TTS client.</t>
  </si>
  <si>
    <t>2019-08-05</t>
  </si>
  <si>
    <t>MozillaReality-FirefoxReality-1505</t>
  </si>
  <si>
    <t>Crash on pause with releas build and clean install.</t>
  </si>
  <si>
    <t>&lt;!--- Include the name and version of the hardware VR headset you experienced the bug in. --&gt;
Go (could be others)
## Steps to Reproduce
&lt;!--- For bugs, please provide link to live web site, test page, or rough set of --&gt;
&lt;!--- steps to reproduce this bug. If relevant, include code to reproduce. --&gt;
&lt;!--- Feel free to attach images and GIFs of screen captures. --&gt;
1. Uninstall FxR
2. Install release build.
3. Run FxR
4. Press oculus home button and exit FxR
## Current Behavior
&lt;!--- If describing bug, tell us what happens instead of the expected behavior. --&gt;
&lt;!--- If suggesting change improvement, explain the difference from current behavior. --&gt;
FxR will eventually crash and re-launch.
## Expected Behavior
&lt;!--- If you re describing bug, tell us what should happen. --&gt;
&lt;!--- If you re suggesting change improvement, tell us how it should work. --&gt;
FxR shouldn crash.</t>
  </si>
  <si>
    <t>TeamNewPipe-NewPipe-2493</t>
  </si>
  <si>
    <t>Popout seems to die when re-opening the main app (or resuming playback)</t>
  </si>
  <si>
    <t>carefully read the contribution guidelines (https: github.com TeamNewPipe NewPipe blob HEAD .github CONTRIBUTING.md) and agree to them.
checked if the issue feature exists in the latest version.
did use the incredible bugreport to markdown converter (https: to paste bug reports.
This has been an issue in NewPipe for couple of years, but never got around to sending bug report (since there was no real crash to paste in an issue). Effectively, the issue is that (seemingly randomly) when you have popout video playing the popout will die when you re-open the main app. This also happens sometimes when you try to resume paused video some time after you paused it.
can try to rustle up video of it (if can get useful reproducer), but opening this issue for visibility to hopefully get some sort of resolution. ve had this issue on Pixel XL, Pixel 3a, OnePlus 1, OnePlus 5T, and ve seen other people hit this issue as well after recommended they use NewPipe.</t>
  </si>
  <si>
    <t>opensrp-opensrp-client-chw-581</t>
  </si>
  <si>
    <t>App is crashing when you open upcoming services page for any child</t>
  </si>
  <si>
    <t>happens with both languages</t>
  </si>
  <si>
    <t>MozillaReality-FirefoxReality-1495</t>
  </si>
  <si>
    <t>Crash report settings label not left-aligned</t>
  </si>
  <si>
    <t>## Steps to Reproduce
Look at Settings-&gt;Privacy and security, label for Send backlogged crash reports
## Current Behavior
Label appears to be centred.
## Expected Behavior
Label should be left-aligned.</t>
  </si>
  <si>
    <t>forcedotcom-SalesforceMobileSDK-Android-1958</t>
  </si>
  <si>
    <t>app crashes after authentication</t>
  </si>
  <si>
    <t>Our React Native Android app crashes since upgrading to 7.2.0 with null pointer exception (as below). We have resolved the problem temporarily by reverting the following commits locally:
https: github.com forcedotcom commit
https: github.com forcedotcom commit
https: github.com forcedotcom commit
1. Version of Mobile SDK Used: **7.2.0**
2. Issue found in **React Native App**
3. OS Version: **Android**
4. Device: **Various**
5. Steps to reproduce:
-- Open app, redirects to the Salesforce login screen
-- Complete login flow (password, 2FA etc)
6. Actual behavior: upon redirecting back to our app the app crashes with null pointer exception and does not retain the login or open the app.
7. Expected Behavior: The app opens with authentication as provided.
8. Error Log: There was null pointer exception at SalesforceSDK src com salesforce androidsdk secruity at line 103: CACHED ENCRYPTION KEYS.put(name, encryptionKey)</t>
  </si>
  <si>
    <t>getodk-collect-3281</t>
  </si>
  <si>
    <t>OkHttp failure when submission filename contains unicode</t>
  </si>
  <si>
    <t>#### Software and hardware versions
#### Problem description
Submission filenames are based on the form name which can contain unicode. Trying to send submission with such form name causes crash.
See reproduction steps and full error message at https: 21230</t>
  </si>
  <si>
    <t>2019-08-02</t>
  </si>
  <si>
    <t>MozillaReality-FirefoxReality-1492</t>
  </si>
  <si>
    <t>Crash in VRBrowserActivity.onStop()</t>
  </si>
  <si>
    <t>&lt;!--- Include the name and version of the hardware VR headset you experienced the bug in. --&gt;
Seen on Go, possibly other devices.
## Steps to Reproduce
&lt;!--- For bugs, please provide link to live web site, test page, or rough set of --&gt;
&lt;!--- steps to reproduce this bug. If relevant, include code to reproduce. --&gt;
&lt;!--- Feel free to attach images and GIFs of screen captures. --&gt;
1. Launch release build of FxR
2. Let device go into sleep mode
## Current Behavior
&lt;!--- If describing bug, tell us what happens instead of the expected behavior. --&gt;
&lt;!--- If suggesting change improvement, explain the difference from current behavior. --&gt;
FxR crashes in
## Expected Behavior
&lt;!--- If you re describing bug, tell us what should happen. --&gt;
&lt;!--- If you re suggesting change improvement, tell us how it should work. --&gt;
FxR should not crash on stop.
## Possible Solution
&lt;!--- Optional --&gt;
&lt;!--- Feel free to suggest fix reason for the bug, --&gt;
&lt;!--- or ideas how to implement the addition or change. --&gt;</t>
  </si>
  <si>
    <t>aws-amplify-aws-sdk-android-1109</t>
  </si>
  <si>
    <t>KeyProvider23.java line 80</t>
  </si>
  <si>
    <t>**Describe the bug**
We re getting very high volume of AWS library crashes in Firebase Crashlytics, could you check?
**Which AWS service(s) are affected?**
Android SDK 2.13.5
Caused by Error in initializing the
Caused by Failed to obtain information about key
Caused by Failed to obtain information about key</t>
  </si>
  <si>
    <t>aws-amplify-aws-sdk-android-1108</t>
  </si>
  <si>
    <t>KeyProvider18.java line 90</t>
  </si>
  <si>
    <t>**Describe the bug**
We re getting very high volume of AWS library crashes in Firebase Crashlytics, could you check?
**Which AWS service(s) are affected?**
Android SDK 2.13.5
Caused by Error in initializing the
Caused by key null
Caused by key null</t>
  </si>
  <si>
    <t>domoticz-domoticz-android-540</t>
  </si>
  <si>
    <t>v0.2.127 (6112) crashed on pixel 3a</t>
  </si>
  <si>
    <t>Pixel 3a newest android
Domoticz newest beta
Http connect with 192.xxx.xxx.xx not permitted There are no settings where could set password and don have password in my Domoticz server.</t>
  </si>
  <si>
    <t>2019-08-01</t>
  </si>
  <si>
    <t>opensrp-opensrp-client-chw-anc-193</t>
  </si>
  <si>
    <t>App is crashing when I try to open the Preg Outcome form</t>
  </si>
  <si>
    <t>This was under chaone user and trying to open preg outcome form for any woman in ANC register.</t>
  </si>
  <si>
    <t>TeamNewPipe-NewPipe-2484</t>
  </si>
  <si>
    <t>ui crashes when google serves a captcha page</t>
  </si>
  <si>
    <t>yes carefully read the contribution guidelines (https: github.com TeamNewPipe NewPipe blob HEAD .github CONTRIBUTING.md) and agree to them.
--&gt; forgot to capture the crash report, error occurs randomly
yes checked if the issue feature exists in the latest version. 16.2
did use the incredible bugreport to markdown converter (https: to paste bug reports. (next time)
using orbot. Once in while newpipe crashes when loading video. By following the share link to external browser just found out that google asks to solve captcha because of high site traffic (last tor exit node heavily in use?).
If it happens again will post the crash report (probably useless) but also the served html (for the extractor to learn to recognize the code).</t>
  </si>
  <si>
    <t>opensrp-opensrp-client-chw-anc-190</t>
  </si>
  <si>
    <t>Cannot access PNC profile from ANC record moved based on pregnancy outcome form with stillbirth</t>
  </si>
  <si>
    <t>App crashes when an ANC record is transitioned to PNC record when the pregnancy outcome form is filled.
1. Open an ANC record
2. Fill in the pregnancy form and select still birth.
3. Submit the form.
4. ANC record has moved to PNC.
5. Open the PNC record for same woman.
6. App will crash.</t>
  </si>
  <si>
    <t>ejsfbu-penny-132</t>
  </si>
  <si>
    <t>app crashes when taking landscape picture</t>
  </si>
  <si>
    <t>ejsfbu-penny-131</t>
  </si>
  <si>
    <t>app crashes when press confirm on deposit dialog without entering value</t>
  </si>
  <si>
    <t>2019-07-31</t>
  </si>
  <si>
    <t>Crazy-Marvin-Morse-9</t>
  </si>
  <si>
    <t>Application crashes after playing a sequence and then trying to play viod.</t>
  </si>
  <si>
    <t>awslabs-aws-mobile-appsync-sdk-android-208</t>
  </si>
  <si>
    <t>AppSync crash</t>
  </si>
  <si>
    <t>We are using SDK version 2.8.4
We got just crash in the Crashlitics:
Fatal Exception: Expected: TERMINATED, but found ACTIVE, CANCELED
don know how to reproduce it.
was just wondering if someone else had the same crash.</t>
  </si>
  <si>
    <t>niccokunzmann-mundraub-android-236</t>
  </si>
  <si>
    <t>Accept Android license</t>
  </si>
  <si>
    <t>&lt;!-- If you report an app crash, please attach the file
from the root of your phone file system. --&gt;
Travis shows this bug when the app is built:
Checking the license for package Android SDK Build-Tools 27.0.3 in usr local android-sdk licenses
What went wrong:
problem occurred configuring project :app
Failed to install the following Android SDK packages as some licences have not been accepted.
build-tools 27.0.3 Android SDK Build-Tools 27.0.3
To build this project, accept the SDK license agreements and install the missing components using the Android Studio SDK Manager.
Using Android SDK: usr local android-sdk</t>
  </si>
  <si>
    <t>2019-07-30</t>
  </si>
  <si>
    <t>fossasia-phimpme-android-2845</t>
  </si>
  <si>
    <t>App returns to home page when Screen Locked while editing image.</t>
  </si>
  <si>
    <t>**Describe the bug**
App returns to home page when screen is locked while editing image. Sometime app crashes doing same thing.
1. Open Any folder
2. Click on any image
3. Click on edit icon
4. Lock the Screen
5. Go to app back
App should go back to same editing state
&lt;!-- If applicable, add screenshots to help explain your problem. --&gt;
Device ASUS Z01DB
Android Version 8.0.0
&lt;!-- Add any other context about the problem here. --&gt;
**Would you like to work on the issue?**
&lt;!-- Please let us know if you can work on it or the issue should be assigned to someone else. --&gt;</t>
  </si>
  <si>
    <t>twilio-video-quickstart-android-424</t>
  </si>
  <si>
    <t>Failed to create EGL context: 0x3003</t>
  </si>
  <si>
    <t>can reproduce it by myself, this is log from crashlytics:
Fatal Exception: Failed to create EGL context: 0x3003
It happens mostly on Samsung (60%), Xiaomi(12%), LG(10%)
affected operating systems: 9(60%), 8(23%), 6(9%), 7(6%)</t>
  </si>
  <si>
    <t>gsantner-markor-639</t>
  </si>
  <si>
    <t>Uncheck syntax highlighting making Markor crash</t>
  </si>
  <si>
    <t>#### General information
**App version: v2.0.3(80)**
**System: Android 9, Samsung A5 2017, LineageOS**
Markor is crashing and won open anymore when uncheck Settings General Syntax highlighting have to clear storage reset settings to open Markor again.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</si>
  <si>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shiftlyapp-Shiftly-45</t>
  </si>
  <si>
    <t>Group deletion while there are users signed to the group crashes</t>
  </si>
  <si>
    <t>ttdyce-NHentai-NHViewer-8</t>
  </si>
  <si>
    <t>The app crashed when I tried to add hentai as favorite after exiting the hentai for a few times</t>
  </si>
  <si>
    <t>**Describe the bug**
When tried to add hentai as the favorite after exiting the hentai for few times, then the app crashed.
Steps to reproduce the behavior:
1. Open the app.
2. Open hentai and press back to exit from it.
3. Now press add as your favorite button to add it as your favorite.
4. Notice the bug. (If you haven seen the bug yet then try those steps for few times to different hentai).
Expected that could add hentai as the favorite after exiting from it for few times.
**Smartphone (please complete the following information):**
Device: Samsung A5
OS: Android 6.0.1</t>
  </si>
  <si>
    <t>2019-07-29</t>
  </si>
  <si>
    <t>cgeo-cgeo-7752</t>
  </si>
  <si>
    <t>Crash on Theme options change</t>
  </si>
  <si>
    <t>didn investigate much of it yet but noticed that changing anything in Theme-Options leads to crash with my current debug build (Mapsforge 0.11). will have closer look and see what the cause. Just wanted to document my finding.</t>
  </si>
  <si>
    <t>2019-07-28</t>
  </si>
  <si>
    <t>ttdyce-NHentai-NHViewer-7</t>
  </si>
  <si>
    <t>The app crashed when I clicked on history after deleting it from the collection menu</t>
  </si>
  <si>
    <t>**Describe the bug**
When tried to click on the history option after deleting history from the collection option, then the app crashed.
Steps to reproduce the behavior:
1. Open the app.
2. Go to the main menu of the app and click on the Collection
3. You will see two tabs. Tap and hold the history and click on the delete icon to delete it.
4. Now once again go to the app main menu and try to go to the History option and see an error.
expected that could click on history after deleting it from the collection menu without getting any trouble.
Device: Samsung A5
OS: Android 6.0.1</t>
  </si>
  <si>
    <t>2019-07-27</t>
  </si>
  <si>
    <t>ejsfbu-penny-85</t>
  </si>
  <si>
    <t>Safely remove bank account</t>
  </si>
  <si>
    <t>removes bank account from user without deleting object to prevent transactions from crashing.</t>
  </si>
  <si>
    <t>aws-amplify-aws-sdk-android-1092</t>
  </si>
  <si>
    <t>Pinpoint crash: "INTERNET permission not granted"</t>
  </si>
  <si>
    <t>Customer reports that they see infrequent crashes from the Pinpoint library:
We ve found that the SDK validates if the Internet permission has been granted through the checkSelfPermission call which may not work in certain devices manufacturers Custom Android implementations.
We need to investigate to see if we can remove this validation from the SDK as other SDKs don do this check.</t>
  </si>
  <si>
    <t>2019-07-26</t>
  </si>
  <si>
    <t>itachi1706-SingBuses-178</t>
  </si>
  <si>
    <t>baseride Comodo SSL validation failed</t>
  </si>
  <si>
    <t>erxes-erxes-android-sdk-12</t>
  </si>
  <si>
    <t>Login check app crash in sleep in erxes app</t>
  </si>
  <si>
    <t>miguelpruivo-flutter_file_picker-115</t>
  </si>
  <si>
    <t>Crash on Android selecting a PDF file</t>
  </si>
  <si>
    <t>am using the file picker with type set to FileType.ANY on Pixel 3. If select file of type PDF then get crash as shown below:
If seems somewhat similar to this issue: https: github.com miguelpruivo plugins flutter file picker issues</t>
  </si>
  <si>
    <t>MozillaReality-FirefoxReality-1459</t>
  </si>
  <si>
    <t>Creating a new window causes app to crash</t>
  </si>
  <si>
    <t>## Steps to Reproduce
Open and close new windows multiple times using the button in the tray.
## Current Behavior
Viewport doesn appear and app crashes.
## Expected Behavior
App doesnt crash.
ve been able to make this happen pretty reliably, but can tell what actually triggers it. Sometimes it on the second new window and sometimes it lot later. also not sure if switching to Private Browsing has something to do with it, but the first time it happened that what was doing, so included it in the attached video.
&lt;!--- DO NOT REMOVE THIS LINE. --&gt;
&lt;!--- DO NOT REMOVE THIS LINE. --&gt;</t>
  </si>
  <si>
    <t>2019-07-25</t>
  </si>
  <si>
    <t>avluis-Hentoid-342</t>
  </si>
  <si>
    <t>Updates - App crashes after update download reaches 100%</t>
  </si>
  <si>
    <t>Install one of the release candidates of v1.8
Follow the update notification
App crashes when downloading update notification reaches 100%</t>
  </si>
  <si>
    <t>square-okhttp-5303</t>
  </si>
  <si>
    <t>/system/lib/libssl.so (SSL_is_init_finished+7)</t>
  </si>
  <si>
    <t>#01 pc 000147cb system lib libjavacrypto.so armeabi-v7a
#02 pc 0000f745 system lib libjavacrypto.so armeabi-v7a
#03 pc 0003535f system framework arm boot-conscrypt.oat (oatexec+99167) armeabi
most of crash in os 8.1.0</t>
  </si>
  <si>
    <t>dimagi-commcare-android-2127</t>
  </si>
  <si>
    <t>Catches Xpath error in onEntitySelected</t>
  </si>
  <si>
    <t>Instead of crashing on XPathException, Catches the XpathException and shows the error to the user.</t>
  </si>
  <si>
    <t>2019-07-24</t>
  </si>
  <si>
    <t>DigitalCampus-oppia-mobile-android-854</t>
  </si>
  <si>
    <t>"java.lang.RuntimeException: Unable to start receiver" error message</t>
  </si>
  <si>
    <t>getting few automated emails with the same error (just on the LMH app though). Unclear to me if this causes the app to crash too but it looks like it might just be background error?
The full stack trace is:</t>
  </si>
  <si>
    <t>opentok-opentok-react-native-315</t>
  </si>
  <si>
    <t xml:space="preserve">Hide subscriber view </t>
  </si>
  <si>
    <t>want to hide subscriber view but using height: height: 0.1 or display: none video does not disappear. Subscriber still on layout:
And when do conditional to hide in render app crash:</t>
  </si>
  <si>
    <t>2019-07-23</t>
  </si>
  <si>
    <t>k9mail-k-9-4121</t>
  </si>
  <si>
    <t>Openpgp enable crash</t>
  </si>
  <si>
    <t>### Actual behavior
K9 crashes when enabling openpgp support without having provider installed.
### Steps to reproduce
Click the following:
3. End-to-end encryption
K-9 Mail version: master</t>
  </si>
  <si>
    <t>material-components-material-components-android-460</t>
  </si>
  <si>
    <t>[TextInputLayout] Using endIconTint property causes application to crash</t>
  </si>
  <si>
    <t>Using the material design **TextInputLayout** and having added the **endIconTint** property to the XML file, the app ** crashes ** when run. The **endIconMode** property is present and set to clear text
The app should not crash when endIconTint is used.
**Android API version:**
Android API version 28
**Material Library version:**
Material Android Library version 1.1.0-alpha04
Samsung Galaxy S10</t>
  </si>
  <si>
    <t>2019-07-22</t>
  </si>
  <si>
    <t>GrapheneOS-PdfViewer-42</t>
  </si>
  <si>
    <t>The application crashes when i Open pdf file</t>
  </si>
  <si>
    <t>### Expected behavior:
The application should not be crash when open pdf file.
### Actual behavior:
After configure the application when open pdf file,the application is you can see in bug video proprealy.
### How to reproduce:
1.Download the app
2.Open the application.
3.1st time going my device files
4.Then click on document of other.
5.click on pdf file and open
6.Note the Bug.
### Recording of the bug</t>
  </si>
  <si>
    <t>2019-07-21</t>
  </si>
  <si>
    <t>skynet-im-skynet-android-4</t>
  </si>
  <si>
    <t>Crash on counterpart nickname update</t>
  </si>
  <si>
    <t>Steps to reproduce the behavior:
1. Let someone else register and login to Skynet, but not enter his nickname
2. Create direct channel together with this account
3. Let the other person set his nickname
4. Your Skynet app crashes
The list item should update to show the nickname instead of the email address.
**Smartphone (please complete the following information):**
Device: Galaxy S6
OS: Android 7.0
Error Code 2067 (SQLITE CONSTRAINT UNIQUE)
Caused By Abort due to constraint violation.
(UNIQUE constraint failed: (code 2067))</t>
  </si>
  <si>
    <t>material-components-material-components-android-455</t>
  </si>
  <si>
    <t>[Dark Theme] Crash WebView api 21</t>
  </si>
  <si>
    <t>When dark theme is enabled on the app, the app crash when inflating the xml of webview on api 21 or 22. On light theme, the webview works fine.
Using the alpha07 version, already tried on alpha08</t>
  </si>
  <si>
    <t>MozillaReality-FirefoxReality-1435</t>
  </si>
  <si>
    <t>Using AndroidStudio Native type debugger can't enter Hubs.mozilla</t>
  </si>
  <si>
    <t>This is just note, and don think this is high priority. It looks like running GV in the debug mode will go to unpredictable code path.
&lt;!--- Include the name and version of the hardware VR headset you experienced the bug in. --&gt;
Oculus Go and Wave Focus Plus
## Steps to Reproduce
&lt;!--- For bugs, please provide link to live web site, test page, or rough set of --&gt;
&lt;!--- steps to reproduce this bug. If relevant, include code to reproduce. --&gt;
&lt;!--- Feel free to attach images and GIFs of screen captures. --&gt;
1. Go to http: hubs.mozilla.com and create room
2. Enter VR
## Current Behavior
&lt;!--- If describing bug, tell us what happens instead of the expected behavior. --&gt;
&lt;!--- If suggesting change improvement, explain the difference from current behavior. --&gt;
1. In Oculus Go, it will show this browser doesn support WebAssembly, please use new browser
2. In Wave Focus Plus, it will crash at the first visit (https: report index after that, it will be good.
## Expected Behavior
&lt;!--- If you re describing bug, tell us what should happen. --&gt;
&lt;!--- If you re suggesting change improvement, tell us how it should work. --&gt;
Using Native debug type should work as using Java type to debug. We should be able to enter Hubs.mozilla without issues.
## Possible Solution
&lt;!--- Optional --&gt;</t>
  </si>
  <si>
    <t>2019-07-19</t>
  </si>
  <si>
    <t>ttdyce-NHentai-NHViewer-3</t>
  </si>
  <si>
    <t>The app crashed when I tried to open the hentai after removing it from the favorite list.</t>
  </si>
  <si>
    <t>**Describe the bug**
When tried to open hentai after removing it from the favorite list, then the app crashed.
Steps to reproduce the behavior:
1. Open the app.
2. Click on the love icon to add it as your favorite.
3. Now, swipe to the right to see your favorite list.
4. Then, press the love button again, the app will ask your permission to remove it. Press yes.
5. At last click on that hentai to open it and notice the crash.
expected that could open the hentai after removing it from my favorite list or the hentai would disappear from the favorite list after removing.
**Smartphone (please complete the following information):**
Device: Samsung A5
OS: Android 6.0.1
App Version: 1.0.2</t>
  </si>
  <si>
    <t>fossasia-open-event-organizer-android-1821</t>
  </si>
  <si>
    <t>The application crashes when i click on acknowledgement</t>
  </si>
  <si>
    <t>### Expected behavior:
expected that the application should not be crash when click on acknowledgement Option.
### Actual behavior:
After configure the application when click on acknowledgement option,the application is you can see in bug vieo proprealy.
### How to reproduce:
1.Download the app from playstore and open the app.
2.Then click on account manu icon and setting option.
3.click on acknowledgement
4.Then try to again
6.Note the Bug.
### Recording of the bug</t>
  </si>
  <si>
    <t>material-components-material-components-android-452</t>
  </si>
  <si>
    <t>[NavigationView] App crashes when using NavigationView in alpha8</t>
  </si>
  <si>
    <t>**Expected behavior:** No crash, unless doing something wrong that should be done differently.
&lt;?xml version 1.0 encoding utf-8 ?&gt;
override fun Bundle?)
main) &lt;- crashes here
Caused by: Exception from call site #16 bootstrap method
... 31 more
**Android API version:** 28
**Material Library version:** 1.1.0-alpha08 (works with alpha07)</t>
  </si>
  <si>
    <t>2019-07-18</t>
  </si>
  <si>
    <t>fossasia-neurolab-android-366</t>
  </si>
  <si>
    <t>App Crash while directly importing from logger</t>
  </si>
  <si>
    <t>**Describe the bug**
App Crash while directly importing from logger
App should not crash while directly importing from logger
**Steps to reproduce it**
Install app, import data in program from data logger.
**Would you like to work on the issue?**</t>
  </si>
  <si>
    <t>2019-07-17</t>
  </si>
  <si>
    <t>LawnchairLauncher-lawnchair-1659</t>
  </si>
  <si>
    <t xml:space="preserve">[BUG] Blur does not work. </t>
  </si>
  <si>
    <t>Blur does not work, and makes pixels instead.
turned the blur on, it did not work and made orange, pink and yellow pixels.
It bummer, because the blur is one of my favorite Lawnchair features.
## Expected Behavior
The blur should work as normal.
## Actual Behavior
Did not work and made strange pixels.
## Steps to Reproduce
&lt;!--- Provide link to live example (screenshot recording etc..), or set of steps to reproduce the issue --&gt;
1. All did was turn on the blur.
&lt;!--- Include as many relevant details about the environment you experienced the bug in --&gt;
&lt;!--- For example: --&gt;
&lt;!--- Device: Samsung Galaxy S10 beyondlte --&gt;
&lt;!--- Android version: 9.0.0 --&gt;
&lt;!--- Launcher version: 2.1.0 --&gt;
&lt;!--- Rom: OneUI 1.2 --&gt;
Android version: 8.1.0 (Android Go)
Launcher version: Latest version as of July 17
&lt;!--- If possible, include logcat of the issue, otherwise remove this section--&gt;
&lt;!--- Navigate to Documents Lawnchair and share the most recent crash log from there. --&gt;</t>
  </si>
  <si>
    <t>awslabs-aws-mobile-appsync-sdk-android-202</t>
  </si>
  <si>
    <t>Uncaught "Call is cancelled" subscription exception</t>
  </si>
  <si>
    <t>**Describe the bug**
An uncaught exception in the subscription code is crashing Android apps. There is evidently no way to prevent this from occurring.
Not commonly reproducable. Might be multithreading problem. However, the code in question is obviously poor way to handle the problem.
The exception is caught and logged or ignored.
AppSync SDK Version: 2.10.0
Device: Pixel API 28 Emulator 29.0.12-5613046
Android version: 9.0 (Pie) API 28</t>
  </si>
  <si>
    <t>LawnchairLauncher-lawnchair-1658</t>
  </si>
  <si>
    <t>Square of wallpaper in navbar when scrolling in app drawer</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</si>
  <si>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When open app drawer and scroll down up see square of my wallpaper on the navigation bar. It flashes there. also tried to reset my settings, and did not set anything, and the issue persisted.
## Steps to Reproduce
&lt;!--- Provide link to live example (screenshot recording etc..), or set of steps to reproduce the issue --&gt;
1. open app drawer
2. scroll down or up
&lt;!--- Include as many relevant details about the environment you experienced the bug in --&gt;
&lt;!--- For example: --&gt;
&lt;!--- Device: Samsung Galaxy S10 beyondlte --&gt;
&lt;!--- Android version: 9.0.0 --&gt;
&lt;!--- Launcher version: 2.1.0 --&gt;
&lt;!--- Rom: OneUI 1.2 --&gt;
Android version: Pie June patch
Launcher version: 2.0-2319
Rom: Android One
&lt;!--- If possible, include logcat of the issue, otherwise remove this section--&gt;
&lt;!--- Navigate to Documents Lawnchair and share the most recent crash log from there. --&gt;</t>
  </si>
  <si>
    <t>2019-07-16</t>
  </si>
  <si>
    <t>Catfriend1-syncthing-android-445</t>
  </si>
  <si>
    <t>NPE crash in util.ConfigXml.getFolders (ConfigXml.java:486) [gplay report]</t>
  </si>
  <si>
    <t>13. Juli 14:53 in der App-Version 1020005</t>
  </si>
  <si>
    <t>2019-07-15</t>
  </si>
  <si>
    <t>miguelpruivo-flutter_file_picker-107</t>
  </si>
  <si>
    <t>NullPointerException on FilePickerPlugin$1.onActivityResult in certain Android devices</t>
  </si>
  <si>
    <t>My app is crashing in some Android devices with
Unfortunately ve been unable to reproduce the issue in my device. The crash logs came from Google Developer Console and points to NPE in but without line number.
don know if data being null on line 59 is the cause of this NPE but the rest of the code seems fine so would start taking look there.
Below is the stack trace of the crash. If able to reproduce this in my device ll post more details.</t>
  </si>
  <si>
    <t>nextcloud-android-4229</t>
  </si>
  <si>
    <t>Crasher after giving permission to storage</t>
  </si>
  <si>
    <t>### Steps to reproduce
1. Uninstall the Nextcloud (Dev) app
2. Installing Nextcloud (Dev) from F-Droid
3. Login in to my NextCloud server
4. Get prompt to allow access to storage
5. the NextCloud app crasher and keeps doing so every time start it
### Expected behaviour
expected it to show me the files on my server
### Actual behaviour
After login in to my NextCloud instance, the NextCloud app crasher and keeps doing so every time start it
## Server configuration detail
Modules loaded: Core, date, libxml, openssl, pcre, sqlite3, zlib, ctype, curl, dom, fileinfo, filter, ftp, hash, iconv, json, mbstring, SPL, PDO, session, posix, readline, Reflection, standard, SimpleXML, pdo sqlite, Phar, tokenizer, xml, xmlreader, xmlwriter, mysqlnd, cgi-fcgi, apcu, exif, gd, imagick, intl, ldap, memcached, pcntl, pdo mysql, pdo pgsql, redis, sodium, zip, Zend OPcache
**Nextcloud version:** 15.0.10 15.0.10.0
**Updated from an older Nextcloud ownCloud or fresh install:**
**Where did you install Nextcloud from:** https: hub.docker.com nextcloud
of activated apps&lt; summary&gt;
cloud federation api: 0.1.0
files external: 1.6.0
files fulltextsearch: 1.2.8
files markdown: 2.0.6</t>
  </si>
  <si>
    <t>2019-07-13</t>
  </si>
  <si>
    <t>fossasia-pslab-android-1872</t>
  </si>
  <si>
    <t>Crash on opening gyroscope configuration menu</t>
  </si>
  <si>
    <t>crash when configuration menu is opened in gyroscope
crash should not happen
**Steps to reproduce it**
Open gyroscope configuration
**LogCat for the issue**
**Screenshots of the issue**
**Would you like to work on the issue?**</t>
  </si>
  <si>
    <t>nextcloud-android-4227</t>
  </si>
  <si>
    <t>sync crashes if file is added to media dir by other app</t>
  </si>
  <si>
    <t>### Actual behaviour
use another app to create new file in sync-ed dir.
tell nextcloud to sync
sync crashes, nextcloud had stopped
### Expected behaviour
nextcloud should find the new file and sync it (upload it), this is how the other sync clients work on desktop
### Steps to reproduce
1. Sync dir
2. Use other app to create file in the directory that NC has created and put these sync-ed files in
3. In NC tap menu by the dir and choose sync
### Environment data
Device model: Moto g5+
Stock or customized system:
Nextcloud app version: 3.7
Nextcloud server version:15.0.8
#### Web server error log
Insert your webserver log here
#### Nextcloud log (data nextcloud.log)
Insert your Nextcloud log here</t>
  </si>
  <si>
    <t>fennifith-Alarmio-61</t>
  </si>
  <si>
    <t>Snooze</t>
  </si>
  <si>
    <t>Please verify that there are no duplicate issues before creating one, and check that you are using the latest version of the app.
For crash reports and other bugs and errors, please use the template below to add your device info so that can find the cause more easily.
For the angels that are contributing building the app yourself, please read CONTRIBUTING.md (in .github) before reporting any issues as there are certain instructions you must follow to compile working version of the app.
## Device Info
Model name: Nokia 6.1
Android version: Android
## Steps to Reproduce
Add new alarm
## Expected behaviour
Silence for minutes until repeat alarm.
## Actual behaviour
The alarm clock (timer) is still ringing: video (https: devtube.dev-wiki.de videos watch</t>
  </si>
  <si>
    <t>2019-07-12</t>
  </si>
  <si>
    <t>MozillaReality-FirefoxReality-1392</t>
  </si>
  <si>
    <t>Crash when showing a choice prompt</t>
  </si>
  <si>
    <t>## Steps to Reproduce
2. Click on the dropdown
## Current Behavior
&lt;!--- If describing bug, tell us what happens instead of the expected behavior. --&gt;
&lt;!--- If suggesting change improvement, explain the difference from current behavior. --&gt;
The app crashes
## Expected Behavior
&lt;!--- If you re describing bug, tell us what should happen. --&gt;
&lt;!--- If you re suggesting change improvement, tell us how it should work. --&gt;
The app should show dialog with the options.
## Possible Solution
&lt;!--- Optional --&gt;
&lt;!--- Feel free to suggest fix reason for the bug, --&gt;
&lt;!--- or ideas how to implement the addition or change. --&gt;
There is show call that should call the parent method and instead calls itself causing stack overflow.
&lt;!--- Optional --&gt;
&lt;!--- How has this issue affected you? What are you trying to accomplish? --&gt;
&lt;!--- Providing context helps us come up with solution that is most useful in the real world! :) --&gt;
## Error Logs and Stack Traces
&lt;!--- Optional --&gt;</t>
  </si>
  <si>
    <t>square-okhttp-5286</t>
  </si>
  <si>
    <t>OpenSSLSocketImpl.startHandshake crash</t>
  </si>
  <si>
    <t>on some devices get the crash below:
the crash info
#08 pc 000092eb system lib libjavacrypto.so armeabi-v7a</t>
  </si>
  <si>
    <t>nextcloud-android-4222</t>
  </si>
  <si>
    <t>Upload trying to kill memory and hang device</t>
  </si>
  <si>
    <t>### Actual behaviour
When uploading file, application try to copy file to different folder (like data data ... files). If file very big, it fails or hang device for few minutes due to high io activity. It even may crash android with ANR
### Expected behaviour
Upload is going directly to server
### Steps to reproduce
1. Open upload target
2. Select upload in menu
3. Start uploading big file
### Environment data
Stark Impress Strong
Stock or customized system:
Nextcloud app version:</t>
  </si>
  <si>
    <t>square-okhttp-5281</t>
  </si>
  <si>
    <t>Don't leave callbacks hanging when interceptors throw unchecked exceptions</t>
  </si>
  <si>
    <t>Currently, Callback#onFailure has an IOException param, and is only called when the interceptor chain throws an IOException This means that when an unchecked exception is thrown, it bubbles up to the worker thread, and nothing happens with the callback.
This isn unknown (see #1482 and others), but here self-contained repro anyway: https: bitbucket.org marshallpierce src master
For async, we shouldn call onFailure with the unchecked exception that method is for failures only. Instead we re better off crashing to the worker thread uncaught exception handler.
However, unchecked exceptions happen in practice, and either way claim don leave callbacks permanently stuck in neither success or failure is axiomatically Good Thing.
Unchecked exceptions are unavoidable in practice. Any nontrivial code may throw them.
think the above comment is incorrect, and that killing the worker basically does nobody any good. Now another thread has to be started, and the responsible code will never be notified.
It effectively impossible to build reliable code on top of Callback because of this. Retrofit, for instance, produces CompletableFuture that never complete when this happens, which is clearly bad, and there no way for it to do any better, either, because Callback won let it.
Changing the signature of onFailure would be breaking change, so that ll presumably have to wait, but in the meantime it looks like pragmatic solution would be to wrap throwables in IOException so they may be provided to that method. Perhaps WrapperIOException class could be used for just this purpose so that callbacks who care to differentiate could tell the difference between an and the usual breed.</t>
  </si>
  <si>
    <t>2019-07-11</t>
  </si>
  <si>
    <t>square-okhttp-5280</t>
  </si>
  <si>
    <t>KotlinNullPointerException on any network request on old Android 5 phone with new okhttp-logging-interceptor 4.0.0+</t>
  </si>
  <si>
    <t>It crashes because cipherSuites is null in the ConnectionSpec. cipherSuites is null in the connection spec because the code was using to enable TLS 1.2 on API 21 was calling on the As far as can tell, all that does is set the cipherSuites to null.
Is this the expected behavior? Do should be calling or not?</t>
  </si>
  <si>
    <t>fossasia-pslab-android-1858</t>
  </si>
  <si>
    <t>Back Press not working properly in multiple instruments</t>
  </si>
  <si>
    <t>infinite loop between logged data screen and lux meter activity.
Main Screen should open up when back is pressed on lux meter activity.
**Steps to reproduce it**
Open logged data in luxmeter and press your device back button.
**LogCat for the issue**
&lt;!-- Provide logs for the crash here --&gt;
**Screenshots of the issue**
**Would you like to work on the issue?**</t>
  </si>
  <si>
    <t>getsentry-sentry-java-736</t>
  </si>
  <si>
    <t>Default tags override event tags</t>
  </si>
  <si>
    <t>In SentryClient.java this is the implementation of sendEvent
public void eventBuilder)
for (Map.Entry&lt;String, String&gt; tagEntry tags.entrySet())
for (Map.Entry&lt;String, Object&gt; extraEntry extra.entrySet())
In particular default extras and tags, coming from parsed DSN for example seem to override event-specific extras and tags with the same key. consider this unwanted behaviour. default is nothing more than default, i.e. value that is reported when nothing else is there. But if there is specific value, then this specific value should take precedence.
My use case why stumbled upon this was that wanted to have single tag to distinguish between fatal (reported the built-in uncaught exception handler of Sentry) and non-fatal (reported by my own machinery) crashes, and to mark them wanted to introduce tag exception-type Since cannot easily change the implementation of Sentry uncaught exception handler, thought could simply give the tag ?tags exception-type fatal as default parameter to my DSN and have this used by the exception handler events, while in my own events configure my event .withTag( exception-type non-fatal and that would override the default value.</t>
  </si>
  <si>
    <t>LawnchairLauncher-lawnchair-1646</t>
  </si>
  <si>
    <t>Got a crash using Lawnchair V2 cause of a null object reference</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</si>
  <si>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was writing message on What App and suddently the launcher crashed. saw bug notification saying an error message.
Here is the link copied https: del.dog jotenipavo.sql
## Expected Behavior
&lt;!--- Tell us what should happen --&gt;
## Actual Behavior
&lt;!--- Tell us what happens instead --&gt;
Everything is back to normal. Lawnchair is still the best launcher on Android
&lt;!--- If possible, include logcat of the issue, otherwise remove this section--&gt;
&lt;!--- Navigate to Documents Lawnchair and share the most recent crash log from there. --&gt;
&lt;!--- If you can see any crash logs in there, try using this --&gt;
&lt;!--- app (https: android apps-games to capture crash logs. --&gt;
Lawnchair bug report Jul 10, 2019 1:25:53 PM
--------- beginning of stacktrace</t>
  </si>
  <si>
    <t>2019-07-10</t>
  </si>
  <si>
    <t>nextcloud-android-4213</t>
  </si>
  <si>
    <t>TXT preview crashes on 3.7.0</t>
  </si>
  <si>
    <t>### Actual behaviour
Opening txt file crashes
### Expected behaviour
### Steps to reproduce
1. Put txt with with ASCII text in folder
2. Try opening the preview
Stock or customized system:
Nextcloud app version:
Nextcloud server version:</t>
  </si>
  <si>
    <t>2019-07-09</t>
  </si>
  <si>
    <t>ttdyce-NHentai-NHViewer-2</t>
  </si>
  <si>
    <t>app will crash if we click on tags option</t>
  </si>
  <si>
    <t>**Describe the bug**
app will crash if we click on tags option
Steps to reproduce the behavior:
1. install and open the app
2. click on line in the left side
3. then click on tags option
4. See error
**Smartphone (please complete the following information):**
Device: e.g. oppo neo
OS: e.g. android 6.1
Version e.g. 1.0.1
app will show hentai by taggings
FATAL EXCEPTION: main</t>
  </si>
  <si>
    <t>amfoss-TempleApp-74</t>
  </si>
  <si>
    <t>Crash: App is crashing when we select donations in readAll Activity</t>
  </si>
  <si>
    <t>**Describe the bug**
App is crashing when we click on readAll after selecting donations to see all list of donations
Steps to reproduce the behavior:
1. Go to readAll Activity
2. Select Donations and click readAll
3. See error
beginning of crash
**Smartphone (please complete the following information):**
Device: Samsung J8
OS: Android Pie
**Would you like to work on the issue?** (Yes No)</t>
  </si>
  <si>
    <t>2019-07-08</t>
  </si>
  <si>
    <t>projectbuendia-client-388</t>
  </si>
  <si>
    <t>Comment field in Treatments causes chart to crash</t>
  </si>
  <si>
    <t>App version: 642b4ef+
Screen or dialog: Patient chart
#### Steps to replicate the problem
1. Choose any patient, scroll to the bottom of the patient chart
2. Press Add new treatment
3. Put medication name, route, dosage, frequency, and number of days
4. Add string of text into the Notes field (for example May be painful
5. Press OK
#### Actual behaviour
Chart disappears, replaced by stack trace (see screenshot)
#### Expected behaviour</t>
  </si>
  <si>
    <t>ZeevoX-MyHome-11</t>
  </si>
  <si>
    <t>(BUG)[ My Home version 1.0 ]When I connect to WiFi Internet, the application is crashing</t>
  </si>
  <si>
    <t>#### Project Information
Here (https: github.com ZeevoX MyHome)
Project Name---------: MyHome (https: github.com ZeevoX MyHome releases)
Timothy Langer (https: github.com ZeevoX)
My GitHub account----: Here (https: github.com XAMIR555)
#### Expected behavior
When connect WiFi and use the application, all application options should be used and the application should not be crash.
#### Actual behavior
When connect to WiFi Internet, the application is crashing And when close the application again after WiFi connect, the application crashes and does not open.
#### How to reproduce
Download (https: github.com ZeevoX MyHome releases)the application
open the application
Connect the WiFi
Note the Bug
Browser App version-: 1.0
Operating system----: 9.0.0
#### Recording Of The Bug</t>
  </si>
  <si>
    <t>LawnchairLauncher-lawnchair-1636</t>
  </si>
  <si>
    <t xml:space="preserve">launcher crashes when setting wallpaper </t>
  </si>
  <si>
    <t>&lt;!--- Provide general summary of the issue in the Title above --&gt;
&lt;!--- Check if your issue or something similar has been reported before (if yes upvote comment there) --&gt;
&lt;!--- Please not that we don accept any bug reports for Versions 1.* anymore --&gt;
launcher crashes when setting wallpaper from the google photos app
## Expected Behavior
&lt;!--- Tell us what should happen --&gt;
## Actual Behavior
&lt;!--- Tell us what happens instead --&gt;
## Steps to Reproduce
&lt;!--- Provide link to live example (screenshot recording etc..), or set of steps to reproduce the issue --&gt;
&lt;!--- Include as many relevant details about the environment you experienced the bug in --&gt;
&lt;!--- For example: --&gt;
&lt;!--- Device: Samsung Galaxy S10 beyondlte --&gt;
&lt;!--- Android version: 9.0.0 --&gt;
&lt;!--- Launcher version: 2.1.0 --&gt;
&lt;!--- Rom: OneUI 1.2 --&gt;
&lt;!--- If possible, include logcat of the issue, otherwise remove this section--&gt;
&lt;!--- Navigate to Documents Lawnchair and share the most recent crash log from there. --&gt;
&lt;!--- If you can see any crash logs in there, try using this --&gt;
&lt;!--- app (https: android apps-games to capture crash logs. --&gt;</t>
  </si>
  <si>
    <t>SecUSo-privacy-friendly-food-tracker-55</t>
  </si>
  <si>
    <t>The app  crashed when i wanted to add  a new entry</t>
  </si>
  <si>
    <t>MY SHORT EXPERIENCE ON FOOD TRACKER
Not long ago, was thinking of the best way to start tracking my daily calorie consumption. searched using Google and after long search found the food tracker Android application. went on to read the write-up concerning the application and found it very interesting and simple. was impressed with the functionality, downloaded the application from Fossdroid.com
After downloading, installed the food tracker application and immediately opened it after installation. It pops up with welcome note. was at first relieved that have found the right application to help achieve the goal of tracking my daily calorie consumption but to my disbelief, the experience was shocking because it came up with unexpected behavior.
REPORTING THE BUG
The application should have open an overview screen for the consumed calories of the chosen date where can add an entry when touch the symbol immediately without taking any time.
When touch day on the calendar to input new entry as first time user, it crashed saying (Food tracker has stooped).
HOW TO REPRODUCE
1.Download the Food tracker application
2. Open the application
It shows welcome message, Key elements, Github and guide and lastly shows Calendar
3. Touch day to insert new entry
4. Noticing the Bug
App version: 1.0.1
Operating System Android 7.0
RECORDING THE BUG</t>
  </si>
  <si>
    <t>2019-07-07</t>
  </si>
  <si>
    <t>applicaster-plugins-ParentLockScreenPlugin-Android-2</t>
  </si>
  <si>
    <t>Fix(crash): Use getFragmentContainerID to get the correct container a…</t>
  </si>
  <si>
    <t>nd avoid crashing
Until now, we assumed that the container id is content frame, now we take the correct one every time</t>
  </si>
  <si>
    <t>project-travel-mate-Travel-Mate-691</t>
  </si>
  <si>
    <t>App crashed when i select and crop image for profile.</t>
  </si>
  <si>
    <t>Describe the bug.
When tried to select an image for my profile clicked on the upload and the complete action. selected the image want to use and click on the crop function immediately clicked on crop the app crashed.
### Screen recording.
### Devices and Versions)
Device: Gionee, X1
App version 5.5.0</t>
  </si>
  <si>
    <t>mgks-Android-SmartWebView-92</t>
  </si>
  <si>
    <t>Handle file request cancellation gracefully</t>
  </si>
  <si>
    <t>If the file request was cancelled (i.e. because the user exited from the camera without taking photo, or dismissed the intent chooser rather than making choice), null value must be sent in order to prevent future file requests from failing.
We were finding that although the first request worked fine, and subsequent requests also worked if you taken photo chosen file, if you cancelled the process instead, the intent chooser simply doesn show when you subsequently trigger the file input again. This doesn seem to happen in all cases tried to put together minimal test case, but haven managed to replicate the issue in minimal enough form to share yet.
While debugging the issue, came across this StackOverflow post (https: stackoverflow.com 50606783), which suggests that it important to call the callback with null parameter if the request was cancelled. After adding handling for the RESULT CANCELED result in onActivityResult() started getting an app crash when re-triggering the file input after the cancellation until removed the call to asw file from onShowFileChooser() which think might have been intended to serve the same purpose as the RESULT CANCELED handler, but seems to conflict with it.</t>
  </si>
  <si>
    <t>SecUSo-privacy-friendly-food-tracker-54</t>
  </si>
  <si>
    <t>App crashed when I clicked any date on the calendar</t>
  </si>
  <si>
    <t>### Describe the bug.
When clicked on any date on the calendar, the app crashed
### Screen recording.
### Devices and Versions)
Device: Gionee, X1
App version 1.0.1</t>
  </si>
  <si>
    <t>avluis-Hentoid-309</t>
  </si>
  <si>
    <t>Gallery view crashes when filtering when there's no favourite</t>
  </si>
  <si>
    <t>2019-07-06</t>
  </si>
  <si>
    <t>deltachat-deltachat-android-996</t>
  </si>
  <si>
    <t>Sharing from special app crashed</t>
  </si>
  <si>
    <t>This is bug report tracker. New features are discussed in the forum: https: support.delta.chat
Please fill out as much of this form as you can (leaving out stuff that is not applicable is ok).
It crashed by sharing from this app: https: play.google.com store apps details?id
There are also other News Apps who using (probably) the same software as Badische Zeitung.
So think this issue also concerns also other Apps.
Platform (android blackberry anbox): Android
Device: Huawei nova
Delta Chat Version: 0.500.0
Expected behavior: Sharing links to DC
Actual behavior: Chrash of DC</t>
  </si>
  <si>
    <t>nextcloud-android-4205</t>
  </si>
  <si>
    <t>Sticky broadcast giving security exception in Android for work in Android P</t>
  </si>
  <si>
    <t>### Actual behaviour
installed Nextcloud from Play Store in an Android for Work environment. After login and getting access to filesystem the app crashes
every retry to open the app ends directly in an crash
### Expected behaviour
It should launch the application correctly
### Steps to reproduce
1. Configure Android for Work
2. Install Nextcloud android app and configure it
3. Launch it one time.
### Environment data
Android version: patch version 05 05 2019
Device model: HUAWEI P20 lite
Stock or customized system: stock
Nextcloud app version: 3.6.2
Nextcloud server version: 15.0.9
#### Web server error log
#### Nextcloud log (data nextcloud.log)
Sticky broadcast giving security exception in Android for work in Android (https: stackoverflow.com questions 53244575
so when installed nextcloud also in normal user space (only install, no launch) the application in work profile will work as expected.</t>
  </si>
  <si>
    <t>opensrp-opensrp-client-reveal-289</t>
  </si>
  <si>
    <t>Case Confirmation Form Save Crashes App</t>
  </si>
  <si>
    <t>The app crashes when you save the case confirmation form. When you login again, the case confirmation displays as complete. This is likely crash in post save action.</t>
  </si>
  <si>
    <t>2019-07-05</t>
  </si>
  <si>
    <t>LawnchairLauncher-lawnchair-1632</t>
  </si>
  <si>
    <t>Lawnchair crashes when enabling folder cover</t>
  </si>
  <si>
    <t>&lt;!--- Provide general summary of the issue in the Title above --&gt;
&lt;!--- Check if your issue or something similar has been reported before (if yes upvote comment there) --&gt;
&lt;!--- Please not that we don accept any bug reports for Versions 1.* anymore --&gt;
&lt;!--- Tell us what should happen --&gt;
## Steps to Reproduce
&lt;!--- Provide link to live example (screenshot recording etc..), or set of steps to reproduce the issue --&gt;
1. Add icons to folder
2. Go to folder settings enable folder cover
3. Hide settings and open they again
4. Disable folder cover and set swipe up action
5. Hide settings and try to open folder
6. Lawnchair will crash
&lt;!--- Include as many relevant details about the environment you experienced the bug in --&gt;
&lt;!--- For example: --&gt;
&lt;!--- Device: Samsung Galaxy S10 beyondlte --&gt;
&lt;!--- Android version: 9.0.0 --&gt;
&lt;!--- Launcher version: 2.1.0 --&gt;
&lt;!--- Rom: OneUI 1.2 --&gt;
Android version: Pie
Launcher version: 2268</t>
  </si>
  <si>
    <t>LawnchairLauncher-lawnchair-1630</t>
  </si>
  <si>
    <t>Lawnchair crashes when user deletes app search provider</t>
  </si>
  <si>
    <t>&lt;!--- Provide general summary of the issue in the Title above --&gt;
&lt;!--- Check if your issue or something similar has been reported before (if yes upvote comment there) --&gt;
&lt;!--- Please not that we don accept any bug reports for Versions 1.* anymore --&gt;
&lt;!--- Provide general summary of the issue in the Title above --&gt;
&lt;!--- Check if your issue or something similar has been reported before (if yes upvote comment there) --&gt;
&lt;!--- Please not that we don accept any bug reports for Versions 1.* anymore --&gt;
## Steps to Reproduce
&lt;!--- Provide link to live example (screenshot recording etc..), or set of steps to reproduce the issue --&gt;
1. Install Sesame (or other search provider)
2. Enable Sesame integration set sesame as search provider restart lawnchair
3. Uninstall Sesame and click on Lawnchair search field
4. Lawnchair crashes
5. Go to settings and try enter to Search or Integration menu
6. Lawnchair crashes
## Expected Behavior
&lt;!--- Tell us what should happen --&gt;
Lawnchair should reset search provider to built-in (like Google (web)) after user deletes app-provider (like sesame, google app)
&lt;!--- Include as many relevant details about the environment you experienced the bug in --&gt;
&lt;!--- For example: --&gt;
&lt;!--- Device: Samsung Galaxy S10 beyondlte --&gt;</t>
  </si>
  <si>
    <t>LawnchairLauncher-lawnchair-1629</t>
  </si>
  <si>
    <t>After restoring backup At a glance widget crashes Lawnchair</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</si>
  <si>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After cleaning lawnchair data and restoring backup on desktop appears white square with lawnchair logo instead At glance widget. When try to move this widget Lawnchair crashes. If tap widget ll get message about creating widget but when click OK nothing happens.
Also Lawnchair crashes when you try to move any unloaded widget after restoring
## Expected Behavior
&lt;!--- Tell us what should happen --&gt;
Restoring backups should also properly restore At glance widget
## Actual Behavior
&lt;!--- Tell us what happens instead --&gt;
Restoring backup did not resetore At glance widget
## Steps to Reproduce
&lt;!--- Provide link to live example (screenshot recording etc..), or set of steps to reproduce the issue --&gt;
1. Create backup with At glance widget
2. Go to Android Settings and clear data cache of Lawnchair
3. Restore backup
4. You ll see square instead of At glance
5. Try to move resize click
6. Lawnchair gets crashed</t>
  </si>
  <si>
    <t>opentok-opentok-react-native-308</t>
  </si>
  <si>
    <t>Crash when using iOS 13 Beta</t>
  </si>
  <si>
    <t>know iOS 13 is currently still in beta but wanted to bring this up.
ve also updated the project to react-native 0.60
Currently running iOS 13 Beta
Even crashed on an older react-native build that currently works on iOS 12
When starting the video chat it immediately crashes..
Below is the last few lines in Xcode 11 beta.
Doesn really give good direction on what is causing the error..
Please update the following components: OTPublisher
Learn more about this warning here:
Please update the following components: OTPublisher
Learn more about this warning here:</t>
  </si>
  <si>
    <t>microg-GmsCore-869</t>
  </si>
  <si>
    <t>Crash of MOIA app when setting manual address</t>
  </si>
  <si>
    <t>just tested 0.2.8.17785-mapbox (official from website) with MOIA.
App starts up fine and map is displayed. However when entering an address to start while location is disabled, MOIA crashes.
It looks similar to #835, however this seems to look for Polyline.
found two exceptions in the log.
The final crash:
bit before there is another exception in the logs, but it seems not to crash the app. Maybe not connected, but nevertheless:</t>
  </si>
  <si>
    <t>react-native-art-art-19</t>
  </si>
  <si>
    <t>Metro bundler crashing on RN 0.60.0</t>
  </si>
  <si>
    <t>After running react-native start metro is crashing.
## Environment info
API Levels: 22, 23, 24, 25, 26, 27, 28
Build Tools: 23.0.1, 23.0.2, 23.0.3, 25.0.1, 25.0.2, 25.0.3, 26.0.1, 26.0.2, 26.0.3, 27.0.3, 28.0.0, 28.0.2, 28.0.3, 29.0.0
System Images: android-23 Intel x86 Atom 64, android-23 Google APIs Intel x86 Atom, android-23 Google APIs Intel x86 Atom 64, android-24 Google APIs Intel x86 Atom, android-24 Google Play Intel x86 Atom, android-25 Google Play Intel x86 Atom, android-26 Google APIs Intel x86 Atom
Android Studio: 3.4
Library version: 1.0.0
## Steps To Reproduce
1. Create new project, run it check it works.
2. Install this library, try to run it. See the error.
Describe what you expected to happen:
1. After installing this app, should not see the error in the metro console.
## Reproducible sample code</t>
  </si>
  <si>
    <t>2019-07-04</t>
  </si>
  <si>
    <t>LawnchairLauncher-lawnchair-1626</t>
  </si>
  <si>
    <t>Launcher crashing when using recent apps gesture/button</t>
  </si>
  <si>
    <t>Launcher crashing while using recent apps gesture button</t>
  </si>
  <si>
    <t>vanniktech-Emoji-369</t>
  </si>
  <si>
    <t>The memory of the device will grow up and finally crash.</t>
  </si>
  <si>
    <t>use the last commit of master for my application.
build EmojiPopup from onCreate of my fragment.
My fragment will be created and destroyed much time.
The instance of EmojiPopup is not static and does not collect by GC. Why?</t>
  </si>
  <si>
    <t>opensrp-opensrp-client-reveal-279</t>
  </si>
  <si>
    <t>Investigate List View Crash in Crashalytics</t>
  </si>
  <si>
    <t>The application crashes when accessing the list view. When access the view when first opening the application or when having been in the application for few minutes and attempt to scroll through the list, see Reveal application has stopped This happened at 08:28 CAT July</t>
  </si>
  <si>
    <t>mozilla-mobile-firefox-echo-show-287</t>
  </si>
  <si>
    <t>Autograph signed builds crash when opening any website</t>
  </si>
  <si>
    <t>## Steps to reproduce
Sign using tools sign release.sh
Open any website
### Expected behavior
### Actual behavior
### Device information
Echo Show device: 2nd gen Show
Latest affected Firefox version: (current master)
Earliest affected Firefox version:
### Crash log
Inspecting the META-INF folder of local build, it contains lot of AndroidX related files that are not found in our Autograph signed version
We migrated to AndroidX since our last release (which was successfully signed with Autograph)</t>
  </si>
  <si>
    <t>2019-07-03</t>
  </si>
  <si>
    <t>LawnchairLauncher-lawnchair-1623</t>
  </si>
  <si>
    <t>Gmail notifications are crashing launcher with "Unread notifications" enabled in At a Glance widget</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</si>
  <si>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--&gt;As in the title with Unread notifications option enabled in At Glance widget, gmail notifs are crashing when they are cleared (for example by archiving)
Happened times in row now so think it actually bug
## Expected Behavior
&lt;!--- Tell us what should happen --&gt;
Clearing gmail notifications with ARCHIVE button inside it should remove info from At Glance widget without crashing launcher
## Actual Behavior
&lt;!--- Tell us what happens instead --&gt;
Launcher crashes when using ARCHIVE option inside gmail notification
## Steps to Reproduce
&lt;!--- Provide link to live example (screenshot recording etc..), or set of steps to reproduce the issue --&gt;
1. Enable Unread notifications event source in At Glance widget options
2. Get Gmail notification
3. Tap Archive in Gmail notification
4. Wait until notification disappears by itself (don swipe it when it shows UNDO
&lt;!--- Include as many relevant details about the environment you experienced the bug in --&gt;
&lt;!--- For example: --&gt;
&lt;!--- Device: Samsung Galaxy S10 beyondlte --&gt;</t>
  </si>
  <si>
    <t>TeamNewPipe-NewPipe-2442</t>
  </si>
  <si>
    <t>Crashes when opening SoundCloud URLs</t>
  </si>
  <si>
    <t>carefully read the contribution guidelines (https: github.com TeamNewPipe NewPipe blob HEAD .github CONTRIBUTING.md) and agree to them.
checked if the issue feature exists in the latest version.
did use the incredible bugreport to markdown converter (https: to paste bug reports.
When attempting to open SoundCloud URLs by clicking them and then selecting NewPipe to open it, NewPipe crashes.
User Action: requested stream
Request: https: soundcloud.com thathemochemguy opened with background player
Content Language: US
OS: Linux lge lucye nao us lucye:8.0.0 OPR1.170623.032 182541455e902:user release-keys 8.0.0 26
log&lt; b&gt;&lt; summary&gt;&lt;p&gt;
Caused by: timeout
... 29 more</t>
  </si>
  <si>
    <t>PSPDFKit-react-native-244</t>
  </si>
  <si>
    <t>Fix for PdfView not being rendered</t>
  </si>
  <si>
    <t>## Resolves #237
This fixes multiple smaller issues:
The PSPDFKitView wouldn render when no configuration was specified, we now automatically use default configuration.
The PSPDFKitView was very picky with the file paths it supported, this tries to improve support for paths.
Setting document to undefined caused crash, we now just hide the currently displayed document when undefined is set.
In case there is an error while loading the document the new will be notified.
Create new release (and tag) with the new package version (see https: github.com PSPDFKit react-native releases).</t>
  </si>
  <si>
    <t>miguelpruivo-flutter_file_picker-104</t>
  </si>
  <si>
    <t>App crashes on Android by thrown java.io.FileNotFoundException: (File name too long)</t>
  </si>
  <si>
    <t>found app crashes on Android when pick file named too long.
In getUriFromRemote() in FileUtils.java, when file has too long name, FileOutputStream throws and fos.close() in the catch statement can throw but it is not catched anywhere so app will crash.
fos new throws
byte buffer new byte 8192
while ((len in.read(buffer)) 0)
out.write(buffer, 0, len)
catch (Exception e)
fos is null so is thrown and app crashes
Log.e(TAG, Failed to close file streams:
Log.e(TAG, Failed to retrieve path:
## flutter doctor
Flutter (Channel unknown, v1.3.8, on Mac OS 10.13.6 17G65, locale ja-JP)
Android toolchain develop for Android devices (Android SDK version 28.0.3)
iOS toolchain develop for iOS devices (Xcode 10.1)
Android Studio (version 3.4)
IntelliJ IDEA Community Edition (version 2018.1.2)
VS Code (version 1.35.1)
Connected device (3 available)</t>
  </si>
  <si>
    <t>nextcloud-android-4197</t>
  </si>
  <si>
    <t>Downloading a folder (for offline use) spams a large number of notifications</t>
  </si>
  <si>
    <t>### Actual behaviour
When syncing whole folder for offline use, the app spawns download notifications for each and every file in this folder. Thus performing an initial sync of folder with approximately 50 files, already crashes the app unless you disable this particular type of notification.
### Expected behaviour
would expect to see one notification showing the overall progress of the download.
### Steps to reproduce
1. Open the app
2. Click on the three dots next to the folder you want to sync
3. Click sync and see multiple notifications appear and disappear until the sync is completed
### Environment data
Android version: 9.0
Device model: OnePlus 6T
Stock or customized system: Stock OxygenOS 9.0.14
Nextcloud app version: 3.6.2
Nextcloud server version: unknown</t>
  </si>
  <si>
    <t>2019-07-02</t>
  </si>
  <si>
    <t>brodeurlv-fastnfitness-76</t>
  </si>
  <si>
    <t>App crashed during import of records if incorrect order of importing files is used.</t>
  </si>
  <si>
    <t>Found in version: 0.18 downloaded from F-droid.
Current behavior: exported records, reset application, created new profile, import records. If you import e.g. EF xx BodyBuilding xxx.csv before first importing EF xx Exercises xxx.csv the app crashes.
Expected behavior: create an error message. Something like Import error: First import the file EF xx Exercises 2019 07 xxx.csv
Step to reproduce: see above.</t>
  </si>
  <si>
    <t>react-native-camera-react-native-camera-2350</t>
  </si>
  <si>
    <t>Camera view threw an error - component could not be rendered.</t>
  </si>
  <si>
    <t>Did you try latest release?
Did you try master?
Did you look for existing matching issues?
**Description Current Behaviour**
Add react-native-camera to react-native project (after init for example)
Run app on device get error:
onMountError -&gt; message: Camera view threw an error component could not be rendered.
Get black screen and crash
Related only for Android 7.0 7.1
Other ones work good.
react-native-camera worked on Android 7.0 -7 .1
&lt;!--place your expected behaviour below--&gt;
**Steps to Reproduce**
1) Add react-native-camera to react-native project (after init for example)
2) Run app on real device with Android 7.0
3) Get black screen and crash</t>
  </si>
  <si>
    <t>inaturalist-iNaturalistAndroid-671</t>
  </si>
  <si>
    <t>UnsatisfiedLinkError w/ smoothrescale</t>
  </si>
  <si>
    <t>Two related crashes here. The first:
Fatal Exception: dlopen failed: could not load library libavutil.so needed by libsmoothrescale.so caused by cannot locate symbol mmap64 referenced by libavutil.so ...
This one seems like it affecting numerous builds and has been happening for while, but we re getting significant uptick from build 351 across numerous Android versions and devices.
Fatal Exception: dlopen failed: could not load library libavutil.so needed by libsmoothrescale.so caused by cannot locate symbol mmap64 referenced by libavutil.so ...
This one only has couple crashes from one user, so clearly not widespread, but why would this even happen?</t>
  </si>
  <si>
    <t>2019-07-01</t>
  </si>
  <si>
    <t>7LPdWcaW-GrowTracker-Android-97</t>
  </si>
  <si>
    <t>The app crashed when I entered nothing as passphrase to activate the fail safe option</t>
  </si>
  <si>
    <t>#### Expected behavior
expected that the app would notify me or stop me to do so when entered nothing as the passphrase to activate the fail-safe option.
#### Actual behavior
After activating Encrypt data by giving the passphrase, when entered nothing as the passphrase to activate the fail-safe option, then the app crashed.
#### How to reproduce
Here is every possible detail to reproduce the bug.
1. Open the app.
2. Go to the settings.
3. Tap on the Encrypt data to enable it and click ACCEPT by giving passphrase twice.
4. Now tap on the Fail safe and accept the warning.
5. Click on the ACCEPT and give nothing in the field twice and notice the bug.
App version: 2.5.1
Operating system: Android 6.0.1
#### Recording Of The Bug</t>
  </si>
  <si>
    <t>konradrenner-kolabnotes-android-198</t>
  </si>
  <si>
    <t>Kolab Notizen v3.2.0 - Clicking on the widget to enter the application can make this application suddenly stop</t>
  </si>
  <si>
    <t>It should be, after add the widget, then click on the widget to enter the application, and delete the notebook. The ability to enter applications through widgets must be done.
This application suddenly stopped when clicked on the widget to enter the application. Even though have tried doing it repeatedly, the same problem still occurs.
Step to reproduce
Install and open the application.
Add new notebook, click the pencil icon, add summary, then exit the application.
Add 2x2 sticky notes collage widget.
Click on the widget to enter the application, delete the notebook you have created.
Exit the application, then click on the widget to enter the application again. Then you will find problems like have experienced.
Device: Nubia n2 lite
Android version: 8.1.0
Application version: 3.2.0
Recording of the bug
Beginning of crash</t>
  </si>
  <si>
    <t>LawnchairLauncher-lawnchair-1614</t>
  </si>
  <si>
    <t>Crash on background</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</si>
  <si>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was in other app (Chrome), when got notification that Lawnchair crashed.
## Steps to Reproduce
&lt;!--- Provide link to live example (screenshot recording etc..), or set of steps to reproduce the issue --&gt;
don know, it happened only once while was in other app
&lt;!--- Include as many relevant details about the environment you experienced the bug in --&gt;
&lt;!--- For example: --&gt;
&lt;!--- Device: Samsung Galaxy S10 beyondlte --&gt;
&lt;!--- Android version: 9.0.0 --&gt;
&lt;!--- Launcher version: 2.1.0 --&gt;
&lt;!--- Rom: OneUI 1.2 --&gt;
Device: Lenovo Tab Plus
Android version: 8.1.0
Launcher version: 2.0.2224
&lt;!--- If possible, include logcat of the issue, otherwise remove this section--&gt;
&lt;!--- Navigate to Documents Lawnchair and share the most recent crash log from there. --&gt;
&lt;!--- If you can see any crash logs in there, try using this --&gt;</t>
  </si>
  <si>
    <t>the3soundcrafties-SoundboardCrafter-94</t>
  </si>
  <si>
    <t>Sound file deleted...</t>
  </si>
  <si>
    <t>Currently when sound file is deleted (or moved), the activity crashes.
The system should handle this gracefully. Instead of crashing the activity the app could silently remove the sound from all soundboards (or simply not play it from the sound list).
Perhaps the app could also check all sounds when starting the app (and remove them from the soundboards) or it could register some kind of listener just in case the user would concurrently move or delete sound...</t>
  </si>
  <si>
    <t>2019-06-30</t>
  </si>
  <si>
    <t>ankidroid-Anki-Android-5354</t>
  </si>
  <si>
    <t>crash: NullPointerException in new versioning startup code</t>
  </si>
  <si>
    <t>###### Reproduction Steps
1. Apparently you can do few things. But, do background sync
2. Switch back to app after the sync is done
###### Expected Result
That it works.
Or that it least generates valid stack traces (no idea what is going on there)
Since the stack traces aren great can just snipe it, and haven reproduced it yet, but it is prevalent
am tracking this as high priority since it was my code and it appears to crash across OS versions and devices for folks on alpha75
###### Actual Result
Caused by: Attempt to invoke virtual method long on null object reference
###### Debug info
*Enter an character to confirm the points below:*
have searched for similar existing issues here and on the user forum</t>
  </si>
  <si>
    <t>projectbuendia-client-366</t>
  </si>
  <si>
    <t>Adding a treatment with 958 days causes patient chart to crash</t>
  </si>
  <si>
    <t>Adding Treatment crashed the app. Log attached.</t>
  </si>
  <si>
    <t>2019-06-28</t>
  </si>
  <si>
    <t>launchdarkly-android-client-sdk-80</t>
  </si>
  <si>
    <t>Crash with launchDarkly 2.7.0</t>
  </si>
  <si>
    <t>**Describe the bug**
App is crashing on launch
This happens in production only for now
Not crash ...
Caused by java.lang.Float cannot be cast to java.lang.String
2.5.4 to 2.7.0
**Language version, developer tools**</t>
  </si>
  <si>
    <t>google-ExoPlayer-6107</t>
  </si>
  <si>
    <t>Decoder init failed in viewpager</t>
  </si>
  <si>
    <t>We are receiving bug, where Exoplayer does not load our MP4 files in the ViewPager after 5th attempt(it is predictable and occurs always). Here is crash log from ExoPlayer:</t>
  </si>
  <si>
    <t>ponewheel-android-ponewheel-90</t>
  </si>
  <si>
    <t>pOnewheel v3.4 - Fatal exception after set Logging Frequency</t>
  </si>
  <si>
    <t>Should after user set Logging Frequency, then click Ok to save it. Applications must be stable, and run well on the device.
After setting up Logging Frequency, then click OK to save it. Next, press the back button on the device, suddenly the application crashes and stops. And when want to reenter the app, the app continues to stop, so the ability to get into the app can not be done anymore.
How to reproduce
Allow application is requesting permission to turn on Bluetooth. Press Yes.
Click on three dots in the top right corner of the display screen.
Select and open Settings feature.
Press or open the Frequency Logging feature.
Add 10 zeros, so be 10000000000, then Press OK.
Press the back button on the device. You will get into trouble as have experienced.
Device: Nubia n2 lite
Android version: 8.1.0
Application version: 3.4
Recording of the bug</t>
  </si>
  <si>
    <t>square-okhttp-5246</t>
  </si>
  <si>
    <t>HttpHeaders.hasBody removed</t>
  </si>
  <si>
    <t>There is no replacement for the old function HttpHeaders.hasBody
Therefore it not binary compatible and crashes using chuck:
Feel free to close as it in the internal package.</t>
  </si>
  <si>
    <t>2019-06-27</t>
  </si>
  <si>
    <t>7LPdWcaW-GrowTracker-Android-94</t>
  </si>
  <si>
    <t>The app crashed when I clicked on settings after deleting my selected default garden in the settings.</t>
  </si>
  <si>
    <t>#### Expected behavior
expected that could click on settings after deleting garden, which was chosen for the default garden in the app settings before.
#### Actual behavior
After creating garden and selecting it as the default garden of the app. When tried open the settings after deleting that garden, then the app crashed.
It crashes every time after that crash and am not able to use it.
#### How to reproduce
Here is every possible detail to reproduce the bug.
1. Open the app.
2. Create new garden.
3. Go to the settings and select it as your default garden.
4. After that delete the garden you created and selected in the settings before.
5. At last, try to go in the settings and notice the crash.
You can use this app after this crash. It would crash every time when you try to use the app.
App version: 2.5.1
Operating system: Android 6.0.1
#### Recording Of The Bug
Watch the bug on Youtube, It might help you to follow the steps.</t>
  </si>
  <si>
    <t>7LPdWcaW-GrowTracker-Android-93</t>
  </si>
  <si>
    <t>The application crashes when i click on Restore From Backup</t>
  </si>
  <si>
    <t>### Expected behavior:
expected that the application should not be crash when click on Restore from Backup Option.
### Actual behavior:
After configure the application when click on Restore from backup option,the application is you can see in bug vieo proprealy.
### How to reproduce:
1.Download the app from playstore and open the app.
2.Then click on account manu icon and setting option.
3.click on restore backup Naw
4.Then try to again
6.Note the Bug.
### Recording of the bug</t>
  </si>
  <si>
    <t>7LPdWcaW-GrowTracker-Android-90</t>
  </si>
  <si>
    <t>[GrowTracker][V2.5.1]The application crashes when i click on backup now</t>
  </si>
  <si>
    <t>### Expected behavior:
expected that the application should not be crash when click on Backup Nawoption.
### Actual behavior:
After configure the application when click on Backp Naw option,the application is you can see in bug vieo proprealy.
### How to reproduce:
1.Download the app from playstore and open the app.
2.Then click on account manu icon and setting option.
3.click on backup Naw
6.Note the Bug.
### Recording of the bug</t>
  </si>
  <si>
    <t>7LPdWcaW-GrowTracker-Android-89</t>
  </si>
  <si>
    <t>[GrowTracker][V2.5.1]The application crashes when i click on backup size limit</t>
  </si>
  <si>
    <t>### Expected behavior:
expected that the application should not be crash when click on Backup size limit option.
### Actual behavior:
After configure the application when click on Backup Suze limit option,the application is you can see in bug vieo proprealy.
### How to reproduce:
1.Download the app from playstore and open the app.
2.Then click on team conditions accept.
3.Naw click on account manu icon and setting option.
4.Then click on backup size type number
6.Note the Bug.
### Recording of the bug</t>
  </si>
  <si>
    <t>projectbuendia-client-351</t>
  </si>
  <si>
    <t>Crash: The app on emulator crashes when it is trying to display the red banner at the bottom of the screen</t>
  </si>
  <si>
    <t>&lt;img width 171 alt Screen Shot 2019-06-26 at 26 33 PM src https: 44586475
was able to reproduce this by changing the patient ID to be the exact same as some other patient. Normally it will display the server error.</t>
  </si>
  <si>
    <t>2019-06-26</t>
  </si>
  <si>
    <t>7LPdWcaW-GrowTracker-Android-88</t>
  </si>
  <si>
    <t>The app crashed when I clicked "View statistics" after deleting planted action from "View history" option.</t>
  </si>
  <si>
    <t>#### Expected behavior
expected that could click on the View statistics after deleting planted action from View history without getting the app crash.
#### Actual behavior
When clicked on View statistics after deleting the planted action from View history option, then the app crashed.
#### How to reproduce
Here is every possible detail to reproduce the bug.
1. Open the app.
2. Click on plan to open it.
3. Then go to View history and delete this planted action.
4. Press back to get back on the plant details and click on View statistics
5. Notice the crash.
App version: 2.5.1
Operating system: Android 6.0.1
#### Recording Of The Bug</t>
  </si>
  <si>
    <t>7LPdWcaW-GrowTracker-Android-87</t>
  </si>
  <si>
    <t>The app crashed when I canceled the photo-taking step.</t>
  </si>
  <si>
    <t>#### Expected behavior
The users should be able to cancel the photo-taking step before adding photo to plant details.
#### Actual behavior
When tried to add photo in planted details and canceled the photo-taking step, then the app crashed.
#### How to reproduce
Here is every possible detail to reproduce the bug.
1. Open the app.
2. Add new plant and save it.
3. Open that created plant.
4. Then go to the Photo tab and select From camera to add photo in that plant details.
5. The list of the camera apps would appear on your phone screen.
6. Don click on anything, just press the back button of your phone and notice the crash.
App version: 2.5.1
Operating system: Android 6.0.1
Device: Samsung A5
#### Recording Of The Bug</t>
  </si>
  <si>
    <t>7LPdWcaW-GrowTracker-Android-86</t>
  </si>
  <si>
    <t xml:space="preserve">Bug: App crashed when I input dots(fraction) in the section to add schedule. </t>
  </si>
  <si>
    <t>### Describe the bug.
was trying to add new schedule on the app and decided to play around it. click on schedule and clicked on add new schedule. Then used dot in the from and to column, then the app crashed.
### Steps to reproduce.
Launch the app.
Click on menu icon
Click on the icon and click on the new schedule
Then input dot in from date to date
Click the mark icon
And note the bug
### Expected Behaviour
expect to get information that should enter normal figures and not crash.
### Screen recording.
### Devices and Versions.
App version 2.5</t>
  </si>
  <si>
    <t>ongakken-Caffeinator-51</t>
  </si>
  <si>
    <t>About fragment crashing</t>
  </si>
  <si>
    <t>The about fragment crashes the app with an low memory error.</t>
  </si>
  <si>
    <t>StringCare-AndroidLibrary-58</t>
  </si>
  <si>
    <t>Bug: cannot handle build variants properly</t>
  </si>
  <si>
    <t>Might be related to this issue (https: github.com StringCare AndroidLibrary issues 39).
tried to make sample that uses build-variants, and still fail to do it.
used all articles about it, and looked at samples too.
Even so, what got to have is either not showing the strings correctly, or crashes (during runtime or errors while building).
That even though without StringCare all works perfectly fine, just like on the samples ve found.
ve made here very tiny sample with build-variants and without StringCare being used.
The sample only has single string that is the only thing (apart from package name and app-name) different between the build-variants.
The string is supposed to be protected by StringCare.
MyApplication with StringCare.zip (https: github.com StringCare AndroidLibrary files 3328634
And here is the same sample without StringCare:
MyApplication without StringCare.zip (https: github.com StringCare KotlinSample files 3325304
ve made video showing the issues:</t>
  </si>
  <si>
    <t>LawnchairLauncher-lawnchair-1607</t>
  </si>
  <si>
    <t>OxygenOS gestures broken when quickstep is used</t>
  </si>
  <si>
    <t>OxygenOS full screen gestures do not work properly when the recents provider is Lawnchair (using QuickSwitch).
When doing short swipe up inside other apps, Lawnchair opens the recents menu instead of going home to itself. Also, landscape gestures are completely broken the recents menu opens and closes immediately.
Also, as temporary workaround, tried changing the gestures inside of Lawnchair Quickstep settings to open Lawnchair when swiping on the right side of the bottom edge, which crashed my entire phone when tried closing fullscreen landscape apps.
## Expected Behavior
Exactly the same as the OnePlus Launcher when it comes to the gestures.
## Actual Behavior
## Steps to Reproduce
1. Have OxygenOS installed
2. Use QuickSwitch to use Lawnchair as the recents provider reboot
3. Switch to OnePlus Gesture navigation
Device: OnePlus Pro
Android version: 9.0
Launcher version: Alpha 2176</t>
  </si>
  <si>
    <t>ElderDrivers-EdXposed-310</t>
  </si>
  <si>
    <t>[BUG] modules.list was not found</t>
  </si>
  <si>
    <t>Modules are not loading
Xposed Module List**
Magisk Module List**
**EdXposed Riru Versions of EdXposed and Riru**
** Logcat Logcat**
--------- beginning of head
Powered by Log Catcher
QQ chat group 855219808
--------- beginning of system info
Android version: 8.0.0
Android sdk: 26
Android build: OPR1.170623.032
ROM build description: h1 tmo us-user 8.0.0 OPR1.170623.032 182251913485f release-keys
--------- beginning of main
--------- beginning of system
--------- beginning of crash
log It can help us to locate issue, must use our logcat module</t>
  </si>
  <si>
    <t>2019-06-25</t>
  </si>
  <si>
    <t>nextcloud-android-4176</t>
  </si>
  <si>
    <t>Nextcloud 3.7 beta (f-droid) does not show files from old server</t>
  </si>
  <si>
    <t>### Actual behaviour
Tell us what happens
Just installed nextcloud from f-droid (3.7, beta 4) and connected it to my stackstorage.com folder.
The app reported it is an old server (it is: TransIP has their own spin-of from owncloud)
After longer wait, no files show up in the all files section (dutch: Alle Bestanden ).
Mean while it crashed couple of times.
### Expected behaviour
Tell us what should happen
Removed 3.7beta4 from f-droid. Installed the current (3.6.x) from play-store an dconnected it to my stackstorage.com folder.
The app reported it is an old server (it is).
The Alle Bestanden (all files?) show up direct, without any issue.
### Steps to reproduce
1. install 3.7 beta from f-droid
2. connect to stackstorage.com webdav share
3. accept it is an old server.
### Environment data
Stock or customized system:
Lineage-os with google play-store and f-droid.
Nextcloud app version:
Nextcloud server version:</t>
  </si>
  <si>
    <t>Haptic-Apps-Slide-3028</t>
  </si>
  <si>
    <t>Slide is crashing</t>
  </si>
  <si>
    <t>Slide is crashing all the time. Especially at discover and searching.</t>
  </si>
  <si>
    <t>fossasia-pslab-android-1829</t>
  </si>
  <si>
    <t xml:space="preserve">App crashes when sin wave Logic analyser Analysed with CH3. </t>
  </si>
  <si>
    <t>App is crashing when sin wave analysed with logic analyser on CH3.
&lt;!-- State here what the feature should enable the user to do. --&gt;
**Steps to reproduce it**
Open wave generator use Wave and set any freq and view with logic analyser.
Press analyse on logic analyser.
**Would you like to work on the issue?**</t>
  </si>
  <si>
    <t>inaturalist-react-native-inat-camera-21</t>
  </si>
  <si>
    <t>Illegal state exception crash</t>
  </si>
  <si>
    <t>Here the only camera-related crash seeing in the latest production build v2.2.0-39. There are currently 77 reports of this happening in the past week across all Android versions.</t>
  </si>
  <si>
    <t>2019-06-24</t>
  </si>
  <si>
    <t>7LPdWcaW-GrowTracker-Android-85</t>
  </si>
  <si>
    <t xml:space="preserve">Bug: App crashed when I clicked the settings  function </t>
  </si>
  <si>
    <t>### Describe the bug.
When clicked on the settings, the app crashed
### Steps to reproduce.
Launch the app.
Click on the dots at the top by the right
Then click settings
And note the bug
### Expected Behaviour
was expecting to see the feature inside settings when clicked the settings function in the app
### Screen recording.
### Devices and Versions):)
Device: Gionee X1
App version 2.5</t>
  </si>
  <si>
    <t>nextcloud-android-4172</t>
  </si>
  <si>
    <t>Can't open Auto Upload folder -&gt; app crash</t>
  </si>
  <si>
    <t>### Actual behaviour
App crashes when opening auto upload folder. There are almost 1500 pics and vids.
If delete app data, it does something for while before crash. After the first crash it crashes immediately when opening the folder.
### Expected behaviour
### Steps to reproduce
1. Open Auto Upload folder
### Environment data
Device model: galaxy s8
Stock or customized system:stock
Nextcloud app version: 3.7.0 rc3
Nextcloud server version: 15.0.8
#### Web server error log
Insert your webserver log here
#### Nextcloud log (data nextcloud.log)
Insert your Nextcloud log here
Nothing helpfull in the logs</t>
  </si>
  <si>
    <t>abuch99-SWD-27</t>
  </si>
  <si>
    <t>Phone intent not working in connect fragment</t>
  </si>
  <si>
    <t>Phone intent makes the app crash in the connect fragment.</t>
  </si>
  <si>
    <t>itachi1706-SingBuses-172</t>
  </si>
  <si>
    <t>HelpScreenView.java line 85</t>
  </si>
  <si>
    <t>2019-06-23</t>
  </si>
  <si>
    <t>ElderDrivers-EdXposed-305</t>
  </si>
  <si>
    <t>[BUG] Broken module resources</t>
  </si>
  <si>
    <t>Right after module APK is installed, resources are available activity from module opens, launcher icon is displayed, etc. But as soon as you activate module and reboot none of the resources work.
don experience it on my device (Android 9), but get bug reports from users of my module (30+ reports with this problem now and counting) and they all have the same error which only happens on Android 8-8.1. Module settings activity cannot be launched because it cannot find the layout xml file in resources. Icon in launchers changes to default system icon, most likely because original is not available.
Error happens on wide range of EdXposed versions up to 0.4.3.7 alpha.
All devices are Xiaomi devices with MIUI ROMs.
Xposed logs (from older versions, where they were working) don contain any errors that could explain what wrong.
Activity crash stack trace:
Caused by: res layout activity main.xml
... 21 more</t>
  </si>
  <si>
    <t>2019-06-22</t>
  </si>
  <si>
    <t>bravelocation-yeltzland-android-42</t>
  </si>
  <si>
    <t>Investigate crashes in Twitter client on startup</t>
  </si>
  <si>
    <t>Input dispatching timed out (Waiting to send non-key event because the touched window has not finished processing certain input events that were delivered to it over 500.0ms ago. Wait queue length: 11. Wait queue head age: 6017.6ms.)
Looks like main thread may be blocking on Twitter load
waiting to lock &lt;0x0fb33443&gt; (a b.c.a.a.a.a.o) held by thread 54
or .getAdvertisingId (IdManager.java)</t>
  </si>
  <si>
    <t>nextcloud-android-4168</t>
  </si>
  <si>
    <t>### Actual behaviour
Nextcloud crashes while selecting app drawer entries
### Expected behaviour
Nextcloud should not crash
### Steps to reproduce
1. Open nextcloud app
2. Open app drawer, click on Activities
3. Open app drawer, click on Favorites
### Environment data
Android version: 9.0, 7.0
Stock or customized system:
Nextcloud app version:
Nextcloud server version:
#### Web server error log
Insert your webserver log here
#### Nextcloud log (data nextcloud.log)
--------- beginning of crash</t>
  </si>
  <si>
    <t>2019-06-21</t>
  </si>
  <si>
    <t>fossasia-pslab-android-1815</t>
  </si>
  <si>
    <t>App crashes when user plays a saved gyroscope log</t>
  </si>
  <si>
    <t>App crashes when user plays saved gyroscope log
&lt;!-- Please state here what is currently happening. --&gt;
App should not crash
&lt;!-- State here what the feature should enable the user to do. --&gt;
**Steps to reproduce it**
Record gyroscope data, and play it from data logger activity
&lt;!-- Add steps to reproduce bugs or add information on the place where the feature should be implemented. Add links to sample deployment or code. --&gt;
**LogCat for the issue**
&lt;!-- Provide logs for the crash here --&gt;
**Would you like to work on the issue?**
&lt;!-- Let us know if this issue should be assigned to you or tell us who you think could help to solve this issue. --&gt;</t>
  </si>
  <si>
    <t>telenordigital-connect-android-sdk-178</t>
  </si>
  <si>
    <t>Fix npe in well known config</t>
  </si>
  <si>
    <t>The issue can happen, when this part is called from different thread,
however, it hard to reproduce. The solution is to make workaround
to prevent crashes, while investigating deeply.</t>
  </si>
  <si>
    <t>projectbuendia-client-319</t>
  </si>
  <si>
    <t>Cannot add new patients if a patient with no name is on the server - App Crashes</t>
  </si>
  <si>
    <t>1. Add patient with no Given name or no Family Name.
2. The app crashes. Select open app again. See #310
3. Add patient with perfect valid data
Now need to reset the server in order to be able to add patients with no crash.
Same issue #308 also has log attached.</t>
  </si>
  <si>
    <t>2019-06-20</t>
  </si>
  <si>
    <t>SkyTubeTeam-SkyTube-446</t>
  </si>
  <si>
    <t>App crash on keyword search Skytube v2.95</t>
  </si>
  <si>
    <t>1. Open app
2. Search for any keyword
3. Not usually consistent but the issue gets triggered after 4-6 different keyword searches.</t>
  </si>
  <si>
    <t>mjferstl-AppSolution-1</t>
  </si>
  <si>
    <t>app crashes when starting weather-activity without internet connection</t>
  </si>
  <si>
    <t>projectbuendia-client-310</t>
  </si>
  <si>
    <t>Add New Patient -&gt; Crashes</t>
  </si>
  <si>
    <t>id, given name, family name, sex, years months,
Not including Months Input crashes the app.
Not including gender crashes the app.
Not including Family name crashes the app.
Not including Given name crashes the app.
Once patient without name is on the server, adding new patients keeps crashing it.
Things to consider:
What fields are required?
What happens if each field is blank?
What happens if year is not filled out, but months is? Ex: 40 months. or 11 months
What if months is greater than 11?
What is someone inputs years, 13 months?
What are character limits for each field? (i.e. name: 50)</t>
  </si>
  <si>
    <t>2019-06-19</t>
  </si>
  <si>
    <t>projectbuendia-client-305</t>
  </si>
  <si>
    <t xml:space="preserve">Add New Patient -&gt; ID only crashes app. </t>
  </si>
  <si>
    <t>1. Go to Add New Patient.
2. Enter ID only. No other data
This also happens for the following cases:
when have filled out ID and Given Name Only.
when have filled out ID and Family Name Only</t>
  </si>
  <si>
    <t>getsentry-sentry-java-728</t>
  </si>
  <si>
    <t>[BUG] Sentry agent crashes program</t>
  </si>
  <si>
    <t>My team and ran into bug using the beta sentry agent where java would crash when trying to inspect certain variables in the stack. have created minimal repro of the issue here:
adding some more environment info
sentry agent v1.7.16 https: github.com getsentry sentry-java releases tag v1.7.16
Java(TM) SE Runtime Environment (build 1.8.0 192-b12)
reproduced on both Ubuntu 16.04 LTS and macOS High Sierra</t>
  </si>
  <si>
    <t>renyuneyun-Easer-228</t>
  </si>
  <si>
    <t>Crash after updating to v0.7.7 (data problem)</t>
  </si>
  <si>
    <t>**Describe the bug**
v. 0.7.7, 0.7.7.1-BETA and 0.7.7.1 can run previous version scripts
Steps to reproduce the behavior:
1. Go to F-Droid and update
2. Easer will crash.
3. Delete all data from Easer
4. All permissions granted again.
5. Import scripts from previous version.
6. Try to convert to recommended format.
7. Crash again.
currently downgraded Easer to 0.7.6.2</t>
  </si>
  <si>
    <t>2019-06-18</t>
  </si>
  <si>
    <t>miguelpruivo-flutter_file_picker-97</t>
  </si>
  <si>
    <t>Crash on Android when there is no app for file extension</t>
  </si>
  <si>
    <t>On Android if the device doesn have an app that can respond to the generated Intent the plugin will cause the app to crash instead of returning the error to Dart or dealing with the exception itself.
using version 1.3.6.
How to reproduce:
Create an emulated device with API 16 and without Google Play Services (or use device with no apps that can deal with application pdf MIME type).
On the Dart code call await FileType.CUSTOM, fileExtension: PDF
App will crash with the stack trace bellow</t>
  </si>
  <si>
    <t>square-okhttp-5198</t>
  </si>
  <si>
    <t>invalid address or address of corrupt block</t>
  </si>
  <si>
    <t>In last weeks our CI running instrumented tests on Android 4.x has become unstable. getting native crashes similar to https: github.com square okhttp issues 1763 and https: github.com square okhttp issues 1632 but with using OkHttp v3.12.0 (also validated v3.12.3 ):
********** Crash dump: **********
Build fingerprint: motorola victara reteu victara:4.4.4 KXE21.187-42 41:user release-keys
Abort message: invalid address or address of corrupt block 0x73e738e0 passed to dlfree
#07 0x0000af49 system lib libjavacrypto.so
Crash dump is completed
Any guidance how to resolve workaround this issue?</t>
  </si>
  <si>
    <t>itachi1706-SingBuses-170</t>
  </si>
  <si>
    <t>HomeScreenView.kt line 58</t>
  </si>
  <si>
    <t>TSO68-ProjetCCI-2</t>
  </si>
  <si>
    <t>App crashes when I open a new Activity in the drawer</t>
  </si>
  <si>
    <t>bitstadium-HockeySDK-Android-429</t>
  </si>
  <si>
    <t>Possible crash from hockeyApp Sdk</t>
  </si>
  <si>
    <t>Hi, In our app we also have problem that may come from HockeyAppSDK, It would be great if you can help us.
This crash come after the HockeyApp run the update task.
am wondering that the sdk may use some firebase services
(like push notifications, among couple of things) that can cause this crash happen?</t>
  </si>
  <si>
    <t>tinode-tindroid-39</t>
  </si>
  <si>
    <t>Recreating a just-deleted topic crashes the app</t>
  </si>
  <si>
    <t>1. Log in as alice
2. Delete the chat with Frank
3. Go to New Chat -&gt; Find
4. Click on Frank in the Phone Contacts section</t>
  </si>
  <si>
    <t>jMonkeyEngine-jmonkeyengine-1126</t>
  </si>
  <si>
    <t xml:space="preserve">TestHoveringTank crashes if acceleration is applied during initial descent </t>
  </si>
  <si>
    <t>The TestHoveringTank sample application starts with the tank gently descending until its invisible wheels touch down. The app will crash with stream of execution exceptions and assertion failures if you press the (accelerate) key during this period.
think the bug is in PhysicsHoverControl Initially, the tank horizontal velocity is 0. When the key is pressed, the accelerationValue branch of prePhysicsTick() is executed. Projecting dir onto zero vector results in NaN vector, which is eventually applied to the vehicle as force.</t>
  </si>
  <si>
    <t>TeamNewPipe-NewPipe-2406</t>
  </si>
  <si>
    <t>App crashes whenever I select MPEG-4 (480p) quality for any video download</t>
  </si>
  <si>
    <t>### Expected behavior
expected the app to download the video in the quality selected.
### Actual behavior
Whenever select MPEG-4 (480p) quality for any video download, the video starts downloading then the app crashes.
### How to reproduce
Download, install and launch the latest version of the app
Click on video
Click on the download icon
Select the video quality to MPEG-4 (480p)
Click on the OK button (download)
The video starts downloading and the app crashes in the process.
Android version: v6.0
App version: v0.16.2
### Recording of the bug</t>
  </si>
  <si>
    <t>2019-06-17</t>
  </si>
  <si>
    <t>kontalk-androidclient-1262</t>
  </si>
  <si>
    <t>Bad database upgrade</t>
  </si>
  <si>
    <t>missing piece in the v10 upgrade part prevented the manual trust column in the keys table to be added. Practically all people upgrading from 4.1.6 got crash on app startup.</t>
  </si>
  <si>
    <t>2019-06-16</t>
  </si>
  <si>
    <t>libgdx-gdx-pay-198</t>
  </si>
  <si>
    <t xml:space="preserve">Crash on iOS </t>
  </si>
  <si>
    <t>Please ensure you have given all the following requested information in your report.
We see some crashes in Fabric related to gdx-pay. Not got any crashes myself.
#### Issue details, reproduction steps code
gdx-pay version: 0.12.1
We see crashes in Fabric. Most iPhone (78%), 99% of users has iOS 12.
#### Version of gdx-pay and or relevant dependencies
#### Please select the affected platforms and payment service implementation
We have set to false. Kotlin implementation:
override fun SKPaymentQueue?, payment: SKPayment?, product: SKProduct?)
can only be true if we initialize gdx-pay on startup, before doing Dagger.</t>
  </si>
  <si>
    <t>2019-06-15</t>
  </si>
  <si>
    <t>nextcloud-android-4150</t>
  </si>
  <si>
    <t>App crash on startup (something with thumbnails)</t>
  </si>
  <si>
    <t>### Actual behaviour
Cannot start nextcloud android app:
Started to occur by chance, worked fine before. Cannot start the app at all now.
### Environment data
Android version: 10 (QPP4.190502.019)
Device model: Pixel XL
Stock or customized system: Stock
Nextcloud app version: 3.7.0.RC3
Nextcloud server version: 16.0.1</t>
  </si>
  <si>
    <t>2019-06-14</t>
  </si>
  <si>
    <t>aws-amplify-aws-sdk-android-1018</t>
  </si>
  <si>
    <t>Lex sample requires CognitoAuth SDK</t>
  </si>
  <si>
    <t>**Describe the bug**
Following the instructions on the Lex Sample App (https: github.com awslabs tree master LexSample) in the Android Sample Repo, ran into two problems attempting to initialize AWSMobileClient:
1. The AWS CLI injected an Auth section into the generated file, despite my not using Hosted UI
1. The SDK would not properly intialize AWSMobileClient without me adding to my build.gradle
ve not been able to investigate this deeply to see if this is bug due to recent change, or problem in my local setup.
1. Follow the instructions on the LexSample to spin up new Lex sample app
1. It may be necessary to perform an additional setup step not documented in the LexSample instructions: The CLI does not create any aliases, and don think it publishes the newly-created bot. That might need to be done before running the sample, but haven investigated closely
1. Attempt to build and run the app
The app builds, runs, and is able to do book trip transaction via TextActivity.
1. The app fails to initialize AWSMobileClient during the TextActivity, failing to find AuthProvider Relevant stack trace:
1. After working around the above (see below), the app also logs an error and fails to initialize the AWSMobileClient (but does not crash because of it):
1. Add to dependencies section of build.gradle
1. Remove the OAuth section from
**Environment Information (please complete the following information):**
AWS Android SDK Version: 2.13.6
Specific to simulators: No</t>
  </si>
  <si>
    <t>2019-06-13</t>
  </si>
  <si>
    <t>fabienli-DokuwikiAndroid-2</t>
  </si>
  <si>
    <t>Internal links crash</t>
  </si>
  <si>
    <t>There is now new problem. When click any of the links, the app crashes. cannot see any logs because of the crash. have also spun up new dokuwiki for testing and having the same problem there.
Would you like me to open new issue for that?
Thanks again for all your work.</t>
  </si>
  <si>
    <t>telenordigital-connect-android-sdk-177</t>
  </si>
  <si>
    <t>Fix SDK button crashes if it's in "invisible" or "gone" state in Android 5</t>
  </si>
  <si>
    <t>Related to https: github.com telenordigital connect-android-sdk issues 166</t>
  </si>
  <si>
    <t>iyegoroff-react-native-image-filter-kit-18</t>
  </si>
  <si>
    <t>App crashes on every device, but works on emulator</t>
  </si>
  <si>
    <t>&lt;!-- Please specify your mobile platform(s) and react-native versions. Also check https: github.com iyegoroff if your rnifk version corresponds with your rn version. --&gt;
&lt;!-- Getting No ViewManager defined for class error most likely means that you didn link the module or something is wrong with your build and or configuration. Try cleaning the project and check if your configuration matches with https: github.com iyegoroff blob master manual installation.md instruction. --&gt;
&lt;!-- If your app crashed due to please attach crash log. --&gt;
am using this library on my app, and it works totally fine on any android emulator, with any android sdk version over 17 ,but on real device, it just crashes, it doesnt show an error, it just closes... and have tested it, and it is not because am calling component the wrong way, it crashes with just simply installing it on my react native project. tested the app on many android devices. And yes am doing all the instructions specified. And yes, already test the app without this library, and works totally fine. THE ONLY different thing that did was that put the new on my rather than mainactivity.java</t>
  </si>
  <si>
    <t>2019-06-12</t>
  </si>
  <si>
    <t>MozillaReality-FirefoxReality-1315</t>
  </si>
  <si>
    <t>FirefoxReality 69.0a1 Crash Report [@ java.lang.NullPointerException: at org.mozilla.vrbrowser.ui.widgets.dialogs.UIDialog.releaseWidget(UIDialog.java) ]</t>
  </si>
  <si>
    <t>One of the top crashers: https: report index</t>
  </si>
  <si>
    <t>nikita36078-J2ME-Loader-535</t>
  </si>
  <si>
    <t>Zombie Infection crashes on start</t>
  </si>
  <si>
    <t>Any version higher than 1.0.1 (yes, all tested)
Lenovo Tab X30F
**Description of the issue:**
The game shows blank screen and does not start at all.</t>
  </si>
  <si>
    <t>react-native-share-react-native-share-522</t>
  </si>
  <si>
    <t>Sending MMS crashes the message app on Android 5.0</t>
  </si>
  <si>
    <t>### Expected behaviour
Messaging App should open with the attached file.
### Actual behaviour
Messaging App opens and then crashes.
**React Native version**: 0.59.8
**React Native platform platform version**: Android 5.0
am trying to send vcf file through sms.
This is how am doing it.
const vCard this.createVCard()
RNFS.readFile( vCard base64
### **It is working on Android 9.0 but not in 5.0**
think these are the error lines from my logcat.</t>
  </si>
  <si>
    <t>sw19-tug-morning11-61</t>
  </si>
  <si>
    <t>PAINT_030 App crash on tool use "Take picture"</t>
  </si>
  <si>
    <t>When starting the app and choosing the Take picture functionality from
the tool palette the app crashes.
-&gt; crash log is attached
-&gt; it looks like there is permission problem in android security which
causes the crash</t>
  </si>
  <si>
    <t>LawnchairLauncher-lawnchair-1584</t>
  </si>
  <si>
    <t>Lawnchair will crash if theme is set to "Follow daylight" but system location is turned off</t>
  </si>
  <si>
    <t>OnePlus 6, OxygenOS 9.0.3, Lawnchair 2108
When Follow daylight is set after location permission is granted, Lawnchair would crash if location was turned off. This is probably bug because showing warning message would be way more appropriate than crashing the whole launcher.</t>
  </si>
  <si>
    <t>AEFeinstein-mtg-familiar-469</t>
  </si>
  <si>
    <t>Fix Crash When Searching For All Colors</t>
  </si>
  <si>
    <t>Hello! Love the app. found setting that is crashing the app. ve attached screenshots of my settings
It seems like having all of the colour identity bubbles active with may include any colour(s) is the issue.
Not deal breaking, but an interesting crash.
Thanks for the great work!</t>
  </si>
  <si>
    <t>2019-06-11</t>
  </si>
  <si>
    <t>Hitchwiki-MyHitchhikingSpots-for-Android-77</t>
  </si>
  <si>
    <t>Hitchwiki Map crashes when context is null</t>
  </si>
  <si>
    <t>This is probably being caused when screen is rotated.</t>
  </si>
  <si>
    <t>ThomasGaubert-zephyr-58</t>
  </si>
  <si>
    <t>[v2] App crashes without connection set</t>
  </si>
  <si>
    <t>The android app for v2 crashes, when no connection settings are set and click on the start button on the bottom.</t>
  </si>
  <si>
    <t>2019-06-10</t>
  </si>
  <si>
    <t>fossasia-pslab-android-1783</t>
  </si>
  <si>
    <t>Robotic Arm: App Constantly Crashes when Hitting Saving Button</t>
  </si>
  <si>
    <t>Trying to save using the saving button results in app crash on Xiaomi Redmi Android 7.1.2</t>
  </si>
  <si>
    <t>wiglenet-wigle-wifi-wardriving-346</t>
  </si>
  <si>
    <t>[FIX] micropr - shouldn't crash.</t>
  </si>
  <si>
    <t>just catching security exception if users say no to bt.</t>
  </si>
  <si>
    <t>2019-06-09</t>
  </si>
  <si>
    <t>cgeo-cgeo-7668</t>
  </si>
  <si>
    <t>(all) Authorization does not work anymore</t>
  </si>
  <si>
    <t>**Describe the bug:**
Authorization does not work anymore
try to login connect to one of the platforms or services
**Actual behavior state after performing these steps:**
The login breaks or hangs or c:geo craches
(e.g. geocaching.com, oc.de -&gt; appcrash,
geokrety.org -&gt; hang see screenshot)
**Expected behavior state after performing these steps:**
**Version of c:geo used:**
**Is the problem reproducible:**
Maybe problem with the lambda code form in the classes?
Stack trace when reattaching to the hanging app:
Caused by: values</t>
  </si>
  <si>
    <t>fennifith-Alarmio-47</t>
  </si>
  <si>
    <t xml:space="preserve">(BUG) The app gets crashes when I click about &amp; OSS licenses </t>
  </si>
  <si>
    <t>Repository: https: github.com fennifith Alarmio
Project Name: Alarmio
My Github Account: https: github.com friendsmobile
Download the application Here (https: play.google.com store apps details?id me.jfenn.alarmio)
When click on About OSS Licenses, the application should not be crashed when click on About OSS Licenses should show details of the application
The app gets crashes when click about OSS licenses
How to reproduce
open the application
Go to the setting
click on about OSS licenses
Note the BUG
Browser App version: 1.0.1
Operating system: 6.0
Recording Of The Bug</t>
  </si>
  <si>
    <t>2019-06-08</t>
  </si>
  <si>
    <t>nextcloud-android-4129</t>
  </si>
  <si>
    <t>App crashes upon start.</t>
  </si>
  <si>
    <t>### Actual behaviour
Tell us what happens.
Since update to what seems to be NC 3.7.0.RC2, NC is crashing upon start. have no way to connect to my servers using the app, and update from my phone obviously cannot be performed.
wish there was way to revert to state prior to this update.
In nutshell, am in dead water.
am thinking, that maybe should pull out of the Beta testing program if no fall back options is made available.
### Expected behaviour
Tell us what should happen.It should work. Nothing more simple than that.
### Steps to reproduce
1. Start NC.
### Environment data
Stock or customized system:
Nextcloud app version:
Nextcloud server version:
#### Web server error log
Insert your webserver log here
Not relevat as crash does also occur without wifi connection.
#### Nextcloud log (data nextcloud.log)
Not relevat as crash does also occur without wifi connection.
Insert your Nextcloud log here</t>
  </si>
  <si>
    <t>fossasia-pslab-android-1779</t>
  </si>
  <si>
    <t>Thermometer crash reported in Google Play Store</t>
  </si>
  <si>
    <t>Google Play Device testing has reported an issue in Thermometer crashing when selecting SHT sensor in thermometer
**Steps to reproduce it**
1. Open app
2. Go to Thermometer
3. Open configurations
4. Set sensor to SHT21 sensor
**LogCat for the issue**
FATAL EXCEPTION: ControllerMessenger
Caused by: length index
**Screenshots of the issue**
**Would you like to work on the issue?**</t>
  </si>
  <si>
    <t>oliexdev-openScale-470</t>
  </si>
  <si>
    <t>Crash with Beurer BF700</t>
  </si>
  <si>
    <t>App (v2.1.0 from F-droid) crashes with the following stack trace while taking measurement. am unable to complete it and it does not get logged stored:
Build version: 2.1.0
Happens all the time. :-( Sometimes it also seems to take quite long until it says connected ...</t>
  </si>
  <si>
    <t>2019-06-06</t>
  </si>
  <si>
    <t>andOTP-andOTP-356</t>
  </si>
  <si>
    <t>Add fokus to pin/password at login</t>
  </si>
  <si>
    <t>#### General information
**App version:** 0.6.2
**App source:** Google Play and GitHub
**Android Version:** API 28 (Emulator Pixel2), API 23 (Emulator)
**Custom ROM:** nope
#### Expected result
**What is expected?**
When starting the app with password pin protection, would expect the input field to have focus directly at startup. This would improve the user experience by eliminate unnecessary typing into the input field.
**What does happen instead?**
Currently start this application. Do tap on the input field to gain focus and enter my pin password. After this either tap on the login button or the enter key to unlock the application.
Sorry, no logcat since this is improvement without crash or exception.
### Steps to reproduce
start the application
tap the input field</t>
  </si>
  <si>
    <t>nextcloud-android-4121</t>
  </si>
  <si>
    <t>mp4 access crashes latest dev App</t>
  </si>
  <si>
    <t>ONLY on DEV app try to play mp4 videos crashes the app.</t>
  </si>
  <si>
    <t>SecUSo-privacy-friendly-food-tracker-53</t>
  </si>
  <si>
    <t>On some devices the app crashed when reopening it</t>
  </si>
  <si>
    <t>react-native-share-react-native-share-517</t>
  </si>
  <si>
    <t>Crash on Android after sharing to Google Drive</t>
  </si>
  <si>
    <t>### Steps to reproduce
1. Share to Google Drive using:
const result await Share.open(
2. Wait for the callback
3. App crashes
Before the crash, can see the result:
### Error on logcat:
### Expected behaviour
Application should not crash
### Actual behaviour
Application is crashing
**React Native version**: 0.59.8
**React Native platform platform version**: Android (multiple versions)
If downgrade react-native-share version to 1.1.3, it works.</t>
  </si>
  <si>
    <t>2019-06-05</t>
  </si>
  <si>
    <t>sw19-tug-afternoon04-84</t>
  </si>
  <si>
    <t>PAINT_033 App crashes after phone tilt</t>
  </si>
  <si>
    <t>Nullpointer textbox hex in ColorPicker is not catched therefore the app crahses</t>
  </si>
  <si>
    <t>JavaCafe01-PdfViewer-27</t>
  </si>
  <si>
    <t>Can't open PDF files from E-Mails</t>
  </si>
  <si>
    <t>### Issue Summary
When open PDFs out of the AOSP E-Mail app, PDFViewer immediately crashes.
### Steps to Reproduce the Problem
Open PDF with PDFViewer from the AOSP E-Mail app.
App Version: 3.0
Android Version: LineageOS 16.0 (Android 9.0)</t>
  </si>
  <si>
    <t>mapbox-mapbox-events-android-406</t>
  </si>
  <si>
    <t>🐞 Intermittent crashes due to SecurityException</t>
  </si>
  <si>
    <t>SDK Version: 4.4.1
Android OS Version: Android-9
Device model(s): msm8996
App: app in prod
**Steps to Reproduce**
Crash report from production, most likely due to the device with buggy firmware.
Application is not crashing and proper error handling is in place.
Obfuscated stack trace:</t>
  </si>
  <si>
    <t>andyrozman-RileyLinkAAPS-131</t>
  </si>
  <si>
    <t>Error getting History - Crash APP</t>
  </si>
  <si>
    <t>When the App is getting history from medtronic 715, when the process finished the App crash, did very quick debug and appear my pump sometimes return wrong date, ran lot of times to create some bugs on Firebase, think you will be able to see the error.</t>
  </si>
  <si>
    <t>2019-06-04</t>
  </si>
  <si>
    <t>ElderDrivers-EdXposed-280</t>
  </si>
  <si>
    <t>** What happened?**
**Xposed Xposed Module List**
**Magisk Magisk Module List**
**EdXposed Riru Versions of EdXposed and Riru**
** Logcat Logcat**
--------- beginning of head
Powered by Log Catcher
QQ chat group 855219808
--------- beginning of system info
Android sdk: 28
Android build: PKQ1.180729.001
ROM build description: dipper-user PKQ1.180729.001 9.2.21 release-keys
--------- beginning of main
--------- beginning of system
--------- beginning of crash</t>
  </si>
  <si>
    <t>launchdarkly-android-client-sdk-76</t>
  </si>
  <si>
    <t>ConcurrentModificationException inside ConnectivityReceiver.onReceive</t>
  </si>
  <si>
    <t>There is inside Below are the logs for this crash.
Also, similar thing might be happening inside no crash logs for this, but there is ANR report on the Play Console that refers to the PollingUpdater which seems to contain similar code to the
**Language version, developer tools**</t>
  </si>
  <si>
    <t>ElderDrivers-EdXposed-276</t>
  </si>
  <si>
    <t>[BUG] XModuleResources.createInstance causes Resources$NotFoundException</t>
  </si>
  <si>
    <t>** What happened?**
MinMinGuard crashes and app icon changes to the default app icon when drawable abc vector test isnt found. This only happens when is called with inside initZygote. It only seems to happen on certain devices, especially on chinese phones like xiaomi.
**Xposed Xposed Module List**
**Magisk Magisk Module List**
**EdXposed Riru Versions of EdXposed and Riru**
Happens on all EdXposed versions 0.2.9.8. Older versions doesnt seem to have this problem, though this is only reported to me. dont have phone to test it with
** Logcat Logcat**</t>
  </si>
  <si>
    <t>2019-06-03</t>
  </si>
  <si>
    <t>GreatApo-GreatFit-48</t>
  </si>
  <si>
    <t>Moon widget crushes the watch</t>
  </si>
  <si>
    <t>have strtos with last officially firmware.
After last release (3.9) ve deleted last watch, cleared cashe and install the new one.
Moon widget set in widget window 5.
It was OK till 23:59 hour. At 00:00 was fully crashed. Display works, but no reaction on buttons. Only hard reset througth turn on button press 10 secs.
Current config (without moon widget only) below:</t>
  </si>
  <si>
    <t>react-native-share-react-native-share-515</t>
  </si>
  <si>
    <t>Android : Unable to get provider cl.json.RNShareFileProvider</t>
  </si>
  <si>
    <t>was using your plugin for weeks, and it was working well. But today, after updating some plugins -which yours-, am getting my Android app crashing on launch
Unable to get provider Didn find class on path: DexPathList
If removed your plugin, my application works just fine. Any idea to solve this issue followed the manual link installation
**React Native version**: 0.59.8
**React Native platform platform version**: Android
Thanking you in advance</t>
  </si>
  <si>
    <t>0x5ECF4ULT-PanicTrigger-25</t>
  </si>
  <si>
    <t>[BUG] The app crashed when i disallow all permission and clicked on the big red button.</t>
  </si>
  <si>
    <t>**Describe the bug**
When launched the app disallow all permission, and allowed the disclaimer as it shows in the app. when got to the big red button, the app crashed when pressed it.
1. Launch the app
2. Disallow all permission and allowed the disclaimer.
3. Another message on the screen is to configure contacts
4. Then click No Thanks The next popup is WARNING
5. Click on YES and click on TRIGGER
4. See error
expect to receive popup message that need to allow permission and set contact to use the app.
Device: Gionee X1
Application version 0.4-4</t>
  </si>
  <si>
    <t>JavaCafe01-PdfViewer-26</t>
  </si>
  <si>
    <t>[PdfViewer][v2.8]The app crashes i click back icon from about page.</t>
  </si>
  <si>
    <t>&lt;h4&gt;Actual Behaviour h4&gt;
App crashes if click back icon from about page.
&lt;h4&gt;Expected behavior&lt; h4&gt;
Expected that can go back successfully without crashing the app&lt; h4&gt;
&lt;li&gt;Install and open the app&lt; li&gt;
&lt;li&gt;Load pdf by clicking sign(you must laod pdf to reproduce the bug).&lt; li&gt;
&lt;li&gt;click three horizontal dot in the top&lt; li&gt;
&lt;li&gt;Click about&lt; li&gt;
&lt;li&gt;Click Replay intro.&lt; li&gt;
&lt;li&gt;After replaying click the back icon from page&lt; li&gt;
&lt;li&gt;See the error&lt; li&gt;
&lt;li&gt;App version:v2.8&lt; li&gt;
&lt;h4&gt;Recording Of The Bug&lt; h4&gt;
&lt;a href https: youtu.be 4AxtB4ilb3s &gt;https: youtu.be 4AxtB4ilb3s&lt; a&gt;</t>
  </si>
  <si>
    <t>andyrozman-RileyLinkAAPS-130</t>
  </si>
  <si>
    <t>App crashes when clicking on Rileylink stats before Rileylink is initialised</t>
  </si>
  <si>
    <t>2019-06-02</t>
  </si>
  <si>
    <t>andyrozman-RileyLinkAAPS-129</t>
  </si>
  <si>
    <t>Application crashes when using actions before Medtronic configured</t>
  </si>
  <si>
    <t>nextcloud-android-4107</t>
  </si>
  <si>
    <t>Nextcloud-dev crashed while open txt files</t>
  </si>
  <si>
    <t>since yesterday my nextcloud-dev app crashed if try to open txt file. Pics, odt, pdf etc works well. Also the 3.6.2 app from GStore works well. Could this caused by installation of carnet from nc app store yesterday?</t>
  </si>
  <si>
    <t>2019-06-01</t>
  </si>
  <si>
    <t>Alfresco-activiti-android-app-63</t>
  </si>
  <si>
    <t>ANDROID-770 Alfresco Process Services App crashes on Show Form</t>
  </si>
  <si>
    <t>JIRA https: issues.alfresco.com jira browse ANDROID-770</t>
  </si>
  <si>
    <t>2019-05-31</t>
  </si>
  <si>
    <t>fossasia-pslab-android-1759</t>
  </si>
  <si>
    <t>App crashes on clicking export data option of multimeter</t>
  </si>
  <si>
    <t>App crashes on clicking export data option of multimeter
&lt;!-- Please state here what is currently happening. --&gt;
App should not crash and log file should be created
&lt;!-- State here what the feature should enable the user to do. --&gt;
**Steps to reproduce it**
1. Record data in multimeter
2. Pause and select export data option
&lt;!-- Add steps to reproduce bugs or add information on the place where the feature should be implemented. Add links to sample deployment or code. --&gt;
**LogCat for the issue**
&lt;!-- Provide logs for the crash here --&gt;
**Screenshots of the issue**
&lt;!-- Where-ever possible add screenshot of the issue. --&gt;
**Would you like to work on the issue?**
&lt;!-- Let us know if this issue should be assigned to you or tell us who you think could help to solve this issue. --&gt;</t>
  </si>
  <si>
    <t>MozillaReality-FirefoxReality-1282</t>
  </si>
  <si>
    <t>Java crash reports contain the wrong version and build id</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</si>
  <si>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Cause java crash
2. Report crash
## Current Behavior
&lt;!--- If describing bug, tell us what happens instead of the expected behavior. --&gt;
&lt;!--- If suggesting change improvement, explain the difference from current behavior. --&gt;
Crash does not show up in FirefoxReality crash reports on crash-stats.
## Expected Behavior
&lt;!--- If you re describing bug, tell us what should happen. --&gt;
&lt;!--- If you re suggesting change improvement, tell us how it should work. --&gt;
## Possible Solution
&lt;!--- Optional --&gt;
&lt;!--- Feel free to suggest fix reason for the bug, --&gt;
&lt;!--- or ideas how to implement the addition or change. --&gt;
Ensure the crash reports have the correct version and build id.
&lt;!--- Optional --&gt;</t>
  </si>
  <si>
    <t>MozillaReality-FirefoxReality-1281</t>
  </si>
  <si>
    <t>Java crash reporter broken</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</si>
  <si>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Cause java crash in FxR
## Current Behavior
&lt;!--- If describing bug, tell us what happens instead of the expected behavior. --&gt;
&lt;!--- If suggesting change improvement, explain the difference from current behavior. --&gt;
App doesn restart.
## Expected Behavior
&lt;!--- If you re describing bug, tell us what should happen. --&gt;
&lt;!--- If you re suggesting change improvement, tell us how it should work. --&gt;
App should restart and present crash dialog so that the report may be submitted.
## Possible Solution
&lt;!--- Optional --&gt;
&lt;!--- Feel free to suggest fix reason for the bug, --&gt;
&lt;!--- or ideas how to implement the addition or change. --&gt;
Fix the infinite-restart code so that it doens block restarts after normal crashes.</t>
  </si>
  <si>
    <t>MozillaReality-FirefoxReality-1280</t>
  </si>
  <si>
    <t>Fix Java crash reporter</t>
  </si>
  <si>
    <t>Additionally, the infinite loop crash prevention code was bocking the app from restarting after normal
crash. So now in addition to keeping time stamp, count is kept so it is know if FxR has restarted
multiple times in short period.</t>
  </si>
  <si>
    <t>google-ExoPlayer-5971</t>
  </si>
  <si>
    <t>Playback fails in demo app after selecting all the tracks from the same audio track group</t>
  </si>
  <si>
    <t>Caused by: length index
**My Assumption:** am assuming that when select all the tracks available from an audio group it will behave like adaptive (track Index -1).
If check the stream it has the following audio track group,
If check the tracks in code then audio groups will be
1. English(stereo) English(surround) Unique Id: 1,0,0 1,0,1
2. dubbing(stereo) dubbing(surround) Unique Id: 1,1,0 1,1,1
How can we select auto for Audio
There could be following an option to select auto from English group (1,0,-1) or dubbing group (1,1,-1). Can we do this tried but the app crashed.
How ExoPlayer is selecting the audio in case if select auto</t>
  </si>
  <si>
    <t>2019-05-30</t>
  </si>
  <si>
    <t>deltachat-deltachat-android-938</t>
  </si>
  <si>
    <t>crash in notifications</t>
  </si>
  <si>
    <t>not related to rust, but probably to the new changes wrt notifications:</t>
  </si>
  <si>
    <t>2019-05-29</t>
  </si>
  <si>
    <t>bp713-GPIG-Team-A-30</t>
  </si>
  <si>
    <t>RouteCourierTask causing crash</t>
  </si>
  <si>
    <t>When opened the app and went straight to check in -&gt; Verify it crashed with the following:
assume this is due to the view not existing when the response is returned.</t>
  </si>
  <si>
    <t>2019-05-28</t>
  </si>
  <si>
    <t>miguelpruivo-flutter_file_picker-86</t>
  </si>
  <si>
    <t>App crashes on ios 10.3.3</t>
  </si>
  <si>
    <t>App crashes when trying to pick document with FileType.ANY have already enabled icloud and cloudkit as shown in the image attached.
The error get is this:
Captura de Tela 2019-05-28 11 05 09 (https: 16281356</t>
  </si>
  <si>
    <t>fossasia-open-event-organizer-android-1676</t>
  </si>
  <si>
    <t>App crashes when trying to publish event just after creation</t>
  </si>
  <si>
    <t>**Describe the bug**
After creating an event, on trying to publish it, the app crashes. On restarting the app and trying again, it works fine.
This is probably happening because of event.state being null after the event is created.
**Would you like to work on the issue?**</t>
  </si>
  <si>
    <t>k3b-ToGoZip-20</t>
  </si>
  <si>
    <t>App crashes when zip-output-folder is root directory. Needs more errorhandling</t>
  </si>
  <si>
    <t>#### Expected behavior
expected the app to save the LogCat to file as had earlier selected the storage location.
#### Actual behavior
Immediately clicked on the Save LogCat to file option, the app crashed
#### How to reproduce
Download, install and launch the latest version of the app
Select storage location
Scroll down to the end
Click on the Save LogCat to file option
Observe the crash.
Android version: v6.0
App version: v2.0.19.190413
#### Recording of the bug
https: youtu.be Jwe6rbS0ST4</t>
  </si>
  <si>
    <t>fossasia-open-event-organizer-android-1674</t>
  </si>
  <si>
    <t>App crashes on swipe refresh in dashboard</t>
  </si>
  <si>
    <t>&lt;!-- Please complete the following information --&gt;
Android Version Nougat 7.1.1
**Would you like to work on the issue?**
&lt;!-- Please let us know if you can work on it or the issue should be assigned to someone else. --&gt;</t>
  </si>
  <si>
    <t>Swati4star-Images-to-PDF-771</t>
  </si>
  <si>
    <t>App crashes on 'Add Text' click on Home Fragment</t>
  </si>
  <si>
    <t>Add Text works when clicked on Navigation drawer item. App crashes on Add Text click on Home Fragment.</t>
  </si>
  <si>
    <t>andyrozman-RileyLinkAAPS-127</t>
  </si>
  <si>
    <t>Problem when Medtronic starts for the first time (crash)</t>
  </si>
  <si>
    <t>Problem when Medtronic starts for the first time (crash), if database and everything is empty. Perhaps it has to do something with setting date of last record of history reading.</t>
  </si>
  <si>
    <t>2019-05-27</t>
  </si>
  <si>
    <t>fossasia-open-event-organizer-android-1671</t>
  </si>
  <si>
    <t xml:space="preserve">App crashes on opening event </t>
  </si>
  <si>
    <t>**Describe the bug**
App crashes on opening event
... 68 more
**Would you like to work on the issue?**
Open to all</t>
  </si>
  <si>
    <t>LawnchairLauncher-lawnchair-1568</t>
  </si>
  <si>
    <t>App drawer search looks broken and pixelated</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</si>
  <si>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&lt;!--- Tell us what should happen --&gt;
&lt;!--- Tell us what happens instead --&gt;
&lt;!--- Provide link to live example (screenshot recording etc..), or set of steps to reproduce the issue --&gt;
&lt;!--- Include as many relevant details about the environment you experienced the bug in --&gt;
&lt;!--- For example: --&gt;
&lt;!--- Device: Samsung Galaxy S10 beyondlte --&gt;
&lt;!--- Android version: 9.0.0 --&gt;
&lt;!--- Launcher version: 2.1.0 --&gt;
&lt;!--- Rom: OneUI 1.2 --&gt;
Device: Xiaomi Redmi Note (Whyred)
Android version: 9.0
Launcher version: alpha-2078
Rom: Pixel Experience
&lt;!--- If possible, include logcat of the issue, otherwise remove this section--&gt;
&lt;!--- Navigate to Documents Lawnchair and share the most recent crash log from there. --&gt;
&lt;!--- If you can see any crash logs in there, try using this --&gt;</t>
  </si>
  <si>
    <t>2019-05-26</t>
  </si>
  <si>
    <t>MozillaReality-FirefoxReality-1267</t>
  </si>
  <si>
    <t>Reported crashes opening the settings screen on Go?</t>
  </si>
  <si>
    <t>## Steps to Reproduce
1. Attempt to open settings screen
## Current Behavior
Crashing for some users.
&lt;img width 1026 alt Screen Shot 2019-05-25 at 38 05 AM src https: 475847</t>
  </si>
  <si>
    <t>2019-05-25</t>
  </si>
  <si>
    <t>ongakken-Caffeinator-18</t>
  </si>
  <si>
    <t>Clicking the "add" button in the addCaffeine activity crashes the app</t>
  </si>
  <si>
    <t>Suggested solution: Adding an if statement to check if the user has entered anything.</t>
  </si>
  <si>
    <t>KeepSafe-Cashier-35</t>
  </si>
  <si>
    <t>Inventory query crash fixed</t>
  </si>
  <si>
    <t>Fixed uncaught exception thrown from InventoryQuery when Google Play Billing api is not available. When api is unavailable, failure is called on listener.</t>
  </si>
  <si>
    <t>2019-05-24</t>
  </si>
  <si>
    <t>fossasia-neurolab-android-245</t>
  </si>
  <si>
    <t>Program Mode click crash</t>
  </si>
  <si>
    <t>**Describe the bug**
The App crashes on Clicking on Program Mode.
The app should not crash.
**Would you like to work on the issue?**</t>
  </si>
  <si>
    <t>nextcloud-talk-android-548</t>
  </si>
  <si>
    <t>Selection window after writing @</t>
  </si>
  <si>
    <t>After entering for group conversations and returning to the list of all conversations, the users selection window does not hide.
1. Create group conversation.
2. Go to the conversation and enter
3. Go back to the conversation list (main application window).
Additionally, the application is crashing when the user is selected from the group conversation user selection window.
Nextcloud Talk 6.0.3</t>
  </si>
  <si>
    <t>TeamNewPipe-NewPipe-2360</t>
  </si>
  <si>
    <t>Errors on downloading</t>
  </si>
  <si>
    <t>carefully read the contribution guidelines (https: github.com TeamNewPipe NewPipe blob HEAD .github CONTRIBUTING.md) and agree to them.
checked if the issue feature exists in the latest version.
did use the incredible bugreport to markdown converter (https: to paste bug reports.
When downloading, the video kept going to --.-- mb s, so had to keep pausing and starting to get it to keep downloading. After few times got crash.
User Action: ui error
Request: App crash, UI failure
Content Language: GB
Version: 0.16.0 (this is on latest commits from dev branch as of May 22)
OS: Linux HONOR BND-L24 HWBND-H:8.0.0 HONORBND-L24 344(C567):user release-keys 28
log&lt; b&gt;&lt; summary&gt;&lt;p&gt;</t>
  </si>
  <si>
    <t>NordicSemiconductor-Android-nRF-Blinky-24</t>
  </si>
  <si>
    <t>Calling stopScan on a device were the BT adapter is not turned ON causes an exception</t>
  </si>
  <si>
    <t>ran the sample with Bluetooth turned off then pressed back on the ScannerActivity. It causes crash with the following stack trace
Caused by: BT Adapter is not turned ON
Bluetooth adapter state or should be checked before trying to stop the scanner.</t>
  </si>
  <si>
    <t>2019-05-23</t>
  </si>
  <si>
    <t>gauravjot-android-noad-music-player-1</t>
  </si>
  <si>
    <t>Bug: App crash when i allow access to my file.</t>
  </si>
  <si>
    <t>### Describe the bug.
When launched the app, got pop up that should grant permission, clicked on accept, and the app pops up again that should allow access to my file and clicked allow, the app roll and crashed.
### Steps to reproduce.
Launch the app
Click on accept to grant permission
Then click on allow
And note the bug
### Expected Behaviour
expect the app shouldn crash when allow access to my file.
### Screen recording
### Devices and Versions)
App version 0.8.20190518-2</t>
  </si>
  <si>
    <t>2019-05-22</t>
  </si>
  <si>
    <t>fossasia-pslab-android-1736</t>
  </si>
  <si>
    <t>App crashes when save image button clicked in all instruments where sensor not present</t>
  </si>
  <si>
    <t>App crashes when save image button clicked in Compass logged data
App should not crash
**Steps to reproduce it**
Record data in compass and play it click on save image button on top right corner.
**LogCat for the issue**
**Screenshots of the issue**
**Would you like to work on the issue?**</t>
  </si>
  <si>
    <t>novoda-no-player-242</t>
  </si>
  <si>
    <t>Guard agains null when accessing track info</t>
  </si>
  <si>
    <t>returns Nullable value that was not guarded. This was causing crashes in some cases (I not exactly sure why) when accessed in
Now we check if the track info is null and return also replaced the length access with getRendererCount() because the length was deprecated.
### Test(s) added
no tests, the class was not tested
no UI changes
### Paired with</t>
  </si>
  <si>
    <t>TechnionYP5779-team1-Social-Geha-83</t>
  </si>
  <si>
    <t>Fix log-in keyboard &amp; register</t>
  </si>
  <si>
    <t>Login keyboard make it alphanumeric only
Register fill in all fields before continuing
app crashing in filter</t>
  </si>
  <si>
    <t>aws-amplify-aws-sdk-android-972</t>
  </si>
  <si>
    <t>NumberFormatException thrown in CognitoCachingCredentialsProvider</t>
  </si>
  <si>
    <t>An issue currently affecting our production app where is being thrown in In this release we moved from AWS Android SDK version 2.7.0 to 2.13.4.
Fatal Exception: Error in initializing the
Caused by null
Exceptions are thrown while getting the credentialsProvider prior to making Lambda call and getting an AmazonS3Client to use in TransferUtility.
This issue seems intermittent and does not happen all time and has been difficult to reproduce. Our crash reporting has been picking up this exception and has occurred more than once for some users.
AWS Android SDK Version: 2.13.4
Device: Range of devices from Pixel to Samsungs.
Android Version: so far only Android devices has been reported
Specific to simulators: No</t>
  </si>
  <si>
    <t>bp713-GPIG-Team-A-5</t>
  </si>
  <si>
    <t xml:space="preserve">Using location services creates an exception. </t>
  </si>
  <si>
    <t>When trying to access the location of the device it crashes. It has location permissions.</t>
  </si>
  <si>
    <t>2019-05-21</t>
  </si>
  <si>
    <t>bp713-GPIG-Team-A-4</t>
  </si>
  <si>
    <t xml:space="preserve">App crashed when orientation changes </t>
  </si>
  <si>
    <t>The app crashes when the orientation changes.</t>
  </si>
  <si>
    <t>lisawray-groupie-257</t>
  </si>
  <si>
    <t>Delete an item from the adapter.</t>
  </si>
  <si>
    <t>trying to delete an item from the adapter using removeGroup() and remove() and passed the position to it. The first item gets removed successfully but when try to remove one more item it crashes with the following error Requested position 1in group adapter but there are only items tried adding notifyItemRemoved() and</t>
  </si>
  <si>
    <t>vvvt-android-speaker-identification-2</t>
  </si>
  <si>
    <t>Double press Playback</t>
  </si>
  <si>
    <t>Double pressing the playback button *after* voice sample is recorded causes the application to crash</t>
  </si>
  <si>
    <t>nextcloud-android-4054</t>
  </si>
  <si>
    <t>hello nextcloud crashes when i upload something , my phone is ASUS znefone max pro m1, android 8.1, thanks</t>
  </si>
  <si>
    <t>bp713-GPIG-Team-A-2</t>
  </si>
  <si>
    <t>App Crashes when screen is locked</t>
  </si>
  <si>
    <t>The app crashes when the screen is locked. The message below seems to suggest that there is an issue when calling onStop method for the activity. This might be related to the change where onStop starts the login screen again. Maybe need to modify this code.</t>
  </si>
  <si>
    <t>2019-05-20</t>
  </si>
  <si>
    <t>Baltasarq-nadamillas-1</t>
  </si>
  <si>
    <t>crash when open statistic whit no data input before</t>
  </si>
  <si>
    <t>here is bug recording
here is logcat
FATAL EXCEPTION: Thread-24261
step to reproduce
download the app
open the app
than click statistic option and see if the app will crash if no data input before</t>
  </si>
  <si>
    <t>segler-alex-RadioDroid-497</t>
  </si>
  <si>
    <t>App Crashes When Proxy Port Out of Range</t>
  </si>
  <si>
    <t>Go to settings, proxy, choose HTTP or SOCKS. Input anything as hostname, any digit more than 65535 as port. Click test or OK, then the app crashes.</t>
  </si>
  <si>
    <t>2019-05-19</t>
  </si>
  <si>
    <t>nextcloud-news-android-770</t>
  </si>
  <si>
    <t>Attempting Single Sign On crashes app</t>
  </si>
  <si>
    <t>Running latest News Android app from F-Droid app store and running latest Nextcloud 15 stable release. When attempting to use Single Sign On, the app will let me select my account and then promptly crash and ask to restart.
After restarting the app will act as those am logged in, displaying the UI but no actual feeds are imported. Attempting to adjust the SSO under Server Settings will re-crash the app.</t>
  </si>
  <si>
    <t>2019-05-18</t>
  </si>
  <si>
    <t>mehnlo-PracticeApp-9</t>
  </si>
  <si>
    <t>Edit profile fragment not found</t>
  </si>
  <si>
    <t>When the user search his profile and try to go to edit profile fragment the app crash</t>
  </si>
  <si>
    <t>ElderDrivers-EdXposed-258</t>
  </si>
  <si>
    <t>[BUG] Latest alpha breaks SafetyNet</t>
  </si>
  <si>
    <t>** What happened?**
On my Pixel XL, the latest alpha causes SafetyNet to fail both ctsProfile and basicIntegrity. The previous beta passes SafetyNet. This occurs even with all Xposed modules disabled and only the framework active.
**Xposed Xposed Module List**
Screenshot 20190518-093928 (https: 25443872
**Magisk Magisk Module List**
Screenshot 20190518-094046 (https: 25443872
Screenshot 20190518-094055 (https: 25443872
**EdXposed Riru Versions of EdXposed and Riru**
** Logcat Logcat**
Did not see anything suspect in logcat, and there are no crashes, etc.</t>
  </si>
  <si>
    <t>roberto-o-r-DailyPrayer-Android-22</t>
  </si>
  <si>
    <t>crashh if change from potrait to landscape or vice versa during sytem loading</t>
  </si>
  <si>
    <t>but if screen rotated after fully loaded is work as well. but before fully loaded this app crash itself
-open the app and before the app fully loaded change the view
recording of the bug
FATAL EXCEPTION: main</t>
  </si>
  <si>
    <t>2019-05-17</t>
  </si>
  <si>
    <t>mathisdt-sdbviewer-10</t>
  </si>
  <si>
    <t>crash when try to search</t>
  </si>
  <si>
    <t>dont know this is can be bug or no, just report it
step to reproduce
-open the app
than chose general
than change song addres whit another web
than go back and refresh and click search option and type any word and see if the app will crash
recording of the buug</t>
  </si>
  <si>
    <t>open-learning-exchange-myplanet-820</t>
  </si>
  <si>
    <t xml:space="preserve">App crashes on startup in mobile phone </t>
  </si>
  <si>
    <t>microsoft-appcenter-sdk-android-1162</t>
  </si>
  <si>
    <t>Crash java.lang.SecurityException on app start cause by BrowserUtils.openBrowser</t>
  </si>
  <si>
    <t>Integrated AppCenter crash reporting, analytics and distribute. On starting the main activity of my application, it crashes the following crash log:
My suspicion is that either the Opera does not support this type of launch, or simply the Xiaomi Redmi 5A Android does not allow directly starting activity by package name and class name. suppose it requires that the user always goes through the IntentChooser.
### **Repro Steps**
Please list the steps used to reproduce your issue.
1. Use Xiaomi Redmi 5A
2. Set Opera as the default browser.
1. Which SDK version are you using?
2. Which OS version did you experience the issue on?
3. What device version did you see this error on? Were you using an emulator or physical device?
Xiaomi Redmi 5A physical device
4. What third party libraries are you using?
5. Please enable verbose logging for your app using before your call to and include the logs here:
Just side note before you review the logs:
Normally it is not possible to provide logs for the Distribute, due to the fact that it only works if the app is not in debuggable state. The cause is in this line in the SDK Distribute.java:
Don go any further it this is debug app.
if FLAG DEBUGGABLE) FLAG DEBUGGABLE)
TAG, Not checking in app updates in debug.
In order to provide you the log below, need to set breakpoint at runtime and overwrite the debuggable flag to allow for the logic to continue. Testing this would be much more convenient if you merge one of the open feature requests for making this debuggable behavior optional. Anyway, allowing artificially the logic to continue, this is what happens.</t>
  </si>
  <si>
    <t>rajatgoyal715-Puzzle15-44</t>
  </si>
  <si>
    <t>App crash on game completion</t>
  </si>
  <si>
    <t>Steps to reproduce:
1. complete game
2. main menu opens up now(it shouldn t).
3. click on resume game and app crashes.</t>
  </si>
  <si>
    <t>fossasia-pslab-android-1728</t>
  </si>
  <si>
    <t>Outofmemory crash in PSLabPinLayoutFragment</t>
  </si>
  <si>
    <t>Google Play crash reports indicate that there is crash happening when user tries pinmap multiple times. Probably some caches not getting clear.
App should not crash and memory needs to be utilized
**Steps to reproduce it**
Download and view steps recorded from Google Play tests (https: github.com fossasia pslab-android files 3189457
**LogCat for the issue**
**Screenshots of the issue**
Refer to steps to reproduce
**Would you like to work on the issue?**</t>
  </si>
  <si>
    <t>nextcloud-android-4033</t>
  </si>
  <si>
    <t>Nextcloud keeps crashing when syncing a big folder</t>
  </si>
  <si>
    <t>First time post on github, sorry in advance if doing anything wrong. Also: Im sorry for this generic title but can realy put my finger on what it is related to. My guess is the fact that my external 128GB micro SD card is formated as internal storage and nextcloud is moved to it. hope can change the title to something more appropriate if we find out what this issue is related to.
### Actual behaviour
start the app, go to all files and pick my documents folder for example 17GB). It starts the sync downloading but every few seconds get the window Nextcloud reagiert nicht App schlie en Warten (nextcloud stopped working, close app, wait). When keep answering Warten (wait) it works as it should. When my screen turns itself off after the configured time of 10s it can happen, that the sync stops. This means can see file downloaded to i.e. 45% and it stuck there. After that the filesystem seems to be in wierd state. Sometimes can save new files, this includes taking picture and saving it to DCIM (which normally happes automaticly.
### Expected behaviour
Start sync of folder (size shouldn matter)
No popup windows like stopped working
### Steps to reproduce
1. Format SD card as internal storage
2. Start nextcloud app and pick (big) folder to sync
3. wait for the Crash windows to pop up
### Environment data
Device model: HTC 10 pme
Stock or customized system: customized, unoffical version of LineageOS 16 link (https: htc-10 development
Nextcloud app version: 3.6.0 (f-droid)
Nextcloud server version: 16.0.0
Since think it related to the SD card: SanDisk Extreme 128GB microSDXC (https: www.amazon.de dp B07FCMKK5X)
#### Android logcat output</t>
  </si>
  <si>
    <t>2019-05-16</t>
  </si>
  <si>
    <t>mapbox-mapbox-events-android-399</t>
  </si>
  <si>
    <t>Mapbox crashes with InterruptedException</t>
  </si>
  <si>
    <t>Hello and thanks for contributing to the Mapbox Maps SDK for Android! To help us diagnose your problem quickly, please:
Include minimal demonstration of the bug, including code, logs, and screenshots.
Ensure you can reproduce the bug using the latest release.
Only post to report bug or request feature direct all other questions to: https: stackoverflow.com questions tagged mapbox
Start with brief description below this line. --&gt;
App is getting continuous crash with
FATAL EXCEPTION: OkHttp events.mapbox.com Writer
Device is Android Samsung S5 with Android 5.0
### Steps to reproduce
1.App was trying to place the marker and showing route
2.App crashes randomly after some time.
### Expected behavior
App should not crash
### Actual behavior
**Mapbox SDK versions:**</t>
  </si>
  <si>
    <t>TM-CG-cmu1819-87</t>
  </si>
  <si>
    <t>Pendings invitations crash when logout and login to a different user</t>
  </si>
  <si>
    <t>fossasia-neurolab-android-205</t>
  </si>
  <si>
    <t>App Crashes when settings clicked</t>
  </si>
  <si>
    <t>**Describe the bug**
App Crashes when Settings menu clicked
App should not crash
**Steps to reproduce it**
Open menu icon on right top corner and click on Settings
**LogCat for the issue**
**Screenshots of the issue**
Screenshot 20190515-233216 One UI Home (https: 37077735
Device Samsung J8
Android Version Pie 9.0
**Would you like to work on the issue?**</t>
  </si>
  <si>
    <t>2019-05-15</t>
  </si>
  <si>
    <t>sw19-tug-afternoon04-62</t>
  </si>
  <si>
    <t>PAINT_024 Color Picker crash when tilting phone</t>
  </si>
  <si>
    <t>When the color picker is open and you rotate the phone, the color picker crashes and closes, app still runs afterwards.
MainActivity has leaked window DecorView ef5e202 that was originally added here</t>
  </si>
  <si>
    <t>renyuneyun-Easer-224</t>
  </si>
  <si>
    <t>( BUG ) Found in Easer app The application crashes when I try to open the dynamic link option</t>
  </si>
  <si>
    <t>Repository: https: github.com renyuneyun Easer
Project Name: Easer
was expected that when click on the dynamic link option, further options will appear and can add the dynamic link there.
After opening the application, go to the script tab and click on the plus button and then click the dynamic link icon, the application crashes.
How to reproduce
1- open the application
2- Click the three horizontal line at the top left
3-Select the script option
4- click on Plus button
5-Below the profile you will see options inline event, Predefined event, and use condition,
6-select Predefined event
7- Click on the dynamic link icon
8- see the bug
Browser App version: v0.7.5
Operating system: 6.0.1
Smartphone: Galaxy j7
Recording Of The Bug
My Github Account</t>
  </si>
  <si>
    <t>AltBeacon-android-beacon-library-876</t>
  </si>
  <si>
    <t>CycledLeScanner crashes on setWakeUpAlarm</t>
  </si>
  <si>
    <t>### Expected behavior
### Actual behavior
println needs message
### Steps to reproduce this behavior
Not sure about the reproduction, we noticed these crashes on Firebase. Here the stack trace for LENOVO VIBE X3 Lite, Android 5.1:
There was another similar crash on Galaxy S5 Neo (6.0.1):
And another one on LENOVO A6010 (5.0.2):
Fatal Exception: println needs message
### Mobile device model and OS version
LENOVO VIBE X3 Lite (5.1)
Galaxy S5 Neo (6.0.1)
LENOVO A6010 (5.0.2)
### Android Beacon Library version</t>
  </si>
  <si>
    <t>aws-amplify-aws-sdk-android-956</t>
  </si>
  <si>
    <t>Sign in issue in AmazonKinesisVideoDemoApp</t>
  </si>
  <si>
    <t>There is an Exception and app crashes after leaving the app alone for about hour.
Full details and steps for reproducing the issue is below. It is reproducible on multiple device types, recent tested device is OnePlus6+.
1. Follow the https: github.com awslabs blob master README.md to set up the Cognito.
2. Sign in the app and close it.
3. Wait for hour and open the app again. Exception pops up and app crashes.
Stacktrace in the Console:
... 24 more</t>
  </si>
  <si>
    <t>2019-05-13</t>
  </si>
  <si>
    <t>Alfresco-alfresco-android-app-544</t>
  </si>
  <si>
    <t>Application is crashing when starting it</t>
  </si>
  <si>
    <t>JIRA https: issues.alfresco.com jira browse ANDROID-739</t>
  </si>
  <si>
    <t>dariuszseweryn-RxAndroidBle-572</t>
  </si>
  <si>
    <t>LocationServicesOkObservable crash</t>
  </si>
  <si>
    <t>This seem to have happened on R17 phone running Android 8.1.0:
not yet sure how to reproduce it.
### Library version</t>
  </si>
  <si>
    <t>k3b-LosslessJpgCrop-7</t>
  </si>
  <si>
    <t>llCrop crashes in "save crop picture as" when filename contains illegal character</t>
  </si>
  <si>
    <t>Repository: https: github.com k3b LosslessJpgCrop
Project Name: llCrop (Loss Less)
When try to save the picture after crop, the picture should be saved and the saved picture should appear in the mobile phone gallery.
The application crashes when try to save the picture to the cell phone storage
How to reproduce
2-Select any picture from mobile storage
3-Crop the image
4- Try saving the image in the phone by clicking Save button
5- see the bug
Browser App version: Version 1.0.1.190507
Operating system: 6.0.1
Smartphone: Galaxy j7
Recording Of The Bug
My Github Account</t>
  </si>
  <si>
    <t>2019-05-12</t>
  </si>
  <si>
    <t>mit-cml-appinventor-sources-1686</t>
  </si>
  <si>
    <t>Switch crashes compiled app in Classic theme only</t>
  </si>
  <si>
    <t>From the forum (https: groups.google.com msg mitappinventortest G7JeoC35tvk r-sohwI3AwAJ): Using Switch in compiled app with Classic theme will result in an app crash. The issue is likely that the theme doesn define switch style, and so the app ends up without the necessary resources resulting in NPE or similar error.</t>
  </si>
  <si>
    <t>2019-05-11</t>
  </si>
  <si>
    <t>the3soundcrafties-SoundboardCrafter-58</t>
  </si>
  <si>
    <t>First installation crashes due to missing privileges</t>
  </si>
  <si>
    <t>RamiJ3mli-PercentageChartView-11</t>
  </si>
  <si>
    <t>crashing app</t>
  </si>
  <si>
    <t>crashing app while hiding the keyboard and giving this error in fragment</t>
  </si>
  <si>
    <t>nextcloud-android-4002</t>
  </si>
  <si>
    <t>Crash when deleting an account</t>
  </si>
  <si>
    <t>### Actual behaviour
The application crashes when you delete user account. get the message: Unfortunately, Nextcloud dev has been stopped.
### Expected behaviour
Removal of user account.
### Steps to reproduce
1. Select Manage accounts
2. Select an account to delete.
3. Select Remove account
4. Confirm deletion.
### Environment data
Nextcloud app version: 3.6.1 RC2 and dev 20190510
Nextcloud server version: 15.0.7</t>
  </si>
  <si>
    <t>2019-05-10</t>
  </si>
  <si>
    <t>PeterStaev-nativescript-photo-editor-23</t>
  </si>
  <si>
    <t>Memory leak in IOS</t>
  </si>
  <si>
    <t>started using this plugin for an app to allows users drawing on photos. They started reporting crashes with the app and have traced it to memory leak in the plugin. After testing with the memory profiler in the xcode debugger ve found the following:
1. Creating new photo editor instance works fine and does not cause any memory issues.
2. The editPhoto function will allocate certain amount of memory that will never go away. Its not much and depends on the size of the photo. However, even if you bring up the editor and cancel it without saving the memory will continue to go up. This happens even if there is no code inside photoEdit .then() function.
3. If you save an image onto the device using the editor the image will be kept in memory and will stay there until the app is closed and restarted. After enough edits the app will crash from memory overload.
Here is my code:
var options width: 300, height: 300, keepAspectRatio: false, saveToGallery: false
let photoEditor new PhotoEditor()
let newPath this.folder.path cameraPic (new Date()).getTime()
let newPathThumbnail newPath thumbnail.png
newPath newPath .png
let img: ImageSource new ImageSource()
let photoJson path: file: newPath,thumb: file: newPathThumbnail
console.log( Error -&gt; err.message)</t>
  </si>
  <si>
    <t>2019-05-09</t>
  </si>
  <si>
    <t>ElderDrivers-EdXposed-244</t>
  </si>
  <si>
    <t>[BUG] XSharedPreferences crashing</t>
  </si>
  <si>
    <t>** What happened?**
XSharedPreferences appears to be crashing in logs on my Pixel XL. Another user confirmed this on the Exynos 9820 S10+. This seems to only be occurring with recent versions of edxposed (i guessing the SandHook update).
**Xposed Xposed Module List**
**Magisk Magisk Module List**
ADB Fastboot for Android NDK
Busybox for Android NDK
Riru Core (v18)
Riru EdXposed (v0.4.1.2 beta(SandHook))
Swift Installer Module
YouTube Vanced black themed Magisk Rep
**EdXposed Riru Versions of EdXposed and Riru**
** Logcat Logcat**
log It can help us to locate issue, must use our logcat module</t>
  </si>
  <si>
    <t>square-okhttp-5024</t>
  </si>
  <si>
    <t>R8 on then NPE happened with okhttp3, AGP 3.4</t>
  </si>
  <si>
    <t>facing problem on enabling R8 with Gradle 3.4 and Okhttp 3.13.1
Source code build OK but app crash when call any api via network.
This looks like the okhttp3 problem
Btw, also tried to add
-keep class okhttp3.*
-keep interface okhttp3.*
but it still does.
already refer this issue https: issues 131810441</t>
  </si>
  <si>
    <t>MozillaReality-FirefoxReality-1181</t>
  </si>
  <si>
    <t>FxR crashes upon requesting Voice Search for the first time with a fresh install</t>
  </si>
  <si>
    <t>## Steps to Reproduce
1. Do fresh install of FxR master.
2. Press the Microphone icon in the URL bar.
3. Notice FxR crashes and relaunches.
4. Once FxR launches, press the Microphone icon again, and notice that Voice Search correctly works without crashing.
## Current Behavior
Initiating Voice Search on clean install causes FxR to crash, but it does not crash subsequent times.
## Expected Behavior
Initiating Voice Search on clean install should not cause FxR to crash.
## Error Logs and Stack Traces
&lt;summary&gt;Java Stack Trace&lt; summary&gt;</t>
  </si>
  <si>
    <t>2019-05-08</t>
  </si>
  <si>
    <t>inaturalist-react-native-inat-camera-13</t>
  </si>
  <si>
    <t>In iOS 9.3.5, app crashes when camera is started</t>
  </si>
  <si>
    <t>Have gotten two reports from users on devices running iOS 9.3.5 that the entire app crashes when they tap on the camera button.</t>
  </si>
  <si>
    <t>ErikFrisenstam-SystemetAppGrupp5-35</t>
  </si>
  <si>
    <t>App is crashing if you are searching for products and no products exist</t>
  </si>
  <si>
    <t>nextcloud-android-3973</t>
  </si>
  <si>
    <t>java.lang.NullPointerException in DocumentsProvider (2)</t>
  </si>
  <si>
    <t>### Actual behaviour
DocumentsProvider does not show folder content in some cases (app switching)
### Expected behaviour
DocumentsProvider does not crash
### Steps to reproduce
1. Start Nextcloud app
2. Open Storagepicker DocumentsUI
3. Navigate to folder in third level hierarchy (e.g. Level1 Level2
4. Close Nextcloud with the app switcher
5. Try to move one level up in the Storagepicker via HeaderBar
fixes https: github.com nextcloud android pull 3905
### Environment data
Android version: 8.1, 9.0
Stock or customized system:
Nextcloud app version: 3.6.1, master-branch
Nextcloud server version:
#### Web server error log
Insert your webserver log here
#### Nextcloud log (data nextcloud.log)</t>
  </si>
  <si>
    <t>2019-05-07</t>
  </si>
  <si>
    <t>microsoft-appcenter-sdk-android-1141</t>
  </si>
  <si>
    <t>Potential crash in Distribute.java</t>
  </si>
  <si>
    <t>Experienced rare crash around
Here the stack trace:
This was with version 1.11.2
Was this addressed in 2.0.0?</t>
  </si>
  <si>
    <t>2019-05-06</t>
  </si>
  <si>
    <t>LawnchairLauncher-lawnchair-1548</t>
  </si>
  <si>
    <t>App constantly crashes</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</si>
  <si>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not sure what build number it was, but after updated app just crashes over and over.
## Expected Behavior
&lt;!--- Tell us what should happen --&gt;
Not to crash :)
## Actual Behavior
&lt;!--- Tell us what happens instead --&gt;
It crashes after second.
## Steps to Reproduce
&lt;!--- Provide link to live example (screenshot recording etc..), or set of steps to reproduce the issue --&gt;
2. press open
&lt;!--- Include as many relevant details about the environment you experienced the bug in --&gt;
&lt;!--- For example: --&gt;
&lt;!--- Device: Samsung Galaxy S10 beyondlte --&gt;
&lt;!--- Android version: 9.0.0 --&gt;
&lt;!--- Launcher version: 2.1.0 --&gt;
&lt;!--- Rom: OneUI 1.2 --&gt;</t>
  </si>
  <si>
    <t>Shouheng88-MarkNote-20</t>
  </si>
  <si>
    <t>BUG found in MarkNote The application crashes when I open the application after set the password and click on the three horizontal line</t>
  </si>
  <si>
    <t>Repository: https: github.com Shouheng88 MarkNote
Project Name: MarkNote
was expecting that when put password on this application and after opening it when click on the three horizontal lines, All options should be displayed which are available there
The application crashes when open the application after set the password and click on the three horizontal line
How to reproduce
2- Go to the application settings and open the security option there and then click Password and set the password on your application.
3-Reopen the application and enter your password
4-And then click on the three horizontal line
5- see bug
Browser App version: Current Version 2.0
Operating system: 6.0.1
Smartphone: Galaxy j7
Recording Of The Bug
My Github Account</t>
  </si>
  <si>
    <t>hikikomoriphoenix-Beedio-49</t>
  </si>
  <si>
    <t>bug found in LM-videodownloader The application crashes when I try to rename any file during the download</t>
  </si>
  <si>
    <t>Repository: https: github.com hikikomoriphoenix LM-videodownloader
Project Name: LM-videodownloader
The file name should be changed when try to rename any file during the download
The application crashes when try to rename any file during the download
How to reproduce
1- Download (https: github.com hikikomoriphoenix LM-videodownloader releases)the app and open it
2- Click on the YouTube icon so you will go to YouTube
3-Then apply any video or audio to download
4-Click the verticals line on the top left
5- click on downloads
6- select the In Progress tab and click on the edit icon
7-and now click on ok button
8- see bug
Browser App version: v1.0.1
Operating system: 6.0.1
Smartphone: Galaxy j7
Recording Of The Bug
My Github Account</t>
  </si>
  <si>
    <t>renyuneyun-Easer-219</t>
  </si>
  <si>
    <t>crash with TCP Trip Event in 0.7.4.1</t>
  </si>
  <si>
    <t>hi, have configured *TCP Trip* Event and as soon as it is tested Easer crashes. The event has *Check reply* set to true and an empty reply. It does not seem to be possible to configure non-empty reply (reported in #220). (I ve Easer 0.7.4.1 on Android 8.1.0 LineageOS Thanks for providing Easer.</t>
  </si>
  <si>
    <t>2019-05-05</t>
  </si>
  <si>
    <t>google-ExoPlayer-5831</t>
  </si>
  <si>
    <t>ExoPlayer crash with IMAloader onTimelineChanged Assertions.checkArgument</t>
  </si>
  <si>
    <t>### REQUIRED Issue description
Our app just recently released and we found in the Firebase Crashalytics an increasing number of crashes which included below
we are using an HlsMediaSource for the content then adding the AdsMediaSourceand for the ads and
here is the code of how we are initializing the player:
MediaSource mediaSource new
AdsMediaSource adsMediaSource new imaAdsLoader,
boolean haveStartPosition startPosition C.INDEX UNSET
### REQUIRED Reproduction steps
we couldn reproduce the issue we only see the crashes on the crashlytics console.
### REQUIRED Link to test content
### REQUIRED full bug report captured from the device
### REQUIRED Version of ExoPlayer being used
### REQUIRED Device(s) and version(s) of Android being used
Samsung galaxy S6
HTC Desire 820s
HUAWEI MediaPad T3
android 6, and
&lt;!-- DO NOT DELETE
validate template true
template path .github ISSUE TEMPLATE bug.md</t>
  </si>
  <si>
    <t>brodeurlv-fastnfitness-65</t>
  </si>
  <si>
    <t>App crashed after clearing data by resetting the app and re-using the app</t>
  </si>
  <si>
    <t>***Found in version***: 0.17.2
### Current behavior:
reset the application to delete all my data in order to start afresh, but after resetting it, few touches on the app made it to crash.
### Expected behavior:
expected the app to work just as it does when first installed and start using it.
### Step to reproduce:
Launch the app
Click on the three dots(menu) by the top right side
Click on reset application.
Confirm the action by clicking yes (the app will close)
Launch it again and choose profile name by typing it on the provided space and click OK
Start clicking on any feature to perform any action. The app will crash.
### Reproducing the bug
After the crash, it works well without crashing anymore but each time reset and start afresh, it always welcome me with crash before working as expected.</t>
  </si>
  <si>
    <t>2019-05-04</t>
  </si>
  <si>
    <t>nextcloud-Android-SingleSignOn-60</t>
  </si>
  <si>
    <t>Account chooser dialog problem with some Android versions</t>
  </si>
  <si>
    <t>Hi, first of all, thanks lot for this library, it used in PhoneTrack-Android. Luv it.
So far, everything works fine with Android 4.1, 5.0, 8.0, 8.1 and 9.0.
testing with freshly installed Nexus virtual phones without google services but have confirmation it works fine on my Nexus 5x (LineageOS 15, Android 8.1).
having problems with Android 6, 7.0 and 7.1 just after choosing an account
With v0.3.0 It was apparently making Nextcloud Files app crash. Here are the corresponding logs:
Hanging around in the issues, discovered could include -SNAPSHOT version instead of v0.3.0. Problem is still there in less radical form :wink: get an alert dialog telling me You have to accept the requested permissions to use the single sign-on feature. Nothing in the logs. Is it possible did something wrong? It seems to be related to Any idea?
Ow BTW, same thing is happening with News app, there crash. guess it using SSO lib v0.3.0. Same symptoms as PhoneTrack.</t>
  </si>
  <si>
    <t>2019-05-03</t>
  </si>
  <si>
    <t>dimagi-commcare-android-2114</t>
  </si>
  <si>
    <t>Fix Sign Save</t>
  </si>
  <si>
    <t>Regression of https: github.com dimagi commcare-android pull 2110
We are now calling setBinaryPath with the path of the image rathr than URI and since we didn make this change in SignatureWidget and only for ImageWidget, the app was crashing.
Can someone merge it on approving so that it gets available to QA for testing and also ping on Jira ticket so that QA can test it again.</t>
  </si>
  <si>
    <t>applivery-applivery-android-sdk-32</t>
  </si>
  <si>
    <t>Release Build Crashes - Proguard Rules missing</t>
  </si>
  <si>
    <t>Can you please provide some Proguard rules?
The SDK crashes when Proguard is enabled.
But it would be nice if you could provide more specific rules.</t>
  </si>
  <si>
    <t>aws-amplify-aws-sdk-android-937</t>
  </si>
  <si>
    <t>Error in retrieving the encryption key used for secure storage of credentials</t>
  </si>
  <si>
    <t>**Describe the bug**
Upgrade to 2.13.3 make app crash.
code sample or steps:
use dagger2 to inject s3client.
Below is my code in AmazonModule(dagger module) to initialize
val provider BuildConfig.COGNITO POOL ID, Regions.AP NORTHEAST 2)
**Which AWS service(s) are affected?**
**Environment Information (please complete the following information):**
AWS Android SDK Version: 2.13.3
Device: Many android device
Android Version: android 4,
Specific to simulators: No
added the call stack of my crash
Caused by key null</t>
  </si>
  <si>
    <t>svenmeier-coxswain-85</t>
  </si>
  <si>
    <t>Weird behavior</t>
  </si>
  <si>
    <t>lot of times now when started training the training view (time, tempo heart rate etc.) suddenly disapears. seems to be in the background, sometimes it continues when restart the training. But sometimes also not and coxswain crashes even. have the impression it could occur when the heart rate sensor (polar) reconnects which happens sometimes. If this is the issue could coxswain be made more insensible to hr drop outs? Im running coxswain on oreo. thx.</t>
  </si>
  <si>
    <t>2019-05-02</t>
  </si>
  <si>
    <t>PrisKompis-PrisKompis-35</t>
  </si>
  <si>
    <t>Fixed issue #34 Implemented null check for card input</t>
  </si>
  <si>
    <t>Implemented null check on card input value so that the app does not crash.
Now if the card value is null, the app will display toast message saying enter card details to proceed and stay on the same page without any further action until the user inputs valid card detail.</t>
  </si>
  <si>
    <t>PrisKompis-PrisKompis-34</t>
  </si>
  <si>
    <t>App crashes when the credit card value is null</t>
  </si>
  <si>
    <t>The app crashes when no value is passed to credit card field and click on pay button. This needs to be fixed asap.</t>
  </si>
  <si>
    <t>PrisKompis-PrisKompis-32</t>
  </si>
  <si>
    <t>Could not enter input value for quantity field</t>
  </si>
  <si>
    <t>The inshop purchase activity shows edit text quantity but the app crashes when we enter value for the field. This needs to be fixed.</t>
  </si>
  <si>
    <t>deltachat-deltachat-android-887</t>
  </si>
  <si>
    <t>crash after tapping at location icon in chat view in Android 4.1.2</t>
  </si>
  <si>
    <t>compiled from github sources
Samsung S3 mini
Not shure if this issue is still existing in current version but want to inform about.
See log excerpt:</t>
  </si>
  <si>
    <t>2019-05-01</t>
  </si>
  <si>
    <t>TM-CG-cmu1819-76</t>
  </si>
  <si>
    <t>Create Album crashes when disabling spinner at cache</t>
  </si>
  <si>
    <t>The spinner stays freeze for while.
To fix this we need to split several async tasks to be performed in order instead of inside of inside</t>
  </si>
  <si>
    <t>Meisterschueler-ogn-viewer-android-20</t>
  </si>
  <si>
    <t>Bad APRS filter handling</t>
  </si>
  <si>
    <t>APRS filter with empty lat, lon or range crashes the app. Since the filter is saved, it is impossible to start the app again.</t>
  </si>
  <si>
    <t>ExploiTR-YouP3-7</t>
  </si>
  <si>
    <t xml:space="preserve">[ Bug found in Youp3  version (1.3.0) ]  the application is crash when i  try to download any video </t>
  </si>
  <si>
    <t>Repository: https: github.com ExploiTR YouP3
Project Name: YouP3
was expecting the application should not be crash during downloading any video
when try to download any video from youp3 the application is crash
How to reproduce
1- Download the latest application (https: github.com ExploiTR YouP3 releases)
2-install and open the application
3- search any video
4- during watching click on up down arrow
5- click on Fetch Downloadable File(s) Details
6- see the error
Browser App version Youp3 version (1.3.0)
Operating system 6.0.1
Smartphone Galaxy j7
Recording Of The Bug
My Github Account</t>
  </si>
  <si>
    <t>7LPdWcaW-GrowTracker-Android-77</t>
  </si>
  <si>
    <t>HUAWEI CLT-L09 HWCLT, HUAWEI, 28, 2.4.1</t>
  </si>
  <si>
    <t>miguelpruivo-flutter_file_picker-76</t>
  </si>
  <si>
    <t>column '_data' does not exist when picking from Dropbox</t>
  </si>
  <si>
    <t>When picking from Dropbox on Android there is deterministic crash with ...MainActivity column data does not exist
guess this is the same issue as it was for image picker:</t>
  </si>
  <si>
    <t>nextcloud-android-3939</t>
  </si>
  <si>
    <t>Application hang Systematically in Android For Work Container</t>
  </si>
  <si>
    <t>### Actual behaviour
The application hang at start (When we launch the application on the mobile, it stop immediately with popup nextcloud stop systematically and propose (Application Information, Close Application, Send comments)
### Expected behaviour
It should launch the application correctly
don know how to give you an application crash report
### Steps to reproduce
1. Configure Android for Work
2. Install Nextcloud android app and configure it
3. Launch it one time. The next time it will hang.
### Environment data
Android One version: (2019 March 05)
Device model: MI A2 LITE (M1805D1SG)
Stock or customized system: Stock
Nextcloud app version: 3.6.0
Nextcloud server version: 15.0.7
#### Web server error log
Insert your webserver log here
#### Nextcloud log (data nextcloud.log)</t>
  </si>
  <si>
    <t>2019-04-30</t>
  </si>
  <si>
    <t>SCCapstone-DBK-111</t>
  </si>
  <si>
    <t>It is possible to add the same bluetooth device as a boostbox twice, causing the app to crash.</t>
  </si>
  <si>
    <t>Solution should make it so that only bluetooth devices not currently associated with boostbox on record can be selected.</t>
  </si>
  <si>
    <t>Diaga-Memories-20</t>
  </si>
  <si>
    <t>onBackPressed() on main activity crashes app</t>
  </si>
  <si>
    <t>2019-04-29</t>
  </si>
  <si>
    <t>renyuneyun-Easer-216</t>
  </si>
  <si>
    <t>Aquiring Cell Towers crashes app</t>
  </si>
  <si>
    <t>working with HomTom S8 and Nougat.
When try to create condition that uses Cell Towers the app often crashes when it tries to read the active cell id s. Note: It does not crash always.</t>
  </si>
  <si>
    <t>0x5ECF4ULT-PanicTrigger-22</t>
  </si>
  <si>
    <t>[BUG-] the application  crashes when i double click on home screen</t>
  </si>
  <si>
    <t>### Expected behavior
expected that the application should not be crash when click on the trigger home screen
### Actual behavior
After configure the application when click on the trigher home screen the application is crash you can see in bug video properly
### How to reproduce
Download and open the application
click on home screen doubel cilick
Note the Bug
Browser App version: 0.4-2
Operating system: 6.0.1
### Recording Of The Bug</t>
  </si>
  <si>
    <t>gsantner-markor-550</t>
  </si>
  <si>
    <t>Crash on file move (v1.7.7)</t>
  </si>
  <si>
    <t>#### General information
**App version:** 1.7.5 (67)
**System:** Moto g6
There is crash on attempted file move within the Markor Documents folders. This is regular crash (every time) with different files and folders and on two phones. No problem moving files using an independent file manager. Crash is immediately on selecting select this folder
Greatest note markdown manager for Android by the way.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</si>
  <si>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2019-04-28</t>
  </si>
  <si>
    <t>subchannel13-EnchantedFortress-62</t>
  </si>
  <si>
    <t>Game crash on screen rotate</t>
  </si>
  <si>
    <t>The game crashes if the screen rotates on the report page</t>
  </si>
  <si>
    <t>zamojski-TowerCollector-56</t>
  </si>
  <si>
    <t>[BUG] The application suddenly crashes when I click on the upload button.</t>
  </si>
  <si>
    <t>The Tower Collector users need to be able to Upload something on the Tower Collector application.
When click on the *upload* button, the Tower Collector application gave an error and suddenly crashes.
**How to reproduce**
1. Open the Tower Collector app.
2. Then click on the Upload button.
3. And you will see that the application crashes suddenly.
App version: 2.0.2
Operating system: Android 7.0
**Recording Of The Bug**</t>
  </si>
  <si>
    <t>2019-04-26</t>
  </si>
  <si>
    <t>barbeau-gpstest-287</t>
  </si>
  <si>
    <t>Android 4.x - AppCrash since v3.3.0 due to MotionLayout</t>
  </si>
  <si>
    <t>app since version 3.3.0 crashes on appstart
**Steps to reproduce:**
open drawer, tap gpstest icon, toast appears: gpstest died
to work like version 3.2.10
**Device and Android version:**
samsung galaxy note
android 4.4.2 stock
FATAL EXCEPTION: main
... 12 more
... 43 more
Caused by: Can convert to dimension: type 0x1d</t>
  </si>
  <si>
    <t>MozillaReality-FirefoxReality-1127</t>
  </si>
  <si>
    <t>Java exceptions appear to be uncaught by crash reporter</t>
  </si>
  <si>
    <t>## Steps to Reproduce
&lt;!--- For bugs, please provide link to live web site, test page, or rough set of --&gt;
&lt;!--- steps to reproduce this bug. If relevant, include code to reproduce. --&gt;
&lt;!--- Feel free to attach images and GIFs of screen captures. --&gt;
1. From Android Studio, install 64-bit Oculus build run FxR on the Oculus Go.
2. Put the headset on, and refresh the browser page, navigate to an HTTPS site, etc.
3. From Android Studio, change the Build Variant to 32-bit Oculus run FxR on the Oculus Go.
4. Put the headset on, and refresh the browser page, navigate to an HTTPS site, etc.
5. Notice crash occurs when navigating to an HTTPS site.
6. Notice FxR reloads without crash prompt, and the logs don seem to catch it.
The HTTPS issue is GeckoView bug: https: show bug.cgi?id 1546361
But it suspicious that we see this without crash:
## Error Logs and Stack Traces
See my ** logcat ** (https: github.com MozillaReality FirefoxReality files 3114626
CC bluemarvin MortimerGoro</t>
  </si>
  <si>
    <t>2019-04-25</t>
  </si>
  <si>
    <t>OpenArchive-Save-app-android-101</t>
  </si>
  <si>
    <t>Prompt to connect to space when the user doesn't have one setup</t>
  </si>
  <si>
    <t>otherwise it crashes</t>
  </si>
  <si>
    <t>2019-04-24</t>
  </si>
  <si>
    <t>MozillaReality-FirefoxReality-1123</t>
  </si>
  <si>
    <t>Crash from `NotoSansCJK-Regular.ttc@0x92a1f3` on Samsung Galaxy S7</t>
  </si>
  <si>
    <t>Samsung Galaxy S7
## Steps to Reproduce
1. Load web page that uses Noto Sans CJK (https: en.wikipedia.org wiki Noto fonts#CJK).
2. See if FxR crashes.
## Error Logs and Stack Traces
** Submitted crash report. (https: report index</t>
  </si>
  <si>
    <t>square-react-native-square-reader-sdk-56</t>
  </si>
  <si>
    <t>authorizeAsync crashes app (ANDROID)</t>
  </si>
  <si>
    <t>The app works perfectly fine when the authCode that is executed in authorizeAsync is incorrect or expired, but when it is correct the app crashes indefinitely. saw another issue which is identical with this one #19 but it was on IOS. have attached the logcat for this bug. am looking forward for any help. Thanks lot.</t>
  </si>
  <si>
    <t>LawnchairLauncher-lawnchair-1528</t>
  </si>
  <si>
    <t>Launcher crashes on swipe up (Google Messages)</t>
  </si>
  <si>
    <t>When set the swipe up gesture for Google Messages to new conversation, the launcher crashes.
## Expected Behavior
It should launch Google Messages into the new conversation screen
## Actual Behaviour
The launcher crashes
## Steps to Reproduce
1. Add Google Messages to the home screen
2. Go into the swipe gesture option on that icon
3. Select Messages, new conversation.
4. Try swipe up on the icon
&lt;!--- Include as many relevant details about the environment you experienced the bug --&gt;
Device: Samsung Galaxy J8
Android version: Android Oreo 8.0.0
Launcher version: 2.0 2027-ci-alpha
Rom: Samsung Experience 9.0</t>
  </si>
  <si>
    <t>terl-lazysodium-android-19</t>
  </si>
  <si>
    <t>Fatal signal 11 (SIGSEGV) when calling crypto_sign_detached</t>
  </si>
  <si>
    <t>believe this is related to #16 getting the same crash, but when calling crypto sign detached with version 3.6.0. think its another case of int vs long.
This only crashes on Android, with lazysodium-java it works.
--------- beginning of crash</t>
  </si>
  <si>
    <t>2019-04-23</t>
  </si>
  <si>
    <t>commons-app-apps-android-commons-2917</t>
  </si>
  <si>
    <t>App adds space at end of filename sometimes</t>
  </si>
  <si>
    <t>From user on our FB page:
2. very often the app will add space at the end of the filename. since commons admin able to quickly move and replace. but the app should probably make the check and remove any spaces appearing right before the extension abc .jpg abc.jpg
This is probably v2.10.2 since both beta and prod Play Store versions are on it, and she mentioned she recently reinstalled the app. Hopefully she ll submit crash report for crash that she mentioned, then we can get her Android version etc without having to ask her to find and repeat everything.</t>
  </si>
  <si>
    <t>mathisdt-sdbviewer-7</t>
  </si>
  <si>
    <t>SDB Viewer crashed when I tried to access the Settings section.</t>
  </si>
  <si>
    <t>The users should be able to access Settings section on the SDB Viewer Application.
When tried to click on settings in SDB Viewer, the application gave an error and crashed immediately.
How to reproduce
Open the SDB Viewer app.
Then click on the Settings.
And you will see that the application crashes immediately.
App version: 1.3
Operating system: Android 5.1.1
Recording Of The Bug</t>
  </si>
  <si>
    <t>Animagia-Animagia-Android-56</t>
  </si>
  <si>
    <t>Files fragment crash</t>
  </si>
  <si>
    <t>open files fragment from menu
quickly open another fragment from menu (before files fragment has finished loading links)
App will crash.</t>
  </si>
  <si>
    <t>2019-04-22</t>
  </si>
  <si>
    <t>osmdroid-osmdroid-1322</t>
  </si>
  <si>
    <t>ItemizedOverlayWithFocus crash when very long description having no space</t>
  </si>
  <si>
    <t>## Issue Type
## Description and or steps code to reproduce the problem
Make very long description without any space. It will try to break the string into several lines.
However, current code crashes in draw() method.
for (int 300 i++)
items.add(new OverlayItem( Title description, new
public boolean int index, final OverlayItem item)
public boolean int index, final OverlayItem item)
### If it bug, version(s) of android this affects:
### Version of osmdroid the issue relates to:</t>
  </si>
  <si>
    <t>deltachat-deltachat-android-863</t>
  </si>
  <si>
    <t>Latest fdroid version crashes on android 4.4 when opening a chat</t>
  </si>
  <si>
    <t>latest deltachat-android version (0.300.0) crashes when try to open chat.
This does not happen when use the 0.201.0 gplay version from github.</t>
  </si>
  <si>
    <t>naxa-developers-MNE-Android-70</t>
  </si>
  <si>
    <t>hasEndDatePassed crashes on null date input</t>
  </si>
  <si>
    <t>ankidroid-Anki-Android-5287</t>
  </si>
  <si>
    <t>Deleting first item with multi-select causes Ankidroid to crash</t>
  </si>
  <si>
    <t>###### Reproduction Steps
1. Using the new multi-select feature (#4839), select the first note in the card browser
2. Delete the note
###### Expected Result
The note deletes successfully
###### Actual Result
###### Debug info
Debugging on my device it appears to be timing issue. If break before the query in Card.load then the delete is successful. My suspicion is the UI is attempting to update the card after it been deleted, but before the UI has been notified it deleted.
Caused by: No card with id 1555877685688
Caused by: No card with id 1555877685688
have searched for similar existing issues here and on the user forum</t>
  </si>
  <si>
    <t>2019-04-21</t>
  </si>
  <si>
    <t>cgeo-cgeo-7533</t>
  </si>
  <si>
    <t>Move data dir to SD crashes the app</t>
  </si>
  <si>
    <t>Go to Settings System
Select to move the geocache data to the external SD
This was reported for the market version 2019.04.16 on Android 4.4.2 but seems also to happen on my Android device
Fix for this should target releas branch.
Not sue if this is an unfixed Targetsdk regression or something else.
Need to take deeper look next days, unless someone is faster.</t>
  </si>
  <si>
    <t>TM-CG-cmu1819-70</t>
  </si>
  <si>
    <t>ListPhoto crashes when the album its empty</t>
  </si>
  <si>
    <t>square-okhttp-4969</t>
  </si>
  <si>
    <t>App crash at start up on Android 8.0</t>
  </si>
  <si>
    <t>Android Studio: 3.3.2
Device OS: 26
Kotlin version: 1.3.30
Gradle wrapper: 4.10.1
Steps to reproduce:
1. Create new project using Android Studio, set the minimal sdk level to 26, and check Use AndroidX artifact
2. Without changing anything, add this line to the app dependency
3. Run the app on Android 8.0 (SDK 26)
The app will crash when starting up, with this stacktrace
... 12 more
... 15 more
But this crash will not happen on device running Android 9.0, or on the same 8.0 device but this is added in the gradle
Is this bug?</t>
  </si>
  <si>
    <t>react-native-camera-react-native-camera-2220</t>
  </si>
  <si>
    <t>Android app crashed when turn on-off camera flash light.</t>
  </si>
  <si>
    <t>Android app is crashing when trying
to turn on-off camera flash in my one plush5 device.
It is working fine in iOS and other Android devices.</t>
  </si>
  <si>
    <t>2019-04-20</t>
  </si>
  <si>
    <t>7LPdWcaW-GrowTracker-Android-76</t>
  </si>
  <si>
    <t>Nokia Nokia 7.1 CTL sprout, HMD Global, 28, 2.4.1</t>
  </si>
  <si>
    <t>j4zib-Equalizer-2</t>
  </si>
  <si>
    <t>Doesn't work on few Devices</t>
  </si>
  <si>
    <t>Even after implementing everything correctly, this app still crashes on few devices. can find the cause of these crashes.
The app crashes on Initialization of effects and also on some methods like setBandLevel which are surrounded by try catch.
Any help will be really appreciated.</t>
  </si>
  <si>
    <t>mendhak-gpslogger-738</t>
  </si>
  <si>
    <t>After newest update application crashes instantly</t>
  </si>
  <si>
    <t>updated the app yesterday (Google Play store) to version 101, and now the application crashes just after clicking the icon (I sent out the standard crash report from my phone). Previous version was working fine (not sure which one it was, but have automatic updates enabled, so assume it was version 100).
Android 9, Pixel 3. have custom profiles which are being changed using Tasker.
just checked and it looks like the service is still working (it sends out the data to my URL), just can access the UI.</t>
  </si>
  <si>
    <t>2019-04-19</t>
  </si>
  <si>
    <t>microsoft-EmbeddedSocial-Android-SDK-119</t>
  </si>
  <si>
    <t>java.lang.NoSuchMethodError: No virtual method isAssignableFrom()</t>
  </si>
  <si>
    <t>After doing the latest OneBusAway release build and updating from v2.4.4 to v2.5, seeing crash after updating the app, which seems to trigger registration for Embedded Social push notifications (if you re logged in with an Embedded Social account).
Here the stack trace:
When doing the release and trying to obfuscate via Proguard, was getting the following warning that was blocking the build:
So, in this commit (https: github.com OneBusAway onebusaway-android pull 873 commits added the following to our Proguard rules:
This lets me build the project, but then results in the above runtime exception.
After talking with acrown-msft it looks like the ES SDK uses ES Java API library (https: github.com Microsoft which uses an older version of REST library (https: github.com Azure which is using an older version of Guava (18). OBA Android is stripping out this older version of Guava in favor of v26, which is being used by Firebase and other OBA dependencies. As result, we get runtime error because this method doesn existing in v26 of the Guava library.
acrown-msft is going to look at updating the ES Java API library dependency to use newer version of the REST library, which is using newer version of Guava.
**Steps to reproduce:**
1. Install OBA v2.4.4 https: github.com OneBusAway onebusaway-android releases tag v2.4.4
1. Log into EmbeddedSocial
1. Install OBA v2.5.0 https: github.com OneBusAway onebusaway-android releases tag v2.5.0
1. Start up app
**Device, Android, and Embedded Social SDK version:**
What version of the Embedded Social SDK did you use?
Embedded Social SDK
Samsung Galaxy S8+ Android 9.0</t>
  </si>
  <si>
    <t>2019-04-18</t>
  </si>
  <si>
    <t>OneBusAway-onebusaway-android-976</t>
  </si>
  <si>
    <t>After doing the latest OneBusAway release build and updating from v2.4.4 to v2.5, seeing crash after updating the app, which seems to trigger registration for Embedded Social push notifications (if you re logged in with an Embedded Social account).
Here the stack trace:
When doing the release and trying to obfuscate via Proguard, was getting the following warning that was blocking the build:
So, in this commit (https: github.com OneBusAway onebusaway-android pull 873 commits added the following to our Proguard rules:
This lets me build the project, but then results in the above runtime exception.
After talking with acrown-msft it looks like the ES SDK uses ES Java API library (https: github.com Microsoft which uses an older version of REST library (https: github.com Azure which is using an older version of Guava (18). OBA Android is stripping out this older version of Guava in favor of v26, which is being used by Firebase and other OBA dependencies. As result, we get runtime error because this method doesn existing in v26 of the Guava library. Additionally, all interactions with the ES server aren functional.
acrown-msft is going to look at updating the ES Java API library dependency to use newer version of the REST library, which is using newer version of Guava.
**Steps to reproduce:**
1. Install v2.4.4 https: github.com OneBusAway onebusaway-android releases tag v2.4.4
1. Log into EmbeddedSocial
1. Install v2.5.0 https: github.com OneBusAway onebusaway-android releases tag v2.5.0
1. Start up app
It crashes, and all interactions with ES server aren functional
**Device, Android, and Embedded Social SDK version:**
Samsung Galaxy S8+ Android 9.0</t>
  </si>
  <si>
    <t>koral---android-gif-drawable-649</t>
  </si>
  <si>
    <t>Fatal Exception: java.lang.UnsatisfiedLinkError: dlopen failed: "/mnt/expand/5488dc38-a612-4535-af81-7ca7e4875ce0/user/0/com.my_app/app_lib/libpl_droidsonroids_gif.so1.2.16" is 32-bit instead of 64-bit</t>
  </si>
  <si>
    <t>facing this crash in my app randomly, earlier was also facing the same, then tried with upgrading the lib version to 1.2.16 but still facing</t>
  </si>
  <si>
    <t>LawnchairLauncher-lawnchair-1506</t>
  </si>
  <si>
    <t>I can't put app into desktop</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</si>
  <si>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 Expected Behavior
&lt;!--- Tell us what should happen --&gt;
can put app into desktop# Actual Behavior
can delete desktop icon
&lt;!--- Tell us what happens instead --&gt;
## Steps to Reproduce
&lt;!--- Provide link to live example (screenshot recording etc..), or set of steps to reproduce the issue --&gt;
&lt;!--- Include as many relevant details about the environment you experienced the bug in --&gt;
&lt;!--- For example: --&gt;
&lt;!--- Device: Samsung Galaxy S10 beyondlte --&gt;
&lt;!--- Android version: 9.0.0 --&gt;
&lt;!--- Launcher version: 2.1.0 --&gt;
&lt;!--- Rom: OneUI 1.2 --&gt;
Launcher version: 2.0
&lt;!--- If possible, include logcat of the issue, otherwise remove this section--&gt;
&lt;!--- Navigate to Documents Lawnchair and share the most recent crash log from there. --&gt;</t>
  </si>
  <si>
    <t>TM-CG-cmu1819-53</t>
  </si>
  <si>
    <t>When selecting Your albuns app crash</t>
  </si>
  <si>
    <t>2019-04-17</t>
  </si>
  <si>
    <t>zoontek-react-native-localize-48</t>
  </si>
  <si>
    <t>Exception in HostObject::get: &lt;unknown&gt;</t>
  </si>
  <si>
    <t>Please read the following carefully before opening new issue. Your issue may
be closed if it doesn provide the informations required.
### Describe your environment
Target platform: Android
OS: 7, 8, 8.1 ,9
### How to repeat issue and example
expected it not to crash but it crashes on the above devices with:
Exception in HostObject::get: &lt;unknown&gt;
**Some context around this error:** This does not happen very often. Probably something like 1% of the time but it does result in an unrecoverable crash we think. We re seeing this reported through bugsnag and we don have device to reproduce this on. Thought it would be worth report anyway. Maybe you all have some context on this error.</t>
  </si>
  <si>
    <t>2019-04-16</t>
  </si>
  <si>
    <t>michael-rapp-ChromeLikeTabSwitcher-22</t>
  </si>
  <si>
    <t>Crash when fling-scrolling tabs and opening app switcher.</t>
  </si>
  <si>
    <t>This crash occurs when the user flings-to-scroll the list of tabs, and while the scrolling is still happening, invoke the system app switcher. It seems to occur consistently when flinging *up* so that the topmost tab comes into view.
guessing it has to do with saving restoring state (which is always tricky to do), especially while an animation is taking place.
Here an example:</t>
  </si>
  <si>
    <t>inaturalist-react-native-inat-camera-11</t>
  </si>
  <si>
    <t>Illegal argument exception crashes</t>
  </si>
  <si>
    <t>seeing few more crashes related to the Fragment Manager that are showing up on Xiaomi Redmi (cereus) device, LGE LG Style (k6b), and Huawei P8 (HWGRA) in the latest production build (2.0.1 build 22).</t>
  </si>
  <si>
    <t>2019-04-15</t>
  </si>
  <si>
    <t>cgeo-cgeo-7510</t>
  </si>
  <si>
    <t>Crash on map source change</t>
  </si>
  <si>
    <t>##### Detailed steps causing the problem:
Open live map
Click icon to change map source
Change e.g. from Google: Maps to Google: Satellite
##### Actual behavior after performing these steps:
Sometimes c:geo crashes. On next access of the map the source changed as desired though
It might be related to the map being centered to current position or not...not sure.
##### Expected behavior after performing these steps:
Normal switch of map source
##### Version of c:geo used:
##### Is the problem reproducible for you?
No, only sometimes but quite reproducible
##### System information:
Android 6.0.1 Cyanogenmod
Samsung S3 LTE
##### Other comments and remarks:
was not yet able to capture stacktrace but have seen some kind of logs in the ADB logcat. Not sure whether this is related. Was shown as Auth as sender.</t>
  </si>
  <si>
    <t>crdroidandroid-android_frameworks_base-223</t>
  </si>
  <si>
    <t>Heads-up crash with hidden clock</t>
  </si>
  <si>
    <t>google-ExoPlayer-5767</t>
  </si>
  <si>
    <t>DefaultTimeBar: time label changes twice for single seek action</t>
  </si>
  <si>
    <t>### REQUIRED Issue description
DefaultTimeBar seek does not increment decrement seek position accurately.
### REQUIRED Reproduction steps
Use DefaultTimeBar as seek time bar.
Set seek increment using increment)
Set video on pause (not necessary, but it is easier to see the problem)
Seek DefaultTimeBar with left right dpad keys.
time label changes once for every key press
time on the label changes from INITIAL TIME to INITIAL TIME +- INCREMENT
time label changes twice for single key press:
1) first time it changes for key press
2) second time it changes when buffering starts
time on the label both time is not as expected
As far as understood the problem occurs because:
1) is called twice for single keypress and it operates on different values, second time producing different result
2) incorrent calculations are probably related to scrubber having its own width.
### REQUIRED Link to test content
Any contend can be used, but video should have large enough duration (I tested on hours movie). When testing on short 30 seconds ad did not see this issue.
### REQUIRED full bug report captured from the device
No crash is involved.</t>
  </si>
  <si>
    <t>nextcloud-android-3902</t>
  </si>
  <si>
    <t>java.lang.SecurityException in DocumentsProvider</t>
  </si>
  <si>
    <t>### Actual behaviour
image thumbnails are not shown in DocumentsUI StoragePicker as result of
### Expected behaviour
no crash should happen
### Steps to reproduce
1. Navigate to folder containing images with DocumentsUI StoragePicker
### Environment data
Android version: 8.1
Device model: Android Emulator
Stock or customized system:
Nextcloud app version: dev-20190414
Nextcloud server version:
#### Web server error log
Insert your webserver log here
#### Nextcloud log (data nextcloud.log)</t>
  </si>
  <si>
    <t>nextcloud-android-3901</t>
  </si>
  <si>
    <t>java.lang.NullPointerException in DocumentsProvider</t>
  </si>
  <si>
    <t>### Actual behaviour
account is not shown in DocumentsUI as result of
### Expected behaviour
no crash should happen
### Steps to reproduce
1. Open StoragePicker after fresh deployment on device
### Environment data
Android version: 8.1
Device model: Android Emulator
Stock or customized system:
Nextcloud app version: dev-20190414
Nextcloud server version:
#### Web server error log
Insert your webserver log here
#### Nextcloud log (data nextcloud.log)</t>
  </si>
  <si>
    <t>samanzamani-PersianDate-19</t>
  </si>
  <si>
    <t>Issue with converting Gregorian date to Jalali</t>
  </si>
  <si>
    <t>When try to convert this specific date 2018 12 15 (Year Month Day) get crash saying
Here is an example that get crash with.
PersianDate pdate new
PersianDateFormat pdformater new PersianDateFormat(
Could you please advise me on this please?</t>
  </si>
  <si>
    <t>2019-04-14</t>
  </si>
  <si>
    <t>libgdx-libgdx-5609</t>
  </si>
  <si>
    <t>Controller listener + LwjglFrame causes crash</t>
  </si>
  <si>
    <t>#### Issue details
While controllers are connected, attempting to add controller listener in an app that also uses LwjglFrame causes the error:
Error creating joystick: Win32JoyStick:: initialize() &gt;&gt; failed to set cooperation level!
fatal error has been detected by the Java Runtime Environment:
EXCEPTION ACCESS VIOLATION (0xc0000005) at pc 0x00000000621c3e13, pid 31304, tid 0x00000000000027f4
JRE version: Java(TM) SE Runtime Environment (8.0 141-b15) (build 1.8.0 141-b15)
Java VM: Java HotSpot(TM) 64-Bit Server VM (25.141-b15 mixed mode windows-amd64 compressed oops)
#### Reproduction steps code
It little hard to isolate the code in my engine, but in default project, start your game this way:
new LwjglFrame(new MyGDXGame(), cfg) the configuration doesn matter
The app will crash at this point with the above error if any controllers are connected. Unplugging the controllers before starting the app will cause the app to work properly.
If you start your game using LwjglApplication instead of LwjglFrame, it will start normally with no other changes necessary:
new MyGDXGame(), cfg)
#### Version of LibGDX and or relevant dependencies
1.9.10. It may affect earlier versions but not sure.
Have to type this myself as it doesn print out anywhere. stepped through the GDX sources, and it crashes at The joystickPtr value of the OisJoystick is 0, which seems to me like it might be an invalid value but not sure.
String) line: 40
Ois.&lt;init&gt;(long) line: 33
Object line: not available native method
line: not available</t>
  </si>
  <si>
    <t>andyrozman-RileyLinkAAPS-116</t>
  </si>
  <si>
    <t xml:space="preserve">AAPS Crashes when processing UnabsorbedInsulin entries  </t>
  </si>
  <si>
    <t>It crashes at
if 2000) atechDateTime is null
see that UnabsorbedInsulin entryType It is not getting decoded but it is getting marked as should it be marked or it does need to get decoded?</t>
  </si>
  <si>
    <t>khalid-hussain-HisnulMuslim-63</t>
  </si>
  <si>
    <t>Invalid SQL query: table not found</t>
  </si>
  <si>
    <t>The app crashes upon starting up. The following is from Logcat:
--------- beginning of system
The main cause of the problem is probably the following line:
This can be resolved by changing the line (https: github.com khalid-hussain HisnulMuslim blob app src main java com khalid hisnulmuslim database to:
DB PATH String.format( data data %s databases packageName)
This leaves us with the following:
Now it can find the table required.</t>
  </si>
  <si>
    <t>2019-04-13</t>
  </si>
  <si>
    <t>SecUSo-privacy-friendly-netmonitor-68</t>
  </si>
  <si>
    <t>crash on startup in old Android</t>
  </si>
  <si>
    <t>(possibly related to #57 Using Net Monitor 2.0 on Android 4.2.1 with Google Nexus phone. The first time startup crashes after the first couple of startup information screens. Further attempts to start the app crash immediately. If the app data is cleared then the first couple of screens will display again before the crash. The message is Unfortunately, Net Monitor has stopped. In developer mode get no additional messages.
This is very old version of Android, many apps on F-droid indicate Incompatible Perhaps that is the fix, but hopefully not. On other phones am using Net Monitor 2.0 and it works fine on Android with Google Pixel and on Android 6.0.1 with Axon A1R. have not had the problem mentioned in #38 on Android 6.0. (Thanks for this great app.)</t>
  </si>
  <si>
    <t>LawnchairLauncher-lawnchair-1492</t>
  </si>
  <si>
    <t xml:space="preserve">Some Icons disappear on reboot with lawnchair v2 </t>
  </si>
  <si>
    <t>shut down my phone every night and on start in the morning, some icons have disappeared during the night.
it doesn happen when just reboot the phone. had the same issue with rootless pixel launcher.
## Expected Behavior
the icons configured on my home screens are there
## Actual Behavior
the icons configured on my home screens disappear randomly
## Steps to Reproduce
1. Shut down the phone
2. wait for while (one whole night)
3. Start the phone
Device: LG G6 h870
Android version: 8.0.0
Launcher version: alpha 2.0-1957
&lt;!--- If possible, include logcat of the issue, otherwise remove this section--&gt;
&lt;!--- Navigate to Documents Lawnchair and share the most recent crash log from there. --&gt;
&lt;!--- If you can see any crash logs in there, try using this --&gt;
&lt;!--- app (https: android apps-games to capture crash logs. --&gt;
your log here</t>
  </si>
  <si>
    <t>2019-04-12</t>
  </si>
  <si>
    <t>niclabs-adkintunmobile-androidclient-203</t>
  </si>
  <si>
    <t>HttpMultipartRequest.java line 146</t>
  </si>
  <si>
    <t>google-ExoPlayer-5757</t>
  </si>
  <si>
    <t>HLS VERSION 3  CONTENT NOT DOWNLOADING ON DEMO APP</t>
  </si>
  <si>
    <t>### Issue description
HLS file from the Music app is not downloading on the demo app.
when observed the HLS file from the demo content. it was version and mine is version 3.
### Reproduction steps
1. Replace the HLS link with the one sent via email in the HLS section of the Json File.
2. Run app and select the download Link for the selcted one you replaced.
3. you would notice no variations are shown and the Dialog just shows CANCEL and OK.
4. Selct OK, App crashes.
### Link to test content
Link Emailed with issue #1234, resent with issue #5757
### full bug report captured from the device
### Version of ExoPlayer being used
### Device(s) and version(s) of Android being used
No Specific Device
&lt;!-- DO NOT DELETE
validate template true
template path .github ISSUE TEMPLATE bug.md</t>
  </si>
  <si>
    <t>2019-04-11</t>
  </si>
  <si>
    <t>nextcloud-android-3881</t>
  </si>
  <si>
    <t>NPE in AuthenticatorActivity.onActivityResult</t>
  </si>
  <si>
    <t>It seems there are cases where the scan probably crashed and returns while the result won have the string we are looking for, so we need to mae this null-safe.</t>
  </si>
  <si>
    <t>hzi-braunschweig-SORMAS-Project-1055</t>
  </si>
  <si>
    <t>Task list crashes on mobile app</t>
  </si>
  <si>
    <t>Alfresco-alfresco-android-app-533</t>
  </si>
  <si>
    <t>ANDROID-724 [ACS] The application is crashing when re-opening the application after deleting the account</t>
  </si>
  <si>
    <t>JIRA https: issues.alfresco.com jira browse ANDROID-724</t>
  </si>
  <si>
    <t>maks-MGit-450</t>
  </si>
  <si>
    <t>Git config user section name is incorrect</t>
  </si>
  <si>
    <t>After setting name and email, git commit crashed. The error report asked me to set name and email of the user. The raw config file had section name After changed the section name to user git commit started working fine.
The problem seems to be in the following line:</t>
  </si>
  <si>
    <t>awslabs-aws-mobile-appsync-sdk-android-146</t>
  </si>
  <si>
    <t>fix bug NPE at ApolloServerInterceptor</t>
  </si>
  <si>
    <t>*Issue #, if available:*
*Description of changes:*
Fix potential crash due to NPE at HttpCall object
By submitting this pull request, confirm that you can use, modify, copy, and redistribute this contribution, under the terms of your choice.</t>
  </si>
  <si>
    <t>react-native-geolocation-react-native-geolocation-23</t>
  </si>
  <si>
    <t>Permissions and requestAuthorization</t>
  </si>
  <si>
    <t>Android Studio: 3.3
Android: APi 25 nexus 5X (simu)
When you call from Android you get error screen. maybe this method is only intended for iOS
## Reproducible Demo
Just adding this line will get it to crash
## Additional Question
In the documentation you can see
Android API 18 Positions will also contain mocked boolean to indicate if position was created from mock provider.
Android API 23 Requires an additional step to check for, and request the ACCESS FINE LOCATION permission using the PermissionsAndroid API. Failure to do so may result in hard crash.
But as it is the library is asking for the permissions itself so we don need to do anything more than just call like in the integrated version from before no</t>
  </si>
  <si>
    <t>TeamNewPipe-NewPipe-2280</t>
  </si>
  <si>
    <t>Captions / Subtitles cause NPE Crash</t>
  </si>
  <si>
    <t>it is the last code, am using ExoPlayer 2.9.6.
When try to switch captions, app crashes.
Here is the crash log. Please help. Thank you.</t>
  </si>
  <si>
    <t>UriahShaulMandel-BaldPhone-11</t>
  </si>
  <si>
    <t>[Alarms] some improvements &amp; a tiny bug</t>
  </si>
  <si>
    <t>when creating new alarm, button (beside Only once *) to activate all weekdays at once like available at the Pills may ease the things for some people.
sorting the alarms at the overview by their next time they will ring (and not by their creation time) may be reasonable.
can imagine that some may ask for an alphabetical sorting... but if, would just make this an optional feature and not the default.
when no name for an alarm is chosen viewing Alarm at the overview (or even setting it as its actual name?) as it is done for Timer may help to avoid confusion.
BaldPhone crashes when one-time alarm occurs while you are viewing the alarm screen and then try to edit the already deleted alarm (funny: turning the already deleted alarm on off works without any complains).
the best solution would be to also refresh the overview (as it is done when you manually delete an alarm) after an alarm was deleted automatically.</t>
  </si>
  <si>
    <t>alexvasilkov-GestureViews-139</t>
  </si>
  <si>
    <t>when i use 2.5.2 App crash,use 2.5.1 is ok</t>
  </si>
  <si>
    <t>mapbox-mapbox-plugins-android-925</t>
  </si>
  <si>
    <t>Add a check for incorrect zoom levels in OfflineDownloadActivity</t>
  </si>
  <si>
    <t>The test app crashes if slide the Max zoom slider dot to the left of the Min zoom dot and then try to save the region. This is because the max zoom number can be smaller than the min zoom number. Let add quick check in the floating action button onClick() to make sure that the zoom values are valid.</t>
  </si>
  <si>
    <t>2019-04-10</t>
  </si>
  <si>
    <t>react-native-camera-react-native-camera-2203</t>
  </si>
  <si>
    <t>Unfortunately, app has stopped</t>
  </si>
  <si>
    <t>followed all the installation instructions for Android, and now my app crashes at start: Unfortunately, app has stopped
runned adb logcat and this is what found in log messages:
How can resolve this issue</t>
  </si>
  <si>
    <t>react-native-camera-react-native-camera-2202</t>
  </si>
  <si>
    <t>Crash when switching from back camera to front camera</t>
  </si>
  <si>
    <t>**To Do First**
Did you try latest release?
Did you try master?
Did you look for existing matching issues?
**Description Current Behaviour**
On some iPhone models (iphone 7, iphone XS) switching from back to front camera after first recording session make the camera crash.
It possible to switch back and forth between cameras before recording, but when recording has started with the back camera, if you stop recording and try to switch to front camera, the camera component will crash (black screen)
We expect the camera not to crash!
**Steps to Reproduce**
clone this project (https: github.com phenixdigital
run it on iphone7 or later (it doesn crash on iphone 6)
try to switch camera
crash: black screen
**Does it work with Expo Camera?**
Yes, it is working properly with Expo 32.0.0</t>
  </si>
  <si>
    <t>forrestguice-SuntimesWidget-315</t>
  </si>
  <si>
    <t>crash when opening general settings</t>
  </si>
  <si>
    <t>When language is set to Esperanto and you open settings general, the application crashes. The problem occurs since version, which added displaying shadow length.
Errors from logcat:</t>
  </si>
  <si>
    <t>k9mail-k-9-4016</t>
  </si>
  <si>
    <t>App crashes when opening a thread in threaded view</t>
  </si>
  <si>
    <t>### Expected behavior
Not crashing, opening mail threads.
### Actual behavior
### Steps to reproduce
1. Open K9-Mail, ensure General settings -&gt; Display -&gt; Threaded view is enabled
2. Attempt to open any threaded message
3. Application crashes
K-9 Mail version: 5.700-SNAPSHOT (commit 4c14d842d)
Android version: Lineage OS 16.0
Account type (IMAP, POP3, WebDAV Exchange): IMAP</t>
  </si>
  <si>
    <t>nextcloud-android-3869</t>
  </si>
  <si>
    <t>IllegalStateException in UploadFilesActivity.onStop</t>
  </si>
  <si>
    <t>We hit this block in the fragment manager:
Can not perform this action after onSaveInstanceState
protected void onStop()
if (dialog null)
It is one of the top crashes for 3.5.x and will likely be for 3.6.0 (already showing up in the console)</t>
  </si>
  <si>
    <t>cgeo-cgeo-7482</t>
  </si>
  <si>
    <t>c:geo crashes with "no such table: cg_trail_history" after fresh install</t>
  </si>
  <si>
    <t>##### Detailed steps causing the problem:
fresh install of current (April 10) master brach on new device
run c:geo and open Map
##### Actual behavior after performing these steps:
c:geo crashes with log message no such table: cg trail history
##### Expected behavior after performing these steps:
##### Version of c:geo used:
today (April 10) master
##### Is the problem reproducible for you?
##### System information:
tested under API 21 (Android 5.0) with Google API enabled
##### Other comments and remarks:
table cg trail history got introduced by fix for #2958
why is the database update routine not called before opening the map what has to be done that it gets called before?</t>
  </si>
  <si>
    <t>openMF-android-client-1156</t>
  </si>
  <si>
    <t xml:space="preserve"> App crashes when clicking the upload button without selecting a file but filled name and description </t>
  </si>
  <si>
    <t>Without selecting file when upload is pressed, the app crashes.
**Steps to reproduce:**
Select any Client-&gt; Three dots -&gt; Documents -&gt; sign-&gt; fill name and description -&gt; Click upload
Select any Client-&gt; Three dots -&gt;Click any existing document -&gt; Click Update Document -&gt; Click upload
Upload should not happen
**Device and Android version:**
Samsung Galaxy J7 Prime(Nougat 7.0) stock rom
ezgif com-optimize (https: 35717580
ezgif com-gif-maker (https: 35717580</t>
  </si>
  <si>
    <t>2019-04-09</t>
  </si>
  <si>
    <t>google-ExoPlayer-5744</t>
  </si>
  <si>
    <t>Native crashes on Shield and MiBox 3 (Android 8.0) after ExoPlayer 2.9.1</t>
  </si>
  <si>
    <t>### REQUIRED Issue description
Native crashes on Nvidia Shield TV and MiBox on some 4K movies
### REQUIRED Reproduction steps
add the link to the demo app, start the player and around hour it should happen
### REQUIRED Link to test content
Sent to dev.exoplayer gmail.com
### REQUIRED full bug report captured from the device
Sent to dev.exoplayer gmail.com
### REQUIRED Version of ExoPlayer being used
2.9.6 and early (assume all after 2.9.1)
### REQUIRED Device(s) and version(s) of Android being used
Nvidia Shield TV and MiBox (MDZ-16-AB), Android 8.0
&lt;!-- DO NOT DELETE
validate template true
template path .github ISSUE TEMPLATE bug.md</t>
  </si>
  <si>
    <t>LawnchairLauncher-lawnchair-1486</t>
  </si>
  <si>
    <t>Lawnchair crashes  on swipe down</t>
  </si>
  <si>
    <t>was trying Lawnchair with PowerShade on my vivo nex s, but when try to swipe down to pull notification (basic app activity) in powerShade, Lawnchair crashes.
PowerShade pull notification activity should start
**Steps to Reproduce**
Open gestures in Lawnchair
set PowerShade pull notification activity to start on swipe down
Swipe down on homescreen
Android version: 8.1.0</t>
  </si>
  <si>
    <t>cgeo-cgeo-7473</t>
  </si>
  <si>
    <t>UnsupportedOperationException on Android 4.3 (Google Pre Launch Report)</t>
  </si>
  <si>
    <t>On publishing new (beta) release Google Play automatically runs robo tests on some device.
This pre launch report now came back with crash report for an Android 4.3 device with the following stacktrace for beta version 2019.04.08-RC:
FATAL EXCEPTION: ControllerMessenger
Caused by: Can convert to color: type 0x2</t>
  </si>
  <si>
    <t>LawnchairLauncher-lawnchair-1474</t>
  </si>
  <si>
    <t>Lawnchair Crashes on Reboot</t>
  </si>
  <si>
    <t>&lt;!--- Provide general summary of the issue in the Title above --&gt;
&lt;!--- Check if your issue or something similar has been reported before (if yes upvote comment there) --&gt;
&lt;!--- Please not that we don accept any bug reports for Versions 1.* anymore --&gt;
&lt;!--- Provide more detailed introduction to the issue itself, and why you consider it to be bug --&gt;
On first unlocking my phone after reboot, crash dialogue will appear, before asking if want to use Lawnchair as my default launcher.
## Expected Behavior
&lt;!--- Tell us what should happen --&gt;
Lawnchair works as normal on startup.
## Actual Behavior
&lt;!--- Tell us what happens instead --&gt;
Lawnchair crashes on first phone unlock after reboot, followed by dialogue asking if you want to use it as default launcher.
## Steps to Reproduce
&lt;!--- Provide link to live example (screenshot recording etc..), or set of steps to reproduce the issue --&gt;
1. Reboot phone
2. Unlock for first time
3. Lawnchair crash dialogue will appear
4. Then prompted to choose default launcher
&lt;!--- Include as many relevant details about the environment you experienced the bug in --&gt;
&lt;!--- For example: --&gt;
&lt;!--- Device: Samsung Galaxy S10 beyondlte --&gt;</t>
  </si>
  <si>
    <t>2019-04-08</t>
  </si>
  <si>
    <t>LawnchairLauncher-lawnchair-1466</t>
  </si>
  <si>
    <t>Force close in widgets view</t>
  </si>
  <si>
    <t>run into repeatable force closes with Lawnchair v2.0-1947-ci-calpha while adding widgets to the homescreen. Using Google Pixel XL running latest Pie. can add widgets if am fast enough though.
## Expected Behavior
App should not crash.
## Actual Behavior
## Steps to Reproduce
1. Longpress homescreen
3. Scroll through the list for about 30-60sec
Device: Google Pixel XL
Android version: 9.0.0 (04 2019 update)
Launcher version: v2.0-1947-ci-calpha
ROM: Stock, no root</t>
  </si>
  <si>
    <t>timusus-Shuttle-456</t>
  </si>
  <si>
    <t>Shuttle player crashes when trying to create new playlists</t>
  </si>
  <si>
    <t>#### Expected behavior
Users should be able to be able to create new playlists in the app successfully without the app crashing.
#### Actual behavior
The application closes and crashed when user is saving newly created playlist.
#### How to reproduce
Download and install app.
Launch the app.
Grant all permissions.
Navigate to the list of songs, then click on the 3-horizontal dots in front of song.
Click on the Add To option and select Playlist.
Click on New and type in the name of your desired playlist, then click on OK
It will be observed that the app crashes and closes. Hence, the bug.
Operating system: android version 6.0
#### Recording Of The Bugs</t>
  </si>
  <si>
    <t>2019-04-07</t>
  </si>
  <si>
    <t>TM-CG-cmu1819-32</t>
  </si>
  <si>
    <t>Server loop crash when running connector tests on client</t>
  </si>
  <si>
    <t>2019-04-06</t>
  </si>
  <si>
    <t>inaturalist-react-native-inat-camera-9</t>
  </si>
  <si>
    <t>Crash from camera fragment / null pointer exception</t>
  </si>
  <si>
    <t>On Seek build 19, few users are experiencing crashes related to null pointer exception. So far, all users are running Android 8.0 on Samsung Galaxy devices.
Stack trace below:</t>
  </si>
  <si>
    <t>2019-04-05</t>
  </si>
  <si>
    <t>forrestguice-SuntimesWidget-309</t>
  </si>
  <si>
    <t>appcrash (world map dialog)</t>
  </si>
  <si>
    <t>The app crashes at the World Map dialog if the Sun Data Source is something other than time4a-*. The older sources don support position (null) and the dialog fails to check for compatibility.</t>
  </si>
  <si>
    <t>awslabs-aws-mobile-appsync-sdk-android-144</t>
  </si>
  <si>
    <t>App crashes on API level below 21</t>
  </si>
  <si>
    <t>**Describe the bug**
App crashes on API level 19.
Caused by: Expected Android API level 21+ but was 19
Initialize in Activity:
complete the following information):**
**Device Information (please complete the following information):**
Device: Samsung Tab
Android Version: 4.4.4</t>
  </si>
  <si>
    <t>vhaudiquet-blade-player-33</t>
  </si>
  <si>
    <t>The app crashes during the playlist creation process using Spotify</t>
  </si>
  <si>
    <t>#### Actual behavior
The app crashes when use Spotify to create new playlist.
#### Expected behavior
The users should be able to create new playlist by selecting Spotify without the app crashing.
#### How to reproduce
1. Open the app and choose song.
2. Click on (Three dots Vertical ellipsis) at the right side of the song.
3. Then click Add to playlist
4. After that click on New Playlist
5. Then tap on the Local to locate your playlist path and select Spotify.
6. Give name and click ok.
7. See error.
App version: v1.4.0.1
Device: Samsung A5
Operating system: Android 6.0.1
#### Recording Of The Bug</t>
  </si>
  <si>
    <t>2019-04-04</t>
  </si>
  <si>
    <t>mapbox-mapbox-plugins-android-908</t>
  </si>
  <si>
    <t>Place Picker crashes on Android X</t>
  </si>
  <si>
    <t>There is known issue with the AndroidX migration tool in Android Studio that fails to update the XML for BottomSheetBehavior in projects. (See Stack Overflow discussion (https: stackoverflow.com questions 51617186
Unfortunately our Places Plugin was not spared by this issue and will crash if you use the Place Picker on AndroidX.
&lt;summary&gt;Example crash:&lt; summary&gt;
Fortunately this should be an easy fix since we only need to modify this line of our XML:</t>
  </si>
  <si>
    <t>iyegoroff-react-native-image-filter-kit-15</t>
  </si>
  <si>
    <t>[Android] Error during executing gradle packaging... located in MainReactPackagerWithFrescoCache.java</t>
  </si>
  <si>
    <t>&lt;!-- Please specify your mobile platform(s) and react-native versions. Also check https: github.com iyegoroff if your rnifk version corresponds with your rn version. --&gt;
&lt;!-- Getting No ViewManager defined for class error most likely means that you didn link the module or something is wrong with your build and or configuration. Try cleaning the project and check if your configuration matches with https: github.com iyegoroff blob master manual installation.md instruction. --&gt;
have been linked the resources of package to android through react-native link
And started to run app react-native run-android but during executing phase an error was occured.
What went wrong:
Execution failed for task
Compilation failed see the compiler error output for details.
&lt;!-- If your app crashed due to please attach crash log. --&gt;</t>
  </si>
  <si>
    <t>inaturalist-react-native-inat-camera-7</t>
  </si>
  <si>
    <t>Crash when exiting camera</t>
  </si>
  <si>
    <t>In Seek build 19,
1. Open the AR camera
1. Tap the in the upper left to get this crash:
Curious if anyone can replicate this. Seems to come from though.</t>
  </si>
  <si>
    <t>vhaudiquet-blade-player-32</t>
  </si>
  <si>
    <t>The app is crashing for deleting the newly/latest created playlist</t>
  </si>
  <si>
    <t>#### Actual behavior
The application crashes when try to delete the newly created playlist.
#### Expected behavior
The users should be able to delete the playlist successfully without the crashing.
#### How to reproduce
1. Open the app and go to the Songs menu.
2. Choose song and click on (Three dots Vertical ellipsis) at the side of the song.
3. Then click on Add to playlist
4. After that click on the New Playlist to create new playlist.
5. Give name and click ok. (Your playlist will successfully be created)
6. Then delete your newly created playlist.
7. See error.
App version: v1.4.0.1
Device: Samsung A5
Operating system: Android 6.0.1
#### Recording Of The Bug</t>
  </si>
  <si>
    <t>2019-04-03</t>
  </si>
  <si>
    <t>AmazMod-AmazMod-463</t>
  </si>
  <si>
    <t>Amazamod service has stopped</t>
  </si>
  <si>
    <t>Hi and thank you for your work
encountered crash of amazmod just after the installation and each time try to launch the service.
amazmod service: 1890
Here is the logcat, hope it can help:</t>
  </si>
  <si>
    <t>awslabs-aws-mobile-appsync-sdk-android-140</t>
  </si>
  <si>
    <t>Crash due CursorWindow exception which results in a OutOfMemoryError</t>
  </si>
  <si>
    <t>We ve noticed sporadic bug where our app crashes with the following stack trace when the app is in the middle of download (from CDN links we receive after user pool authentication with AWS appsync)
Steps to reproduce the behavior:
1. The app authenticates via Appsync with specific user pool
2. graphql query is run to retrieve CDN links which have an expiry date on them
3. download tries to kick off
4. crash occurs
5. note: this is an app designed for kiosk like behaviour so it is running in the foreground most of the time for hours, memory analysis does not show significantly increasing memory usage
complete the following information):**
AppSync SDK Version: 2.6.21 testing with 2.7.8 now
**Device Information (please complete the following information):**
Device: GloryStar Nebula Tablet
Android Version: 5.1.1
We ran the app in strict mode for analysis and saw multiple warnings
We instantiate new instance of the aws client whenever we need to authenicate or make query
fun Context, serverRegion: String, serverUrl: String, userPool: CognitoUserPool): AWSAppSyncClient
run query for the content manifest which gives us our cdn links to download and thats about it, are we meant to be running cleanup step for the client?
override fun onFailure(e: ApolloException)</t>
  </si>
  <si>
    <t>paceuniversity-cs389s2019team5-13</t>
  </si>
  <si>
    <t>fixed bug in controller</t>
  </si>
  <si>
    <t>Fixed two bugs with the controller:
If student attempts to check in before any sessions have been created, the app would crash due to null pointer exception. This was resolved on line 73.
Students were able to check in multiple times before, overwriting their previous timestamp. This was changed in the app to only check them in if they haven checked in already.</t>
  </si>
  <si>
    <t>2019-04-02</t>
  </si>
  <si>
    <t>square-okhttp-4858</t>
  </si>
  <si>
    <t>Samsung devices : SecCertPathValidatorSpi crash</t>
  </si>
  <si>
    <t>Hello am using OkHttp and retrofit in my network layer and applied certificate pinner like below code
CertificatePinner certificatePinner new
got the below crash in fabric in **Samsung devices only** and in variety of OS version but it mostly happening in version</t>
  </si>
  <si>
    <t>datatheorem-TrustKit-Android-53</t>
  </si>
  <si>
    <t>domain-config without pin set results in ConfigurationException: Policy contains 0 domains to pin</t>
  </si>
  <si>
    <t>**Describe the bug**
&lt;domain includeSubdomains false &gt;localhost&lt; domain&gt;
&lt;domain includeSubdomains false &gt;10.0.2.2&lt; domain&gt;
&lt;domain includeSubdomains false &gt;10.0.3.2&lt; domain&gt;
&lt;trustkit-config enforcePinning false
Exception stack trace from logcat:
Put above XML config block for clear text traffic in an RN (version 0.58) app with TrustKit module (v1.1.1) installed, run react-native run-android to install and launch it in an Android emulator. The app will crash upon launch and the above exception messages can be read via logcat.
Domains without pin set should just be ignored as promised in the release notes of version 1.1.1.
App target SDK: 28.0.3
App language: JS React Native
Android version to reproduce the bug: Andorid 9.0.</t>
  </si>
  <si>
    <t>getodk-collect-2979</t>
  </si>
  <si>
    <t>App crashes if the user opens some GeoWidget with Google Map and immediately changes device orientation</t>
  </si>
  <si>
    <t>#### Software and hardware versions
Collect v1.21 beta
#### Problem description
App crashes if the user opens some GeoWidget with Google Map and immediately changes device orientation
#### Steps to reproduce the problem
1. User opens some Geo Widget with map
2. User immediately changes device orientation
3. App crashes
#### Expected behavior
Collect does not crash</t>
  </si>
  <si>
    <t>2019-04-01</t>
  </si>
  <si>
    <t>jMonkeyEngine-jmonkeyengine-1058</t>
  </si>
  <si>
    <t>native Bullet crash while removing body from BroadphaseType.SIMPLE PhysicsSpace</t>
  </si>
  <si>
    <t>hope to use in my game because believe it is more efficient in some situations. However, in the current master branch, the test app below crashes in native Bullet while attempting to remove body1 from physicsSpace
The app completes successfully using JBullet.
The app completes successfully if setBroadphaseType() is commented out, in which case DBVT broadphase is used instead of SIMPLE.
The app completes successfully if body2 isn added to physicsSpace
The app completes successfully if body1 is removed *before* the physics is stepped instead of afterward.
Test case for JME issue #10xx: native Bullet crash while removing rigid
body from PhysicsSpace.
If successful, the app will complete normally.
author Stephen Gold sgold sonic.net
public class TestIssue10XX
private volatile boolean hasStepped false
private PhysicsRigidBody body1
private PhysicsRigidBody body2
private PhysicsSpace physicsSpace
public static void main(String arguments)
Application application new TestIssue10XX()
public void simpleInitApp()
BulletAppState bulletAppState new BulletAppState()
CollisionShape shape new
body1 new 1f)</t>
  </si>
  <si>
    <t>aws-amplify-aws-sdk-android-842</t>
  </si>
  <si>
    <t>Got "Could not create epoll instance: Too many open files" error after ~150 unsuccessful reconnecting attempts</t>
  </si>
  <si>
    <t>**Describe the bug**
When AWSIotMqttManager tries to reconnect, after 100-300 attempts to reconnect the app crashes with this error:
Could not create epoll instance: Too many open files
Steps to reproduce the behavior:
1. Succesfully connect the AWSIotMqttManager with AWS with autoReconnect enabled
use this settings:
2. Turn off the internet connection
3. AWSIotMqttManager tries to reconnect, after 100-300 attempts to reconnect the app crashes with the following errors:
**Which AWS service(s) are affected?**
AWSIotMqttManager should continue to reconnect without errors
**Environment Information (please complete the following information):**
AWS Android SDK Version:
Device: Huawei Watch
Android Version: 8.0
Specific to simulators: no
The wearOS devices are used in the environment with specific network setup which causes huge number of reconnect attempts. So, from time to time the app crashes.
wondering how to fix or avoid such crashes?</t>
  </si>
  <si>
    <t>2019-03-31</t>
  </si>
  <si>
    <t>UBCO-COSC499-Winter-2018-Term-1-2-project-12-bus-advisory-offline-real-time-bus-location-tracker-47</t>
  </si>
  <si>
    <t>Can't run firebase-admin on other machines</t>
  </si>
  <si>
    <t>**Describe the bug**
clear and concise description of what the bug is.
firebase-admin crashes with failure to get credentials from initializeapp()
Steps to reproduce the behavior:
1. Go to ...
2. Run ....
sls offline -c
3. Run ....
postman get request to http: localhost:4000 buslocation ubco-a
4. See error
clear and concise description of what you expected to happen.
not to crash when run on other computers
If applicable, add screenshots to help explain your problem.
**Desktop (please complete the following information):**</t>
  </si>
  <si>
    <t>CMPUT301W19T11-Atheneum-195</t>
  </si>
  <si>
    <t>App Crashes after Borrower Makes a Request Sometimes</t>
  </si>
  <si>
    <t>**Describe the bug**
clear and concise description of what the bug is.
Steps to reproduce the behavior:
1. Attempt to request book
2. Click request button
3. App crashes
After the request has been made, the request activity should be finished not crash and then go to main.
**Smartphone (please complete the following information):**
Huawei Nova Plus
The request lifecycle flow is very strange. press back and end up in book ve already requested when trying to search for new books to request.</t>
  </si>
  <si>
    <t>2019-03-30</t>
  </si>
  <si>
    <t>cgeo-cgeo-7437</t>
  </si>
  <si>
    <t>App crashes on specific OC caches</t>
  </si>
  <si>
    <t>##### Detailed steps causing the problem:
Enable oc.de service
Try to search by geocode for OC134AC
App crashes hangs during loading
##### Version of c:geo used:
##### Other comments and remarks:
Crash is at line 524 in OkapiClient.java line
response.path(CACHE ATTRNAMES), (ArrayNode) response.get(CACHE ATTR ACODES)))
response.get(CACHE ATTR ACODES).toString() is
Seems pretty obvious that dictionary cannot be casted to array list. wonder, am the first one who noticed?</t>
  </si>
  <si>
    <t>fossasia-phimpme-android-2700</t>
  </si>
  <si>
    <t>App crashes when changing the orientation in dimension compress</t>
  </si>
  <si>
    <t>**Describe the bug**
App is crashing when changing the orientation in the dimension compress section.
1. Select any image and click on compress
2. Click on By dimension button
3. Change the orientation.
App should not crash.
&lt;!-- Please complete the following information --&gt;
Device Redmi 5A
Android Version 7.1.2
**Would you like to work on the issue?**</t>
  </si>
  <si>
    <t>moneymanagerex-android-money-manager-ex-1341</t>
  </si>
  <si>
    <t>App crashed when I clicked the plus sign to on Budget list.</t>
  </si>
  <si>
    <t>### Actual behavior
The app crashed when clicked on the plus sign in the project list
### Expected behavior
expected to be able to write my budget list when clicked on the plus icon
### How to reproduce
Download and launch the app
Click the menu button on the top left side
locate Budget in the list of the features
Click on it. new page will open.
Below the new page by the right, you will find plus icon colored green.
Click on that Icon and note the crash
### Reproducing the bug
***Device used*** Teckno Spark K7
***Version*** Android 7.0
### the log you requested.</t>
  </si>
  <si>
    <t>2019-03-29</t>
  </si>
  <si>
    <t>jareddlc-OpenFit-64</t>
  </si>
  <si>
    <t>Openfit crashes when receiving call</t>
  </si>
  <si>
    <t>When receiving call, openfit app crashes and disconnects Bluetooth connection.</t>
  </si>
  <si>
    <t>SelfLender-react-native-biometrics-24</t>
  </si>
  <si>
    <t>This package causes the app to crash on certain devices. ll put the list below. Thanks
Samsung Galaxy J4+ (SM-J415FN)
Samsung Galaxy J3 2017 (SM-J330FN)
Samsung A3 2015 (SM-A300FU)</t>
  </si>
  <si>
    <t>mvysny-aedict-872</t>
  </si>
  <si>
    <t>Aedict Reliable Kanji Search Crash</t>
  </si>
  <si>
    <t>1. Google Pixel
2. Android Beta
3. https: www.youtube.com watch?v N7fydlgWrf0
4. Aedict Kanji Search reliably crashes whenever 25 or more strokes are written in.</t>
  </si>
  <si>
    <t>2019-03-28</t>
  </si>
  <si>
    <t>AmazMod-AmazMod-452</t>
  </si>
  <si>
    <t>Error when there is no notification count in JSON file</t>
  </si>
  <si>
    <t>-------- beginning of system
SELinuxMMAC( 746): Error with hashing seapp contexts.
SELinuxMMAC( 746): seapp contexts: open failed: ENOENT (No such file or directory)
SELinuxMMAC( 746): at Method)
SELinuxMMAC( 746): at Method)
SELinuxMMAC( 746): ... 13 more
--------- beginning of crash
libc 787): Fatal signal (SIGABRT), code -6 in tid 787 (patchoat)
746): Ignoring protectedNetwork 10
746): Ignoring protectedNetwork 11
746): Ignoring protectedNetwork 12
NetdConnector( 746): NDC Command bandwidth enable took too long (1940ms)
746): Ignoring setImeWindowStatus due to an invalid token. uid:1000 token:null
746): no geocoder provider found
746): FLP HAL not supported
746): Unable to bind FLP Geofence proxy.
746): Hardware not supported.
RemotePrintSpooler( 746): Error removing obsolete print jobs
RemotePrintSpooler( 746): Cannot get spooler!
ActivityThread( 746): Failed to find provider info for downloads</t>
  </si>
  <si>
    <t>nextcloud-android-3800</t>
  </si>
  <si>
    <t>Android app crashes while selecting pictures menu</t>
  </si>
  <si>
    <t>### Actual behaviour
This has been problem with nextcloud as long as remember. can enter the pictures menu from main menu. Or whatever that is in English locale, mine is localized to Finnish. The app always crashes when select it. ve never seen what behind the menu.
### Expected behaviour
### Steps to reproduce
1. On Android, past several versions, now at
2. Start NextCloud app
3. Go to main menu, select Pictures -&gt; crash
### Environment data
Stock or customized system:
Nextcloud app version:
Nextcloud server version:
#### Web server error log
#### Nextcloud log (data nextcloud.log)
Problem is that don find such file data nextcloud.log But from application -&gt; settings -&gt; logs, here is the only suspicious line:</t>
  </si>
  <si>
    <t>getodk-skunkworks-crow-228</t>
  </si>
  <si>
    <t>Permission check lost when creating folders</t>
  </si>
  <si>
    <t>#### Software and hardware versions
Pixel XL API 28 (Andrloid 9.0)
Nexus 6P API 23 (Android 6.0)
#### Problem description
App crashed when we didn give it the permission to write the storage, see createODKDirs() and we do not have ODK Collect before.
#### Steps to reproduce the problem
install this app in your device first (without ODK Collect)
make sure it has no permission gained
the first time you launch this app, crash
#### Expected behavior
Add permission checks
#### Other information
Caused by: Cannot create directory: storage emulated share</t>
  </si>
  <si>
    <t>nextcloud-android-3799</t>
  </si>
  <si>
    <t>3.6.0 android crashes, does not start</t>
  </si>
  <si>
    <t>App does not start at all after update. It immediately crashes. How do send logs? My device is not rooted, so don get system logs.
RC1, device is oneplus5 with latest sw. Oxygen 9.0.4, Android</t>
  </si>
  <si>
    <t>CMPUT301W19T11-Atheneum-183</t>
  </si>
  <si>
    <t>Requesting a book crashes the app sometimes</t>
  </si>
  <si>
    <t>Requesting book crashes the app sometimes.
Steps to reproduce the behavior:
1. Go to Borrower from Home page
2. Hit FAB
3. Request any book
4. You may need to do this multiple times
think this is due to the some lifecycle thing related to one of the borrower pages.</t>
  </si>
  <si>
    <t>2019-03-27</t>
  </si>
  <si>
    <t>commons-app-apps-android-commons-2766</t>
  </si>
  <si>
    <t>App Crashing on Tablets</t>
  </si>
  <si>
    <t>App is crashing in Tablet, working fine on Phones
**Steps to reproduce:**
Launch the app in Tablet
**Device and Android version:**
Custom Tablet API 28
**Commons app version:**
**Would you like to work on the issue?**</t>
  </si>
  <si>
    <t>oliexdev-openScale-446</t>
  </si>
  <si>
    <t>App crashes when started</t>
  </si>
  <si>
    <t>Latest version of openScale crashes when loaded. OS is LineageOS 14.1
Error message follows.
Build version: 2.0.2</t>
  </si>
  <si>
    <t>deltachat-deltachat-android-793</t>
  </si>
  <si>
    <t>crash in mapbox</t>
  </si>
  <si>
    <t>cyBerta got the following crash by just opening the map using the map filtering branch. device is my nexus4 with android8.1 lineage</t>
  </si>
  <si>
    <t>4Q-s-r-o-call_log-3</t>
  </si>
  <si>
    <t>Example crash</t>
  </si>
  <si>
    <t>The example crashes when tap on the get all button on Android.
*** *** *** *** *** *** *** *** *** *** *** *** *** *** *** ***
Build fingerprint: samsung j1mini3gxw j1mini3gxw:5.1.1 LMY47V J105HXWU0ARD1:user release-keys
signal (SIGABRT), code -6 (SI TKILL), fault addr --------
Abort message: FATAL:flutter shell platform android platform view android jni.cc(77) Check failed:
r0 00000000 r1 00001e1d r2 00000006 r3 00000000
r4 b6f3be38 r5 00000006 r6 0000000b r7 0000010c
r8 becefdc4 r9 00000004 sl 00000001 fp a1868208
ip 00001e1d sp becefca8 lr b6d94735 pc b6db7f5c cpsr 600e0010
#14 pc 00088a45 system lib libandroid runtime.so JNIEnvi+22)
Tombstone written to: data tombstones tombstone 08
Flutter (Channel beta, v1.3.8, on Linux, locale fr FR.UTF-8)
Flutter version 1.3.8 at home me bin flutter flutter
Engine revision f4951df193
Dart version 2.2.1 (build 2.2.1-dev.0.0 571ea80e11)
Android toolchain develop for Android devices (Android SDK version 28.0.3)
Android SDK at home me Android Sdk
Android NDK location not configured (optional useful for native profiling support)
Platform android-28, build-tools 28.0.3
ANDROID HOME home me Android Sdk</t>
  </si>
  <si>
    <t>2019-03-26</t>
  </si>
  <si>
    <t>osmdroid-osmdroid-1299</t>
  </si>
  <si>
    <t>Zoom Button Crash in 6.1.0</t>
  </si>
  <si>
    <t>## Issue Type
## Description and or steps code to reproduce the problem
Plugging 6.1.0 into gradle to replace 6.0.3 in my App, all things so far seem fine.
All but the (standard) zoom buttons: These bottons relyably crash 100% of the time after app start. With plenty of stack trace which all seem repeations of this (one click creates hundreds and so far only checked manually):
Once the user has done some manual (gesture or in my App location bookmarks) zooming or location change, this does not happen any more. But when the user hits zoom directly after start it crashes relyably.
The stack traces seem to depend on Android version, on Android 4.2.2 get the following:
(which matches to the amount of output on Android where log is just to fast to keep the start of problems in Android Studio memory).
My Badge(r)s App, Android 4.2.2, checked here
### If it bug, version(s) of android this affects:
### Version of osmdroid the issue relates to:</t>
  </si>
  <si>
    <t>2019-03-25</t>
  </si>
  <si>
    <t>Intelehealth-Android-Mobile-Client-688</t>
  </si>
  <si>
    <t>Upload to Doctor Crashes</t>
  </si>
  <si>
    <t>When the app is updated from the old version to the new version, the app crashes due to null pointer issue.</t>
  </si>
  <si>
    <t>TheCacophonyProject-bird-monitor-26</t>
  </si>
  <si>
    <t>"Advanced" area causes app to crash if permissions haven't been granted</t>
  </si>
  <si>
    <t>Instead of crashing the required permissions should be requested. If the permissions aren available, the UI should indicate that this is the issue.</t>
  </si>
  <si>
    <t>deltachat-deltachat-android-782</t>
  </si>
  <si>
    <t>¿Random? crashing behaviors</t>
  </si>
  <si>
    <t>In normal use after the upgrade from. 101.1 to 0.200 and even in new installations of the last one, the ap shows some apparently random crashing.
The long is just from my phone in which the are just few crashes, but friends reports continuously crashing.
device samsung SM-G570M (on5xelteub)
android 8.0.0 (G570MUBU3CRK1,
memory 4M (0.86% free, 512M max)
app Delta Chat 0.200.0-fat
deltachat core version v0.41.0
sqlite version 3.26.0
sqlite thread safe
libetpan version 1.8
openssl version 1.0.1t
number of chats 15
number of chat messages 2408
messages in contact requests
number of contacts 67
database version 50
display name Richard ndez Castillo
entered account settings nauta.cu IMAP PLAIN SMTP PLAIN
used account settings nauta.cu AUTH NORMAL IMAP PLAIN SMTP PLAIN
configured sentbox folder Sent</t>
  </si>
  <si>
    <t>2019-03-24</t>
  </si>
  <si>
    <t>mgks-Android-SmartWebView-82</t>
  </si>
  <si>
    <t>Crashing on App Start</t>
  </si>
  <si>
    <t>**Crashing on App Start**
Every time start the App it crashes, this never happened to me before. Can the reason be that update Android Studio?
**Crash Log Building and Installing the App**
**Crash Log Starting the App**
--------- beginning of crash</t>
  </si>
  <si>
    <t>commons-app-apps-android-commons-2720</t>
  </si>
  <si>
    <t>RuntimeException while uploading image if the license if invalid</t>
  </si>
  <si>
    <t>While uploading media, if the license is somehow invalid we throw RuntimeException and as it is not handled, the app crashes
**Steps to reproduce:**
How can we reproduce the issue?
Provide invalid license while uploading image.
Caused by: Unrecognized license value: CC BY-SA
... 10 more
**Device and Android version:**
ANDROID VERSION 7.0
PHONE MODEL Moto (4)
**Commons app version:**
APP VERSION NAME 2.10.2
**Would you like to work on the issue?**</t>
  </si>
  <si>
    <t>2019-03-23</t>
  </si>
  <si>
    <t>commons-app-apps-android-commons-2718</t>
  </si>
  <si>
    <t>Crashes while setting null auth cookies</t>
  </si>
  <si>
    <t>App crashes while setting null auth cookies in CustomMwApi
Caused by: Attempt to invoke virtual method java.lang.String on null object reference
**Device and Android version:**
What make and model device (e.g., Samsung J7) did you encounter this on?
ANDROID VERSION 8.1.0
APP VERSION NAME 2.10.2
PHONE MODEL vivo 1718
**Commons app version:**
APP VERSION NAME 2.10.2
**Would you like to work on the issue?**</t>
  </si>
  <si>
    <t>commons-app-apps-android-commons-2711</t>
  </si>
  <si>
    <t>App crashes while searching images</t>
  </si>
  <si>
    <t>Because of null or null mwQueryResponse, the app crashes when accessing member variables of these references
**Device and Android version:**
What make and model device (e.g., Samsung J7) did you encounter this on?
ANDROID VERSION 4.1.2
APP VERSION NAME 2.10.2
PHONE MODEL SPH-D710
**Commons app version:**
**Would you like to work on the issue?**</t>
  </si>
  <si>
    <t>2019-03-22</t>
  </si>
  <si>
    <t>square-okhttp-4761</t>
  </si>
  <si>
    <t>Regression in Exchange in 3.14</t>
  </si>
  <si>
    <t>Hey, folks think running into something that appears to be regression in 3.14 around the new exchange mechanism. can reproduce this 100% of the time in my app by creating specific scenario.
Here the basic setup. We have an interceptor that does lot of things for us, including setting headers and handling retries for auth errors. Here simplified version of the code, eliding lot of details around how the retries are triggered:
public Response intercept(Chain chain) throws IOException
Request originalRequest chain.request()
Add headers etc here.
Request request builder.build()
Grab new auth token, etc.
In 3.13.1, this seems to work just fine. In 3.14.0, this crashes with the following error:
It doesn seem to matter if you mutate the request or not. Even just using (as above) newly built version of the request produces the same behavior.
Any ideas what happening here? going to revert our library back to 3.13 for now to work around this, but curious what could be causing this.</t>
  </si>
  <si>
    <t>aws-amplify-aws-sdk-android-810</t>
  </si>
  <si>
    <t>aws-android-sdk-cognitoauth: CustomTabs crash when using a provider with client Certificate</t>
  </si>
  <si>
    <t>**Describe the bug**
We use an SAML ADFS identity provider that requires an authentication via client certificate.
When chromes open popup to choose the certificate, we click on Authorize
The callback AuthHandler is never called.
code sample or steps:
Set up cognito user pool
Set up an identity which require client certificate
Build Setup Launch the AWSCognitoAuthDemo android application
Click on Sign In
Choose the certificate click on authorize
**Which AWS service(s) are affected?**
Cognito User Pool
The user should be authenticated
**Environment Information (please complete the following information):**
Reproduced on Emulators Android 8,
Reproduced on Galaxy Tabs
** Additional Info **</t>
  </si>
  <si>
    <t>kiwi-bop-flutter_crashlytics-71</t>
  </si>
  <si>
    <t>v0.3.0 causing crash on Android</t>
  </si>
  <si>
    <t>The crash only happens when you run the app in Release Mode. user has reported this log https: del.dog zataziliwi but am not 100% sure if it related to this package. ve also tried running **flutter run --release --verbose** and don see any issue related to crashlytics
## Flutter Doctor
Flutter (Channel master, v1.3.14-pre.7, on Mac OS 10.14.3 18D109, locale en-US)
Flutter version 1.3.14-pre.7 at Users nemory Development flutter
Engine revision 5088735e5f
Dart version 2.2.1 (build 2.2.1-dev.1.0 None)
Android toolchain develop for Android devices (Android SDK version 28.0.3)
Android SDK at Users nemory Library Android sdk
Android NDK location not configured (optional useful for native profiling support)
Platform android-28, build-tools 28.0.3
All Android licenses accepted.
iOS toolchain develop for iOS devices (Xcode 10.1)
Xcode at Applications Xcode.app Contents Developer
Xcode 10.1, Build version 10B61
CocoaPods version 1.6.1
Android Studio (version 3.3)
Android Studio at Applications Android Studio.app Contents
Flutter plugin version 32.0.1
Dart plugin version 182.5124
VS Code (version 1.32.3)</t>
  </si>
  <si>
    <t>kalaspuffar-secure-quick-reliable-login-268</t>
  </si>
  <si>
    <t>Deleting last identity results in crash</t>
  </si>
  <si>
    <t>2019-03-21</t>
  </si>
  <si>
    <t>commons-app-apps-android-commons-2696</t>
  </si>
  <si>
    <t>Crash on uplod failure</t>
  </si>
  <si>
    <t>can consistently reproduce crash on current master by making the upload fail intentionally. You can disconnect yourself during the upload to reproduce, upload will fail as expected and app crashes (this one is unexpected). Here are whole logs could collect on verbose mode.
Tested on API 26 emulator with current master.
&lt;?xml version 1.0 encoding UTF-8 ?&gt;&lt;api batchcomplete from t.jpg to T.jpg &gt;&lt; idx -1 ns title T.jpg missing &gt;&lt; pages&gt;&lt; query&gt;&lt; api&gt;
GET api.php?prop imageinfo&amp;format xml&amp;action query&amp;iiprop url&amp;titles t.jpg&amp;iiurlwidth 640&amp;format xml HTTP 1.1
&lt;?xml version 1.0 encoding UTF-8 ?&gt;&lt;api batchcomplete from t.jpg to T.jpg &gt;&lt; idx -1 ns title T.jpg missing &gt;&lt; pages&gt;&lt; query&gt;&lt; api&gt;
GET api.php?prop imageinfo&amp;format xml&amp;action query&amp;iiprop url&amp;titles t.jpg&amp;iiurlwidth 640&amp;format xml HTTP 1.1
--------- beginning of system
&lt;?xml version 1.0 encoding UTF-8 ?&gt;&lt;api batchcomplete from t.jpg to T.jpg &gt;&lt; idx -1 ns title T.jpg missing &gt;&lt; pages&gt;&lt; query&gt;&lt; api&gt;
GET api.php?prop imageinfo&amp;format xml&amp;action query&amp;iiprop url&amp;titles t.jpg&amp;iiurlwidth 640&amp;format xml HTTP 1.1
&lt;?xml version 1.0 encoding UTF-8 ?&gt;&lt;api batchcomplete from t.jpg to T.jpg &gt;&lt; idx -1 ns title T.jpg missing &gt;&lt; pages&gt;&lt; query&gt;&lt; api&gt;
GET api.php?prop imageinfo&amp;format xml&amp;action query&amp;iiprop url&amp;titles t.jpg&amp;iiurlwidth 640&amp;format xml HTTP 1.1
&lt;?xml version 1.0 encoding UTF-8 ?&gt;&lt;api batchcomplete from t.jpg to T.jpg &gt;&lt; idx -1 ns title T.jpg missing &gt;&lt; pages&gt;&lt; query&gt;&lt; api&gt;
GET api.php?prop imageinfo&amp;format xml&amp;action query&amp;iiprop url&amp;titles t.jpg&amp;iiurlwidth 640&amp;format xml HTTP 1.1
&lt;?xml version 1.0 encoding UTF-8 ?&gt;&lt;api batchcomplete from t.jpg to T.jpg &gt;&lt; idx -1 ns title T.jpg missing &gt;&lt; pages&gt;&lt; query&gt;&lt; api&gt;
GET api.php?prop imageinfo&amp;format xml&amp;action query&amp;iiprop url&amp;titles t.jpg&amp;iiurlwidth 640&amp;format xml HTTP 1.1
&lt;?xml version 1.0 encoding UTF-8 ?&gt;&lt;api batchcomplete from t.jpg to T.jpg &gt;&lt; idx -1 ns title T.jpg missing &gt;&lt; pages&gt;&lt; query&gt;&lt; api&gt;</t>
  </si>
  <si>
    <t>opensrp-opensrp-client-chw-240</t>
  </si>
  <si>
    <t>Investigate app crashing after tapping on birth vaccines for 0 day old children</t>
  </si>
  <si>
    <t>registered two new children in new family: Smithitt Family Martha Lea and Louisa (chathree login). Both children are days old. When tap on the immunizations at birth row for both children, the app crashes. The app is not crashing when tap on immunizations for other children though, so not sure if it because they re days old or because something might have broke in yesterday release.</t>
  </si>
  <si>
    <t>CMPUT301W19T11-Atheneum-158</t>
  </si>
  <si>
    <t>Crash while on borrower page when other user accepts request</t>
  </si>
  <si>
    <t>made request for book previously and was on the borrower page. When the request was accepted by the owner, the application crashed.
1. Make request on book and stay on the borrower page fragment.
2. Have the owner accept the request.
This could be because of the ValueEventListener listening for onDataChange.
We were on the current master branch.</t>
  </si>
  <si>
    <t>2019-03-20</t>
  </si>
  <si>
    <t>getodk-skunkworks-crow-219</t>
  </si>
  <si>
    <t>app crashes on clicking send if location is disabled</t>
  </si>
  <si>
    <t>#### Software and hardware versions
Reproduced the bug in android-8.1 (Samsung j7 2016)
#### Problem description
trying to send the form when the location is disabled crashes the app.
#### Steps to reproduce the problem
disable the location
try to send any form
#### Expected behaviour
should ask the user to enable location
#### Error Log when the app crashes:
Caused by: App not allowed to read or update stored WiFi AP config (uid 10357)
Caused by: Location mode is not enabled.
videotogif 2019 03 20 19 41 13 (https: 29946262</t>
  </si>
  <si>
    <t>commons-app-apps-android-commons-2679</t>
  </si>
  <si>
    <t>Main Activity crashes when returning from Upload</t>
  </si>
  <si>
    <t>Main Activity crashes while returning back from Upload(if no image is selected) or returning from settings(while enabling location)
**Steps to reproduce:**
From Main Activity select Fab Icon and Upload via gallery
Press back from Image Picker
Main Activity will crash in the onActivityResult() method.
**Device and Android version:**
Vivo 1713 API Level 24
**Commons app version:**
**Would you like to work on the issue?**</t>
  </si>
  <si>
    <t>ElderDrivers-EdXposed-172</t>
  </si>
  <si>
    <t>[BUG] UI Crashing (Android 9)</t>
  </si>
  <si>
    <t>** What happened?**
UI crashing reloading every 30sec from boot while using device.
**Xposed Xposed Module List**
1. GravityBox v9.0.0-beta-4
**Magisk Magisk Module List**
1. Riru Core
2. Riru Ed Xposed
3. YouTube Vanced Magisk Repo
**EdXposed Riru Versions of EdXposed and Riru**
** Logcat Logcat**
Android Logcat Suggesting EdXposed related issue-
Android Full Logcat-</t>
  </si>
  <si>
    <t>mauron85-react-native-background-geolocation-360</t>
  </si>
  <si>
    <t>When app crashes for other reasons the service is started by the system</t>
  </si>
  <si>
    <t>&lt;!-- PLEASE DON DELETE THIS TEMPLATE, OR YOUR ISSUE WILL BE CLOSED IGNORED !!! --&gt;
&lt;!--- Provide general summary of the issue in the Title above --&gt;
## Your Environment
&lt;!--- Include as many relevant details about the environment you experienced the bug in --&gt;
&lt;!--- Please specify exact version numbers and don use terms like latest as such reference to numeric version changes over the time --&gt;
Plugin version: ^0.5.0-alpha.50
Platform: Android (not tested in iOs)
OS version: Linux 4.4 Linux Mint 18 (Sarah)
Device manufacturer and model: Motorola, Samsung, emulators
&lt;!--- If Simulator was used instead of real device, type Yes in following section --&gt;
Running in Simulator: Both, simulator and real device
React Native version: 0.57.8
Plugin configuration options:
Link to your project:
&lt;!--- Provide more detailed introduction to the issue itself, and why you consider it to be bug --&gt;
When my app crashes (for another reason) the service is started by the system even if never started it explicitly.
## Expected Behavior
&lt;!--- Tell us what should happen --&gt;
If never started the service, when app crashes the service should remain not started.
If started the service, when app crashes the service may be restarted by the system if give it that config. Is this possible actually?</t>
  </si>
  <si>
    <t>2019-03-19</t>
  </si>
  <si>
    <t>react-native-camera-react-native-camera-2155</t>
  </si>
  <si>
    <t>Error while updating property 'googleVisionBarcodeType' of a view - BarcodeScanner Android</t>
  </si>
  <si>
    <t>Did you try latest release?
Did you try master?
Did you look for existing matching issues?
&lt;!--Comment in the related ones--&gt;
&lt;!--Please add the used versions branches or leave blank and comment in the optionals if used--&gt;
Android: Android 6, Android
react-native: ExpoKit 32 (React Native 0.57.2)
**Description Current Behaviour**
When try to use the barcode scanner, the app crashes. It happens as soon as the screen mounts. If remove the and The camera works (haven tried to take pics since its not my intent). Methods pausePreview and resumePreview working fine.
The error get is the following:
2019-03-19 17 05 09 (https: 3965485
Screen containing BarcodeScanner should mount.
**Steps to Reproduce**
Rendering RNCamera component with and
Here is piece of code:
&lt;View style styles.container
&lt;NavigationEvents onWillFocus this.enableCam onWillBlur this.disableCam
&lt;TouchableOpacity style styles.header onPress this.goBack hitSlop hitSlop15
name arrow-left color colors.branco size wp( 7.4%
&lt;Text style styles.textVoltar &gt;Voltar&lt; Text&gt;</t>
  </si>
  <si>
    <t>martykan-forecastie-336</t>
  </si>
  <si>
    <t>Crash on first start</t>
  </si>
  <si>
    <t>when start the app for the first time it crashes every time.
After that am able to restart it and it works as intended.
am using the app on Redmi Note with LineageOS 15.1.</t>
  </si>
  <si>
    <t>CMPUT301W19T11-Atheneum-155</t>
  </si>
  <si>
    <t>Back button on search crashes app</t>
  </si>
  <si>
    <t>**Describe the bug**
Pressing the back button after clicking the search icon for books produces app-crashing null pointer exception.
Steps to reproduce the behavior:
1. Go to Borrower
2. Click on button
3. Click on search button
4. Click on back button(arrow on top left corner)
Back button returns to previous activity(in this case, the main activity showing the borrower fragment</t>
  </si>
  <si>
    <t>tanguyantoine-react-native-music-control-244</t>
  </si>
  <si>
    <t>(Android 9 / Samsung S9) Unable to create service com.tanguyantoine.react.MusicControlNotification$NotificationService:</t>
  </si>
  <si>
    <t>App crashes with the following devices in production app:
All devices listed above are running Android
## Stack trace</t>
  </si>
  <si>
    <t>2019-03-18</t>
  </si>
  <si>
    <t>Piwigo-Piwigo-Android-96</t>
  </si>
  <si>
    <t>NullPointerException on upload</t>
  </si>
  <si>
    <t>**Describe the bug and how to reproduce**
Crash on upload in 0.9.2-beta (reported by Patrick via crash report on 17th of March)
**Smartphone (please complete the following information):**
Device: HUAWEI CLT-L29
OS: ANDROID VERSION API LEVEL 28
locale en GB</t>
  </si>
  <si>
    <t>commons-app-apps-android-commons-2652</t>
  </si>
  <si>
    <t>NPE on bookmark while pic from explore still loading (slow internet)</t>
  </si>
  <si>
    <t>From crash report of nicolas-raoul seems like an easy one.
USER COMMENT bookmark while pic from explore still loading (slow internet)
ANDROID VERSION 7.1.2
APP VERSION NAME 2.10.1.306
PHONE MODEL Nexus</t>
  </si>
  <si>
    <t>cgeo-cgeo-7391</t>
  </si>
  <si>
    <t>Starting from live map widget crashes the app</t>
  </si>
  <si>
    <t>##### Detailed steps causing the problem:
Create new widget on your device desktop with the function live map
Make sure c:geo is not running in background (exit completely hard close)
Click the live map widget
##### Actual behavior after performing these steps:
##### Expected behavior after performing these steps:
Live map shall be started.
(It works only if c:geo was active before and is still in background tasks)
##### Version of c:geo used:
##### Is the problem reproducible for you?
##### System information:
Samsung S7, Android 8.0</t>
  </si>
  <si>
    <t>jellow-aac-Jellow-Communicator-24</t>
  </si>
  <si>
    <t>App crash when deleting empty board.</t>
  </si>
  <si>
    <t>Steps to reproduce the issue:
1) Tap Add Board
2) Add only name to board say tt
3) Save the board.
4) On Select icon screen tap back button and say Yes to dialog Your selection will be lost
5) Now, goto My Boards screen. Delete board named tt
6) Saying Yes to dialog Are you sure that you want to delete board name app crashes.
Also, app crashes when tried to edit same the board. Steps to reproduce:
1) Tap edit icon on board tt
2) Tap Next to save board then app crashes.</t>
  </si>
  <si>
    <t>MrZeRo2000-violetnote-android-116</t>
  </si>
  <si>
    <t>App crashes at opening Checked list items after some active actions</t>
  </si>
  <si>
    <t>error captured from device:</t>
  </si>
  <si>
    <t>2019-03-17</t>
  </si>
  <si>
    <t>CMPUT301W19T11-Atheneum-152</t>
  </si>
  <si>
    <t>ProfilePic in MainActivity NullPointerException</t>
  </si>
  <si>
    <t>logged in and out of multiple accounts and the application crash. was on the master branch.
not entirely sure how to reproduce the bug. logged in and out of multiple accounts and the application just crashed.
This bug may be related to requesting book.</t>
  </si>
  <si>
    <t>commons-app-apps-android-commons-2620</t>
  </si>
  <si>
    <t>App crashes if visiting achievements in flight mode</t>
  </si>
  <si>
    <t>The app crashes if trying to access achievements in flight mode.
**Device and Android version:**</t>
  </si>
  <si>
    <t>2019-03-16</t>
  </si>
  <si>
    <t>ElderDrivers-EdXposed-163</t>
  </si>
  <si>
    <t>[BUG] SystemUI is infinitely crashing with GravityBox 8.5.2-edxposed installed</t>
  </si>
  <si>
    <t>** What happened?**
SystemUI is infinitely crashing (http: showpost.php?p 79129122&amp;postcount 1265) with GravityBox 8.5.2-edxposed installed on Android 8.1.
**Xposed Xposed Module List**
Only GravityBox 8.5.2-edxposed.
**Magisk Magisk Module List**
Only Riru and and EdXposed
**EdXposed Riru Versions of EdXposed and Riru**
** Logcat Logcat**
Full logcat (http: 4724712&amp;d 1552725922).
log It can help us to locate issue, must use our logcat module</t>
  </si>
  <si>
    <t>MozillaReality-FirefoxReality-1017</t>
  </si>
  <si>
    <t>[e10s] Crash upon attempting to exit WebVR and frame stuck in LÖVR examples</t>
  </si>
  <si>
    <t>Oculus Go: 1.1.3a (https: github.com MozillaReality FirefoxReality releases tag 1.1.3a) (ab033b4)
## Steps to Reproduce
1. Turn on Enable Multiprocessing in **Settings Developer Options**
2. Load https: lovr.org docs 360 Photo
3. Press the **Enter VR** button
4. Look around
5. Notice the frame is frozen
6. Try to press the Back button to exit VR
## Current Behavior
VR presentation fails on head tracking. Here stuck frame:
The user cannot exit VR mode. And, the loading throbber slows to halt:
FxR eventually becomes completely unresponsive and eventually crashes. Here my crash report: https: report index
## Expected Behavior
WebVR presentation works and, if performance degrades to halt, the user can still exit VR mode.
## Crash Report</t>
  </si>
  <si>
    <t>2019-03-15</t>
  </si>
  <si>
    <t>cgeo-cgeo-7371</t>
  </si>
  <si>
    <t>[latest nightly] Crash when selecting Cache in Live Map</t>
  </si>
  <si>
    <t>##### Detailed steps causing the problem:
configure c:geo to use old Mapsforge V3
open live map
##### Actual behavior after performing these steps:
app crash ...
##### Expected behavior after performing these steps:
show popup with cache details
##### Version of c:geo used:
##### Is the problem reproducible for you?
##### System information:
--- System information ---
Android version: 7.1.1
Android build: 32.4.A.1.54
Google Play services: disabled 15.0.90 (040408-231259764)
Low power mode: active
Compass capabilities: yes
Rotation vector sensor: present
Orientation sensor: present
Magnetometer Accelerometer sensor: present
Direction sensor used: rotation vector</t>
  </si>
  <si>
    <t>2019-03-14</t>
  </si>
  <si>
    <t>cgeo-cgeo-7369</t>
  </si>
  <si>
    <t>Google maps crashes on Android 10</t>
  </si>
  <si>
    <t>##### Detailed steps causing the problem:
Upgrade to the Android beta
Select Live map view
##### Actual behavior after performing these steps:
The app immediately crashes
##### Expected behavior after performing these steps:
The app does not crash
##### Version of c:geo used:
##### Is the problem reproducible for you?
Yes, even post-reboot
##### System information:
--- System information ---
Android build: QPP1.190205.018.B4
Google Play services: enabled 16.0.86 (100400-237483552)
Low power mode: inactive
Compass capabilities: yes
Rotation vector sensor: present
Orientation sensor: present
Magnetometer Accelerometer sensor: present
Direction sensor used: rotation vector</t>
  </si>
  <si>
    <t>commons-app-apps-android-commons-2585</t>
  </si>
  <si>
    <t>Crash in SearchImageFragment</t>
  </si>
  <si>
    <t>The Observable in SearchImageFragment has not been disposed as per the fragment lifecycle and because of which the app crashes (along with memory leaks), when RxCallbacks are received after the fragment is stopped detached
USER COMMENT French locale
ANDROID VERSION 7.1.2
APP VERSION NAME 2.10.1.260
PHONE MODEL Nexus
... 10 more
**Device and Android version:**
APP VERSION NAME 2.10.1.260
PHONE MODEL Nexus
**Commons app version:**
**Would you like to work on the issue?**</t>
  </si>
  <si>
    <t>CMPUT301W19T11-Atheneum-126</t>
  </si>
  <si>
    <t>Permission denied for camera causes application to crash when taking photo in edit profile photo</t>
  </si>
  <si>
    <t>Taking photo for the user profile when camera permissions are denied for the application crashes the application.
Steps to reproduce the behavior:
1. Have camera permission denied for the application in the app. settings.
2. Go to profile.
3. Edit profile and take photo.
4. Application crashes.
The application should ask for camera permissions and not crash the application.</t>
  </si>
  <si>
    <t>2019-03-13</t>
  </si>
  <si>
    <t>fletchy95-Agrivolution-34</t>
  </si>
  <si>
    <t>Submit Ticket Page</t>
  </si>
  <si>
    <t>After merging our page we are getting an issue where either nothing comes up, or the page crashes when entering the submit ticket page. This issue was not occurring prior to merging all of our data, and is no happening. Troubleshooting will commence this week. Some sort of LinearLayout and or TextView logic error. Compiler does not report issue.</t>
  </si>
  <si>
    <t>gentlecat-counter-70</t>
  </si>
  <si>
    <t>Counter editor doesn't have proper limits for values</t>
  </si>
  <si>
    <t>It is possible to set value to be over the actual maximum or minimum. When this happens, an exception gets thrown and the app crashes.</t>
  </si>
  <si>
    <t>CMPUT301W19T11-Atheneum-123</t>
  </si>
  <si>
    <t>Adding a book with no fields inputted crashes application</t>
  </si>
  <si>
    <t>When user adds book with none of the fields filled, the application crashes.
Steps to reproduce the behavior:
1. Add book by going to the owner fragment by tapping the floating action button.
2. Tap the save floating action button.
3. Application crashes.
Here is the stack trace:
All fields should require the user to input something into their field probably by showing Toast message. validator should probably be implemented for every field.</t>
  </si>
  <si>
    <t>2019-03-12</t>
  </si>
  <si>
    <t>CMPUT301W19T11-Atheneum-122</t>
  </si>
  <si>
    <t>Able to put in very long int for ISBN when creating book, crashes application when save</t>
  </si>
  <si>
    <t>Users are able to enter very long integer in the ISBN field when creating book. Saving the book causes the application to crash.
Steps to reproduce the behavior:
1. Create new book by going to the owner page and tapping the floating action button.
2. Put very long integer in the ISBN field (other fields need to be filled as well)
3. Tap save floating action button.
4. Application crashes
Here is the stack trace:
The input field shouldn allow value more than 13 digits in length. validator should also be implemented after the user taps the save floating action button.</t>
  </si>
  <si>
    <t>dashevo-dash-wallet-187</t>
  </si>
  <si>
    <t>Fingerprint Scanning Crash</t>
  </si>
  <si>
    <t>App crashes in some cases after scanning fingerprint.</t>
  </si>
  <si>
    <t>amahi-android-440</t>
  </si>
  <si>
    <t>fix: App crash after Sign out and Sign in again</t>
  </si>
  <si>
    <t>Please Add Screenshots If any UI changes.
GIF showing that there no crash now after sign out and sign in
**Summary of changes**
getContext() and getActivity() in fragment sometimes return null. So context and activity attributes are initialized in onAttach() method of fragment. Also, all the usages of getContext() and getActivity() in the NavigationFragment file are replaced with appropriate context and activity attributes to avoid further null exceptions.
Please make sure these boxes are checked before submitting your pull request thanks!
Apply the AndroidStyle.xml style template to your code in Android Studio.
Run the unit tests with gradlew check to make sure you didn break anything
If you have multiple commits please combine them into one commit by squashing them.</t>
  </si>
  <si>
    <t>Resilience-ASU-ActivityLog-Android-1</t>
  </si>
  <si>
    <t>Maps feature not working on Android 9</t>
  </si>
  <si>
    <t>The app crashes when google maps API is called.</t>
  </si>
  <si>
    <t>commons-app-apps-android-commons-2580</t>
  </si>
  <si>
    <t>App is crashing in GridViewAdapter</t>
  </si>
  <si>
    <t>App crashes in GridViewAdapter
**Steps to reproduce:**
**Device and Android version:**
**Commons app version:**
APP VERSION NAME 2.10.2
**Would you like to work on the issue?**</t>
  </si>
  <si>
    <t>named-data-mobile-ndn-photo-app-107</t>
  </si>
  <si>
    <t>App crash in ViewPhotosActivity</t>
  </si>
  <si>
    <t>app crashes when try to open any image received</t>
  </si>
  <si>
    <t>itachi1706-SingBuses-160</t>
  </si>
  <si>
    <t>NTUBusActivity.java line 336</t>
  </si>
  <si>
    <t>hzi-braunschweig-SORMAS-Project-996</t>
  </si>
  <si>
    <t>OutOfMemoryError leads to server crash</t>
  </si>
  <si>
    <t>awslabs-aws-mobile-appsync-sdk-android-129</t>
  </si>
  <si>
    <t>Database crash: appsyncstore-journal</t>
  </si>
  <si>
    <t>When launch the android app for the first time on device get fatal database crash:
** Application has opened too many files. Maximum of available file descriptors in one process is 1024 in default. **
So it looks like the database does not close properly.
This only happens the first time install the app. When start the app again all is okay.
See trace below
--------- beginning of crash
Error Code 2062 (SQLITE CANTOPEN EMFILE)
Caused By Application has opened too many files. Maximum of available file descriptors in one process is 1024 in default.
(unable to open database file (code 2062))
query: SELECT id, key, record FROM records WHERE key
Error Code 2062 (SQLITE CANTOPEN EMFILE)
Caused By Application has opened too many files. Maximum of available file descriptors in one process is 1024 in default.
(unable to open database file (code 2062))
query: SELECT id, key, record FROM records WHERE key</t>
  </si>
  <si>
    <t>jonathonbauer-watched-53</t>
  </si>
  <si>
    <t>App Crash on No Results Found</t>
  </si>
  <si>
    <t>The app crashes if the user searches for something that doesn have any results. This needs to be fixed.</t>
  </si>
  <si>
    <t>2019-03-11</t>
  </si>
  <si>
    <t>nextcloud-android-3739</t>
  </si>
  <si>
    <t>### Actual behaviour
open the app and it instantly crashes
### Expected behaviour
open the app and see my files.
### Steps to reproduce
1. open appp
### Environment data
Android version: LineageOS15.1
Device model: Samsung A3
Stock or customized system: Lineageos
Nextcloud app version: dev 20190309
Nextcloud server version: 15.0.2
#### Nextcloud log (data nextcloud.log)</t>
  </si>
  <si>
    <t>deltachat-deltachat-android-762</t>
  </si>
  <si>
    <t>sharing links crashes</t>
  </si>
  <si>
    <t>to reproduce: share link eg. from Firefox Focus to Delta Chat.
this bug was introduced by merging https: github.com deltachat deltachat-android pull 759 and is not yet released.</t>
  </si>
  <si>
    <t>2019-03-10</t>
  </si>
  <si>
    <t>CMPUT301W19T11-Atheneum-98</t>
  </si>
  <si>
    <t>App crashes after auto-populate from isbn</t>
  </si>
  <si>
    <t>1. From owner page, either click on book and press edit, or create new book.
2. Enter in ISBN and press auto-populate button.
3. Save book
4. From nav drawer, go somewhere else</t>
  </si>
  <si>
    <t>2019-03-09</t>
  </si>
  <si>
    <t>square-okhttp-4699</t>
  </si>
  <si>
    <t>File Descriptors exhausted by Cache</t>
  </si>
  <si>
    <t>We are observing crashes in Android app that are caused by the exhaustion of the available File Descriptors.
This seems to happen if many requests are Call.enqueue ed. We already made sure that we only have single OkHttp instance.
While debugging it on rooted emulator it seems to only happen if is used.
### Call.enqueue ing few thousand calls, with Cache set, leads to:
number of open File Descriptors goes up quite fast (well beyond 1k) and decreases slowly as the requests are being processed. If it does not crash because of missing File Descriptors it will go back to normal number again once requests are finishing.
proc &lt;pid&gt; fd ls -al wc -l
proc &lt;pid&gt; fd ls -al wc -l
proc &lt;pid&gt; fd ls -al wc -l
proc &lt;pid&gt; fd ls -al wc -l
proc &lt;pid&gt; fd ls -al wc -l
proc &lt;pid&gt; fd ls -al wc -l
proc &lt;pid&gt; fd ls -al wc -l
proc &lt;pid&gt; fd ls -al wc -l
and there are thousand of open File Descriptors like:
proc &lt;pid&gt; fd ls -al
### Call.enqueue ing few thousand calls, with**out** Cache set, leads to:
steady number of open File Descriptors that stays around that number while the requests are being fetched
proc &lt;pid&gt; fd ls -al wc -l
For both runs (with and without cache) the app storage was cleared (nothing cached yet), so think it is caused by OkHttp Cache writing all the responses to the File System.</t>
  </si>
  <si>
    <t>2019-03-08</t>
  </si>
  <si>
    <t>aws-amplify-aws-sdk-android-773</t>
  </si>
  <si>
    <t>Submit Events is not working properly</t>
  </si>
  <si>
    <t>**Describe the bug**
After Investigation have found that the sdk is not storing the offline data, when device is offline and then if we call the submit event method just after the record event then crash occurs and because of this crash it is unable to store the records in the DB. When check the awspinpint.db file its empty.
So, have to add the check network availability whenever call the submit method. If we don do this then our data is lost.
Disconnect the device from Internet and then record and submit events then check the db file. Or again connect the device to internet it will not send the previous recorded data.
Same like in the documentation:
public void logEvent()
final AnalyticsEvent event
.withAttribute( DemoAttribute1 DemoAttributeValue1
.withAttribute( DemoAttribute2 DemoAttributeValue2
.withMetric( DemoMetric1 Math.random())
SDK should handle the submitEvent crash method when device is offline and also record the events in DB properly.</t>
  </si>
  <si>
    <t>square-okhttp-4697</t>
  </si>
  <si>
    <t>Android 6.0.1 Use OkHhttp  with Retrofit  cause:  java.lang.InternalError:  Invoking getAttribute with bad arg 0</t>
  </si>
  <si>
    <t>Use OkHttp with Retrofit Crash only on Android 6.0.1 Devices Maybe an ART Bug?
Android Gradle Plugin: 3.2.1
## Crash log
## My Code
POST(AppConfig.API PATH register
fun register( Body registerModel: RegisterModel):
var emailAddress: String? null
var password: String? null
var userAuth: UserAuth? null
## Someone other asked
Redmi note ,Android 6.0.1 crash (https: cloud.tencent.com developer ask 196354)
14 at Method)
## Related stackoverflow question:
Why does Facebook and Messenger set the vmSafeMode option as false to the manifest file?</t>
  </si>
  <si>
    <t>CMPUT301W19T11-Atheneum-93</t>
  </si>
  <si>
    <t>Going to Profile from the side drawer crashes the application</t>
  </si>
  <si>
    <t>Going to Profile from the side drawer crashes the application. This happened on requestSearch branch for me but someone else is experiencing this issue on master.
Originally posted by MarcusBoay in https: github.com CMPUT301W19T11 Atheneum pull</t>
  </si>
  <si>
    <t>named-data-mobile-ndn-photo-app-85</t>
  </si>
  <si>
    <t>App crash on sharing image through camera</t>
  </si>
  <si>
    <t>android version: android 6.0.1
app crashes due to inability to decode the bitmap captured, am working on it</t>
  </si>
  <si>
    <t>2019-03-07</t>
  </si>
  <si>
    <t>square-okhttp-4691</t>
  </si>
  <si>
    <t>Strange crash during initialization sequense</t>
  </si>
  <si>
    <t>Galaxy Tab4 7.0</t>
  </si>
  <si>
    <t>scottyab-rootbeer-92</t>
  </si>
  <si>
    <t>Application crashed with signal SIGSEGV</t>
  </si>
  <si>
    <t>Hello, thank you for the library.
When using your library, the application crashes on some Samsung devices.
Using in Activity:
private fun checkRoot()
val rootBeer RootBeer(this)</t>
  </si>
  <si>
    <t>murilloves-musician-react-native-app-20</t>
  </si>
  <si>
    <t>Bugs I</t>
  </si>
  <si>
    <t>Don allow the app to save something twice (disable buttons after click and enable after operation ends)
PlaylistInfo: song without description crashes the app
Loading feel at login signin screen (it brings undesired popup messages if user clicks multiple times)</t>
  </si>
  <si>
    <t>2019-03-06</t>
  </si>
  <si>
    <t>ElderDrivers-EdXposed-131</t>
  </si>
  <si>
    <t>[BUG] post-fs-data supolicy crashing Riru on SDK 26</t>
  </si>
  <si>
    <t>EdXposed module prevents Riru from loading correctly, causing bootloop.
**Xposed Module List**
*Xposed is not loaded*
**Magisk Module List**
**Versions of EdXposed and Riru**</t>
  </si>
  <si>
    <t>CMPUT301W19T11-Atheneum-69</t>
  </si>
  <si>
    <t>AddBookActivity hits runtime error</t>
  </si>
  <si>
    <t>Steps to reproduce:
1. Log in
2. Click Add New Book on navbar
App crashes and returns to main activity with the following stack trace:</t>
  </si>
  <si>
    <t>2019-03-05</t>
  </si>
  <si>
    <t>inaturalist-iNaturalistAndroid-636</t>
  </si>
  <si>
    <t>Do we need to serialize the entire observation for an intent to view an observation?</t>
  </si>
  <si>
    <t>When view https: www.inaturalist.org observations 5890862 in build 337, get the following crash:
JavaBinder: !!! FAILED BINDER TRANSACTION !!! (parcel size 4002560)
System.err: Failure from system
System.err: at Method)
System.err: ... 17 more
FlurryAgent: Error logged: uncaught
Is that because we re serializing the entire obs response at https: github.com inaturalist iNaturalistAndroid blob master iNaturalist src main java org inaturalist android and that obs is huge (tons of IDs)? If so, can we not serialize the entire obs? Obs details loads fresh obs data over the network anyway, right? If so, it doesn seem like we need to serialize the whole thing for the intent.
Might be related to #531.</t>
  </si>
  <si>
    <t>MCMrARM-revolution-irc-201</t>
  </si>
  <si>
    <t>Crash when editing colors manually.</t>
  </si>
  <si>
    <t>Steps to reproduce:
Create new theme.
Tap on color.
Tap e.g. on the hex EditText.
Delete chars until there only
The app crashes.
Don have traceback at hand, sorry.</t>
  </si>
  <si>
    <t>2019-03-04</t>
  </si>
  <si>
    <t>7LPdWcaW-GrowTracker-Android-72</t>
  </si>
  <si>
    <t>davideas-FlexibleAdapter-716</t>
  </si>
  <si>
    <t>NullPointerException in applyAndAnimateRemovals</t>
  </si>
  <si>
    <t>from Crashlytics got the following crash:
Caused by Attempt to invoke virtual method int on null object reference
using and flexible-adapter 5.1.0. minSdkVersion is 21, targetSdkVersion is 28, the crash happened on OnePlus with Android 8.1.0.
Unfortunately unable to provide steps to reproduce the issue, as don understand where it may come from. My app uses several RecyclerViews, all powered by flexible-adapter.
Each fragment using flexible-adapter declares final adapter:
val adapter null, true)
with an OnItemClickListener
On item click, the item could be refreshed via Items are also frequently refreshed with data coming from websocket by recreating full list of and by calling updateDataSet(rows, true) (on the UI thread).
delegate their hashCode and equals to their contained item, which is always Kotlin data class hashCode and equals automatically generated over all fields).
List filtering or sticky headers are not used.
Can you help me? If you need more info don hesitate to ask</t>
  </si>
  <si>
    <t>tchapgouv-tchap-android-legacy-441</t>
  </si>
  <si>
    <t>zoom-out on image causes crash</t>
  </si>
  <si>
    <t>related to https: github.com vector-im riot-android issues 2786
fix available here: https: github.com vector-im riot-android commit</t>
  </si>
  <si>
    <t>ElderDrivers-EdXposed-127</t>
  </si>
  <si>
    <t>[BUG] Several bootloops/attempts until device finally boots</t>
  </si>
  <si>
    <t>Often it takes several bootloops until device finally boots. Sometimes boot recovers automatically after several crashes, other times full reboot is required to boot the OS. Behavior seems to be random was not able to find pattern.
**Device and OS**
Nexus 5X running Pixel Experience Android 9.0 Pie built from AOSP
**Xposed Module List**
GravityBox for Pie (my own module in development)
**Magisk Module List**
**Versions of EdXposed and Riru**
boot crash occurred before device could finally boot
full bootlog contains full log of the boot sequence</t>
  </si>
  <si>
    <t>mauron85-react-native-background-geolocation-356</t>
  </si>
  <si>
    <t>App still use location data even after Background.stop() and then sometimes it crashed.</t>
  </si>
  <si>
    <t>&lt;!-- PLEASE DON DELETE THIS TEMPLATE, OR YOUR ISSUE WILL BE CLOSED IGNORED !!! --&gt;
&lt;!--- Provide general summary of the issue in the Title above --&gt;
## Your Environment
&lt;!--- Include as many relevant details about the environment you experienced the bug in --&gt;
&lt;!--- Please specify exact version numbers and don use terms like latest as such reference to numeric version changes over the time --&gt;
Plugin version: 0.5.0
OS version: Detected on android 7,8,9
Device manufacturer and model: Samsung, LG, ...
&lt;!--- If Simulator was used instead of real device, type Yes in following section --&gt;
Running in Simulator: No
React Native version: 0.58.5
Plugin configuration options:
When user login, and when customValue changes,
call this function to re-configure the geolocation configuration.
if (customValue null)
don need geolocation tracking when customValue is null.
Link to your project:
&lt;!--- Provide more detailed introduction to the issue itself, and why you consider it to be bug --&gt;
What need is tracking background) only between call and stop. don need sync location of failed data. Only the data between calling start and stop are all need.
App works great when start the app, start geolocation and stop geolocation. It works what expected. However, after couple of hours while app is in background, even never call app starts to use location data(There was pin marker in android status bar, and when terminated the app, it disappeared.) and then, app crash again and again.(When app crash, android alert modal appears and there were two selections. Close app, Send comment. Even press close app, the modal appears again and again.) Also, there was notification Sync Location After set notificationEnabled to false, the Sync Location notification disappear, but still app crash again and again after couple of hours.</t>
  </si>
  <si>
    <t>dariuszseweryn-RxAndroidBle-552</t>
  </si>
  <si>
    <t xml:space="preserve">NullPointerException is thrown sometimes </t>
  </si>
  <si>
    <t>is thrown sometimes
using this library for application development.
However, occasionally observe the following CrashLog.
This crash seems to be occurring in the following places.
think that () is called multi thread.
However, since the exceptionEmitters queue is thread safe, the processing is executed one by one.
If ThreadA, ThreadB calls this method at the same time, think through () and executing () and getting null.
So want to fix it as follows.
private synchronized void
private synchronized void
if (exceptionEmitter null) null check
Do you think this is correct?
### Library version
#### Steps to reproduce actual result
unknown (get log from crashlytics)</t>
  </si>
  <si>
    <t>forcedotcom-SalesforceMobileSDK-CordovaPlugin-444</t>
  </si>
  <si>
    <t>App is going to background after Login successful</t>
  </si>
  <si>
    <t>Andoid Version: 8.0
Salesforce SDK Cordova Plugin Version: 6.2
Cordova Version: 8.0.0
the issue found in the finish() part after log in
on happy path the is running onresume right after the finish() call in LoginActivity()
when the issue occured the app is being killed without any crash info from the logcat</t>
  </si>
  <si>
    <t>cgeo-cgeo-7341</t>
  </si>
  <si>
    <t>Crash when adding new photo to log</t>
  </si>
  <si>
    <t>When logging cache, add new picture. Instead of opening the camera application, cgeo crashes.
Reproduced with nightly on Android and with stable on Android 8.</t>
  </si>
  <si>
    <t>2019-03-03</t>
  </si>
  <si>
    <t>SCCapstone-DBK-66</t>
  </si>
  <si>
    <t>app crashes when inputting value into calulator</t>
  </si>
  <si>
    <t>2019-03-02</t>
  </si>
  <si>
    <t>itachi1706-SingBuses-157</t>
  </si>
  <si>
    <t>SupportedCardsActivity.java line 84</t>
  </si>
  <si>
    <t>datatheorem-TrustKit-Android-49</t>
  </si>
  <si>
    <t>Domain exception to be made on local IP address 10.0.2.2</t>
  </si>
  <si>
    <t>**Describe the bug**
From React Native version 0.58 onwards, with Android API version 28, no clear text traffic is allowed by default. But currently the React Native packager and debugger connects to the device or emulator via HTTP taking either localhost or 10.0.0.2 These values are hardcoded in RN codebase (https: github.com facebook react-native blob ReactAndroid src main java com facebook react modules systeminfo
We tried to make an exception to them by putting below config block in the network security config.xml file which is further referenced in the AndroidManifest.xml file.
&lt;domain includeSubdomains false &gt;localhost&lt; domain&gt;
&lt;domain includeSubdomains false &gt;10.0.2.2&lt; domain&gt;
&lt;domain includeSubdomains false &gt;10.0.3.2&lt; domain&gt;
&lt;trustkit-config enforcePinning false
This SO entry (https: stackoverflow.com questions 45940861 50834600#50834600) explains this approach in detail.
But this config is not acknowledge by the TrustKit module with below exception, hence causing the app to crash upon launch.
This problem is very similar to #25 for which only localhost was exempted.
Put above XML config block for clear text traffic in an RN (version 0.58) app with TrustKit module installed, run react-native run-android to install and launch it in an Android emulator. The app will crash upon launch and the above exception messages can be read via logcat
Certain local IP addresses like 10.0.2.2 used by the RN packager and debugger should be considered as valid domain.
&lt;domain includeSubdomains false &gt;localhost&lt; domain&gt;
&lt;domain includeSubdomains false &gt;10.0.2.2&lt; domain&gt;
&lt;domain includeSubdomains false &gt;10.0.3.2&lt; domain&gt;
&lt;trustkit-config enforcePinning false
App target SDK: 28.0.3
App language: JS React Native
Android version to reproduce the bug: Andorid 9.0.</t>
  </si>
  <si>
    <t>ElderDrivers-EdXposed-116</t>
  </si>
  <si>
    <t>[BUG] OS crashing during BOOT_COMPLETED event</t>
  </si>
  <si>
    <t>Device OS crashes and reboots after booting during the BOOT COMPLETED event.
**Xposed Module List**
AppOpsXposed Re 1.30.5
Forced Screen Rotation Mod 1.6
Lucky Patcher 8.1.9
Physical Button Music Control 4.1
Statusbar download progress 3.6.1
Xperia Keyboard Prediction Toggle 1.6
**Magisk Module List**
LogCat Bootloop v10
Riru Core v15
Single User Mod v1.5
Sysconfig Patcher 2018.10.22
Systemless Hosts 1.0
YouTube Vanced v14.06.54
**Versions of EdXposed and Riru**</t>
  </si>
  <si>
    <t>2019-03-01</t>
  </si>
  <si>
    <t>devgianlu-Aria2App-45</t>
  </si>
  <si>
    <t>WebView crashes a lot</t>
  </si>
  <si>
    <t>#00 pc 0000000001d9dfd8 system app WebViewGoogle lib arm64
#01 pc 0000000001d9dea4 system app WebViewGoogle lib arm64</t>
  </si>
  <si>
    <t>opensrp-opensrp-client-reveal-110</t>
  </si>
  <si>
    <t>Fix bug on app Crashing when forced close or device restarted</t>
  </si>
  <si>
    <t>When the application is forces closed or device is restarted while app was running, The application crashes and has to be reinstalled</t>
  </si>
  <si>
    <t>JulietGroundwater-Groundwater-29</t>
  </si>
  <si>
    <t>Fix crash if you sign out OneDrive then in again without restarting app</t>
  </si>
  <si>
    <t>It crashes with some kind of</t>
  </si>
  <si>
    <t>2019-02-28</t>
  </si>
  <si>
    <t>mgsx-dev-gdx-gltf-1</t>
  </si>
  <si>
    <t>Facing issue in both (.glb) and (gltf) file.</t>
  </si>
  <si>
    <t>Catfriend1-syncthing-android-342</t>
  </si>
  <si>
    <t>fragmentManager: commitAllowingStateLoss (fixes #321)</t>
  </si>
  <si>
    <t>Fix issue #321 according to the StackOverflow linked in the issue.
tested screen rotation and service state change during app in background after screen rotated. Found no crash, but that was already the case before this PR. So we ll have to use the community and check the gplay reports if the situation got better, same or worse.</t>
  </si>
  <si>
    <t>opensrp-opensrp-client-chw-168</t>
  </si>
  <si>
    <t>Investigate app crash after tapping vaccine save button</t>
  </si>
  <si>
    <t>Steps to reproduce:
Register new child (in this case, Lisa Ann Gulas in the Gulas family), then open their home visit.
filled in some services, for e.g. unchecked all vaccines and tapped the Save button (Side note: separate issue created about this, as one shouldn be able to tap the disabled Save button)
tapped into other services and exited out, then exited out of the entire home visit.
When opening the home visit again, tried to record that the vaccines were given this time, but the app hung couple of seconds after tapping the save button and then the app crashed.</t>
  </si>
  <si>
    <t>inaturalist-iNaturalistAndroid-635</t>
  </si>
  <si>
    <t>NullPointerException in project selector</t>
  </si>
  <si>
    <t>Fatal Exception: Attempt to invoke interface method java.util.Iterator on null object reference
Seems restricted to 336. Only one crash, and don have repro conditions, so not the best bug report.</t>
  </si>
  <si>
    <t>2019-02-27</t>
  </si>
  <si>
    <t>NordicSemiconductor-Android-BLE-Library-88</t>
  </si>
  <si>
    <t>NullPointerException on service discovery</t>
  </si>
  <si>
    <t>Just collected that crash from Firebase Crashlytics, here is the stacktrace:</t>
  </si>
  <si>
    <t>marksuth-indigenous-android-191</t>
  </si>
  <si>
    <t>Update screen in post list crashes</t>
  </si>
  <si>
    <t>2019-02-26</t>
  </si>
  <si>
    <t>aws-amplify-aws-sdk-android-722</t>
  </si>
  <si>
    <t>AWSMobileClient.getInstance().showSignIn() Crash in 2.12.1 upon submit: Can't create handler inside thread that has not called Looper.prepare()</t>
  </si>
  <si>
    <t>**Describe the bug**
have an app running in 2.12.0. The app displays the SignInUI successfully and it works, signing in the user and also displaying errors when appropriate. After upgrade to 2.12.1, the app will now crash when the sign-in UI Sign In button is selected. No other code changed in the app. Reverting back to 2.12.0 resolves the problem.
The exception for use case, user does not provide any input an selects the Sign In button.
--------- beginning of crash
code sample or steps:
initialize AWS then show the sign in as follows:
private void showSignIn()
public void run()
.logo(R.drawable.ic modlist aws signin icon)
public void result)
Log.d(TAG, showSignIn() onResult() result: userState:
case SIGNED IN:
Log.d(TAG, showSignIn() callback: SIGNED IN logged in!
case SIGNED OUT:
Log.d(TAG, showSignIn() callback onResult: SIGNED OUT
case SIGNED OUT FEDERATED TOKENS INVALID:
Log.d(TAG, showSignIn() callback onResult: SIGNED OUT FEDERATED TOKENS INVALID
case SIGNED OUT USER POOLS TOKENS INVALID:
Log.d(TAG, showSignIn() callback onResult: SIGNED OUT USER POOLS TOKENS INVALID
Log.d(TAG, showSignIn() callback onResult: GUEST</t>
  </si>
  <si>
    <t>2019-02-25</t>
  </si>
  <si>
    <t>xuexiangjys-XUI-8</t>
  </si>
  <si>
    <t>Dialog的crash问题</t>
  </si>
  <si>
    <t>&lt;img width 1278 alt image src https: 45680746</t>
  </si>
  <si>
    <t>oliexdev-openScale-409</t>
  </si>
  <si>
    <t>Crash trying to open general settings</t>
  </si>
  <si>
    <t>**Describe the bug**
After upgrading to 2.0, the first launch immediately crashed with the below stack. also able to reproduce the stack by trying to open the general settings menu.
Reproduced with latest dev version (https: github.com oliexdev openScale releases tag travis-dev-build): Not tried
Build version: 2.0
Caused by: The style on this component requires your app theme to be Theme.AppCompat (or descendant).</t>
  </si>
  <si>
    <t>2019-02-24</t>
  </si>
  <si>
    <t>zdavatz-AmiKo-Android-58</t>
  </si>
  <si>
    <t>1.4.6 crash log</t>
  </si>
  <si>
    <t>Samsung Galaxy S9 (starlte), Android
The full crash log:</t>
  </si>
  <si>
    <t>fossasia-phimpme-android-2631</t>
  </si>
  <si>
    <t>App crashing on compressing image by size or dimension or editing an already compressed image.</t>
  </si>
  <si>
    <t>**Describe the bug**
When an image which is already compressed by size or dimension is edited or gain compressed, sometimes the app crashes.
Compress an image by size or dimension. Then try to edit or compress the new image. The app might crash. This might not happen frequently but it does happen. Sometimes the new image might also get compressed successfully and then the new image formed after that might cause the app to crash. The app might also crash if the image is just being edited.
The app should not crash.
&lt;!-- Please complete the following information --&gt;
Device Nokia Plus
Android Version Android
**Would you like to work on the issue?**
&lt;!-- Please let us know if you can work on it or the issue should be assigned to someone else. --&gt;</t>
  </si>
  <si>
    <t>nextcloud-android-3670</t>
  </si>
  <si>
    <t>Custom folder auto-upload is not triggered</t>
  </si>
  <si>
    <t>### Actual behaviour
not sure what is happening, but my auto-upload is not triggered
### Expected behaviour
Auto-upload should be triggered when make new photo
### Steps to reproduce
1. checkout master
2. run on emulator
3. login as usual
4. set up **custom** auto-upload folder DCIM Camera -&gt; Something
5. open android camera and make photo
found this crash in logs could be related:
### Environment data
Device model: emulator
Stock or customized system: emulator with google apps
Nextcloud app version: git master
Nextcloud server version: 15.0.2</t>
  </si>
  <si>
    <t>2019-02-23</t>
  </si>
  <si>
    <t>SeniorDesignTm-SmartUniMain-6</t>
  </si>
  <si>
    <t xml:space="preserve">Today and Upcoming views are not fully implemented </t>
  </si>
  <si>
    <t>Today and Upcoming views are not fully implemented which causes crash. when used.</t>
  </si>
  <si>
    <t>ankidroid-Anki-Android-5251</t>
  </si>
  <si>
    <t>Android 9: crash when opening note editor</t>
  </si>
  <si>
    <t>###### Reproduction Steps
1. Review card
2. Chose edit note from the menu
3. Click on the card name (last row below the tags) to go to the card editor
###### Expected Result
Card editor opens
###### Actual Result
App crashes. can open the card editor from the edit note screen. need to open it from the main menu.
On android never had problems to open the card editor during reviews, these crashes are new in Android 9.
###### Debug info
AnkiDroid Version 2.9alpha66
*Enter an character to confirm the points below:*
have searched for similar existing issues here and on the user forum</t>
  </si>
  <si>
    <t>kalaspuffar-secure-quick-reliable-login-249</t>
  </si>
  <si>
    <t>Error message screens and other popup windows aren't renewed.</t>
  </si>
  <si>
    <t>If you stand on the first simplified view and then go around bit in the advanced options and then return back.
Then you trigger an error by going to stale site the application crashes due to missing window references.</t>
  </si>
  <si>
    <t>2019-02-21</t>
  </si>
  <si>
    <t>SeniorDesignTm-SmartUniMain-5</t>
  </si>
  <si>
    <t>Deleting by the very first item</t>
  </si>
  <si>
    <t>Deleting by the very first item crashes the app</t>
  </si>
  <si>
    <t>TryGhost-Ghost-Android-38</t>
  </si>
  <si>
    <t>[Crash] SettingRealmProxy - Trying to set non-nullable field 'value' to null</t>
  </si>
  <si>
    <t>Ghost version: 2.14.3 (self-hosted)
App version: 1.2.2
Android version: 9.0
Device: Samsung Galaxy S8 (SM-G950F)
App crashes in main menu after successful log-in.
Cannot say any more, am not familiar with Realm.
FATAL EXCEPTION: main</t>
  </si>
  <si>
    <t>2019-02-20</t>
  </si>
  <si>
    <t>SeniorDesignTm-SmartUniMain-2</t>
  </si>
  <si>
    <t xml:space="preserve">Wrong index is passed to the backend </t>
  </si>
  <si>
    <t>Wrong index is passed to the back-end which causes null reference crash</t>
  </si>
  <si>
    <t>getodk-skunkworks-crow-111</t>
  </si>
  <si>
    <t>App crashes on clicking the send button in FilledFormsFragment</t>
  </si>
  <si>
    <t>#### Problem Description:
App crashes when we click on the send button after selecting some forms.
#### Steps to reproduce:
1. Get blank form(like All widgets) in collect.
2. Fill it and save it.
3. Now launch Share, and try to send the filled form.
4. You will notice the crash there.</t>
  </si>
  <si>
    <t>Alfresco-alfresco-android-app-528</t>
  </si>
  <si>
    <t>ANDROID-704 App crashes when trying to start a workflow</t>
  </si>
  <si>
    <t>More info can be found at:</t>
  </si>
  <si>
    <t>martykan-forecastie-327</t>
  </si>
  <si>
    <t>Crash with widget</t>
  </si>
  <si>
    <t>When start Forecastie from widget got crash. Here is the log</t>
  </si>
  <si>
    <t>tobexyz-yaacc-code-30</t>
  </si>
  <si>
    <t>Content tab says 'loading...' forever</t>
  </si>
  <si>
    <t>just installed the app from f-droid (version 2.2.0) and went to content tab. am expecting it to show my local files on the device, but it just shows Loading... text forever. There is icon (arrow pointing down to line) in front of that text. If click that icon, the app will crash and the OS will say that YAACC has stopped.</t>
  </si>
  <si>
    <t>fennifith-Alarmio-41</t>
  </si>
  <si>
    <t>repeated crash log, while opening the app</t>
  </si>
  <si>
    <t>this error happens mostly two or three times day(I open the app mostly 6-8 times day), ignored it for sometime, but now think there maybe real problem.
is there more convenient way to send the logs without emailing it.
maybe instead of share, linking to upload it to server or something like that.
Caused by: Cannot call this method while RecyclerView is computing layout or scrolling 5c38390 VFED..... ......ID 0,0-1080,1775 #7f0900c9 app:id recycler 9167f24, 3294a8d, 1234bd5
... 95 more</t>
  </si>
  <si>
    <t>Haptic-Apps-Slide-2975</t>
  </si>
  <si>
    <t>Having a very large filter list crashes the app when opening filter settings</t>
  </si>
  <si>
    <t>Slide version: 6.0.1-3 Fdroid
Android version: 8.1.0
have very large amount of subreddits filtered (300+) and while previously could open the filter settings, it was just very slow, now it crashes completely. Which is very unfortunate, as accidentally blocked imgur and would like to get it back. Issue occurs every time try to access the filter settings.</t>
  </si>
  <si>
    <t>2019-02-19</t>
  </si>
  <si>
    <t>SeniorDesignTm-SmartUniMain-1</t>
  </si>
  <si>
    <t>**The add button crashes the app if used with out typing description for the date null reference )**</t>
  </si>
  <si>
    <t>commons-app-apps-android-commons-2487</t>
  </si>
  <si>
    <t>SQLiteException: no such column: wikidataEntityID (v2.10.0)</t>
  </si>
  <si>
    <t>Got quite few of these crashes:
ANDROID VERSION 7.1.2
APP VERSION NAME 2.10.0
PHONE MODEL vivo 1716</t>
  </si>
  <si>
    <t>opensrp-opensrp-client-chw-129</t>
  </si>
  <si>
    <t>Investigate app crash after add child under 5</t>
  </si>
  <si>
    <t>fossasia-open-event-organizer-android-1514</t>
  </si>
  <si>
    <t>event can't be added to the app</t>
  </si>
  <si>
    <t>**Describe the bug**
&lt;not able to login with the given credentials
&lt;Steps to reproduce the behavior:
1. Go to app
2. Click on the app and enter the email id orgadeveloper gmail.com and password fossasia
4. See error error 401 unauthorized&gt;
It should log in
into the app&gt;
&lt;!-- Please add logs in case of any crash or applicable error. --&gt;
whatsapp image 2019-02-19 at 30 49 pm (https: 35845477
&lt;!-- Please complete the following information --&gt;
Device Redmi 5A
Android Version Oreo
**Would you like to work on the issue?**
&lt;!-- Please let us know if you can work on it or the issue should be assigned to someone else. --&gt;</t>
  </si>
  <si>
    <t>cgeo-cgeo-7303</t>
  </si>
  <si>
    <t>NPE on  map</t>
  </si>
  <si>
    <t>New crash report with 2019.02.17-RC.
Not sure if this can be related to sdk-raise or not.</t>
  </si>
  <si>
    <t>2019-02-18</t>
  </si>
  <si>
    <t>SCCapstone-DBK-56</t>
  </si>
  <si>
    <t>Selecting a Job crashes program with NullPointerException</t>
  </si>
  <si>
    <t>Open the app. Add new Job. Open Drawer. Click Job.
Switch to calculator view for that job, populating the calculator with the site information (pending #49).
Program crashes with on line 80 of (https: github.com SCCapstone DBK blob app src main java edu sc dbkdrymatic
Blocks #49, #31</t>
  </si>
  <si>
    <t>mjaun-android-anuto-158</t>
  </si>
  <si>
    <t>anuto crashes on enemy success at high level</t>
  </si>
  <si>
    <t>With version 0.5 from f-droid experience crashes in high levels. It happens the third time start this map from scratch. Now did screenshot after reopening and getting to the very wave. If one enemy succeeds in this level the anuto crashes. only tried this map.
Thanks for this fun game</t>
  </si>
  <si>
    <t>2019-02-17</t>
  </si>
  <si>
    <t>cgeo-cgeo-7300</t>
  </si>
  <si>
    <t>OnResume crash on map</t>
  </si>
  <si>
    <t>For now just reminder to myself:
During my vacation experienced regular crashes when switched my device to standby and resumed afterwards while c:geo map was opened.
Map of saved list or live map (without data connection) opened
Nightly build of approx. beginning of February
Switch off display
Switch it on again
need to doublecheck the conditions and check if this has already been reported somewhere here.</t>
  </si>
  <si>
    <t>react-native-camera-react-native-camera-2111</t>
  </si>
  <si>
    <t>RNCamera whiteBalance prop does not work with Android 9.0.</t>
  </si>
  <si>
    <t>**To Do First**
Did you try latest release?
Did you try master?
Did you look for existing matching issues?
&lt;!--Comment in the related ones--&gt;
After upgrading phone emulator to **Android 9.0 Pie**, RNCamera whiteBalance prop does not work. Only Ends up crashing when changing it dynamically.
&lt;!--Comment in the related ones--&gt;
After upgrading phone emulator to **Android 9.0 Pie**, RNCamera whiteBalance prop does not work. Only Ends up crashing when changing it dynamically.
&lt;!--Please add the used versions branches or leave blank and comment in the optionals if used--&gt;
**Description Current Behaviour**
&lt;!--place your bug description below--&gt;
After upgrading phone emulator to **Android 9.0 Pie**, RNCamera whiteBalance prop does not work. Only Ends up crashing when changing it dynamically.
&lt;!--place your expected behaviour below--&gt;
**Steps to Reproduce**
&lt;!--describe how to produce the error below--&gt;
&lt;!--**Does it work with Expo Camera?**--&gt;
&lt;!--Check usage with Expo and comment in this section- https: github.com react-native-camera blob master docs Expo Usage.md
You should open an issue there as well, so we can cooperate in solution.--&gt;
&lt;!--place screenshots suggestions and other additional infos below--&gt;
Love Please consider supporting our collective: https: opencollective.com react-native-camera donate</t>
  </si>
  <si>
    <t>2019-02-16</t>
  </si>
  <si>
    <t>DigitalCampus-oppia-mobile-android-787</t>
  </si>
  <si>
    <t>Points screen make app crash</t>
  </si>
  <si>
    <t>2019-02-15</t>
  </si>
  <si>
    <t>commons-app-apps-android-commons-2476</t>
  </si>
  <si>
    <t>Crash due to contribution dao in 2.10</t>
  </si>
  <si>
    <t>We have received couple of crash reports pointing to some issue with the ContributionDao
**Steps to reproduce:**
How can we reproduce the issue?
Upgrading the app from previous release versions might help in reproducing the issue.
Error Code (SQLITE ERROR)
Caused By SQL(query) error or missing database.
(no such column: wikidataEntityID (code 1): while compiling: SELECT id, filename, local uri, image url, timestamp, state, length, uploaded, transferred, source, description, creator, multiple, width, height, license, wikidataEntityID FROM contributions ORDER BY state DESC, uploaded DESC (timestamp state)LIMIT 100)
Error Code (SQLITE ERROR)
Caused By SQL(query) error or missing database.
(no such column: wikidataEntityID (code 1): while compiling: SELECT id, filename, local uri, image url, timestamp, state, length, uploaded, transferred, source, description, creator, multiple, width, height, license, wikidataEntityID FROM contributions ORDER BY state DESC, uploaded DESC (timestamp state)LIMIT 100)
**Commons app version:**</t>
  </si>
  <si>
    <t>google-ExoPlayer-5520</t>
  </si>
  <si>
    <t>IndexOutOfBoundsException switching between progressive and adaptive streams</t>
  </si>
  <si>
    <t>### Issue description
When trying to switch an ExoPlayer instance between Dash and an MP4 stream (or MP4 to Dash) while trying to resume at the same playback position an occurs.
Specifically, calling prepare with resetPosition set to false while changing MediaSource types will cause the exception.
### Reproduction steps
1. Load and begin playing an MP4 stream.
2. Try and load Dash stream, keeping playback position false, true) ).
3. Application crash.
### Link to test content
To reproduce the steps in the sample app:
1. Build and launch the app.
2. Tap on either the Play MP4 or Play Dash buttons.
3. Once the video starts playing, tap on the other button,
4. The application will crash.
Replacing the currently playing MP4 with new MP4 stream (pressing the Play MP4 button second time) switches playback as expected, likewise loading new Dash stream while current Dash stream is playing also switches correctly.
### Version of ExoPlayer being used
### Device(s) and version(s) of Android being used
Google Pixel XL</t>
  </si>
  <si>
    <t>marco97pa-punti-burraco-16</t>
  </si>
  <si>
    <t>Resources NotFoundException</t>
  </si>
  <si>
    <t>App crashes on **Huawei Mate 20 lite** (Android 8.1 6GB RAM Kirin 710 1080 2340 480 dpi
arm64-v8a armeabi-v7a armeabi OpenGL ES3.2)
We have no info about what was the user trying to do when the crash occurred.</t>
  </si>
  <si>
    <t>getodk-collect-2880</t>
  </si>
  <si>
    <t>TriggerWidget crashes when a user tries to open it from the hierarchy</t>
  </si>
  <si>
    <t>#### Software and hardware versions
Collect v1.19.0 and older versions
#### Problem description
TriggerWidget crashes when user tries to open it from the hierarchy when it contains guidance.
#### Steps to reproduce the problem
1. Enable guidance in General Settings -&gt; Form management -&gt; Show guidance for questions
2. Open the attached form:
3. Navigate to the hierarchy view
4. Select the widget from the list</t>
  </si>
  <si>
    <t>Freeyourgadget-Gadgetbridge-1428</t>
  </si>
  <si>
    <t>Gadgetbridge crashes on opening Sleep statistics (in German language)</t>
  </si>
  <si>
    <t>#### Before reporting bug, please confirm the following:
have read the wiki (https: github.com Freeyourgadget Gadgetbridge wiki), and didn find solution to my problem an answer to my question.
have searched the issues (https: github.com Freeyourgadget Gadgetbridge issues), and didn find solution to my problem an answer to my question.
If you upload an image or other content, please make sure you have read and understood the github policies and terms of services (https: help.github.com articles
#### Your issue is:
*If possible, please attach logs (https: github.com Freeyourgadget Gadgetbridge wiki Log-Files)! that might help identifying the problem.*
#### Your wearable device is:
Mi Band FW 2.3.0.2
#### Your android version is:
LineageOS 15.1 current nightly
#### Your Gadgetbridge version is:
yesterday updated to the newest Gadgetbride version from F-Droid. Since then the app crashes if want to check my Sleep statitics under activites.
Attached the relevant part of the log file:</t>
  </si>
  <si>
    <t>nikita36078-J2ME-Loader-458</t>
  </si>
  <si>
    <t>Water Rapids crashes on launch</t>
  </si>
  <si>
    <t>**Emulator version:** 1.4.0-play
**Game version:** Water Rapids 1.9
**Game resolution:** 128x128
**Android version:** 8.1.0
**Description of the issue:** It is possible to get through the splash screen to the menu. Options High scores and Instructions work too, but when select New game the emulator crashes immediately.</t>
  </si>
  <si>
    <t>2019-02-14</t>
  </si>
  <si>
    <t>particle-iot-particle-android-63</t>
  </si>
  <si>
    <t>Async RejectedExecutionException</t>
  </si>
  <si>
    <t>Original issue: https: github.com particle-iot spark-sdk-android issues 50
Cloud SDK Async implementation occasionally throws (once ThreadPoolExecutor limit is exceeded). This exception was also culprit behind few crashes on Tinker app.
Few options put forward by jensck:
Use our own ThreadPoolExecutor with higher limit
Overload executeAsync() allowing developers to specify ThreadPoolExecutor limits.
Add global mutable state Async.setExecutor()
Once either option is implemented following has to be considered:
Check catch in all overloaded executeAsync() methods.
Execute executeAsync() call without throwing (perhaps we should return boolean response indicating wether task was added to queue).</t>
  </si>
  <si>
    <t>react-native-video-react-native-video-1482</t>
  </si>
  <si>
    <t>fix(ios): message sent to deallocated instance</t>
  </si>
  <si>
    <t>#### Provide an example of how to test the change
had some EXC BAD ACCESS crashes in my app without an useful stack trace. After enabling zombie mode was able to get the following log:
RCTVideo retain message sent to deallocated instance 0x10c530890
checked the code and eventually figured out that player removeObserver:self context: nil is not called upon dealloc.
am not 100% sure this results in the crash. However after adding that line to dealloc was not able to reproduce this issue with the simulator or my testing device. will also send out new testflight in order to verify that this is the case.
The crash seems to occur when you are quickly mounting and unmount video components e.g. through quick navigation.</t>
  </si>
  <si>
    <t>deltachat-deltachat-android-720</t>
  </si>
  <si>
    <t>GlideApp...getI() must not be called from main thread</t>
  </si>
  <si>
    <t>got two crashes wrt notifications on nexus4 android 8.1 oreo
the crashes were assertions from the Glide module saying You must call this method on background thread
tracing back the log, it probably (https: github.com deltachat deltachat-android blob master src org thoughtcrime securesms notifications which calls GlideApp...get(), probably from the main thread and not from background thread.
wondering why the app does not crash all the time.</t>
  </si>
  <si>
    <t>commons-app-apps-android-commons-2449</t>
  </si>
  <si>
    <t>Crashed when uploading an image to server which is in read-only mode</t>
  </si>
  <si>
    <t>Whenever am trying to upload an image from home page the app is getting crashed</t>
  </si>
  <si>
    <t>nikita36078-J2ME-Loader-456</t>
  </si>
  <si>
    <t>PES 2011 is running slow</t>
  </si>
  <si>
    <t>Samsung Galaxy J5 Pro
**Description of the issue:**
The game PES 2011 has crashes in version 1.4.2 of the emulator, this has not happened in previous versions, with the acceleration of HW activated improving little but the game continues to crash.</t>
  </si>
  <si>
    <t>AmazMod-AmazMod-400</t>
  </si>
  <si>
    <t>WhatsApp/Messenger call notifications not working</t>
  </si>
  <si>
    <t>Today see that when received WhatsApp call, service go force close. pick log with crash</t>
  </si>
  <si>
    <t>2019-02-13</t>
  </si>
  <si>
    <t>moneymanagerex-android-money-manager-ex-1296</t>
  </si>
  <si>
    <t>Split transactions crash</t>
  </si>
  <si>
    <t>As result of the support libraries, and the new androidx namespace, the Split Transactions view is not opening.</t>
  </si>
  <si>
    <t>ShawnLin013-NumberPicker-135</t>
  </si>
  <si>
    <t>ResourceNotFoundException (NumberPicker.java line 673)</t>
  </si>
  <si>
    <t>We ve been getting crash in Firebase that NumberPicker is the cause of. using version 2.4.7 of NumberPicker. The resource ID 0x7f0800ce is found in AndroidStudio in R.java as np numberpicker selection divider can find reference to that in your source files, so at bit of loss.
This is the crash (we can reproduce it):</t>
  </si>
  <si>
    <t>nextcloud-android-library-247</t>
  </si>
  <si>
    <t>null pointer crash in CreateRemoteFolderOperation</t>
  </si>
  <si>
    <t>There is null-pointer crash when using in this situation:
Set the server URL to the wrong URL https: myserver.de remote.php webdav (correct URL would be https: myserver.de ).
Call with some folder subfolder
When the operation is run, the following happens:
calls createFolder() which fails.
Because it fails, it will call which will try to create and fails again.
As it fails again, it will try to create the parent folder of
It crashes in the following line.</t>
  </si>
  <si>
    <t>2019-02-12</t>
  </si>
  <si>
    <t>google-blockly-android-772</t>
  </si>
  <si>
    <t>Crash with variable fields and no variables in workspace</t>
  </si>
  <si>
    <t>Blockly crashes app (index out of bounds) when rendering variable field in workspace that doesn have any variables. For instance, in the Loops or Lists category before creating variable. Toolbox blocks have variable fields for and list respectively.
This bug is new as of PR #771.
--------- beginning of crash</t>
  </si>
  <si>
    <t>Catfriend1-syncthing-android-321</t>
  </si>
  <si>
    <t>The ViewPager crashes sometimes (again)</t>
  </si>
  <si>
    <t>### Android Log
Infinix NOTE Pro (Infinix-X571), Android 8.1</t>
  </si>
  <si>
    <t>alexstojda-soen390-36</t>
  </si>
  <si>
    <t>wiki walky feature doesn't prompt user for camera permission</t>
  </si>
  <si>
    <t>Steps to reproduce the behavior:
1. fresh download app
2. enable wiki walky in settings
3. go to an article
4. app will crash
The app should prompt user to enable the camera hardware
Reproduceable on all android devices on all recent versions of android</t>
  </si>
  <si>
    <t>2019-02-11</t>
  </si>
  <si>
    <t>fossasia-phimpme-android-2523</t>
  </si>
  <si>
    <t>App crash in orientation change while apply the effect</t>
  </si>
  <si>
    <t>App is crashing when select the effect and change orientation then apply the effect.
App should not crash.
**Steps to reproduce it**
Step 1. Click on the edit image button and go to enhancement select any effect.
Step 2. Change the orientation and then select the apply button (right tick icon).
**Would you like to work on the issue?**</t>
  </si>
  <si>
    <t>square-retrofit-3023</t>
  </si>
  <si>
    <t>Attempt to invoke virtual method 'retrofit2.Converter retrofit2.Converter$Factory.stringConverter(java.lang.reflect.Type, java.lang.annotation.Annotation[], retrofit2.Retrofit)' on a null object reference</t>
  </si>
  <si>
    <t>$Proxy4.getSession (Unknown Source)
Attempt to invoke virtual method retrofit2.Converter retrofit2.Retrofit) on null object reference
App crashes when parsing results. All results are Json responses. It does not happen all times. During testing error was not reproducible Thousands of crashes are gets reported every day. Please help.</t>
  </si>
  <si>
    <t>AmazMod-AmazMod-392</t>
  </si>
  <si>
    <t>Notification Drawer crashes when opening an empty (no title) notification</t>
  </si>
  <si>
    <t>Some apps generates notifications with no content (no title and no description), these notifications appear on watch (empty, as expected) but when notification drawer is openned is crashes amazmod (didn logcat yet, but probably some sort of
My suggestion is to fix this in service but, also, we could do not forward these notifications to watch.
What do you think lfom GreatApo</t>
  </si>
  <si>
    <t>2019-02-10</t>
  </si>
  <si>
    <t>SecUSo-privacy-friendly-wifi-manager-18</t>
  </si>
  <si>
    <t>Crashes immediately on pressing scedule button</t>
  </si>
  <si>
    <t>Every time press scedule immediately WiFi manager crashes. It happens every time.
really like this app and used to use smarter wifi thats no longer open source, really hope there can be some development of this app. Thanks</t>
  </si>
  <si>
    <t>2019-02-09</t>
  </si>
  <si>
    <t>awslabs-aws-mobile-appsync-sdk-android-114</t>
  </si>
  <si>
    <t>Subscription crashing application due to "java.util.NoSuchElementException" exception</t>
  </si>
  <si>
    <t>**Describe the bug**
Subscription crashing application due to on null object reference, after some time of using subscription on cancel.
complete the following information):**
AppSync SDK Version: 2.7.+
**Device Information (please complete the following information):**
-Checked on Lolipop and Nougat
think this is happening due to the below closing of subscription.
It was working on 2.6.+ version without any problem, just updated it to 2.7+ version and app started crashing with the above error.</t>
  </si>
  <si>
    <t>Intelehealth-Android-Mobile-Client-625</t>
  </si>
  <si>
    <t>JobDispatchService.java line 127</t>
  </si>
  <si>
    <t>Known issue on Android and higher
Firebase crashlytics log (https: project mobile-crashlytics crashlytics app issues DNE v2)</t>
  </si>
  <si>
    <t>matomo-org-matomo-sdk-android-249</t>
  </si>
  <si>
    <t>UncaughtExceptionHandler looses events on crash</t>
  </si>
  <si>
    <t>installed the using and can see the event being created and dispatched, but the app is being killed before the network request completes.
attempt to debug this so have the dispatch timeout currently set to and can see the following when the event is sent correctly (the REMOVED is my own edits):
1549581614.188 Connection is open to REMOVED
1549581614.188 Sending: Packet(type GET, data REMOVED
1549581614.970 Transmission finished (code 204).
When the crash happens can see the first two lines but the app stops before the transmission is finished.
Is there reason the dispatch has to be called in the exception handler as opposed to letting the event cache to disk and transmitting it on next app start up?</t>
  </si>
  <si>
    <t>2019-02-07</t>
  </si>
  <si>
    <t>mendhak-gpslogger-715</t>
  </si>
  <si>
    <t>Send to custom URL crashes if password contains a #</t>
  </si>
  <si>
    <t>The password contained various special characters. Among others: $, and Only the led to the crash.
Originally posted by semperor in https: github.com mendhak gpslogger issues</t>
  </si>
  <si>
    <t>2019-02-06</t>
  </si>
  <si>
    <t>MasoomBadi-Musica-2</t>
  </si>
  <si>
    <t>Android Pie, app crashes while changing songs from notification</t>
  </si>
  <si>
    <t>google-ExoPlayer-5476</t>
  </si>
  <si>
    <t>IMA Demo Crash on Open</t>
  </si>
  <si>
    <t>### Issue description
The Exo IMA Demo crashes on open
### Reproduction steps
1. Upgrade build tools to 3.3.0
3. Run the demo on your phone
### Link to test content
### Version of ExoPlayer being used
### Device(s) and version(s) of Android being used
Motorola Moto Play Droid Motorola XT1635-01(Android 8.0.0, API 26)
### full bug report captured from the device
Client not ready yet..Waiting for process to come online
Waiting for process to come online
Connected to process 5487 on device motorola-xt1635 01-ZY223JV2SG
Capturing and displaying logcat messages from application. This behavior can be disabled in the Logcat output section of the Debugger settings page.
Unrecognized profile 2130706434 for video avc
Unrecognized profile 2130706434 for video avc
Unrecognized profile 2130706434 for video avc
Increasing code cache capacity to 128KB</t>
  </si>
  <si>
    <t>2019-02-05</t>
  </si>
  <si>
    <t>square-okhttp-4592</t>
  </si>
  <si>
    <t>OkHttp 3.13 on Android with custom trust manager fails with AssertionError</t>
  </si>
  <si>
    <t>We have an app that uses custom X509TrustManager on API 24) to implement additional certificate whitelisting requirements. Basically the custom trust manager takes system trust manager as delegate and adds custom whitelist checks on top.
This used to work fine up to OkHttp 3.12.1.
On OkHttp 3.13.0 this fails when initialising like:
SSLContext sslContext TLS
new TrustManager trustManager null)
throw new RuntimeException(e)
with stacktrace like:
Caused by: Required method String, String, String) missing
From the commits see https: github.com square okhttp commit introduced this AssertionError while earlier execution would fall back to super implementation.
On API 24 (tested only on 28) can get rid of this crash by adding the method looked up reflectively to our implementation:
** This is used reflectively by Android and okhttp **
public void chain, String authType, String host) throws
TODO figure out if something could be done with the host param
However this does not work on API 24 (our min SDK is 21). Adding the same method to X509TrustManager just introduces another issue. This one on API 21 emulator:
Caused by: tm is an instance of which is not supported type of X509TrustManager
Looking up the platform source (http: androidxref.com 5.0.0 r2 xref frameworks base core java android net http the code just allows TrustManagerImpl which is platform-internal class and cannot really be used in app code.
1. How would one use custom X509TrustManager with OkHttp 3.13 without crashes?
2. Any alternative ideas for implementing custom certificate checks?</t>
  </si>
  <si>
    <t>BlueCodeSystems-smartcerv-3</t>
  </si>
  <si>
    <t>Application crashes when you save/submit a new registration</t>
  </si>
  <si>
    <t>KnightHacks-KnightHacks_androiddev-26</t>
  </si>
  <si>
    <t>[Splash Screen] Some SVGs are Crashing the App</t>
  </si>
  <si>
    <t>Some of the XMLs from the SVGs in the splash screen are crashing the app. not sure what going on, but with API 21 and API 23 the SVGs are failing to render. This is causing the app to not run at all.
haven tested with other APIs, but API 21 API 23 is already 37% of the Android population. With API 27, the SVGs render fine.
The main SVG in question is the space clouds graphic. When comment the use of this graphic, the other graphics for the splash screen render but some of them are just invisible (the rocket with no flames and cloud one in specific).
## Attempted Fixes
No real fixes have been attempted, ve just been trying to debug what happening because the error is quite obscure. It saying that the color palette doesn exist for the drawable resource (the SVG vectorized XML) and that the ImageView cannot be inflated.
## Current State
The splash screen works fine when it runs on API 27 to my knowledge. have tried running it on API 21 and API 23 where it did not succeed in running successfully.</t>
  </si>
  <si>
    <t>nextcloud-android-3565</t>
  </si>
  <si>
    <t>Crash on start android 9</t>
  </si>
  <si>
    <t>### Actual behaviour
App starts and crashes
### Expected behaviour
### Steps to reproduce
1. Start app
### Environment data
Android version: Latest android jan
Device model: Pixel XL
Stock or customized system: Stock
Nextcloud app version: Latest from app store
Nextcloud server version: 15.0.2
Tried removing app en reinstalling, clear cache data etc. Still same problem.
compiling: ALTER TABLE external links ADD COLUMN redirect INTEGER</t>
  </si>
  <si>
    <t>2019-02-04</t>
  </si>
  <si>
    <t>nextcloud-android-3559</t>
  </si>
  <si>
    <t>[3.5.0RC1] IllegalArgumentException via AuthenticatorActivity.parseLoginDataUrl</t>
  </si>
  <si>
    <t>piece of code causeing it:
for (String value values)
if (value.startsWith( user LOGIN URL DATA KEY VALUE SEPARATOR))
value.substring(( user LOGIN URL DATA KEY VALUE
else if (value.startsWith( password LOGIN URL DATA KEY VALUE SEPARATOR))
value.substring(( password LOGIN URL DATA KEY VALUE
else if (value.startsWith( server LOGIN URL DATA KEY VALUE SEPARATOR))
value.substring(( server LOGIN URL DATA KEY VALUE
error illegal URL element detected
throw new Illegal magic login URL element detected: value)
To me this can only happen if
Nc Login URL protocoll is correct but
parameter has been set that is unexpected (read: not user password server)
In such scenario the client should just state that (Snackbar maybe) but shouldn report crash on the GPlay dev console.
What do you think tobiasKaminsky</t>
  </si>
  <si>
    <t>k9mail-k-9-3900</t>
  </si>
  <si>
    <t>Crash when opening PGP/MIME signed email</t>
  </si>
  <si>
    <t>### Expected behavior
The email should be opened and all attachments should be listed.
### Actual behavior
The app crashes upon opening the email.
### Steps to reproduce
1. Receive an email with multipart signed type (PGP, Enigmail) and attachments
2. Click on it in the folder
K-9 Mail version: 5.208
Android version: 8.0.0
Account type (IMAP, POP3, WebDAV Exchange): IMAP
Please take some time to retrieve logs (https: github.com k9mail k-9 wiki LoggingErrors) and attach them here:</t>
  </si>
  <si>
    <t>nextcloud-android-3557</t>
  </si>
  <si>
    <t>Crashes potentially related to Auto Upload</t>
  </si>
  <si>
    <t>### Actual behaviour
The app hangs and crashes. 100% fail rate when try to access auto upload.
After opening the app my phone restarted.
### Expected behaviour
No hangs, no crashes.
### Steps to reproduce
1. Open the app and wait.
2. Or open the app and try to access auto upload.
### Environment data
Android version: 8.0.0
Device model: Samsung Galaxy S7 (SM-G930F)
Stock or customized system: Stock
Nextcloud app version:
Nextcloud server version:
#### Web server error log
Insert your webserver log here
#### Nextcloud log (data nextcloud.log)
Insert your Nextcloud log here</t>
  </si>
  <si>
    <t>2019-02-03</t>
  </si>
  <si>
    <t>deltachat-deltachat-android-698</t>
  </si>
  <si>
    <t>group create issues</t>
  </si>
  <si>
    <t>create group -&gt; add one member -&gt; leave group name empty -&gt; create -&gt; crash
create group -&gt; show qr code -&gt; do not scan -&gt; optionally add one member -&gt; create -&gt; cannot send as SELF is not member</t>
  </si>
  <si>
    <t>2019-02-02</t>
  </si>
  <si>
    <t>MCMrARM-revolution-irc-189</t>
  </si>
  <si>
    <t>Raw ping command in server window crashes revo</t>
  </si>
  <si>
    <t>sending ping as raw command in the server window makes Revo IRC to crash instantly usually without any crash reports.</t>
  </si>
  <si>
    <t>wordpress-mobile-WordPress-Login-Flow-Android-7</t>
  </si>
  <si>
    <t>LoginEmailFragment: "Already managing a GoogleApiClient"</t>
  </si>
  <si>
    <t>The WCAndroid and WPAndroid apps both have Already managing GoogleApiClient crashes in LoginEmailFragment</t>
  </si>
  <si>
    <t>2019-02-01</t>
  </si>
  <si>
    <t>Catfriend1-syncthing-android-295</t>
  </si>
  <si>
    <t>Don't crash if config got corrupted and inform the user</t>
  </si>
  <si>
    <t>Don crash if config got corrupted and inform the user
crash when config elements gui, options are missing (fixes #291)
SyncthingService doesn stop if config got corrupted (fixes #292)
Broken config results in welcome wizard loop with no indication of what wrong (fixes #293)
Small screens: Crash notification reason is off-screen (fixes #294)
Verified working on AVD 9.x at commit https: github.com Catfriend1 syncthing-android pull 295 commits</t>
  </si>
  <si>
    <t>2019-01-31</t>
  </si>
  <si>
    <t>Catfriend1-syncthing-android-291</t>
  </si>
  <si>
    <t>NullPointerException crash when config elements gui, options are missing</t>
  </si>
  <si>
    <t>From GPlay Console:</t>
  </si>
  <si>
    <t>nextcloud-talk-android-439</t>
  </si>
  <si>
    <t>Chatting in a public link joined room crashes the app</t>
  </si>
  <si>
    <t>1. Set up an account
2. Join via public link
3. Write something into chat
4. Wait until after some moments the app just closes.</t>
  </si>
  <si>
    <t>tyirenkyi-NewsApp-1</t>
  </si>
  <si>
    <t>Tech fragment crashes app</t>
  </si>
  <si>
    <t>swiping to the tech fragment, causes the app to crash</t>
  </si>
  <si>
    <t>niranjan-nagaraju-notification-center-1</t>
  </si>
  <si>
    <t>App crashes on home button press.</t>
  </si>
  <si>
    <t>Post commit id
replacing broadcast receivers with IBinder service integrations, app crashes when activity goes out of foreground (when home button is pressed, for e.g.)</t>
  </si>
  <si>
    <t>2019-01-30</t>
  </si>
  <si>
    <t>libgdx-gdx-pay-189</t>
  </si>
  <si>
    <t xml:space="preserve">Error if app is disposed before purchasemanager install ends </t>
  </si>
  <si>
    <t>just included gdx-pay-12-SNAPSHOT in some of my games and got few errors like this:
It seems when the App is exited (and purchasemanager disposed) before the purchasemanager finished installing it causes crash.
can reproduce the same crash if just exit the app shortly after calling the purchasemanager install like:
The apps dispose method includes this of course:
if (purchaseManager null)
As understand the problem is the service connection that starts in on line 77: Runnable() ... it will call fetchOfferDetails() even if the manager is disposed and then in line 111 int offerSize the config is already gone and causes the nullpointer exception.</t>
  </si>
  <si>
    <t>MegatronKing-NetBare-4</t>
  </si>
  <si>
    <t>Crash on Android 8.1 devices</t>
  </si>
  <si>
    <t>We are running some tests with netbare-sample. It is working fine on Android and Android devices that we have tested. However, on all Android 8.1 devices that we test, after turning on the VPN and browsing https pages using Chrome, the following crash occurs (100% reproducible on our devices):
Caused by: Read error
Looks like there is problem with ConscryptEngine on Android 8.1 devices that causes this error.
Can anyone reproduce this on an Android 8.1 device?</t>
  </si>
  <si>
    <t>zeroc-ice-ice-demos-37</t>
  </si>
  <si>
    <t>android/mtalk demo crash running on simulator</t>
  </si>
  <si>
    <t>The demo crash trying to enable bluetooth adapter</t>
  </si>
  <si>
    <t>tobexyz-yaacc-code-27</t>
  </si>
  <si>
    <t>Runtime crash on each startup</t>
  </si>
  <si>
    <t>YAAC currently causes crash on startup, logging
and indeed, in getCurrentPlayers, there is no protection against currentActivePlayer being null. The function getPlayer has the following:
Get Player not found
and guess something like this might also be needed for getCurrentPlayers. Sorry for not providing pull request, have not been able to build YAACC yet.</t>
  </si>
  <si>
    <t>tobexyz-yaacc-code-26</t>
  </si>
  <si>
    <t>Async loading never stops</t>
  </si>
  <si>
    <t>Thanks for working on YAACC, it is the only app of its kind! Unfortunately, the new async code never finishes loadung. Full log below. Let me know if there is more can do.
--------- beginning of main
--------- beginning of system
--------- beginning of crash</t>
  </si>
  <si>
    <t>fossasia-phimpme-android-2469</t>
  </si>
  <si>
    <t>App crashes at activity showing single photo.</t>
  </si>
  <si>
    <t>While viewing the image, if we tap on menu icon and select description, app crashes.
It should show information about the current image and description dialog box should appear.
**Steps to reproduce it**
Add steps to reproduce bugs or add information on the place where the feature should be implemented. Add links to sample deployment or code.
**GIF of the issue**
phimp me error (https: 31595908
**Would you like to work on the issue?**
would love working on this issue.</t>
  </si>
  <si>
    <t>2019-01-29</t>
  </si>
  <si>
    <t>doublesymmetry-react-native-track-player-416</t>
  </si>
  <si>
    <t>[js] Typo in TypeScript declarations</t>
  </si>
  <si>
    <t>The declarations file said CAPABILITY SLIP TO NEXT instead of CAPABILITY SKIP TO NEXT
Using CAPABILITY SLIP TO NEXT in your applications crashes it.</t>
  </si>
  <si>
    <t>2019-01-28</t>
  </si>
  <si>
    <t>stealthcopter-AndroidNetworkTools-53</t>
  </si>
  <si>
    <t>Native ping java Process streams not closed</t>
  </si>
  <si>
    <t>In the PingNative::ping method, the process input output error streams are not closed after completion.
While using this library in Android API level 23 (Marshmallow), it was leading to spike in number of pipe file descriptors, eventually crashing the user App as the number of FDs were exceeding the allowed limit per process, if GC was not invoked at that instant. However, did not face the same issue in Android API level 28 (Oreo).</t>
  </si>
  <si>
    <t>MCMrARM-revolution-irc-183</t>
  </si>
  <si>
    <t>Selecting a custom theme crashes the app</t>
  </si>
  <si>
    <t>While grokking the new 0.5.0 update, selected Settings Interface Create new theme which promptly crashed the app. Launching the app was unsuccessful as long as this new custom theme was selected clearing app data is not an option, since App info Manage space also failed with crash.
My phone is an LG-D851 (G3 with 32GB) on Android 5.0.1. This is probably relevant, as one user on IRC had no such problem. am willing to help with further debugging as needed.
Perhaps don auto-select the new theme on creation?
If you push new update to fix this, it may be good idea to clear the current theme selection on first run, for those unrooted users who may be in this predicament, and don want to lose their data by way of uninstalling. This shouldn be too intrusive, as 0.5.0 forgot my selection of the dark theme anyway.</t>
  </si>
  <si>
    <t>osmdroid-osmdroid-1260</t>
  </si>
  <si>
    <t>Random crash during using osmdroid</t>
  </si>
  <si>
    <t>have used osmdroid of several years and users are reported me to weird random crashes. have not find any googd reason why this happens until now started used firebase. unable to reproduce this by self error but it seems happens in varied devices randomly every week. have now updated to version 6.0.3
Any Idea how to fix this?
Here is log form firebase:
Fatal Exception: Index: 63, Size: 62</t>
  </si>
  <si>
    <t>2019-01-27</t>
  </si>
  <si>
    <t>CainKernel-CainCamera-37</t>
  </si>
  <si>
    <t>横竖屏切换crash</t>
  </si>
  <si>
    <t>deltachat-deltachat-android-672</t>
  </si>
  <si>
    <t>Delta chat crashes after sending first message</t>
  </si>
  <si>
    <t>ve made fresh install from f-droid. After sending the first message Delta Chat crashes. Here is the extracted log from logcat:
--------- beginning of crash
Sending was successful. ve got the message in my mailbox. After deleting and newly install of appplication Delta Chats works without problems.
Delta Chat Version: 0.20.0</t>
  </si>
  <si>
    <t>EXALAB-AnLinux-App-54</t>
  </si>
  <si>
    <t>Fedora - dnfdragora and Web Browsers Not Working</t>
  </si>
  <si>
    <t>new to AnLinux but so far it been good. The only issue have noticed is that dnfdragora seems to crash before opening and haven been able to get any web browser working. Obviously this isn major issue since dnf can be run via terminal and can use the browser on the phone but would like to try to resolve this if possible. ve created list of browsers tried as well as description of the error for each. Any assistance would be appreciated.
Midori and Gnome Web: UI appears complete and pages seem to load in the background but still nothing displayed in the window</t>
  </si>
  <si>
    <t>nextcloud-android-3499</t>
  </si>
  <si>
    <t>Enabling "app locking" crashes app in an infinit loop</t>
  </si>
  <si>
    <t>### Actual behaviour
When you enable app locking (with device lock, not tested with pin) feature in the settings, and restart the app, the app will crash right after entering your password fingerprint and restart forever.
You will be locked out of your nextcloud app until you delete and reinstall the app.
### Expected behaviour
Nextcloud app schould not crash and restart after you have entered your password fingerprint.
### Steps to reproduce
1. Run the application.
2. Go to nextcloud app settings and enable device based locking (not pin).
3. Exit and restart app.
4. Try to Unlock.
5. App crashes unlock screen appears again.
### Environment data
Stock or customized system:
Rooted with MicroG
Nextcloud app version:
Nextcloud server version:
1. Disable your device screen-lock in the system settings completely.
2. Open Nextcloud app (you maybe need to wait for it to crash and open it twice) wait until the app is loaded.
3. Enable your device screen-lock in the system settings again.
4. Open Nextcloud app, enter you lock-pattern twice.</t>
  </si>
  <si>
    <t>2019-01-26</t>
  </si>
  <si>
    <t>zeroc-ice-ice-demos-36</t>
  </si>
  <si>
    <t>uwp bidir client crash in "Stop Client"</t>
  </si>
  <si>
    <t>If you press Stop Client on UWP bidir client in the process of connecting, the application crashes.
It possible the issue is Stop Client should not be clickable at that time.</t>
  </si>
  <si>
    <t>2019-01-25</t>
  </si>
  <si>
    <t>iovation-launchkey-android-authenticator-sdk-32</t>
  </si>
  <si>
    <t>Default Linking View Scanning QR Codes Crashes The App When Targeting Android API Level 27+</t>
  </si>
  <si>
    <t>This is something that isn inherent to the actual QR Scanner view but an intermediate opaque Activity making some checks around permissions. This issue exists **only** in the following conditions:
Implementing app is targeting 27+,
Default linking view is being used, and
The app or end user attempts to scan QR code instead of typing linking code through that default view
In the meantime, there is workaround.
Override the declaration of the crashing Activity in your app AndroidManifest.xml file and remove the Activity XML attribute screenOrientation just like here:</t>
  </si>
  <si>
    <t>ElderDrivers-EdXposed-26</t>
  </si>
  <si>
    <t>[BUG] Snaptools + EdXposed crashes Snapchat</t>
  </si>
  <si>
    <t>** What happened?**
Snapchat is crashing when enabling SnapTools module. Problem is related to EdXposed on previous Android versions (7.0 and 8.1) with original Xposed it was working properly, crashes started occuring after changing ROM to Resurrection Remix 7.0.0 (Android 9.0).
**Xposed Xposed Module List**
XPrivacyLua, XInsta, SnapTools
**Magisk Magisk Module List**
Riru Core, Riru Ed Xposed, Systemless Hosts, Youtube Vanced
**EdXposed Riru Versions of EdXposed and Riru**
** Logcat Logcat**
MultiDex VM with version 2.1.0 has multidex support
VM has multidex support, MultiDex support library is disabled.
FATAL EXCEPTION: main</t>
  </si>
  <si>
    <t>antest1-kcanotify-64</t>
  </si>
  <si>
    <t>After latest update (2.6.6 rev6) App no longer works properly.</t>
  </si>
  <si>
    <t>So after today android update, my app doesn work properly anymore, it doesn show me information on my fleet, my quests and it also says to open the game via Kcanotify despite already doing that, the only thing that works are the expedition timers and notifications, it also crashes randomly every now and then.
playing from Motorola Moto G6 plus updated to Android 9.0, the previous version of the app worked like charm without issues.</t>
  </si>
  <si>
    <t>wallabag-android-app-760</t>
  </si>
  <si>
    <t>Wallabag 2.1.0 crashes when switching to another app while tts is running</t>
  </si>
  <si>
    <t>Have you searched the issues of this repository if your issue is already known? yes
### Actual behaviour
Wallabag 2.1.0 crashes when switching to another app while tts is running. Error message:
### Expected behaviour
Steps to reproduce the issue
1. Open any article in Wallabag Android
2. Press the play button
3. Press the recent applications button
**wallabag app version**: 2.1.0
**wallabag app installation source** (e.g. Gplay, F-Droid, manual): tried both gplay and github
**Android OS version**: oreo 8.1.0
**Android ROM** (e.g. stock, LineageOS, SlimRom, ): stock, Samsung Experience 9.5
**Android hardware**: samsung J5 2018 SM-J530F
**wallabag server version**: framabag
**Do you have enabled?**: don know
## wallabag server
bug not not related to wallabag server.
## Web server
Please paste relevant web server logs (e.g. from nginx, Apache, here:
Your experience with wallabag Android app</t>
  </si>
  <si>
    <t>morenoh149-react-native-contacts-355</t>
  </si>
  <si>
    <t>getAll crashes app on android on birthday fields</t>
  </si>
  <si>
    <t>After the conversion to async update getAll crashes Android. No error is given as app crashes as soon as Contacts.getAll is called, seems the callback is never reached.
Permissions are granted (Read and write contacts).
RNC version 3.1.1
RN version: 57.1
Code throwing error:</t>
  </si>
  <si>
    <t>doublesymmetry-react-native-track-player-412</t>
  </si>
  <si>
    <t>[Android] NullPointerException @ Track.toMediaMetadata</t>
  </si>
  <si>
    <t>Receiving this crash log in production log reports.
By the way, thank you for your recent updates fixing crashes my crash reports have gone down significantly! But, still receiving this one from time to time</t>
  </si>
  <si>
    <t>2019-01-24</t>
  </si>
  <si>
    <t>winterweird-jpractice-41</t>
  </si>
  <si>
    <t>App crashes when accessing stored word</t>
  </si>
  <si>
    <t>OneBusAway-onebusaway-android-962</t>
  </si>
  <si>
    <t>NPE from Jackson when initializing TreeTraversingParser when loading arrivals</t>
  </si>
  <si>
    <t>Starting with v2.3.x, occasionally (around 710 crashes over the last 60 days) the app is crashing when trying to load arrivals times from the server, presumably when an invalid response is returned, with this stack trace (from Android dev console):
**Steps to reproduce:**
Not crash and show error message
**Device and Android version:**
Variety of Android devices and versions</t>
  </si>
  <si>
    <t>2019-01-23</t>
  </si>
  <si>
    <t>iFixit-dozuki-android-21</t>
  </si>
  <si>
    <t xml:space="preserve">App Crashes when Viewing "My Guides" </t>
  </si>
  <si>
    <t>Eurovia reported that when viewing the My Guides section on the app, the app crashes.
1. launch android app
2. click explore sites
3. search for Gunner Automotive
4. click Gunner Automotive
5. click the three lined menu icon in the upper left-hand corner
6. click My Guides on the bottom left side
7. see that app crashes
Make this section viewable</t>
  </si>
  <si>
    <t>OneBusAway-onebusaway-android-961</t>
  </si>
  <si>
    <t>Open311 problem report submissions are crashing with SecurityException</t>
  </si>
  <si>
    <t>When submitting an Open311 issue report, you ll see crash with this stack trace (from Android developer console):
Looks like this is an issue with the trying to get the Device ID we intended to remove all Device ID accesses with runtime permissions but missed this one.
**Steps to reproduce:**
1. Go to Send feedback in Tampa
1. Submit problem report
**Device and Android version:**
Samsung Galaxy J7 Pop (j7popelteaio), Android 7.0</t>
  </si>
  <si>
    <t>commons-app-apps-android-commons-2330</t>
  </si>
  <si>
    <t>Crash if Japanese locale</t>
  </si>
  <si>
    <t>**Steps to reproduce:**
1. Change Android locale to Japanese
2. Open app
3. Immediate crash
ANDROID VERSION 7.1.2
APP VERSION NAME 2.9.0.173
PHONE MODEL Nexus
Caused by: Conversion</t>
  </si>
  <si>
    <t>Catfriend1-syncthing-android-265</t>
  </si>
  <si>
    <t>Screen rotation during versioning dialog crashes next time opening it</t>
  </si>
  <si>
    <t>Open folder activity (edit folder)
Click on versioning
Close versioning dialog
Click on versioning</t>
  </si>
  <si>
    <t>2019-01-22</t>
  </si>
  <si>
    <t>Rlshep-BJCPBeerStyles_Android-19</t>
  </si>
  <si>
    <t>Sometimes crashes on reload</t>
  </si>
  <si>
    <t>Jan 19, 9:25 PM on app version 146
Huawei nova 3i (HWINE), Android 8.1</t>
  </si>
  <si>
    <t>renyuneyun-Easer-202</t>
  </si>
  <si>
    <t>Changing name of event crashes service</t>
  </si>
  <si>
    <t>After changing the name of an event, the app crashed instantly.
Restarting the app works, but it keeps crashing if try to re-enable the service.
The reason seems to be, that script had used this event,
but it cannot be found again, cause its name has changed.
fixed this by reconfiguring the specific script.
However it does not seem userfriendly if the app keeps crashing after renaming something.
It would be better if you use something like an id
or change the name in each object using the renamed object.</t>
  </si>
  <si>
    <t>deltachat-deltachat-android-414</t>
  </si>
  <si>
    <t>Attaching a location broken</t>
  </si>
  <si>
    <t>When try to attach location to chat different app (looks like Google Maps) opens for short moment, then crashes and back in delta. (see attached video)
Android-Version: 4.2.2 (Jelly Bean)
API Version: 17</t>
  </si>
  <si>
    <t>2019-01-21</t>
  </si>
  <si>
    <t>andenapp-PanningView-5</t>
  </si>
  <si>
    <t>getting NotFoundException when initializing the PanningView.
This is only in some devices, when distributing the app with Bundle, so don have way to ensure that the png resource will be available.
would need the app not to crash when this happens.</t>
  </si>
  <si>
    <t>react-native-camera-react-native-camera-2059</t>
  </si>
  <si>
    <t>RNCamera with orientationFix crashes on Samsung S5 (Android)</t>
  </si>
  <si>
    <t>**To Do First**
Did you try latest release?
Did you try master?
Did you look for existing matching issues?
&lt;!--Comment in the related ones--&gt;
&lt;!--Comment in the related ones--&gt;
&lt;!--Please add the used versions branches or leave blank and comment in the optionals if used--&gt;
**Description Current Behaviour**
&lt;!--place your bug description below--&gt;
After taking pictures with RNCamera, found the know rotation issue in several android devices.
Using fixOrientation (#493) solved the issue.
Except when using the back camera on Samsung S5 running Android 6.0.1.
With flashMode.auto, seconds after firing async takePicture, the camera flash lights up and soon the app crashes. Then there was the following YellowBox on console:
Asking for the permission on the manifest obviously removed this warning.
With flashMode.off, the app crashes immediately on
In both cases (flash auto or off) the function doesn get to finish.
The app crashes before reaching the standard in the sample code.
On the front camera, the package works alright.
Only issue is that the picture is saved mirrored.
&lt;!--place your expected behaviour below--&gt;</t>
  </si>
  <si>
    <t>TeamNewPipe-NewPipe-2049</t>
  </si>
  <si>
    <t>Crashing issue during pause to start video downloading .</t>
  </si>
  <si>
    <t>Crashing issue during pause to start video downloading
step 1:- download start video
step 2:- pause downloading video and close app
step 3:- Again start pause video then crash app.
Note :- have use latest code</t>
  </si>
  <si>
    <t>innoveit-react-native-ble-manager-448</t>
  </si>
  <si>
    <t>Java exception in 'NativeModules' java.lang.NoClassDefFoundError: android/bluetooth/le/ScanRecord</t>
  </si>
  <si>
    <t>Tell us which versions you are using:
iOS Android Android4.4.2
### Expected behaviour
Open app will crash
### Actual behaviour
### Steps to reproduce
1. Open app
### Stack trace and console log</t>
  </si>
  <si>
    <t>the3deers-android-3D-model-viewer-92</t>
  </si>
  <si>
    <t>Models not rendering correctly</t>
  </si>
  <si>
    <t>have two models that ve tested, one is an animated model and the other simple model from Google Poly (https: poly.google.com view foCrNyhZh7h). The animated one crashes with an error and the Google poly one doesn look right (colors are all wrong).</t>
  </si>
  <si>
    <t>leancloud-java-unified-sdk-23</t>
  </si>
  <si>
    <t>java.lang.NullPointerException: Attempt to invoke virtual method 'void cn.leancloud.websocket.AVStandardWebSocketClient.send(cn.leancloud.command.CommandPacket)' on a null object reference</t>
  </si>
  <si>
    <t>### Attempt to invoke virtual method void on null object reference
-H Accept: application json
-H Content-Type: application json
-H User-Agent: LeanCloud SDK v5.0.8
-H X-LC-Id: your app id
-H X-LC-Session: your session
-H X-LC-Key: your app key
--------- beginning of crash
--------- beginning of system</t>
  </si>
  <si>
    <t>2019-01-19</t>
  </si>
  <si>
    <t>rajatgoyal715-Puzzle15-8</t>
  </si>
  <si>
    <t>App crashes when trying to start a new game</t>
  </si>
  <si>
    <t>Steps to Reproduce:
1. Open the app
2. Click on New Game button
screenshot from 2019-01-19 20-18-26 (https: 18263409</t>
  </si>
  <si>
    <t>RoverPlatform-rover-android-320</t>
  </si>
  <si>
    <t>HTTP Cache installation check should be non-fatal.</t>
  </si>
  <si>
    <t>Originally we had made this check fatal to avoid the cache being left unconfigured, because little to no side-effects of its omission are visible locally during development.
However, there are some as yet not understood edge cases that can cause the cache to temporarily be unavailable, so for now reduce this to loud log message rather than crash.</t>
  </si>
  <si>
    <t>2019-01-18</t>
  </si>
  <si>
    <t>GreatApo-GreatFit-34</t>
  </si>
  <si>
    <t>Stratos 2.3.8.0 - watch crash</t>
  </si>
  <si>
    <t>Have the lattest version installed and it does still crash my watch within an hour or so of loading it as the current watchface sorry to say.</t>
  </si>
  <si>
    <t>vvaezian-MultiLingoVocabularyPractice-8</t>
  </si>
  <si>
    <t>Specifying the source language when translating sometimes causes a crash</t>
  </si>
  <si>
    <t>2019-01-17</t>
  </si>
  <si>
    <t>nextcloud-android-3469</t>
  </si>
  <si>
    <t>Android App crashes instantly</t>
  </si>
  <si>
    <t>### Actual behaviour
The Nextcloud App (3.4.2 RC1) crashes instantly after trying to open it. There is no error message after this happens. can see the app opening, but it closes instantly.
### Expected behaviour
After touching the app icon the app should stay open.
### Steps to reproduce
1. Install Nextcloud
2. Try opening it
### Environment data
Android version: 8.1.0
Device model: Huawei P20 Pro CLT-L29
Stock or customized system:
Stock (EMUI 8.1.0)
Nextcloud app version:
3.4.2 RC1 also happening with older Version</t>
  </si>
  <si>
    <t>morenoh149-react-native-contacts-347</t>
  </si>
  <si>
    <t>getAll crash when having many contacts</t>
  </si>
  <si>
    <t>When using getAll on phone with many contacts (like 1000 or more), app crashes with MemoryException.
How can handle that?</t>
  </si>
  <si>
    <t>microsoft-appcenter-sdk-android-929</t>
  </si>
  <si>
    <t>Crash with NullPointerException on launch</t>
  </si>
  <si>
    <t>App crash on start when distribution is activated.
### **Repro Steps**
Please list the steps used to reproduce your issue.
1. Install the app with AppCenter and Distribution activated
2. The browser open
3. Minimize all
4. Return to the app
5. The App Crash (I only reproduce it on one device)
1. Which SDK version are you using?
2. Which OS version did you experience the issue on?
3. What device version did you see this error on? Were you using an emulator or physical device?
4. What third party libraries are you using?
5. Please enable verbose logging for your app using before your call to and include the logs here:
The stacktrace of the crash</t>
  </si>
  <si>
    <t>2019-01-16</t>
  </si>
  <si>
    <t>square-okhttp-4556</t>
  </si>
  <si>
    <t>Crashed: OkHttp IllegalMonitorStateException ConnectionPool ReentrantLock$Sync.tryRelease</t>
  </si>
  <si>
    <t>Crashes comes from crashlytics. OkHttp Version 3.10.0
#0. Crashed: OkHttp ConnectionPool
#0. Crashed: OkHttp ConnectionPool
#3. OkHttp ConnectionPool
#6. OkHttp ConnectionPool
#11. OkHttp ConnectionPool
#14. Okio Watchdog
#25. OkHttp ConnectionPool
#37. OkHttp ConnectionPool
#62. OkHttp ConnectionPool</t>
  </si>
  <si>
    <t>2019-01-15</t>
  </si>
  <si>
    <t>doublesymmetry-react-native-track-player-394</t>
  </si>
  <si>
    <t>[Android] FATAL EXCEPTION: java.lang.NullPointerException</t>
  </si>
  <si>
    <t>This error always crashed application when you call .skip(null)</t>
  </si>
  <si>
    <t>2019-01-14</t>
  </si>
  <si>
    <t>google-ExoPlayer-5378</t>
  </si>
  <si>
    <t>SmoothStreaming TTML fMP4 crashes player</t>
  </si>
  <si>
    <t>### Issue description
After enabling the subtitle track during encrypted playback, the player crashes.
### Link to test content
Manifest URL sent via email.
Might not be possible to play as the DRM license request requires special header which includes an OAuth token that expires after time.
### Version of ExoPlayer being used
### Device(s) and version(s) of Android being used
FireTV (any generation)
### full bug report captured from the device
Sent via email.</t>
  </si>
  <si>
    <t>mapbox-mapbox-plugins-android-817</t>
  </si>
  <si>
    <t>NullPointerException in PlacePickerActivity</t>
  </si>
  <si>
    <t>getting this crash in PlacePickerActivity while doing some panning and zooming (I couldn reproduce the crash afterwards, but was panning at pretty random locations):
Full info on Sentry: https: sentry.io share issue</t>
  </si>
  <si>
    <t>2019-01-13</t>
  </si>
  <si>
    <t>oliexdev-openScale-376</t>
  </si>
  <si>
    <t>App crashes on Chart tab</t>
  </si>
  <si>
    <t>**Describe the bug**
App crashes on Chart tab.
Steps to reproduce the behavior:
1. Go to Settings-&gt;Chart.
2. Enable Regression weight line, set polynomial degree to (I don remember the exact value).
3. Wait for the beginning of 2019.
4. Add measurement.
5. Go to Chart tab.
6. Observe crash.
7. Restart application.
8. Observe crash.
Reproduced with 1.8.4 (build from F-Droid)
Build version: 1.8.4
Caused by: length index</t>
  </si>
  <si>
    <t>2019-01-12</t>
  </si>
  <si>
    <t>square-okhttp-4548</t>
  </si>
  <si>
    <t>TAG = [Classname].class.getSimpleName().substring(0,15) not ProGuard friendly</t>
  </si>
  <si>
    <t>My application crashes on initialization at the following line, but only in production builds:
public class OkHttp3WebClient implements IWebClient
private static final String TAG 15)
What ve found is that the application crashes on the line above with Caused by: length index 15
believe what is happening that ProGuard is mapping the name to some class Then becomes one character string So .substring(0,15) throws an
There was an older discussion about this, but issue 2230 (https: github.com square okhttp issues 2230) was closed long time ago.</t>
  </si>
  <si>
    <t>Technion236272-2019a-TakeCare-121</t>
  </si>
  <si>
    <t>Fix a problem where viewing requested items for items that no longer exist crash the app</t>
  </si>
  <si>
    <t>Cloud Functions: remove the item entry from every user requested items when OnDelete event is triggered on an item. This is the preferred solution for now. Risks: don know how to implement yet, might require further changes in db
Delete invalid requests from inside the adapter in real time. This is hacky solution that can cause problems, so it won be implemented if there an alternative</t>
  </si>
  <si>
    <t>2019-01-10</t>
  </si>
  <si>
    <t>smartdevicelink-sdl_java_suite-963</t>
  </si>
  <si>
    <t xml:space="preserve">NPE in AudioStreamManager when used with Generic HMI </t>
  </si>
  <si>
    <t>### Bug Report
We noticed that when AudioStreamManager is used with Generic HMI, the app crashes after throwing this excpetion:
Generic HMI doesn support streaming yet. But still, that shouldn crash the Android app.
##### Reproduction Steps
Run test navigation app that uses audio streaming on Core and Generic HMI and see how app crashes.
##### Expected Behavior
App shouldn crash
##### Observed Behavior
##### OS Version Information
Android Version: 8.0.0
SDL Android Version: 4.7.2
Testing Against: Core Generic HMI</t>
  </si>
  <si>
    <t>2019-01-09</t>
  </si>
  <si>
    <t>kiwi-bop-flutter_crashlytics-49</t>
  </si>
  <si>
    <t xml:space="preserve">Crash with forceCrash not reported </t>
  </si>
  <si>
    <t>Hey long1eu just notice that there still an issue when forceCrash is true, don receive anything on Crashlytics for those crash</t>
  </si>
  <si>
    <t>nextcloud-talk-android-405</t>
  </si>
  <si>
    <t>Right to Left Layout Problem</t>
  </si>
  <si>
    <t>When run Nextcloud Talk, it crashes with: Circular dependencies cannot exist in RelativeLayout have tested the F-Droid build and compiling the latest commit.
The phone am testing on shows applications in right to left layout by default. By adding android:supportsRtl false to manifest the problem is resolved, so think the cause is RTL layout.
For reference, the full exception log is:</t>
  </si>
  <si>
    <t>nextcloud-android-3431</t>
  </si>
  <si>
    <t>App frequently hangs upon syncing and occasionally crashes at exit</t>
  </si>
  <si>
    <t>### Actual behaviour
The app frequently hangs when synchronising files folders. The system shows dialog with question to either close the app or wait (I guess for it to become responsive again?). If select wait the app is responsive and can interact with it as expected. However due to it hanging often have got situations where files were partially synchronised. At first it seems ok (showing green icons), but restarting the app shows red icons with an for the files that were not synchronised correctly. This makes it highly unreliable.
Additionally the app occasionally crashes when exit it. don know what the consequences are.
Note 1: that it doesn matter which files or folders are synced.
Note 2: resyncing the files folders that were not done correctly before solves it everytime.
### Expected behaviour
The app should synchronise files without the behavior described above. On my Nexus (Google Android 6.0) it works flawless for years now.
### Steps to reproduce
1. Start the app
2. Synchronise file or folder
### Environment data
Android version: 8.1.0 (stock)
Device model: Samsung Galaxy Tab S4 (stock, up-to-date and non-rooted)
Stock or customized system: Stock
Nextcloud app version: 3.4.1
Nextcloud server version: 15.0
#### Web server error log
Not yet available.
#### Nextcloud log (data nextcloud.log)
Not yet available.</t>
  </si>
  <si>
    <t>2019-01-08</t>
  </si>
  <si>
    <t>tobexyz-yaacc-code-12</t>
  </si>
  <si>
    <t>[crash on startup]</t>
  </si>
  <si>
    <t>The app simply crash on startup. Nothing can really be said except my phone run on Android 8.1.0 (OnePlus A5000, OxygenOS 5.1.7)
would have built the project to give you the java error message but have troubles building it on either windows or linux (for example, on linux have
Execution failed for task :clingbuild:build
problem occurred starting process command mvn</t>
  </si>
  <si>
    <t>OneBusAway-onebusaway-android-958</t>
  </si>
  <si>
    <t>Crash on startup on API 15 - Resources$NotFoundException</t>
  </si>
  <si>
    <t>Starting the app with master branch dev build on an API 15 emulator seeing crash with:
Looks like this is related to ic zoom in.xml and other vector files that were introduced back in 2.3.x for the map zoom buttons. More vector resources were just added for the occupancy feature need to review and see if this issue exists prior to adding occupancy.
**Steps to reproduce:**
Start the app on an API 15 emulator (current master branch)
Startup without crashing
**Device and Android version:**
Emulator API 15 WBGA Nexus Google APIs</t>
  </si>
  <si>
    <t>2019-01-07</t>
  </si>
  <si>
    <t>deltachat-deltachat-android-487</t>
  </si>
  <si>
    <t>Creating Backup doesn't work on older phones</t>
  </si>
  <si>
    <t>The code requires API Level 21 and just crashes the App on lower versions, while suppressing linter messages.
which has been added in API Level 21. There is no check for earlier versions.
The proper code should probably look like this (can test atm):
Notice the lack of TargetAPI in this line.
public static boolean activity, int requestCode)
INT Build.VERSION CODES.LOLLIPOP)
KeyguardManager keyguardManager (KeyguardManager) SERVICE)
if (keyguardManager null)
intent authentication unlock title), authentication unlock description))
if (intent null)</t>
  </si>
  <si>
    <t>Catfriend1-syncthing-android-203</t>
  </si>
  <si>
    <t>Edit folder dialog - AlertDialogs leak on screen rotation</t>
  </si>
  <si>
    <t>### Description of the issue
No crash, but resource and memory leak was found.</t>
  </si>
  <si>
    <t>2019-01-06</t>
  </si>
  <si>
    <t>nextcloud-android-3427</t>
  </si>
  <si>
    <t>App does not not log in on Android or crashes</t>
  </si>
  <si>
    <t>### Actual behaviour
Cannot login into nextcloud with official app. This bug has been filed here https: github.com nextcloud android issues 1738 for app version 2, but now have similar issue with the latest app.
### Expected behaviour
1. Provide server URL and credentials to the app
2. After pressed the button grant access see list of files of my Nextcloud
### Steps to reproduce
Provide server URL and credentials to the app via the wizard. The credentials seem to be accepted, this screen is shown:
&lt;img src http: mathias-renner.com dl screenshot5000.png height 500 (http: mathias-renner.com dl bug-screenie.png)
### Environment data
LineageOS 14.1, Android 7.1.2
Samsung S7, SM-G930F
Stock or customized system:
Stock system with MariaDB. Docker images fresh from upstream, no relevant changes in config.
Nextcloud app version:
Nextcloud server version:
Neither in Nextcloud server nor in App are relevant log entries. used LogCat to record the log while reproducing this issue.
### Fun facts
Several notebooks are connected with the same account like to use on the phone to the app and work fine.
Also the Notes app with the same Account works fine. The Nextcloud app is the only part in the ecosystem have an issue with.
had the same issue with version 13 of Nextcloud. Updating to 15 unfortunately did not help.</t>
  </si>
  <si>
    <t>2019-01-05</t>
  </si>
  <si>
    <t>immadisairaj-Quiz-48</t>
  </si>
  <si>
    <t>When the difficulty is set to hard and category to politics, arts, celebrities, ... the app crashes. When checked the API the response code is 1. So this means there are not enough questions. So the questions have to be reduced based on that.
Can get the number of questions present through the URL</t>
  </si>
  <si>
    <t>Technion236272-2019a-TakeCare-101</t>
  </si>
  <si>
    <t>Fix an issue where cancelling a camera upload in the form and then submitting crashes the app</t>
  </si>
  <si>
    <t>2019-01-04</t>
  </si>
  <si>
    <t>simonpoole-OpeningHoursFragment-31</t>
  </si>
  <si>
    <t>Crash in template selector</t>
  </si>
  <si>
    <t>Rotating the device while in the template selector will crash vespucci (not the test app) with
Fragment 2120f77 not attached to context.
in the call to getResources().</t>
  </si>
  <si>
    <t>evernote-android-job-561</t>
  </si>
  <si>
    <t>Application crash when moved to 1.3.0-9</t>
  </si>
  <si>
    <t>Following the wiki when try to include 1.3.0-a9 of this library, ve added the WorkManager dependency as,
But get some crashes with these following logs.
When looked upon PlatformWorker found that the doWork() method inside it tries returning variable Result.SUCCESS from WorkManager ListenableRuntime class but the IDE can find the definition.
Any suggestions screenshot is attached</t>
  </si>
  <si>
    <t>2019-01-02</t>
  </si>
  <si>
    <t>square-okhttp-4510</t>
  </si>
  <si>
    <t>FATAL EXCEPTION when using okhttpclient with conscrypt</t>
  </si>
  <si>
    <t>want tls 1.3 so use conscrypt, according to use
but it crashed, here is log
There is no excepiton if use this instead:
but okhttpclient use tls 1.2 to handshake not 1.3</t>
  </si>
  <si>
    <t>2019-01-01</t>
  </si>
  <si>
    <t>jMonkeyEngine-jmonkeyengine-997</t>
  </si>
  <si>
    <t>cloning an UpdateControl throws IllegalArgumentException</t>
  </si>
  <si>
    <t>Currently (in master branch at 3.3-6689) the app crashes with the following stack trace:</t>
  </si>
  <si>
    <t>2018-12-31</t>
  </si>
  <si>
    <t>jMonkeyEngine-jmonkeyengine-992</t>
  </si>
  <si>
    <t>HelloCollision throws an AssetLoadException</t>
  </si>
  <si>
    <t>Currently (in master branch at 3.3-6684) TestAssetLinkNode crashes with the following stack trace:
Caused by: town.zip (The system cannot find the file specified)
... 12 more</t>
  </si>
  <si>
    <t>sschueller-peertube-android-77</t>
  </si>
  <si>
    <t>after a net error the list activity crash by AndroidRuntime: FATAL</t>
  </si>
  <si>
    <t>In player Activity
failed to connect to tube.4aem.com 165.227.5.95 (port 443) from 192.168.1.4 (port 46724) after 10000ms
then back to list Activity</t>
  </si>
  <si>
    <t>Neamar-KISS-1124</t>
  </si>
  <si>
    <t>3.7.0 crashes immediately</t>
  </si>
  <si>
    <t>the latest beta crashes immediately.
## Submitting bug?
Make sure you include the following:</t>
  </si>
  <si>
    <t>marksuth-indigenous-android-170</t>
  </si>
  <si>
    <t>zooming in and out in image crashes sometimes</t>
  </si>
  <si>
    <t>Error message is pointerIndex out of range</t>
  </si>
  <si>
    <t>2018-12-30</t>
  </si>
  <si>
    <t>Piwigo-Piwigo-Android-85</t>
  </si>
  <si>
    <t>crashes immediately on startup</t>
  </si>
  <si>
    <t>jMonkeyEngine-jmonkeyengine-988</t>
  </si>
  <si>
    <t>assertion failure in jme3test.games.CubeField</t>
  </si>
  <si>
    <t>Currently (in master branch at 3.3-6680) the CubeField app crashes with an AssertionError the 1st time ENTER is pressed. Here is typical stack trace:</t>
  </si>
  <si>
    <t>doublesymmetry-react-native-track-player-377</t>
  </si>
  <si>
    <t>[Android] Crashing after playback starts</t>
  </si>
  <si>
    <t>My users are facing crash which cannot replicate myself here is the crash log
** Also, the line numbers for ExoPlayback.java will not match up with your latest dev, as ve forked my own code to get audio levels. This is so could display live average volume level in my app. This is completely unrelated, but below some of my code if you re interested in adding this as feature in your package! (Android only at the moment) **
public String getLevels()
byte fft new byte captureSize
for(byte b: fft)
byteData byteData (int)</t>
  </si>
  <si>
    <t>2018-12-29</t>
  </si>
  <si>
    <t>jMonkeyEngine-jmonkeyengine-983</t>
  </si>
  <si>
    <t>jme3test.audio.TestMusicStreaming crashes due to missing asset</t>
  </si>
  <si>
    <t>The OGG file required to run TestMusicStreaming has moved. The URL needs to be updated.
Currently (in master branch at 3.3-6680) TestMusicStreaming crashes with the following stack trace:
Ogg packet header is 0x3c21444f (&lt;!DO), should be 0x4f676753 (OggS)</t>
  </si>
  <si>
    <t>commons-app-apps-android-commons-2246</t>
  </si>
  <si>
    <t>Nearby crashing on loading</t>
  </si>
  <si>
    <t>Nearby is crashing when loading
**Steps to reproduce:**
Go to home and click on near by
**Device and Android version:**
Asus max pro m1 and Android version 27
**Commons app version:**
master and Betadebug
**Would you like to work on the issue?**</t>
  </si>
  <si>
    <t>2018-12-28</t>
  </si>
  <si>
    <t>radarlabs-react-native-radar-56</t>
  </si>
  <si>
    <t>Can't use with React Native Push Notifications</t>
  </si>
  <si>
    <t>**Describe the bug**
not able to use React Native Push Notifications or React Native Firebase with Radar. As soon as install Radar apps keeps on crashing. SOme conflict in between these apps maybe.
Steps to reproduce the behavior:
1. Install React Native Push Notifications
2. Then Install Radar
3. After compiling the app starts stopping on react-native run-android
Both apps should work together without crashing the app. Both are working separately but not together.
**Metadata (please complete the following information):**
React Native Radar Version: 2.1.2
Device OS Version Android 8.1Pie</t>
  </si>
  <si>
    <t>2018-12-26</t>
  </si>
  <si>
    <t>AhiruSoftwareCompany-coldmirrorapp-24</t>
  </si>
  <si>
    <t>App crashing when the random sound played has id 96</t>
  </si>
  <si>
    <t>Tencent-tinker-1000</t>
  </si>
  <si>
    <t>TinkerUncaughtHandler类中ueh.uncaughtException(thread, ex);这段代码是不是bug</t>
  </si>
  <si>
    <t>public void thread, Throwable ex)
Log.e(TAG, catch exception:
if (crashFile null)
only catch real uncaught Exception
if (handler instanceof
Log.e(TAG, print crash file error: create directory fail!
PrintWriter pw null
pw new PrintWriter(new false))
catch (IOException e)
Log.e(TAG, print crash file error:</t>
  </si>
  <si>
    <t>radarlabs-react-native-radar-54</t>
  </si>
  <si>
    <t>Xcode Log Reporting "UI API called on a background thread"</t>
  </si>
  <si>
    <t>**Describe the bug**
have been debugging strange issue in which our app crashes. don believe the crash is related to Radar, but while pouring over the debug logs, found an error being reported saying that UI API was called in Radar background thread.
Steps to reproduce the behavior (as far as can tell):
1. Open the Xcode log while running an instance of an app with React Native Radar
2. It should show up right near the other logs that happen during initialization.
No error message.
Here is the error log:
zonder 0x000000010f2bdddc 243
zonder 0x000000010f2c6710 Radar 283
zonder 0x000000010f2d02f3 RNRadar startTracking: 131
CoreFoundation 0x000000011744e03c invoking 140
CoreFoundation 0x000000011744b4d5 NSInvocation invoke 325
CoreFoundation 0x000000011744b926 NSInvocation invokeWithTarget: 54
10 zonder 0x000000010e9f951a RCTModuleMethod 2810
11 zonder 0x000000010eab5346 790
12 zonder 0x000000010eab4e5f 0clEv 127
13 zonder 0x000000010eab4dd9 block invoke 25
14 libdispatch.dylib 0x0000000118363595 dispatch call block and release 12
15 libdispatch.dylib 0x0000000118364602 dispatch client callout
16 libdispatch.dylib 0x000000011836bb0b dispatch lane serial drain 791</t>
  </si>
  <si>
    <t>2018-12-24</t>
  </si>
  <si>
    <t>Catfriend1-syncthing-android-148</t>
  </si>
  <si>
    <t>Syncthing wrapper "emergency" shutdown on native binary crash doesn't work</t>
  </si>
  <si>
    <t>(Let the) native binary crash during State.STARTING
SyncthingRunnable will notify SyncthingService that the native binary crashed and show the correct crash log to the user.
The user is then stuck forever as the wrapper is still in State.STARTING and concurrently in deferring shutdown until the starting procedure completed. It can never shutdown the crashed instance and head for fresh start like this until the user force-closes the app from android settings.
### Version Information
App Version: v0.14.51+</t>
  </si>
  <si>
    <t>2018-12-21</t>
  </si>
  <si>
    <t>mapbox-mapbox-plugins-android-801</t>
  </si>
  <si>
    <t>Allow Places Picker to Work Without ActionBar</t>
  </si>
  <si>
    <t>Currently if you try to initialize place picker in an app that doesn have an ActionBar, it will cause crash when you initialize the plugin.
This is because there should be null check before making this call:
Fixing this would make the plugin in little bit more flexible, and potentially ease lot of pain.</t>
  </si>
  <si>
    <t>testpress-android-84</t>
  </si>
  <si>
    <t>Solve app crash issue while registering by phone number</t>
  </si>
  <si>
    <t>### Changes Done
Fixed app crash on registering an account by using the automatic mobile number verification method.
### Reason for the changes
During registering by automatic mobile number verification method. Testpress SDK was not getting initialized.</t>
  </si>
  <si>
    <t>miguelpruivo-flutter_file_picker-19</t>
  </si>
  <si>
    <t>Permission callbacks called even when not requested</t>
  </si>
  <si>
    <t>My App needs few permissions to work, like Location or ReadExternalStorage
will use the simple permissions plugin to gather the location permission.
However, once that permission is granted, the file picker callback at https: github.com miguelpruivo plugins flutter file picker blob android src main java com mr flutter plugin filepicker will be called as well. This causes crash:
... 11 more
From my point of view, the plugin should not rely on static request code of zero (which may be used by other plugins, indeed) but perhaps .hashCode() number based on the plugin name.</t>
  </si>
  <si>
    <t>Intelehealth-Android-Mobile-Client-604</t>
  </si>
  <si>
    <t>NullPointerException crash</t>
  </si>
  <si>
    <t>App crashing on
Originator- Ambuj Pandey
Checked from- Nov 16th, 2018
Mobile Brand- Motorola
Model- moto E(4) plus
OS Version- 7.1.1
App Version- 1.3.4,
crash date: 1. Nov, 25th 2. Dec 18th, 2018
Number of Crashes:
User Affected- users for both crash was Moto user.
multiple crash on (Physical exam activity Identification Activity) with same crash name
Crash recorded from Developer console, provide as much information found in Console.</t>
  </si>
  <si>
    <t>2018-12-20</t>
  </si>
  <si>
    <t>Intelehealth-Android-Mobile-Client-602</t>
  </si>
  <si>
    <t>NumberFormatException crash</t>
  </si>
  <si>
    <t>App crashing on
Originator- Ambuj Pandey
Checked from- Nov 16th, 2018
Mobile Brand- Motorola
Model- Moto (4) Plus
OS Version- 7.1.1
App Version- 1.3.4,
crash date Dec 15th, 2018
Number of Crashes:
Crash recorded from Developer console, provide as much information found in Console.</t>
  </si>
  <si>
    <t>Intelehealth-Android-Mobile-Client-601</t>
  </si>
  <si>
    <t>IllegalStateException Crash</t>
  </si>
  <si>
    <t>App crashing on
Originator- Ambuj Pandey
Checked from- Nov 16th, 2018
Mobile Brand- Xiomi
Model- Redmi note pro
OS Version- 8.1
App Version- 1.3.4,
crash date Dec 11th
Number of Crashes:
Crash recorded from Developer console, provide as much information found in Console.</t>
  </si>
  <si>
    <t>Intelehealth-Android-Mobile-Client-600</t>
  </si>
  <si>
    <t xml:space="preserve">FireBase is not showing crashes. </t>
  </si>
  <si>
    <t>No crashes are showing after Nov 16th, 2018.
Active user showing for last days for the last 28 days.
Daily user engagement for the last 28 days, minutes 50 second.
Firebase is not detecting all app details.
can see the crashes in the Developer Console for app, which happens after Nov 16th, 2018.</t>
  </si>
  <si>
    <t>commons-app-apps-android-commons-2183</t>
  </si>
  <si>
    <t>App crashes when context passed to network utils is null</t>
  </si>
  <si>
    <t>As per nicolas-raoul crash reports the app crashes when the context is null.
... 10 more
**Device and Android version:**
**Commons app version:**
**Would you like to work on the issue?**</t>
  </si>
  <si>
    <t>OneBusAway-onebusaway-android-957</t>
  </si>
  <si>
    <t>Unit tests crash on fresh install due to Embedded Social NPE</t>
  </si>
  <si>
    <t>On fresh install, unit tests can crash if ES SDK hasn initialized yet with:
Test running failed: Instrumentation run failed due to Process crashed.
This seems to be side effect of https: github.com OneBusAway onebusaway-android pull 940.
We can try initializing the ES SDK explicitly in the unit tests to ensure it always initialized prior to executing the tests.
**Steps to reproduce:**
1. Uninstall the app
1. Run the unit tests
Tests should pass
Some tests crash with the above stack trace. ve seen this happen with AdapterTest and not sure why sometimes one of the tests passes and the other fails, unless it appears non-deterministic based on how long it takes ES to initialize in the background.
**Device and Android version:**
Samsung Galaxy S8+ with Android 8.0</t>
  </si>
  <si>
    <t>2018-12-19</t>
  </si>
  <si>
    <t>Technion236272-2019a-TakeCare-81</t>
  </si>
  <si>
    <t>Fix a bug with Samsung devices where clicking an item from the bottom of the feed may crash the app</t>
  </si>
  <si>
    <t>commons-app-apps-android-commons-2166</t>
  </si>
  <si>
    <t>Crash when clicking bookmark icon inside BookmarksActivity</t>
  </si>
  <si>
    <t>Crashes on clicking the bookmark icon in the action bar when viewing media through BookmarksActivity.
**Steps to reproduce:**
How can we reproduce the issue?
1. Log in
2. Open media from Home
3. Click bookmark icon
4. Go to bookmarks tab
5. Click media
6. Click bookmark icon
What did you expect the app to do, and what did you see instead?
Should show bookmarked icon as filled in to represent it is bookmarked
Should not crash when bookmark icon clicked
Should unbookmark the item
In video above I:
1. Open bookmarks, show empty
2. Add bookmark on an image from Home (notice unfilled goes to filled icon)
3. Open bookmarks, show it now there
4. Open image in bookmarks (notice unfilled star icon)
5. Try to unbookmark, crashes
6. Try steps 3-5 again, crashes</t>
  </si>
  <si>
    <t>2018-12-18</t>
  </si>
  <si>
    <t>Piwigo-Piwigo-Android-80</t>
  </si>
  <si>
    <t>crash if SiteURL is not a valid URL</t>
  </si>
  <si>
    <t>If we for example omit the http: prefix the app terminates with something like:
we should catch the exception and show message that an invalid URL was entered.
Maybe try to auto-append https: if no protocol given.
allow non-standard ports like 192.168.1.101:8183</t>
  </si>
  <si>
    <t>OneBusAway-onebusaway-android-953</t>
  </si>
  <si>
    <t>Crash when opening app to Embedded Social fragment</t>
  </si>
  <si>
    <t>If you close the app while the HomeActivity is displaying an Embedded Social fragment, the next app launch results in and crashes.
**Steps to reproduce:**
1) Open the app
2) Sign in to Embedded Social
3) Open an Embedded Social fragment from the Navigation Drawer My Pins Activity Feed or My Profile
4) Kill the application via the app switcher
5) Open OneBusAway from the home screen
**Device and Android version:**
Emulated Nexus 5X running Android API 26.
The key issue looks like the NPE stemming from null Options class. Is it possible EmbeddedSocial.init is not called in this flow?</t>
  </si>
  <si>
    <t>fossasia-phimpme-android-2318</t>
  </si>
  <si>
    <t>App crashes on changing orientation while cropping</t>
  </si>
  <si>
    <t>while cropping image, on changing the screen orientation and clicking on tick mark the app crashes.
image should cropped irrespective of screen orientation change.
**Steps to reproduce it**
Select an image and go to the editing activity.
Navigate to crop.
Now rotate your phone to landscape mode.
Tap on the tick button.
**LogCat for the issue**
screenshot (https: 31561661
**Screenshots of the issue**
whatsapp image 2018-12-19 at 00 43 09 (https: 31561661
whatsapp image 2018-12-19 at 00 43 31 (https: 31561661
whatsapp image 2018-12-19 at 00 43 52 (https: 31561661
whatsapp image 2018-12-19 at 00 43 59 (https: 31561661
**Would you like to work on the issue?**</t>
  </si>
  <si>
    <t>microsoft-EmbeddedSocial-Android-SDK-113</t>
  </si>
  <si>
    <t>Update Firebase dependencies</t>
  </si>
  <si>
    <t>We re getting this crash in the nav branch (https: github.com OneBusAway onebusaway-android tree nav) of OBA Android (which targets API 28) for Android versions less than Oreo:
This matches https: android guides releases#december 13 2018, which says that firebase-iid:17.0.3 should not be used, and 17.0.4 should be used instead.
If run gradlew on the command line, see:
Could you bump the following Firebase dependencies to hopefully get rid of this issue?
New dependency versions (latest):
firebase-core to 16.0.6
firebase-messaging to 17.3.4
**Steps to reproduce:**
Run nav branch (https: github.com OneBusAway onebusaway-android tree nav) of OBA Android (which targets SDK 28) for Android versions less than Oreo
Crash with above stack trace
**Device, Android, and Embedded Social SDK version:**
Embedded Social SDK</t>
  </si>
  <si>
    <t>microsoft-appcenter-sdk-android-917</t>
  </si>
  <si>
    <t>TLS 1.2 issue on specific devices below API level 21</t>
  </si>
  <si>
    <t>Appcenter fails to send data to server when running kitkat with tls 1.2 not enabled by default
### **Repro Steps**
Use appcenter (analytics crashes is what use) on Xamarin client.
Run on KitKat android device that doesnt have tls 1.2 enabled by default
Track some data using appcenter api
See these error logs in debug output:
1. Which SDK version are you using?
1.12.0 (DotNetClient, Xamarin)
2. Which OS version did you experience the issue on?
3. What device version did you see this error on? Were you using an emulator or physical device?
only tested on physical
5. Please enable verbose logging for your app using before your call to and include the logs here:</t>
  </si>
  <si>
    <t>Catfriend1-syncthing-android-141</t>
  </si>
  <si>
    <t>NPE crash after key and config regeneration</t>
  </si>
  <si>
    <t>### Version Information
App Version: v0.14.54
Syncthing Version: v0.14.54
### Android Log</t>
  </si>
  <si>
    <t>Piwigo-Piwigo-Android-79</t>
  </si>
  <si>
    <t>Doesn't launch. Just crashes.</t>
  </si>
  <si>
    <t>The first time launched it, got login screen. submitted my credentials and it crashed out. It just said Piwigo has stopped. After that, when launch it, it goes straight to Piwigo has stopped.</t>
  </si>
  <si>
    <t>2018-12-17</t>
  </si>
  <si>
    <t>sschueller-peertube-android-45</t>
  </si>
  <si>
    <t>Crash on opening video page</t>
  </si>
  <si>
    <t>PeerTube v1.0.6 from F-Droid on Nokia 6.1 running Android v9 (Pie).
Tapping on any video seems to crash the app.</t>
  </si>
  <si>
    <t>OneBusAway-onebusaway-android-949</t>
  </si>
  <si>
    <t>Crash on Android P - Didn't find class "org.apache.http.ProtocolVersion"</t>
  </si>
  <si>
    <t>If you run the nav branch on Android device, you get crash with the following:
The Android Maps SDK notes (https: maps documentation android-sdk config#specify requirement for apache http legacy library) now says:
&gt;If your app is targeting API level 28 (Android 9.0) or above, you must include the following declaration within the &lt;application&gt; element of
&gt;If your app is targeting lower API level, this is handled for you.
Curiously this doesn happen on the master branch yet, so it must be side effect of newer Maps API version in the nav branch, or combination with other Firebase or Play Services features there.
**Steps to reproduce:**
Run app on Android device
**Device and Android version:**
Pixel emulator Android 9, build number PSR1.180720.075</t>
  </si>
  <si>
    <t>RoverPlatform-rover-android-309</t>
  </si>
  <si>
    <t>Sync timeouts can crash.</t>
  </si>
  <si>
    <t>Caused by Reached timeout while blocking for publisher! Items received:
Reported in production.</t>
  </si>
  <si>
    <t>ursval-TK-autoCoach-3</t>
  </si>
  <si>
    <t>Incorrect objects releasing on exit</t>
  </si>
  <si>
    <t>When program is exited by pressing back button, bunch of exceptions is thrown in debugger, also label program crashed shows on device
Samsung Galaxy S7 Edge (SM-G935FD), android 7.0</t>
  </si>
  <si>
    <t>Swrve-swrve-android-sdk-280</t>
  </si>
  <si>
    <t>[Crash] when get a new push notification on the build type which enabled ProGuard</t>
  </si>
  <si>
    <t>The app build which enabled ProGuard is crashed when new Swrve push notification comes.
After obfuscation, the GSON model class name or properties name has been changed, but GSON uses property reflection to map the JSON object to model class. So when the new push comes, the GSON couldn deserialize the response.
Avoid the push notification related models are obfuscated by adding an additional ProGuard rule to the SDK</t>
  </si>
  <si>
    <t>yanzhenjie-SwipeRecyclerView-223</t>
  </si>
  <si>
    <t>sample 自定义菜单 crash</t>
  </si>
  <si>
    <t>HTC M10 android 8.0.0</t>
  </si>
  <si>
    <t>2018-12-16</t>
  </si>
  <si>
    <t>commons-app-apps-android-commons-2125</t>
  </si>
  <si>
    <t>Changing orientation in SearchActivity crashes app</t>
  </si>
  <si>
    <t>**Would you like to work on the issue?**</t>
  </si>
  <si>
    <t>2018-12-15</t>
  </si>
  <si>
    <t>Susanfe-sdp-event-management-275</t>
  </si>
  <si>
    <t>Facebook news crashes on real device when logging in</t>
  </si>
  <si>
    <t>Cannot login to facebook. The app crashes.</t>
  </si>
  <si>
    <t>commons-app-apps-android-commons-2123</t>
  </si>
  <si>
    <t>App crashing on clicking any search result in Explore</t>
  </si>
  <si>
    <t>App crashes on clicking any search result in Explore.
**Steps to reproduce:**
1. Search something in Explore.
2. Click on any search result.
3. The app will crash.
**Commons app version:**
ezgif com-video-to-gif (https: 35566748
**Would you like to work on the issue?**</t>
  </si>
  <si>
    <t>react-native-camera-react-native-camera-2002</t>
  </si>
  <si>
    <t>increasing brightness to min or max make app to crash</t>
  </si>
  <si>
    <t>**To Do First**
NO Method has same code Did you try latest release?
No Method has same code as master Did you try master?
YES Did you look for existing matching issues?
&lt;!--Comment in the related ones--&gt;
&lt;!--Comment in the related ones--&gt;
&lt;!--Please add the used versions branches or leave blank and comment in the optionals if used--&gt;
**Description Current Behaviour**
&lt;!--place your bug description below--&gt;
Try to increase the brightness to max and min App crash
&lt;!--place your expected behaviour below--&gt;
App should not crash
**Steps to Reproduce**
&lt;!--describe how to produce the error below--&gt;
Try to increase the brightness to max and min App crash
&lt;!--**Does it work with Expo Camera?**--&gt;
&lt;!--Check usage with Expo and comment in this section- https: github.com react-native-camera blob master docs Expo Usage.md
You should open an issue there as well, so we can cooperate in solution.--&gt;
&lt;!--place screenshots suggestions and other additional infos below--&gt;
Love Please consider supporting our collective: https: opencollective.com react-native-camera donate</t>
  </si>
  <si>
    <t>2018-12-14</t>
  </si>
  <si>
    <t>sridharjajoo-NewsApp-22</t>
  </si>
  <si>
    <t xml:space="preserve">Crash in SearchFragment </t>
  </si>
  <si>
    <t>There is crash in SearchFragment when we search for query when no internet is present. This needs to be resolved.</t>
  </si>
  <si>
    <t>NordicSemiconductor-Android-BLE-Library-61</t>
  </si>
  <si>
    <t>NPE Connect notifySuccess</t>
  </si>
  <si>
    <t>had two phones competing to connect to the same device, and this crash happened in one of them. The other did connect successfully</t>
  </si>
  <si>
    <t>2018-12-13</t>
  </si>
  <si>
    <t>gsantner-markor-457</t>
  </si>
  <si>
    <t>Activity Title not updated at MainActivity</t>
  </si>
  <si>
    <t>#### General information
**App version:** 1.5.0 F-Droid
**System:** LineageOS 15.1, based on Android 8.1
The app doesn change the **activity** **title name** when swipe left or right to change the activity. It does if use the buttons for navigation located at the bottom bar.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</si>
  <si>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Susanfe-sdp-event-management-267</t>
  </si>
  <si>
    <t>Bug/crash when location null</t>
  </si>
  <si>
    <t>Fix the bug that crashed the app when the map was displayed and the location of the event was null. #260</t>
  </si>
  <si>
    <t>gsantner-markor-455</t>
  </si>
  <si>
    <t>Cannot add new Jekyll Post</t>
  </si>
  <si>
    <t>#### General information
**App version:** 1.5.0 F-Droid
**System:** Android 6.0.1, Samsung S5
App crashes when select Jekyll Post as Type in new file dialog.
FATAL EXCEPTION: main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</si>
  <si>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2018-12-12</t>
  </si>
  <si>
    <t>TNG-JGiven-376</t>
  </si>
  <si>
    <t>Disabled test causes NullPointerException when using subclassable stage</t>
  </si>
  <si>
    <t>JUnit 5.3.2, JGiven 0.17.0
Using the generics notation for subclassable test Stage:
public class extends extends Stage&lt;SELF&gt;
public SELF something()
When test scenario uses this class and has Disabled test, the following test will crash as given() returns null:
public class ReproTest extends
given() returns null when following test1
This does not happen with normal non-subclassable Stage
This is likely somewhat related to #338</t>
  </si>
  <si>
    <t>Susanfe-sdp-event-management-260</t>
  </si>
  <si>
    <t>When accessing the map on an event with no location, app crashes</t>
  </si>
  <si>
    <t>wncc-instiapp-android-259</t>
  </si>
  <si>
    <t>Following URL with query parameter crashes the app</t>
  </si>
  <si>
    <t>2018-12-11</t>
  </si>
  <si>
    <t>react-native-svg-react-native-svg-871</t>
  </si>
  <si>
    <t>Crash when trying to render an svg element. Happens on both debug release. Multiple devices Android ranging from Android v6 to 8.
--------- beginning of crash
libs used in the app:</t>
  </si>
  <si>
    <t>OneBusAway-onebusaway-android-943</t>
  </si>
  <si>
    <t>Developer builds crash if Embedded Social API key isn't provided in gradle.properties</t>
  </si>
  <si>
    <t>If you don provide the oba xxxxxxxxxxxxx line in your gradle.properties file (in the onebusaway-android directory), when building, installing, and executing the app you ll see crash:
acrown-msft believe this is new behavior with v0.7.3.
**Steps to reproduce:**
1. Make sure you don have the oba xxxxxxxxxxx line in onebusaway-android gradle.properties
1. Clean and build and run the app
Run without crashing (although Embedded Social features will be hidden)
Crash with the above stack trace
**Device and Android version:**
Samsung Galaxy S8+ with Android 8.0</t>
  </si>
  <si>
    <t>2018-12-10</t>
  </si>
  <si>
    <t>fossasia-pslab-android-1466</t>
  </si>
  <si>
    <t>Unexpected Crash when recording at multimeter</t>
  </si>
  <si>
    <t>In multimeter unexpected crash occurs on pressing delete after pausing the recording
Please state here what is currently happening.
The app should work smoothly.
State here what the feature should enable the user to do.
**Steps to reproduce it**
Go to multimeter click on record then pause and then on delete
Add steps to reproduce bugs or add information on the place where the feature should be implemented. Add links to sample deployment or code.
**Screenshots of the issue**
Where-ever possible add screenshot of the issue.
**Would you like to work on the issue?**
No just review</t>
  </si>
  <si>
    <t>AndProx-AndProx-34</t>
  </si>
  <si>
    <t>Crash when attempting to connect to proxmark</t>
  </si>
  <si>
    <t>installed the latest release of AndProx (2.0.4) on Xiaomi Redmi Note MTK (nikel) with Android version 6.0.
flashed the corresponding fullimage to my PM3 RDV2.0.
connected the pm3 to the Xiaomi phone and got the prompt to start the AndProx app.
AndProx starts and proxmark is shown as being found.
press the Connect button and the app crashes.
Here is the crash log:
*** *** *** *** *** *** *** *** *** *** *** *** *** *** *** ***
Build fingerprint: Xiaomi nikel nikel:6.0 MRA58K release-keys
signal 11 (SIGSEGV), code (SEGV MAPERR), fault addr 0xb8
x0 0000000000000000 x1 0000000000000000 x2 0000000000000016 x3 0000007f7bfcf949
x4 0000000000000016 x5 0000007f9bfc02e0 x6 0000000000000016 x7 0000000000000000
x8 0000007f7bfcf95f x9 0000000000000000 x10 0000000000000000 x11 0000000000000010
x12 0000007f982fa000 x13 0000000000000000 x14 000000000000002c x15 0000007f982f5b18
x16 0000007f982f9988 x17 0000007f9befb7c0 x18 0000000000000000 x19 0000007f7bfcf908
x20 0000000000000000 x21 0000007f7bfcf900 x22 0000007f982f5a60 x23 0000007f7bfcf8e8
x24 0000000000000000 x25 0000007f7bfcf8b8 x26 0000007f982fa000 x27 0000007f982fa000
x28 0000007f7bfcfca8 x29 0000007f7bfcf7e0 x30 0000007f98131704
sp 0000007f7bfcf7e0 pc 0000007f98131718 pstate 0000000080000000</t>
  </si>
  <si>
    <t>fossasia-pslab-android-1465</t>
  </si>
  <si>
    <t>Crashes when recording data on Accelerometer instrument and run Power Source</t>
  </si>
  <si>
    <t>It crashes when record data in the accelerometer and run power source.
Doesn work graphics at sensors and multimeter (nothing happens when run it)
Multimeter should work. The application should not crash.
**Would you like to work on the issue?**</t>
  </si>
  <si>
    <t>mapbox-mapbox-events-android-313</t>
  </si>
  <si>
    <t>Resolve crash caused by removing items from empty List</t>
  </si>
  <si>
    <t>blacklist could be empty if there is an exception in method, so add check to fix it.</t>
  </si>
  <si>
    <t>react-native-camera-react-native-camera-1982</t>
  </si>
  <si>
    <t>Example RN camera is crashing on IOS and android</t>
  </si>
  <si>
    <t>**To Do First**
Did you try latest release?
Did you try master?
Did you look for existing matching issues?
Android: last one
iOS: last one
**Description Current Behaviour**
Im using the tutorial for RNCamera and when render its just crashes without error message
**Steps to Reproduce**
Just using the example on this repo</t>
  </si>
  <si>
    <t>marksuth-indigenous-android-165</t>
  </si>
  <si>
    <t xml:space="preserve">Setting image upload size too high crashes app or blanks image preview </t>
  </si>
  <si>
    <t>In my case, setting it to 8000, it crashed the app. For dshanske it blanked out saying Please select an image
We still use the image size for the preview widget, even is scaling is disabled. So two things:
need to set sensible size if scaling is disabled
figure out either the maximum size, or at least don let the app crash on it</t>
  </si>
  <si>
    <t>2018-12-09</t>
  </si>
  <si>
    <t>HunteRoi-bepway.front.mobile-1</t>
  </si>
  <si>
    <t>Before v1.0.0-alpha</t>
  </si>
  <si>
    <t>Zoning popup has field nbImplent which should refer to the number of settlements (implantations with small **A** instead of small **E** by the way) in the zoning. That string does not change anywhere see more in res layout zoning popup.xml (https: github.com HunteRoi SmartCity2018-2019 Android blob master App BepWay app src main res layout zoning popup.xml#L226)
Empty overridden methods features recyclerView (https: github.com HunteRoi SmartCity2018-2019 Android blob master App BepWay app src main java com henallux bepway features recyclerView
Menu options broken
Map (leads to an app crash)
Search (leads to nothing)
Settings (leads to nothing)
Features and improvements
Should not Company have Coordinate object referenced Otherwise how will we point out companies on the map?
Search button hitbox for the **Zoning list** and the **Company list** is too narrowed. It looks like it limited to the picture boundaries only (*orange square, image 1*). Could maybe be made to take place on the whole screen width?
Or maybe you could move the button to the navbar (*red square, image 1*) and make it so when you click on it, the input is opened at the current place it is (*blue rectangle, image 2*)?
We would end up with something like this if the search button has been selected
Source files has log and register management but the app doesn refer them actually. When is it planned
Log out button added to the Drawer Menu
Easter egg on the Log in page</t>
  </si>
  <si>
    <t>kalaspuffar-secure-quick-reliable-login-217</t>
  </si>
  <si>
    <t>Bug: crash on old devices</t>
  </si>
  <si>
    <t>2018-12-08</t>
  </si>
  <si>
    <t>xtensa-PodEmu-7</t>
  </si>
  <si>
    <t>Podemu crashing since last update (3.0-53)</t>
  </si>
  <si>
    <t>Since the last update, PodEmu keeps crashing everytime open my Stingray music application and crashes non-stop until close Stingray (BTW its music app provided by my ISP.
screenshot 20181208-143246 stingray music (https: 45720046
screenshot 20181208-143437 device maintenance (https: 45720046</t>
  </si>
  <si>
    <t>Chainfire-librootjava-1</t>
  </si>
  <si>
    <t>librootjava_example shows crashes in logcat after clicking "Run"</t>
  </si>
  <si>
    <t>Running on Nexus phone Android 6.0.1
--------- beginning of crash
--------- beginning of system</t>
  </si>
  <si>
    <t>mehtank-androminion-580</t>
  </si>
  <si>
    <t xml:space="preserve">Zombie apprentice game crash </t>
  </si>
  <si>
    <t>It hasn happened when play it, but the zombie apprentice card from necromancer causes crash when at least one of the ais play it. Here is the log
see lot of length of null array errors from other sources too
Attempt to get length of null array</t>
  </si>
  <si>
    <t>2018-12-07</t>
  </si>
  <si>
    <t>itachi1706-SingBuses-152</t>
  </si>
  <si>
    <t>PopulateListWithCurrentLocationRecycler.java line 94</t>
  </si>
  <si>
    <t>commons-app-apps-android-commons-2083</t>
  </si>
  <si>
    <t>OutOfMemoryError crash when receiving picture</t>
  </si>
  <si>
    <t>**Steps to reproduce:**
1. Try to upload rather big picture (7MB 6000x4000 pixels). It is normal DLSR size these days. Either via gallery or via share to and either from home activity or from nearby.
can send you such pictures via email if you want.
**Device and Android version:**
**Commons app version:**
2.9.0 latest alpha</t>
  </si>
  <si>
    <t>commons-app-apps-android-commons-2081</t>
  </si>
  <si>
    <t>After any crash, app opens on notifications activity</t>
  </si>
  <si>
    <t>**Steps to reproduce:**
1. Crash the app using one of the current bugs, for instance when trying to upload
2. Tap Send feedback
3. Send the feedback
4. The app restarts... on the notifications screen
Is it intended?
The home activity would seem more natural to me, but if there is any special reason then please close this issue :-)
**Commons app version:**</t>
  </si>
  <si>
    <t>k9mail-k-9-3803</t>
  </si>
  <si>
    <t>k9 crashes with "intervalMs is out of range of [900000, 9223372036854775807] (too low)"</t>
  </si>
  <si>
    <t>### Expected behavior
K9 should not crash when folder poll intervals below 15 minutes are configured.
### Actual behavior
K9 crashes immediately with:
### Steps to reproduce
1. Open account settings
2. Set folder poll frequency to 10 minutes
K-9 Mail version:
Android version: 9.0
Account type (IMAP, POP3, WebDAV Exchange): IMAP</t>
  </si>
  <si>
    <t>aws-amplify-aws-sdk-android-604</t>
  </si>
  <si>
    <t>Getting a crash in version 2.7.3 of aws pinpoint</t>
  </si>
  <si>
    <t>getting this crash from UrlHttpClient lne 162 on my Crashalytics
Fatal Exception: length index
using Aws Pinpoint version 2.7.3 right now.</t>
  </si>
  <si>
    <t>itachi1706-SingBuses-151</t>
  </si>
  <si>
    <t>BusesUtil.kt line 59</t>
  </si>
  <si>
    <t>2018-12-06</t>
  </si>
  <si>
    <t>itachi1706-SingBuses-150</t>
  </si>
  <si>
    <t>MainMenuActivity.java line 118</t>
  </si>
  <si>
    <t>broken-shotgun-run-lines-2</t>
  </si>
  <si>
    <t>fixed v080 upgrade crash</t>
  </si>
  <si>
    <t>v073 saved scripts in obfuscated form due to an error in my Proguard
configuration, so this is fix to upgrade users from the obfuscated
models to the current models.
Since the database just saves JSON, only had to update the models
themselves and resave the json right after converting.</t>
  </si>
  <si>
    <t>ankidroid-Anki-Android-5152</t>
  </si>
  <si>
    <t>Crash on double-tap of undo in reviewer</t>
  </si>
  <si>
    <t>###### Reproduction Steps
1. Start app clean (kill and restart if needed must clean undo stack)
1. Review single card
1. tap undo twice as fast as possible
###### Expected Result
Card review is undone
###### Actual Result
Both taps somehow make it into the undo code, and the app crashes trying to perform the second undo since the ArrayList is underrun
Probably just needs double-tap protection. Much of the UI could probably use that.
Appears in current alphas</t>
  </si>
  <si>
    <t>broken-shotgun-run-lines-1</t>
  </si>
  <si>
    <t>App crash when upgrading v0.7.3 to v0.8.0</t>
  </si>
  <si>
    <t>bug in my Proguard configuration in v0.7.3 has caused scripts to save and be serialized in obfuscated form.
So need to create some logic to handle the upgrade scenario:
if saved script json is obfuscated, deserialize to obfuscated model, and convert it
immediately save script after loading to overwrite obfuscated script json
This is the only issue holding up the release of v0.8.0, so hoping to get it fixed by end of the week.</t>
  </si>
  <si>
    <t>liferay-liferay-screens-589</t>
  </si>
  <si>
    <t>#trivial MOBILE-1009 Fix crash GridField when rotated before debounce</t>
  </si>
  <si>
    <t>Fix was made on GridField to parse string map format to json format avoiding crash when data value is restored to field.</t>
  </si>
  <si>
    <t>2018-12-05</t>
  </si>
  <si>
    <t>fossasia-pslab-android-1452</t>
  </si>
  <si>
    <t>PSLab Crash upon viewing logged Lux meter data</t>
  </si>
  <si>
    <t>App crash whenever try to open
Show the other page with the recorded data. or don save the data.
**Steps to reproduce it**
Press record and quit the instrument without stopping. Return back to Lux meter and show the logged data
Upon clicking the chosen data set, it crashes.
**Screenshots of the issue**
&lt;img src https: 11439477 width 400px</t>
  </si>
  <si>
    <t>mapbox-mapbox-events-android-310</t>
  </si>
  <si>
    <t xml:space="preserve">IllegalArgumentException with minifyEnabled true </t>
  </si>
  <si>
    <t>Found in the release build minifyEnabled true of the navigation test app:
Added this rule as quick fix, resolving the crashes:</t>
  </si>
  <si>
    <t>2018-12-03</t>
  </si>
  <si>
    <t>alexweininger-android-catan-296</t>
  </si>
  <si>
    <t>Game crashed with Robber action</t>
  </si>
  <si>
    <t>Game crashed when pressing confirm button on discard cards menu during robber phase. Proper amount of cards was selected and user had the right cards to get rid of. Error was in CatanHumanPlayer:</t>
  </si>
  <si>
    <t>SEG2105-Group-JobZi-174</t>
  </si>
  <si>
    <t>App crashes when empty login credentials are used.</t>
  </si>
  <si>
    <t>To reproduce, either pass in an empty username, password, or both. After the crash, oddly enough, the app goes to the sign up activity.</t>
  </si>
  <si>
    <t>SEG2105-Group-JobZi-172</t>
  </si>
  <si>
    <t>App crashes when last availability a service provider has is removed.</t>
  </si>
  <si>
    <t>To reproduce, simply remove all availabilities from all days and after removing the last one the app will crash.
This is likely due to firebase returning null when the availabilities hash map is empty (or something similar).</t>
  </si>
  <si>
    <t>onaio-kujaku-212</t>
  </si>
  <si>
    <t>Bugs encountered when using Sample app</t>
  </si>
  <si>
    <t>MapActivity crashing if not openned with points dropped passed
Offline map downloading service throwing exception if provided an http or https url as the styleUrl This should be allowed as long as it usable by Mapbox</t>
  </si>
  <si>
    <t>seisure-ASE-107</t>
  </si>
  <si>
    <t>App-Crash beim Löschen einer Aktion</t>
  </si>
  <si>
    <t>Habe diesen Zustand in der App. Wenn ich die Aktion sche, crasht die App.
Konnte es jetzt auf die Schnelle nicht fixen. Das Problem ist aber irgendwo im Consistency-Test, also das .get() ist au erhalb der List.</t>
  </si>
  <si>
    <t>2018-12-02</t>
  </si>
  <si>
    <t>marksuth-indigenous-android-158</t>
  </si>
  <si>
    <t>Load more button can crash when clicking twice</t>
  </si>
  <si>
    <t>protect against it</t>
  </si>
  <si>
    <t>osmdroid-osmdroid-1217</t>
  </si>
  <si>
    <t>java.lang.OutOfMemoryError crash with high res tiles and 6.0.3 only</t>
  </si>
  <si>
    <t>## Issue Type
Build system related
## Description and or steps code to reproduce the problem
Problem can be reproduced with small app (listing below):
Start the app
Rotate and scale the map very very intensely
in the profile of Visual studio you can watch how memory footprint increases
on device with 256 MB heap for the app no memory is left after about half minute
app crashes with
Problem can be reproduced only:
with hires tile source (basemap.at in the app)
with osmdroid 6.0.3
Did NOT manage to reproduce the problem
with MAPNIK tile source
with osmdroid 6.0.2
Here is the app to reproduce the problem:
public class MainActivity extends AppCompatActivity
private final double
1, 19, 512, .jpeg
Tiles basemap.at, CC BY 3.0 AT</t>
  </si>
  <si>
    <t>2018-12-01</t>
  </si>
  <si>
    <t>nikhilmuz-WhatsApp-Bulk-Sender-10</t>
  </si>
  <si>
    <t>app crashes with android 8.1 and android 9</t>
  </si>
  <si>
    <t>Issue with the foreground services
still gives fatal exception,,,
works fine with android and android</t>
  </si>
  <si>
    <t>gdblech-PubHub-87</t>
  </si>
  <si>
    <t>Server "crashes" when a team does not submit an anwer.</t>
  </si>
  <si>
    <t>2018-11-30</t>
  </si>
  <si>
    <t>GreatApo-GreatFit-22</t>
  </si>
  <si>
    <t>Crash with change of month to Dec</t>
  </si>
  <si>
    <t>Hi 30 mins into Dec here in Sydney and have noticed this watchface and other apk watchface have both crash when select them so i.m thinking it has something to do with the change of month as it did work perfect thanks.</t>
  </si>
  <si>
    <t>k3b-ToGoZip-15</t>
  </si>
  <si>
    <t>2.0.17 "Generate zip-subfolders below" may cause crashes</t>
  </si>
  <si>
    <t>Hello. Thanks for the update.
Sadly, the application crashes when:
choose Generate zip-subfolders below option and then press system back button instead of Cancel button.
It not possible to choose any other location instead of Download copy. It should say that ve picked the wrong folder or offer choice. Now it crashes all the time until the application data is cleared.</t>
  </si>
  <si>
    <t>Haptic-Apps-Slide-2919</t>
  </si>
  <si>
    <t>Turning phone off while slide is in foreground causes crash.</t>
  </si>
  <si>
    <t>Turning my phone off while slide is in the foreground causes it to freeze, the only way to fix this is to click the home button or go into overview and then go back to slide.</t>
  </si>
  <si>
    <t>2018-11-29</t>
  </si>
  <si>
    <t>kontalk-androidclient-1242</t>
  </si>
  <si>
    <t>Kontalk crashes if contacting from external xmpp client</t>
  </si>
  <si>
    <t>### Expected behavior
Kontalk should accept the invitation and shouldn crash.
### Actual behavior
Kontalk is crashing after clicking ACCEPT
### Steps to reproduce
1. Create normal xmpp account
2. Log in to Conversations
3. Optional: Enable OMEMO (i know not supported by kontalk)
4. Write message to your Kontalk User ID
5. Open Kontalk and click on ACCEPT
Kontalk version: 4.2.0 F-Droid
Android version: LineageOS 14.1 (Android 7.1.2)
Device model: Samsung G920F
paste them here because there are no private personal details
Note, there is xposed in the logs, please ignore it. reproduced this with another device running Android without xposed.</t>
  </si>
  <si>
    <t>commons-app-apps-android-commons-2045</t>
  </si>
  <si>
    <t>Attempt to invoke virtual method 'an droid.content.res.Resources android.view.View.getResources()' on a null object reference</t>
  </si>
  <si>
    <t>Got crash when starting the app.
**Steps to reproduce:**
Not easy to reproduce, but second time today.
**Device and Android version:**
LineageOS Android 7.1.2
**Commons app version:**
2.9.0 from Play Store</t>
  </si>
  <si>
    <t>react-native-camera-react-native-camera-1956</t>
  </si>
  <si>
    <t>Front camera shows black screen and crashes app on iOS</t>
  </si>
  <si>
    <t>**To Do First**
Did you try latest release?
Did you try master?
Did you look for existing matching issues?
iOS: 12, testing production build on an iPhone SE
**Description Current Behaviour**
1. When toggling to the front RNCamera from the back RNCamera, the screen appears black. If press the button to take photos, the app crashes.
2. If set the initial RNCamera type prop to front, the app immediately crashes when rendering the camera screen.
User should be able to toggle between the front and back camera. When toggling to the front camera, users should be able to see the camera, not black screen. Users should be able to take photo while the front camera is toggled on.
**Steps to Reproduce**
1. Create production build on iOS using react-native run-ios --configuration Release.
2. Toggle from the back camera to the front camera OR set RNCamera prop to front.
This is what displayed after toggled to the front camera via the upper right button.
class CameraScreen extends Component
constructor( navigation Props
takePicture async ()
.then( data data
const flash this.state
const cameraType this.state
const navigation this.props</t>
  </si>
  <si>
    <t>2018-11-28</t>
  </si>
  <si>
    <t>ryanw3bb-unity-native-toolkit-3</t>
  </si>
  <si>
    <t>Crashes on Android</t>
  </si>
  <si>
    <t>Running the example on Android api 27 crashes instantly.</t>
  </si>
  <si>
    <t>sschueller-peertube-android-26</t>
  </si>
  <si>
    <t>App crashes when server URL is invalid</t>
  </si>
  <si>
    <t>App crashes when you provide wrong URL for the server. Then it crashes everytime you launch the app.</t>
  </si>
  <si>
    <t>SwengGolfTeam-Sweng_Golf-172</t>
  </si>
  <si>
    <t>[Bug] The application crash when we try to add location but it is disabled in phone parameters [3h]</t>
  </si>
  <si>
    <t>Inform the user if the localization does not work is not activated. Maybe redirect them to the parameters of the phone to let them enable the functionality.</t>
  </si>
  <si>
    <t>commons-app-apps-android-commons-2041</t>
  </si>
  <si>
    <t>Crash on bookmarking an item from Explore</t>
  </si>
  <si>
    <t>Trying to bookmark an item from Explore Media details activity crashes the app.
**Steps to reproduce:**
Explore Media details Bookmark item
How can we reproduce the issue?
What did you expect the app to do, and what did you see instead?
**Device and Android version:**
Nexus emulator. Android 8.1.
**Commons app version:**
**Would you like to work on the issue?**</t>
  </si>
  <si>
    <t>2018-11-27</t>
  </si>
  <si>
    <t>MozillaReality-FirefoxReality-848</t>
  </si>
  <si>
    <t>Crash upon loading navigation menu on Amazon.com</t>
  </si>
  <si>
    <t>## Steps to Reproduce
1. Launch https: amazon.com
2. Press the Navigation in the top-left corner (i.e., the hamburger menu icon).
3. Notice Firefox Reality crashes. See crash report on Socorro. (https: report index
## Current Behavior
Firefox Reality crashes upon loading JavaScript: (0) See crash report on Socorro for at (https: report index
## Expected Behavior
Firefox Reality does not crash upon loading JavaScript: (0)
Firefox Reality chokes on the URI, JavaScript: (0) when it is parsed by the URL parsing logic in the UI-Override code (added in PR #777).
See crash report on Socorro. (https: report index</t>
  </si>
  <si>
    <t>MozillaReality-FirefoxReality-844</t>
  </si>
  <si>
    <t>In settings panel, crash reporting and telemetry switches always show off when FxR is launched.</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</si>
  <si>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Open setting panel
2. Enable crash reporting and or telemetry.
3. Restart FxR
4. Open settings panel
## Current Behavior
&lt;!--- If describing bug, tell us what happens instead of the expected behavior. --&gt;
&lt;!--- If suggesting change improvement, explain the difference from current behavior. --&gt;
Crash reporting and telemetry will show as being off, even if they are enabled.
## Expected Behavior
&lt;!--- If you re describing bug, tell us what should happen. --&gt;
&lt;!--- If you re suggesting change improvement, tell us how it should work. --&gt;
Crash reporting and telemetry switches should accurately reflect the state of the feature.</t>
  </si>
  <si>
    <t>google-ExoPlayer-5149</t>
  </si>
  <si>
    <t>NullPointerException in EventLogger.printMetadata</t>
  </si>
  <si>
    <t>seeing rare inside metadata analytics processing:
So it crashes in one branch of callback propagation which does not have null-check guard
no stream sample. seeing it in crash reporting system</t>
  </si>
  <si>
    <t>2018-11-26</t>
  </si>
  <si>
    <t>RoverPlatform-rover-android-308</t>
  </si>
  <si>
    <t>Notification Center list view crash</t>
  </si>
  <si>
    <t>marksuth-indigenous-android-154</t>
  </si>
  <si>
    <t>checking emoji and special character posting</t>
  </si>
  <si>
    <t>They seem to be changed in the post. Probably need to send utf-8 in the header.
And double check with my own site, even simple ** ** crashed my server</t>
  </si>
  <si>
    <t>commons-app-apps-android-commons-2029</t>
  </si>
  <si>
    <t>NPE after tapping image in Explore</t>
  </si>
  <si>
    <t>App crashes after tapping an image in Explore to view the media details
**Steps to reproduce:**
Open Explore. Tap on picture.
&lt;?xml version 1.0 encoding UTF-8 ?&gt;&lt;api batchcomplete idx 71497799 pageid 71497799 ns title File:Dehnbare Helmling Mycena epipterygia.jpg imagerepository local &gt;&lt;imageinfo&gt;&lt;ii thumburl https: wikipedia commons thumb 1e Dehnbare Helmling Mycena epipterygia.jpg 640px-Dehnbare Helmling Mycena epipterygia.jpg thumbwidth 640 thumbheight 448 url https: wikipedia commons 1e Dehnbare Helmling Mycena epipterygia.jpg descriptionurl https: wiki File:Dehnbare Helmling Mycena epipterygia.jpg descriptionshorturl https: index.php?curid 71497799 &gt;&lt; imageinfo&gt;&lt; page&gt;&lt; pages&gt;&lt; query&gt;&lt; api&gt;
**Device and Android version:**
Nexus API 27
**Commons app version:**
2.9-release prodRelease build
**Would you like to work on the issue?**</t>
  </si>
  <si>
    <t>niclabs-adkintunmobile-androidclient-202</t>
  </si>
  <si>
    <t>Telephony.java line 89</t>
  </si>
  <si>
    <t>nikmons-screwdriver-14</t>
  </si>
  <si>
    <t>Issue with latest commits regarding models.py &amp; api.py update</t>
  </si>
  <si>
    <t>Latest api.py related commit applied changes on outdated version of this script (outdated branch version generally) Causing deployed app to crash.</t>
  </si>
  <si>
    <t>mehtank-androminion-575</t>
  </si>
  <si>
    <t>Crash in v9.05</t>
  </si>
  <si>
    <t>Crash on take fleet
and sometimes game go to main menu when play (no crash just show main menu)</t>
  </si>
  <si>
    <t>alexweininger-android-catan-211</t>
  </si>
  <si>
    <t>SurfaceView stays black upon starting the game</t>
  </si>
  <si>
    <t>When click start in the game framework enter the game. The sidebar loads, but the surface view is black and clicking things crashes the app.
believe this is loading issue where we are trying to draw the surface view before the game state object is finished making. Hmm...</t>
  </si>
  <si>
    <t>2018-11-25</t>
  </si>
  <si>
    <t>alexweininger-android-catan-209</t>
  </si>
  <si>
    <t>When no items are selected for trade it crashes</t>
  </si>
  <si>
    <t>When trading with port or the bank if no items are selected the game crashes.</t>
  </si>
  <si>
    <t>commons-app-apps-android-commons-2026</t>
  </si>
  <si>
    <t>Crash on opening media details activity</t>
  </si>
  <si>
    <t>Opening media details activity crashes the app
**Steps to reproduce:**
Click on any uploaded image to open media details.
**Device and Android version:**
Nexus 5. API 27.
**Commons app version:**
2.9-release branch. Beta variant
**Would you like to work on the issue?**</t>
  </si>
  <si>
    <t>lineargs-WatchNextApp-56</t>
  </si>
  <si>
    <t>App Crashes on Sync Adapter Notifications</t>
  </si>
  <si>
    <t>When Sync Adapter runs in the background the app crashes when trying to display Notification</t>
  </si>
  <si>
    <t>noties-Markwon-81</t>
  </si>
  <si>
    <t>[question] having trouble loading images from assets</t>
  </si>
  <si>
    <t>am having lots of trouble displaying images from assets. at first was having trouble even loading the drawable loader and would get run time exceptions but got around it. know there was similar issue already addressed it did help me got this far but am stuck again
public class MainActivity extends AppCompatActivity
protected void onCreate(Bundle savedInstanceState)
conf, img (assets twinspri.jpg)
with this only the image label gets displayed, wonder if it is because of the scheme handling or it not being able to find asset folder or its probably much bigger problem.
in place of but that was crashing the app.
Help would be much appreciated</t>
  </si>
  <si>
    <t>JasonSmith03-Android-Project-6</t>
  </si>
  <si>
    <t>Unsubscribe from service</t>
  </si>
  <si>
    <t>Method in the database does not work it crashes the app.</t>
  </si>
  <si>
    <t>ankidroid-Anki-Android-5131</t>
  </si>
  <si>
    <t>Catch common Play Console crash, logging for root cause</t>
  </si>
  <si>
    <t>know just catching null pointers isn the solution, but can
figure out how this code is causing crash, so logging the
object lookup chain parts then logging the that
is our current top crash on Play Console that haven fixed yet</t>
  </si>
  <si>
    <t>2018-11-24</t>
  </si>
  <si>
    <t>oliexdev-openScale-354</t>
  </si>
  <si>
    <t>Bug at sync between silvercrest sbf75 &amp;sony xperia xz1 compact</t>
  </si>
  <si>
    <t>**Describe the bug**
Application crashes when receiving data from silvercrest sbf75 scale
Steps to reproduce the behavior:
1. Start app
2. Start scale by stepping on it
3. Measure begins, App connects to scale
4. Unexpected error
The App should sync with the scale and begin receiving data
Build version: 1.8.3</t>
  </si>
  <si>
    <t>ECSE321-Fall2018-t14-35</t>
  </si>
  <si>
    <t xml:space="preserve">Bug where a city with spaces in it is not parsed properly </t>
  </si>
  <si>
    <t>If you enter city such as New York, the app will crash as the http utils does not properly parse it as an entire string</t>
  </si>
  <si>
    <t>2018-11-22</t>
  </si>
  <si>
    <t>miguelpruivo-flutter_file_picker-7</t>
  </si>
  <si>
    <t>Cannot open document with URI: com.android.providers.downloads.documents .</t>
  </si>
  <si>
    <t>App crashes when attaching document of above URI with below error</t>
  </si>
  <si>
    <t>aws-amplify-aws-sdk-android-589</t>
  </si>
  <si>
    <t>[Pinpoint] updateEndpointProfile() throws BadRequestException for the locale information sent by the SDK</t>
  </si>
  <si>
    <t>**Describe the bug**
After creating Pinpoint manager, try to update targetingClient and saw crash log in Android Studio log console
**Which AWS service(s) are affected?**
No error log
complete the following information):**
SDK Version: 2.8.4
**Device Information (please complete the following information):**
Device: Pixel XL Android 9, Samung SM-G920 Android
didn test on other devices yet
Here is the logs:</t>
  </si>
  <si>
    <t>OneBusAway-onebusaway-android-934</t>
  </si>
  <si>
    <t>Reminders don't reschedule after reboot when targeting Android 8.0 (API level 26)</t>
  </si>
  <si>
    <t>This issue has the same underlying cause as https: github.com OneBusAway onebusaway-android issues 933 this crash is related to background executions limits introduced on Oreo:
If you schedule an arrival reminder and then restart your device, you ll get this stacktrace:
app is in background uid UidRecord b5c9138 u0a176 RCVR idle change:idle uncached procs:1 seq(0,0,0)
app is in background uid UidRecord b5c9138 u0a176 RCVR idle change:idle uncached procs:1 seq(0,0,0)
&gt;Under certain circumstances, background app is placed on temporary whitelist for several minutes. While an app is on the whitelist, it can launch services without limitation, and its background services are permitted to run. An app is placed on the whitelist when it handles task that visible to the user, such as:
Handling high-priority Firebase Cloud Messaging (FCM) message.
Receiving broadcast, such as an SMS MMS message.
Executing PendingIntent from notification.
Starting VpnService before the VPN app promotes itself to the foreground.
This StackOverflow post summarizes the issue, and the accepted answer outlines few options:
paulnabanita1 is going to test starting the TripService in the foreground (Option 1) to see if this avoids the ve heard from other developers that switching to foreground services avoids lot of headaches with unexpected background behavior.
paulnabanita1 Note that if we implement full solution based on the foreground execution, we ll need to customize the notification message based on what the TripService is doing (e.g., Scheduling reminders, checking for new real-time info from the server, etc.), which would be in based on the value of intent.getAction() (i.e., the IF statements starting on line 181).
To ensure that the reboot broadcast is received on all devices, as mentioned here (https: github.com AdguardTeam AdguardForAndroid issues 183) we should also expand the intent-filter in the AndroidManifest.xml to include the following QUICKBOOT POWERON intents:
Based on these references:
https: github.com OpenLocate openlocate-android issues 70
https: issues 76112072
https: github.com AdguardTeam AdguardForAndroid issues 183
Android docs for starting the service in the foreground:
**Steps to reproduce:**
1. Run app using code on the master branch (target SDK 26)</t>
  </si>
  <si>
    <t>2018-11-21</t>
  </si>
  <si>
    <t>nextcloud-android-library-201</t>
  </si>
  <si>
    <t xml:space="preserve">Parser crash for activities with null values </t>
  </si>
  <si>
    <t>The android client crashes while parsing deck activities which send null values for the rich subject parts, e.g. when trying to parse this:
You have created new stack stack on board
we get an Exception:
Expected BEGIN OBJECT but was NULL at path 11 .subject rich .card
nickvergessen can you shed some light on this if
deck needs to remove the card element completely
Android client needs to be able to handle such null values (would have to check how to do thi in GSON)
cc juliushaertl for deck and tobiasKaminsky for Android lib.</t>
  </si>
  <si>
    <t>OneBusAway-onebusaway-android-933</t>
  </si>
  <si>
    <t>Occasional Embedded Social SDK crash after updating to target Android 8.0 (API level 26)</t>
  </si>
  <si>
    <t>First mentioned in https: github.com OneBusAway onebusaway-android pull
After bumping to targetSdkVersion 26 when restarting the app from Android Studio seeing this relatively frequently:
This crash is related to background executions limits introduced on Oreo:
**Steps to reproduce:**
1. Use https: github.com OneBusAway onebusaway-android pull 930 (or after that PR is merged, the master branch)
1. Launch the app from Android Studio
1. Make code change, and re-launch the app from Android Studio while the app is still running
1. Restart your device
1. Long-press the OBA icon on your screen and move it around without dropping it
acrown-msft is investigating to see if this occurs in other direct user-facing cases
**Device and Android version:**
Samsung Galaxy S8+ Android 8.0</t>
  </si>
  <si>
    <t>aws-amplify-aws-sdk-android-588</t>
  </si>
  <si>
    <t>Offline Pinpoint initialisation crash the app</t>
  </si>
  <si>
    <t>**Describe the bug**
clear and concise description of what the bug is.
Steps to reproduce the behavior:
1. Put the mobile offline
2. open the app and initialise the Pinpoint service
3. sometimes the app crash with this log:
Fatal Exception: Failed to get credentials from Cognito Identity
Caused by Unable to resolve host No address associated with hostname
**Which AWS service(s) are affected?**
the app should not crash
complete the following information):**
SDK Version: 2.8.2
**Device Information (please complete the following information):**
Device: Tested with Nexus9 and OnePlus 5T
Android Version: 7.1 .1 and 8.1</t>
  </si>
  <si>
    <t>aws-amplify-aws-sdk-android-586</t>
  </si>
  <si>
    <t>AuthUI ForceChangePasswordView Form Name Mismatch</t>
  </si>
  <si>
    <t>**Describe the bug**
There is mismatch between two variable names inside of the two associated files:
aws-sdk-android src main java com amazonaws mobile auth userpools
aws-sdk-android src main res layout activity force change password.xml
The following mismatch is present, causing runtime crash:
activity force change password.xml in line 37:
in line 133:
forgotPassForm (FormView) password form**)
The second mismatch is the following:
activity force change password.xml in line 50:
in line 142:
confirmButton (Button) password button**)
Steps to reproduce the behavior:
1. Create new user in Cognito, or set state of user to FORCE CHANGE PASSWORD
2. Login with temporary password, so that the AuthUI attempts to use the code path for force change password.
3. Unhandled runtime crash of the app.
**Which AWS service(s) are affected?**
AWS Cognito client side, not server
User should be redirected to the page asking for new password to be set.
complete the following information):**</t>
  </si>
  <si>
    <t>nextcloud-android-3277</t>
  </si>
  <si>
    <t>Device credentials bypass due to Settings crash</t>
  </si>
  <si>
    <t>### Steps to reproduce
1. Make sure you set Lock mechanism to Device credentials
2. Make sure you start app for first time (i.e. by first killing it via Android Settings).
3. Hold phone in landscape mode
4. Start NextCloud app. (Settings crashed).
5. Press Open again
6. Voila, NextCloud app starts without unlocking.
Video demo (https: youtu.be Xjqb7YZUZco)
### Expected behaviour
App should open only after valid unlock.
### Actual behaviour
App opens without any unlock validation
## Server configuration detail
Modules loaded: Core, date, libxml, openssl, pcre, zlib, filter, hash, Reflection, SPL, session, standard, cgi-fcgi, mysqlnd, PDO, xml, apcu, bcmath, bz2, calendar, ctype, curl, dom, mbstring, fileinfo, ftp, gd, gettext, gmp, iconv, igbinary, intl, json, exif, mcrypt, msgpack, mysqli, pdo mysql, pdo sqlite, apc, posix, readline, shmop, SimpleXML, sockets, sqlite3, sysvmsg, sysvsem, sysvshm, tokenizer, wddx, xmlreader, xmlwriter, xsl, zip, Phar, memcached, Zend OPcache
**Nextcloud version:** 14.0.3 14.0.3.0
**Updated from an older Nextcloud ownCloud or fresh install:**
**Where did you install Nextcloud from:** unknown
of activated apps&lt; summary&gt;
admin audit: 1.4.0
cloud federation api: 0.0.1</t>
  </si>
  <si>
    <t>2018-11-20</t>
  </si>
  <si>
    <t>SEG2105-Group-JobZi-138</t>
  </si>
  <si>
    <t>Saving profile after it has been edited crashes the app.</t>
  </si>
  <si>
    <t>jroal-a2dpvolume-271</t>
  </si>
  <si>
    <t>App crashes on starting service</t>
  </si>
  <si>
    <t>Android made changes for API 26 that makes the starting of service different.
Here is another app dealing with the same issue: https: github.com mapbox pull 157 (https: github.com mapbox pull 157)
This is causing an exception on many devices after A2DP volume targets API26. need to figure out solution for this when get time.
The new background execution limits are also likely the cause of the app being stopped, not capturing location, not responding to connect disconnect, etc. Investigation is needed to understand how to propelry handle the new execution limits and changes in this app.</t>
  </si>
  <si>
    <t>MozillaReality-FirefoxReality-783</t>
  </si>
  <si>
    <t>Suggestion widget crash</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</si>
  <si>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Type some text into the URL bar.
2. Click on browser window.
3. Press home button (notice back button no longer works).
4. Launch FxR again.
5. Try to type in the URL bar.
## Current Behavior
&lt;!--- If describing bug, tell us what happens instead of the expected behavior. --&gt;
&lt;!--- If suggesting change improvement, explain the difference from current behavior. --&gt;
## Expected Behavior
&lt;!--- If you re describing bug, tell us what should happen. --&gt;
&lt;!--- If you re suggesting change improvement, tell us how it should work. --&gt;
Should be able to type and get suggestions.</t>
  </si>
  <si>
    <t>MCMrARM-revolution-irc-173</t>
  </si>
  <si>
    <t>Crashes after establishing connection.</t>
  </si>
  <si>
    <t>Steps to reproduce:
1. Set server.
2. See msg about connecting to the server.
3. After connection is established the crash message appears.
4. Restart the app.
5. After connection establishing crash is repeating.
Huawei Honor 4C
Android 4.4.2 KitKat</t>
  </si>
  <si>
    <t>2018-11-19</t>
  </si>
  <si>
    <t>inaturalist-iNaturalistAndroid-613</t>
  </si>
  <si>
    <t>Not sure how important this is, but it is causing some crashes for us:
Apparently you need to call as well? Context: https: stackoverflow.com questions 44425584</t>
  </si>
  <si>
    <t>mendhak-gpslogger-695</t>
  </si>
  <si>
    <t>Crash when tapping below add profile button in profile view</t>
  </si>
  <si>
    <t>Steps to reproduce:
Open the Menu
On top, tap on the active proile name downwards arrow to open the profile chooser
Tap below the new profile button.
GPSLogger crashes with an NPE.
enabled the show outlines option in the Android developer options and looked at the spot. screenshot is attached below. You can see there is an empty element below the add button. Tapping it causes the NPE.
This seems to be the function responsible for filling the UI:
It seems to find something which passes the existence check but result in Null being inserted.</t>
  </si>
  <si>
    <t>wdullaer-MaterialDateTimePicker-549</t>
  </si>
  <si>
    <t>Crash with accessibility next/prev events and min/max date</t>
  </si>
  <si>
    <t>Library version 4.0.1.
Steps to reproduce:
1. Enable TalkBack (or some other accessibility helper with next previous navigation)
2. Open up DatePickerDialog with minimum date set e.g. to current date
3. Select first day of current month
4. Swipe left to move to previous focusable item
Invalid dates (before minimum date) should not be focused?
No crash, focus moves e.g. to controls above the month selection view.
Invalid dates can be focused with accessibility navigation.
Crash trying to move to previous month that is before minimum date.
Assuming this crashes the same way with maximum date set respectively did not try to repro that myself.
This looks lot like #512 reported earlier.</t>
  </si>
  <si>
    <t>IbrahimNM-seefood_app-11</t>
  </si>
  <si>
    <t>Camera causes app to crash</t>
  </si>
  <si>
    <t>If the user rotate the Camera to landscape orientation, the app crashes!</t>
  </si>
  <si>
    <t>terl-lazysodium-android-15</t>
  </si>
  <si>
    <t>lazysodium crashes with latest JNA (5.1.0)</t>
  </si>
  <si>
    <t>Quickstart recommends using the latest JNA version (5.1.0), but new SodiumAndroid()) crashes on startup with:
The internets are also unhelpful with this error message. Changing the JNA dependency to 4.5.1 works.</t>
  </si>
  <si>
    <t>2018-11-18</t>
  </si>
  <si>
    <t>lineargs-WatchNextApp-52</t>
  </si>
  <si>
    <t>Notifications crashing the app in Build &lt; 0</t>
  </si>
  <si>
    <t>App crashes when trying to send notifications from SyncAdapter in devices Android</t>
  </si>
  <si>
    <t>nextcloud-android-3273</t>
  </si>
  <si>
    <t>java.lang.NullPointerException: Attempt to invoke virtual method 'android.content.res.Resources android.content.Context.getResources()' on a null object reference</t>
  </si>
  <si>
    <t>am using Nextcloud client stable release, 3.3.2. When click login after entering my credentials the client crashes.
ve monitored the server side Apache logs and there isn anything unusual:
On the client side via adb note the client seems to be raising some issues:
have the client installed on internal memory and not an external SD card. am using LineageOS (Android 7.1.2).</t>
  </si>
  <si>
    <t>2018-11-17</t>
  </si>
  <si>
    <t>kontalk-androidclient-1239</t>
  </si>
  <si>
    <t>Debug log uri is file-based and crashes</t>
  </si>
  <si>
    <t>Same issue as #1231.</t>
  </si>
  <si>
    <t>JasonSmith03-Android-Project-4</t>
  </si>
  <si>
    <t>Service Provider Information page</t>
  </si>
  <si>
    <t>The done button crashes the app. Can seem to fix it even though using the same code structure from other classes that currently work.</t>
  </si>
  <si>
    <t>antest1-kcanotify-61</t>
  </si>
  <si>
    <t>KCANotify 2.6.5 rev 1 Crashes When Clicking on Airbase Button in FleetView After Kancolle Nov. 16 2018 Update</t>
  </si>
  <si>
    <t>When clicking on the Airbase button in FleetView in KCANotify 2.6.5 rev 1, after Kancolle was updated on November 16th, 2018, KCANotify crashes and brings up the option to send in crash report (mine are sent on both devices). The Kancolle update did make some changes to the LBAS UI, adding in showing the base range plus how much any recons are adding to that, so that probably why.</t>
  </si>
  <si>
    <t>google-udacity-india-scholars-abnd-track-pomodoro-timer-app-53</t>
  </si>
  <si>
    <t>App crashing on api level 28.</t>
  </si>
  <si>
    <t>### Steps to reproduce
Run app on devise with api level 28.
Click on Start pomodoro button.
### Expected behaviour
Timer starts correctly.
### Actual behaviour
app crashes when start pomodoro button is clicked.
select area 20181117010742 (https: 18153319
### Java error stack trace
### Possible fix
It can be fixed by adding permissions for foreground services in manifest.xml.
And would like to fix it.</t>
  </si>
  <si>
    <t>2018-11-16</t>
  </si>
  <si>
    <t>cs262dFA2018-EventConnect-22</t>
  </si>
  <si>
    <t>App crashes when adding an event with invalid values</t>
  </si>
  <si>
    <t>Currently exceptions are thrown when an event with invalid data is added. These exceptions need to be caught and handled to prevent the app from crashing.</t>
  </si>
  <si>
    <t>awslabs-aws-mobile-appsync-sdk-android-62</t>
  </si>
  <si>
    <t>The app crashes when the sdk is launched</t>
  </si>
  <si>
    <t>**Describe the bug**
The app crashes when the sdk is launched
complete the following information):**
AppSync SDK Version: 2.6.28
**Device Information (please complete the following information):**
Device: LLD-AL00 UNROOT
Android Version: Android 8.0.0, level 26
CPU Architecture: aarch64
The bug only occurs when we use the HUAWEI device.
Here is the crash log:</t>
  </si>
  <si>
    <t>apache-cordova-android-562</t>
  </si>
  <si>
    <t>Updated to 7.1.2 - android.os.DeadObjectException: Transaction failed on small parcel; remote process</t>
  </si>
  <si>
    <t>After updating to the latest Cordova Android (7.1.2) ve received about 80 crash error reports. They all come from exactly Android 8.0 and they all throw this exact same error.
ve attached full catlog below where basically click some buttons in the app before it breaks. The app does not break in the browser, ve also not received any errors from it iOS counterpart and it successfully working on every other version of Android. ve tried following the error in Android Studio but it basically jumps right into the underlying Android system code, ll keep trying.
ve tried selectively pulling out each one of the cordova plugins ve been using to see if any of them are causing this issue but haven had any luck.
use the following plugins and have ensured all of them are up to date
&lt;plugin name spec ^1.3.3
&lt;plugin name spec ^4.0.2
&lt;plugin name cordova-plugin-file spec ^6.0.1
&lt;plugin name spec ^4.0.1
&lt;plugin name spec ^1.1.4
&lt;plugin name spec ^2.4.1
&lt;plugin name spec ^2.0.1
&lt;plugin name spec ^5.0.2
&lt;engine name android spec ^7.1.2</t>
  </si>
  <si>
    <t>2018-11-15</t>
  </si>
  <si>
    <t>splushii-dancingBunnies-23</t>
  </si>
  <si>
    <t>LocalAudioPlayer NowPlaying queue unpreloaded playNow crash</t>
  </si>
  <si>
    <t>1. Use LocalAudioPlayer.
2. Queue items so there are some non-preloaded (e.g. 5).
3. Click non-preloaded item and click play now icon.</t>
  </si>
  <si>
    <t>dimagi-commcare-android-2051</t>
  </si>
  <si>
    <t>Fix for Session expiration Crashes</t>
  </si>
  <si>
    <t>Catches all unhandled SessionExpiration crashes in ExceptionHandler and redirects to login
Make onResumeSessionSafe actually session safe by catching</t>
  </si>
  <si>
    <t>Intelehealth-Android-Mobile-Client-591</t>
  </si>
  <si>
    <t>Backup Cloud crash</t>
  </si>
  <si>
    <t>App crashing on BackupCloud.java line 342
Originator- Ambuj Pandey
Checked from- Nov 14,2018
Bug type- crash
Mobile Brand- Motorola
Model- Moto E(4)
OS Version- 7.1.1
App Version- 1.4,
crash date Nov 11th, 2018
Number of Crashes:
View DecorView f7b37a8 Restoring data from cloud(Forced) not attached to window manager</t>
  </si>
  <si>
    <t>opentok-opentok-react-native-198</t>
  </si>
  <si>
    <t>OpenTok seems to crash when videoSource is set to "screen"</t>
  </si>
  <si>
    <t>OpenTok OTPublisher seems to crash freeze after interacting with the screen and videoSource is set to screen This seems to affect the app itself as well to certain extent as my Back button no longer works as well (however some element on the screen seems to still be working).
**Steps to reproduce**
1. Set the OTPublisher videoSource to screen
2. Have webview image that covers the screen so that OTPublisher will show something as well
3. Run the project on Android device
4. Interact with the webview like scrolling up and down
5. The image in OTPublisher will stop moving after few movements
ve tried digging around bit (by using Log) and from what can tell the crash might be happening in in the line
as the line before it was shown in Log but the line after isn t.
1. Lenovo (Tab) YT3-850M Android 5.1.1, API 22
2. Xiaomi Redmi Note Android 6.0, API 23</t>
  </si>
  <si>
    <t>awslabs-aws-mobile-appsync-sdk-android-60</t>
  </si>
  <si>
    <t>App crashes when app is running</t>
  </si>
  <si>
    <t>App crashes when app is running especially when app come into foreground from background. guess that the problem lies in the cached database. The cursor is not closed when executing the database operation. And here is the snapshot of the crash log.</t>
  </si>
  <si>
    <t>alexweininger-android-catan-181</t>
  </si>
  <si>
    <t>Crash when trading resources</t>
  </si>
  <si>
    <t>had no resources to give but tried to get resource and the game crashed. Doesn always seem to happen.</t>
  </si>
  <si>
    <t>2018-11-14</t>
  </si>
  <si>
    <t>Intelehealth-Android-Mobile-Client-589</t>
  </si>
  <si>
    <t>Crash while uploading visit</t>
  </si>
  <si>
    <t>App crashing on line 570
Originator- Ambuj Pandey
Checked from- Nov 14,2018
Bug type- crash
Mobile Brand- Lenovo
Model- Lenovo TB3-710I
OS Version- 5.1
App Version- 1.4,
crash date start Nov 13th, 2018
Number of Crashes:
Attempt to invoke virtual method int on null object reference</t>
  </si>
  <si>
    <t>Intelehealth-Android-Mobile-Client-588</t>
  </si>
  <si>
    <t>DelayedJobQueueProvider  line 192</t>
  </si>
  <si>
    <t>App crashing on line 192
Originator- Ambuj Pandey
Checked from- Nov 14,2018
Bug type- crash
Mobile Brand- Huawei
Model- ATU-L22,MotoE(4) Plus,
OS Version- 8.0.0,7.1.1
App Version- 1.4,1.3.3
crash date start Nov 10th, Sept 3rd 2018
Number of Crashes:</t>
  </si>
  <si>
    <t>Intelehealth-Android-Mobile-Client-587</t>
  </si>
  <si>
    <t>PhysicalExamActivity.java line 333</t>
  </si>
  <si>
    <t>App crashing on line 333
Originator- Ambuj Pandey
Checked from- Nov 14,2018
Bug type- crash
Mobile Brand- Huawai
OS Version- 8.0
App Version- 1.4,
crash date start Nov 14th, 2018
Number of Crashes:
**Caused by** Attempt to invoke virtual method on null object reference</t>
  </si>
  <si>
    <t>agersant-polaris-android-14</t>
  </si>
  <si>
    <t>Once, the app crashed after clearing the playback queue</t>
  </si>
  <si>
    <t>After cold boot, immediately went to the queue tab and cleared the playback queue. App crashed.
Seen on 0.6.1.</t>
  </si>
  <si>
    <t>niclabs-adkintunmobile-androidclient-198</t>
  </si>
  <si>
    <t>Report.java line 3530</t>
  </si>
  <si>
    <t>SwengGolfTeam-Sweng_Golf-116</t>
  </si>
  <si>
    <t>Fix a bug in ShowOfferActivity</t>
  </si>
  <si>
    <t>The application was crashing if we added comment of length 4. Now it shows an error message and the application doesn crash.</t>
  </si>
  <si>
    <t>2018-11-13</t>
  </si>
  <si>
    <t>onaio-kujaku-190</t>
  </si>
  <si>
    <t>GeoWidget Sample App crashes when you touch a point while the cards are moving</t>
  </si>
  <si>
    <t>The GeoWidget Sample App engages some type of animation when users select either point or card. This animation changes the info window. If user touches another point while the animation is processing, the GeoWidget Sample App crashes.
### Recreation Steps:
Open the Sample App Map view
Touch point on the map and the info windows will show up.
Touch another point on the map and quickly touch third before the animation stops.
The app crashes.</t>
  </si>
  <si>
    <t>geopaparazzi-geopaparazzi-572</t>
  </si>
  <si>
    <t>From ACRA: transaction issue</t>
  </si>
  <si>
    <t>LOGCAT --------- beginning of main
--------- beginning of system
--------- beginning of crash
APP VERSION CODE 92
APP VERSION NAME 5.6.2
PHONE MODEL VTR-L09
ANDROID VERSION 8.0.0</t>
  </si>
  <si>
    <t>geopaparazzi-geopaparazzi-570</t>
  </si>
  <si>
    <t>From ACRA: OOM</t>
  </si>
  <si>
    <t>APP VERSION NAME 5.6.1
Caused by: Failed to allocate 5136 byte allocation with 3784 free bytes and 3KB until OOM, max allowed footprint 536870912, growth limit 536870912
PHONE MODEL vivo 1802
ANDROID VERSION 8.1.0
LOGCAT --------- beginning of system
--------- beginning of main
--------- beginning of crash
APP VERSION CODE 91</t>
  </si>
  <si>
    <t>tanguyantoine-react-native-music-control-193</t>
  </si>
  <si>
    <t>Fixed Android 8.0+ service crash in background</t>
  </si>
  <si>
    <t>#### What this PR do?
Fix Android 8.0+ crashes
#### Which issue(s) is it related to?
#### Screenshots (if appropriate)
#### How to test:
Now music controls in background works and do not crash</t>
  </si>
  <si>
    <t>2018-11-12</t>
  </si>
  <si>
    <t>react-native-svg-react-native-svg-840</t>
  </si>
  <si>
    <t>Crash when using Pattern</t>
  </si>
  <si>
    <t>getting hard crash when trying to use Patterns. Testing with react-native-svg 8.0.8 and iOS simulator outputs to XCode console just libc++abi.dylib: terminating with uncaught exception of type NSException
Simple test case which always crashes:
const STRIPE WIDTH
const VIEWBOX WIDTH 140
const VIEWBOX HEIGHT 140
&lt;View style height: 64, width: 64
viewBox VIEWBOX WIDTH VIEWBOX HEIGHT
width STRIPE WIDTH
width STRIPE WIDTH
width STRIPE WIDTH
cx VIEWBOX WIDTH
cy VIEWBOX HEIGHT</t>
  </si>
  <si>
    <t>nextcloud-android-3257</t>
  </si>
  <si>
    <t>Android 9 unable to start app</t>
  </si>
  <si>
    <t>Nextcloud app crashes every time it is starting. No logging no error message.
Android November update</t>
  </si>
  <si>
    <t>2018-11-11</t>
  </si>
  <si>
    <t>EXALAB-AnLinux-App-21</t>
  </si>
  <si>
    <t>Firefox Quantum Issue</t>
  </si>
  <si>
    <t>Currently when running Apt-Based distro, running Firefox Quantum would result in black screen, then crash. Currently best alternative browser is Midori.
For anyone who have overcome this issue in chroot environment on android before, please offer any suggestion or method to resolve this issue, thanks.</t>
  </si>
  <si>
    <t>nextcloud-android-3255</t>
  </si>
  <si>
    <t>Crash when switching to grid view</t>
  </si>
  <si>
    <t>### Actual behaviour
Switching to grid view in any folder crashes the app. The folder cannot be opened without crash after that.
### Expected behaviour
Switch to grid view and don crash.
### Steps to reproduce
1. Go to any folder.
2. Select grid view.
### Similar issues
It looks like similar issues were reported before (#2471, #2668). But there is no solution other than reinstalling the app.
### Environment data
Nextcloud app version:
FATAL EXCEPTION: main</t>
  </si>
  <si>
    <t>lottie-react-native-lottie-react-native-406</t>
  </si>
  <si>
    <t>Upgrade lottie-android to 2.8.0 - Invalid Layer Save Flag Issue</t>
  </si>
  <si>
    <t>experiencing this issue
Looks like we re using 2.5.5
Which has the following line that causes some issues with newer versions of Android
### Steps to Reproduce
Follow the step in the associated ticket.
The animation should work
The animation causes the app to crash
You can get this information from executing npm version</t>
  </si>
  <si>
    <t>2018-11-09</t>
  </si>
  <si>
    <t>Telegram-FOSS-Team-Telegram-FOSS-275</t>
  </si>
  <si>
    <t>Crash with multiple live locations shared in one chat</t>
  </si>
  <si>
    <t>Normal scenario: person shares his live location in chat. Dynamic map image with marker appears in this chat. Tapping on this image shows slippy map with person position.
Steps to reproduce:
person **and** his interlocutor share their live location simultaneously
Two separate map images are visible in chat
Tap on either of this map images. App crashes (instead of showing slippy map with two markers)
Here is what appears in log:</t>
  </si>
  <si>
    <t>react-native-camera-react-native-camera-1914</t>
  </si>
  <si>
    <t>Android app crashes sometimes when calling `takePictureAsync`</t>
  </si>
  <si>
    <t>**To Do First**
Did you try latest release?
Did you try master?
Did you look for existing matching issues?
**Description Current Behaviour**
App crashes sometimes when calling takePictureAsync This never happens on the emulator, seeing it happen on Samsung Galaxy J3. Taking the picture works randomly around of times, but sometimes it makes the app crash.
It should take the picture and don crash.
**Steps to Reproduce**
Taking picture times and it will fail.
import React from react
import View, TouchableOpacity, Image from react-native
import RNCamera from react-native-camera
import styles from styles
class SelectMediaScreen extends React.Component
const options quality: 0.5, base64: true, fixOrientation: true
const uri, base64 data
this.setState( imageData: uri, base64
const back, front
this.setState( cameraType: back front back
const imageData, cameraType this.state</t>
  </si>
  <si>
    <t>mauron85-react-native-background-geolocation-319</t>
  </si>
  <si>
    <t>App Crashes when entering / leaving Background</t>
  </si>
  <si>
    <t>## Your Environment
Plugin version: 3.0.0-alpha.43
OS version: 8.1.0
Device manufacturer and model:
&lt;!--- If Simulator was used instead of real device, type Yes in following section --&gt;
Running in Simulator: No
Plugin configuration options:
using this plugin to track user location while the app is in Background, everything works fine while only close the application but keep the screen of the device active. As soon as is start using the screen lock hardware button the plugin sometimes receives an error, this leads to an application crash.
## Expected Behavior
do not crash after entering lock screen
## Actual Behavior
crashes after entering lock screen
## Possible Fix
&lt;!--- Not obligatory, but suggest fix or reason for the bug --&gt;
## Steps to Reproduce
1. start Logging with this config
2. Use screen Lock hardware Button
3. after Resuming to app the crash occurs
need to get the geolocation always, screen lock, app paused, app foreground...)
## Debug logs</t>
  </si>
  <si>
    <t>alexweininger-android-catan-89</t>
  </si>
  <si>
    <t>App crashes when no value is entered for intersection IDs</t>
  </si>
  <si>
    <t>How to get error:
1. Open new game
2. Either in setup phase leave intersection ID blank OR in regular gameplay, click Road Settlement or City and enter blank intersection ID</t>
  </si>
  <si>
    <t>2018-11-08</t>
  </si>
  <si>
    <t>plusCubed-matlog-47</t>
  </si>
  <si>
    <t>Crash when opening menu</t>
  </si>
  <si>
    <t>When clicking the menu button in the app, the app crashes.
Exception while inflating &lt;vector&gt;
FATAL EXCEPTION: main
... 26 more</t>
  </si>
  <si>
    <t>2018-11-07</t>
  </si>
  <si>
    <t>nextcloud-android-3242</t>
  </si>
  <si>
    <t>Nextcloud App crashed on Samsung Galaxy Note Edge</t>
  </si>
  <si>
    <t>When try to start the Nextcloud App on my Samsung Galaxy Note Edge, the app crashes. am not able to use it. It worked with previous versions.
Device Android: 6.0.1, Kernel 3.10.40
The issue happens both on WiFi as well on 4G networks.
sent an error report via my GMail address (grueeck gmail.com).</t>
  </si>
  <si>
    <t>mapbox-mapbox-plugins-android-758</t>
  </si>
  <si>
    <t>AutocompleteLauncherActivity crashes when returning from PlaceAutocomplete</t>
  </si>
  <si>
    <t>OnActivityResult crash with the following stack trace:
Caused by: Parameter specified as non-null is null: method parameter data</t>
  </si>
  <si>
    <t>2018-11-06</t>
  </si>
  <si>
    <t>mjaun-android-anuto-147</t>
  </si>
  <si>
    <t>Game crash after remove from recent apps</t>
  </si>
  <si>
    <t>The game FC after removing it window from recent apps menu. Here is the log as reported by my system (xiaomi redmi note 4, Miui 9.6.3.0 global)
Caused by: cannot be cast to</t>
  </si>
  <si>
    <t>2018-11-05</t>
  </si>
  <si>
    <t>kontalk-androidclient-1231</t>
  </si>
  <si>
    <t>Camera uri is file-based and crashes</t>
  </si>
  <si>
    <t>Full path Uri to the camera image file is file-based so strict mode will crash the app. Use proxied Uri by FileProvider.</t>
  </si>
  <si>
    <t>2018-11-04</t>
  </si>
  <si>
    <t>NordicSemiconductor-Android-nRF-Blinky-15</t>
  </si>
  <si>
    <t>ClassNotFoundException: Didn't find class "android.arch.lifecycle.ProcessLifecycleOwnerInitializer</t>
  </si>
  <si>
    <t>On Android (9.0), get the above exception at runtime and the app crashes.
found that adding this to the proguard file fixed the issue:</t>
  </si>
  <si>
    <t>2018-11-03</t>
  </si>
  <si>
    <t>fossasia-pslab-android-1431</t>
  </si>
  <si>
    <t xml:space="preserve">Issue with the multimeter and the accelerometer. </t>
  </si>
  <si>
    <t>In the multimeter section when we try to access the settings of the multimeter the app crashes unexpectedly. This happens frequently not just few times and is noticed across devices.
Also, the dial of the multimeter is not responsive, it takes 3-4 touches on the dial to rotate the dial.
similar problem is noticed in the case of the accelerometer. Even when we try to access the settings of the accelerometer the app crashes the same way as in the case of the multimeter.
Besides these issues, the app is responsive and fluent no other issues noticed.
Below are the screenshots of the issue faced.
Hope the developer fix these soon.</t>
  </si>
  <si>
    <t>Awful-Awful.apk-641</t>
  </si>
  <si>
    <t>NPEs in ThreadDisplayFragment when Activity isn't attached</t>
  </si>
  <si>
    <t>This is sort of an edge case it possible to try and open thread in before the activity is available, so when it tries to access that you obviously get crashes. The most reliable way to cause this is:
turn on Destroy All Activities in dev options
open the app and navigate straight to the Leper Colony (don open thread)
click the view post menu item on any entry
seems like there race condition, and the viewpager is able to set up the new fragment and pass it the (deferred) NavigationEvent before it all attached to the activity.
The fix is probably to have variable in the fragment, and make the #handleNavigation method do an activity check if it not created or attached, store the event instead of acting on it. Then have #onCreate onAttach look for stored event and run #navigate on it. That way it just deferred until the activity shows up
ll do this later, adding this so don forget (also for evidence)</t>
  </si>
  <si>
    <t>connectbot-connectbot-654</t>
  </si>
  <si>
    <t>Find and remove StandardCharsets usage</t>
  </si>
  <si>
    <t>Until the app minSdkVersion is 19, StandardCharsets will crash on devices less than API 19. Since we re on minSdkVersion 14 then this affects those users. Currently sshlib is using some StandardCharsets stuff in 1.9.3.</t>
  </si>
  <si>
    <t>2018-11-02</t>
  </si>
  <si>
    <t>nextcloud-android-3220</t>
  </si>
  <si>
    <t>App crashes when synchronizing big folders</t>
  </si>
  <si>
    <t>When try to synchronize folders with great number of files (around 700 in my case) the app shows popup saying close the app or wait and if don click on wait the application stops. But if stay 15 or 20 minutes clicking on wait each time the popup appears the download will start normally.
Sorry for my bad English hope my explanations are clear</t>
  </si>
  <si>
    <t>react-native-camera-react-native-camera-1900</t>
  </si>
  <si>
    <t>Incompatible AVCAptureSessionPreset causes crash on iPad Mini 4</t>
  </si>
  <si>
    <t>**Description Current Behaviour**
In my project am implementing camera view for scanning QR codes, using the library. This lib is dependent on
Using the latest release of react-native-camera on master (1.3.1), opening the camera causes the app to crash when using an iPad Mini 4. am not specifying any camera resolution or format, so the default value is used.
This error gets printed in Xcode:
*** Terminating app due to uncaught exception reason: *** AVCaptureSession setSessionPreset: is not supported preset
Seems like this happens because RNCamera is trying to use the highest resolution video preset (4K video), but the camera in the iPad Mini does not support 4K video.
The camera should start without crashing.
In my package.json: react-native-camera git+https: git github.com react-native-camera
am using RNCamera without the FaceDetector folder.</t>
  </si>
  <si>
    <t>ECSE321-Fall2018-t07-41</t>
  </si>
  <si>
    <t>Android: Driver: Datepicker crashes for Trip_Edit</t>
  </si>
  <si>
    <t>It crashes because onTimeSet() in the timepicker fragment attempts to return value to (Trip Create) while it is called from Trip Edit</t>
  </si>
  <si>
    <t>bitstadium-HockeySDK-Android-406</t>
  </si>
  <si>
    <t>Not logging TransactionTooLargeException</t>
  </si>
  <si>
    <t>We ve got caused by passing large parcel objects via Intent but HockeyApp is not logging those crashes. Other crashes appear in the HockeyApp almost immediately after reopening the app (when crashes are being uploaded) so it not problem with the crash upload.
This is our setup:
Code causing an exception:
Is it known behaviour?</t>
  </si>
  <si>
    <t>ECSE321-Fall2018-t07-40</t>
  </si>
  <si>
    <t>Android: Driver: Destinations ListView thing crashes when keep pressing "-" after all rows are gone</t>
  </si>
  <si>
    <t>and too sleepy to look at sorry</t>
  </si>
  <si>
    <t>k9mail-k-9-3691</t>
  </si>
  <si>
    <t>App crashes on opening inbox with wrong password</t>
  </si>
  <si>
    <t>The app crashes after importing an account with the wrong password. After importing you are promted to input the password for the account. Though it seems that its not checked at all at that point so the app can get the accounts folders and thus crashes when try to open the inbox from the account list (or the unified inbox).
### Expected behavior
Check password and show wrong password notice either on account import or when opening the inbox.
### Actual behavior
The app just crashes.
### Steps to reproduce
1. Import Account from .k9s file
2. Input wrong password for the account
3. Try open the inbox of that account from account list or unified inbox
K-9 Mail version: 5.700-SNAPSHOT
Android version: 8.0.0
Account type (IMAP, POP3, WebDAV Exchange): IMAP</t>
  </si>
  <si>
    <t>TeamNewPipe-NewPipe-1862</t>
  </si>
  <si>
    <t>Crash at startup when phone is in airplane mode</t>
  </si>
  <si>
    <t>NP crashes when we launch it and the phone is in airplane mode.
Thanks for paying attention to it</t>
  </si>
  <si>
    <t>2018-11-01</t>
  </si>
  <si>
    <t>onaio-kujaku-174</t>
  </si>
  <si>
    <t>IndexOutOfBoundsException on Sample App Map Activity</t>
  </si>
  <si>
    <t>Steps to replicate:
1. Open Kujaku Sample app
2. Click on **Open Map Activity**
3. Click on one the red circle feature below the **Mulele Road** text
This happens on the sample app with the m-spray data
The app crashes with the following log:</t>
  </si>
  <si>
    <t>nextcloud-android-3212</t>
  </si>
  <si>
    <t>Crash when loading "Deleted files"</t>
  </si>
  <si>
    <t>Nextcloud app version:
Nextcloud server version:
The app crashes when there are many files with equal names in the trashbin.
### Stack trace:</t>
  </si>
  <si>
    <t>mapbox-mapbox-events-android-267</t>
  </si>
  <si>
    <t>Update AlarmManager flag</t>
  </si>
  <si>
    <t>On Samsung devices, the Alarms are not properly cancelled when requested. They fill up until the 500 level threshold and cause crash. Instead of cancelling, we are switching to updating the current alarm.
Research seen here: https: stackoverflow.com questions 29344971</t>
  </si>
  <si>
    <t>2018-10-31</t>
  </si>
  <si>
    <t>commons-app-apps-android-commons-1967</t>
  </si>
  <si>
    <t>App crashes due to NPE in bookmarks</t>
  </si>
  <si>
    <t>Summarize your issue in one sentence (what goes wrong, what did you expect to happen)
Proddebug installs on fresh install when media item is clicked.
**Add System logs:**
**Device and Android version:**</t>
  </si>
  <si>
    <t>getodk-collect-2709</t>
  </si>
  <si>
    <t>NullPointerException when auto-deleting sent filled forms</t>
  </si>
  <si>
    <t>#### Software and hardware versions
Collect v1.18.0, Android v7.0
#### Problem description
After an auto-send, there crash when deleting the filled form.
#### Steps to reproduce the problem
Unknown. One possibility since it happens on Android is that the permissions are revoked before the deletion happens. not sure how that would happen but seems possible.
#### Expected behavior
#### Other information
am thinking of checking for null and if there is null, logging an exception that checks the granted permissions.</t>
  </si>
  <si>
    <t>commons-app-apps-android-commons-1966</t>
  </si>
  <si>
    <t>Crash when rotating the app on Nearby mode</t>
  </si>
  <si>
    <t>Summarize your issue in one sentence (what goes wrong, what did you expect to happen)
Crash when rotating the app on Nearby mode
**Steps to reproduce:**
attach video showing how to reproduce the error
How can we reproduce the issue? Go to Nearby mode and rotate several times opening the list of points.
What did you expect the app to do, and what did you see instead? No crash
**Add System logs:**
Sent by email using the app
**Device and Android version:**
Xiaomi Mi MIX 2S
**Commons app version:**
**Would you like to work on the issue?**
can provide testing support but cannot fix the bug programming.</t>
  </si>
  <si>
    <t>k9mail-k-9-3689</t>
  </si>
  <si>
    <t>Can't set a key from Openkeychain to an account</t>
  </si>
  <si>
    <t>found some problems with OpenKeychain (https: github.com k9mail k-9 issues?utf8 %E2%9C%93&amp;q One problem found was #2601, very similar to this issue, but prefer to open this issue to explain and show exactly what is happening. #3289 is similar too, but it is solved bug, so it might be caused by different reason.
think it is problem with K-9 because another applications in which use key from OpenKeychain, as Password Store (https: github.com zeapo works fine.
### Expected behavior
My intention is to add key to an email account, but can t. The expected behavior is to set without problems the key.
### Actual behavior
The system shows notification telling me that OpenKeychain has crashed. After several times trying it, rebooting, uninstalling and reinstalling the app, didn achieve nothing and it keeps crashing.
### Steps to reproduce
Below there is an animated gif in which you can see what am trying to do to configurate the key.
1. Set the OpenPGP provider in Global configuration Encryption (excuse me if the items of the menu are not the same, am translating it from the strings in Spanish, the language use).
2. Then, try to set the key in Account configuration Encryption My key.
3. OpenKeychain crash.
K-9 Mail version: 5.600 (downloaded from F-Droid)
OpenKeychain version: 5.2 (downloaded from F-Droid)
Android version: 7.1.1
Smartphone: Moto Play
Account type (IMAP, POP3, WebDAV Exchange): IMAP
Of course, take the opportunity to thank you for the development of this awesome mail client, the one like more. wish we could solve this issue.</t>
  </si>
  <si>
    <t>SwengGolfTeam-Sweng_Golf-94</t>
  </si>
  <si>
    <t>App crashes when deleting offer without a picture [1h]</t>
  </si>
  <si>
    <t>The app crashes when we are trying to delete an Offer that does not have an image.
It seems to be caused by the removal of the (non-existing) picture in the storage.</t>
  </si>
  <si>
    <t>nikita36078-J2ME-Loader-401</t>
  </si>
  <si>
    <t xml:space="preserve">Nature park </t>
  </si>
  <si>
    <t>(For example, 240x320 or 640x360)
(For example, Samsung Galaxy S7)
**Description of the issue:**
(What the problem? Screenshots showing the issue if applicable)
It is always crash when choose new game and play it for little while</t>
  </si>
  <si>
    <t>2018-10-30</t>
  </si>
  <si>
    <t>onaio-kujaku-164</t>
  </si>
  <si>
    <t>Sample App Crash onLocationChange</t>
  </si>
  <si>
    <t>We are getting crash report just after the location changes when user touches the Low-level Add Point Location services menu item. When looking at the log, it looks like there circular loop on line 184:
Open Kujaku Sample App
Touch the hamburger menu
Touch Low-level Add Point Location Services text
Touch the Go to My Location button
(The radio activates, moves the point and the app immediately crashes)</t>
  </si>
  <si>
    <t>microsoft-appcenter-sdk-android-855</t>
  </si>
  <si>
    <t>StackOverflowError on App start</t>
  </si>
  <si>
    <t>Thanks for your interest in using the App Center SDK for Android.
If your issue is not related to using our Android SDK but rather about the product experience like the portal or CI,
please create ticket using the blue chat button on any page of the https: appcenter.ms portal instead.
If you are using Xamarin, please report the issue on https: github.com Microsoft instead.
StackOverflowError during app start
&lt;!-- If making feature request, remove the below information --&gt;
### **Repro Steps**
Please list the steps used to reproduce your issue.
1. connect app to app center with provided code
2. after using you app for while, when it crashes, bad things happen
1. Which SDK version are you using?
2. Which OS version did you experience the issue on?
3. What device version did you see this error on? Were you using an emulator or physical device?
physical tablet device
4. What third party libraries are you using?
lots of them, but lack to see the importance here
5. Please enable verbose logging for your app using before your call to and include the logs here:
will work on collecting the logs, as need new deploy, but for now, here is the stack trace:</t>
  </si>
  <si>
    <t>NordicSemiconductor-Android-BLE-Library-39</t>
  </si>
  <si>
    <t>getGattCallback null object</t>
  </si>
  <si>
    <t>ve had of my users recently crash with the following null object crash on beta5 version of the library. unsure what exactly is happening at the moment in time before it crashes as ve never seen this on my devices, but wanted to share it in case there is something obvious you can spot?
have several hundred other users all using the app (and library) without problem, so don think this is huge problem.</t>
  </si>
  <si>
    <t>Haptic-Apps-Slide-2881</t>
  </si>
  <si>
    <t>Shadowbox crashes after viewing many gifs</t>
  </si>
  <si>
    <t>Slide version: 5.9-alpha2
Android version: 8.1.0
The following error occurs when am in shadowbox mode and scroll through many gifs, getting to the end of what loaded.
--------- beginning of crash</t>
  </si>
  <si>
    <t>erickok-transdroid-469</t>
  </si>
  <si>
    <t>Crashed on Nexus 6P</t>
  </si>
  <si>
    <t>installed version is 2.5.13 from Google Play Store but it crashed after pressed home button.Here is the crash log:</t>
  </si>
  <si>
    <t>GluuFederation-android-super-gluu-35</t>
  </si>
  <si>
    <t>iOS: Super Gluu crashes upon QR code scan</t>
  </si>
  <si>
    <t>soulfoodz, please have look:
1. In the Gluu Server VM settings, change Network Adapter connection type from NAT to Bridged The Gluu Server and smartphone should be connected to WiFi on the same local network
2. Log into the VM and run ifconfig in the terminal to get the IP address of the Gluu Server
3. In oxTrust, enable the Super Gluu authentication script
4. Update the host file on the machine where you are running the browser to log in
5. Try to log in using iOS Super Gluu and scan the code
10-52-41.MP4.zip (https: github.com GluuFederation super-gluu files 2527596
Tested on an iPhone 6s+ with ios 11.4.1.
Worked fine with Android app from Google store:
&lt;img width 1106 alt oxauth 2018-10-30 19-02-46 src https: 38302725</t>
  </si>
  <si>
    <t>mapbox-mapbox-events-android-265</t>
  </si>
  <si>
    <t>Fix TelemetryService and applicationContext issue</t>
  </si>
  <si>
    <t>Address issue where static applicationContext set by the activity is null, but service is still operating. Lifecycles are detached and can cause potential issues in lower API levels. Goal is to test and prevent crash from occurring. If possible, refactor all tangental code ran by the service to prevent this as well.</t>
  </si>
  <si>
    <t>2018-10-29</t>
  </si>
  <si>
    <t>Susanfe-sdp-event-management-119</t>
  </si>
  <si>
    <t>App crashes when opening news for an event that has no news</t>
  </si>
  <si>
    <t>TeamNewPipe-NewPipe-1855</t>
  </si>
  <si>
    <t>Popup Player Crash</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</si>
  <si>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GB
OS: Linux Android 7.1.2 25
More Information: Galaxy S6, LineageOS 14.1, App from F-Droid
also know you do not want crash logs in issue section but this happens not only on my device.
know there is xposed installed BUT xposed does NOT touch this app in any way!
The popup player starts and loads the video and when it tries to play the video it ends with crash.
log&lt; b&gt;&lt; summary&gt;&lt;p&gt;
... 10 more</t>
  </si>
  <si>
    <t>mapbox-mapbox-events-android-263</t>
  </si>
  <si>
    <t>Migrate TelemetryService to using getApplicationContext()</t>
  </si>
  <si>
    <t>Address this work: https: github.com mapbox issues
To prevent possible instances where is null due to differing lifecycles, we will migrate from using this static context within our TelemetryService to using This will prevent odd crashes we are noticing in over-managed OS and under odd corner cases, where context is not set, but processes are running.
remove all reference to from TelemetryService
remove context check method
add tests to confirm working fix</t>
  </si>
  <si>
    <t>dimagi-commcare-android-2039</t>
  </si>
  <si>
    <t>Handles Downloads documents uri with String path</t>
  </si>
  <si>
    <t>This results in crash since we were always assuming downloads documents uri to be succedded by the row id and not actual path.</t>
  </si>
  <si>
    <t>commons-app-apps-android-commons-1959</t>
  </si>
  <si>
    <t>Crash on notification and fails on image upload</t>
  </si>
  <si>
    <t>The app crash when ever click on the Notification feature and was unable to upload image, showing Failed most time tried
**Steps to reproduce:**
Login and click on the Notification it crashes
Also, the second issues is quite simple as only tried to upload image.
**Add System logs:**
**Device and Android version:**
Tecno droid pad
1gb Ram and 16gb Rom
**Would you like to work on the issue?**
would have love to solve this issue but am not developer.</t>
  </si>
  <si>
    <t>ciuc-InternetRadioClock-18</t>
  </si>
  <si>
    <t>Leaving stream url empty causes crash</t>
  </si>
  <si>
    <t>nikita36078-J2ME-Loader-392</t>
  </si>
  <si>
    <t>Wechat</t>
  </si>
  <si>
    <t>(For example, 240x320 or 640x360)
(For example, Samsung Galaxy S7)
**Description of the issue:**
(What the problem? Screenshots showing the issue if applicable)
Can open wechat When open it it crash</t>
  </si>
  <si>
    <t>2018-10-26</t>
  </si>
  <si>
    <t>aws-amplify-aws-sdk-android-556</t>
  </si>
  <si>
    <t>AmazonClientException crashes app on bad network</t>
  </si>
  <si>
    <t>Full stack is below, but basically see that this call:
running in an anonymous thread will not catch
Off course, no matter how call it, this will always crash.
MQTT client IDs are required to be unique per AWS IoT account.
Initialize the AWS Cognito credentials provider
credentialsProvider COGNITO POOL ID, IOT REGION)
mqttManager IOT ENDPOINT)
Above method is called under try catch, not depicted above.
Can we fix this?
Full stack follow:
Caused by: Unable to resolve host No address associated with hostname
... 10 more</t>
  </si>
  <si>
    <t>2018-10-25</t>
  </si>
  <si>
    <t>NordicSemiconductor-Android-DFU-Library-143</t>
  </si>
  <si>
    <t>Fatal Exception: java.lang.NullPointerException Attempt to get length of null array</t>
  </si>
  <si>
    <t>crash was reported in our app that bundles version 1.7.0 of the DFU library. Details below:
RAM free: 1.28 GB
Disk free: 47.78 GB</t>
  </si>
  <si>
    <t>mapbox-mapbox-events-android-254</t>
  </si>
  <si>
    <t>Add lifecycle methods to track lifecycle of parent activity</t>
  </si>
  <si>
    <t>Add onPause and onResume lifecycle methods to track parent activity lifecycle better. Remove old reliance on Lifecycle observer, which can cause crash in certain circumstances.</t>
  </si>
  <si>
    <t>2018-10-24</t>
  </si>
  <si>
    <t>fossasia-open-event-organizer-android-1373</t>
  </si>
  <si>
    <t>App Crashes because Memory leaks occur while creating event</t>
  </si>
  <si>
    <t>**Describe the bug**
Memory Leaks occur while creating an event
Im still finding out way to reproduce the bug. will update the issue as soon get through
No memory leaks should occur and app should not crash
&lt;!-- Please complete the following information --&gt;
Android Version Oreo 8.1
**Would you like to work on the issue?**</t>
  </si>
  <si>
    <t>Keidan-SshServer-2</t>
  </si>
  <si>
    <t>Android under 8(Oreo) not working</t>
  </si>
  <si>
    <t>This app works great on Android 8, but if you run this app on Android or below app will be crashed. Do you know what is reason.</t>
  </si>
  <si>
    <t>DSC-Galgotias-TechnoJam-Chat-38</t>
  </si>
  <si>
    <t>Crash Fix</t>
  </si>
  <si>
    <t>#### Logcat Message
--------- beginning of crash
## Fix the crash by removing null pointer exception.</t>
  </si>
  <si>
    <t>Catfriend1-syncthing-android-113</t>
  </si>
  <si>
    <t>Follow-Up to issue 108 "IllegalStateEx" workaround (fixes #108)</t>
  </si>
  <si>
    <t>PR #109 worked around issue #108 to lower the impact of very rare occuring crash.
With this PR like to call for testers helping to verify if it makes the crashing more bad or solves the original issue.
Please chime in and report back, as cannot reproduce the IllegalStateEx in updateViewPager on AVD Android 9.x nor Android 8.1.0 on Xiaomi MI8 (MIUI 10).
Here the debug build (it only contains changes to the UI):
https: drive.google.com file view?usp sharing</t>
  </si>
  <si>
    <t>nextcloud-android-3179</t>
  </si>
  <si>
    <t>Client crash on Login</t>
  </si>
  <si>
    <t>Client crashes after login. Same crash after phone restart.
If an additional subdomain is created and used for login, the login works and the crash will not occur.</t>
  </si>
  <si>
    <t>2018-10-23</t>
  </si>
  <si>
    <t>Catfriend1-syncthing-android-111</t>
  </si>
  <si>
    <t>When I try to select a folder on the device, the application crashes</t>
  </si>
  <si>
    <t>Quote from Rakleed at https: github.com Catfriend1 syncthing-android issues
LineageOS 15.1, Android 8.1.0, OnePlus 3.</t>
  </si>
  <si>
    <t>convertigo-c8osdk-android-9</t>
  </si>
  <si>
    <t>Exception not catched in case of bad rsa key</t>
  </si>
  <si>
    <t>If rsa key used by HttpInterface is null or bad formatted, execption crashes the sdk.
Theses exeptions must be catched and throwed</t>
  </si>
  <si>
    <t>2018-10-22</t>
  </si>
  <si>
    <t>deltachat-deltachat-android-593</t>
  </si>
  <si>
    <t>crash when creating a new group</t>
  </si>
  <si>
    <t>just normal group with one member and without an avatar -&gt; crash</t>
  </si>
  <si>
    <t>RoverPlatform-rover-android-266</t>
  </si>
  <si>
    <t>combineLatest() stream operator crashes</t>
  </si>
  <si>
    <t>Invalid index 1, size is
customer observed this several thousand times in production app.</t>
  </si>
  <si>
    <t>urbandroid-team-Sleep-as-Android-Garmin-Addon-13</t>
  </si>
  <si>
    <t>UnexpectedTypeException in onTap crash</t>
  </si>
  <si>
    <t>Thanks to MrFly, we ve got bug to squash
Originally posted by MrFly in https: github.com urbandroid-team issues</t>
  </si>
  <si>
    <t>doublesymmetry-react-native-track-player-308</t>
  </si>
  <si>
    <t>[ANDROID][v1.0.0] module crashes when tries to play a local files</t>
  </si>
  <si>
    <t>this works perfectly fine on 0.2.5
however on 1.0.0 if the url points to local file this exception will be thrown:
Caused by: cannot be cast to</t>
  </si>
  <si>
    <t>novoda-merlin-173</t>
  </si>
  <si>
    <t>MER-171/IllegalStateException when attempting to notify</t>
  </si>
  <si>
    <t>We ve been aggressively throwing when the service is in an inconsistent state, however this exception is not catchable from the client side as it happens as part of the background service.
To no longer crash and instead Log.warn
### Test(s) added
Yep around the cases where the forwarding is ignored (and no longer crashes)
### Paired with</t>
  </si>
  <si>
    <t>applivery-applivery-android-sdk-25</t>
  </si>
  <si>
    <t>App crashes when attempting to install a new version</t>
  </si>
  <si>
    <t>Crash stack trace:
The issue seems to be related with the manifest files where the same providers are appear in both the Main App and the Applivery SDK:</t>
  </si>
  <si>
    <t>code4romania-monitorizare-vot-android-86</t>
  </si>
  <si>
    <t>Big videos crashes the app</t>
  </si>
  <si>
    <t>Big movies crash android and what is worse: it not possible to open the app again</t>
  </si>
  <si>
    <t>2018-10-21</t>
  </si>
  <si>
    <t>fluttercommunity-flutter_contacts-41</t>
  </si>
  <si>
    <t>Crashes on iOS Simulator at launch.</t>
  </si>
  <si>
    <t>keep having problems with this plugin even on completely fresh project. It builds fine but crashes as it tries to launch on the iOS simulator. As the example project runs fine, it must be something simple missing here.. Any help would be greatly appreciated!
Steps to reproduce:
1. Create fresh project using the flutter tool: flutter create -i swift -t app &lt;&lt;appname&gt;&gt;
2. Open the iOS simulator: open -a Simulator
3. Run the app on the simulator: flutter run
4. Add contacts service to pubspec.yaml and run packages get: flutter packages get
5. Edit Info.plist to include the permissions
6. Run the app again: flutter run
On my side it flashes white screen before crashing.
Flutter doctor output:
Flutter (Channel master, v0.10.2-pre.20, on Mac OS 10.12.6 16G1510, locale
Android toolchain develop for Android devices (Android SDK 27.0.3)
iOS toolchain develop for iOS devices (Xcode 9.0)
Android Studio (version 3.2)
VS Code (version 1.23.0)
Connected device (1 available)</t>
  </si>
  <si>
    <t>Piwigo-Piwigo-Android-60</t>
  </si>
  <si>
    <t>crash on upload photo</t>
  </si>
  <si>
    <t>uploading does not alway work as expected. cannot upload anything...
Originally posted by ramack in https: github.com Piwigo Piwigo-Android pull</t>
  </si>
  <si>
    <t>2018-10-20</t>
  </si>
  <si>
    <t>junjunguo-PocketMaps-102</t>
  </si>
  <si>
    <t>v2.6: many app crashes on loading map archives / start unzipping them</t>
  </si>
  <si>
    <t>On my android 5.1 device updated to app version 2.6, and later even complete reinstall, but keep on getting crashes when downloadibg map files or when the app wants to start unzipping the downloaded map files.
Crash logs should be sent via android crash report feature that developers can see in their playstore console.
Maybe due to limites write access to sd card or internal memory? What about teating feature on app start whether teh app has write acces to the medium where mapfiles are to be stored?</t>
  </si>
  <si>
    <t>excelsia-vee-cold-android-6</t>
  </si>
  <si>
    <t>Wallet crash upon access to main menu, Android 6.0</t>
  </si>
  <si>
    <t>On older systems running Android 6.0. After installation and opening the app, the home page is fine, but once selecting the import seed or generate seed menu option it would crash.</t>
  </si>
  <si>
    <t>LakeEffectRobotics-LakeEffectScoutingApp-145</t>
  </si>
  <si>
    <t>Choosing a match you are off on can crash the app at seemingly random times</t>
  </si>
  <si>
    <t>After that, you can choose when you are off.
Makes it hard to input matches 10</t>
  </si>
  <si>
    <t>google-ExoPlayer-4986</t>
  </si>
  <si>
    <t>NPE when remove child media source from (lazy) ConcatenatingMediaSource</t>
  </si>
  <si>
    <t>### Issue description, Reproduction steps
1. Create with useLazyPreparation true
2. Add some child media source and play
3. Delete child media source, exoplayer will crash if this media source still not prepared
### Link to test content
### Version of ExoPlayer being used
### Device(s) and version(s) of Android being used</t>
  </si>
  <si>
    <t>vector-im-riot-android-2672</t>
  </si>
  <si>
    <t>unable to share Fotos, Files from other apps to riot-android since update 0.8.18 and using new Status.im Theme</t>
  </si>
  <si>
    <t>updated to 0.8.18
switched to settings -&gt; Themes from light Design to new Status.im Theme. Since that can share Files, Screenshots by klicking on Share with.. using the fork Symbol in other apps.
Means when e.g. using the Gallery App, klicking fork Symbol in Foto to share it with .... then selecting riot .... nothing happened. (riot crashed and looped in restarts)
Back to old default Design and everything works fine again...
My Nokia7+ ist running under Android Pie
using the 0.8.18 from Fdroid Shop no PlayStore Version.</t>
  </si>
  <si>
    <t>renyuneyun-Easer-188</t>
  </si>
  <si>
    <t>Selecting a WiFi Connection that device is currently connected to crashes Easer</t>
  </si>
  <si>
    <t>From Conditions create new condition and select your currently connected WiFi access point using either Match SSID or Match BSSID. After save the application crashes. When you start the application again the the status on Outline is Not Running</t>
  </si>
  <si>
    <t>2018-10-19</t>
  </si>
  <si>
    <t>ankidroid-Anki-Android-5067</t>
  </si>
  <si>
    <t>TTS crash if TTS initialization fails</t>
  </si>
  <si>
    <t>###### Reproduction Steps
1. Enable text to speech on phone that doesn have TTS engine or is configured to use TTS engine that can start properly
2. Preview or review card
###### Expected Result
AnkiDroid shows toast that it is initializing TTS, then toast that TTS couldn be initialized
###### Actual Result</t>
  </si>
  <si>
    <t>ojacquemart-vlilleChecker-122</t>
  </si>
  <si>
    <t>Fix toast crash message</t>
  </si>
  <si>
    <t>ojacquemart-vlilleChecker-121</t>
  </si>
  <si>
    <t>Settings screen crash when app is not initiliazed</t>
  </si>
  <si>
    <t>react-native-camera-react-native-camera-1861</t>
  </si>
  <si>
    <t>iOS Facial Detection Currently Broken (iOS 12)</t>
  </si>
  <si>
    <t>**To Do First**
Tried latest release
There are existing reports however they are all closed
**Description Current Behaviour**
Currently crashing with iOS 12 with an EXC BAD ACCESS when onFacesDetected function is called. Potentially due to onFacesDetected being called even when no faces are available to be detected (the function is being called on instantiation of the RNCamera object).
Should not cause crash. This bug has rendered the library unusable for facial recognition on iOS.
**Steps to Reproduce**
On an iPad 10.5 model, instantiating an RNCamera view and supplying function for OnFacesDetected causes crash immediately with the following error appearing in Xcode.</t>
  </si>
  <si>
    <t>2018-10-17</t>
  </si>
  <si>
    <t>awslabs-aws-mobile-appsync-sdk-android-51</t>
  </si>
  <si>
    <t>Getting nullpoint exception when calling mutation</t>
  </si>
  <si>
    <t>**Getting nullpoint exception when calling mutation with invalid id**
am having an issue with AppSync SDL. My application getting crashed when try to update value corresponding to an id which is not present in dynamo DB.
AppSync SDK Version: 2.6.26
Android Version: Marshmallow 6.0, Oreo 8.1
***Since the exception occur inside the SDK am not able to control this situation**
FATAL EXCEPTION: OkHttp Dispatcher</t>
  </si>
  <si>
    <t>2018-10-16</t>
  </si>
  <si>
    <t>nextcloud-android-3151</t>
  </si>
  <si>
    <t>Client crashes after entering login credentials</t>
  </si>
  <si>
    <t>As per description app loads fine, and connects to server. It them prompts for username password, and after entering these the application crashes with the following traceback via logcat:
--------- beginning of crash
FATAL EXCEPTION: main
This is with Nextcloud client Version 3.3.0 from F-droid, on LineageOS 14.1 nightly (OnePlus X).</t>
  </si>
  <si>
    <t>inaturalist-iNaturalistAndroid-599</t>
  </si>
  <si>
    <t>Weird date picker crash</t>
  </si>
  <si>
    <t>2018-10-15</t>
  </si>
  <si>
    <t>NordicSemiconductor-Android-DFU-Library-129</t>
  </si>
  <si>
    <t>NullPointerException: BluetoothGattDescriptor is null when BaseDfulImpl.enableCCCD() is called</t>
  </si>
  <si>
    <t>We ve seen crash reports for our app that bundles
Details from the crash report:
RAM free: 656.18 MB
Disk free: 7.15 GB</t>
  </si>
  <si>
    <t>react-native-svg-react-native-svg-812</t>
  </si>
  <si>
    <t>Attempt to invoke virtual method 'void com.horcrux.svg.CircleShadowNode.setR(java.lang.String)' on a null object reference</t>
  </si>
  <si>
    <t>Might be duplicate of #811, this is new issue for me after #806 was fixed for me with forked version of RN.
getting those two errors on react-native-svg 7.0.2 They seem to affect all devices **exclusively** on Android 8.0. unfortunately cannot reproduce them.
Caused by: (882 crashes aka about 1% of sessions say)
Caused by: (126 crashes):</t>
  </si>
  <si>
    <t>code4romania-monitorizare-vot-android-73</t>
  </si>
  <si>
    <t>App crashes on adding photos</t>
  </si>
  <si>
    <t>Happens when adding media to the note.
It possible to add photo from the album, but when one wants to use camera the application crashes.</t>
  </si>
  <si>
    <t>khalid-hussain-HisnulMuslim-62</t>
  </si>
  <si>
    <t>Any update?</t>
  </si>
  <si>
    <t>Could you please update the files, dependencies and other things so that it runs smoothly with the latest Android?
This is very nice app. would appreciate if you please update it to avoid
1. app crashes
2. database needs to be dropped and updated when the database is updated.
3. clashes with the new Android builds.
Thanks in advance for the hardworking.</t>
  </si>
  <si>
    <t>2018-10-14</t>
  </si>
  <si>
    <t>nextcloud-android-3139</t>
  </si>
  <si>
    <t>App crash after few second after start</t>
  </si>
  <si>
    <t>### Actual behaviour
App crash after few second after start
### Expected behaviour
It should not do that.
### Steps to reproduce
1. Run App
2. Wait few second
### Environment data
Android version: 8.1.0
Device model: Redmi Plus
Stock or customized system: MIUI Global 10.0 Stable 10.0.2.0 (OEGMIFH)
Nextcloud app version: 3.3.0
Nextcloud server version: 14.0.3
#### Web server error log
Insert your webserver log here
#### Nextcloud log (data nextcloud.log)
Insert your Nextcloud log here</t>
  </si>
  <si>
    <t>2018-10-13</t>
  </si>
  <si>
    <t>k9mail-k-9-3659</t>
  </si>
  <si>
    <t>Crash on export of settings (for K-9 Mail in managed profile)</t>
  </si>
  <si>
    <t>**Device**: HTC One M8
**OS**: LineageOS 14.1 Android 7.1.2 (rooted)
**K-9 Mail**: version 5.600
When trying to export my settings, K-9 Mail immediately crashes (FC).
This *might* be exactly the same issue as described in #3614, but there one twist: using K-9 Mail in **managed profile** (i.e., Android for Work ).
As not sure whether this plays role and makes the described crash different problem or not, decided to open new issue. Please note that the export for managed profile should happen within the path storage emulated 10 instead of the usual storage emulated (export path cannot be defined or checked anywhere in K-9 Mail?)
debug log as described (here) https: github.com k9mail k-9 wiki LoggingErrors is attached.</t>
  </si>
  <si>
    <t>2018-10-12</t>
  </si>
  <si>
    <t>commons-app-apps-android-commons-1930</t>
  </si>
  <si>
    <t>Achievements activity is crashing on Android 8.1</t>
  </si>
  <si>
    <t>The app crashes on clicking on the trophy icon that opens achievements.
**Steps to reproduce:**
Click on the trophy icon. App crashes.
**Add System logs:**
Caused by: Path string cannot be empty.
... 25 more
**Device and Android version:**
Redmi Note 5. Android 8.1
**Commons app version:**
master and betaDebug prodDebug
**Would you like to work on the issue?**</t>
  </si>
  <si>
    <t>yeriomin-YalpStore-541</t>
  </si>
  <si>
    <t>Update fails due to wrong signature</t>
  </si>
  <si>
    <t>First of all thank you very much for your great app.
It is must have if one does not want to use google apps directly!
**Before creating an issue**
1. Make sure you are running the latest version of Yalp Store. Check here (https: github.com yeriomin YalpStore releases latest).
2. Search for similar issues here (https: github.com yeriomin YalpStore issues?q is%3Aissue).
3. Send developer bug report using Yalp built-in crash tool. Please identify yourself the reports are anonymous by default.
4. Number is important. Please do it. It helps lot.
5. Use the following template to write the text of your issue.
update should work without problem
error message: (roughly translated from german: the new version has different signing key. you have to remove the old version to install the new one.)
**Steps to reproduce**
1. have booking.com installed in 16.0.
2. see update to 16.1.1
3. click on install an see above error
downloaded 16.0 version from apkmirror
downloaded 16.1.1 from apkmirror
ran apksigner verifiy --print-certs on all three
Signer #1 certificate DN: Booking
Signer #1 certificate SHA-256 digest:
Signer #1 certificate SHA-1 digest:</t>
  </si>
  <si>
    <t>Barista-Analytics-Barista-Analytics-7</t>
  </si>
  <si>
    <t>App crashes on Cart Click</t>
  </si>
  <si>
    <t>Class Name: OkoaCoffeeDetails
When user clicks on the cart to confirm an order, the app should take them to the Registration activity. However, there is an application crash</t>
  </si>
  <si>
    <t>Barista-Analytics-Barista-Analytics-6</t>
  </si>
  <si>
    <t>Order Coffee Button crashes app</t>
  </si>
  <si>
    <t>Given list of coffees, selected coffee will display new activity with its coffee name, price and image. The Floating Button is supposed to take you to the registration page if you are not registered or logged in. The error is caused by simple null pointer reference of the FirebaseAuth object.
Can be simply fixed by finding out how to if current user is logged in.</t>
  </si>
  <si>
    <t>COMP30022-18-NaviBee-88</t>
  </si>
  <si>
    <t>Move conversation manager init call to application context to prevent unexpected crash.</t>
  </si>
  <si>
    <t>2018-10-11</t>
  </si>
  <si>
    <t>ankidroid-Anki-Android-5047</t>
  </si>
  <si>
    <t>Native crash in database in user collection - reproducible, same trace as top play console crash</t>
  </si>
  <si>
    <t>###### Reproduction Steps
1. Import the attached collection.apkg to an emulator (I used Android 7.0 to match the user report) using the hotfix-2.8.5 branch builds
2. Open the card browser on the MySQL deck
3. Scroll down almost to the end
###### Expected Result
You see all the cards
###### Actual Result
Native crash, pasted in below</t>
  </si>
  <si>
    <t>twilio-video-quickstart-android-341</t>
  </si>
  <si>
    <t>Custom VideoRenderer crashes VideoTrack</t>
  </si>
  <si>
    <t>&lt;!-- Check the following before filing an issue --&gt;
Before filing an issue please check that the issue is not already addressed by the following:
Video Guides (https: www.twilio.com docs api video)
Github Issues (https: github.com twilio issues)
Changelog (https: www.twilio.com docs api video changelogs android)
Please ensure that you are not sharing any
Personally Identifiable Information(PII) (https: www.twilio.com docs glossary
or sensitive account information (API keys, credentials, etc.) when reporting an issue.
If add an custom VideoRender to an Camera2Capturer the stream freezes.
The same issue occurrs with some remote video tracks.
### Steps to Reproduce
1. create camera2Capturer
2. add custom Videorenderer
final VideoCapturer camera2Capturer new new
public void String newCameraId)
public void onError(final
final LocalVideoTrack localVideoTrack true, camera2Capturer)
final VideoRenderer videoRenderer new VideoRenderer()
public void frame)
#### Expected Behavior</t>
  </si>
  <si>
    <t>nextcloud-android-3131</t>
  </si>
  <si>
    <t>OnDevice -&gt; shared</t>
  </si>
  <si>
    <t>### Actual behaviour
app crashes with NPE
### Expected behaviour
show shared files and folders
### Steps to reproduce
1. switch to on device
2. no downloaded content
3. switch to shared with at least one folder</t>
  </si>
  <si>
    <t>react-native-camera-react-native-camera-1848</t>
  </si>
  <si>
    <t>[iOS] App crashes after recording video through front camera on latest version</t>
  </si>
  <si>
    <t>**To Do First**
Did you try latest release?
Did you try master?
Did you look for existing matching issues?
Issue started to appear after running react-native-update and upgrading to latest version.
Previous version works fine, but need the new version cause it fixes the (torch always on) issue.
In my package.json file, have react-native-camera git+https: git github.com so am connected to master.
&lt;!--Comment in the related ones--&gt;
&lt;!--Comment in the related ones--&gt;
&lt;!--Please add the used versions branches or leave blank and comment in the optionals if used--&gt;
**Description Current Behaviour**
&lt;!--place your bug description below--&gt;
Front camera video is crashing after the stopRecording function is called. However, back camera video is working perfectly okay!
When debug the issue, the await is never resolved am not even getting an error in the catch block, or in the console... Nothing at all to help me
Recording video through the front camera should work exactly like through back camera.
**Steps to Reproduce**
If it might help, here is my recordAsync function:
recordAsync async function ()
console.log( waiting for data
const data await</t>
  </si>
  <si>
    <t>AniTrend-anitrend-app-88</t>
  </si>
  <si>
    <t>Notifications Crash After Site Update</t>
  </si>
  <si>
    <t>## Description Of Bug
&lt;!--- clear and concise description of what the bug is. --&gt;
Notification Hub started crashing after AniList Changelog 01 10 2018 (https: anilist.co forum thread 3878 comment 115268)
**Steps To Reproduce**
1. Open Navigation Drawer
2. Click on your avatar or banner
3. Click on the bell icon
4. Try scrolling for some content and the app might crash
## Expected Behaviour
&lt;!--- clear and concise description of what you expect to happen. --&gt;
## Device Build Information
&lt;!--- Please provide any relevant information about your device. This is important in case the issue is not reproducible except for under certain conditions. --&gt;
OS Version: Lollipop 5.0.1
App Version: 1.2.1
Phone Model: Xperia SP
Phone Brand: Sony
## Additional Context
&lt;!--- What are you trying to accomplish? Providing context helps us come up with solution that is most useful in the real world, also include an logs if you have any in this section --&gt;
Only seems like notifications from the day of the site update cause this issue, and after than the issue goes away</t>
  </si>
  <si>
    <t>koral---android-gif-drawable-597</t>
  </si>
  <si>
    <t>Fatal Exception: java.lang.RuntimeException: Could not read from eventfd Bad file descriptor</t>
  </si>
  <si>
    <t>am getting this crash log in my crashlytics console
devices that this is occuring on
Galaxy A3 and motorola g4 plus both running on android
Fatal Exception: Could not read from eventfd Bad file descriptor
am using gifTextureView any idea on why this would happen?</t>
  </si>
  <si>
    <t>MozillaReality-FirefoxReality-610</t>
  </si>
  <si>
    <t>Browser window fails to update after recovering from a child process crash when e10s is enabled</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</si>
  <si>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enable e10s
2. open about:crashcontent
## Current Behavior
&lt;!--- If describing bug, tell us what happens instead of the expected behavior. --&gt;
&lt;!--- If suggesting change improvement, explain the difference from current behavior. --&gt;
Session is restarted but the browser window no longer updates.
## Expected Behavior
&lt;!--- If you re describing bug, tell us what should happen. --&gt;
&lt;!--- If you re suggesting change improvement, tell us how it should work. --&gt;
Browser window should be updated.
## Possible Solution
&lt;!--- Optional --&gt;
&lt;!--- Feel free to suggest fix reason for the bug, --&gt;
&lt;!--- or ideas how to implement the addition or change. --&gt;
It isn clear if this is an FxR bug or GeckoView Bug. Recovering from content process crash seems to work with the GV example application but the usage is little different.</t>
  </si>
  <si>
    <t>2018-10-10</t>
  </si>
  <si>
    <t>AniTrend-anitrend-app-87</t>
  </si>
  <si>
    <t>Fix Crash on Decimal Score Using Comma</t>
  </si>
  <si>
    <t>You have followed our **contributing guidelines** (https: github.com AniTrend anitrend-app blob master CONTRIBUTING.md)
double-check your branch is based on develop and targets develop
Pull request has tests
Code is well-commented, linted and follows project conventions
Documentation is updated (if necessary)
Description explains the issue use-case resolved
did not commit files that are excluded in the .gitignore file
In some countries, decimals are represented as 1,0 instead of 1.0 This pattern is not correctly understood by the app and causes incorrect Score being set or causing crash.
Also makes the score to be converted automatically into proper decimal when giving double digit input. 58 will automatically change to 5.8
## Motivation and Context
Fixes the bug, allowing people to use the 1,0 pattern when using the Decimal Score System as per their Locale.
For the automatic decimal conversion, let the user give faster way to input scores as well as not get puzzled with the likely confusion when the scores were being reset on double digit input.
## How Has This Been Tested?
Used increment and decrement buttons to set, then refresh to check the Score again.
Repeated for both locales (comma and dot separator) and keyboard input instead of the increment decrement buttons.
## Types of changes
Bug fix (non-breaking change which fixes an issue)
New feature (non-breaking change which adds functionality)
Breaking change (fix or feature that would cause existing functionality to not work as expected)</t>
  </si>
  <si>
    <t>nextcloud-android-3127</t>
  </si>
  <si>
    <t>Nextcloud app stops/crashes when opening .ics file</t>
  </si>
  <si>
    <t>If you have an .ics file (like from Bahn booking) and tap on it, the app crashes saying
Unfortunately, Nextcloud dev has stopped
This does not happen when you open the 3-dot-menu and choose Open with where you can open it with calendar and there are no problems.
It seems there is no default action set for .ics files? When you tap them, it should be as if Open with was chosen.
Latest Nextcloud dev (from F-Droid) on Fairphone Android 6.0.1</t>
  </si>
  <si>
    <t>niccokunzmann-mundraub-android-189</t>
  </si>
  <si>
    <t>Map does not save which layer is displayed last</t>
  </si>
  <si>
    <t>&lt;!-- If you report an app crash, please attach the file
from the root of your phone file system. --&gt;
would like the map to show the last selected layer: mapnik or satellite.
Cookies are used to save what was displayed last.</t>
  </si>
  <si>
    <t>niccokunzmann-mundraub-android-188</t>
  </si>
  <si>
    <t>Download status bar for downloading plant markers is not visible</t>
  </si>
  <si>
    <t>&lt;!-- If you report an app crash, please attach the file
from the root of your phone file system. --&gt;
When the settings are opened and the the downloads starts, the bar appears only after download is done.</t>
  </si>
  <si>
    <t>niccokunzmann-mundraub-android-187</t>
  </si>
  <si>
    <t>Downloading the map fails without error message</t>
  </si>
  <si>
    <t>&lt;!-- If you report an app crash, please attach the file
from the root of your phone file system. --&gt;
When download the map, can not see the error message which says that the server could not be reached when there is no Internet connection.</t>
  </si>
  <si>
    <t>2018-10-09</t>
  </si>
  <si>
    <t>mapbox-mapbox-events-android-234</t>
  </si>
  <si>
    <t>Unexplained crashes related to Telemetry after upgrading to 6.5.0</t>
  </si>
  <si>
    <t>Likely related to https: github.com mapbox issues 146
This appears to only be affecting users on Android 5.</t>
  </si>
  <si>
    <t>k9mail-k-9-3653</t>
  </si>
  <si>
    <t>App crashes, when searching for a word that starts with a hyphen</t>
  </si>
  <si>
    <t>When open folder and press search then enter any searchword that starts with hyphen -anything for example) the app crashes immediately after pressing enter.
### Expected behavior
Give me list of messages containing the given phrase.
### Actual behavior
### Steps to reproduce
1. Open inbox
2. press the magnifying glass icon
3. enter -something and press Enter
K-9 Mail version: 5.600
Android version: 8.0.0 7.1.1
Account type (IMAP, POP3, WebDAV Exchange): IMAP</t>
  </si>
  <si>
    <t>MiEcosystem-NewXmPluginSDK-46</t>
  </si>
  <si>
    <t>调用XmPluginHostApi.instance().getSettingLocale()引起crash,如何处理</t>
  </si>
  <si>
    <t>GreatApo-GreatFit-16</t>
  </si>
  <si>
    <t>"World Time" Widget</t>
  </si>
  <si>
    <t>If you enable the widget World Time while the setting Always am pm is off the whole watchface crashes. Some more info, Amazfit Pace with stock US rom 2.8.1.0, italian language set into watchface settings, time format 24-hour.</t>
  </si>
  <si>
    <t>niccokunzmann-mundraub-android-186</t>
  </si>
  <si>
    <t>Pull requests fail</t>
  </si>
  <si>
    <t>&lt;!-- If you report an app crash, please attach the file
from the root of your phone file system. --&gt;
Pull requests from external people fail because they do not have access to the secret variables.
Please change this. Travis allows checking if this is pull request through variable. Maybe, all these variables should be accessed through deployment</t>
  </si>
  <si>
    <t>2018-10-08</t>
  </si>
  <si>
    <t>ZeusWPI-hydra-android-279</t>
  </si>
  <si>
    <t>Crash related to text selection</t>
  </si>
  <si>
    <t>Multiple crash reports are all an related to text selection copying.
quick search reveals this is probably bug with Android itself, but there might be workaround:
https: github.com noties Markwon issues 41 (similar issue in another library)
https: stackoverflow.com questions 33821008
https: stackoverflow.com questions 22810147
https: issues 37068143</t>
  </si>
  <si>
    <t>barbeau-gpstest-221</t>
  </si>
  <si>
    <t>Release build fails with MissingDefaultResource</t>
  </si>
  <si>
    <t>Building release off the current master branch fails with:
&lt;dimen name min column width &gt;40dp&lt; dimen&gt;
&lt;dimen name min column width &gt;45dp&lt; dimen&gt;
&lt;dimen name min column width &gt;50dp&lt; dimen&gt;
&lt;dimen name status text size &gt;12sp&lt; dimen&gt;
&lt;dimen name status text size &gt;13sp&lt; dimen&gt;
&lt;dimen name status text size &gt;14sp&lt; dimen&gt;
&lt;dimen name min column width &gt;42dp&lt; dimen&gt;
&lt;dimen name status text size &gt;13sp&lt; dimen&gt;
Explanation for issues of type
If resource is only defined in folders with qualifiers like -land or -en,
and there is no default declaration in the base folder (layout or values
etc), then the app will crash if that resource is accessed on device
where the device is in configuration missing the given qualifier.
As special case, drawables do not have to be specified in the base
folder if there is match in density folder (such as drawable-mdpi)
that image will be used and scaled. Note however that if you only specify
drawable in folder like drawable-en-hdpi, the app will crash in
There may be scenarios where you have resource, such as -fr drawable,
which is only referenced from some other resource with the same qualifiers</t>
  </si>
  <si>
    <t>ValleZ-Paper-Wallet-38</t>
  </si>
  <si>
    <t>QRCode crash</t>
  </si>
  <si>
    <t>akvo-akvo-flow-mobile-1230</t>
  </si>
  <si>
    <t>[#1229] Fixed crash in TimeCheckActivity (connect #1229)</t>
  </si>
  <si>
    <t>#### Before the PR (what is the issue or what needed to be done)
This is crash that happens in the app current release and needs to be fixed. It is due to the usage of an old theme
#### The solution
using the new android theme, also removed useless nested layout and duplicated title.
#### Screenshots (if appropriate)
#### Reviewer Checklist
Connect the issue</t>
  </si>
  <si>
    <t>k9mail-k-9-3652</t>
  </si>
  <si>
    <t>Crash on open certain messages</t>
  </si>
  <si>
    <t>Certain spam messages, not detected by German email provider GMX (false negative), causing k-9 to crash.
### Expected behavior
On tapping message from folder list, the message should appear in detailed view.
### Actual behavior
On tapping message from folder list, k-9 crashes
### Steps to reproduce
1. Try getting spam message from GMX.
2. Account type doesn matter.
3. Try to open the message.
K-9 Mail version: 5.600
Android version: 8.1.0
Account type (IMAP, POP3, WebDAV Exchange): IMAP POP3
### Additional information
When opening the same message with Thunderbird, blank page appears. The source view contains some crude HTML code. If needed, can link the body content.
Hope hit the relevant error from **logcat**:</t>
  </si>
  <si>
    <t>ankidroid-Anki-Android-5029</t>
  </si>
  <si>
    <t>Sharing exported collection not working</t>
  </si>
  <si>
    <t>###### Reproduction Steps
1. export collection from deck picker
2. answer yes to the popup about sending it to another application
###### Expected Result
Selection of applications is presented, or dialog at least informing the user no suitable application is found
###### Actual Result
1- if no suitable application are installed, it silently fails with just log message visible in adb
2- if there are applications, it appears to crash? (in Android 8.1 at least)
3- third case (unknown reproduction or device) it appears to send an email but with no attachment</t>
  </si>
  <si>
    <t>mapbox-mapbox-events-android-230</t>
  </si>
  <si>
    <t>Crash on Samsung devices from AlarmManager</t>
  </si>
  <si>
    <t>recently started beta release of new version of my app that uses MapBox. of our beta testers have reported this crash, one using Samsung Galaxy S8, and the other using Samsung Galaxy Note8, both running Android 8.0.
For the next beta, am releasing with 6.5, and am planning to band-aid this crash by disabling telemetry from the start like this:
val sharedPreferences Context.MODE PRIVATE)</t>
  </si>
  <si>
    <t>2018-10-06</t>
  </si>
  <si>
    <t>gsantner-markor-389</t>
  </si>
  <si>
    <t>Title bar not sets to first line of content</t>
  </si>
  <si>
    <t>#### General information
**App version:** 1.3.0
**System:** Android 7.0, Galaxy J5 Prime
see this bug after this works:
Click on icon to make new document.
Write Hello in content, and keep title empty.
Don press physical back button of phone. Only click on back icon in the Markor top-bar.
see my document has saved as null.md and there are not exists Hello.md
But, When press on physical back button of phone instead back icon in Markor top-bar, It makes Hello.md and also makes null.md mean: It makes two files contains Hello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</si>
  <si>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commons-app-apps-android-commons-1917</t>
  </si>
  <si>
    <t>Top crashes in v2.8.4</t>
  </si>
  <si>
    <t>Top crashes in our Play Store developer console currently. Luckily most of these are NPEs which should be quite simple to fix. :) If anyone is interested in working on this, please tell us which crash exactly you are working on so that we don duplicate effort.</t>
  </si>
  <si>
    <t>2018-10-05</t>
  </si>
  <si>
    <t>yayaa-LocationManager-90</t>
  </si>
  <si>
    <t>Attempt to invoke virtual method 'void com.yayandroid.locationmanager.helper.UpdateRequest.c()' on a null object reference</t>
  </si>
  <si>
    <t>App crash reported by Crashlytics (not sure when it happens)</t>
  </si>
  <si>
    <t>2018-10-04</t>
  </si>
  <si>
    <t>Swati4star-Images-to-PDF-454</t>
  </si>
  <si>
    <t>[Crash] Input dispatching timed out</t>
  </si>
  <si>
    <t>### Crash log
received this crash log in playstore reports. don know how this issue can be reproduced looking at the logs. If someone can help with this, it would be great.
Input dispatching timed out (Waiting to send non-key event because the touched window has not finished processing certain input events that were delivered to it over 500.0ms ago. Wait queue length: 7. Wait queue head age: 5834.8ms.)
main prio tid Native
group main sCount dsCount flags obj 0x729a5ef0 self 0x6fb8ac3a00
sysTid 25448 nice -10 cgrp default sched handle 0x703d8369a8
state schedstat 3870887429 328395255 23047 utm 95 stm 292 core HZ 100
stack stackSize 8MB
#03 pc 00000000000ea9b8 system lib64 libandroid runtime.so int, unsigned int)+48)
#04 pc 0000000000044490 system lib64 libandroidfw.so int, void*)+164)
#07 pc 0000000000111960 system lib64 libandroid runtime.so (???)
#08 pc 00000000001ea9ac system framework arm64 boot-framework.oat (Java android os MessageQueue nativePollOnce JI+140)
main tid Runnable
main prio tid Runnable
group main sCount dsCount obj 0x75ad4370 self 0x4b1c23fa00
sysTid 24827 nice -10 cgrp default sched handle 0x4b20406a98
state schedstat utm 20160 stm 4199 core HZ 100
stack stackSize 8MB
held mutexes mutator lock (shared held)
main prio tid Runnable</t>
  </si>
  <si>
    <t>ankidroid-Anki-Android-5011</t>
  </si>
  <si>
    <t>State handling crash between card browser / note editor / template editor</t>
  </si>
  <si>
    <t>ve seen this show up via ACRA, and the google play console release robot army caught it with video this time so could figure it out.
###### Reproduction Steps
1. Open the card browser (it empty in their tests, and they play with searches sometimes but the search was cleared)
2. Click to add card, enter text in front and back, template should be Basic
3. click the button bar that says Card to open the template editor
4. Click the options menu and select add to add Card to the template, and you can mess with the template or not, but don save preview or not but don save then click the back button and agree it okay to lose your progress
5. The Card button bar should say Cards: Card Card now, but you never saved the second template
6. Click save to add the card, then click back to go back to the browser and it should crash with JSONException string out of bounds
###### Expected Result
If you don save the template the unsaved work should go away, you should have only Card and the browser should work fine
###### Actual Result
Crash. can reproduce this locally.
FATAL EXCEPTION: AsyncTask #4
... 11 more
Caused by: Index: 1, Size:
... 13 more
###### Debug info
*Enter an character to confirm the points below:*
have searched for similar existing issues here and on the user forum</t>
  </si>
  <si>
    <t>fossasia-phimpme-android-2194</t>
  </si>
  <si>
    <t>App crashes if the orientation is changed when click on the crop of the image</t>
  </si>
  <si>
    <t>App crashes if click on crop (Transform section) and then on orientation change.
App should not crash.
**Steps to reproduce it**
Step 1. Click on edit button of the image and select the transform section.
Step 2. Click on crop button and changed the orientation without saving it then app will crash.
**Would you like to work on the issue?**</t>
  </si>
  <si>
    <t>2018-10-03</t>
  </si>
  <si>
    <t>jMonkeyEngine-jmonkeyengine-928</t>
  </si>
  <si>
    <t>64 attached or detached BulletAppStates with parallel threading causes JVM to crash</t>
  </si>
  <si>
    <t>If your game is routinely attaching and detaching BulletAppState s, once it attaches the 64th BulletAppState the JVM crashes.
Note that the issue isn that there are more than 64 BulletAppState currently attached. The JVM crashes if more than 64 BulletAppState have previously been attached, and even if the current number of attached BulletAppState is far less than 64.
This issue can be reproduced with the following code, in which case only one BulletAppState is ever attached, but it is attached and detached more than 64 times:
private int count
private int frame
private BulletAppState bulletAppState
public void simpleInitApp()
public void simpleUpdate(float tpf)
if (frame 0)
bulletAppState new BulletAppState()
else if (frame 2)
More information on this issue can be found in the original forum topic (https: 40952 22).</t>
  </si>
  <si>
    <t>pvarry-intra42-13</t>
  </si>
  <si>
    <t>App crashes when editing map</t>
  </si>
  <si>
    <t>just added new cluster, saved it, when click on edit map for that cluster the app crashes. editing other clusters maps is working fine.</t>
  </si>
  <si>
    <t>inaturalist-iNaturalistAndroid-587</t>
  </si>
  <si>
    <t>Missing translation keys causing crash</t>
  </si>
  <si>
    <t>Not entirely sure it is due to missing translation keys, but that what we discussed in slack. Regardless, seems to still be happening in build 312.
We tried to</t>
  </si>
  <si>
    <t>fossasia-phimpme-android-2192</t>
  </si>
  <si>
    <t>App crashes if the orientation is changed while adding text to the image(without saving it)</t>
  </si>
  <si>
    <t>Presently the app crashes if the orientation is changed from portrait to landscape while editing the image and not saving it side by side. This issue is similar to previous issue
but the BUG in the adding text option still exists.
The app should not crash.
**Steps to reproduce it**
1) Open the App, select an image and click edit.
2) Now add text to the image but do not save your Edit.
(An edit is saved when we click the tick-mark icon)
3) Now change the Orientation from portrait to Landscape.
4) App crashes(BUG).
**Would you like to work on the issue?**</t>
  </si>
  <si>
    <t>fossasia-phimpme-android-2191</t>
  </si>
  <si>
    <t>App crashes on Clicking the Text sub-option while editing image</t>
  </si>
  <si>
    <t>The App crashes when we click the Text sub-option which is provided under the Write option of the editing toolbars while Editing the Image in the landscape mode.
The app should not crash and the user should be able to add Text to the Image.
**Steps to reproduce it**
1) Open the app, select an image, click the Edit option.
2) The editing activity opens. Rotate the phone to landscape mode. Select the Write option from the bottom navigation bar.
3) Click the Text sub-option which appears on the opposite side.
4) App crashes(BUG).
**Screenshots of the issue**
**Would you like to work on the issue?**</t>
  </si>
  <si>
    <t>Intelehealth-Android-Mobile-Client-537</t>
  </si>
  <si>
    <t>Fatal Exception: java.lang.RuntimeException     IdentificationActivity.java</t>
  </si>
  <si>
    <t>App crashing on line 210
Originator- Ambuj Pandey
Checked from- July 19,2018
Mobile Brand- Motorola
Model- Moto (4) Plus
OS Version- 7.1.1
App Version- 1.3.3
Started- October 1st, 2018
last crash date:- October 1st, 2018
Number of Crashes: 16
Unable to start activity ComponentInfo Attempt to get length of null array.
Attempt to get length of null array</t>
  </si>
  <si>
    <t>mgks-Android-SmartWebView-47</t>
  </si>
  <si>
    <t>download pdf file crash</t>
  </si>
  <si>
    <t>The app crashes when downloading pdf file.</t>
  </si>
  <si>
    <t>niccokunzmann-mundraub-android-175</t>
  </si>
  <si>
    <t>allow viewing offline area in map</t>
  </si>
  <si>
    <t>&lt;!-- If you report an app crash, please attach the file
from the root of your phone file system. --&gt;
The offline area can be displayed from the map. Please also allow viewing it always by adding the areas from the settings to the map.
add code in the MapBaseActivity.
see area choosing activity</t>
  </si>
  <si>
    <t>niccokunzmann-mundraub-android-174</t>
  </si>
  <si>
    <t>Translate offline map area string in map</t>
  </si>
  <si>
    <t>&lt;!-- If you report an app crash, please attach the file
from the root of your phone file system. --&gt;
The string for this layer should be translated.</t>
  </si>
  <si>
    <t>ankidroid-Anki-Android-5002</t>
  </si>
  <si>
    <t>IllegalStateException crash in media recording</t>
  </si>
  <si>
    <t>###### Reproduction Steps
The pre-launch report from google has this from the 2.9alpha37
Looks like it something about trying to record audio to card and either timing issue or more straight coding bug video and logcat available here for reproduction:
Note that it appears something is wrong the ACRA limiter as well, which is crucial since that was just cherry-picked onto the stable branch and seems to be good in alpha but shouldn have exceptions it the second stack here
###### Expected Result
###### Actual Result
###### Debug info
*Enter an character to confirm the points below:*
have searched for similar existing issues here and on the user forum</t>
  </si>
  <si>
    <t>2018-10-02</t>
  </si>
  <si>
    <t>niccokunzmann-mundraub-android-173</t>
  </si>
  <si>
    <t>can not select which markers to display</t>
  </si>
  <si>
    <t>&lt;!-- If you report an app crash, please attach the file
from the root of your phone file system. --&gt;
When open the settings, cannot remove and add different types of plant markers from the different platforms.</t>
  </si>
  <si>
    <t>novoda-merlin-171</t>
  </si>
  <si>
    <t>IllegalStateException - You must call canNotify() before calling notify(ConnectivityChangeEvent)</t>
  </si>
  <si>
    <t>Have seen single crash in crashlytics with
You must call canNotify() before calling
This should be impossible since the call to notify (https: github.com novoda merlin blob master core src main java com novoda merlin is guarded with canNotify however, it appears this was running on background HandlerThread meaning it possible the service became unbound during act of notifying
#### Potential Solution
To force interactions with the service to be via the main thread to ensure the guard and notification are always serial
Is client side uncatchable (without uncaught exception handlers) runtime crash</t>
  </si>
  <si>
    <t>Barista-Analytics-Barista-Analytics-3</t>
  </si>
  <si>
    <t>AWS Lex Voices Uninitialized</t>
  </si>
  <si>
    <t>Unable to get Lex voice on startup
If the AWS API is unavailable for whatever reason, the voice is inaccessible. As result, the app crashes after user provides voice input.</t>
  </si>
  <si>
    <t>nextcloud-news-android-665</t>
  </si>
  <si>
    <t>App crashes immediately on open</t>
  </si>
  <si>
    <t>For some reason the app crashed and can open it again. It crashes immediately again. reinstalled and it worked for 1-2 minutes and then again crash.
Here is the stacktrace from adb:
not sure if thats related as well:</t>
  </si>
  <si>
    <t>Barista-Analytics-Barista-Analytics-2</t>
  </si>
  <si>
    <t>Location Services Turned Off</t>
  </si>
  <si>
    <t>Class Name MapsActivity.java
## Turn off location services
1. Application tries to access the device location(in init() method)
2. Application crashes due to device location being unavailable</t>
  </si>
  <si>
    <t>react-native-camera-react-native-camera-1829</t>
  </si>
  <si>
    <t>Exception thrown while executing UI block: -[RNCamera setOnTextRecognized:]: unrecognized selector sent to instance</t>
  </si>
  <si>
    <t>Android Studio: 3.1 AI-173.4907809
have this crash, please help.
&lt;img width 380 alt captura de pantalla 2018-10-02 00 11 24 src https: 1581454</t>
  </si>
  <si>
    <t>roseacademies-hedhihelp-1</t>
  </si>
  <si>
    <t>Lesson Two is crashing the app</t>
  </si>
  <si>
    <t>Clicking on Lesson Two crashes the app.</t>
  </si>
  <si>
    <t>MozillaReality-FirefoxReality-589</t>
  </si>
  <si>
    <t>Crash loading a video</t>
  </si>
  <si>
    <t>## Steps to Reproduce
1. Load http: peach trailer trailer 400p.ogg in local build.
## Current Behavior
The browser crashes.
## Expected Behavior
video? Not crash, at least.
## Possible Solution
Hit this while testing video playback.
## Error Logs and Stack Traces
--------- beginning of crash
&lt;!--- DO NOT REMOVE THIS LINE. --&gt;
&lt;!--- DO NOT REMOVE THIS LINE. --&gt;</t>
  </si>
  <si>
    <t>2018-10-01</t>
  </si>
  <si>
    <t>gateship-one-odyssey-167</t>
  </si>
  <si>
    <t>Colons in filenames cause crash</t>
  </si>
  <si>
    <t>If music file has colon in the filename, the app crashes if you try to play it. It also crashes when opening, even to view, an m3u playlist if the playlist contains file with colon in the filename.
Changing the name of the file fixes the issue, even if the colon remains in the title metadata. Maybe the application takes the colon to reference an external filesystem? Otherwise filename character escaping might just need to include colon?
really enjoy this app, ve been using it daily for few months. Thanks for all your hard work!
App Version from FDROID, 1.1.15
Lineage OS, 14.1</t>
  </si>
  <si>
    <t>ZeevoX-Ocquarium-49</t>
  </si>
  <si>
    <t>Update Gradle version</t>
  </si>
  <si>
    <t>Build crashes due to outdated Gradle version, see https: travis-ci.org ZeevoX Ocquarium builds 435319734
What went wrong:
problem occurred evaluating project :app
Minimum supported Gradle version is 4.10.1. Current version is 4.9. If using the gradle wrapper, try editing the distributionUrl in home travis build ZeevoX Ocquarium gradle wrapper to
Run with --stacktrace option to get the stack trace. Run with --info or --debug option to get more log output. Run with --scan to get full insights.
Get more help at https: help.gradle.org BUILD FAILED in 19s</t>
  </si>
  <si>
    <t>NineWorlds-serenity-android-377</t>
  </si>
  <si>
    <t>Crash when selecting Plex Server</t>
  </si>
  <si>
    <t>Main Menu is displayed and then crash occurs.
Steps to reproduce:
1. Launch the App.
2. Select Plexserver to access.
3. App crashes after displaying the main menu.</t>
  </si>
  <si>
    <t>nikita36078-J2ME-Loader-387</t>
  </si>
  <si>
    <t>alchemy os bugs</t>
  </si>
  <si>
    <t>(For example, 240x320 or 640x360)
(For example, Samsung Galaxy S7)
xiaomi redmi note4
**Description of the issue:**
(What the problem? Screenshots showing the issue if applicable)
have run it with the following steps:
1.install and open it
4.choose Native (JSR 75)
6.open j2me loader and alchemy os again
7.choose alchemy os
10.Try step 6-7 again
11.You will see terminal ,but no matter what command you enter, it doesn respond, but it have respond on the Java phone.
Oh ,I hava download alchemy OS from this link:https: sourceforge.net projects alchemy-os files 2.1.8 download
1.In version 1.3.7 it add icon support,but sometimes it will use an incorrect icon
incorrect https: wx4.sinaimg.cn large
correct https: wx2.sinaimg.cn large
2.Sometimes Browse files can read local files, or it will crash
such as open this folder:cfg,bin</t>
  </si>
  <si>
    <t>brodeurlv-fastnfitness-42</t>
  </si>
  <si>
    <t>Bug within exercises merge functionality</t>
  </si>
  <si>
    <t>Found in version: 0.15.2
**click on save button -&gt; merge dialog -&gt; yes**
But the app crashes with clicking the backbutton on the top left corner first:
**click on backbutton -&gt; save dialog -&gt; yes -&gt; merge dialog -&gt; yes -&gt; CRASH**
not crash but merge.
Step to reproduce:</t>
  </si>
  <si>
    <t>2018-09-30</t>
  </si>
  <si>
    <t>yeriomin-YalpStore-532</t>
  </si>
  <si>
    <t>Corrupted Duolingo APK?</t>
  </si>
  <si>
    <t>The installed app seems corrupted. It is displayed with the default Android icon in the launcher and when launch it, it crashes immediately:
It used to work correctly few weeks months ago.
tried to install it on another device with Play Store and it worked correctly.
**Steps to reproduce**
2. Launch it.
Yalp Store 0.43 on Fairphone with Android 7.1.2.
Delta updates are disabled.</t>
  </si>
  <si>
    <t>ankidroid-Anki-Android-5000</t>
  </si>
  <si>
    <t>Trying to login caused crash, Didn't find class "org.apache.http.client.methods.HttpPost"</t>
  </si>
  <si>
    <t>###### Reproduction Steps
1. Run master (a5ac35ed) from Android studio
2. Click the sync button
3. Enter your login details
###### Expected Result
###### Actual Result
###### Debug info
No apk changes detected since last installation, skipping installation of home noam sand Anki-Android AnkiDroid build outputs apk debug AnkiDroid-debug.apk
Capturing and displaying logcat messages from application. This behavior can be disabled in the Logcat output section of the Debugger settings page.
Connected to the target VM, address: localhost:8608 transport: socket
query: select count(), sum(time) 1000 from revlog where id 1538294400000
Caused by: Failed resolution of: Lorg apache http client methods HttpPost
Disconnected from the target VM, address: localhost:8608 transport: socket
*Enter an character to confirm the points below:*
have searched for similar existing issues here and on the user forum</t>
  </si>
  <si>
    <t>niccokunzmann-mundraub-android-171</t>
  </si>
  <si>
    <t>App crashes when opening fruit radar test</t>
  </si>
  <si>
    <t>&lt;!-- If you report an app crash, please attach the file
from the root of your phone file system. --&gt;
getaddrinfo() uid prop:
getaddrinfo( app uid:10285
getaddrinfo() uid prop:
NET android getaddrinfo proxy get netid:0
getaddrinfo() uid prop:
ssl 0x7f6ed3d480 cert verify callback calling authMethod ECDHE RSA
CDS rx timeout:0
getaddrinfo() uid prop:
getaddrinfo() uid prop:
CDS rx timeout:0
CDS read byte is
CDS read byte is
Disconnected from the target VM, address: localhost:8600 transport: socket</t>
  </si>
  <si>
    <t>2018-09-29</t>
  </si>
  <si>
    <t>niccokunzmann-mundraub-android-170</t>
  </si>
  <si>
    <t>file not found on start</t>
  </si>
  <si>
    <t>&lt;!-- If you report an app crash, please attach the file
from the root of your phone file system. --&gt;
... 27 more</t>
  </si>
  <si>
    <t>niccokunzmann-mundraub-android-169</t>
  </si>
  <si>
    <t>Error report does not contain error messages</t>
  </si>
  <si>
    <t>&lt;!-- If you report an app crash, please attach the file
from the root of your phone file system. --&gt;
The error report does not contain error messages when the app crashes.</t>
  </si>
  <si>
    <t>niccokunzmann-mundraub-android-168</t>
  </si>
  <si>
    <t>Text is truncated in settings</t>
  </si>
  <si>
    <t>&lt;!-- If you report an app crash, please attach the file
from the root of your phone file system. --&gt;
The text of the fruit radar distance next to the number input is truncated at the bottom so it is not readable 100%.</t>
  </si>
  <si>
    <t>Swati4star-Images-to-PDF-438</t>
  </si>
  <si>
    <t>[Bug] App crashed, when pdf created from snapshot of camera</t>
  </si>
  <si>
    <t>Click Images to PDF SELECT IMAGES Camera Snapshot Create PDF.
After click Create PDF stacktrace.
Accessing hidden field Landroid widget TextView -&gt;mEditor:Landroid widget Editor (light greylist, reflection)
Then enter the name and pressed ok. App crashed.
stage 1: store the pdf in sd card
stage 2: Document Created
Stage 3: Pdf writer
Stage 4: Document opened
Caused by: ExceptionConverter: The document has no pages.
Caused by: The document has no pages.
Disconnected from the target VM, address: localhost:8603 transport: socket</t>
  </si>
  <si>
    <t>2018-09-28</t>
  </si>
  <si>
    <t>MozillaReality-FirefoxReality-586</t>
  </si>
  <si>
    <t>gvrAudioEngine initialization crash</t>
  </si>
  <si>
    <t>## Steps to Reproduce
Got instance of this crash after trying to restart FxR activity whule testing https: github.com MozillaReality FirefoxReality pull 550
## Error Logs and Stack Traces
&lt;!--- Optional --&gt;
&lt;!--- These are very useful for quickly identifying the causes for bug fixes. --&gt;
&lt;!--- In Developer Mode, run adb logcat to capture potentially useful logs. --&gt;</t>
  </si>
  <si>
    <t>2018-09-27</t>
  </si>
  <si>
    <t>ThmmyNoLife-mTHMMY-56</t>
  </si>
  <si>
    <t>crash on orientation change in topic</t>
  </si>
  <si>
    <t>### Steps to reproduce the problem
1. Open topic
2. Try to edit post or write reply
3. Change the orientation to landscape
4. Change the orientation back to portrait
### What causes the crash
### How to fix this
Replace AutoFitGridLayout (https: github.com ThmmyNoLife mTHMMY blob develop app src main java gr thmmy mthmmy editorview with recyclerview that uses GridLayoutManager</t>
  </si>
  <si>
    <t>2018-09-26</t>
  </si>
  <si>
    <t>niccokunzmann-mundraub-android-162</t>
  </si>
  <si>
    <t>Choosing the plant position always opens at last created plant</t>
  </si>
  <si>
    <t>&lt;!-- If you report an app crash, please attach the file
from the root of your phone file system. --&gt;
If would like to place plant on certain position more precisely, would like to have the map opening at the position of this plant. Currently, it opens somewhere else.</t>
  </si>
  <si>
    <t>niccokunzmann-mundraub-android-161</t>
  </si>
  <si>
    <t>Map tells that translations could be not loaded although they are loaded</t>
  </si>
  <si>
    <t>&lt;!-- If you report an app crash, please attach the file
from the root of your phone file system. --&gt;
ShowPlantsActivity: WebView: file: android asset map translations.js at line 22: The browser language is de
ShowPlantsActivity: WebView: file: android asset map translations.js at line 26: loaded translations for en
ShowPlantsActivity: WebView: file: android asset map translations.js at line 36: loaded translations for de
ShowPlantsActivity: WebView: file: android asset map translations.js at line 66: All translations are loaded.
WebView: file: android asset map translations.js at line 83: Loading translations timed out.
is shown although the map loads all translations</t>
  </si>
  <si>
    <t>niccokunzmann-mundraub-android-157</t>
  </si>
  <si>
    <t>Change Fruit Radar Notifications when the Settings change</t>
  </si>
  <si>
    <t>&lt;!-- If you report an app crash, please attach the file
from the root of your phone file system. --&gt;
The Fruit Radar should update which notifications are shown once the settings change:
If the range changes, notifications should disappear appear.</t>
  </si>
  <si>
    <t>flyve-mdm-android-inventory-library-162</t>
  </si>
  <si>
    <t>Method getCatInfo return null provoking NullPointerException in some cases</t>
  </si>
  <si>
    <t>In this class Utils is getCatInfo method
public static String getCatInfo(String path)
Scanner new Scanner(new File(path))
catch (Exception e)
Change to string empty to avoid crash</t>
  </si>
  <si>
    <t>mapbox-mapbox-events-android-222</t>
  </si>
  <si>
    <t>Add Exception for Missing FINE Location Permission</t>
  </si>
  <si>
    <t>Add an exception that will be thrown when ACCESS FINE LOCATION permission is removed and before the Passive location engine is started by the service. Prevent potential crash and communicate issue to developer.</t>
  </si>
  <si>
    <t>2018-09-25</t>
  </si>
  <si>
    <t>mapbox-mapbox-events-android-221</t>
  </si>
  <si>
    <t>StopTelemetryService obtainBoundInstances bug fix</t>
  </si>
  <si>
    <t>Under certain circumstances, telemetryService is null and causes crash when calling within Add in check to prevent crash.
Fixes https: github.com mapbox issues 188</t>
  </si>
  <si>
    <t>google-mobly-bundled-snippets-101</t>
  </si>
  <si>
    <t>Fix errors that prevent the apk from building and running</t>
  </si>
  <si>
    <t>Prevent compile-time crashing when the user is using Java 10
Fix multidex related run-time crash.
Fix typo in README
&lt;!-- Reviewable:start --&gt;
This change is &lt;img src https: reviewable.io review button.svg height 34 align absmiddle alt Reviewable (https: reviewable.io reviews google 101)
&lt;!-- Reviewable:end --&gt;</t>
  </si>
  <si>
    <t>medyo-android-about-page-119</t>
  </si>
  <si>
    <t>IsAppInstalled -&gt; Packagemanager has died</t>
  </si>
  <si>
    <t>On some devices the about page crashes. And if it crashes on device, this is not one time thing: At those devices it crashes constantly.
Unable to resume activity xxx Package manager has died
Maybe this has something to do with: https: stackoverflow.com questions 24253976
So maybe those users where it crashes have installed lot of packages and therefor the limit hits?</t>
  </si>
  <si>
    <t>DigitalCampus-oppia-mobile-android-738</t>
  </si>
  <si>
    <t>App crash in Activity view after second screen rotation</t>
  </si>
  <si>
    <t>When viewing course contents, if the device changes orientation twice, it crashes, going back to the course index activity</t>
  </si>
  <si>
    <t>2018-09-24</t>
  </si>
  <si>
    <t>jMonkeyEngine-jmonkeyengine-908</t>
  </si>
  <si>
    <t>jme3test.bullet.TestQ3 crashes due to missing assets</t>
  </si>
  <si>
    <t>The quake3level.zip file required to run TestQ3 has moved. The new URL is:</t>
  </si>
  <si>
    <t>asuc-octo-berkeley-mobile-android-82</t>
  </si>
  <si>
    <t xml:space="preserve">Gym pages crash on load </t>
  </si>
  <si>
    <t>**Describe the bug**
Gym page crash on load
Steps to reproduce the behavior:
1. Go to gyms page. Crashes within few seconds
Display info crashing</t>
  </si>
  <si>
    <t>2018-09-23</t>
  </si>
  <si>
    <t>niccokunzmann-mundraub-android-153</t>
  </si>
  <si>
    <t>Map image of plant not showing up</t>
  </si>
  <si>
    <t>&lt;!-- If you report an app crash, please attach the file
from the root of your phone file system. --&gt;
When view plant or edit it, recently, the image of the plant position on the map does not show up.</t>
  </si>
  <si>
    <t>fossasia-phimpme-android-2174</t>
  </si>
  <si>
    <t>App crashes on editing image after compressing it.</t>
  </si>
  <si>
    <t>App crashes on trying to edit image after compressing it by dimension.
App must not crash and user should be able to edit image after compressing it.
**Steps to reproduce it**
1. Open the app and select any image.
2. Compress the image by dimension.
3. After the image is compressed click on the edit button ,the app crashes.(BUG)
**Would you like to work on the issue?**</t>
  </si>
  <si>
    <t>2018-09-22</t>
  </si>
  <si>
    <t>cgeo-cgeo-7142</t>
  </si>
  <si>
    <t>Livemap crashes on small (WQVGA) devices</t>
  </si>
  <si>
    <t>##### Detailed steps causing the problem:
Start an emulator with the configuration 3.4 WQVGA (I additionally used API 16)
Open the livemap
##### Actual behavior after performing these steps:
##### Expected behavior after performing these steps:
Livemap should be open
##### Version of c:geo used:
current master local build
##### Is the problem reproducible for you?
##### System information:
--- System information ---
Android version: 4.1.2
Android build: google sdk x86-eng 4.1.2 MASTER 3876218 test-keys
Google Play services: unavailable
Low power mode: inactive
Compass capabilities: yes
Rotation vector sensor: absent
Orientation sensor: present
Magnetometer Accelerometer sensor: present
Direction sensor used: magnetometer accelerometer</t>
  </si>
  <si>
    <t>react-native-svg-react-native-svg-789</t>
  </si>
  <si>
    <t>Removing child elements causes crash (Android, 7.0.3)</t>
  </si>
  <si>
    <t>running into issues when try to remove child from an &lt;Svg&gt; element.
Here picture of the error:
&lt;img src https: 1190457 width 400
It appears that React is trying to manage the removal of one of the native SVG components, but you ve already removed it, but not too familiar with React Native development.
Here the reproduction code. Click the button at the top to add the line, then click again to cause the crash.
import React from react
import Button, Dimensions, StyleSheet, View, from react-native
import Svg, Polyline from react-native-svg
const width, height Dimensions.get( window
export default class SVGFail extends React.Component
const showLine this.state
title Toggle Line
points 10,10 100,100 150,100 100,150
const styles StyleSheet.create(
After some debugging, the error occurs in when React tries to remove the child from the SvgView, but there isn child in SvgView to remove. Well, SvgView overrides the addView method and only adds children if they are not instances of RenderableView which means that somehow SvgView never ends up with children, despite displaying the content. not familiar enough with the code base to be able to help more.
Everything works when wrap my polylines with &lt;G&gt; tag, which is great, but this is still valid bug.</t>
  </si>
  <si>
    <t>niccokunzmann-mundraub-android-151</t>
  </si>
  <si>
    <t>Notifications do not disappear</t>
  </si>
  <si>
    <t>&lt;!-- If you report an app crash, please attach the file
from the root of your phone file system. --&gt;
The notifications about plants in range do not disappear when the plant is out of range, it seams.
Also, the GPS position does not update in the notification but it should.</t>
  </si>
  <si>
    <t>2018-09-21</t>
  </si>
  <si>
    <t>MozillaReality-FirefoxReality-564</t>
  </si>
  <si>
    <t>FxR freeze on back button press after clean install</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</si>
  <si>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Do clean install of FxR
2. Press back button on controller
## Current Behavior
&lt;!--- If describing bug, tell us what happens instead of the expected behavior. --&gt;
&lt;!--- If suggesting change improvement, explain the difference from current behavior. --&gt;
FxR freezes in call to AInputQueue preDispatchEvent()
## Expected Behavior
&lt;!--- If you re describing bug, tell us what should happen. --&gt;
&lt;!--- If you re suggesting change improvement, tell us how it should work. --&gt;
The back button should bring up the exit continue system menu.
It might be possible to optionally have the Gecko crash reporter not register for the SIGILL signal on Oculus systems.
&lt;!--- Optional --&gt;
&lt;!--- How has this issue affected you? What are you trying to accomplish? --&gt;
&lt;!--- Providing context helps us come up with solution that is most useful in the real world! :) --&gt;
The issue appears to be be race condition between Gecko and Oculus runtime for registering signal handlers. This is related to the back button crashes we were seeing on first run previously. The issue is as follows, If Gecko registers its crash reporting signal handler first and then Oculus registers their signal handler for the back button and home button, everything works as expected. However, if Oculus registers their signal handler first and Gecko register the crash reporter signal handler second, the render loop hangs in the android call AInputQueue preDispatchEvent(). Under normal conditions Gecko registers first and every thing works. The reason this is triggered on first run (or anytime libxul.so gets updated more specifically) has to do with how GeckoView packages libxul.so.</t>
  </si>
  <si>
    <t>nikita36078-J2ME-Loader-384</t>
  </si>
  <si>
    <t>Playman extreme running</t>
  </si>
  <si>
    <t>Moto g4 play
**Description of the issue:**
In the most times the game freezers in select phase menu and sometimes crashes in certains phases</t>
  </si>
  <si>
    <t>niccokunzmann-mundraub-android-150</t>
  </si>
  <si>
    <t>Cannot set GPS position with GPS button on map</t>
  </si>
  <si>
    <t>&lt;!-- If you report an app crash, please attach the file
from the root of your phone file system. --&gt;
If click the GPS button, the map does not move to the GPS position and it flashes all the time.
This happens although the GPS symbol is filled and GPS position should be given.</t>
  </si>
  <si>
    <t>niccokunzmann-mundraub-android-149</t>
  </si>
  <si>
    <t>Remove spaces in description</t>
  </si>
  <si>
    <t>&lt;!-- If you report an app crash, please attach the file
from the root of your phone file system. --&gt;
F-Droid shows description of the app. However, there are always empty lines mixed in.
These should be removed.</t>
  </si>
  <si>
    <t>NordicSemiconductor-Android-nRF-Mesh-Library-66</t>
  </si>
  <si>
    <t>App crashing when sending unacknowledged vendor model messages</t>
  </si>
  <si>
    <t>nextcloud-android-3073</t>
  </si>
  <si>
    <t>Crash viewing text file Nextcloud Dev 20180915</t>
  </si>
  <si>
    <t>### Actual behaviour
upon opening any text file Nextcloud Dev 20180915 crashes
Nextcloud stable doesn crash
### Expected behaviour
Integrated text editor should open without crash
### Steps to reproduce
1. Open Nextcloud Dev 20180915
2. Navigate to directory containing .txt file
3. See crash
### Environment data
Android version: 7.0
Device model: Motorola G5
Stock or customized system: Stock
Nextcloud app version: Dev 20180915
Nextcloud server version: 13.0.6</t>
  </si>
  <si>
    <t>matejpoliacek-GalileoGameApp-32</t>
  </si>
  <si>
    <t>Rinex issue causing crash</t>
  </si>
  <si>
    <t>From GNSS Compare code gogpsextracts?</t>
  </si>
  <si>
    <t>2018-09-20</t>
  </si>
  <si>
    <t>flyve-mdm-android-inventory-library-156</t>
  </si>
  <si>
    <t>BroadcastReceiver crash with has leaked intentreceiver on Battery</t>
  </si>
  <si>
    <t>**Describe the bug**
When launching the method getXMLInventory or getJSONInventory the battery open BroadcastReceiver to wait for the information, but is not possible to add the unregisterReceiver method on the Activity called because the class is private, create new method getBroadcast to expose this class outside</t>
  </si>
  <si>
    <t>niccokunzmann-mundraub-android-144</t>
  </si>
  <si>
    <t>App name is MyPlants</t>
  </si>
  <si>
    <t>&lt;!-- If you report an app crash, please attach the file
from the root of your phone file system. --&gt;
The name of the app is My Plants in Version 1.90 on F-Droid.
Somehow the title is not used. Maybe it is the name of the first activity.</t>
  </si>
  <si>
    <t>niccokunzmann-mundraub-android-143</t>
  </si>
  <si>
    <t>Mundraub downloads markers from unknown category</t>
  </si>
  <si>
    <t>&lt;!-- If you report an app crash, please attach the file
from the root of your phone file system. --&gt;
When going offline, Mundraub retrives markers from https: mundraub.org cluster plant?bbox 18&amp;cat null.
However, null is not category to use.</t>
  </si>
  <si>
    <t>getodk-collect-2552</t>
  </si>
  <si>
    <t>Non-question object at form index when rank questions are in field-list</t>
  </si>
  <si>
    <t>#### Software and hardware versions
#### Problem description
Collect crashes when trying to rank items in field list:
#### Steps to reproduce the problem
1. Launch form with rank questions in field list such as (https: github.com opendatakit collect files 2399161
1. Start ranking and see crash
#### Expected behavior</t>
  </si>
  <si>
    <t>MozillaReality-FirefoxReality-556</t>
  </si>
  <si>
    <t>Crash in ui.RestartDialogWidget.handleRestartApp</t>
  </si>
  <si>
    <t>Daydream, all devices (Lenovo Mirage Solo and clip-ins)
## Error Logs and Stack Traces
This is currently our top-crash :-)
&lt;!--- DO NOT REMOVE THIS LINE. --&gt;
&lt;!--- DO NOT REMOVE THIS LINE. --&gt;</t>
  </si>
  <si>
    <t>2018-09-19</t>
  </si>
  <si>
    <t>ankidroid-Anki-Android-4981</t>
  </si>
  <si>
    <t>onSaveInstanceState() / lifecycle crashes</t>
  </si>
  <si>
    <t>need to nail down the exact reproduction, but ACRA has lot of these that go little like this:
###### Reproduction Steps
1. Review cards
2. use System Picker to open an .apkg
3. ImportDialog tries to show
###### Expected Result
ImportDialog shows fine and import happens
###### Actual Result
because onSaveInstanceState was already called
###### Debug info
Note that simply targeting (API28) may fix this as it changes lifecycle in the support libraries for onSaveInstanceState to be after onStop so that Fragment transactions like this may proceed
If called, this method will occur after onStop() for applications targeting
platforms starting with Build.VERSION CODES.P. For applications targeting earlier
platform versions this method will occur before onStop() and there are no
guarantees about whether it will occur before or after onPause().</t>
  </si>
  <si>
    <t>2018-09-18</t>
  </si>
  <si>
    <t>iFixit-dozuki-android-14</t>
  </si>
  <si>
    <t>View Guide button crashes on Guide Create</t>
  </si>
  <si>
    <t>iFixit-dozuki-android-13</t>
  </si>
  <si>
    <t>Media Manager Crashes</t>
  </si>
  <si>
    <t>The application crashed several times when tried open the media manager.
When creating guide, tried to upload picture by using my camera. The application opened the default camera, managed to take the picture, but the image did not save under media manager. Instead the application crashed. ran this test several times.</t>
  </si>
  <si>
    <t>0xpr03-VocableTrainer-Android-40</t>
  </si>
  <si>
    <t>Crash on Training with pre 0.6 Lists</t>
  </si>
  <si>
    <t>**Describe the bug**
Lists created for VTA 0.6? are crashing in training for classic modes.
Quick mode displays null for Additional
Lists created after upgrading to 0.6? work without any issues. All lists can be edited without any issues.
If version 0.6 is the limit,then definitely the additional introduction is making problems.
It is worth noting that this bug is probably of no concern any more, current users already had to deal with this issue or will never have this problem.
Currently investigating, it seems to be as follows:
1. Create lists with VAT 0.6
2. Update VAT
3. (Create additional new lists)
4. Start training with Classic Mode
5. Click Solve
No Crash, no null for additionals.
Possible problem during database upgrade or handling or trainer with old entries.</t>
  </si>
  <si>
    <t>dariuszseweryn-RxAndroidBle-482</t>
  </si>
  <si>
    <t>Fatal Bug: IllegalArgumentException in UUIDUtil</t>
  </si>
  <si>
    <t>Active BLE scan over long period of time (4+ minutes), right after another device is discovered, get fatal exception Bad position 96 62
The full stack trace follows:
From the best can tell, the extractUUIDs method in UUIDutil can get in state where the buffer position is off, and without try catch guard against the bad position request, the exception is thrown. Apologies in advance for not knowing the specifics of how extractUUIDs works and why the buffer position would be off. Happy to provide more diagnostic information if helpful, as able to reproduce with some frequency.
### Library version
Device exhibiting error: Moto X4, Android 8.0
#### Steps to reproduce actual result
&lt;br &gt;1. Start BLE scan (startDeviceScan) in presence of many devices. allowDuplicates is set to true
&lt;br &gt;2. Continue scanning over long period of time
&lt;br &gt;3. Wait for crash</t>
  </si>
  <si>
    <t>nextcloud-android-3049</t>
  </si>
  <si>
    <t>[3.3.0RC3] crashing when viewing a picture</t>
  </si>
  <si>
    <t>### Actual behaviour
Crash when try to view the image (I wanted to share it but never get chance)
### Expected behaviour
Please don crash -)
### Steps to reproduce
1. took picture
2. go to the folder view and try to view it
### Environment data
Android version: 8.0.0
plus Samsung Experience 9.0
Device model: Samsung Galaxy S7
Nextcloud app version: 3.3.0RC3
Nextcloud server version: 14.0.0
#### Web server error log
-&gt; note: also crashes when network is OFF. Thumbnail preview shows in grid and list view, just opening the image BOOM.
Image in question:</t>
  </si>
  <si>
    <t>2018-09-17</t>
  </si>
  <si>
    <t>niccokunzmann-mundraub-android-136</t>
  </si>
  <si>
    <t>Plant without position chooses the best position automatically without message box</t>
  </si>
  <si>
    <t>&lt;!-- If you report an app crash, please attach the file
from the root of your phone file system. --&gt;
If the plant has no position, opening the map opens it at the last plant position.
However, there is no message box displaying this behavior.
There should be one.</t>
  </si>
  <si>
    <t>niccokunzmann-mundraub-android-135</t>
  </si>
  <si>
    <t>Even if chosen by map, the position of the plant is still unknown</t>
  </si>
  <si>
    <t>&lt;!-- If you report an app crash, please attach the file
from the root of your phone file system. --&gt;
When choose position of plant by the map,
the resulting position is still saved as unknown to JSON.
This leads to the app asking if the plant should be moved on the map.
Instead, it should be map position.</t>
  </si>
  <si>
    <t>ankidroid-Anki-Android-4977</t>
  </si>
  <si>
    <t>Crash in DeckPicker after CardBrowser on clean install</t>
  </si>
  <si>
    <t>###### Reproduction Steps
1. Clean install of current alpha, no decks
2. Not sure if it important, but click floating menu get shared decks then just back button immediately (it was in the repro and doesn take long)
3. Click the hamburger and select Card Browser
4. Click the hamburger again and go to Deck list
###### Expected Result
You should see the Default deck and no cards
###### Actual Result
###### Debug info
This is from that same roboelectric test harness someone throws at our alphas (awesome work, that)
Increasing code cache capacity to 1024KB
--------- beginning of crash</t>
  </si>
  <si>
    <t>MCMrARM-revolution-irc-156</t>
  </si>
  <si>
    <t>Notifications crash the application on Android 4.4 or lower</t>
  </si>
  <si>
    <t>Revolution IRC 0.4.1 will crash if NOTICE message is received, whether is sent by bot when joining channel that is configured to send message on user join, or notice send by user, the application will crash.</t>
  </si>
  <si>
    <t>2018-09-16</t>
  </si>
  <si>
    <t>TeamNewPipe-NewPipe-1727</t>
  </si>
  <si>
    <t>exception after closing popup</t>
  </si>
  <si>
    <t>carefully read the contribution guidelines (https: github.com TeamNewPipe NewPipe blob HEAD .github CONTRIBUTING.md) and agree to them.
checked if the issue feature exists in the latest version.
did use the incredible bugreport to markdown converter (https: to paste bug reports.
get an exception when try to close popup video.
Steps to reproduce:
think the issue is that new pipe thinks trying to resize the window but just trying to close the popup video. Unfortunatley the close button disappears too quickly for me so have to keep tapping on the popup window. It would be cool if the time it takes for the close button to disappear could be extended.
User Action: ui error
Request: App crash, UI failure
Content Language: GB
OS: Linux Android 8.0.0 26</t>
  </si>
  <si>
    <t>stefan-niedermann-nextcloud-notes-477</t>
  </si>
  <si>
    <t>Crash when cutting title</t>
  </si>
  <si>
    <t>1. Create new note with the following text:
2. Select either everything or everything but the number sign (the space must be selected).
3. Press Cut The app should crash.
Nextcloud Notes 0.22
LineageOS 15.1 Android 8.1.0
Crashes on olders version of the app too (down to 0.14.2 at least, didn try earlier than that).</t>
  </si>
  <si>
    <t>2018-09-15</t>
  </si>
  <si>
    <t>nextcloud-android-3046</t>
  </si>
  <si>
    <t>App crashes everytime after opening</t>
  </si>
  <si>
    <t>### Actual behaviour
Tell us what happens
directly after opening of the app, it crashes.
### Expected behaviour
Tell us what should happen
### Steps to reproduce
2. wait one or three seconds
4. afterwards banner with request of report appears
### Environment data
Android version: 6.0.1
Device model: one plus one
Stock or customized system: cyanogen 13.1.2
Nextcloud app version: 3.2.4
Nextcloud server version: 13.0.6
#### Web server error log
Insert your webserver log here
#### Nextcloud log (data nextcloud.log)
Insert your Nextcloud log here</t>
  </si>
  <si>
    <t>Catfriend1-syncthing-android-55</t>
  </si>
  <si>
    <t>android.view.ViewRootImpl$CalledFromWrongThreadException if key generation failed</t>
  </si>
  <si>
    <t>### Description of the issue
Reported by Avamander in #44.
Run app for the first time. Simulate key generation to fail. App will crash then instead of showing message.
### Version Information
App Version: 0.14.51.rc3.2
Syncthing Version: v0.14.51-rc.3
Android Version: Android 7.1.2
### Android Log</t>
  </si>
  <si>
    <t>Catfriend1-syncthing-android-50</t>
  </si>
  <si>
    <t>Ignoring a device leads to wrapper crash</t>
  </si>
  <si>
    <t>### Description of the issue
Ignoring device leads to crash, accept still works.
Let new device connect to your mobile syncthing 0.14.51 instance. Hit the ignore button on the notification Crash.
### Version Information
App Version: 0.14.51.rc3.1 4157
Syncthing Version: v0.14.51
Android Version: Android 7.1.2</t>
  </si>
  <si>
    <t>google-ExoPlayer-4814</t>
  </si>
  <si>
    <t>Internal runtime error while adding new source to ConcatenatingMediaSource</t>
  </si>
  <si>
    <t>So, just updated from version
And on most devices and emulators application started crashing, even tho it still works fine on my main OnePlus Android 8.0.
Exception occurs once add an additional data source(-s) to in order to start preloading process of the next clips.
Here is first exception:
And here is the second one, that happens right after the first internal one:
checked out the source code of and am kinda confused. The only place where sets to non null value is.. right after it gets checked on being non-null and Exception gets thrown.
Thank you in advance.</t>
  </si>
  <si>
    <t>2018-09-14</t>
  </si>
  <si>
    <t>niccokunzmann-mundraub-android-124</t>
  </si>
  <si>
    <t>F-Droid does not update the app</t>
  </si>
  <si>
    <t>&lt;!-- If you report an app crash, please attach the file
from the root of your phone file system. --&gt;
Why does F-Droid not build the app?</t>
  </si>
  <si>
    <t>ankidroid-Anki-Android-4959</t>
  </si>
  <si>
    <t>App upgrades crash frequently on class changes in async code</t>
  </si>
  <si>
    <t>From the google play console, there are quite few instances of crashes that have to do with classcast or incompatible class change etc that all start with the Handler wondering if we shouldn protect the handler callbacks to make sure they can gracefully handle anything...
Here an example (from 2.,8.4):</t>
  </si>
  <si>
    <t>AniTrend-anitrend-app-84</t>
  </si>
  <si>
    <t>Application Crash While Trying To Login</t>
  </si>
  <si>
    <t>Before opening new issue, please take moment to review our **community guidelines** (https: github.com AniTrend anitrend-app blob master CONTRIBUTING.md) to make the contribution process easy and effective for everyone involved.
**Before opening new issue, you may find an answer in already closed issues**:
## Issue Type
&lt;!--- Tell us what should happen --&gt;
&lt;!--- Tell us what happens instead of the expected behaviour --&gt;
Application crashes immediately after tapping on the login entry in the navigation drawer
Failure Information (for bugs)
Please help provide information about the failure if this is bug. If it is not bug, please remove the rest of this template.
## Steps to Reproduce
&lt;!--- Provide link to live example, or an unambiguous set of steps to --&gt;
&lt;!--- reproduce this bug. Include code to reproduce, if relevant --&gt;
1. Open navigation drawer
2. Tap on Sign In
3. Application will hang for second then crash
&lt;!--- How has this issue affected you? What are you trying to accomplish? --&gt;
&lt;!--- Providing context helps us come up with solution that is most useful in the real world --&gt;
OS Version: 4.2.X
Phone Model: Duos
Phone Brand: Samsung
## Failure Logs</t>
  </si>
  <si>
    <t>2018-09-13</t>
  </si>
  <si>
    <t>k9mail-k-9-3614</t>
  </si>
  <si>
    <t>Crash / fc upon trying to export settings</t>
  </si>
  <si>
    <t>### Expected behavior
Having installed and configured K-9 5.600 tried to export my settings
### Actual behavior
the app immediately crashes closes with pop-up letting me choose between close app restart app and give feedback
### Steps to reproduce
1. open app to the accounts screen
2. hit bullets then export import settings then export settings
3. app crashes right away
K-9 Mail version: 5.600
7,1,2 root LineageOS 14.1
Sony Xperia X1c (amami)
Account type (IMAP, POP3, WebDAV Exchange):</t>
  </si>
  <si>
    <t>deltachat-deltachat-android-542</t>
  </si>
  <si>
    <t>implement global search</t>
  </si>
  <si>
    <t>the global search from the conversation list is still buggy.
entering on my machine crashes in toPhoneString() with the error Not e164</t>
  </si>
  <si>
    <t>2018-09-12</t>
  </si>
  <si>
    <t>mendhak-gpslogger-675</t>
  </si>
  <si>
    <t>Sharing file causes android.os.FileUriExposedException</t>
  </si>
  <si>
    <t>When sharing file via the bottom sharing icon, app crashes with this exception:</t>
  </si>
  <si>
    <t>TheRedSpy15-LTECleanerFOSS-22</t>
  </si>
  <si>
    <t>NullPointerException (cause of 90 percent of crashes) - Need Help</t>
  </si>
  <si>
    <t>Google play console is putting this as the cause behind 90 percent of the crashes in the app
Unfortunately, am struggling to fix it, any help is greatly appreciated</t>
  </si>
  <si>
    <t>0xpr03-VocableTrainer-Android-39</t>
  </si>
  <si>
    <t>Crash on List Selection dialog in Import with raw data</t>
  </si>
  <si>
    <t>**Describe the bug**
Crash on list selection dialog return in Import due to change in VList from Serializable to Parcelable giving an invalid return.
Steps to reproduce the behavior:
1. Go to Import
2. Select import List of raw data
3. Choose Append to List
4. Select List
5. App Crash
No crash, List is selected</t>
  </si>
  <si>
    <t>martykan-forecastie-287</t>
  </si>
  <si>
    <t>Custom date format causes crashes</t>
  </si>
  <si>
    <t>If you enter custom date format, Forecastie crashes. Whenever you open the settings page to change it back, it crashes again. The only fix is to reinstall the app.
The date format used was %E %y-%M-%D %H:%m Maybe the percent symbols caused the bug, not sure.</t>
  </si>
  <si>
    <t>nextcloud-android-3021</t>
  </si>
  <si>
    <t>App (All versions)  crashes frequently if there are files/folders in the user folder root that are shared in chat</t>
  </si>
  <si>
    <t>### Actual behaviour
The app crashes randomly in most screens where there are files folders. Started happening after server was upgraded to 14
The error seems to be
android Empty values
### Expected behaviour
It should not crash
### Steps to reproduce
1. Install app (Server NC 14)
2. log in
3. Watch it crash
### Environment data
Stock or customized system:
Runs Lineage OS
Nextcloud app version:
All versions (Play Store 3.2.4, 3.3.0 RC2, FDroid 3.2.3, FDroid Dev)
Nextcloud server version:
#### Web server error log
#### Nextcloud log (data nextcloud.log)
Insert your Nextcloud log here</t>
  </si>
  <si>
    <t>2018-09-11</t>
  </si>
  <si>
    <t>niclabs-adkintunmobile-androidclient-197</t>
  </si>
  <si>
    <t>DispatcherDataBroadcastReceiver.java line 1056</t>
  </si>
  <si>
    <t>nextcloud-android-3019</t>
  </si>
  <si>
    <t>App crash: out of memory while browsing resized images</t>
  </si>
  <si>
    <t>### Actual behaviour
Tell us what happens
App crashes when browsing or rotating photos in full size
### Expected behaviour
Tell us what should happen
App should browse and rotate photos
### Steps to reproduce
1. Open app
2. Chose one photos folder
3. Browse or autorotate photos in full size
### Environment data
Samsung Galaxy S4 VE (GT-I9515)
Stock or customized system:
Nextcloud app version:
Nextcloud server version:
#### Web server error log
Insert your webserver log here
#### Nextcloud log (data nextcloud.log)
Insert your Nextcloud log here
--------- beginning of system</t>
  </si>
  <si>
    <t>sazid-aiub-app-1</t>
  </si>
  <si>
    <t>Background notification not checked</t>
  </si>
  <si>
    <t>On Android and above background notification check doesn work properly and causes the app to crash.</t>
  </si>
  <si>
    <t>lottie-react-native-lottie-react-native-381</t>
  </si>
  <si>
    <t>cacheStrategy causing error</t>
  </si>
  <si>
    <t>The below code will run without any errors when don pass the cacheStrategy props but with cacheStrategy it throws an error similar to the screenshot that ve included.
screenshot from 2018-09-11 12-10-15 (https: 18525727
source SPLASH ANIMATION
ve tried passing weak and none too but it still crashes.</t>
  </si>
  <si>
    <t>TeamNewPipe-NewPipe-1706</t>
  </si>
  <si>
    <t>Ui crash loading videos from any of the views</t>
  </si>
  <si>
    <t>carefully read the contribution guidelines (https: github.com TeamNewPipe NewPipe blob HEAD .github CONTRIBUTING.md) and agree to them.
checked if the issue feature exists in the latest version.
did use the incredible bugreport to markdown converter (https: to paste bug reports.
User Action: ui error
Request: App crash, UI failure
Content Language: GB
OS: Linux motorola payton payton:8.1.0 OPW28.46-21 e3c72:user release-keys 8.1.0 27</t>
  </si>
  <si>
    <t>jMonkeyEngine-jmonkeyengine-898</t>
  </si>
  <si>
    <t>Native Bullet breaks TestFancyCar</t>
  </si>
  <si>
    <t>TestFancyCar works fine with JBullet, but with recent versions of Native Bullet, the test crashes during initialization:
Debugger reveals that the vehicleId is because it was never initialized. createVehicle() was invoked with space null when the vehicle was instantiated, bypassing most of the initialization code.</t>
  </si>
  <si>
    <t>2018-09-10</t>
  </si>
  <si>
    <t>nextcloud-android-3011</t>
  </si>
  <si>
    <t>[3.3.0 RC2] Crash of the Nextcloud application</t>
  </si>
  <si>
    <t>When somebody posts an announcement, receive push notification. clicked above that opened Nextcloud application then the application crash. She closed and had an error message application Nextcloud cess de fonctionner
have retry several times unsuccessfully.
Android version 7.1.1
Device model SM-J52016
Nextcloud app version 3.3.0 RC2</t>
  </si>
  <si>
    <t>react-native-camera-react-native-camera-1785</t>
  </si>
  <si>
    <t>Async error java takePictureAsync()</t>
  </si>
  <si>
    <t>### Which implementation are you using
### Steps to reproduce
1. Open Camera
3. force closed (sometimes OK)
### Does it work with Expo Camera?
Check usage with Expo https: github.com react-native-camera blob master docs Expo Usage.md
You should open an issue there as well, so we can cooperate in solution.
### Expected behaviour
After execute promise takePictureAsync() it should be take picture
### Actual behaviour
After execute promise await takePictureAsync() app force closed.
if used crashlytics it found error like this.
Fatal Exception: An error occurred while executing doInBackground()
**React Native version**: 0.55.4
**React Native platform platform version**: Android version 7.1.1 5.1.1
Love Please consider supporting our collective: https: opencollective.com react-native-camera donate</t>
  </si>
  <si>
    <t>TeamNewPipe-NewPipe-1680</t>
  </si>
  <si>
    <t>UI crashed displaying YouTube Channels  /bug report</t>
  </si>
  <si>
    <t>User Action: ui error
Request: App crash, UI failure
Content Language: GB
OS: Linux Android 4.0.4 15
can see any channel homepage, this always happen when touch channel name</t>
  </si>
  <si>
    <t>2018-09-08</t>
  </si>
  <si>
    <t>federicoiosue-Omni-Notes-592</t>
  </si>
  <si>
    <t>The app closes as soon as "Password Forgotten" is pressed</t>
  </si>
  <si>
    <t>**Describe the bug**
The app closes immediately after pressing Password Forgotten It not crash, it just closes.
OS version: LineageOS 14.1 (Android 7.1.2)
App version: 5.5.0 (F-Droid APK)
**How to reproduce**
Steps to reproduce the behavior:
1. Open the app
2. When asked to insert the password, press Password Forgotten
You should be able to type in the answer to the security question and get the password reset.</t>
  </si>
  <si>
    <t>TeamNewPipe-NewPipe-1674</t>
  </si>
  <si>
    <t>Exception on pressing back arrow</t>
  </si>
  <si>
    <t>when you open YouTube link from your browser and press left arrow in newpipe an exception will show up.
User Action: ui error
Request: App crash, UI failure
Content Language: IT
OS: Linux Android 4.2.1 17
Test this link https: m.youtube.com watch?v 4cyiL8n-5P8</t>
  </si>
  <si>
    <t>marksuth-indigenous-android-99</t>
  </si>
  <si>
    <t>Crash when pressing 'Sign In'</t>
  </si>
  <si>
    <t>The app crashes when trying to Sign In. enter my URL https: doubleloop.net where it says http: example.com, press Sign In, and it crashes there. on an old version of Android (Lollipop), don know if that has anything to do with it.
(If there more debug info can provide, let me know)
Sony Xperia Z1 Compact (D5503)
SDK version: 22
0.11 from Google Play</t>
  </si>
  <si>
    <t>2018-09-06</t>
  </si>
  <si>
    <t>forrestguice-SuntimesWidget-243</t>
  </si>
  <si>
    <t>get the location in an airplane have crashed the application</t>
  </si>
  <si>
    <t>matejpoliacek-GalileoGameApp-21</t>
  </si>
  <si>
    <t>SUPL server crashing</t>
  </si>
  <si>
    <t>Mateusz wrote how to fix it:</t>
  </si>
  <si>
    <t>google-blockly-android-743</t>
  </si>
  <si>
    <t>Category tabs without specified colors crash app (NPE)</t>
  </si>
  <si>
    <t>If category tab does not have specified color when the CategoryTabs attempts to tint the category label, NPE is thrown and crashes the activity app:
Reproduce by opening the DevTestsActivity.</t>
  </si>
  <si>
    <t>2018-09-05</t>
  </si>
  <si>
    <t>niccokunzmann-mundraub-android-99</t>
  </si>
  <si>
    <t>Do not set marker when clicked on settings menu and zoom</t>
  </si>
  <si>
    <t>&lt;!-- If you report an app crash, please attach the file
from the root of your phone file system. --&gt;
When click on the settings and on the zoom, would like to have an area where the marker is not set.
Sometimes, fail to click on button. Then, the marker is set below the zoom or below the menu.
Please make so the marker stays where it was before.</t>
  </si>
  <si>
    <t>niccokunzmann-mundraub-android-97</t>
  </si>
  <si>
    <t>Map does not load new tiles</t>
  </si>
  <si>
    <t>&lt;!-- If you report an app crash, please attach the file
from the root of your phone file system. --&gt;
Sometimes, when you zoom out the map, this error occurs:
Uncaught TypeError: Cannot call method draw of null
Then, no new tiles are drawn.</t>
  </si>
  <si>
    <t>wdullaer-MaterialDateTimePicker-522</t>
  </si>
  <si>
    <t>Crash with mindate</t>
  </si>
  <si>
    <t>If we set minimum date and try quick moving datepiker, in some cases an arrow may appear, which moves to the previous month from the minimum date.
When you click on this arrow, the application crashes with such an error</t>
  </si>
  <si>
    <t>commons-app-apps-android-commons-1882</t>
  </si>
  <si>
    <t>ACRA crash reports do not work again in 2.8.2</t>
  </si>
  <si>
    <t>When the app crashes, there should be an option to send feedback so that users can send their stack trace to us along with comments about what they were doing at the time of the crash.
We already have ACRA for this purpose which used to work, but stopped working again at some point.
If anyone takes this up, please ensure that the logs are sent to the PRIVATE google group, not the public one, due to privacy concerns.
**Steps to reproduce:**
Trigger crash on 2.8.2. Not sure how far back this problem goes.
**Add System logs:**
**Device and Android version:**
8.0 Samsung Galaxy s7
**Commons app version:**
2.8.2 Play Store version
**Would you like to work on the issue?**</t>
  </si>
  <si>
    <t>aws-amplify-aws-sdk-android-525</t>
  </si>
  <si>
    <t xml:space="preserve">android GCM on Oreo devices crash issue </t>
  </si>
  <si>
    <t>### To help us solve your problem better, please answer the following list of questions.
What service are you using?
GCM services since we will aim to use fire-base but need quick solution for now.
In what version of SDK are you facing the problem?
Sdk Version 26
Is the issue limited to Simulators Actual Devices?
the issue is limited to Oreo devices
Can your problem be resolved if you bump to higher version of SDK?
it was working on low SDK version but due to store restriction they aim to make the SDK 26 or higher in order to upload an apk to store
Is this problem related to specific Android OS version?
the issue related to android 8.0 and higher
Can you give us steps to reproduce with minimal, complete, and verifiable example? Please include any specific network conditions that might be required to reproduce the problem.
Please include stacktrace if applicable.
If you need help with understanding how to implement something in particular then we suggest that you first look into our developer guide (https: docs.aws.amazon.com mobile sdkforandroid developerguide ). You can also simplify your process of creating an application by using Mobile Hub (https: mobilehub home# ).
Please need fix permanently till switch to FCM</t>
  </si>
  <si>
    <t>segmentio-analytics-android-592</t>
  </si>
  <si>
    <t>Attempt to invoke virtual method 'com.segment.analytics.ValueMap com.segment.analytics.ProjectSettings.integrations()' on a null object reference</t>
  </si>
  <si>
    <t>### Analytics version
Crashes has been logged for while now (6 months) on our app in production. We have placed breadcrumbs to help identify the cause of this crash however, we are unable to reproduce this crash.
Our breadcrumbs tells us that this happens during app start up on no network conditions.
During our startup process we initialise Analytics and identify our users.
### App identify process
public void identify( Nullable String userId, Nullable ReadableMap properties)
Traits traits new Traits()
if (properties null)
### Raw error</t>
  </si>
  <si>
    <t>ZeusWPI-hydra-android-277</t>
  </si>
  <si>
    <t>SKO section crashes</t>
  </si>
  <si>
    <t>The RV-joiner library is not very stable, and we can add subtitles ourselves. will remove our usage of the library, which means it won crash anymore (hopefully).</t>
  </si>
  <si>
    <t>2018-09-04</t>
  </si>
  <si>
    <t>mycelium-com-wallet-android-475</t>
  </si>
  <si>
    <t>Trezor T - import accounts - crash every time</t>
  </si>
  <si>
    <t>If try to add accounts of Trezor get crash
1. Tab Accounts -&gt; (right up corner) -&gt; Advanced button -&gt; Trezor button
2. Then connect Trezor -&gt; enter there PIN -&gt; Host button in Trezor (passphrase enabled there)
3. After see password dialog in Mycelium
4. enter there any passphrase
Tested in Galaxy S8 and Galaxy Tab S3
sent report from Android but don hope that crash will be viewed (i did it many times and nothing result in Mycelium updates)
Please for slush0 too</t>
  </si>
  <si>
    <t>Intelehealth-Android-Mobile-Client-516</t>
  </si>
  <si>
    <t>DelayedJobQueueProvider.java line 192</t>
  </si>
  <si>
    <t>App crashing on line 192
Originator- Ambuj Pandey
Checked from- July 19th
Mobile Brand- motorola
Model- Moto (4) Plus
OS Version- 7.1.1
App Version- 1.3.3
Started- August 12th, 2018
last crash date: Sept 3rd, 2018
Number of Crashes:</t>
  </si>
  <si>
    <t>commons-app-apps-android-commons-1877</t>
  </si>
  <si>
    <t>android.app.RemoteServiceException crash reports on Play Store</t>
  </si>
  <si>
    <t>This crash has 80 reports on the Play Store, and is our highest crash besides #1876 Unfortunately, have no idea what is causing it because the stack trace below is all we have.</t>
  </si>
  <si>
    <t>nextcloud-android-2957</t>
  </si>
  <si>
    <t>download of any file not working, crashes dev version.</t>
  </si>
  <si>
    <t>### Actual behaviour
Trying to sync files, app tries to download files, stable version fails. Dev version crashes immediately.
see in the webserver log an attempt to access webdav file, if copy paste the webdav url in browser, the file gets downloaded without problem..
### Expected behaviour
App downloads files onto phone fs.
### Nota Bene
Download sync used to work couple of months ago. Changes since then include ubuntu upgrade to 18.04, nc server upgrade to 13.05 and 13.06, app update to 3.2.3.
cannot pinpoint exactly when this behavior started. But my gut says it is change in the android file permissions scheme, as ghost commander too is unable to touch any file besides the ones in the download folder.
Now, the app seems to not be able to touch files on the fs. Once sync used to work, had bunch of files on my phone fs. Now, when delete some of these files in the app, they re still on the fs. Double checked app permissions, has storage read write permissions.
### Steps to reproduce
Install fresh nc app,
Connect to server,
In app, select directory you want to sync, tell it to sync,
app 3.2.3 shows notification downloading file ... but stays at 0%
Dev version 20180829 crashes immediately when want so sync dir.
### Environment data
Stock or customized system:
Nextcloud app version:
3.2.3 and dev version 20180829
Nextcloud server version:</t>
  </si>
  <si>
    <t>Exodus-Privacy-exodus-android-app-34</t>
  </si>
  <si>
    <t>app crash after initial applications scan</t>
  </si>
  <si>
    <t>when start Exodus, it analyzes the installed apps, then crashes. If try to restart it, don see new apps scan, the crash is immediate. on LineageOS 14.1.
Here is the relevant part of logcat:</t>
  </si>
  <si>
    <t>2018-09-03</t>
  </si>
  <si>
    <t>nearit-Android-UI-Bindings-21</t>
  </si>
  <si>
    <t>App crashes when content CTA is tapped and url is not valid</t>
  </si>
  <si>
    <t>Steps to reproduce
create recipe with content notification on go.nearit.com with capital letter in cta URL (eg: Http: Www.google.com)
tap notification on device
tap CTA button on dialog
try catch on Uri.parse</t>
  </si>
  <si>
    <t>commons-app-apps-android-commons-1876</t>
  </si>
  <si>
    <t>SocketTimeoutException from fetching number of images deleted</t>
  </si>
  <si>
    <t>logged in to Misaochan, went to Nearby, and the app crashed for me while was searching for an image to upload to Nearby. Stack trace seems to point to in
**Steps to reproduce:**
Unsure of how to reproduce, it is not consistent. However, we should handle this exception more gracefully. think catching it and outputting an error message is sufficient since that method is not essential (it just used to get user revert rate). Edit: After looking into it further, this is NOT true this function is called whenever the user loads and it is nonNull.
**Add System logs:**
**Device and Android version:**
Android 8.0 Samsung Galaxy s7
**Commons app version:**
**Would you like to work on the issue?**</t>
  </si>
  <si>
    <t>niccokunzmann-mundraub-android-88</t>
  </si>
  <si>
    <t>Update OpenLayers</t>
  </si>
  <si>
    <t>&lt;!-- If you report an app crash, please attach the file
from the root of your phone file system. --&gt;
Currently, we are using version
Release 2.14 dev
This is quite old.
Better to use OpenLayers 3, an updated version.</t>
  </si>
  <si>
    <t>niccokunzmann-mundraub-android-86</t>
  </si>
  <si>
    <t>Show occurrences of more than one plant</t>
  </si>
  <si>
    <t>&lt;!-- If you report an app crash, please attach the file
from the root of your phone file system. --&gt;
If you zoom out, some plants form collections of plants to keep the map visible.
This needs to be shown in some way. Currently, they just disappear. You can see such behavior on the map: https: mundraub.org map
Best would be if we can write into the settings which zoom layer it is that requires getting all plants not as bundle. (new issue once this is implemented).
Question to implement this: How to add marker to open layers which can have variable text in it like number?</t>
  </si>
  <si>
    <t>niccokunzmann-mundraub-android-82</t>
  </si>
  <si>
    <t>Other toggle buttons in settings not explained</t>
  </si>
  <si>
    <t>&lt;!-- If you report an app crash, please attach the file
from the root of your phone file system. --&gt;
The toggle buttons in the settings have no explanation.</t>
  </si>
  <si>
    <t>2018-09-01</t>
  </si>
  <si>
    <t>niccokunzmann-mundraub-android-79</t>
  </si>
  <si>
    <t>Add Mundraub.org markers to map</t>
  </si>
  <si>
    <t>&lt;!-- If you report an app crash, please attach the file
from the root of your phone file system. --&gt;
Since Mundraub shows them in German, you may want to use https: leo.org to look up which name is which.
other fruit trees.png
other fruit shrub.png</t>
  </si>
  <si>
    <t>nextcloud-android-2946</t>
  </si>
  <si>
    <t>Android app crashes when open some folders with IllegalArgumentException: Comparison method violates its general contract!</t>
  </si>
  <si>
    <t>### Actual behaviour
The app crashes when open some folders
### Expected behaviour
The app don crashes
### Minimal JUnit test to reproduce
List&lt;OCFile&gt; array new ArrayList&lt;&gt;()
array.add(new OCFile( Joplin ))
array.add(new OCFile( Joplin ))
array.add(new OCFile( Joplin ))
array.add(new OCFile( Joplin ))
array.add(new OCFile( Joplin ))
array.add(new OCFile( Joplin ))
array.add(new OCFile( Joplin ))
array.add(new OCFile( Joplin ))
array.add(new OCFile( Joplin ))
array.add(new OCFile( Joplin ))
array.add(new OCFile( Joplin ))
array.add(new OCFile( Joplin ))
array.add(new OCFile( Joplin ))
array.add(new OCFile( Joplin ))</t>
  </si>
  <si>
    <t>Haptic-Apps-Slide-2847</t>
  </si>
  <si>
    <t>Draft Discarding Crash</t>
  </si>
  <si>
    <t>It appears that if you immediately discard an empty draft, Slide will crash.
Steps to reproduce:
1. Load comments section of any post
2. Click Reply
3. Click to save draft
4. Immediately click the discard text that appears at the bottom of the screen.
5. Slide should crash.</t>
  </si>
  <si>
    <t>codex-iter-AWOL-10</t>
  </si>
  <si>
    <t>ICON CRASH</t>
  </si>
  <si>
    <t>icon crashes on some devices</t>
  </si>
  <si>
    <t>2018-08-31</t>
  </si>
  <si>
    <t>DiscordTime-sticky-sessions-android-61</t>
  </si>
  <si>
    <t>The App is crashing when change orientation in SessionActivity</t>
  </si>
  <si>
    <t>2018-08-30</t>
  </si>
  <si>
    <t>openid-AppAuth-Android-402</t>
  </si>
  <si>
    <t>NullPointerException in TokenRequestTask execution</t>
  </si>
  <si>
    <t>use the version 0.7.0 of the library and sometimes get the following error:
This crash happens when the input stream is null, e.g. the server is out of business.
Would it be possible to handle null input stream as network error?</t>
  </si>
  <si>
    <t>DiscordTime-sticky-sessions-android-57</t>
  </si>
  <si>
    <t>App crashes if uses clicks on create session button</t>
  </si>
  <si>
    <t>Adapter is using wrong index to trigger click event on RecyclerView and causes app to crash with</t>
  </si>
  <si>
    <t>Etar-Group-Etar-Calendar-363</t>
  </si>
  <si>
    <t>Permission crash on first start after new installation</t>
  </si>
  <si>
    <t>Process: ws.xsoh.etar, PID: 10664</t>
  </si>
  <si>
    <t>nextcloud-android-2941</t>
  </si>
  <si>
    <t>Sharing a link form the video player does not work</t>
  </si>
  <si>
    <t>### Actual behaviour
The app crashes
### Expected behaviour
The share link dialog should open
### Steps to reproduce
1. Open video
2. Click on Send Share in the dot menu
3. Click on link
### Environment data
Stock or customized system:
Nextcloud app version:
Nextcloud server version:
FATAL EXCEPTION: main</t>
  </si>
  <si>
    <t>react-native-camera-react-native-camera-1768</t>
  </si>
  <si>
    <t>App (iOS only) crash when camera not authorized in Function as Child Component way</t>
  </si>
  <si>
    <t>### Which implementation are you using
### Steps to reproduce
1. create camera component with FaCC way
2. un-authorized camera in phone setting
3. crash as soon as turning on the camera in the app
### Does it work with Expo Camera?
Check usage with Expo https: github.com react-native-camera blob master docs Expo Usage.md
You should open an issue there as well, so we can cooperate in solution.
### Expected behaviour
if (status AUTHORIZED)
else if (status AUTHORIZATION)
return &lt;View style
Should show the NoCameraModal as expected.
### Actual behaviour
App crash and following error
**React Native v0.55.3**:
Love Please consider supporting our collective: https: opencollective.com react-native-camera donate</t>
  </si>
  <si>
    <t>TeamNewPipe-NewPipe-1641</t>
  </si>
  <si>
    <t>Reciever not registered</t>
  </si>
  <si>
    <t>carefully read the contribution guidelines (https: github.com TeamNewPipe NewPipe blob HEAD .github CONTRIBUTING.md) and agree to them.
checked if the issue feature exists in the latest version.
did use the incredible bugreport to markdown converter (https: to paste bug reports.
This crash happens when leaving the main player via any hardware button except home after adjusting volume or brightness.
User Action: Play stream
Request: play stream
Content Language: IT
OS: Linux Android 4.2.1 17 6.0 23</t>
  </si>
  <si>
    <t>2018-08-29</t>
  </si>
  <si>
    <t>nextcloud-android-2939</t>
  </si>
  <si>
    <t xml:space="preserve">Login failed on the app </t>
  </si>
  <si>
    <t>### Actual behaviour
Tell us what happens
install the last version of nextcloud 13 today as server.
login successfully with my user created by the web interface. deconnect and after impossible to connect. On the web interface all word find (admin account and the other account). In the log have login failed. The app detect correctly the nextcloud instance.
That was strange because made only one connexion and after nothing.
reinstall the app and delete data but its the same problem
### Expected behaviour
Tell us what should happen
### Steps to reproduce
1. Connect with user
2. Delete the account
3. Recreate an other account and it is here the crash to connect
### Environment data
Android version: 7.0
Device model: blackview bv6000
Stock or customized system: stock official update
Nextcloud app version: 3.2.3
Nextcloud server version: 13.0.5.2
#### Web server error log
Insert your webserver log here</t>
  </si>
  <si>
    <t>HenriDellal-emerald-dialer-1</t>
  </si>
  <si>
    <t>Fix NullPointerException on contacts filtering</t>
  </si>
  <si>
    <t>As can be seen from the GP logs, the application crashes on T9 search. See lines 269, 103. The regexQueryResults field is null in getCount even though the filter submits results to it before the method is called. Sadly can reproduce it, so if someone has encountered this bug, please tell me when exactly it happens and under which conditions.</t>
  </si>
  <si>
    <t>nextcloud-android-2934</t>
  </si>
  <si>
    <t>crash in android samsung j5</t>
  </si>
  <si>
    <t>using android samsung j5, it has crash now.</t>
  </si>
  <si>
    <t>nikita36078-J2ME-Loader-369</t>
  </si>
  <si>
    <t xml:space="preserve">[BUG] Splinter Cell - Extended Ops (v1.3.9) (176x208) </t>
  </si>
  <si>
    <t>Samsung Galaxy TAB
**Description of the issue:**
The game has graphic issue and crash it impossible to continue game.
You can see what happens in this video what made:</t>
  </si>
  <si>
    <t>2018-08-28</t>
  </si>
  <si>
    <t>DiscordTime-sticky-sessions-android-51</t>
  </si>
  <si>
    <t>App crashes sometimes after a fast scroll on carrossel</t>
  </si>
  <si>
    <t>2018-08-27</t>
  </si>
  <si>
    <t>commons-app-apps-android-commons-1864</t>
  </si>
  <si>
    <t>LoginActivity crashes when  login screen is opened in landscape mode</t>
  </si>
  <si>
    <t>When we try to login in landscape mode, the login activity crashes
**Steps to reproduce:**
Change the orientation of the device and try to login.
How can we reproduce the issue?
Expected behaviour was flawless login irrespective of the device orientation
**Add System logs:**
Caused by: Required view skipLogin with ID 2131689702 for field skipLoginText was not found. If this view is optional add Nullable (fields) or Optional (methods) annotation.
**Device and Android version:**
Pixel and Samsung s7 edge api 27
**Commons app version:**
**Would you like to work on the issue?**</t>
  </si>
  <si>
    <t>dimagi-commcare-android-2033</t>
  </si>
  <si>
    <t>Session expiration crash fixes</t>
  </si>
  <si>
    <t>Better to catch these then crashing the app. This should ideally be checked expression so that all code paths are required to handle this.</t>
  </si>
  <si>
    <t>wiglenet-wigle-wifi-wardriving-268</t>
  </si>
  <si>
    <t>FIX - could it be this simple?</t>
  </si>
  <si>
    <t>long-running issue with crashes.
#243 in tracker</t>
  </si>
  <si>
    <t>niccokunzmann-mundraub-android-69</t>
  </si>
  <si>
    <t>Screen shots are not shown on F-Droid</t>
  </si>
  <si>
    <t>&lt;!-- If you report an app crash, please attach the file
from the root of your phone file system. --&gt;
We have the screen shots in this folder:
But we do not see them on F-Droid (veriosn 1.13):</t>
  </si>
  <si>
    <t>2018-08-26</t>
  </si>
  <si>
    <t>niccokunzmann-mundraub-android-67</t>
  </si>
  <si>
    <t>Cannot edit unknown plant in wide-screen scenario</t>
  </si>
  <si>
    <t>&lt;!-- If you report an app crash, please attach the file
from the root of your phone file system. --&gt;
If the app is wide-screen, the floating action button for editing is not present.
Plants can not be edited in this mode.</t>
  </si>
  <si>
    <t>SkyTubeTeam-SkyTube-342</t>
  </si>
  <si>
    <t>When you select Downloads as your default tab, the app will crash on all following launches.
Steps to reproduce:
1- install skytube via FDroid
2- launch skytube
3- go to preferences others
4- select Downloads as default tab
5- kill the app
6- launch skytube again
Lineage OS 14</t>
  </si>
  <si>
    <t>2018-08-25</t>
  </si>
  <si>
    <t>niccokunzmann-mundraub-android-65</t>
  </si>
  <si>
    <t>oneplus 5t running android 8.1
Fairphone 2, Android 6.0.1, Prozessor Qualcomm MSM8974PRO-AA.
am not able to reproduce this behavior because do not have such device.
If you have such device, feel free to help out by posting the debug log file.</t>
  </si>
  <si>
    <t>2018-08-24</t>
  </si>
  <si>
    <t>AmazMod-AmazMod-160</t>
  </si>
  <si>
    <t>ChangelogActivity crash</t>
  </si>
  <si>
    <t>Caused by This Activity already has an action bar supplied by the window decor. Do not request Window.FEATURE SUPPORT ACTION BAR and set windowActionBar to false in your theme to use Toolbar instead.</t>
  </si>
  <si>
    <t>nextcloud-android-2920</t>
  </si>
  <si>
    <t>Android app crashes when opening the menu</t>
  </si>
  <si>
    <t>### Actual behaviour
The android app crashes, when attempting to open the menu (both swipe to the right and pushing the hamburger button). Happens on two different devices, since circa two or three months.
### Expected behaviour
can use the settings...
### Steps to reproduce
1. try to open the menu
### Environment data
Stock or customized system:
Nextcloud app version:
3.2.2 but happened before
Nextcloud server version:</t>
  </si>
  <si>
    <t>2018-08-23</t>
  </si>
  <si>
    <t>Catfriend1-syncthing-android-26</t>
  </si>
  <si>
    <t>Crash with "Explicit termination method 'close' not called" - exit code 9</t>
  </si>
  <si>
    <t>Quote from ProactiveServices https: github.com syncthing syncthing-android issues 1217
switched off power saving mode on my Android and noticed Syncthing notification icon shuffled, then found this in the log. Syncthing is set to respect battery saving mode.
App Version: 0.10.13
Syncthing Version: v0.14.49-dirty
Android Version: Android 5.0.2
The conditions settings listed in the Status tab are the same from when had the crash:
Syncthing is running.
Allowed to run on mobile data, but not connected
Allowed to run on WiFi and connected
Allowed to run on non-metered WiFi. Active WiFi is non-metered.
Allowed to run on the current WiFi.
In the options: Run when devices is powered by AC and battery.
Respect battery saving setting: Enabled
Respect Auto-sync data setting: Disabled
When switch on power saving Syncthing is still running, the status pane is unchanged. tried exiting and quitting the app, and starting it in power saving mode and the same happens. can see in the Android options that power saving is enabled.
Crashed again and this time the Android log mentions Syncthing crash, and received notification of the crash. The Syncthing logfile only showed the first few lines of regular start-up and nothing else after folders being ready. think (but not sure) that had turned off WiFi at the time. may have enabled Power Save but not sure. using the debug build you linked earlier.
currently working on this on my branch.
The crash handler is little bit outdated, so improving it with the UI telling if syncthing crashed and showing the notification under correct circumstances. When ve tested through enough, ll make new RC.</t>
  </si>
  <si>
    <t>Catfriend1-syncthing-android-25</t>
  </si>
  <si>
    <t>Fix exit code 9 handling in SyncthingRunnable (fixes #https://github.com/syncthing/syncthing-android/issues/1217)</t>
  </si>
  <si>
    <t>Display syncthing native exit code on crash
https: github.com syncthing syncthing-android issues 1217</t>
  </si>
  <si>
    <t>react-native-camera-react-native-camera-1754</t>
  </si>
  <si>
    <t>The first video got a uri, but it crashed the second time. Can you help me?</t>
  </si>
  <si>
    <t>### Steps to reproduce
implemented the camera according to the document and ran it perfectly on Android, but had problem with ios video. got the uri needed for the first video, and then it crashed when did the second video.
Permission to use camera
We need your permission to use your camera phone
startRecording async function ()
const options mute:false,
let recordPromise uri
console.log( Video saved successfully
stopRecording async function ()
### Expected behaviour
You can record multiple times
### Actual behaviour
App crashes with the following error:
*** First throw call stack:
(0x182592d8c 0x18174c5ec 0x18808c174 0x1028640b8 0x1032051dc 0x10320519c 0x103213dfc 0x1032086ac 0x103214d54 0x10321be38 0x1821b7e70 0x1821b7b08)
React Native version: 0.54.2
React Native platform platform version: iOS 9.4</t>
  </si>
  <si>
    <t>CalebFenton-simplify-111</t>
  </si>
  <si>
    <t>Null pointer from InvokeOpCodeFactor -- unknown cause</t>
  </si>
  <si>
    <t>Was trying to assist someone and was curious if simplify would work it ended up throwing null pointer which don have time to investigate. However simplified (oh boy) the code into test case into minimal reproducable case
.class public Lrednaga reproduce testcase uno
.super Ljava lang Object
.method public constructor &lt;init&gt;()V
invoke-direct p0 Ljava lang Object -&gt;&lt;init&gt;()V
.method public toString()Ljava lang String
new-instance v0, Ljava lang StringBuffer
invoke-direct v0 Ljava lang StringBuffer -&gt;&lt;init&gt;()V
invoke-virtual v0, v1 Ljava lang StringBuffer -&gt;reallocate(Ljava lang String )Ljava lang StringBuffer
invoke-static p0 Ljava lang System lang Object )I
invoke-virtual v0, v1 Ljava lang StringBuffer lang StringBuffer
invoke-virtual v0 Ljava lang StringBuffer -&gt;toString()Ljava lang String
It pretty meaningless code, doesn do anything and not thinking it anti-analysis. However it does cause crash
Processing top level class Lrednaga reproduce testcase uno
(1 2) Executing top level method: Lrednaga reproduce testcase uno -&gt;toString()Ljava lang String
Exception in thread main
Someone is more than welcome to take this up otherwise ll look into it when have chance.</t>
  </si>
  <si>
    <t>kontalk-androidclient-1208</t>
  </si>
  <si>
    <t>Places returning null venues causing crash</t>
  </si>
  <si>
    <t>need to check why getVenues is returning null, however this should be handled gracefully by setting an empty list instead of null (or, better, by clearing and adding all the items).</t>
  </si>
  <si>
    <t>2018-08-22</t>
  </si>
  <si>
    <t>commons-app-apps-android-commons-1846</t>
  </si>
  <si>
    <t>Nearby crashes when Home [From the Nav Drawer] is pressed while nearby is still loading data</t>
  </si>
  <si>
    <t>If we press home while nearby is still loading data, nearby crashes.
**Steps to reproduce:**
Click on Nearby and while its loading data, click on home from the nav drawer, nearby crashes with
**Add System logs:**
Add logcat files here (if possible).
Caused by: thread interrupted
**Device and Android version:**
Samsung s7 api 27
**Commons app version:**
**Would you like to work on the issue?**</t>
  </si>
  <si>
    <t>2018-08-21</t>
  </si>
  <si>
    <t>mcastillof-FakeTraveler-16</t>
  </si>
  <si>
    <t>After closing the app, it's suddenly crashed</t>
  </si>
  <si>
    <t>nextcloud-android-2905</t>
  </si>
  <si>
    <t xml:space="preserve">Unfortunately, Nextcloud has stopped. </t>
  </si>
  <si>
    <t>### Actual behaviour
Nextcloud crashed after update 3.2.1 to 3.2.2
### Expected behaviour
3.2.2 version automatically updated. Nextcloud won start.
Unistall 3.2.2, disable automatic update, install 3.2.1 and operational. (Can apply custom folder paths, but it an another issue.)
### Steps to reproduce
1. Install 3.2.2. update
2. Unfortunately, Nextcloud has stopped.
### Environment data
Samsung S5 Duos
Free space: 1GB
Nextcloud app version:
Nextcloud server version:
#### Web server error log</t>
  </si>
  <si>
    <t>Tencent-tinker-910</t>
  </si>
  <si>
    <t>AndroidN,O 加载到patch 以后重启app crash了.</t>
  </si>
  <si>
    <t>** issue issue (https: github.com Tencent tinker wiki issue issue Patch issue **
Android 7.0 Android 8.0
SDK Bugly SDK
issue (https: github.com tvvocold
Tinker sample Tinker pr.</t>
  </si>
  <si>
    <t>nextcloud-android-2904</t>
  </si>
  <si>
    <t>Crash after update on August, 20.</t>
  </si>
  <si>
    <t>### Actual behaviour
Nexcloud app crashes after start
### Expected behaviour
App should open
### Steps to reproduce
1. tap on Nextcloud-icon
2. Nextcloud was stopped (record ok)
### Environment data
Android version: 4.4.2
Device model: Acer E39
Stock or customized system: Stock
Nextcloud app version: 3.2.2
Nextcloud server version: 13.05
#### Web server error log
#### Nextcloud log (data nextcloud.log)
Insert your Nextcloud log here
nothing new in the log is written</t>
  </si>
  <si>
    <t>niclabs-adkintunmobile-androidclient-196</t>
  </si>
  <si>
    <t>PreferenceGroup.java line 141</t>
  </si>
  <si>
    <t>2018-08-20</t>
  </si>
  <si>
    <t>cgeo-cgeo-7122</t>
  </si>
  <si>
    <t>Google Play Alert - java.io.IOexception</t>
  </si>
  <si>
    <t>checked Google Play crash reports as there are quite some mails and activity on social networks, that c:geo runs instable.
The Google Play console gave out warning about significant problem with 2018.08.14.
It started at 18.08.2018 and 4000 reports since then:
can also see second (similar) crash scenario and quite raise on ANRs in the area of cache logging activity.
As we did not change this area recently assume there something on the server side triggering these problems resulting in crash. This means we should still try to find out, whats going on and fix it.</t>
  </si>
  <si>
    <t>gsantner-markor-314</t>
  </si>
  <si>
    <t>md [hl]: header hightlighting spacing bug?</t>
  </si>
  <si>
    <t>#### General information
**App version:** 1.0.0 F-Droid
**System:** Android 6.0.1 on Xperia Z5C
Many thanks for this app. have been using it to convert some previously text-only documents ve created into Markdown documents.
However, ve found some rendering problems in the editor when Syntax highlighting is turned on. haven been able to boil this down to simple example, but attach (redacted) typical file, and some screenshots of the problem. This is happening to almost any previously text-only file try to convert to Markdown. Note that they render fine in preview mode, just not in the syntax highlighting editor.
Please note that the filename actually ends in .md only changed it to .txt so that github would accept it.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</si>
  <si>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2018-08-19</t>
  </si>
  <si>
    <t>noahwc-CompositionCollector-1</t>
  </si>
  <si>
    <t>Saving existing note causes a crash</t>
  </si>
  <si>
    <t>When saving an existing note opened from the recycler view in the main activity the app crashes.</t>
  </si>
  <si>
    <t>fossasia-pslab-android-1374</t>
  </si>
  <si>
    <t>App crashes in  FAQ and AboutUs section of navigation drawer</t>
  </si>
  <si>
    <t>App crashes if any of the FAQ section or about us section is clicked
It should not crash
**Steps to reproduce it**
Go to any of the FAQ or AboutUs section
**LogCat for the issue**
**Would you like to work on the issue?**</t>
  </si>
  <si>
    <t>2018-08-18</t>
  </si>
  <si>
    <t>commons-app-apps-android-commons-1834</t>
  </si>
  <si>
    <t>Notification-related crashes on Android 8.1 (API 27)</t>
  </si>
  <si>
    <t>consistently get crashes on upload attempts on Android 8.1.
**Steps to reproduce:**
Tap the camera icon and proceed to upload.
**Device and Android version:**
**Commons app version:**
**Would you like to work on the issue?**</t>
  </si>
  <si>
    <t>commons-app-apps-android-commons-1833</t>
  </si>
  <si>
    <t>Get ACRA crash reporting system working again</t>
  </si>
  <si>
    <t>We used to have ACRA crash reports. Then we didn t. Then we fixed that. But now we don have them again. These reports are very useful because they allow users to add comments to tell us what they were doing at the time of the crash
**Steps to reproduce:**
Generate crash. If ACRA reports were working, there would be an option to report the crash (not just close or reopen app).
**Device and Android version:**
Several different ones, including API 21 and API 24
**Commons app version:**
**Would you like to work on the issue?**</t>
  </si>
  <si>
    <t>2018-08-17</t>
  </si>
  <si>
    <t>davideas-FlexibleAdapter-651</t>
  </si>
  <si>
    <t>onRestoreInstanceState crash when Fragments in ViewPager</t>
  </si>
  <si>
    <t>can still get the App crash in the setup explained in #649 (https: github.com davideas FlexibleAdapter issues 649)
create the adapter (with no items) in onActivityCreated and my code for saving restoring the state looks like this:
override fun Bundle)
Timber.e( onSaveInstanceState FLEX ADAPTER
if &amp;&amp; 0)
Timber.e( SAVE FLEX ADAPTER STATE
override fun Bundle?)
Timber.e( RESTORE FLEX ADAPTER STATE
To reproduce the error follow these steps:
navigate to fragment A, swipe to and then to
Change orientation to landscape and back to portrait
Swipe to fragment --&gt; crash
And the trace looks like this:
onSaveInstanceState FLEX ADAPTER
SAVE FLEX ADAPTER STATE
onSaveInstanceState FLEX ADAPTER
RESTORE FLEX ADAPTER STATE
So, saving and restoring do go out of synch!
It possible to work around this problem by saving e.g. boolean flag to bundle in onSaveInstanceState and read it in onViewStateRestored before calling but could you consider checking if is null like mentioned in #611</t>
  </si>
  <si>
    <t>2018-08-16</t>
  </si>
  <si>
    <t>StAResComp-sifids-212</t>
  </si>
  <si>
    <t>App crashes upon saving a form row</t>
  </si>
  <si>
    <t>**Describe the bug**
App crashes after saving form row</t>
  </si>
  <si>
    <t>2018-08-15</t>
  </si>
  <si>
    <t>7LPdWcaW-GrowTracker-Android-64</t>
  </si>
  <si>
    <t>Crashed after trying duplicating plants, impossible to use the encryption,
and the fail safe function seems bugged</t>
  </si>
  <si>
    <t>cgeo-cgeo-7116</t>
  </si>
  <si>
    <t>c:geo keeps crashing on greek locale</t>
  </si>
  <si>
    <t>##### Detailed steps causing the problem:
Switch your phone language to Greek
Open live map or saved caches
##### Actual behavior after performing these steps:
##### Expected behavior after performing these steps:
##### Version of c:geo used:
2018.08.14 and 2018.08.14-NB1
##### Is the problem reproducible for you?
Reported on support mail and reproduced on my phone
##### Other comments and remarks:
What see in the log (not sure if this is the cause):</t>
  </si>
  <si>
    <t>ThmmyNoLife-mTHMMY-41</t>
  </si>
  <si>
    <t>Crash details do not appear on Firebase console</t>
  </si>
  <si>
    <t>CrashreportingTree https: github.com ThmmyNoLife mTHMMY blob develop app src main java gr thmmy mthmmy utils class uses Crashlytics.log() to forward Timber messages to Firebase. However, when attempting to view the detailed log of crash on the Firebase console, no such messages seem to be logged.</t>
  </si>
  <si>
    <t>2018-08-14</t>
  </si>
  <si>
    <t>andybalaam-rabbit-escape-551</t>
  </si>
  <si>
    <t>"until:WON" not supported in command-line solution</t>
  </si>
  <si>
    <t>When use until:WON inside solution that pass on the command line, rabbit escape crashes.
runrabbit swing -l src rabbitescape levels 08 rabbots 20 GCD.rel -s dig 51 (6,0) until:WON
The same solution works fine when in .rel file. It should work fine on the command line.</t>
  </si>
  <si>
    <t>niclabs-adkintunmobile-androidclient-195</t>
  </si>
  <si>
    <t>ConnectivityTest.java line 150</t>
  </si>
  <si>
    <t>hzi-braunschweig-SORMAS-Project-760</t>
  </si>
  <si>
    <t>Adding follow-up visit crashes</t>
  </si>
  <si>
    <t>When you authenticate and try to add follow-up visit again, the same error loop happens.</t>
  </si>
  <si>
    <t>2018-08-13</t>
  </si>
  <si>
    <t>freeotp-freeotp-android-200</t>
  </si>
  <si>
    <t>FreeOTP crashes when scanning a code that has no label and no issuer.</t>
  </si>
  <si>
    <t>This is possibly related to issue #172.
inadvertently created QR code with no label and no issuer. This code crashes FreeOTP when scanned. The value of the code is as follows:</t>
  </si>
  <si>
    <t>square-okhttp-4208</t>
  </si>
  <si>
    <t>IndexOutOfBoundsException in RealConnection</t>
  </si>
  <si>
    <t>got following crash in google pixel xl device with android using okhttp3.11
Fatal Exception: Index:</t>
  </si>
  <si>
    <t>AmazMod-AmazMod-101</t>
  </si>
  <si>
    <t>Launcher crashes when receiving calls</t>
  </si>
  <si>
    <t>The watch shows Unfortunately AmazMod has stopped when receiving incoming calls on phone.</t>
  </si>
  <si>
    <t>itachi1706-SingBuses-116</t>
  </si>
  <si>
    <t>GetBusServicesHandler.java line 77</t>
  </si>
  <si>
    <t>fossasia-pslab-android-1365</t>
  </si>
  <si>
    <t>App crashing after changing fragments in Lux Meter</t>
  </si>
  <si>
    <t>App crashes when the record button is pressed after the fragment is changed from Data Plot to Config and again to Data Plot.
The app shouldn crash
**Steps to reproduce it**
Add steps to reproduce bugs or add information on the place where the feature should be implemented. Add links to sample deployment or code.
**LogCat for the issue**
**Screenshots of the issue**
**Would you like to work on the issue?**</t>
  </si>
  <si>
    <t>2018-08-12</t>
  </si>
  <si>
    <t>Neamar-KISS-1044</t>
  </si>
  <si>
    <t>[CRASH] with `compareTo` method</t>
  </si>
  <si>
    <t>searching for now leads me to crashes. That after installed one new app and removed another (having the same name OSM tracker ).</t>
  </si>
  <si>
    <t>nextcloud-android-2877</t>
  </si>
  <si>
    <t>App crashes when opening video or song</t>
  </si>
  <si>
    <t>### Actual behaviour
Tell us what happens
App stuck after downloading song or video and trying to process it.
### Expected behaviour
Tell us what should happen
Open the song or video or tell that it is unable to play it back.
### Steps to reproduce
1. Install app
2. Connect to nextcloud
3. Open media file.
### Environment data
Stock or customized system:
Nextcloud app version:
Nextcloud server version:</t>
  </si>
  <si>
    <t>fossasia-phimpme-android-2147</t>
  </si>
  <si>
    <t>Issues in Trashbin section when empty.</t>
  </si>
  <si>
    <t>When there are no items present in the trashbin section, delete button and restore option are still visible.
App crash for refresh operation in the empty state.
Empty view not displayed for the suitable situation when images are removed from the bin section via the popup menu options provided in the item view.
Delete and restore functionality should be hidden from the user when the trashbin section is empty.
App should not crash.
Empty view should be displayed properly.
**Would you like to work on the issue?**</t>
  </si>
  <si>
    <t>2018-08-10</t>
  </si>
  <si>
    <t>Intelehealth-Android-Mobile-Client-511</t>
  </si>
  <si>
    <t>App tries to display a dialog on an activity that ended</t>
  </si>
  <si>
    <t>App crashing on ViewRootImpl.java line 697
Originator- Ambuj Pandey
Checked from- July 19,2018
Bug type- Coding error
Mobile Brand- Mototrola
Model- Moto (4) Plus, MotoE(4)
OS Version- 7.1.1
App Version- 1.3.2,
crash date July 20, 2018
Number of Crashes:</t>
  </si>
  <si>
    <t>Intelehealth-Android-Mobile-Client-510</t>
  </si>
  <si>
    <t>Crashing BUG: App crashing on "PhysicalExamActivity.java line 330"</t>
  </si>
  <si>
    <t>App crashing on line 330
Originator- Ambuj Pandey
Checked from- July 19,2018
Bug type- Coding error
Mobile Brand- Mototrola
Model- Moto (4) Plus
OS Version- 7.1.1
App Version- 1.3.2,
crash date July 20, 2018
Number of Crashes:
Attempt to invoke virtual method on null object reference</t>
  </si>
  <si>
    <t>Intelehealth-Android-Mobile-Client-509</t>
  </si>
  <si>
    <t>App crashes when server does not respond back to endVisit</t>
  </si>
  <si>
    <t>App crashing on ClientService.java line 1351
Originator- Ambuj Pandey
Checked from- July 19,2018
Bug type- Coding error
Mobile Brand- Mototrola
Model- Moto (4) Plus
OS Version- 7.1.1
App Version- 1.3.2,
crash date July 20, 2018
Number of Crashes:</t>
  </si>
  <si>
    <t>AniTrend-anitrend-app-69</t>
  </si>
  <si>
    <t>Status Feeds Tab in Navigation Drawer Crashing Android 9.0</t>
  </si>
  <si>
    <t>## Issue Type
## Current Behavior
***Status Feeds*** tab in navigation drawer is crashing the application on Android
### Steps to Reproduce
Please provide detailed steps for reproducing the issue.
1. You should have Android
2. Press ***Status Feeds*** in navigation drawer
OS Version: Android 9.0
Phone Model: Pixel
Phone Brand: Google</t>
  </si>
  <si>
    <t>Intelehealth-Android-Mobile-Client-508</t>
  </si>
  <si>
    <t>App tries to download a null image</t>
  </si>
  <si>
    <t>App crashing on line 149
Originator- Ambuj Pandey
Checked from- July 19,2018
Bug type- Coding error
Mobile Brand- Mototrola
Model- Moto (4) Plus
OS Version- 7.1.1
App Version- 1.3.2,
crash date July 19, 2018
Number of Crashes:</t>
  </si>
  <si>
    <t>Intelehealth-Android-Mobile-Client-507</t>
  </si>
  <si>
    <t>VisitSummaryActivity tries to access cursor without checking if cursor is empty</t>
  </si>
  <si>
    <t>App crashing on line 1785
Originator- Ambuj Pandey
Checked from- July 19,2018
Bug type- Coding error
Mobile Brand- Mototrola
Model- Moto (4) Plus
OS Version- 7.1.1
App Version- 1.3.2,
crash date July 20, 2018
Number of Crashes:</t>
  </si>
  <si>
    <t>Haptic-Apps-Slide-2835</t>
  </si>
  <si>
    <t>Crash when opening specific subreddit</t>
  </si>
  <si>
    <t>With version 5.9-alpha1, opening the overlord subreddit causes crash.
If this log isn enough, please tell me how to get more detailed one. cut the log to the part right after the login, since don know if the login tokens are personal stuff or not.</t>
  </si>
  <si>
    <t>Intelehealth-Android-Mobile-Client-505</t>
  </si>
  <si>
    <t>BackupCloud attempts to show a dialog</t>
  </si>
  <si>
    <t>App crashing on BackupCloud.java line 81
Originator- Ambuj Pandey
Checked from- July 19,2018
Bug type- Coding error
Mobile Brand- motorola, samsung
Model- Moto (4) Plus, SM-J106B
OS Version- 7.1.1, 6.0.1
App Version- 1.3.1,
Started- July 16th, 2018
last crash date July 19, 2018
Number of Crashes:
This crash happen when automatic backup happen at night 10:00 PM. On 10:00 backup method call and backup uploaded to cloud, but it fire the same method 4-5 times in minute interval and every time database update the new db on cloud. During hte firing the same method many times IT CRASHED.
**Steps to Reproduce:** the application have to fire the backup method only once please don put the method in queue
**Expected Result:** Hit the server only once to upload db.
**Actual Result:** It fire query many times with the interval of minute.</t>
  </si>
  <si>
    <t>Intelehealth-Android-Mobile-Client-504</t>
  </si>
  <si>
    <t>BackupCloud Service attempts to dismiss a null dialog</t>
  </si>
  <si>
    <t>App crashing on BackupCloud.java line 125
Originator- Ambuj Pandey
Checked from- July 19,2018
Bug type- Coding error
Mobile Brand- Xiomi
OS Version- 7.1.2
App Version- 1.3.3
Started- July 26th, 2018
lasst crash date July 27, 2018
Number of Crashes:
This crash happen when automatic backup happen at night 10:00 PM. On 10:00 backup method call and backup uploaded to cloud, but it fire the same method 4-5 times in minute interval and every time database update the new db on cloud. During hte firing the same method many times IT CRASHED.
**Steps to Reproduce:** the application have to fire the backup method only once please don put the method in queue
**Expected Result:** Hit the server only once to upload db.
**Actual Result:** It fire query many times with the interval of minute.</t>
  </si>
  <si>
    <t>Intelehealth-Android-Mobile-Client-503</t>
  </si>
  <si>
    <t>App tries to display a dialog after the relevant Activity has finished</t>
  </si>
  <si>
    <t>App crashing on ViewRootImpl.java line 808
Originator- Ambuj Pandey
Checked from- July 19,2018
Bug type- Coding error
Mobile Brand- Motorola
Model- Moto (4) Plus
OS Version- 7.1.1
App Version- 1.2, 1.3.2 1.3.3
Started- June 27th, 2018
lasst crash date August 5th, 2018
Number of Crashes:</t>
  </si>
  <si>
    <t>Intelehealth-Android-Mobile-Client-502</t>
  </si>
  <si>
    <t>NPE being thrown by QuestionNodeActivity line 124</t>
  </si>
  <si>
    <t>App crashing on HelperMethods.java line 99
Originator- Ambuj Pandey
Checked from- July 19,2018
Bug type- Coding error
Mobile Brand- Motorola OnePlus
Model- Moto E(4), Moto E(4)PLUS, ONEPLUS A3003
OS Version- Moto(7.1.1), OnePlus(8.0.0)
App Version- 1.2.2 1.3.2
Started- May 30th, 2018
lasst crash date July 25th, 2018
Number of Crashes: 11
Unable to start activity ComponentInfo node Attempt to invoke virtual method int on null object reference
Attempt to invoke virtual method int on null object reference</t>
  </si>
  <si>
    <t>Intelehealth-Android-Mobile-Client-501</t>
  </si>
  <si>
    <t>NPE being thrown by ImageUploadService line 176</t>
  </si>
  <si>
    <t>App crashing on line 176
Originator- Ambuj Pandey
Checked from- July 19,2018
Bug type- Coding error
Mobile Brand- Motorola
Model- Moto (4)
OS Version- 7.1.1
App Version- 1.3.3
Started- August 9th, 2018
Number of Crashes:
Application installed in mobile but not running(even not in background), Many times got notification patient data not uploaded, after 1-2 day app crashed. This crash happened in my(Ambuj) mobile.
Once patient created successfully it should not be send request to server for upload patient data.
Once patient created successfully, even after it sending request to server to upload patient data.</t>
  </si>
  <si>
    <t>Intelehealth-Android-Mobile-Client-500</t>
  </si>
  <si>
    <t>Client Service attempts to start service while app is in background</t>
  </si>
  <si>
    <t>App crashing on line 127 line 116
Originator- Ambuj Pandey
Checked from- July 19,2018
Bug type- Coding error
Mobile Brand- Xiomi
Model- Mi A1
OS Version- 8.1.0 ,8.0.0
App Version- 1.3.3 1.2.3
Started- July 23th, 2018
Number of Crashes: 201
Not allowed to start service Intent cmp (has extras) app is in background uid UidRecord f5918fe u0a121 TRNB idle change:uncached procs:1 seq(0,0,0)
Crash is Happening continuously on single user many times. It started on July 23th, 2018 for :127 and June 11th, 2018 for:116.</t>
  </si>
  <si>
    <t>2018-08-09</t>
  </si>
  <si>
    <t>google-ExoPlayer-4634</t>
  </si>
  <si>
    <t>Getting IndexOutOfBoundsException crash in SinglePeriodTimeline</t>
  </si>
  <si>
    <t>### Issue description
Production users of my app are getting following crash sometimes.
Following is the crash logs -:
### Reproduction steps
am using Exoplayer for prefetching next song in song queue.
am keeping only two sources at time in soon as get the third source for adding in remove the previous index source from
Following is the code snippet using -:
public void reason)
if (newIndex currentIndex)
The index has changed update the UI to show info for source at
private void index)
if (index &amp;&amp; index
public void run()
if (exoPlayer null)
### Version of ExoPlayer being used
Exoplayer version 2.8.2
### Device(s) and version(s) of Android being used
Device-Redmi Note Android-7.1.2
Device-Moto G(4) Plus Android-6.0</t>
  </si>
  <si>
    <t>lineargs-WatchNextApp-42</t>
  </si>
  <si>
    <t>Details Info Tablets</t>
  </si>
  <si>
    <t>App crashes when opening the Movie Series Details in Tablet</t>
  </si>
  <si>
    <t>2018-08-08</t>
  </si>
  <si>
    <t>fossasia-phimpme-android-2144</t>
  </si>
  <si>
    <t>App crash in Upload History section.</t>
  </si>
  <si>
    <t>On deleting an image from the upload history section via the SingleMediaActivity and pressing back the app crashes.
The app should not crash.
**Would you like to work on the issue?**</t>
  </si>
  <si>
    <t>Haptic-Apps-Slide-2832</t>
  </si>
  <si>
    <t>Links crashing slide</t>
  </si>
  <si>
    <t>Slide version: v5.9 alpha
Android version: 6.0.1
Whenever click link, slide crashes.</t>
  </si>
  <si>
    <t>react-native-camera-react-native-camera-1737</t>
  </si>
  <si>
    <t>evaluating h.Aspect.fill</t>
  </si>
  <si>
    <t>### Which implementation are you using
*RNCamera* or RCTCamera (RCTCamera will be removed on v2.0.0)?
### Steps to reproduce
2. react-native run-android
### Expected behaviour
### Actual behaviour
-if you force stop the application sometimes working
-even in production apk is crashing 3-4 times and then starts working after force stop the app works fine for sometimes..
**React Native version**:
**React Native platform platform version**: iOS 9.0, Android 5.0, etc
Love Please consider supporting our collective: https: opencollective.com react-native-camera donate
global code 850:8</t>
  </si>
  <si>
    <t>MarMigMon-doof-162</t>
  </si>
  <si>
    <t>clicking on recipe after filtering leads to app crashing again</t>
  </si>
  <si>
    <t>gkontos89-Beacon-44</t>
  </si>
  <si>
    <t>when switching between home and contacts, there's a crash in the debugger, not the app</t>
  </si>
  <si>
    <t>MarMigMon-doof-153</t>
  </si>
  <si>
    <t>When clicking on user from details the app crashes</t>
  </si>
  <si>
    <t>screen shot 2018-08-07 at 48 20 pm (https: 30488454</t>
  </si>
  <si>
    <t>2018-08-07</t>
  </si>
  <si>
    <t>MarMigMon-doof-146</t>
  </si>
  <si>
    <t>Mysterious app crash</t>
  </si>
  <si>
    <t>Made new user. Opened add recipe fragment, took photo in landscape mode and then app crashed
screen shot 2018-08-07 at 13 39 pm (https: 30488454</t>
  </si>
  <si>
    <t>MarMigMon-doof-145</t>
  </si>
  <si>
    <t>Notifications don't show up upon initially logging in, profile crashes</t>
  </si>
  <si>
    <t>screen shot 2018-08-07 at 00 19 pm (https: 30488454</t>
  </si>
  <si>
    <t>MarMigMon-doof-144</t>
  </si>
  <si>
    <t>Accessing Profile and Notifications immediately after login crashes app</t>
  </si>
  <si>
    <t>apache-cordova-android-473</t>
  </si>
  <si>
    <t>CordovaWebViewImpl showWebPage can crash Android &gt;= 7 devices</t>
  </si>
  <si>
    <t>found out about the crash from the Google play console for my app, so don have all the information about reproducing it. However, have inspected the code indicated by the stack trace and have noticed two potential issues with CordovaWebViewImpl showWebPage method.
1. If openExternal is false, it will attempt to load the url in the internal webview and also will start an intent to view it externally (as long as it matches the whitelist). See this if block (https: github.com apache cordova-android blob master framework src org apache cordova Previously it returned inside that if block, but this commit (https: github.com apache cordova-android commit removed the return statement possibly by mistake speculate.
is what actually causes the crash, although by inspecting the stack trace pretty sure openExternal is false, so fixing would avoid the crash in my case.
This is the stack trace:</t>
  </si>
  <si>
    <t>knjk04-Bookshelf-5</t>
  </si>
  <si>
    <t>App crashes if there is no network connection</t>
  </si>
  <si>
    <t>This used to be handled in MainActivity. An alert dialog informing the user that there isn network connection should appear. This code is now in SearchableActivity, but does not appear.</t>
  </si>
  <si>
    <t>MarMigMon-doof-143</t>
  </si>
  <si>
    <t>Upon logging in for the first time, app doesn't correctly</t>
  </si>
  <si>
    <t>value not null message when submitting new edited recipes
No notifications displayed
App crashes on opening Profile Fragment</t>
  </si>
  <si>
    <t>Jay-Goo-RangeSeekBar-55</t>
  </si>
  <si>
    <t>Crashes on device rotation in Fragments</t>
  </si>
  <si>
    <t>Hello, my app crashes on device rotation. Logs below. ve tried adding setValue() value to my savedInstance but it was of no help.
So doing little more digging. If you say setRange(min,max), programatically even in the **DEMO**, it crashes on rotation.
Caused by: setValue() min (preset min offsetValue) #min:0.0 #preset min:0.0</t>
  </si>
  <si>
    <t>rollbar-rollbar-java-161</t>
  </si>
  <si>
    <t>Crash on Android running SDK 18 on initializing Rollbar 1.2.1</t>
  </si>
  <si>
    <t>Initializing Rollbar via client key, environment) my application crashes on Android SDK 18 devices due to an apparent attempt to access java.util.Objects which isn introduced until Android SDK 19. Below is the stacktrace.</t>
  </si>
  <si>
    <t>2018-08-06</t>
  </si>
  <si>
    <t>fossasia-phimpme-android-2141</t>
  </si>
  <si>
    <t>App crash for Upload History.</t>
  </si>
  <si>
    <t>App crashes on opening the upload history section when nothing has been shared.
App should not crash.
**Would you like to work on the issue?**</t>
  </si>
  <si>
    <t>ThmmyNoLife-mTHMMY-39</t>
  </si>
  <si>
    <t>Crash in topic after network error</t>
  </si>
  <si>
    <t>### Steps to reproduce
1. Load topic
2. Change page and get network error
3. Change page again
4. app crashes
The TopicTaskResult with the network error overwrites the successful one causing null pointer exception when pageUrl is needed for page change
Have LiveData for each object that comprises TopicTaskResult separately and only update those needed according to the result code</t>
  </si>
  <si>
    <t>novoda-storage-path-finder-9</t>
  </si>
  <si>
    <t>API 16 Shared Storage Crash</t>
  </si>
  <si>
    <t>We ve noticed some crashes on API 16 devices when the SD card is shown as unmounted in the storage settings
null) calls down to new File which can be null when the shared storage is not available.
Confusingly it seems that on earlier versions of android this shared storage is flagged as SD card storage even when there might not be an SD card involved
Highlight that can be Nullable Have the return List&lt;StoragePath&gt; where null will return an emptyList
## Screen Capture
API 16 API 19
This potentially leads to the issue where API 18 and below devices do not show primary storage application path. think this is probably because we should be looking for an external (shared) and internal (private) path rather than just looking for the external (shared). This will need some investigation</t>
  </si>
  <si>
    <t>project-travel-mate-Travel-Mate-410</t>
  </si>
  <si>
    <t>[BUG] App crashes in Main Screen on Rotation</t>
  </si>
  <si>
    <t>### Steps to reproduce
Main Screen i.e (Cities grid screen)
### Expected behaviour
App should not crash
### Actual behaviour
### Error Logs</t>
  </si>
  <si>
    <t>2018-08-05</t>
  </si>
  <si>
    <t>morenoh149-react-native-contacts-318</t>
  </si>
  <si>
    <t>IOS app get stucked if permission denied by user</t>
  </si>
  <si>
    <t>If you denied the permission.. App crashed and stucked and it always open on same screen (stucked). Need help</t>
  </si>
  <si>
    <t>2018-08-04</t>
  </si>
  <si>
    <t>AlphaWallet-alpha-wallet-android-286</t>
  </si>
  <si>
    <t>play store 1.0.6 Wallet crash when transfer ERC20 token out</t>
  </si>
  <si>
    <t>nextcloud-android-2862</t>
  </si>
  <si>
    <t>nextcloud crashed when using fingerprint as a validation method while reloading nextcloud</t>
  </si>
  <si>
    <t>### Actual behaviour
Tell us what happens
nextcloud crashed when using fingerprint as validation method while reloading nextcloud on android 8.0. The issue didn appear on android 7.00before.
### Expected behaviour
Tell us what should happen
### Steps to reproduce
### Environment data
Stock or customized system:
Nextcloud app version:
Nextcloud server version:
#### Web server error log
Insert your webserver log here
#### Nextcloud log (data nextcloud.log)
Insert your Nextcloud log here</t>
  </si>
  <si>
    <t>MarMigMon-doof-127</t>
  </si>
  <si>
    <t>Swiping too fast through Recipe viewpager crashes app</t>
  </si>
  <si>
    <t>2018-08-03</t>
  </si>
  <si>
    <t>MarMigMon-doof-126</t>
  </si>
  <si>
    <t>Using Filter crashes app</t>
  </si>
  <si>
    <t>MarMigMon-doof-125</t>
  </si>
  <si>
    <t>Changing camera orientation in AddRecipe / EditRecipe crashes app</t>
  </si>
  <si>
    <t>andyrozman-RileyLinkAAPS-49</t>
  </si>
  <si>
    <t>Crash when Get Settings (Status - settings) on 523 pump</t>
  </si>
  <si>
    <t>crash app on Status settings on 523 pump</t>
  </si>
  <si>
    <t>seemoo-lab-fitness-app-50</t>
  </si>
  <si>
    <t>Bugfix: App crashes when entering Live Mode</t>
  </si>
  <si>
    <t>In current master lab version (commit but probably earlier versions as well) the app crashes when switching to Live Mode due to</t>
  </si>
  <si>
    <t>2018-08-02</t>
  </si>
  <si>
    <t>react-native-camera-react-native-camera-1727</t>
  </si>
  <si>
    <t>Android app crash when using hardware back button.</t>
  </si>
  <si>
    <t>using react-navigation. My Camera Screen is two level deep. When use back button twice from Camera Screen, app exit and crash.
using RNCamera. My react-native-camera version is 1.1.0, react-native version is 0.53.3.
Expected Behaviour Successfully Exist
Actually Behaviour Exit and Crash. #632 #878 #357</t>
  </si>
  <si>
    <t>evernote-android-job-511</t>
  </si>
  <si>
    <t>Changes in work-runtime:1.0.0-alpha06</t>
  </si>
  <si>
    <t>Two crashes with and</t>
  </si>
  <si>
    <t>eurofurence-ef-app_android-209</t>
  </si>
  <si>
    <t>Image preloading crashes with out of memory exception</t>
  </si>
  <si>
    <t>2018-08-01</t>
  </si>
  <si>
    <t>mycelium-com-wallet-android-474</t>
  </si>
  <si>
    <t>RPC.toJsonTree NullPointerException</t>
  </si>
  <si>
    <t>We are experiencing these crashes on prod.
Unfortunately stacktrace is not full and we can not reproduce this crash.
Only android 8.0 and 8.1 are affected.
Devices which reproduces on: Galaxy s8 8+ 9, OnePlus 3T, Pixel.</t>
  </si>
  <si>
    <t>2018-07-31</t>
  </si>
  <si>
    <t>kontalk-androidclient-1199</t>
  </si>
  <si>
    <t>Location: crash when GoogleApiClient is not connected</t>
  </si>
  <si>
    <t>The connection call chain should be working, but check if GoogleApiClient lost connection anyway (and try again?).</t>
  </si>
  <si>
    <t>eurofurence-ef-app_android-204</t>
  </si>
  <si>
    <t>Activity UIs have uninitialized late init fields</t>
  </si>
  <si>
    <t>Sometimes on saving state, in activity start for example, UI fields are not initialized an cause crash.</t>
  </si>
  <si>
    <t>inaturalist-iNaturalistAndroid-563</t>
  </si>
  <si>
    <t>Handle crashes in ObservationPhotosViewer</t>
  </si>
  <si>
    <t>Our top two crashes at the moment are memory issues with resizing and rotating local photos in the photo viewer:
might be wrong but it *seems* like we re loading the whole photo into memory just to resize it for display. Is this something we could address by loading the local image with Glide, la https: stackoverflow.com questions 32332003</t>
  </si>
  <si>
    <t>2018-07-30</t>
  </si>
  <si>
    <t>inaturalist-iNaturalistAndroid-562</t>
  </si>
  <si>
    <t>Deal with crashes related to permissions</t>
  </si>
  <si>
    <t>Fatal Exception: my location requires permission ACCESS FINE LOCATION or ACCESS COARSE LOCATION
Fatal Exception: my location requires permission ACCESS FINE LOCATION or ACCESS COARSE LOCATION</t>
  </si>
  <si>
    <t>bitstadium-HockeySDK-Android-389</t>
  </si>
  <si>
    <t>Crash while sending feedback</t>
  </si>
  <si>
    <t>ve got next crash among others which comes from HockeyApp itself
Android Build: T5ZP1076
Caused by: Attempt to get length of null array
Most probably the problematic part is:
File screenshots FilenameFilter()
public boolean accept(File dir, String name)
return name.endsWith( .jpg
for (File screenshot screenshots)
Based on analysis of File.listFiles there re paths when null can be returned.</t>
  </si>
  <si>
    <t>WatShout-watshout-android-94</t>
  </si>
  <si>
    <t>App crashes when tracking activity - reason unknown</t>
  </si>
  <si>
    <t>MozillaReality-FirefoxReality-278</t>
  </si>
  <si>
    <t>Automatically rewrap crash_reporting_text</t>
  </si>
  <si>
    <t>There string in
that seems to manually rewrap. That really hard for localizers to get right.
Can we change the code to automatically rewrap the text?</t>
  </si>
  <si>
    <t>Haptic-Apps-Slide-2821</t>
  </si>
  <si>
    <t>Viewing text posts crashes app</t>
  </si>
  <si>
    <t>Slide version: 5.8.7
Android version: 8.1 (Los)
When enter text post the app crashes. captured log of the event for you.
have tried restarting the app and my phone, it was working fine this morning and my phone has not updated since then (updates arent automatic on my ROM)</t>
  </si>
  <si>
    <t>eurofurence-ef-app_android-191</t>
  </si>
  <si>
    <t>Using the app in split screen mode crashes</t>
  </si>
  <si>
    <t>When moving the app to split screen part, the app crashes fatally.</t>
  </si>
  <si>
    <t>2018-07-28</t>
  </si>
  <si>
    <t>eurofurence-ef-app_android-190</t>
  </si>
  <si>
    <t>Fragments sometimes get a null context</t>
  </si>
  <si>
    <t>In some cases, i.e. after having the app suspended for longer times, opening the app again causes the app to crash with null pointer exception in fragment create view.
possible solution might be in this thread (https: stackoverflow.com questions 47987649</t>
  </si>
  <si>
    <t>MozillaReality-FirefoxReality-273</t>
  </si>
  <si>
    <t>Crash on veer.tv site</t>
  </si>
  <si>
    <t>Steps to Reproduce:
1) Go to veer.tv
2) select video and play
3) press the arrow button at the top left of the video window
Actual Behavior: FxR crashes
Expected Behavior: FxR goes back previous page where the video was selected
But there is no stack trace. Attempting to run in the debugger also fails due to the false crash every time controller button is pressed on the Go.</t>
  </si>
  <si>
    <t>hzi-braunschweig-SORMAS-Project-714</t>
  </si>
  <si>
    <t>Report problem does not work. SORMAS app crashes</t>
  </si>
  <si>
    <t>MateStrysewskeSym Chinedar foyiri
When you try to report problem, it does not respond after clicking submit and SORMAS crashes.</t>
  </si>
  <si>
    <t>2018-07-27</t>
  </si>
  <si>
    <t>commons-app-apps-android-commons-1753</t>
  </si>
  <si>
    <t>In media search results, rotating screen triggers crash</t>
  </si>
  <si>
    <t>Crash in current master.
1. Perform media search
2. Rotate screen</t>
  </si>
  <si>
    <t>commons-app-apps-android-commons-1750</t>
  </si>
  <si>
    <t>App crashes when an upload is retried</t>
  </si>
  <si>
    <t>just opened my emulator and saw that there was failed upload. clicked on retry button and the app crashes.
**Add System logs:**
--------- beginning of system
**Commons app version:**</t>
  </si>
  <si>
    <t>2018-07-26</t>
  </si>
  <si>
    <t>MozillaReality-FirefoxReality-263</t>
  </si>
  <si>
    <t>Immersive Mode Appears to Crash Upon Entry when viewing WebVR Content</t>
  </si>
  <si>
    <t>Steps to Reproduce:
Here are the WebVR experiences that tried and that didn work. It Task Definition and was pulled down and onto the Go at around 10:30 am this morning. All of these apps loaded their browser version and then when immersive mode is selected the device freezes and is unresponsive until it restarted.Song Exploder Presents: Inside Music (Audio works but nothing else)
Virtual Art Sessions in VR
Sketchfab Virtual Reality
WebVR LabI checked out Check out My Moves on aframe.io a-saturday-night and it entered 360 and worked (tracking my head) but there was no interactivity and it seems as thought the text is mis-aligned in the game engine.
Actual Behavior: All of these apps loaded their browser version and then when immersive mode is selected the device freezes and is unresponsive until it restarted.
Expected Behavior: Does not crash.</t>
  </si>
  <si>
    <t>Devsoc-BPGC-DoJMA-137</t>
  </si>
  <si>
    <t>share button crash</t>
  </si>
  <si>
    <t>share button for articles under Issues fragment crashes app</t>
  </si>
  <si>
    <t>commons-app-apps-android-commons-1747</t>
  </si>
  <si>
    <t>Attempt to invoke virtual method 'void android.view.View.setVisibility(int)' on a null object reference</t>
  </si>
  <si>
    <t>Crash in current master:
--------- beginning of crash</t>
  </si>
  <si>
    <t>syncthing-syncthing-android-1197</t>
  </si>
  <si>
    <t>Fix ANR probability when user configures run conditions (fixes #1196)</t>
  </si>
  <si>
    <t>There is an ANR problem already on my bugs-to-fix todo list. The ANR happens when you stress test the run conditions UI and change the checkboxes too quickly one after another. Since we ve synchronized stuff to wipe out race crashes, the ANR is more suspect to happen. GPlay console proves this by slightly higher ANR rate since app version 0.10.11.
Related issue: #1196
Maybe related to issue: #1193 Run conditions disregarded
Verified working on device lg-h815 running Android 7.1.2 at commit https: github.com syncthing syncthing-android pull 1197 commits</t>
  </si>
  <si>
    <t>syncthing-syncthing-android-1196</t>
  </si>
  <si>
    <t>ANR probability during run conditions UI stress test</t>
  </si>
  <si>
    <t>There is an ANR problem already on my bugs-to-fix todo list. The ANR happens when you stress test the run conditions UI and change the checkboxes too quickly one after another. Since we ve synchronized stuff to wipe out race crashes, the ANR is more suspect to happen. GPlay console proves this by slightly higher ANR rate since app version 0.10.11.
Maybe related to issue: #1193 Run conditions disregarded
### Version Information
App Version: 0.10.12, 0.10.11
Syncthing Version: v0.14.49
Android Version: Android 7.1.2</t>
  </si>
  <si>
    <t>MozillaReality-FirefoxReality-260</t>
  </si>
  <si>
    <t>PlayCanvas WebVR based demos crash</t>
  </si>
  <si>
    <t>Steps to Reproduce: Got to https: en tutorials webvr-lab and try to EnterVR
Actual Behavior: Crash
Expected Behavior: run the WebVR experience</t>
  </si>
  <si>
    <t>eurofurence-ef-app_android-160</t>
  </si>
  <si>
    <t>Upon first start, load image assets synchronously (or wait for them).</t>
  </si>
  <si>
    <t>When the app is launched for the first time, images are loaded in background while the user is already on the home screen.
Navigating to maps or dealers while the async loading is still going on crashes the app.
-&gt; Please load the images synchronously, aka. make the UI wait properly.</t>
  </si>
  <si>
    <t>2018-07-25</t>
  </si>
  <si>
    <t>abrenoch-hyperion-android-grabber-88</t>
  </si>
  <si>
    <t>buildNotification with intent null on android tv</t>
  </si>
  <si>
    <t>crash on android tv emulator Oreo 8.0 and Mi Box Oreo 8.0 when call
PendingItent.java line 340
don set setContentIntent for the builder when isTv
UiModeManager uiModeManager (UiModeManager) MODE SERVICE)
if Configuration.UI MODE TYPE TELEVISION)</t>
  </si>
  <si>
    <t>novoda-download-manager-421</t>
  </si>
  <si>
    <t>Update to Queued before persisting, to remove UNKNOWN status</t>
  </si>
  <si>
    <t>We are seeing crashes on client devices where cannot convert to an equivalent FileStatus This is fine, we don want to convert an UNKNOWN to anything because this would be an error really for file.
After looking some more the UNKNOWN is used in single place, the to create DownloadBatch before passing it to the download-manager This implies that the UNKNOWN is just used as an initial state before it is inserted into the DB. Looking at this is the case, the DownloadBatch is persisted and then the status is immediately updated.
Switch the update and persist so that we always update to QUEUED if necessary before persisting into the database. Persisting after the update means we will never read an UNKNOWN from the DB which means we will never hit this error.</t>
  </si>
  <si>
    <t>react-native-camera-react-native-camera-1708</t>
  </si>
  <si>
    <t>takePictureAsync leads to a crash on android 21/22</t>
  </si>
  <si>
    <t>### Which implementation are you using
### Steps to reproduce
1. Open simulator with Lollipop (android 5.1.1 for instance)
2. Open the Camera
3. Take the picture
### Expected behaviour
Should not crash
### Actual behaviour
**React version**: 16.4.1
**React Native version**: 0.56.0
**React Native platform platform version**: Android 5.1.1
Here is the code we are using. Basicaly it working perfectly on the newest version of Android IOS, but on android Lollipop (v21 22) everytime takePictureAsync is called, we have crash (both on simulator and on physical device)
takePicture async ()
const options width: 1080, base64: false, quality:
const data await CRASH HERE
ref ref this.camera ref</t>
  </si>
  <si>
    <t>syncthing-syncthing-android-1190</t>
  </si>
  <si>
    <t>Syncthing crash in activities.FolderActivity.onOptionsItemSelected</t>
  </si>
  <si>
    <t>Affected users: 10 2018-07-25 14:43
From Gplay console, 28 minutes ago:
### Version Information
App Version: 0.10.12
Syncthing Version: v0.14.49
Android Version: Android 7.0, device Huawei P9 lite (HWVNS-H)</t>
  </si>
  <si>
    <t>facundomedica-fast_qr_reader_view-3</t>
  </si>
  <si>
    <t>Plugin crashes Android app when switching between apps</t>
  </si>
  <si>
    <t>Thanks for adding the ability to scan different barcodes.
ve run into bug that hope us easy reproduce.
1. Everything works perfectly on iOS
2. On Android scanning works but when tap on the overview button to switch apps
(that the button on the bottom on the right side) the example program crashes with the
*** *** *** *** *** *** *** *** *** *** *** *** *** *** *** ***
get similar error when using the Android emulator:
Let me know if can be of any assistance!</t>
  </si>
  <si>
    <t>culturemesh-CultureMeshAndroid-54</t>
  </si>
  <si>
    <t>App crashes in createPost when selecting text with bound at beginning of edittext</t>
  </si>
  <si>
    <t>fossasia-pslab-android-1295</t>
  </si>
  <si>
    <t>Fix Luxmeter crash instances</t>
  </si>
  <si>
    <t>In some cases Lux meter crashes due to multiple errors
Crashing instances need to be caught and avoid crashes
**Steps to reproduce it**
**LogCat for the issue**
**Screenshots of the issue**
**Would you like to work on the issue?**</t>
  </si>
  <si>
    <t>MozillaReality-FirefoxReality-242</t>
  </si>
  <si>
    <t>Native crash when closing the app</t>
  </si>
  <si>
    <t>Steps to Reproduce:
Click on the back button
Close the app
Actual Behavior: There is native crash
Expected Behavior: The shouldn be crash</t>
  </si>
  <si>
    <t>2018-07-24</t>
  </si>
  <si>
    <t>nextcloud-android-2848</t>
  </si>
  <si>
    <t>StringIndexOutOfBoundsException in OCFile.getLocalId</t>
  </si>
  <si>
    <t>via GPlay for v3.2.1:
The code fragment(s):
public String getLocalId()
return 8).replaceAll( ^0*
Which means the remote ID isn null but shorter than characters and likely length zero...
know tobiasKaminsky will argue that we need to find out why it is not set actually don care about that too much. The client crashes so even without knowing the root cause of this we should harden the client and simply not fetch the activities if we don have remoteId of characters.
Nevertheless whoever has the time and an idea on how to find out as to why this situation happens, feel free to join forces :)
cc ardevd mario</t>
  </si>
  <si>
    <t>tonyofrancis-Fetch-201</t>
  </si>
  <si>
    <t>AbstractMethodError : Downloader.getRequestSupportedFileDownloaderTypes</t>
  </si>
  <si>
    <t>After updating from version 2.1.0-RC15 to 2.2.0-RC1 starting download crashes the app with the error message</t>
  </si>
  <si>
    <t>zo0r-react-native-push-notification-803</t>
  </si>
  <si>
    <t>Illegal State Exception in Production for Android 8.0 using latest master commit</t>
  </si>
  <si>
    <t>We re testing out 3.1.1 which doesn seem to be on NPM just yet. We seem to be getting crashes on version 8.0+ of android in production related to the requestPermission call of the library.
ve attached screenshot of the crash.
&lt;img width 959 alt screen shot 2018-07-23 at 31 45 pm src https: 5391234</t>
  </si>
  <si>
    <t>WatShout-watshout-android-66</t>
  </si>
  <si>
    <t>App crashes after finishing activity</t>
  </si>
  <si>
    <t>Viraj and both noticed that the map screenshot causes the app to crash</t>
  </si>
  <si>
    <t>2018-07-23</t>
  </si>
  <si>
    <t>getodk-collect-2401</t>
  </si>
  <si>
    <t>Crash due to toggling between SMS and Internet submissions</t>
  </si>
  <si>
    <t>#### Software and hardware versions
#### Steps to reproduce the problem
Build form that isn on server
Switch to SMS transport
Send an SMS submission with no SIM card (fails, no sim card)
Switch to Internet transport
Send the failed SMS submission (fails, no end point)
Switch to SMS transport
Send the failed SMS submission (crash)
#### Other information</t>
  </si>
  <si>
    <t>commons-app-apps-android-commons-1735</t>
  </si>
  <si>
    <t>Nearby crash when LatLng is null</t>
  </si>
  <si>
    <t>am able to get this crash on some first runs. Then it gets solved.
**Steps to reproduce:**
Not very stable, sometimes, it happens. Ie, once turned off wireless connection and it happened.
**Add System logs:**</t>
  </si>
  <si>
    <t>2018-07-22</t>
  </si>
  <si>
    <t>commons-app-apps-android-commons-1734</t>
  </si>
  <si>
    <t>Multiple Uploads crashes if user try to upload without title</t>
  </si>
  <si>
    <t>Try to multiple upload and click upload button without title, it crashes.
**Add System logs:**
**Device and Android version:**
It happens on almost all devices. One is emulator API 24
**Commons app version:**
**Would you like to work on the issue?**
No, if possible:)</t>
  </si>
  <si>
    <t>fossasia-pslab-android-1277</t>
  </si>
  <si>
    <t>[Multimeter] Unable to Measure Resistance and Capacitance</t>
  </si>
  <si>
    <t>Measuring resistance always show INFINITY
Measuring Capacitance either crashes the activity or hangs the app.
Measure resistance and capacitance without accurately and without crashing the app.
**Steps to reproduce it**
Measure resistor across SEN
Measure capacitor across CAP</t>
  </si>
  <si>
    <t>2018-07-21</t>
  </si>
  <si>
    <t>renyuneyun-Easer-147</t>
  </si>
  <si>
    <t>NullPointerException when pressing Script/New/Profile/🔗</t>
  </si>
  <si>
    <t>0.6.7.2 from F-Droid.
don know how Easer works. trying to create Script (the first item on the sidebar), but it won let me save because Prevented saving data with invalid field(s).
If have to define events before scripts, maybe the Script editor should allow me to create events directly from the editor... Or maybe the sidebar should place events before scripts.
In the Profile category, there is chainlink button. Clicking causes the following error:
suspect the unintuitive UI (I still don know what triggers exist, nor what actions can be taken upon triggers) is more fundamental problem. don know what that button does, nor what should add to make the button not crash.</t>
  </si>
  <si>
    <t>coding-blocks-Chatter-117</t>
  </si>
  <si>
    <t>Fix the app crash on start due to toast implementation in RoomsFragment</t>
  </si>
  <si>
    <t>Crash on start.
Fetch and display available rooms.
**Steps to reproduce it**
Build and start the app.
**LogCat for the issue**
**Screenshots of the issue**
Tagged in the issue.</t>
  </si>
  <si>
    <t>2018-07-20</t>
  </si>
  <si>
    <t>matejpoliacek-GalileoGameApp-19</t>
  </si>
  <si>
    <t>App crashes if starting cold with internet access off</t>
  </si>
  <si>
    <t>If there is no access to the Internet (wifi and data off), the app will crash on startup due to null pointer reference exception raised in the PVTFragment (tested at cold start)
This will probably be irrelevant once we swap the PVT engine, but if it persists even then, we ll need to address it.</t>
  </si>
  <si>
    <t>JDLK7-ChatbotClient-TFG-4</t>
  </si>
  <si>
    <t>App crashea cuando el servidor da error 500</t>
  </si>
  <si>
    <t>Se tiene que manejar el error de otra forma para que no se cierre la aplicaci si hay un erro en el servidor.</t>
  </si>
  <si>
    <t>google-ExoPlayer-4535</t>
  </si>
  <si>
    <t xml:space="preserve">PlayerNotificationManager behavior during ads. </t>
  </si>
  <si>
    <t>What is the desired behavior of while advertisements are playing?
What have mostly observed is that the notification doesn display while ads are playing and then starts displaying once the main content begins.
However have observed crash while playing an ad on Pixel running Android 8.1.0.
ve observed this behavior with and without media session token.
think this is because getActions() (https: github.com google ExoPlayer blob release-v2 library ui src main java com google android exoplayer2 ui returns an empty array if the player is playing ads and (https: github.com google ExoPlayer blob release-v2 library ui src main java com google android exoplayer2 ui doesn check if the player is playing ads which leads to it returning an index that doesn exist.
My gut feeling here is that the notification is being swallowed by this error on most devices which looks like desirable behavior, but the exception crashes hard on Pixel C.
be happy to open PR to fix if knew what the intention was for the while advertisements play.</t>
  </si>
  <si>
    <t>2018-07-19</t>
  </si>
  <si>
    <t>project-travel-mate-Travel-Mate-308</t>
  </si>
  <si>
    <t>[Bug]App crashes in the Notifications screen</t>
  </si>
  <si>
    <t>### Steps to reproduce
Tap on the bell icon
Tap on any notification
App crashes in the next activity
In case it shows network error just repeat the process and the app would crash
### Expected behaviour
App should not crash
### Actual behaviour
### Error Logs</t>
  </si>
  <si>
    <t>mapbox-mapbox-events-android-184</t>
  </si>
  <si>
    <t>Crash When Disabling Location Permissions Manually</t>
  </si>
  <si>
    <t>Our SDK currently crashes when user disables location permissions manually (through the Android settings) and returns to the parent application. LocationEngine is attempting to acquire location without permission.
Change was to add in both pre and post api 23 permission check before activating the engine.
Fixes https: github.com mapbox issues</t>
  </si>
  <si>
    <t>2018-07-18</t>
  </si>
  <si>
    <t>Karumi-Dexter-212</t>
  </si>
  <si>
    <t>App is crashing after checked Never ask again and deny the permission</t>
  </si>
  <si>
    <t>### Expected behavior
The application should not crash
### Actual behavior
The application crash
### Steps to reproduce
Override public void report)
Override public void permissions, PermissionToken token)
-&gt; Utils.showToast( Error while granting permission
### Version of the library</t>
  </si>
  <si>
    <t>2018-07-17</t>
  </si>
  <si>
    <t>itachi1706-SingBuses-112</t>
  </si>
  <si>
    <t>PopulateListWithCurrentLocationRecycler.java line 96</t>
  </si>
  <si>
    <t>lineargs-WatchNextApp-35</t>
  </si>
  <si>
    <t>Drawables colours</t>
  </si>
  <si>
    <t>Referencing colours from **colors.xml** causes the app to crash on some devices.</t>
  </si>
  <si>
    <t>USDepartmentofLabor-Child-Labor-Android-71</t>
  </si>
  <si>
    <t>Accessibility - Application Crashed While Using TalkBack</t>
  </si>
  <si>
    <t>While attempting to use the back button in the top left corner of the screen with and without TalkBack, the application crashed multiple times. Not sure why that is happening since ve never seen it in any other testing over the years.
In further testing, it seems to crash stop working when look at the two screens that think are HTML based (About This App, and Methodology) on the More Info screen. When go into either one of those pages and use the back button twice, it crashes. Once to get back to the More Info screen and the second to get back to the main screen it crashes.
It crashed few other times while using TalkBack and even on the More Info screen using the back button, but also crashed on some other screens too.</t>
  </si>
  <si>
    <t>2018-07-16</t>
  </si>
  <si>
    <t>neXenio-BLE-Indoor-Positioning-105</t>
  </si>
  <si>
    <t>App crash first time location appear</t>
  </si>
  <si>
    <t>Before having this bug, was handling all the erros in this function of RxBle library
override fun onError(e: Throwable?)
Now have removed this function, and am subscribing only on the onNext() function of the observable, so all the errors will stop the app there is no error handling ).
That why this problem hasn appear before, it only appeared in the Logcat
It seems that the app crash the first time the location is calculated, the library try to get the mean of last seconds locations, but there is one location only so the returned value is null
am receiving the error showed below, the location is null so there is no .getAltitude() method no distance calculated.
have fixed this error by checking the meanLocation if null or not before pass it to the listener, check this PR (https: github.com neXenio pull 104).
&lt;img width 822 alt screen shot 2018-07-16 at 12 50 57 pm src https: 19314956
&lt;img width 1347 alt screen shot 2018-07-16 at 12 48 28 pm src https: 19314956</t>
  </si>
  <si>
    <t>MozillaReality-FirefoxReality-167</t>
  </si>
  <si>
    <t>WebVR Link traversal crashes</t>
  </si>
  <si>
    <t>1. Go to https: webvr.info samples test-vr-links.html
2. Enter VR
3. Point and click on of the link traversal cubes
No change to state
New input event: type
Got onPageStart: https: webvr.info samples
Points are too far apart 4.043456
Got onPageStart: https: webvr.info samples
Got onPageStart: https: webvr.info samples
Got onPageStart: https: webvr.info samples
Got onPageStart: https: webvr.info samples
Points are too far apart 4.043456
Unable to find GeckoSurfaceTexture with handle:
Failed to find GeckoSurfaceTexture for handle:
Got onCanGoBack: TRUE
SessionStore onCanGoForward: FALSE
Got onCanGoForward: FALSE</t>
  </si>
  <si>
    <t>MozillaReality-FirefoxReality-166</t>
  </si>
  <si>
    <t>Hubs crashes</t>
  </si>
  <si>
    <t>Got onCanGoBack: TRUE
SessionStore onCanGoForward: FALSE
Got onCanGoForward: FALSE
Got onSecurityChange: true
Increasing code cache capacity to 128KB
New input event: type
No change to state
New input event: type
No change to state
--------- beginning of crash
Could not parse crash report, data misc crashes perfd 2018-06-29 11-16-02.crash.meta
Could not parse crash report, data misc crashes lldb-server 2018-06-06 05-50-29.crash.meta
Could not parse crash report, data misc crashes perfd 2018-06-29 11-16-02.crash.meta</t>
  </si>
  <si>
    <t>mapbox-mapbox-events-android-181</t>
  </si>
  <si>
    <t>java.lang.NullPointerException in com.mapbox.android.telemetry.TelemetryUtils.obtainSharedPreferences on Android 8.1</t>
  </si>
  <si>
    <t>Seeing this crash in Google Play Console crash reports since upgraded to the latest version.
crash reports so far, all on Android 8.1, using being called from within Unity.</t>
  </si>
  <si>
    <t>2018-07-14</t>
  </si>
  <si>
    <t>iBotPeaches-Apktool-1838</t>
  </si>
  <si>
    <t>getHTML() out of bounds, large string crash</t>
  </si>
  <si>
    <t>1. **Apktool Version apktool -version )**
2. **Operating System (Mac, Linux, Windows)**
3. **APK From? (Playstore, ROM, Other)**
### Stacktrace Logcat
Exception in thread main begin 36, end 9688, length 4449
### Steps to Reproduce
If this APK is from an OEM ROM (Samsung, HTC, LG). Please attach framework files
.apks that live in system framework or system priv-app
See Playstore ID
### Questions to ask before submission
1. Have you tried apktool apktool without changing anything?
2. If you are trying to install modified apk, did you resign it?
3. Are you using the latest apktool version?</t>
  </si>
  <si>
    <t>2018-07-13</t>
  </si>
  <si>
    <t>recruit-lifestyle-FloatingView-89</t>
  </si>
  <si>
    <t>FloatingViewManager.removeAllViewToWindow() causes IllegalArgumentException</t>
  </si>
  <si>
    <t>Here the stacktrace.
Have gotten several thousands crash reports like this in the past 30 days.
The Library version that used here is **2.3.1**.
Important to note it only happens with **Android 8**.</t>
  </si>
  <si>
    <t>WatShout-watshout-android-51</t>
  </si>
  <si>
    <t>Re-Write Permissions System</t>
  </si>
  <si>
    <t>Currently the app seems to crash whenever permissions are granted (on certain phones)</t>
  </si>
  <si>
    <t>WatShout-watshout-android-49</t>
  </si>
  <si>
    <t>App Crashes When Changing Profile Picture</t>
  </si>
  <si>
    <t>The PickImageDialog displays correctly, however once an image is selected the app crashes without logcat message</t>
  </si>
  <si>
    <t>mapbox-mapbox-events-android-178</t>
  </si>
  <si>
    <t>GoogleLocationEngine lack of priority crash</t>
  </si>
  <si>
    <t>will crash when requestingLocation due to lack of priority, unless it is manually set by the dev. Set and create default priority level of NO POWER to fix this issue.
Fixes https: github.com mapbox issues 169
Fixes https: github.com mapbox issues 132</t>
  </si>
  <si>
    <t>2018-07-11</t>
  </si>
  <si>
    <t>fossasia-pslab-android-1215</t>
  </si>
  <si>
    <t>App crashes on pressing AutoScan button in sensors instrument</t>
  </si>
  <si>
    <t>The app crashes on pressing AutoScan button in Sensors instrument when the device is connected.
The app shouldn crash
**Steps to reproduce it**
Go to Sensors -&gt; Press AutoScan button
**LogCat for the issue**
FATAL EXCEPTION: Thread-3
**Screenshots of the issue**
**Would you like to work on the issue?**</t>
  </si>
  <si>
    <t>flyve-mdm-android-mdm-agent-501</t>
  </si>
  <si>
    <t>Fix the problem on feedback screen</t>
  </si>
  <si>
    <t>### Changes description
When opening the feedback screen the app crash for the new database design, this problem is fixed with this PR
Thanks to ingluife for the QA
Please check if your PR fulfills the following specifications:
Tests for the changes have been added
Docs have been added updated
### Estimated time
&lt;!-- Add the number of pomodoros spent on this task --&gt;
&lt;!--- Task not finished? Please give an update of the time ---&gt;
&lt;!-- issues related (for reference or to be closed), dependencies and or links of discuss --&gt;
Depends on #N</t>
  </si>
  <si>
    <t>getodk-collect-2360</t>
  </si>
  <si>
    <t>SelfieImageWidget and SelfieVideoWIdget crashes after multitapping (a few quick taps)</t>
  </si>
  <si>
    <t>#### Software and hardware versions
Collect v1.15.1 and older versions
Android 6.0, 7.0 and 8.1
#### Problem description
SelfieImageWidget and SelfieVideoWIdget crashes after multitapping (a few quick taps)
#### Steps to reproduce the problem
1. Open All WIdgets form
2. Use SelfieImageWidget or SelfieVideoWIdget
3. Tap the screen multiple times</t>
  </si>
  <si>
    <t>2018-07-10</t>
  </si>
  <si>
    <t>oliexdev-openScale-306</t>
  </si>
  <si>
    <t>App crashes on start after removal of polynomial degree</t>
  </si>
  <si>
    <t>blanked the polynomial fit degree in the settings, thinking that would simply remove the polynomial line. Instead, now the app dumps stack trace on start (also after wiping cache). The last open activity was the all time chart (with neither Week nor Month selected).
Build version: 1.8.1
Caused by: For input string:</t>
  </si>
  <si>
    <t>2018-07-09</t>
  </si>
  <si>
    <t>processing-processing-android-473</t>
  </si>
  <si>
    <t>ConcurrentModificationException on back press</t>
  </si>
  <si>
    <t>It seems that the onBackPressed() function is called parallel to draw() which can easily cause While this can be easily worked around, realizing that it onBackPressed fault can be hard.
Example code that crashes (usually) if the back button is pressed:
ArrayList al new
for (int 1000000 i++)
Obj obj new Obj()</t>
  </si>
  <si>
    <t>tchapgouv-tchap-android-legacy-323</t>
  </si>
  <si>
    <t>Application crash during logout</t>
  </si>
  <si>
    <t>nikita36078-J2ME-Loader-354</t>
  </si>
  <si>
    <t>Bounce and Bounce Back</t>
  </si>
  <si>
    <t>Bounce Back 1.13
Bounce Back 176x208
**Description of the issue:**
ve noticed that in Bounce and Bounce Back games the emulator can completely crash when you finish level. can figure out pattern. Sometimes have to play level several times in row to complete it. Sometimes it crashes when reach the end and have to replay the whole thing and sometimes the level completes without issues and the next level loads without me doing anything differently in the previous level.</t>
  </si>
  <si>
    <t>k9mail-k-9-3493</t>
  </si>
  <si>
    <t>App crashes when entering in the unified inbox</t>
  </si>
  <si>
    <t>Please search to check for an existing issue (including closed issues, for which the fix may not have yet been released) before opening new issue: https: github.com k9mail k-9 issues?q is%3Aissue
### Expected behavior
Open Unified Inbox
### Actual behavior
### Steps to reproduce
1. Just tap on the unified inbox
2. The app crashes
K-9 Mail version: 5.700-SNAPSHOT
Android version: 7.1.1 Nougat (LineageOS)
Account type (IMAP, POP3, WebDAV Exchange):</t>
  </si>
  <si>
    <t>ThmmyNoLife-mTHMMY-26</t>
  </si>
  <si>
    <t>Settings activity crashes on orientation change</t>
  </si>
  <si>
    <t>Settings activity crashes on landscape orientation.</t>
  </si>
  <si>
    <t>StAResComp-sifids-176</t>
  </si>
  <si>
    <t>**Describe the bug**
App crashes on launch on Samsung Galaxy S5 Neo
Steps to reproduce the behavior:
1. Attempt to open app
2. See error message Unfortunately, sifids has stopped
App to launch correctly
If applicable, add screenshots to help explain your problem.
**Smartphone (please complete the following information):**
Device: Samsung Galaxy S5 Neo
Android version: 6.1
App version 0.6.1
Add any other context about the problem here.</t>
  </si>
  <si>
    <t>project-travel-mate-Travel-Mate-225</t>
  </si>
  <si>
    <t>Fix bug in Add New Trip Screen</t>
  </si>
  <si>
    <t>There is bug in the Add New trip screen where the user enters the details of the trip.
Keep everything blank and click on the add trip button directly.
The app crashes</t>
  </si>
  <si>
    <t>Gear61-Random-Number-Generator-27</t>
  </si>
  <si>
    <t>Fix split screen crash</t>
  </si>
  <si>
    <t>2018-07-08</t>
  </si>
  <si>
    <t>commons-app-apps-android-commons-1694</t>
  </si>
  <si>
    <t>App crashes when storage permission is not given and user tries to share a single image from gallery</t>
  </si>
  <si>
    <t>App crashes when storage permission is not given and user tries to share single image from gallery
**Steps to reproduce:**
Do not give storage permission.
Share single image using commons app
**Device and Android version:**
Xiaomi Mi A1 (Android 8.0.0, API 26)
**Commons app version:**
**Would you like to work on the issue?**
want to work on this.</t>
  </si>
  <si>
    <t>2018-07-07</t>
  </si>
  <si>
    <t>fossasia-open-event-organizer-android-1170</t>
  </si>
  <si>
    <t>App crashing on selecting events</t>
  </si>
  <si>
    <t>### Bug Report
1. When new event is created and the event is selected the app is crashing.
2. When an item from an events list is long pressed the app is crashing.
This happened after the latest commit.
**Steps to reproduce it**
Create an event and select it.
**LogCat for the issue***
**Android version and Phone Model**
Android Marshmallow 6.0.1 and Redmi Note</t>
  </si>
  <si>
    <t>fossasia-phimpme-android-2080</t>
  </si>
  <si>
    <t>App crashing on performing compress action.</t>
  </si>
  <si>
    <t>Once the compress action has been performed on an image, the compressed image is saved in the Phimpme-Compress folder. Now on navigating to that folder and trying to compress the image again, the app crashes.
The app should not crash.
**Would you like to work on the issue?**</t>
  </si>
  <si>
    <t>2018-07-06</t>
  </si>
  <si>
    <t>mapbox-mapbox-events-android-174</t>
  </si>
  <si>
    <t>Investigate and Fix possible Doze bug</t>
  </si>
  <si>
    <t>single report of crash regarding binding our TelemetryService in Nougat hints that there are other circumstances that this https: github.com mapbox pull 157 bug happens under. My suspicion is likely relation to Doze or possible Samsung app over-management.
Will investigate further and come up with solution for pre-Oreo builds.</t>
  </si>
  <si>
    <t>dimagi-commcare-android-2017</t>
  </si>
  <si>
    <t>Migration fix for Upgrade and Recovery Table</t>
  </si>
  <si>
    <t>This issue is happening when apps having entries in update table are getting updated to CommCare 2.44 i.e if user who have an app update staged but not installed update CommCare to 2.44 and login again his app crashes. am able to repro it and have verified that this solution fixes the issue for both people updating to potential 2.44.1 from both 2.43 and 2.44
am stuck on weird problem though, putting it as comment inline.</t>
  </si>
  <si>
    <t>2018-07-05</t>
  </si>
  <si>
    <t>andyrozman-RileyLinkAAPS-40</t>
  </si>
  <si>
    <t>Get Basal Profile - 754 pump</t>
  </si>
  <si>
    <t>This consistently crashes the app</t>
  </si>
  <si>
    <t>0xpr03-VocableTrainer-Android-35</t>
  </si>
  <si>
    <t>Import/Export UI not responsive &amp; Improvements</t>
  </si>
  <si>
    <t>Extract export list import preview into another tab
viewmodel for customformat changes
Fix arbitrary crash on viewport change when in file selection
rework ui fix spinner dropdown size
Do Import prefetch in background to avoid observer triggering issues
Export in viewmodel, making it rotation safe
Import in viewmodel, making it rotation safe</t>
  </si>
  <si>
    <t>osmdroid-osmdroid-1079</t>
  </si>
  <si>
    <t>Crash when initializing a map</t>
  </si>
  <si>
    <t>## Issue Type
## Description and or steps code to reproduce the problem
had crash on customer phone on that line
But it does work fine when am testing on Galaxy S7, Nexus 5. Here is the Fabric stacktrace
Fatal Exception: Unable to start activity ComponentInfo ... Attempt to invoke virtual method boolean on null object reference
can see that the NPE happened in the load() method in
In my project, this is the line where it crashs, located in the onCreate() of my Activity, before inflate my map:
### If it bug, version(s) of android this affects:
### Version of osmdroid the issue relates to:</t>
  </si>
  <si>
    <t>evernote-android-job-492</t>
  </si>
  <si>
    <t>Fix of issue #471 is causing NullPointerException</t>
  </si>
  <si>
    <t>got crash reports like this from my users:
Fatal Exception: Attempt to invoke virtual method java.util.Set on null object reference
After an investigation into your code, noticed that to fix this issue: https: github.com evernote android-job issues 471, you moved initialization to background thread and used CountDownLatch to wait for it on threads calling getJobStorage(). This modification was made in v1.3.0-alpha02.
According to my understanding to the Java Language Spec, think it must that you declare mJobStorage as volatile field, or getJobStorage() calling thread may not observe mJobStorage value even after returns.
will soon submit pull request, please consider to merge.</t>
  </si>
  <si>
    <t>andOTP-andOTP-197</t>
  </si>
  <si>
    <t>Blank screen instead of settings</t>
  </si>
  <si>
    <t>Version 0.6.0-beta3 from fdroid
Custom rom: copperheadOS with latest security patch (june 2018)
There is an issue when try to go to settings. When press this button appears blank screen and app crashes all the time.</t>
  </si>
  <si>
    <t>2018-07-04</t>
  </si>
  <si>
    <t>jaredrummler-ColorPicker-57</t>
  </si>
  <si>
    <t>Bug: crash report from Play Store - IllegalStateException</t>
  </si>
  <si>
    <t>got this crash report:
All do is have normal preferences of this library, such as this one:
App can be found here:</t>
  </si>
  <si>
    <t>2018-07-03</t>
  </si>
  <si>
    <t>Tencent-tinker-876</t>
  </si>
  <si>
    <t>华为Mate10 Android P运行crash</t>
  </si>
  <si>
    <t>Mate10 Android patch app crash
tinker 1.8.1 1.9.8
Build fingerprint: HUAWEI ALP-AL00 HWALP:8.0.0 HUAWEIALP-AL00 release-keys
signal (SIGABRT), code -6 (SI TKILL), fault addr --------
r0 00000000 r1 000019cc r2 00000006 r3 00000008
r4 000019a6 r5 000019cc r6 c1e7de34 r7 0000010c
r8 00000000 r9 e54495c0 r10 000004ed r11 e61d7af8
ip 00000041 sp c1e7de20 lr e5f33bfd pc e5f2bdc6</t>
  </si>
  <si>
    <t>aksh4y-CS5520_MAD-3</t>
  </si>
  <si>
    <t>Media Player crashes randomly</t>
  </si>
  <si>
    <t>Media player crashes and perpetual warning is there.
Look for another way to play music or fix this error.</t>
  </si>
  <si>
    <t>d4rken-gplay-batchtool-2</t>
  </si>
  <si>
    <t>App crashing mid way through operating</t>
  </si>
  <si>
    <t>App randomly crashes after to 15 removed apps.
S8 Oreo, Swift Installer
Log file: (https: github.com d4rken gplay-batchtool files 2156984</t>
  </si>
  <si>
    <t>2018-07-02</t>
  </si>
  <si>
    <t>fossasia-pslab-android-1177</t>
  </si>
  <si>
    <t xml:space="preserve">Tapping Autoscan in Sensors gives errors    </t>
  </si>
  <si>
    <t>When tapping multiple times, app crashes or duplicate entries added in the sensor list view
When tapped Autoscan once, button should be disabled until scanning finishes and when tapped again, should clear out the previous result set and start scanning again.
**Steps to reproduce it**
Go to Instruments -&gt; Sensors. Tap Autoscan button multiple times
**LogCat for the issue**
**Screenshots of the issue**
screenshot org fossasia pslab (https: 17523141
**Would you like to work on the issue?**</t>
  </si>
  <si>
    <t>novoda-storage-path-finder-8</t>
  </si>
  <si>
    <t>FileUtils crashing for `.android_secure`</t>
  </si>
  <si>
    <t>In #6 the demo application crashes on Asus Zenfone II with an SD card because the .android secure is retrieved and then flagged as not existing.
Roll our own version of where rather than explicitly crashing when file does not exist allow the File.length to be trigged. The File.length checks for valid file, if the file is invalid then it will return as the size, which is great</t>
  </si>
  <si>
    <t>OneBusAway-onebusaway-android-898</t>
  </si>
  <si>
    <t>NPE in TripPlanActivity.onResume()</t>
  </si>
  <si>
    <t>From Android Developer Console (138 crashes total over lifetime of app):
**Steps to reproduce:**
Unknown (Plan trip and something happens)
**Device and Android version:**
Variety LG Samsung devices, Android 6.0-8.0</t>
  </si>
  <si>
    <t>dimagi-commcare-android-2014</t>
  </si>
  <si>
    <t>Corrects External Id Migration for v17-18, Fixes case Relationship migration for v18-19</t>
  </si>
  <si>
    <t>Extension of https: github.com dimagi commcare-android pull 2013 to fix more migration bugs.
Error 1: DB Migration v17-&gt;18 (Because of external id addition to case model)
Error 2: DB migration v18-19 (Case Relationship)
This crashes silently today since inserts on Sqlite catches any exception and returns -1 in case of an error. Ideally we should always check for return value from insert and throw an exception ourselves so that these kind of error don live silently in code base.</t>
  </si>
  <si>
    <t>hzi-braunschweig-SORMAS-Project-683</t>
  </si>
  <si>
    <t>Event-Error on creation of persons involved in situation</t>
  </si>
  <si>
    <t>MateStrysewskeSym Chinedar foyiri
Whenever an event is created and persons are added to the event by the surveillance officer, the app crashes.
Officer logged in: Jame Doe
SORMAS version: 0.23.1
Please can you work on this</t>
  </si>
  <si>
    <t>nextcloud-android-2779</t>
  </si>
  <si>
    <t>Found via google play console
AndyScherzinger maybe you have an idea?
It seems that those are the steps to reproduce:
enter file details view
share file via link
(somehow) navigate away from detail view (share via link is blocking dialog)
crash as second fragment is no longer FileDetailFragment
We can easily have check prior casting, but still it is strange how this can be triggered at all.</t>
  </si>
  <si>
    <t>cgeo-cgeo-7073</t>
  </si>
  <si>
    <t>c:geo crashing on Garmin Monterra when mapsforge in use</t>
  </si>
  <si>
    <t>asked the users to use the fallback to older mapsforge and report back.
will check Google Play reports when back home (1 week).</t>
  </si>
  <si>
    <t>2018-06-30</t>
  </si>
  <si>
    <t>7LPdWcaW-GrowTracker-Android-61</t>
  </si>
  <si>
    <t>Version 2.3.1, when selecting duplicate under plant details from the 3-button menu. The tracker crashes.</t>
  </si>
  <si>
    <t>google-ar-sceneform-android-sdk-149</t>
  </si>
  <si>
    <t>Sceneform plugin causes Android studio crash on launch after converting object</t>
  </si>
  <si>
    <t>After converting an asset (not for every assets necessarily) Android studio keeps crashing. When remove the Sceneform plugin everything works fine, think it has something to do with Viewer.
**Asset (input output):**
Android Studio 3.1.3
Build #AI-173.4819257, built on June 4, 2018
OpenJDK 64-Bit Server VM warning: You have loaded library tmp which might have disabled stack guard. The VM will try to fix the stack guard now.
It highly recommended that you fix the library with execstack -c &lt;libfile&gt; or link it with -z noexecstack
FEngine (64 bits) created at 0x7efb7f24b010
Loading into viewer
Added to scene
Loading into viewer
fatal error has been detected by the Java Runtime Environment:
SIGSEGV (0xb) at pc 0x00007efc625d7ce8, pid 7959, tid 0x00007efc2c4af700
JRE version: OpenJDK Runtime Environment (8.0 152-b01) (build 1.8.0
Java VM: OpenJDK 64-Bit Server VM (25.152-b01 mixed mode linux-amd64 compressed oops)
libjvm.so+0x81cce8 clean ic if metadata is dead(CompiledIC*, BoolObjectClosure*, bool)+0x38
Failed to write core dump. Core dumps have been disabled. To enable core dumping, try ulimit -c unlimited before starting Java again
An error report file with more information is saved as:
home teraz java error in STUDIO 7959.log
Compiled method (c1) 26115 6568 (1088 bytes)
total in heap 49808</t>
  </si>
  <si>
    <t>2018-06-29</t>
  </si>
  <si>
    <t>react-native-share-react-native-share-293</t>
  </si>
  <si>
    <t>Share on android &gt;= 8.0 crash</t>
  </si>
  <si>
    <t>crash only appear with android device run android OS 8.0 and using</t>
  </si>
  <si>
    <t>butterproject-butter-android-286</t>
  </si>
  <si>
    <t>Background updater seems to crash when working with high resolution files on TV version</t>
  </si>
  <si>
    <t>playing around with backdrops, noticed that if start working with high res backdrops, this happens:
--------- beginning of crash
--------- beginning of system</t>
  </si>
  <si>
    <t>2018-06-28</t>
  </si>
  <si>
    <t>commons-app-apps-android-commons-1678</t>
  </si>
  <si>
    <t>"Give permissions" dialog in Nearby activity keeps flickering</t>
  </si>
  <si>
    <t>Give permissions dialog in Nearby activity keeps flickering. You cannot select the give permissions option while it is doing that, and eventually it crashes.
This problem seems to occur in master branch. Actually, testing PR #1672 but that is based on master at the time of my testing, and that PR is unlikely to be the cause since there is no relevant change in that PR. haven had that issue the last time tested master, so it is likely to be change in the last few weeks or so (or alternatively, it could be caused by my phone recent update to Android 8.0.0). After this, will test with an emulator on Android 7.0, and also test 2.8-release branch to see if that has the same problem.
**Steps to reproduce:**
Turn off location permissions for the app
**Add System logs:**
On warning because there is too much nonsense in debug
**Device and Android version:**
Samsung Galaxy S7 Android 8.0.0
**Commons app version:**
**Would you like to work on the issue?**</t>
  </si>
  <si>
    <t>syncthing-syncthing-android-1174</t>
  </si>
  <si>
    <t>Native binary crash</t>
  </si>
  <si>
    <t>had syncthing 0.10.11 running fine since it got released fine and did not do any major changes to my android installation. (running as root, run in background is disabled)
Today found the wrapper UI showing Scanning on all folders after starting the app (as usual) from the home screen. Waiting for minutes didn show any UI change, trying to open the web UI said connected refused on port localhost:web ui port opened OSMonitor and saw that libsyncthing.so was no longer running. exited the app and restarted it from home screen and syncthing worked fine again and fully synced all folder within minutes (about 40 Megs were changed). had enough RAM free (as can see from OSMonitor, LG G4 has GByte of memory installed).
Opening MatLog after the app restart (where syncthing binary worked again correctly) saw some last bits of the error lines from the initially mentioned problem. Reconstructing what has happened, syncthing app came up fine, service started the libsyncthing.so binary and then the native binary process died with the attached error (maybe some lines from the beginning are missing due to android log buffer rotation which already happened until got into the logcat reader app).
Thanks for your feedback. If we don get the point, ll close the ticket after some days waiting and wait for 0.14.49 to be released.
Maybe related to the symptoms described in #1172
App Version: 0.10.11
Syncthing Version: v0.14.48 (this seems relevant)
Android Version: Android 7.1.2, LineAgeOS 14.1, device lg-h815</t>
  </si>
  <si>
    <t>commons-app-apps-android-commons-1669</t>
  </si>
  <si>
    <t>App crashes when uploading image via share without logging in</t>
  </si>
  <si>
    <t>The app crashes when trying to upload (via Share) without logging into the app for the first time.
**Steps to reproduce:**
1. Install the app
1. Do not sign-in into the app
1. Try to upload an image via Share (without logging in)
1. Give title and description for the image and start the upload
**Add System logs:**
Caused by: cannot be cast to
The app should prompt the user to loign while communicating clearly that it required to login to upload images.
The app crashes.
**Device and Android version:**
Samsung Galaxy j1 ace (Android 5.1.1)
**Commons app version:**
2.7.2 (beta flavour)
**Would you like to work on the issue?**</t>
  </si>
  <si>
    <t>2018-06-27</t>
  </si>
  <si>
    <t>yeriomin-YalpStore-493</t>
  </si>
  <si>
    <t>Old FroYo device cannot sign in to google store with builtin account</t>
  </si>
  <si>
    <t>left post at https: forum.f-droid.org 2906 10 and user Licaon Kter suggested report this here
Copying the other post here:
On Jun installed 0.41 (downloaded from f-droid web page, can use the f-droid app because my device is too old) and have this issue(s). Tonight installed 0.42 (also downloaded from f-droid is there any difference from the one on github aside from the signature?) and it has the same issue.
When try to start it immediately get the notice that it has crashed and it tries to gather the error report, asks me to describe the problem and brings up the keyboard to type in my comments, but keeps cycling between that and the message that you can help by describing which is again replaced by the keyboard in loop that runs dozen or more times. It does not allow me to type anything before repeating the cycle which goes by too quickly to even see all of the error message.
did get some progress uninstalled, rebooted, reinstalled, then this time did NOT open the app immediately but instead rebooted one more time. Now when open the app it shows me list of installed apps and lets me adjust settings. Now when try to update anything am asked whether to use my google account or the built-in account. Either way am immediately told No network connection even before have time to select choice, have tried both choices but it is still always the same result. This too is the same for both versions 0.41 and 0.42.
My device is quite old, so much so that play store cannot run nor can its old browser even visit that page to manually download anything, that is why wanted to use this app. Huawei Ideos U8150, it runs 2.2 FroYo in case that matters, was hoping this app would work since so many others are not compatible. Wuijbfek solution of using APKUpdater won work for me as that needs at least 2.3 Gingerbread but my device is older.
**Steps to reproduce**
1. DL and install Yalp Store
2. Do not open app immediately, instead reboot device first
3. Open Yalp Store, try to check for updates
4. When asked, select to use builtin account
App should open properly at step and after step should complete google signin as needed
If reboot from step is skipped, trying to open app at step gets repeating loop between error message and trying to get keyboard input describing what happened.
Step got error message about no network connection despite working wifi (but no cellular service is this the problem? What about non-phone tablet type devices?)
Device model Huawei Ideos aka U8150-B, 2.2 FroYo, Yalp Store version(s) 0.41, 0.42
(I will try to get in-app report tomorrow, it is getting late right now)</t>
  </si>
  <si>
    <t>fossasia-open-event-organizer-android-1131</t>
  </si>
  <si>
    <t>App Crash in Dashboard</t>
  </si>
  <si>
    <t>### Bug Report
When newly created event is selected in event list layout then the dashboard loads and the app crashes with following error log.
App must not crash.
**Steps to reproduce it**
Create new event. Select it in dashboard.
**LogCat for the issue**
**Screenshots of the issue**
**Android version and Phone Model**
Jelly Bean and Moto G4 Plus
**Would you like to work on the issue?**</t>
  </si>
  <si>
    <t>2018-06-26</t>
  </si>
  <si>
    <t>renyuneyun-Easer-131</t>
  </si>
  <si>
    <t>Crash on adding cell in airplane mode</t>
  </si>
  <si>
    <t>Steps to reproduce:
activate airplane mode on phone, open any event in easer and press the button to add cell in Cell Location -tap
don do anything or point to activated airplane mode
app crashes and restarts normally, no cell added</t>
  </si>
  <si>
    <t>timusus-Shuttle-358</t>
  </si>
  <si>
    <t>Music randomly stops (app crashes?)</t>
  </si>
  <si>
    <t>Pixel 2, Android Beta
**Description of bug:**
Music will randomly stop playing. check my phone and the Shuttle app is not there anymore. reopen the app and am able to restart the music where it stopped playing. It as if someone closed the app.
**Steps to reproduce:**
1. Start playing music and just wait. Happens randomly.
App will close.
**Observations Actual Result:**
It random, doesn happen all the time. Unpredictable.</t>
  </si>
  <si>
    <t>2018-06-25</t>
  </si>
  <si>
    <t>edufolly-flutter_mobile_vision-7</t>
  </si>
  <si>
    <t>Crash when the permission is not granted on Android</t>
  </si>
  <si>
    <t>On Android, the first time the application is opened (or if the camera permission is never granted), the app will crash.
In the onActivityResult method, if the resultCode is an error, you are never checking if the intent is null. In the case where the permission is not granted, the intent is null, so the app will crash.</t>
  </si>
  <si>
    <t>commons-app-apps-android-commons-1660</t>
  </si>
  <si>
    <t>Wild rabbit crashes app (NumberFormatException: For input string: "1=42.344335")</t>
  </si>
  <si>
    <t>Steps to reproduce (explore branch):
1. Open Explore
2. Search for rabbit
3. Scroll dozen images until you find the image File:Wild rabbit, cut.jpg (don worry, the rabbit is entire and healthy, only the picture was cut)
strange thing is that searching for Wild rabbit cut and touching the same image does not trigger the crash.</t>
  </si>
  <si>
    <t>2018-06-23</t>
  </si>
  <si>
    <t>kontalk-androidclient-1186</t>
  </si>
  <si>
    <t>Kontalk.onCreate not called</t>
  </si>
  <si>
    <t>For some misterious reason (this is seriously **a mistery**) the onCreate method is not called. It happens on lot of devices and has been happening since 4.1.4 but didn realize that because Crashlytics didn of course get those. None of my direct contacts (thanks Murphy law) has this issue.
https: stackoverflow.com questions 42891447
Some library overriding the Application class?? But why is this device-dependent??
https: github.com KeepSafe
So far it happens only on Android or later.
**If anyone is having fixed crash on startup please notify me, need log to debug this, thank you!**</t>
  </si>
  <si>
    <t>nextcloud-android-2756</t>
  </si>
  <si>
    <t>NPE for file details on master for images</t>
  </si>
  <si>
    <t>crash only happens on master, not on 3.2.x branch, simply open the file details for an image:
tobiasKaminsky any idea? :(</t>
  </si>
  <si>
    <t>mit-cml-appinventor-sources-1288</t>
  </si>
  <si>
    <t>Fix crash due to ClassCastException in Slider</t>
  </si>
  <si>
    <t>In Slider we cast the progress drawable to LayerDrawable regardless of whether or not it is actually LayerDrawable or subclass. This causes problems in compiled apps on Android 5.0+ when the theme is not Classic, since StateListDrawable may be returned instead. As result, the app crashes.
This change makes the code to update the slider colors more robust to different drawables based on the current Android version. It also includes an additional hack for Android 5.0 since and seem to have no effect (they work fine on 5.1 and later).
Tested in both Companion and compiled app on emulators running the following SDK levels:</t>
  </si>
  <si>
    <t>Haptic-Apps-Slide-2808</t>
  </si>
  <si>
    <t>The app crashes when trying to search for comments with a specific word on specific post</t>
  </si>
  <si>
    <t>The app crashes when trying to search Gideon on this post (https: redd.it 8sz67b).
have to force close the app to use it again.</t>
  </si>
  <si>
    <t>2018-06-22</t>
  </si>
  <si>
    <t>datastreamsio-moby-tracking-sdk-3</t>
  </si>
  <si>
    <t>SDK crashes on unexpected URL</t>
  </si>
  <si>
    <t>When configuring the the end point URL to random port on localhost the SDK crashes the app completely.
The SDK should never crash the app.</t>
  </si>
  <si>
    <t>commons-app-apps-android-commons-1653</t>
  </si>
  <si>
    <t>App crashes when tapping on an image during multiple share</t>
  </si>
  <si>
    <t>tried to see if there are duplicates but couldn find any. Sorry, if ve missed them.
The app crashes when tapping on any of the images during multiple upload before providing title.
**Steps to reproduce:**
1. Open your favourite photo viewer or file manager.
1. Select multiple images
1. Click on Share
1. Choose the Commons app from the share menu that appears
1. In the Multiple Upload screen tap on one of the images before giving title to the set of images
**Add System logs:**
Add logcat files here (if possible).
App shouldn crash but should provide enlarged view of the image.
**Device and Android version:**
**Commons app version:**
2.7.2 (beta line)
**Would you like to work on the issue?**</t>
  </si>
  <si>
    <t>2018-06-21</t>
  </si>
  <si>
    <t>commons-app-apps-android-commons-1648</t>
  </si>
  <si>
    <t>ConcurrentModificationException at fr.free.nrw.commons.Media.setDescriptions</t>
  </si>
  <si>
    <t>explore branch with category search merged in.
When scrolling featured images then looking at their properties.
Reproducible, two examples of crash:</t>
  </si>
  <si>
    <t>innoveit-react-native-ble-manager-343</t>
  </si>
  <si>
    <t>Android 4.4.4 application crashing during connecting</t>
  </si>
  <si>
    <t>Tell us which versions you are using:
iOS Android v: Android 4.4.4 (Samsung Galaxy Ace 4)
### Expected behaviour
Bluetooth device connection should be setup after calling BleManager.connect
### Actual behaviour
Application crashes because the gatt in the Run method is null the first time.
### Steps to reproduce
1. Connect to device
### Stack trace and console log
The following stacktrace is available from logcat:
Connected to: FE:10:D2:0F:0D:38
Ive fixed this by adding null check on the gatt (line 301: Peripheral.java) after that everything seems to work fine.</t>
  </si>
  <si>
    <t>Tinkoff-ScrollingPagerIndicator-10</t>
  </si>
  <si>
    <t>crash in recyclerView</t>
  </si>
  <si>
    <t>in our recyclerView is an item with
It crashes when we are trying to reload some data.
could you please add check while detachFromPager()</t>
  </si>
  <si>
    <t>2018-06-20</t>
  </si>
  <si>
    <t>neXenio-BLE-Indoor-Positioning-94</t>
  </si>
  <si>
    <t>App crash in updateLocation method</t>
  </si>
  <si>
    <t>found that the App crash when the number of my beacons is in updateLocation() method inside the IndoorPositioning class
No interface method sort(Ljava util Comparator )V in class Ljava util List or its super classes (declaration of java.util.List appears in system framework core-libart.jar)
&lt;img width 946 alt screen shot 2018-06-20 at 10 26 23 am src https: 19314956
&lt;img width 663 alt screen shot 2018-06-20 at 10 26 55 am src https: 19314956
&lt;img width 1027 alt screen shot 2018-06-20 at 10 27 31 am src https: 19314956
Here is the beacons from usableBeacons ArrayList
&lt;img width 409 alt screen shot 2018-06-20 at 10 34 17 am src https: 19314956
&lt;img width 392 alt screen shot 2018-06-20 at 10 34 36 am src https: 19314956
&lt;img width 376 alt screen shot 2018-06-20 at 10 34 45 am src https: 19314956
&lt;img width 363 alt screen shot 2018-06-20 at 10 34 54 am src https: 19314956</t>
  </si>
  <si>
    <t>google-ExoPlayer-4396</t>
  </si>
  <si>
    <t>Demo Crashed</t>
  </si>
  <si>
    <t>### Issue description
Demo crashed when click download button in the fifth item of HLS group</t>
  </si>
  <si>
    <t>abrenoch-hyperion-android-grabber-53</t>
  </si>
  <si>
    <t>changed framerate preference to string array &amp; updated reference</t>
  </si>
  <si>
    <t>It appears that the ListPreference preference option is only intended to hold string-array values. Seems ridiculous but it is what it is, without it the mobile settings page crashes the app.
Changes are pretty straightforward tested on mobile and tv!</t>
  </si>
  <si>
    <t>Technion236272-2018b-StudyGroup-80</t>
  </si>
  <si>
    <t>BUG: creating a group crashes the app.</t>
  </si>
  <si>
    <t>2018-06-19</t>
  </si>
  <si>
    <t>TsimpDim-PassBuy-113</t>
  </si>
  <si>
    <t>Fix crash issues</t>
  </si>
  <si>
    <t>patrickfav-armadillo-6</t>
  </si>
  <si>
    <t>Library crashing in devices running KitKat</t>
  </si>
  <si>
    <t>According to the Readme:
Minimum SDK 19 (Android 4.4): way to increase security is to cap older implementation. SDK 19 seems to be good compromise where most of the older security hack fixes are not necessary anymore, but still targeting most devices.
But if you look into the build.gradle file, it declares:
Are the docs not up to date? Or it is still safe to use the library with minSdkVersion 19?</t>
  </si>
  <si>
    <t>lgallard-qBittorrent-Controller-164</t>
  </si>
  <si>
    <t>4.5.9 crashing when changing port</t>
  </si>
  <si>
    <t>just updated to version 4.5.9 on the Pro copy. After upgrading, the app would periodically crash in the background and immediately crash when attempting to open the app.
The only way could get it to start is to clear app data. Through trial and error figured out could re-enter all of my normal server settings. The moment change the port from 8080 to 8082, the app starts crashing again and can get back in without clearing app data.
sent crash feedback through my phone already. Please let me know if you need more info.
qBittorrent v4.1.1 (64-Bit)</t>
  </si>
  <si>
    <t>react-native-camera-react-native-camera-1646</t>
  </si>
  <si>
    <t>Android crash onBarCodeReadEvent</t>
  </si>
  <si>
    <t>### Steps to reproduce
1. have version 1.1.4 react-native-camera installed on one device (Android 6.0.1 Nexus 5) the error only occurs when in production mode (code is minified) on the Android device 8.1.0 it occurs all the time.
2. launch react-native-camera and include the following
ref (cam) this.camera cam
3. scan pdf417 barcode (ie drivers license)
### Expected behaviour
App should execute onBarCodeRead and not crash the app.
### Actual behaviour
**React Native version**: 0.55.4
**React Native platform platform version**: Android 6.0.1 and Android 8.1.0
1.1.4 and 1.1.5
*** ERROR Message ***</t>
  </si>
  <si>
    <t>2018-06-18</t>
  </si>
  <si>
    <t>commons-app-apps-android-commons-1635</t>
  </si>
  <si>
    <t>Handle case where user uploads image with empty title (whitespace)</t>
  </si>
  <si>
    <t>Try uploading an image with an empty title(only spaces) and description. App crashes on clicking next.
**Add System logs:**
Error pid or pid not exist
SPAN EXCLUSIVE EXCLUSIVE spans cannot have zero length
SPAN EXCLUSIVE EXCLUSIVE spans cannot have zero length
App should gracefully handle empty values.
**Device and Android version:**
What make and model device (e.g., Samsung J7) did you encounter this on? What Android
version (e.g., Android 4.0 Ice Cream Sandwich or Android 6.0 Marshmallow) are you running? Is it
the stock version from the manufacturer or custom ROM
**Commons app version:**
You can find this information by going to the navigation drawer in the app and tapping About
Can be created by pressing the Volume Down and Power Button at the same time on Android 4.0 and higher.
**Would you like to work on the issue?**
Please let us know whether you want to fix the issue by yourself. If not, anyone can get the issue assigned to them.</t>
  </si>
  <si>
    <t>firebirdberlin-nightdream-145</t>
  </si>
  <si>
    <t>fix Utility.getSoundFileTitleFromUri Runtime Exception</t>
  </si>
  <si>
    <t>Choosing malicous file as custom ring tone caused RuntimeExceptions in on my htc one m7. Once such file is choosen, the app crashes everytime the list of ring tone is displayed.</t>
  </si>
  <si>
    <t>2018-06-17</t>
  </si>
  <si>
    <t>fossasia-pslab-android-1059</t>
  </si>
  <si>
    <t>Lux meter crashes when closing it</t>
  </si>
  <si>
    <t>When using Lux meter and pressing back, it crashes
Application should open instruments page when pressed back from Lux meter instead of crashing
**Steps to reproduce it**
1. Open app
2. Go to Lux Meter
3. Go to Configure tab
4. Change High Limit text box value
5. Click back or move to other tab and observe app is crashing
**LogCat for the issue**
FATAL EXCEPTION: main
**Screenshots of the issue**
Not available, crash screen
**Would you like to work on the issue?**</t>
  </si>
  <si>
    <t>2018-06-16</t>
  </si>
  <si>
    <t>particle-iot-spark-sdk-android-50</t>
  </si>
  <si>
    <t>Cloud SDK Async implementation occasionally throws (once ThreadPoolExecutor limit is exceeded). This exception was also culprit behind few crashes on Tinker app.
Few options put forward by jensck:
Use our own ThreadPoolExecutor with higher limit
Overload executeAsync() allowing developers to specify ThreadPoolExecutor limits.
Add global mutable state Async.setExecutor()
Once either option is implemented following has to be considered:
Check catch in all overloaded executeAsync() methods.
Execute executeAsync() call without throwing (perhaps we should return boolean response indicating wether task was added to queue).</t>
  </si>
  <si>
    <t>2018-06-15</t>
  </si>
  <si>
    <t>TsimpDim-PassBuy-100</t>
  </si>
  <si>
    <t>Popup dialog crashing on API &lt; 23</t>
  </si>
  <si>
    <t>Method onAttach(Context) does not work properly for devices with old Android version. We ll have to rely on using the deprecated onAttach(Activity) as well.</t>
  </si>
  <si>
    <t>hzi-braunschweig-SORMAS-Project-638</t>
  </si>
  <si>
    <t>informant app: crash on attempt to confirm weekly report</t>
  </si>
  <si>
    <t>app requests for weekly zero report and then crashes on attempt to confirm report</t>
  </si>
  <si>
    <t>2018-06-14</t>
  </si>
  <si>
    <t>dariuszseweryn-RxAndroidBle-443</t>
  </si>
  <si>
    <t>DeadSystemException  Add `onError` handling.</t>
  </si>
  <si>
    <t>Hello got interesting crash report
inspected my code and didn find subscricption without error handling. Can it happends from library Thanks.
### Library version
#### Steps to reproduce actual result
#### Logs from the application running with setting
... 84 more</t>
  </si>
  <si>
    <t>consp1racy-android-support-preference-110</t>
  </si>
  <si>
    <t>Fatal Exception: java.lang.NoSuchMethodError: android.view.View.getTextAlignment</t>
  </si>
  <si>
    <t>If style style is used of ListPreference then it crashes on 4.0.3 and 4.0.4 devices. think it should fallback to simple dialog on these API levels.</t>
  </si>
  <si>
    <t>2018-06-13</t>
  </si>
  <si>
    <t>WeAreFairphone-FP2-Launcher-28</t>
  </si>
  <si>
    <t>Trying to change wallpaper returns crash message</t>
  </si>
  <si>
    <t>### Steps to reproduce
1. Long press homescreen
2. Click on Wallpaper (the first of the icons at the bottom)
3. Error message appears: Fairphone Launcher was stopped
Here is screenshot:
have FP1 with Android Kitkat.</t>
  </si>
  <si>
    <t>Technion236272-2018b-StudyGroup-74</t>
  </si>
  <si>
    <t>BUG : entering a request in request fragment, and then a course, the app crashes</t>
  </si>
  <si>
    <t>iamMehedi-Secured-Preference-Store-31</t>
  </si>
  <si>
    <t>App Crashed in lollipop OS version with error "java.lang.IllegalStateException: Must call init() before using the store"</t>
  </si>
  <si>
    <t>First of all thank you for sharing this awesome library.
My app perfectly working in other OS versions. Tested on Marshmallow Nougat working fine.
Here the full stack trace for crash.
Caused by: Must call init() before using the store
have use init method in Application like bellow.
public class Global extends Application
public void onCreate()
catch (Exception e)</t>
  </si>
  <si>
    <t>forcedotcom-SalesforceMobileSDK-CordovaPlugin-407</t>
  </si>
  <si>
    <t>App crash on using FaceId to unlock SDK 6.1 app on iPhone X</t>
  </si>
  <si>
    <t>have hybrid app built using SDK 6.1 with PIN feature enabled. When the app is locked and enter pin screen is displayed user can login back using PIN or Touch Id. However there is no option to enable FaceId for iPhone so the app crashes as user taps on Use TouchId button.
simulator screen shot iphone 2018-06-13 at 11 31 00 (https: 33320222</t>
  </si>
  <si>
    <t>TeamNewPipe-NewPipe-1477</t>
  </si>
  <si>
    <t>App crashes when I try to load Eminem</t>
  </si>
  <si>
    <t>It sometimes works, but when try to open the channel EminemVevo or share https: www.youtube.com user EminemVEVO to newpipe, it will sometimes crash. Other channels work fine. It really weird, can someone reproduce it?
User Action: requested channel
Request: https: www.youtube.com channel UC20vb-R px4CguHzzBPhoyQ
Content Language: US
OS: Linux Android 8.0.0 26
log&lt; b&gt;&lt; summary&gt;&lt;p&gt;
... 28 more</t>
  </si>
  <si>
    <t>fossasia-pslab-android-1022</t>
  </si>
  <si>
    <t>App crashes when selected a sensor from list</t>
  </si>
  <si>
    <t>App crashes when selecting sensor MPU6050 BMP1080 and others
App should specify whether it is supported
**Steps to reproduce it**
Open the app Sensor Select sensor from list
**Would you like to work on the issue?**</t>
  </si>
  <si>
    <t>2018-06-12</t>
  </si>
  <si>
    <t>syncthing-syncthing-android-1133</t>
  </si>
  <si>
    <t xml:space="preserve">Syncthing crashes on startup 0.10.11 </t>
  </si>
  <si>
    <t>syncthing crashes on startup since last update from play store
App Version 0.10.11
Version in Playstore 0.14.48
Syncthing crashes on startup (also after reboot of device)
Reproducable on my sytstem</t>
  </si>
  <si>
    <t>novoda-download-manager-398</t>
  </si>
  <si>
    <t>Check for the type of connected service</t>
  </si>
  <si>
    <t>When using Leakcanary in client app, it happens that there is crash when the Leakcanary connects, similar to what described in https: github.com square leakcanary issues 91
Check for the type of connected service in the onServiceConnected callback.</t>
  </si>
  <si>
    <t>evernote-android-job-477</t>
  </si>
  <si>
    <t>WorkManager crash when cancelling all works using LeakCanary</t>
  </si>
  <si>
    <t>using LeakCanary in my project just for debug flavor. getting the following exception when trying to use this library with WorkManager compatibility.
Affected version: v1.3.0-alpha02
Without this integration never got this error ever.</t>
  </si>
  <si>
    <t>nextcloud-android-2702</t>
  </si>
  <si>
    <t>Preferences is crashing</t>
  </si>
  <si>
    <t>On master, cannot access preferences anylonger, this is crashing:
Can someone check, if this also occurs for him?</t>
  </si>
  <si>
    <t>yayaa-LocationManager-84</t>
  </si>
  <si>
    <t>Crash while app is in background</t>
  </si>
  <si>
    <t>Crashlytics (Fabric) report crash while the application is in background:
### Detail provided by crashlytics:
This crash is usually caused by your app trying to display dialog using previously-finished Activity as context. For example, this can happen if an Activity triggers an AsyncTask that tries to display dialog when it is finished, but the user navigates back from the Activity before the task is completed.</t>
  </si>
  <si>
    <t>amirzaidi-Launcher3-510</t>
  </si>
  <si>
    <t>Pixel Launcher rolling crash on startup, resource missing?</t>
  </si>
  <si>
    <t>This started happening all of sudden on my phone, seems like an update has caused it somehow?
Phone Model: Samsung Galaxy S9 (SM-G960U), let me know if can look anything else up out of getprop or debug in some other way.</t>
  </si>
  <si>
    <t>2018-06-11</t>
  </si>
  <si>
    <t>maks-MGit-367</t>
  </si>
  <si>
    <t>ExceptionDialog causes crash when it's not called by RepoListActivity</t>
  </si>
  <si>
    <t>maks-MGit-366</t>
  </si>
  <si>
    <t>crash reported from acra: JGitInternalException: Creating directories for /storage/emulated/0/MGit/.git failed</t>
  </si>
  <si>
    <t>ANDROID VERSION 8.1.0
APP VERSION NAME 1.5.4.4
PHONE MODEL ONEPLUS A5000
Caused by: Creating directories for storage emulated MGit .git failed
... 11 more</t>
  </si>
  <si>
    <t>neXenio-BLE-Indoor-Positioning-86</t>
  </si>
  <si>
    <t>Sample app crash when using LocationProvider instead of minor</t>
  </si>
  <si>
    <t>if someone use the LocationProvider to get the location from api or based on the mac address and not from the minor the sample app will crash when pressing the chart button because he may get negative value of minor and he cannot get color from the array.
public static int beacon, int coloringMode, int beaconIndex)
case ColorUtil.COLORING MODE INSTANCES:
if (beacon instanceof IBeacon)
colorIndex ((IBeacon) beacon).getMinor()</t>
  </si>
  <si>
    <t>lfuelling-lrkFM-24</t>
  </si>
  <si>
    <t>Error when trying to extract 7z archives</t>
  </si>
  <si>
    <t>The app crashes when the user attempts to extract 7z zip) archive.
**Steps to reproduce:**
Steps to reproduce the behavior:
1. Open the app
2. Extract 7z archive
The archive should be extracted</t>
  </si>
  <si>
    <t>fossasia-pslab-android-1011</t>
  </si>
  <si>
    <t>Lux Meter crashes the app when the fragment is destroyed</t>
  </si>
  <si>
    <t>On closing Lux meter instrument crashes the app
The app shouldn crash and the instruments page should open
**Steps to reproduce it**
Open Lux meter from Instruments section and then close it by pressing back key
**LogCat for the issue**
**Screenshots of the issue**
**Would you like to work on the issue?**</t>
  </si>
  <si>
    <t>niclabs-adkintunmobile-androidclient-194</t>
  </si>
  <si>
    <t>FragmentActivity.java line 480</t>
  </si>
  <si>
    <t>2018-06-10</t>
  </si>
  <si>
    <t>TeamNewPipe-NewPipe-1467</t>
  </si>
  <si>
    <t xml:space="preserve">Background video title not showing on lockscreen and a request </t>
  </si>
  <si>
    <t>Hey Newpipe team,well done implementing the media controls on the lock screen that and others suggested not too long back.
There is an issue however on the lock screen media control where the title of the background video being played is not shown.You may or may not already be aware of this issue but fixing this issue for the next version release would be great :) but im still very happy and grateful about the huge amount of progress your team are making on this app.
also have another request.Is it possible that while saving video as sound file that you can give the user way to modify the song tags such as title and artist album .Also allowing to save sound file at higher bit rate would be good too.
The app can also randomly crash in the background after while,its minor but annoying issue but have sent the crash logs via email anyway and hopefully its fixed soon in the later versions.
Thanks again Newpipe development team!!!
Sorry forgot to mention this but could you also add support for time-stamped YouTube links so when you open the link into newpipe the video automatically starts on the time within the link? forgot to mention this while writing this post and did not want to create second post
Thanks again Newpipe Dev team!!!</t>
  </si>
  <si>
    <t>nextcloud-android-2695</t>
  </si>
  <si>
    <t>NullPointer when using different AccountType in another Flavor</t>
  </si>
  <si>
    <t>### Actual behaviour
One should be able to choose his account type free and build the app.
### Expected behaviour
App crashes when manipulating the account type.
### Steps to reproduce
1. Create new flavor
2. Overwrite account type in setup.xml
3. build and run the app -&gt; Crashes with the following error message:
### Environment data
Android version: 8.1
Device model: emulated
Stock or customized system: stock
Nextcloud app version: master branch at
am sure, it did not happen with the master branch from 10 April 2018.
Hope it helps you.</t>
  </si>
  <si>
    <t>2018-06-07</t>
  </si>
  <si>
    <t>commons-app-apps-android-commons-1600</t>
  </si>
  <si>
    <t>Notifications Activity crashes</t>
  </si>
  <si>
    <t>Notifications activity crashes.
**Steps to reproduce:**
Just opening activity
**Add System logs:**
FATAL EXCEPTION: main
(^ h*) h*$)
**Device and Android version:**
**Commons app version:**
master productionRelease built variant</t>
  </si>
  <si>
    <t>react-native-camera-react-native-camera-1617</t>
  </si>
  <si>
    <t>[ANDROID] - does not explicitly set microphone permissions = application crash</t>
  </si>
  <si>
    <t>We are seeing devices crash because microphone permissions are not enabled even after allowing camera permissions before starting recording. can verify that the application is not implementing microphone permissions
immediately after install
immediately after accepting camera permission
This crash only happens when we start recording
Our manifest requests the following:
from our component:
this.setState( recording: false ()
this.setState( recording: true ()
.recordAsync( maxDuration: 30
called at render()
ref ref (this.camera ref)
Permission to use camera
We need your permission to use your camera phone
onTimeout () this.setState( recording: false
Exception has occurred: Error
### Which implementation are you using
### Steps to reproduce
1. fresh install
2. allow permissions
3. start recording</t>
  </si>
  <si>
    <t>Pulimet-ExoPlayer-Wrapper-2</t>
  </si>
  <si>
    <t>App Crashing on MainActivity</t>
  </si>
  <si>
    <t>just tried to run the updated code it crashes with strange reason,</t>
  </si>
  <si>
    <t>Intelehealth-Android-Mobile-Client-468</t>
  </si>
  <si>
    <t>App crashes when server returns no response</t>
  </si>
  <si>
    <t>Message from amalafrozalam:
issue with the server response actually
didnt actually know this was possible, but it looks like what happened was that it tried to connect to the server and it returned absolutely no response
usually you get at least like 400 of some sort, but this was completely blank and null
just checked, this is simple fix. just need to comment out line 1351 in ClientService, and just check if something like that exists anywhere else
dont believe so, but if anyone wants to double check that be most welcome</t>
  </si>
  <si>
    <t>k9mail-k-9-3431</t>
  </si>
  <si>
    <t>Crash on attempt to display a message</t>
  </si>
  <si>
    <t>### Expected behavior
Message should display without crashing.
### Actual behavior
App crashes without displaying message.
### Steps to reproduce
1. Select message from list.
2. Crash, K-9 Mail has stopped.
3. feedback sent
K-9 Mail version: 5.403
Android version: 7.0
Account type (IMAP, POP3, WebDAV Exchange): IMAP</t>
  </si>
  <si>
    <t>2018-06-06</t>
  </si>
  <si>
    <t>react-native-camera-react-native-camera-1613</t>
  </si>
  <si>
    <t>RNCamera: Front Camera shows black screen in example app on iOS</t>
  </si>
  <si>
    <t>While ttrying testing (and fixing the feature #1606) with the rn-camera-example application https: github.com rncamera-example). discovered the following problems:
**Steps to reproduce:**
1. Clone rn-camera-example at the current master (https: github.com rncamera-example commit
git clone https: github.com
checkout commit in which this occures (master at time of the posting)
2. Install react-native-camera at the version before #1606 got merged
yarn add react-native-camera https: github.com
3. Open xcode project and run App on device.
4. Use the toggle button to switch between cameras.
**The Front Camera only shows black screen (sometimes the app crashes while switching)**
**After the RNCamera Component shows black screen pressing the SNAP button results in an application crash thrown exception**
When install the following version of react-native-camera aka the commit before the preview feature was implemented:
yarn add react-native-camera https: github.com
The app crashes upon start (with EXC BAD ACCESS
Poor mans console output
After applying the following patch everything seems to be fine:
diff --git App.js App.js
index 47b560d..8440591 100644
-192,9 +192,9 export default class CameraScreen extends React.Component
Permission to use camera</t>
  </si>
  <si>
    <t>project-travel-mate-Travel-Mate-65</t>
  </si>
  <si>
    <t>App crashes after clicking 'call' button</t>
  </si>
  <si>
    <t>Login to the app
Go to Emergency contacts
Click on any CALL button.
The app crashes.</t>
  </si>
  <si>
    <t>UglyShirtTrio-SummerSunSet-1</t>
  </si>
  <si>
    <t>Issue 0001; Branch: UnstableChanges. Title: Crashing When Pressing Enter</t>
  </si>
  <si>
    <t>The app takes input in input-fields from the user, but crashes when pressing enter.
Through some code analysis, removed errors that were being caused by XML field but the app seems to not tell us why it crashes.
All members, please investigate.</t>
  </si>
  <si>
    <t>forrestguice-SuntimesWidget-212</t>
  </si>
  <si>
    <t>app crash on polar regions when no rise/set events reported</t>
  </si>
  <si>
    <t>The app crashes when trying to schedule an update if the calculator implementation reports no rise set events. This is common occurrence in polar regions, however the bug goes unnoticed because the default calculator (time4a-noaa) is unaffected (masks the bug). Using the sunrisesunsetlib or calculators with far north or south latitudes will cause the app to crash.</t>
  </si>
  <si>
    <t>nextcloud-android-2688</t>
  </si>
  <si>
    <t>Fingerprint unlocking crashing app on startup</t>
  </si>
  <si>
    <t>### Actual behaviour
App crashes. Log attached.
### Expected behaviour
Unlock the app with fingerprint
### Steps to reproduce
1. Activate fingerprint unlocking
2. Close app
3. Reopen app
### Environment data
Android version: 8.0.0
Device model: SM-G950F (Galaxy S7)
Stock or customized system: Renovate Ice ROM (modified stock TouchWiz ROM)
Nextcloud app version: 3.2.0 RC2
Nextcloud server version: 13.0.2 Docker image
#### Web server error log
Does not apply.
#### Nextcloud log (data nextcloud.log)
Can find it.
Android logcat instead</t>
  </si>
  <si>
    <t>2018-06-05</t>
  </si>
  <si>
    <t>getodk-collect-2268</t>
  </si>
  <si>
    <t>Google auth exception can attempt to show after GoogleDriveActivity is destroyed</t>
  </si>
  <si>
    <t>#### Software and hardware versions
Collect v1.13+, all Android versions
#### Problem description
It looks like can try to display an alert dialog even when GoogleDriveActivity has completed
#### Steps to reproduce the problem
#### Expected behavior
#### Other information
Verifying if the activity is finishing as described here (https: stackoverflow.com 31986885 137744) should address the crash.</t>
  </si>
  <si>
    <t>andOTP-andOTP-188</t>
  </si>
  <si>
    <t>Crash at startup after app update</t>
  </si>
  <si>
    <t>#### General information
**App version:** 0.6.0-beta1
**App source:** F-Droid 1.2.2
**Android Version:** 4.4.4
**Custom ROM:** Lineage OS
#### Expected result
**What does happen instead?**
The app has been updated from 0.5.0.1 to 0.6.0-beta1 then crashed at first use after.
It seems to have an inconsistency between my data and what is expected by the new version: if the app is reset by clearing the data, the app does not crash at startup and get the wizard.
Unfortunately if restore my previous data from backup, then the app crashed again at startup or get message for KeyStore loading failure. After switching to Password PIN in settings, can find my previous OTP.</t>
  </si>
  <si>
    <t>seemoo-lab-fitness-app-21</t>
  </si>
  <si>
    <t>Repair Permission-Requesting</t>
  </si>
  <si>
    <t>The App crashes during permission requesting and needs to be restarted.
App should ask for permissions without crashing after each request answer.</t>
  </si>
  <si>
    <t>nextcloud-android-2687</t>
  </si>
  <si>
    <t>NPE Crash after fresh installation due to #2680</t>
  </si>
  <si>
    <t>Simply uninstall the client and reinstall it (from master) and it crashes right away:
Crashing, changes line is:
introduced via #2680</t>
  </si>
  <si>
    <t>commons-app-apps-android-commons-1589</t>
  </si>
  <si>
    <t>Crash after installing previous version of app</t>
  </si>
  <si>
    <t>When we add new feature, there will always be 0.1% of people who hate the new feature so much that they switch back to the previous version of the app. think that has happened to many of us too, and if they prefer that version well why not.
Unknown to most users, the logcat below offers an explanation.
Rather than crashing, we should probably explain how to fix the problem please uninstall then reinstall ), or even remove the database (we don store vital information in there right?) then start normally.</t>
  </si>
  <si>
    <t>balthazar-react-native-zeroconf-65</t>
  </si>
  <si>
    <t>ios app crashes while formatting TXTRecordData</t>
  </si>
  <si>
    <t>My ios app crashes while calling zeroconf.scan() It could find the device. think this may be the result of formatting data, so try to debug the code.I found that there would be mistake here.
Im not ios developer, can find the primary cause. What should do to solve this problem? Thanks.</t>
  </si>
  <si>
    <t>geopaparazzi-geopaparazzi-509</t>
  </si>
  <si>
    <t>Saving fails if form fields are empty</t>
  </si>
  <si>
    <t>If empty form fields are present when user attempts to save, the failed validation dialog is shown. This issue is my main issue so will explore it in detail.
If in the form json code, mandatory no is entered, the form will fail or crash (can remember). have fixed my code to avoid mandatory no but the presence of mandatory no should be harmless.
If fields are empty can save form data. As collect ecological data, it is common for fields to be empty. For example bird nest may be empty so the fields for documenting eggs and nestlings will not be filled. For fast moving subjects, might want to take photo and not record the species, as can get that from the photo later. have been putting question mark in as default value as the presence of default values allows geopaparazzi to save form data. That is bit like putting null in empty fields as QGIS does. am not sure if this causes issues. notice that is used elsewhere in geopaparazzi to flag empty fields.</t>
  </si>
  <si>
    <t>geopaparazzi-geopaparazzi-508</t>
  </si>
  <si>
    <t>Hitting the custom SQL query button without having a SQL statement causes a crash</t>
  </si>
  <si>
    <t>More idiot proofing. It would be good to validate the SQL statement before executing to avoid crashes. If stupid statement is put in, the database will not return anything, so thing this is just case of checking if SQL nothing.</t>
  </si>
  <si>
    <t>forrestguice-SuntimesWidget-211</t>
  </si>
  <si>
    <t>lat/lon input validation fails</t>
  </si>
  <si>
    <t>The location dialog should warn disallow invalid latitude or longitude. This works correctly in most cases, but fails for fractional values at the boundaries. For example, latitude of 91 is rejected, but 90.5 passes validation. As result the dialog saves an invalid value which crashes the app moment later when attempting to (re)initialize the calculator.</t>
  </si>
  <si>
    <t>2018-06-04</t>
  </si>
  <si>
    <t>k9mail-k-9-3427</t>
  </si>
  <si>
    <t>[Oreo] K-9-mail-app crashes when pressing  button "New E-mail"</t>
  </si>
  <si>
    <t>Please search to check for an existing issue (including closed issues, for which the fix may not have yet been released) before opening new issue: https: github.com k9mail k-9 issues?q is%3Aissue
### Expected behavior
new empty e-mail form should be displayed.
### Actual behavior
The app shuts down with error
### Steps to reproduce
1. Open K-9-Mail
2. press on button new email
3. App is closed. Android-system message re-open App? Give feedback
K-9 Mail version: 5.403
Android version: 8.0.0
Account type (IMAP, POP3, WebDAV Exchange):
IMAP and POP3</t>
  </si>
  <si>
    <t>syncthing-syncthing-android-1123</t>
  </si>
  <si>
    <t>Multiple Web GUI has come online - invalid state transitioning</t>
  </si>
  <si>
    <t>Open Syncthing app
go to settings
enable always run syncthing on background
put phone to wifi and put it on the charger
stress test the UI options
run when charging
run on wifi
Do this fast, slow, fast, fast with two or three fingers and hit the buttons as much as you can. The app crashes under your fingers
It notable here that there are two problems hidden under the hood:
a) has no dismiss or abort interface
Looking at the logs and reproducing it time over time discovered that the service goes correctly down to State.DISABLED and tries to get up with State.INIT State.STARTING State.ACTIVE.
If run conditions are changing to rapidly we again have bad unsynchronized runtime behaviour. The service transitions from State.STARTING &gt;State.DISABLED STATE.INIT State.STARTING ....
a1) not waiting for the syncthing binary to finish its work on gracefull kill signal. This sometimes results in left-behind concurrently running syncthing instances corrupting the database if syncthing takes some seconds to load up.
a2) not discarding the from queue so we get more and more of them and as syncthing binary is fully initialized, every triggers the callback in RestApi reading the config. So three or more simultaneous requests and result listeners try to modify one mConfig entity calling out the reached state.ACTIVE with onApiChange() to all parts of the wrapper and whoooom... crashed. Transitioning from state.ACTIVE to state.ACTIVE is not considered in the existing code and never should be as it would add more complexity.
Multiple EventProcessor run concurrently with the same timeIdx ... ... 15 ... and getting weird results probably the root cause for ticket https: github.com syncthing syncthing-android issues 679 (multiple instances of SyncthingService, mRestApi, EventProcessor might have been created)
Report valid for: https: github.com syncthing syncthing-android commit
App Version: 0.10.10+
Syncthing Version: v0.14.47
Android Version: Android 7.1.2</t>
  </si>
  <si>
    <t>syncthing-syncthing-android-1122</t>
  </si>
  <si>
    <t>NPE in WebGuiActivity.onWebGuiAvailable()</t>
  </si>
  <si>
    <t>Setup syncthing with large database 200 MByte with many folders so it takes more time to initialize
Open Syncthing app
go to settings
enable always run syncthing on background
enable run on wifi
enable run when charging
get back to MainActivity
stress test by changing the run conditions as quickly as possible
wifi on off
lay phone on off wireless charger)
SyncthingService will get the run condition change correctly and tries to catch up with them. But there are many problems in the lifecycle code and multiple calls to transitions from State.Starting to State.Disabled without waiting for the binary to finish (and more ...)
will be issued to the webGuiActivity causing crash accessing the config in an intermediate invalid object state
Report valid for: https: github.com syncthing syncthing-android commit
App Version: 0.10.10+
Syncthing Version: v0.14.47
Android Version: Android 7.1.2</t>
  </si>
  <si>
    <t>syncthing-syncthing-android-1121</t>
  </si>
  <si>
    <t>SettingsActivity calls out to uninitialized RestApi.getLocalDevice()</t>
  </si>
  <si>
    <t>Open Syncthing app
go to settings
enable always run syncthing on background
stress test the UI options
run when charging
run on wifi
Do this fast, slow, fast, fast with two or three fingers and hit the buttons as much as you can. The app crashes under your fingers
With more logs:
Report valid for: https: github.com syncthing syncthing-android commit
App Version: 0.10.10+
Syncthing Version: v0.14.47
Android Version: Android 7.1.2</t>
  </si>
  <si>
    <t>andOTP-andOTP-186</t>
  </si>
  <si>
    <t>Fix crash on KitKat</t>
  </si>
  <si>
    <t>On KitKat devices andOTP will crash after the initial setup wizard, which happens due to bug in FABsMenu (https: github.com jahirfiquitiva FABsMenu).
Since FABsMenu (https: github.com jahirfiquitiva FABsMenu) has been marked as deprecated by the author and won receive any further updates this should be easily fixed by switching to another implementation like (https: github.com leinardi</t>
  </si>
  <si>
    <t>AniTrend-anitrend-app-50</t>
  </si>
  <si>
    <t>Invalid Index Causing Crashes FeedAdapter</t>
  </si>
  <si>
    <t>Cause of crash: Fatal Exception:</t>
  </si>
  <si>
    <t>geopaparazzi-geopaparazzi-504</t>
  </si>
  <si>
    <t>geopaparazzi crashes when user selects a form then tries to go back to the forms menu with the back button</t>
  </si>
  <si>
    <t>have been giving geopaparazzi big workout and have few issues to report.
crash occurs on Android 4.4 and on Android 7, both Samsung devices with 5.6.0, when the user opens data entry form, then tries to go back to the forms menu without entering any info into the data entry form. You should receive crash dump via gmail with my name on it with the stack trace.</t>
  </si>
  <si>
    <t>nextcloud-android-2679</t>
  </si>
  <si>
    <t>Application Crash Upon Loading Large Folder</t>
  </si>
  <si>
    <t>### Actual behaviour
When opening large folder 1.5GB) on the Android NextCloud application on my phone, the application will load for couple seconds, then crash. After this, subsequent attempts to access the folder result in an instant force close. This folder has 268 files, all audio files. All other folders work, including folders with more files. Removing few files from the folder solves the issue, so believe the issue has something to do with the amount of data stored in the folder rather than the number of files. can view the folder just fine on desktop.
The folder on my NextCloud instance is Audio Unsorted
### Attempted Solutions Debugging
1. Cleared data and cache for application.
2. Reinstalled application.
3. Recreated folder by downloading all data from original folder and re-uploading it into new folder.
4. Tried different phone, Huawei Honor 5X KIW-L24 (same version of NextCloud app).
5. Tried different NextCloud instance (same version) being run on different server with the same folder contents.
6. Deleted roughly 50 megabytes of data from the folder, which stopped the crashing.
### Expected behaviour
The folder should load normally.
### Steps to reproduce
1. Open NextCloud application
2. Log into server
3. Navigate to folder with large amount of data 1.5GB or more)
### Environment data
Android version: 7.0
Device model: Alcatel A30 5046G
Stock or customized system: Stock</t>
  </si>
  <si>
    <t>syncthing-syncthing-android-1119</t>
  </si>
  <si>
    <t>Refactor SyncthingService (lifecycle), DeviceStateHolder, RestApi, multiple fixes</t>
  </si>
  <si>
    <t>... SyncthingRunnable, settings UI and listeners.
Fixed issue list from what already on the tracker:
(fixes #1019) (maybe related to #975)
Fixed issues discovered testing every UI stress test could think of and regular syncthing options wrapper behaviour under various run conditions or foreground run created issues for those:
(fixes #1120) DeviceStateHolder leaks Receivers not unregistered
(fixes #1121) SettingsActivity calls out to uninitialized
(fixes #1122) NPE in
(fixes #1123) Multiple Web GUI has come online invalid state transitioning
(fixes #1124) FirstStartActivity calls startService() wrong lifecycle
(fixes #1125) Syncthing is disabled dialog not showing after settingschange
(fixes #1104) follow-up PR, see post in issue
(fixes #1115) corresponds to #1104
(fixes #1126) Settings screen run conditions WifiSSIDSelector UI glitch
This PR is base for further improvement regarding the following issues:
after 24 hours bug fixing marathon refactored the syncthing wrapper code to solve multiple issues related to simultaneously started threads, event processing on listeners, concurrend access to objects that should be locked on multithread access, airplane mode, wifi ssid settings UI, receiver leaks due to the lack of in Android plus registering receiver more than once or under pref circumstances not registering any receiver which causes syncthing to completely fail startup in background service mode.
recall something around 20 bugs discovered and fixed by now. ve simplified the code accross classes to minimum extend of using listeners and callbacks only where necessary. Plus, log output has been added where its crucial to understand the lifecycle of SyncthingService, SyncthingRunnable and asynchronous broadcasts callbacks from DeviceStateHolder and RestApi. ll post details and logs on some issues that exist in the current master tomorrow as really tired now (please forgive me). We can then review that whole thing.
ve already tested this to work as much as could, also stress testing the settings UI and wildly changing real conditions to see if any crash results and for now it looks good and crash free. The current master has lot of problems if for example the user stresses the run conditions UI and or quits syncthing. Also Activity lifecycles weren correct now MainActivity is kept on clicking the notification instead of being relaunched against the SingleTask policy (see manifest) All in all, Syncthing wrapper UI feels much faster and couldn get it to crash. Another problem from the master code was, Syncthing is disabled wasn properly maintained or shown if run conditions and or settings according to that changed or MainActivity was onBackPressed or paused.
would love your feedback on testing the TeamCity APK.
Promise to open the single issues ASAP so we have good write up whats fixed by this PR.</t>
  </si>
  <si>
    <t>android-hacker-VirtualXposed-200</t>
  </si>
  <si>
    <t>Crash when focusing on EditText with Autofill enabled</t>
  </si>
  <si>
    <t>**Describe the bug**
App installed in vxp crashes when focusing input box with Autofill enabled.
Steps to reproduce the behavior:
1. Enable any Autofill service like Google. etc
2. Open xposed installer or other app with input. Verify everything works without input box.
3. Try focus on EditText like search bar of xposed installer. It crashes.
4. Disable Autofill service
5. Try again and everything works including input.
Everything works including Autofill.
**Smartphone (please complete the following information):**
OS: OOS 5.1.5 (Oreo 8.1, SDK 27)
Version 0.10.1 xposed 91</t>
  </si>
  <si>
    <t>nextcloud-android-2675</t>
  </si>
  <si>
    <t>IllegalArgumentException in AccountUtils.getAccounts</t>
  </si>
  <si>
    <t>via GPlay console, mostly 3.2.0RC2 but also 3.0.0
What do you think tobiasKaminsky say we should harden it in the way that it ll fallback to the color in the xml file but not crash in any case.</t>
  </si>
  <si>
    <t>2018-06-02</t>
  </si>
  <si>
    <t>commons-app-apps-android-commons-1581</t>
  </si>
  <si>
    <t>Crash after granting permission.</t>
  </si>
  <si>
    <t>Commons crashing during granting Location permission aftr first run. am using Oreo device.
See the video: https: www.dropbox.com 3aig57i1x6pdcok 2018 06 02 17 20 08.mp4?dl
**Steps to reproduce:**
1. Turn off the GPS permission
2. Clear data
3. Start app
4. Go through the onboarding and sign in
5. Press menu icon and choose Nearby option
6. Dialogue asking for GPS permission appears, confirm it
7. Add the permission in the settings and then in the dialogue
How can we reproduce the issue?
It should show the map.
Crash. After returning to the app again, the map is shown normally.
**Device and Android version:**
HTC 10, OS 8.0.0 Oreo, stock version
**Commons app version:**
2.7.1. downloaded from Play store
**Would you like to work on the issue?**
would like to look at it. If won manage to fix this, ll let you know.</t>
  </si>
  <si>
    <t>coding-blocks-Chatter-96</t>
  </si>
  <si>
    <t>Fix app crash on launch</t>
  </si>
  <si>
    <t>On first launch, the app crashes with Unique PrimaryKey exception.
fix for this is needed.</t>
  </si>
  <si>
    <t>zouroboros-filmchecker-12</t>
  </si>
  <si>
    <t>App crashes when saving film on screen rotation</t>
  </si>
  <si>
    <t>#### Expected behavior
Application is expected to work perfectly well on any screen orientation, and save film without crashing.
#### Actual Behavior
When trying to create DM on screen rotation the app crashes
#### How to reproduce
Download and install the application here
Switch on your data connection
Launch the application
Click on the add button (+)
Input in some figures
Click on Save film (Film speichern)
While it is loading, rotate your screen
Then app crashes
Application version: v1.4.1.0
Operating system: Android v7.0
#### Recording Of The Bug</t>
  </si>
  <si>
    <t>nextcloud-android-2668</t>
  </si>
  <si>
    <t>App crash when switching to grid view</t>
  </si>
  <si>
    <t>### Actual behaviour
The app crashes
After the crash cannot access the folder anymore since it crashes again once opening it
### Expected behaviour
The app shows the grid view
### Steps to reproduce
1. Go to any folder
2. Try to switch to the grid view
### Environment data
Android version: 7.0
Device model: Moto G5
Stock or customized system: Stock
Nextcloud app version: 3.2.0 RC1
Nextcloud server version: 13.0.2
#### Android debug log
#### Nextcloud log (data nextcloud.log)
Noting special in the Nextcloud log</t>
  </si>
  <si>
    <t>2018-06-01</t>
  </si>
  <si>
    <t>nextcloud-android-2667</t>
  </si>
  <si>
    <t>android secondary user -- app crashes on startup after account credentials are provided</t>
  </si>
  <si>
    <t>### Actual behaviour
nextcloud android app crashes hardly (app stopped working) during login on server when running with secondary android user
### Expected behaviour
the app should login correctly
### Steps to reproduce
1. use android multi-user capability and create secondary user
2. login as secondary user
3. install nextcloud app (via gplay app store)
4. open nextcloud app and login into nextcloud server
5. except the local data access rights requirement
6. app crashes immediately
after the credentials are stored and the account exists
1. open nextcloud app --&gt; app crashes immediately
switch back to primary android user --&gt; app works as expected
switch back to secondary android user --&gt; app crashed immediately
### Environment data
Android version: 8.0.0
Device model: One Plus
Stock or customized system: Stock
Nextcloud app version: 3.1.0 (latest gplay app store version)</t>
  </si>
  <si>
    <t>commons-app-apps-android-commons-1579</t>
  </si>
  <si>
    <t>Explore crashes when rotating screen</t>
  </si>
  <si>
    <t>**Steps to reproduce:**
1. Open Explore
2. Rotate screen
**Add System logs:**
Caused by: cannot be cast to
**Commons app version:**</t>
  </si>
  <si>
    <t>noties-Markwon-41</t>
  </si>
  <si>
    <t>Selecting text causes crash</t>
  </si>
  <si>
    <t>Setting textIsSelectable true and then trying to select some text causes an
Fatal Exception: setSpan (-1 ... -1) starts before
After bit of searching it seems like it might be something to do with the textIsSelectable property not playing nicely with the LinkMovementMethod that is being set.
ve worked around the issue for now using the answer provided here (https: stackoverflow.com questions 22810147 extending MarkwonCompatView but it would be good to get fix in the library.</t>
  </si>
  <si>
    <t>alexstyl-Memento-Calendar-186</t>
  </si>
  <si>
    <t>Adding a new contact bday w/o photo crashes app</t>
  </si>
  <si>
    <t>#### Short Description
Application crashes when attempting to add new contact that doesn have an image associated
##### Steps to reproduce
1. Open app
2. New contact
3. Select birthday
##### Resulted in
Caused by: Attempt to invoke virtual method java.lang.Object byte .clone() on null object reference</t>
  </si>
  <si>
    <t>subchannel13-EnchantedFortress-50</t>
  </si>
  <si>
    <t>Enchanted fortress app crashes when I click on any option in landscape mode.</t>
  </si>
  <si>
    <t>### Actual behaviour
When open the enchanted fortress app in portable mode and rotate my phone in landscape mode. After that click on any option app suddenly crashes.
### How to reproduce
Download the enchanted fortress app from F-driod.
Install this app.
Open the enchanted fortress app in Portable mode.
Rotate your phone in landscape mode.
Click on any option app suddenly crashes.
Browser: enchanted fortress.
Operating system: 7.1.2
### Recording of the bug</t>
  </si>
  <si>
    <t>2018-05-31</t>
  </si>
  <si>
    <t>metinkale38-prayer-times-android-129</t>
  </si>
  <si>
    <t>The app crash when you, use Manuel city chooser</t>
  </si>
  <si>
    <t>#### Expected behavior
when using the Manuel city choose it is not so-pose to crash. and you are trying to select the new city it crash.
#### Actual behavior
when the app is been launch click on the red plus button, using Manuel city chooser it crash.
#### How to reproduce
Launch the app.
Click on the red plus button and use Manuel city chooser
Then select country
Browser App version: 3.7
Operating system: Android version 7.0
#### Recording Of The Bug</t>
  </si>
  <si>
    <t>googleads-googleads-consent-sdk-android-59</t>
  </si>
  <si>
    <t>crash on android 4.2.2 API 17</t>
  </si>
  <si>
    <t>after adding this SDK, My app didn work on android 4.2.2
see this image:
&lt;img width 1009 alt screen shot 2018-05-31 at 59 10 am src https: 20271730</t>
  </si>
  <si>
    <t>metinkale38-prayer-times-android-128</t>
  </si>
  <si>
    <t>The app crashes when clicking on the "(+)" feature and while searching for "Auto Location"</t>
  </si>
  <si>
    <t>#### Expected behavior
when accessing feature (+) and while searching for Auto Location it should not return to home page without command.
#### Actual behavior
When accessing the (+) and while searching for Auto Location feature in the app and once inside the feature the app suddenly returns to the home page automatically. have accessed and tried to repeat it, but the error persists.
#### How to reproduce
1. Install the application.
2. Open the app.
3. Click on the feature (+) in the app and click on location search feature select the location you want to access, then you will see the application will automatically return to the home page.
Device: Redmi Note 5A
Operating system: 7.1.2 N2GHz
(CPU: Octa-core Max 1.40 GHz, RAM: GB)
#### Recording Of The Bug</t>
  </si>
  <si>
    <t>2018-05-30</t>
  </si>
  <si>
    <t>mapbox-mapbox-events-android-157</t>
  </si>
  <si>
    <t>Oreo Background Service Crash</t>
  </si>
  <si>
    <t>With developers targeting Api 26+ now, background service no longer works and is creating crash. Reworking system to prevent this crash and be Oreo optimized.</t>
  </si>
  <si>
    <t>renyuneyun-Easer-117</t>
  </si>
  <si>
    <t>Crash on script activation or daemon (re-) start</t>
  </si>
  <si>
    <t>Every time try to start the daemon, the app crashes. This happened first when had the daemon running and added script. When disabling both of my scripts, the daemon runs fine. Once activate any of them, the daemon crashes immediately.
Both scripts look like this:
Title: some text
Profile: WIFI profile (one of them is switching off mobile data)
Radio buttons: Use scenario
Reverse Scenario: no
Scenario: Condition event
Condition: Cell Location
Cell ID: The cell currently in
Type: Enter (the other script: Leave)
In other words: One script disables wifi when leave my home mobile cell. The other script enables wifi when enter my home mobile cell.
0.6.3 from f-droid
Nokia 5, model TA-1053
Is there any more info you need?</t>
  </si>
  <si>
    <t>ZeevoX-Ocquarium-33</t>
  </si>
  <si>
    <t>Crashes when changing octopus size AFTER update</t>
  </si>
  <si>
    <t>*Sent by Eliyahu Gluschove-Koppel egkoppel). Created by fire (https: ).*
After updating to alpha 56, ocquarium still crashes when opening the octopus size control
#### Device info
Ocquarium build version: Alpha build #56
Device fingerprint: google taimen taimen:P PPP2.180412.013 4763960:user release-keys
1. 2018 05 30 10 12 37.mp4 (https: email-attachments 2018 05 30 10 12 37.mp4)</t>
  </si>
  <si>
    <t>ramack-ActivityDiary-158</t>
  </si>
  <si>
    <t>Activity Diary v1.2.2 crashes when I imported files with another extension</t>
  </si>
  <si>
    <t>#### Expected behavior
Activity diary allows the import and export of database which is saved in sqlite3 format. expected that on importing the database and using any available file manager for that function, ll only see the sqlite3 file in the directory where it was saved and even though other file formats can be seen, only the sqlite3 file can be imported successfully.
#### Actual behavior
When select the import function, my file manager pops-up and some files are faded which indicates that the file can be imported. However files in .pdf, .db, .kdbx etc formats can be imported and when it is imported, Activity diary said the import was successful but on going back to main menu, the app crashed.
#### How to reproduce
Ensure files of any of the aforementioned formats is available on your device.
launch the app
swipe from left to right to reveal menu
scroll down to import database (exporting database ain really necessary step to reproduce this)
browse directories to where any of the files is and select it
There toast message that import was successful
Go back to menu by pressing back button and the app crashes. &lt;hr&gt;
#### Test Enviroment
Software version: 1.2.2
Device: Tecno Camon CM
Operating system: Android 7.0
#### Recording of the bug
The above logcat was gotten gotten when imported .db file.
This one was gotten when imported .kdbx(keepass) file
Both logcats seem slightly different.</t>
  </si>
  <si>
    <t>2018-05-29</t>
  </si>
  <si>
    <t>google-ExoPlayer-4321</t>
  </si>
  <si>
    <t>Cea608Decoder Span parameter Crash</t>
  </si>
  <si>
    <t>This line tends to crash quite often for live content:
had pull request for handling the various styles in Cea608Decoders for ExoPlayer 1. For ExoPlayer 2, you have included many parts of that pull request, but you also re-designed the handling of the styles by adding the CueStyle class. So my understanding of the CueStyle might be different than yours.
This current code creates list of CueStyles, and adds them only when the captions are rendered. could identify one case when this current solution crashes. Incoming caption bytes are:
The crash itself is:
(As the line numbers suggest, we have some modifications in Cea608Decoder that is not shared (yet), but the crash should be present irrespective of our changes.)
The issue seems to be the independent handling of the characters and the spans: backspace should be able to clear any characters and possibly create empty spans as well. This list of Spans applied right before rendering seems to be fragile solution. In this specific case leading to the crash, turning on ITALIC adds two items to the span list:
Then comes BackSpace command and our indices become invalid.
The crash can be avoided simply be checking the validity of the Span indices for the current content of the StringBuilder. Although it is hard to prove that the intention of the caption provider was matching the rendered result. have few question:
1. Is the member introduced only to handle the priorities of the CEA608 styles?
1. Shouldn the preamble and mid-row styles handled in single list as they both contain the same styling options?
1. As recall, my version of Span-handling added them whenever span is closed. For example, when you set color, all previous color spans should be closed instead of adding cascading color spans to the string. Isn that better approach?
1. Currently, the Italic command adds Span for Italic, and also color White Span. Shouldn we replace the adding the white span with closing any previous color spans instead? Adding white span means that this might rendered in white irrespective of the default color setting of the user. (Cea608 had implicit white as default color and was not prepared to have any user settings like the ones provided by CaptioningManager)</t>
  </si>
  <si>
    <t>nextcloud-android-2639</t>
  </si>
  <si>
    <t>[3.2.0.RC1] Crashes on start after app update</t>
  </si>
  <si>
    <t>### Actual behaviour
Tell us what happens
Nextcloud no longer works after updating to, believe, 3.2.0.RC1.
was using my phone when received Nextcloud app crash window poping. noticed it had been updated few minutes earlier.
### Expected behaviour
Tell us what should happen
can no longer run Netcloud app as it crashes on start. uninstalled the app and installed it few times without any results.
### Steps to reproduce
1. Installing 3.2.0.RC1
2. launching the app and crash.
### Environment data
Samsung Galaxy II
Stock or customized system:
Nextcloud app version:
Nextcloud server version:
#### Web server error log
Insert your webserver log here
#### Nextcloud log (data nextcloud.log)
Insert your Nextcloud log here</t>
  </si>
  <si>
    <t>vhaudiquet-blade-player-12</t>
  </si>
  <si>
    <t>Application crashes on opening</t>
  </si>
  <si>
    <t>-Project Name: Blade player
User should be able to start and run the app without crashing
Application crash on open ,thereby not allowing user to perform any operation
How to reproduce
1. Download and install latest version of the app from github release
2. Open the application
3. The application crash immediately
-Operating System:Android 7.0
Recording of the bug</t>
  </si>
  <si>
    <t>konradrenner-kolabnotes-android-186</t>
  </si>
  <si>
    <t>Kolab Notizen v 3.1.3 Crash when select and open the Print feature in android 7.0</t>
  </si>
  <si>
    <t>When selecting and opening the Print feature, the user should be redirected to the Save as PDF or All Printers page. So users can set Paper size, Orientation, Color and more. Before starting Print.
When selecting and opening the Print feature, the app suddenly crashes and stops.
How to reproduce
Click the top right shortcut, then select and open the setup feature.
Select and open General feature, then Disable all features in it, except feature Show metainformations.
Return to the previous menu, or to the main view open the app.
Click the top right shortcut, then select and open the New notebook feature.
Enter the name of the new notebook, then click Ok to save it.
Then click the pencil icon to add summary.
Click the top right shortcut, then select and open the Print feature. Problems coming soon. *The application suddenly crashes and stops.*
Operating system: Nougat 7.0
App version: 3.1.3&lt; center&gt;
Recording Of The Bug
Proof of work done</t>
  </si>
  <si>
    <t>evernote-android-job-464</t>
  </si>
  <si>
    <t>1.3.0-alpha01 - RuntimeException while executing doInBackground()</t>
  </si>
  <si>
    <t>After switching to 1.3.0-alpha01, getting lot of the following crash report on Android and
An error occurred while executing doInBackground()
Cannot invoke removeObserver on background thread</t>
  </si>
  <si>
    <t>vhaudiquet-blade-player-10</t>
  </si>
  <si>
    <t>Blade player crashes when trying to play music</t>
  </si>
  <si>
    <t>#### Expected behavior
The app being music player app should play music files when selected to play.
#### Actual behavior
The app crashes and fails to play music
#### How to reproduce
1. Download and install latest version of the app from github release
2. Launch the app and grant storage permissions
3. Access the menu slider options by sliding the left end of the screen and then click on songs
4. Click on song to play
It will be seen that the app crashes hence, the bug.
Browser App version: app version 0.6
*Operating system: Android 6.0
#### Recording Of The Bug</t>
  </si>
  <si>
    <t>2018-05-28</t>
  </si>
  <si>
    <t>oliexdev-openScale-276</t>
  </si>
  <si>
    <t xml:space="preserve">app crash while open widget without saving User information </t>
  </si>
  <si>
    <t>#### Expected behavior
it shouldn be crash when try to open app widget without saving User information
#### Actual behavior
when try to open widget without saving User information it crash and shows me that **An unexpected error occurred**
#### How to reproduce
download the app and run it then set up with user information
then go to settings and click on users
now open user and click on delete icon for remove user
now go to widgets and find open Scale widget
then put it on home screen and it wants to configure widget
now click on save and note the bug
Browser App version: openScale v1.8.1
Operating system: android 6.0
#### Recording Of The Bug
Build version: 1.8.1</t>
  </si>
  <si>
    <t>react-native-camera-react-native-camera-1585</t>
  </si>
  <si>
    <t>I got crash at onLayout in Android.</t>
  </si>
  <si>
    <t>call for Android setup, which (I guess) result in crash as follows.
get width height ratio list and set camera aspect ratio to closest one. Some phone generates this error which found Crashlytics. guess this line needs some protective code.
More It happens almost in Huawei devices. Phone, tablet.</t>
  </si>
  <si>
    <t>zouroboros-filmchecker-11</t>
  </si>
  <si>
    <t>this app crashes when using the rossman feature if there is no internet connection after writing multiple letters</t>
  </si>
  <si>
    <t>should be when user wants to update movie files user can update it easily.
when users update movie files, but users do not have network connection and after the user wrote some letters, this application crashes and can no longer be opened
HOW TO REPRODUCE
DOWNLOAD FILM CHEKER APP FROM F-DROID OR PLAYSTORE
LAUCH THE APP
TURN OFF YOUR DATA CONNECTION
CLICK ON+ OPTION
TYPE SOME LETTER AND NOTE THE BUG
BROWSER FILM CHEKER 1.4.1.0
DEVICE ANDROId 6.0</t>
  </si>
  <si>
    <t>2018-05-27</t>
  </si>
  <si>
    <t>OpenArchive-Save-app-android-66</t>
  </si>
  <si>
    <t>CRASH OCCUR WHEN ATTEMPTING TO OPEN AN MP3 OT MP4 FILE WITHIN OPRNARCHIVE</t>
  </si>
  <si>
    <t>#### Actual behavior
Openarchive crashes and quits the upload page when attempting to open .mp3 or .mp4 extension files which were imported from sdcard.
#### How to reproduce
Click on the floating action button, to reveal the import media icon.
Click the import media icon and import mp4 and mp3extension files from your sdcard.
After importing, click on any of the files from the home page to access it.
Then click on the thumbnail within the upload page.
The app should crash and quit the upload page.
#### TESTING ENVIRONMENT
Browser App version: v0.0.17 beta
Operating system: Android v6.0 marshmallow
Device: Itel p12</t>
  </si>
  <si>
    <t>googleads-googleads-consent-sdk-android-44</t>
  </si>
  <si>
    <t>NoClassDefFoundError causing crashes in version 1.2</t>
  </si>
  <si>
    <t>All occurences happening on **Android 4.2**</t>
  </si>
  <si>
    <t>k3b-APhotoManager-124</t>
  </si>
  <si>
    <t>crash in create xmpfile from png/gif when addig geo/tags/exif-data</t>
  </si>
  <si>
    <t>when you ty to add meta data (geo tags exif) to png or gif file the app may crash
when it tries to generate new xmp file from the content of png gif (which has no jpg-exif-datablock)
Photo Manager all Versions (i.e. 0.6.4)</t>
  </si>
  <si>
    <t>SecUSo-privacy-friendly-netmonitor-57</t>
  </si>
  <si>
    <t>startup crash</t>
  </si>
  <si>
    <t>Latest version on f-droid won even start up. Running android 4.4.4 on at zte n817. Not much can do for debug as virgin mobile has this thing locked down tight so can access logs. Not sure adb will do the job either, my data cable needs replacing.</t>
  </si>
  <si>
    <t>2018-05-26</t>
  </si>
  <si>
    <t>MCMrARM-revolution-irc-134</t>
  </si>
  <si>
    <t>click on continue without password crashes the app while Restore a Backup file</t>
  </si>
  <si>
    <t>#### Expected behavior
it shouldn crash when click on continue without password for **Restore Backup**
#### Actual behavior
for **Restore Backup** select file from **Google Drive** and when click on continue without password crashes the app
#### How to reproduce
download the app and run it
click on (+) and Add new server
then go to settings and click on Backup and click on **Create new Backup** and save it to your Google Drive with password
then try to restore without password
and note the bug.
Browser App version: Revolution Irc V0.3.2
Operating system: android 6.0
#### Recording Of The Bug</t>
  </si>
  <si>
    <t>Fr4gorSoftware-SecScanQR-38</t>
  </si>
  <si>
    <t xml:space="preserve"> buildToolsVersion '26.0.2' causes reboot on CM11</t>
  </si>
  <si>
    <t>Launching SecScanQR on my xperiaP with CyanogenMod11 will reboot the phone. Simply installing the app will cause crashes on other background apps services. This is problem already had with other apps and the cause was some incompatibility of the buildToolsVersion with my version of CM. More info here: https: gitlab.com fdroid fdroiddata issues 979
tried to compile the app with Android Studio and change buildToolVersion and found that upgrading the buidToolVersion from 26.0.2 to 27.0.3 solves the problem. Android Studio also automatically added some dependencies to gradle.build and other stuff don understand (I have zero knowledge in Android development).
For now using the local fixed version but (and probably also the other few with my specific configuration) will appreciate if the change can be done on the published version. Thank you.
This is the logcat captured just before the reboot:</t>
  </si>
  <si>
    <t>jacob-g-cleveland-rta-next-bus-train-115</t>
  </si>
  <si>
    <t>Getting BadTokenException</t>
  </si>
  <si>
    <t>The follow information comes from the crash log:</t>
  </si>
  <si>
    <t>OpenArchive-Save-app-android-63</t>
  </si>
  <si>
    <t>Taking a photo with PicsArt Camera break OpenArchive</t>
  </si>
  <si>
    <t>like taking pictures with PicsArt camera due to the fact that it produces better output than my stock camera does.
constantly experiencing crash with Openarchive v0.017 beta 5, each time choose PicsArt camera as medium to take photos.</t>
  </si>
  <si>
    <t>2018-05-25</t>
  </si>
  <si>
    <t>amit-bhandari-AB-Music-Player-18</t>
  </si>
  <si>
    <t>App Crashes On Creating A Playlist.</t>
  </si>
  <si>
    <t>This one is weird tell you. Creating and accessing playlist with the name Then Or When crashes the app instantly.
don know which other words do this, but these two seem to be having conflict with the app.</t>
  </si>
  <si>
    <t>aionnetwork-aion-505</t>
  </si>
  <si>
    <t>properly shutdown zmq socket</t>
  </si>
  <si>
    <t>Please include brief summary of the change that this pull request proposes. Include any relevant motivation and context. List any dependencies required for this change.
Zmq socket doesn shutdown properly. It causes the client side native zmq lib has chance to throw errors and crash the application when the kernel is shutting down.
## Type of change
Insert **x** into the following checkboxes to confirm (eg. ):
Breaking change (a fix or feature that causes existing functionality to not work as expected).
Requires documentation update.
Please describe the tests you used to validate this pull request. Provide any relevant details for test configurations as well as any instructions to reproduce these results.
use javaAPI client API test suite to verify the issues.
Insert **x** into the following checkboxes to confirm (eg. ):
have self-reviewed my own code and conformed to the style guidelines of this project.
New and existing tests pass locally with my changes.
have added tests for my fix or feature.
have made appropriate changes to the corresponding documentation.
My code generates no new warnings.
Any dependent changes have been made.</t>
  </si>
  <si>
    <t>2018-05-24</t>
  </si>
  <si>
    <t>TsimpDim-PassBuy-71</t>
  </si>
  <si>
    <t>Some times app crashes at Launch cause of bestsupermarket value</t>
  </si>
  <si>
    <t>home screen, Thread stores, best supermarket UI. crusharei thread.</t>
  </si>
  <si>
    <t>Swati4star-Images-to-PDF-66</t>
  </si>
  <si>
    <t>Demo apk is continuously getting crash</t>
  </si>
  <si>
    <t>Demo apk getting crashed on each opening</t>
  </si>
  <si>
    <t>gini-gini-vision-lib-android-209</t>
  </si>
  <si>
    <t>Fixed QRCode crash caused by Indian IFSC QRCodes</t>
  </si>
  <si>
    <t>Indian IFSC QRCodes start also with bank: and even though they don contain URI Uri.parse() parsed it and returned bank as the scheme so our parser didn stop and tried to get query parameters which caused an in Uri The exception is caught now and wrapped in the expected exception.
### How to test
Run one of the example apps and scan the QRCode below:</t>
  </si>
  <si>
    <t>mauron85-react-native-background-geolocation-201</t>
  </si>
  <si>
    <t>Attempt to invoke virtual method 'void com.marianhello.bgloc.LocationService.configure(com.marianhello.bgloc.Config)' on a null object reference</t>
  </si>
  <si>
    <t>## Your Environment
Plugin version: 0.5.0-alpha.30
OS version: Oreo 8.0
Device manufacturer and model: Samsung Galaxy S8
React Native version: 0.55.4
## Actual Behavior
Sometimes the plugin crashes, randomly.
## Steps to Reproduce
Start the app, many times, and randomly once will crash.
The plugin is not started, just configured.
## Debug logs
Only the error message in issue title.
export default class App extends Component&lt;Props, State&gt;
DISTANCE FILTER PROVIDER
console.error( Configuration Error</t>
  </si>
  <si>
    <t>niclabs-adkintunmobile-androidclient-193</t>
  </si>
  <si>
    <t>KeyCharacterMap.java line 334</t>
  </si>
  <si>
    <t>2018-05-23</t>
  </si>
  <si>
    <t>singhrohan62-FriendlyChat-1</t>
  </si>
  <si>
    <t>Firebase Authentication not working</t>
  </si>
  <si>
    <t>The app is getting crashed as the authentication via Google Sign-In is not implemented properly.</t>
  </si>
  <si>
    <t>twilio-voice-quickstart-android-175</t>
  </si>
  <si>
    <t>Crash when starting activity from service on some Android versions</t>
  </si>
  <si>
    <t>The app crashes on some Android versions when receiving call, because the service is calling startActivity, which requires the flag FLAG ACTIVITY NEW TASK.
(This seems to be fixed by adding this flag)
### Steps to Reproduce
1. Do the quickstart setup steps 1-9. The app will crash when receiving the call.
#### Expected Behavior
Receive the call as the setup step describes.
#### Actual Behavior
The app crashes see log below.
#### Reproduces How Often
FATAL EXCEPTION: main
#### Voice Android SDK
#### OS Version
#### Device Model
HTC One M8 Android 4.4.2
Motorola Nexus Android 5.0.1
Nexus 5X Android 6.0
The crash does not happen on: Pixel with Android 8.1</t>
  </si>
  <si>
    <t>smartdevicelink-sdl_java_suite-770</t>
  </si>
  <si>
    <t>Bugfix/issue 761 potential NPE with usb and multiplexing app</t>
  </si>
  <si>
    <t>This PR is **ready** for review.
This PR makes **no** API changes.
### Testing Plan
Test against Ford TDK unit to ensure no crashing
Because USB app sets as null since it does not use multiplexing, multiplexing app can still try and send broadcast to it, resulting in an NPE. We add second check to the localRouterClass object to ensure its not null to satisfy this case.
### Tasks Remaining:
Test it out
have signed the CLA (https: docs.google.com forms viewform)</t>
  </si>
  <si>
    <t>2018-05-22</t>
  </si>
  <si>
    <t>ashwin-phadke-Smart-Home-Security-App-2</t>
  </si>
  <si>
    <t>Trying to add a geofence crashes app.</t>
  </si>
  <si>
    <t>When app is been open, any operation been performed on the app should not malfunction or create crash to the app.
Trying to create new geofence crashes app instantly.
How to reproduce
Download the app.
Open app, then register or sign up or create an account using email.
After, then you click on MANAGE GEOFENCE. From the options displayed.
Then on the fresh page click on the plus option st the lower corner of the page.
From the pop up, fill all necessary information to add new geofence. Then click on ADD.
Bug is visible.
App version: 1.0
Operating system: Android Nougat 7.0
Recording of the bug</t>
  </si>
  <si>
    <t>TeamNewPipe-NewPipe-1414</t>
  </si>
  <si>
    <t>Unable to Open Downloads</t>
  </si>
  <si>
    <t>Every time try to access the downloads section via the main menu the app crashes with this message. have tried uninstalling and reinstalling, clearing NewPipe data, and deleting all media files in the storage locations.</t>
  </si>
  <si>
    <t>2018-05-21</t>
  </si>
  <si>
    <t>commons-app-apps-android-commons-1545</t>
  </si>
  <si>
    <t>Top crashes on Play Store for v2.7.1</t>
  </si>
  <si>
    <t>Top crashes by number of reports in Play Store dev console. Unfortunately this is all the data we have, we do not get user comments on the dev console nor do we know how to reproduce the crashes. However, we still need to try to fix them before 2.8 #1478
**Commons app version:**
2.7.1 production on Play Store
**Would you like to work on this?**
Please feel free to attempt any one of these crashes by citing the reference letter (e.g. #1545 (A)). It may be worth referring to #1130 as some of these are old crashes, and methods for fixing it might have been discussed there (albeit not implemented yet).
## Crashes, in order of number of reports:
Reports 55 Last 30 days
Reports total 109 Lifetime
Impacted users 41 Lifetime
Android 7.0 28
Android 7.1 15
Android 5.1 12
Reports 14 Last 30 days
Reports total 41 Lifetime
Impacted users Lifetime
Android 8.0 42.9%
Android 7.1 42.9%
Android 7.0 14.3%
Reports 12 Last 30 days
Reports total 12 Lifetime</t>
  </si>
  <si>
    <t>eduvpn-android-171</t>
  </si>
  <si>
    <t>App crashes on screen rotation during discovering API</t>
  </si>
  <si>
    <t>#### Expected behavior&lt;br&gt;
The app must be stable on screen rotation during discovering API.&lt;br&gt;
#### Actual behavior&lt;br&gt;
But the app crashes on screen rotation during discovering API.&lt;br&gt;
#### How to reproduce&lt;br&gt;
1. Install the app from playstore.&lt;br&gt;
2. Launch the app.&lt;br&gt;
3. Click on &amp;quot Safely use the internet&amp;quot option.&lt;br&gt;
4. Now select aby of the country from the list. And it will start discovering the API.&lt;br&gt;
5. Before the discovering of API completes change the orientation of the screen to landscape mode. And click any where on the screen.&lt;br&gt;
The app crashes.&lt;br&gt;
App Version: 1.2.2&lt;br&gt;
Device: Samsung Galaxy J5&lt;br&gt;
Operating System: Android 6.0.1&lt;br&gt;
#### Recording Of The Bug&lt;br&gt;</t>
  </si>
  <si>
    <t>michael-rapp-ChromeLikeTabSwitcher-16</t>
  </si>
  <si>
    <t>Fix crash on Api 16</t>
  </si>
  <si>
    <t>No idea why the model is null here, but this works.
See crashes: http: crashes.to 2d2a3d61fb4</t>
  </si>
  <si>
    <t>2018-05-20</t>
  </si>
  <si>
    <t>fennifith-Status-128</t>
  </si>
  <si>
    <t xml:space="preserve">crash when screen rotate </t>
  </si>
  <si>
    <t>#### EXPECTED BEHAVIOR
when users change the position of their phone screen users should still be able to use this app well
#### ACTUAL BEHAVIOR
when the user changes the position of their phone screen then the user refresh the list of applications that will make the status, this application will crash.
#### HOW TO REPRODUCE
download app status from playstore
Once installed launch the application.
Scroll to the apps section
then change the position of your smartphone screen from portrait mode to landscape mode
slide again sideways to the icons section after that slide again to the apps section and see if this app will crash
#### BUG RECORDING
#### logcat file
FATAL EXCEPTION: main</t>
  </si>
  <si>
    <t>fr3ts0n-AndrOBD-58</t>
  </si>
  <si>
    <t>AndrOBD - App Crashes When tabbing 'No Devices Paired' option.</t>
  </si>
  <si>
    <t>The app shouldnot have stopped while simply tabbing the **No Devices Paired** text.
But the app crashes after tabbing the **No Devices Paired** option from **Select adapter** section.
**How to reproduce**
1. First download the app from F-Droid.
2. Launch the app.
3. Deny the bluetooth if asked.
4. Then select any of the ECU address as given. It is not necessary to select any of those. If you do not want, simple press cancel.
5. You can see crossed **Adapter** *icon* at the top. Tab on that. It shows *Demo mode stopped*.
6. Tap that **Adapter** *icon* again. You can see **No Devices Paired** text. Simply tab on that.
The app then crashes.
App Version v2.0.2
Operating System Android 6.0
Device Lava Iris 50
**Recording of the bug**</t>
  </si>
  <si>
    <t>renyuneyun-Easer-107</t>
  </si>
  <si>
    <t>Crashes on deleting Active Conditions</t>
  </si>
  <si>
    <t>just noticed that when condition which is active in script is deleted, it causes problems even when the app is not connected.
When that is done, accessing the active script which had that condition tied to it causes EASER to crash.
App version: v0.6</t>
  </si>
  <si>
    <t>freshollie-UsbGps4Droid-12</t>
  </si>
  <si>
    <t>App crashes on screen rotation on Choose Usb Gps page</t>
  </si>
  <si>
    <t>#### Expected behavior&lt;br&gt;
The app must be stable during screen rotation on &amp;quot Choose Usb Gps&amp;quot page.&lt;br&gt;
#### Actual behavior&lt;br&gt;
But the app crashes on rotating the screen on &amp;quot Choose Usb Gps&amp;quot page.&lt;br&gt;
#### How to reproduce&lt;br&gt;
1. Install the app from releases page.&lt;br&gt;
2. Launch the app.&lt;br&gt;
3. Click on settings icon from top right corner of the app and click on &amp;quot Choose Usb Gps&amp;quot option.&lt;br&gt;
4. Now change the orientation of the screen to landscape mode.&lt;br&gt;
The app crashes.&lt;br&gt;
App Version: beta-v2.1.5&lt;br&gt;
Device: Samsung Galaxy J5&lt;br&gt;
Operating System: Android 6.0.1&lt;br&gt;
#### Recording Of The Bug&lt;br&gt;</t>
  </si>
  <si>
    <t>2018-05-19</t>
  </si>
  <si>
    <t>k9mail-k-9-3401</t>
  </si>
  <si>
    <t>The app encountered an error while creating the account (IMAP) and crashed when clicking on the "write email" feature</t>
  </si>
  <si>
    <t>##### Expected behavior
Supposedly, the user can not enter the Inbox page without setting up the server and connecting it. Also, the write email feature should have no errors.
#### Actual behavior
##### First problem
When set up new account by choosing an account type (IMAP), and after being on the server settings page, accidentally exit the app, suddenly when open the app again already on the page Inbox Though do not connect the server.
##### Second problem
And when try to click the write email feature, suddenly the application crashes and exit by itself.
#### How to reproduce
##### First problem
1. Install and open the app
2. Next go to the Set up new account
3. Next fill in Email address and Password
4. Next click Manual setup
5. Next, select the account type IMAP
6. Once in the Incoming server settings page, please exit the application.
7. Next please log back into the application, then you will find the error as experienced (*you will suddenly be at Inbox *)
##### Second problem
1. If you are already in the Inbox page, please click on the Write email feature. Then the application will crash and exit by itself. And when you try to log back in, the app returns to the page when it first installs.
Device: Xiaomi Redmi 4X
Operating system: Marshmallow, 6.0.1 mmb29m (CPU: Octa-core Max 1.9 GHz, RAM: GB)</t>
  </si>
  <si>
    <t>cniesen-morsetrainer-10</t>
  </si>
  <si>
    <t>App crashes when starting the trainer without selecting a training file</t>
  </si>
  <si>
    <t>ramack-ActivityDiary-153</t>
  </si>
  <si>
    <t>App crashes while clicking on undo option.</t>
  </si>
  <si>
    <t>### Actual behaviour
When open the activity diary app and delete all activities and add new activity.i Add Image and note.then click on options botton and select diary options Then select recent added activity Change start and end date then go back back to main menu and click on recent added activity and want to undo this when click on undo add crashes.
### How to reproduce
Open the activity diary app.
Delete all activities.
Add new activity.
Select photo and write note.
Click on options botton.
Select diary option.
Change start and end date.
Go back to main menu.
Click on recent added activity.
Click on undo option.
After clicking on undo option app crashes.
Browser: Activity diary.
### Recording of the bug</t>
  </si>
  <si>
    <t>renyuneyun-Easer-106</t>
  </si>
  <si>
    <t>Renaming Profile/Scenario makes Easer Crash</t>
  </si>
  <si>
    <t>Renaming profile or scenario that is used in script makes Easer crash. After that it crashes every time open it. fixed it by reinstalling it and assure the profile or scenario want to rename is not used.</t>
  </si>
  <si>
    <t>2018-05-18</t>
  </si>
  <si>
    <t>hzi-braunschweig-SORMAS-Project-611</t>
  </si>
  <si>
    <t>Automatic app update does not work on old LG devices</t>
  </si>
  <si>
    <t>It just crashes when trying to install the app (download is working).</t>
  </si>
  <si>
    <t>citiususc-calendula-118</t>
  </si>
  <si>
    <t>Calendula app crashes when accessing notification settings</t>
  </si>
  <si>
    <t>#### Expected behavior
The app should remain stable and should not crash when notifications sound is changed.
#### Actual behavior
The app crashes when new notification sound is selected and continues subsequent crashes that ensures users can no longer notification settings.
#### How to reproduce
Download and install latest app version
Click on settings (This can be accessed by clicking on the lines in the top left corner of the app)
Rotate phone to landscape mode
Click on notifications
Change notification sound to an mp3 song preferably
The app crashes and notification sound cannot be accessed again until it is re-installed
Browser App version: Calendula app version 2.5.5
*Operating system: Android 6.0
#### Recording Of The Bug
This is the recording showing the crash when trying to set the notifications settings
This is the recording showing subsequent crashes</t>
  </si>
  <si>
    <t>MrStahlfelge-gdx-gamesvcs-26</t>
  </si>
  <si>
    <t>GPGS Android: Disconnect from service while saving leads to crash</t>
  </si>
  <si>
    <t>In very rare cases, app crashes with the following cause:
This is probably caused by disconnecting from GPGS while cloud save is still running.
There are two possible approaches to prevent this crash:
1) do not disconnect while cloud save is running
2) catch the exception and return failed cloud save</t>
  </si>
  <si>
    <t>citiususc-calendula-117</t>
  </si>
  <si>
    <t>Calendula app gets crashed.</t>
  </si>
  <si>
    <t>### Actual behavior
When opened the calendula opensource android app. And after that clicked on the options present on the top left corner of the page. And then clicked on settings option. After that clicked on medicine database. And then selected database. After that clicked on check for updates. Then pressed back button twice. Suddenly the app crashed.
### How to reproduce
First you need to download the app from fdroid and then install it, after that open the app.
Click on the options present on the top left corner of the page.
And then click on settings option.
After that click on medicine database.
Then select database and click on check for updates. After that press get back to mainscreen of the app. Suddenly the app will get crashed.
Device model: Redmi</t>
  </si>
  <si>
    <t>lfuelling-lrkFM-17</t>
  </si>
  <si>
    <t>Made the app crash when trying to delete a folder</t>
  </si>
  <si>
    <t>After opening the app, hope through this app can allow me to delete some junk folder. But, when try to delete some folders there, the folder can not be deleted and the app becomes crashed.
1. Open the app
2. After opening the app, there will be some of your folders there, press the dotted feature that is in front of the folder, then there will be delete feature
3. After pressing delete, the app will crash, and the folder cannot be deleted.
rkFM app version 1.6.4
Operating system by Oppo a57 android version 6.0.1
Video recording bugs on youtube</t>
  </si>
  <si>
    <t>lfuelling-lrkFM-16</t>
  </si>
  <si>
    <t>App crash when editing bookmark</t>
  </si>
  <si>
    <t>When edit an already-added bookmark, the app crashes. originally added bookmark, then want to edit it, but the app crashes when press ok after editing.
Reproduce bug following the steps below
1. Open the app
2. Go to add bookmark, then save the bookmark by pressing ok.
3. after finishing the save, go to the bookmark that has been saved for editing.
4. Renaming the bookmark and pressing ok will make the application crash
Also recording the bug on youtube
&lt;&lt;&lt; log count 10 &gt;&gt;&gt;
Skipped frames! The application may be doing too much work on its main thread.
Skipped frames! The application may be doing too much work on its main thread.
Skipped frames! The application may be doing too much work on its main thread.
Logcat Posting pending logs</t>
  </si>
  <si>
    <t>2018-05-17</t>
  </si>
  <si>
    <t>lfuelling-lrkFM-15</t>
  </si>
  <si>
    <t>Application crashes when deleting bookmark</t>
  </si>
  <si>
    <t>After adding bookmark, trying delete it again, and yeah, bookmarks are erased. But the app also crashes after the bookmark has been deleted.
Reproduce of the bug follow the steps below
1. Open the app.
2. Go to settings and choose UI to enable boomark edit mode.
3. Then, add bookmark and afterwards press delete.
4. Then the app will crash.
lrkFM app version 1.6.4
Operating system: Oppo a57 android version 6.0.1
Recording the bug on youtube</t>
  </si>
  <si>
    <t>dimagi-commcare-android-2005</t>
  </si>
  <si>
    <t>Set submission ordering # at same time we mark a form as completed</t>
  </si>
  <si>
    <t>**Includes https: github.com dimagi commcare-android pull 2004, review merge that first.**
This will fix http: manage.dimagi.com default.asp?276261. realized what was happening here from examining the device logs surrounding submission of the forms that Derek linked in that ticket. Because of where we were previously calling crash that occurred at the end of form entry would result in the FormRecord being successfully saved as complete, but never having its submission ordering number set (and therefore having value of -1). This PR fixes that by setting the submission order number at the same time we update FormRecord status to STATUS COMPLETE (The crashes themselves that were occurring post-form entry were varied and none of them seemed particularly alarming, so chose to focus on fixing the fact that any sort of crash would cause this malfunction).</t>
  </si>
  <si>
    <t>react-native-camera-react-native-camera-1567</t>
  </si>
  <si>
    <t>Ios Runtime Problems with FaceDetection object</t>
  </si>
  <si>
    <t>### Which implementation are you using
### Steps to reproduce
1. yarn add react-native-camera
1. react-native link react-native-camera
1. swap out the Podfile line with this: pod react-native-camera subspecs: RCT RN FaceDetector path: .. node modules react-native-camera
1. run pod install
1. download all tar.gz google libraries using the links in the main react-native-camera readme
1. unzip all to Downloads gmv folder (via tar -zxvf .. &lt;eachFile&gt;.tar.gz
1. delete the copy and BarcodeDetector folders (and all the dummy.txt files)
1. In xcode right click on the Frameworks folder (I already have one) and add all folders in the gmv folder (namely: Detector, FaceDetector, Frameworks, and MVDataOutput) with the copy-items and create-groups options.
1. add the AddressBook framework in build phases -&gt; link section
1. add the -lz option to the linker flags (I already have -lc++ and -Objc options)
1. Cmd-Q to quit xcode and then restart it
1. use xcode to run it on my phone
1. watch the app crash with TypeError: cannot read property fast of undefined triggered by faceDetectionMode
### Does it work with Expo Camera?
### Expected behaviour
App should not crash and should work the same way the android side does.
### Actual behaviour
Red box error: TypeError: cannot read property fast of undefined triggered by faceDetectionMode</t>
  </si>
  <si>
    <t>lfuelling-lrkFM-14</t>
  </si>
  <si>
    <t>LrkFM 1.6.4: App crashes as it tries to go beyond the device root folder.</t>
  </si>
  <si>
    <t>#### Expected behavior
Taking the directory back to parent folder making use of the arrow cap icon at the bottom right, when the device root folder is reached it isn suppose to go any further. There shouldn be any more activity to perform beyond that.
#### Actual behavior
On going back the directory levels and reaching the root folder the application crashes when the icon is tapped again.
#### How to reproduce
1. On the app main page showing the files, make use of the arrow cap icon at the bottom right to go back the directory levels till the root folder is reached.
2. You can check the current folder by looking at the top of the side menu.
3. Try to go back again using that icon and app will crash.
App version: 1.6.4
Device: Tecno K7
Operating system: Android Nougat 7.0</t>
  </si>
  <si>
    <t>itprojects-InboxPager-16</t>
  </si>
  <si>
    <t xml:space="preserve">App crashes while deleting account in landscape mode. </t>
  </si>
  <si>
    <t>### Actual behavior
had downloaded this app soo far and today made an account in it. After that opened it and want to delete the account which had made before.
After clicking the account and then rotated the to landscape mode in the settings of the account in this app. When clicked on delete option mentioned on the top of the page in landscape mode. The app suddenly crashes.
### How to reproduce
Download the app from droid.
Make an account in it.
After that open the account by just clickinh on it.
On the top right corner of the page click on dots.
Here appears setting option click on it to open.
Rotate the phone to landscape mode.
After that click on delete option.
Unfortunately the app will crash.
Browser: Inbox pager.
Operating system :5.1.1</t>
  </si>
  <si>
    <t>itprojects-InboxPager-15</t>
  </si>
  <si>
    <t>Inbox pager app gets crashed.</t>
  </si>
  <si>
    <t>### Actual behavior
opened the inbox pager opensource android app. After that clicked on the options present on the top right corner of the page. And then clicked on account option to add an account. After that filled the given details. And then clicked on back button to get to the homescreen of the app and then clicked on the saved account. After that clicked on the options present on the top right corner. opened the settings. And then clicked on try incoming, app suddenly crashed. And even when clicked on try outgoing, same was the case with that, app crashed.
### How to reproduce
First you need to download the app from fdroid and then install it. After that open the app.
Click on the options present on the top right corner of the page.
Click on the account option to add an account.
Fill the given details.
And then save it.
After that click on the saved account name. And then click on the option present on the top right corner. Open the settings.
Then click on try incoming option. Suddenly the app will crash.
Or you can also click on try outgoing, same is the case with that. App crashes suddenly.
Browser: Inbox pager.</t>
  </si>
  <si>
    <t>itprojects-InboxPager-13</t>
  </si>
  <si>
    <t>### Actual behavior
When opened the app after that clicked on the options present on the top right corner. After that clicked on account to add an account. And then there filled the given blanks. After that filled the IMAP and SMTP blanks. And saved it. After that tried to edit the IMAP. And then clicked on save, but unfortunately the app suddenly crashes.
### How to reproduce
First you need to download the app from fdroid and install it. Open the app.
Click on the options present on the top right corner.
Then click on account to add an account.
After that fill all the blanks. And save it.
Get back and then try to edit the IMAP.
And click on save. But unfortunately the app will crash suddenly.
Browser: Inbox pager
Device model: Redmi 4.</t>
  </si>
  <si>
    <t>square-okhttp-4008</t>
  </si>
  <si>
    <t>The header of response has Chinese , and crash by IllegalArgumentException</t>
  </si>
  <si>
    <t>download file but the header of response has Chinese, and crash by
The detail like this:
How can handle</t>
  </si>
  <si>
    <t>k3b-ToGoZip-10</t>
  </si>
  <si>
    <t>Settings may crash with NumberFormatException if number="" (i.e. after choosing language).</t>
  </si>
  <si>
    <t>### Actual behavior
opened the app and then clicked on edit after that clicked on select which is at the bottom of the right corner. And then in Settings clicked on output zip file, short text file in zip, long file:Min text Len and then in long text file in zip, options. In all the options removed all the text and putted numbers. After that clicked on language and choosed language. Suddenly the app crashed. And then tried to open the app again. But everytime it always crashed.
### How to reproduce
First you need to download the app from fdroid and then install it. After that open the app.
Click on the edit and then on select.
After that in settings press on the output zip file, short text file in zip, long file:Min text Len. And remove the text and numbers.
Then click on language and choose anyone. Suddenly the app will crash.
After that try to open the app. But unfortunately you will not be able to open the app. As it always crashes. have to uninstall it and then install it again.
Device model: Redmi</t>
  </si>
  <si>
    <t>getodk-collect-2214</t>
  </si>
  <si>
    <t>ArrayOutOfBoundsException in FileArrayAdapter.getView</t>
  </si>
  <si>
    <t>is the line the crash happens on.
This code was recently added in #1970 to add dynamic search bar to Google drive.</t>
  </si>
  <si>
    <t>2018-05-16</t>
  </si>
  <si>
    <t>smartdevicelink-sdl_java_suite-761</t>
  </si>
  <si>
    <t>Potential NPE in SdlBroadcastReceiver for USB app</t>
  </si>
  <si>
    <t>### Bug Report
USB app can potentially crash within onReceive() method of due to null
Device has USB app and Multiplexing app installed
##### Reproduction Steps
1. Connect USB app to head unit
2. Connect Multiplexing app to head unit
##### Expected Behavior
App does not crash
##### Observed Behavior
USB app crashes intermittently
##### OS Version Information
Android Version: Android Nougat 7.1.1
SDL Android Version: 4.5.0
Multiplexing app tries to invoke context, Intent intent, List&lt;ResolveInfo&gt; apps) with apps being non-null and apps size greater than (in this case 2) and intent action of: This could be the result from waking up the router service, client pinging, request transport status and more.
AndroidTools then explicitly sends broadcast to each app in the list with given intent. This includes the USB app.
When the intent action is will pass the return statement for USB attachment and eventually get here (https: github.com smartdevicelink sdl android blob master sdl android src main java com smartdevicelink transport
if (localRouterClass null)
ResolveInfo info META DATA)
But per the guide instruction, for USB app, we return null for here (https: en guides android getting-started using-aoa-protocol ). This results in NPE as the framework is trying to resolve the intent using the null class object.</t>
  </si>
  <si>
    <t>facebook-buck-1890</t>
  </si>
  <si>
    <t>BUCK crashes on the latest NDK</t>
  </si>
  <si>
    <t>with NDK 17. Some architectures were removed
... 27 more
Caused by: Users zsweers dev android android-sdk ndk-bundle sources cxx-stl gnu-libstdc++ 4.9 libs armeabi doesn exist.</t>
  </si>
  <si>
    <t>metinkale38-prayer-times-android-121</t>
  </si>
  <si>
    <t>Crash app when accessing Restore / Backup feature</t>
  </si>
  <si>
    <t>#### Expected behavior
Supposedly, the Backup Restore feature works normally and does not cause crashes in the application.
#### Actual behavior
When click on the Backup Restore feature in the settings feature, the Application stops automatically.
#### How to reproduce
1. Get the Prayer Times app on F-Droid
2. After you successfully install the app, Open the app.
3. Enter the settings menu
4. Click the Restore Backup feature, then the app will stop.
Browser Redmi Note 5A
System Operating 7.1.0 Nougat
App Version 3.7
#### Recording Of The Bug
#### Proof Of Work Done</t>
  </si>
  <si>
    <t>niclabs-adkintunmobile-androidclient-192</t>
  </si>
  <si>
    <t>ConnectivityTest.java line 106</t>
  </si>
  <si>
    <t>google-ar-sceneform-android-sdk-28</t>
  </si>
  <si>
    <t>Gray lines instead of camera feed in Galaxy S9 ARCore app builds</t>
  </si>
  <si>
    <t>When build and run the Hello Sceneform and Solar System projects that downloaded while following the Android Quickstart https: ar develop java quickstart (https: ar develop java quickstart), all see on my phone (a Galaxy S9) are these shifting gray black lines
screenshot 20180515-085346 hello sceneform (https: 1720758 with the moving ARCore hand phone on top.
can download and run ARCore apps from the store without hitch. The S9 is the only ARCore-compatible phone can test with. using Android Studio 3.2 preview, Windows 10, ARCore 1.2, and Android 8.0.0.
When try running on any emulator device, it immediately crashes before displaying anything, which is likely due to the fact that don think my desktop GPU supports OpenGL ES 3.1, based on the output when run adb logcat grep eglMakeCurrent Right now my goal is just to get it working on my phone, though.</t>
  </si>
  <si>
    <t>syncthing-syncthing-android-1090</t>
  </si>
  <si>
    <t>Syncthing app gets crashed.</t>
  </si>
  <si>
    <t>### Actual behavior
opened the syncthing open android app. And then there appears loading web gui. clicked the back arrow present on the top left corner and then clicked on the options present on the top left corner. After that clicked on the settings and then opened the syncthing options. After all this clicked on the incoming rate limit and then putted numbers, and clicked on ok. Suddenly the app crashed. Second time clicked on outgoing rate limit and there putted some numbers, and then clicked on ok. The app suddenly crashes. Third time removed all numbers in both incoming as well as outgoing and clicked on ok. Same was the case with that. The app crashed.
### How to reproduce
First you need to download the app from fdroid and then install it, open it.
Click on the back arrow present on the top left corner.
Then click on the options present on the top left corner.
After that open the settings option.
There click on the incoming rate limit and then put some numbers and click on ok. Suddenly the app will crash.
can also try in outgoing rate limit. Same is the case with that, app crashes.
Or if we remove the numbers in both incoming as well as outgoing then press ok. App suddenly crashes.
Device model: Redmi</t>
  </si>
  <si>
    <t>renyuneyun-Easer-101</t>
  </si>
  <si>
    <t>App crashes while clicking on added script with disabled plugin</t>
  </si>
  <si>
    <t>### Actual behaviour
When open the easer app and open the options.i select settings option.then open Enabled plugins and turn off time plug.then go back to main menu.Again click on options botton and select script option. Then click on recent added script app crashes.
### How to reproduce
Open the easer app.
Click on options botton.
Select settings option.
Then click on enabled plugins option.
Turn off time plug.
Then back to main menu.
Again click on options botton.
Click select script option.
Click on recent added script.
*After clicking on recent added script app crashes.
*Operating system: 7.1.2
### Recording of the bug</t>
  </si>
  <si>
    <t>or-dvir-EasySettings-1</t>
  </si>
  <si>
    <t>Index of bound when HeaderSettingsObject is the first element in array</t>
  </si>
  <si>
    <t>played around with EasySettings today and really like it. Found crash when is the first element in array. To reproduce use:
new this will cause index of bound
new checkBoxKey checkbox title false)
.setSummary( checkbox summary</t>
  </si>
  <si>
    <t>koral---android-gif-drawable-547</t>
  </si>
  <si>
    <t>Crash in Android-6.0.1</t>
  </si>
  <si>
    <t>hi, encounter crash in android-6.0.1 from Java call
synchronized long renderFrame(Bitmap frameBuffer)
renderFrame is native call, the Native crash stack is below:
signal 11 (SIGSEGV), code (SEGV ACCERR), fault addr 97427de4
r0 97427de4 r1 ffffffff r2 00003f03 r3 0000ac50
r4 825afe80 r5 00000000 r6 8f35900c r7 8f358370
r8 00003033 r9 82a29ef0 10 00003f03 fp 97427de4
ip 0000007d sp 8f358340 lr 970c8b91 pc 970cb85c cpsr 20070010
--- --- ---
After disassembly the so, find out that the real crash method is in
It may be the stack:
Java pl droidsonroids gif GifInfoHandle renderFrame</t>
  </si>
  <si>
    <t>2018-05-15</t>
  </si>
  <si>
    <t>coding-blocks-Chatter-26</t>
  </si>
  <si>
    <t>App crash when selecting Rooms in bottom navigation bar</t>
  </si>
  <si>
    <t>The app crashes when user selects the Rooms tab in the bottom navigation bar.
**Loogcat For The Error**
would like to work on this issue.</t>
  </si>
  <si>
    <t>renyuneyun-Easer-97</t>
  </si>
  <si>
    <t xml:space="preserve">App crashes while clicking on convert data. </t>
  </si>
  <si>
    <t>App gets crashed while clicking on convert data.
### How to reproduce
Go to the settings of app.
Scroll down the page.
And click on convert data.
Operating system :5.1.1</t>
  </si>
  <si>
    <t>MozillaReality-FirefoxReality-33</t>
  </si>
  <si>
    <t>loading a page crashes the app if not connected to wifi</t>
  </si>
  <si>
    <t>just installed the new build on my Go and it crashed as soon as clicked on one of the starting links. realized didn have wifi on. Instead it should tell me that need to connect to the internet.</t>
  </si>
  <si>
    <t>2018-05-14</t>
  </si>
  <si>
    <t>Haptic-Apps-Slide-2757</t>
  </si>
  <si>
    <t>Video and photos won't load causes app to crash</t>
  </si>
  <si>
    <t>Slide version: 5.8.6
Android version: 7.1</t>
  </si>
  <si>
    <t>2018-05-13</t>
  </si>
  <si>
    <t>fossasia-pslab-android-873</t>
  </si>
  <si>
    <t>Oscilloscope communication errors for pin SI1, SI2</t>
  </si>
  <si>
    <t>The SI1 and SI2 is always square wave
Should be sine wave which responds to the set frequency value at control activity.
**Steps to reproduce it**
Connect SI1 pin to CH1 and SI2 to CH2. Check the Oscilloscope by enabling CH1 and CH2 at Channel parameters. Change the value of Wave and Wave from Control Main fragment and see. Nothing will change
**LogCat for the issue**
Provide logs for the crash here
**Screenshots of the issue**
**Would you like to work on the issue?**</t>
  </si>
  <si>
    <t>nextcloud-android-2574</t>
  </si>
  <si>
    <t>crash on file delete</t>
  </si>
  <si>
    <t>### Actual behaviour
rebooted the device and start Nextcloud client
select one image via longtap
select Delete from the menu to delete this image file
### Expected behaviour
no crash, file deleted
### Steps to reproduce
### Environment data
Device model: Samsung Galaxy Note II (GT-N7100)
Stock or customized system: stock
Nextcloud app version: 3.1.0 (from F-Droid)
Nextcloud server version: owncloud-8.2.11</t>
  </si>
  <si>
    <t>2018-05-12</t>
  </si>
  <si>
    <t>consp1racy-android-support-preference-105</t>
  </si>
  <si>
    <t>Ringtone picker issues</t>
  </si>
  <si>
    <t>Using 2.2.0 with 27.1.1 (preference-v7 27.0.2) support lib.
Got few ringtones related fatal non-fatal crash reports. Not sure if they are related, but didn want to open separate issues just yet, let me know. Seemingly very rare issues and can reproduce them.
Non-fatal Exception: No cursor that can return names
Pixel Android (most probably Beta)
Pixel Android (most probably Beta)</t>
  </si>
  <si>
    <t>hallsjj08-on-call-manager-4</t>
  </si>
  <si>
    <t>Crash While Deleting Contact</t>
  </si>
  <si>
    <t>App crashes when trying to delete contact with no number.</t>
  </si>
  <si>
    <t>JamMarHer-ProjectParadise-18</t>
  </si>
  <si>
    <t>Compress the images in the Chat Activity.</t>
  </si>
  <si>
    <t>Images being send are not being compressed, this is bad. We must limit the images to maximum resolution when being displayed and uploaded. Otherwise crashing the app by posting very large images can happen.</t>
  </si>
  <si>
    <t>2018-05-11</t>
  </si>
  <si>
    <t>nextcloud-android-2569</t>
  </si>
  <si>
    <t>App crashes when opening Auto Upload screen.</t>
  </si>
  <si>
    <t>### Actual behaviour
When opening the Auto Upload screen, the app crashes.
### Expected behaviour
No crash should occur.
### Steps to reproduce
1. Start app
2. Pick Auto Upload from the nav drawer.
3. App crashes
### Environment data
Android version: 8.1.0
Device model: Emulator
Stock or customized system: Stock
Nextcloud app version: Master.</t>
  </si>
  <si>
    <t>square-okhttp-3995</t>
  </si>
  <si>
    <t>NPE Crash At java.net.Proxy.type()</t>
  </si>
  <si>
    <t>okhttp3 Version: 3.10.0
Device Android Version:
vivo 1719 Android 7.1.2,level 25
Redmi Note Android 8.1.0,level 27
SM-G570Y Android 7.0,level 24
the case almost is same like #3809,but wonder why it returns null Proxy(eg below code shown) and how do solve it?
code fo resulting in crash.
private Request userResponse, Route route) throws IOException
case HTTP PROXY AUTH:
Proxy selectedProxy route null</t>
  </si>
  <si>
    <t>forrestguice-SuntimesWidget-203</t>
  </si>
  <si>
    <t>app crash on export file</t>
  </si>
  <si>
    <t>Tested on Android (api26 LG Nexus 5x) where the bug occurs.
Also tested on api25, api19, and api15 (where it works as expected).
1) Settings -&gt; Places -&gt; Export Places
OR Settings -&gt; Widgets -&gt; Widget Themes -&gt; Overflow Menu -&gt; Export Themes
2) The export dialog is shown, dismissed, then followed by force close.
The exception is the same in both cases (only differs in URI):</t>
  </si>
  <si>
    <t>google-ExoPlayer-4238</t>
  </si>
  <si>
    <t>Dismiss/Pause notification when the track has ended</t>
  </si>
  <si>
    <t>### Issue description
am displaying notification for my player when the app is backgrounded. When the video ends, the state of the notification does not update (apart from the counter ending).
For my use case, like to just cancel the notification, but could also see case for leaving it, but moving it to paused state (enabling the play button, instead of pause).
attempted to cancel the notification myself:
In my own when state reaches STATE ENDED tried calling however when internal listener runs, get crash:
believe that this exception is race condition wherein my setting the player to null in my callback (which in turn removes the internal player listener), is happening at the same time that listener is executing.
For now my workaround is to delay my cancelation:
override fun Boolean, playbackState: Int)
if (playbackState Player.STATE ENDED)
### Reproduction steps
Demo apps are not using the
### Link to test content
### Version of ExoPlayer being used
### Device(s) and version(s) of Android being used
Emulator, 100% reproducible</t>
  </si>
  <si>
    <t>2018-05-10</t>
  </si>
  <si>
    <t>PhilJay-MPAndroidChart-4023</t>
  </si>
  <si>
    <t>on adding entries and data sets in the menu's add Dynamical data, an error occurred and the app stops</t>
  </si>
  <si>
    <t>BEFORE YOU SUBMIT please read the following:
Please search open closed issues before submitting since someone might have asked
the same thing before!
If you have support request or question please submit them on StackOverflow:
using the tags android mpandroidchart
Please also look at the CONTRIBUTING file before opening an issue:
Issues on GitHub are only related to problems with MPAndroidChart itself and we
cannot answer support questions here. We will close your issue without response.
&lt;!-- clear and concise description of what the bug is. --&gt;
When use the Add Entry feature then hesitate and want to delete the entry via the Remove Entry feature. But the display entry is not lost on the screen. To shorten, use the Clear Chart feature. But the app stops automatically. do it repeatedly, unfortunately the same problem happens again.
&lt;!-- clear and concise description of what you expected to happen. --&gt;
Want to add an entry and dataset in the Dynamical data adding menu.
**Steps to Reproduce**
&lt;!-- Not required, but suggest fix reason for the bug, --&gt;
&lt;!-- or ideas how to implement the addition or change --&gt;
Open the menu Dynamical Data Adding then click the Add Entry feature to add an entry. The next step is to delete the entry using the Remove Entry feature then you can not change anything yet. Please use the Clear Chart feature to remove it. When you finish deleting all, click the Add Entry feature again to add the entry. Then the app will stop automatically.
Device: Redmi Note 5A
Android Version: 7.1.9
Library Version: 3.0.3
Below is the crash log</t>
  </si>
  <si>
    <t>kollerlukas-Camera-Roll-Android-App-188</t>
  </si>
  <si>
    <t>Configuring a negative number of columns for cards view crashes app on startup</t>
  </si>
  <si>
    <t>As the title says, configuring negative number of card columns shouldn be allowed to prevent crash. Also, there should probably be an upper limit of columns :)</t>
  </si>
  <si>
    <t>nextcloud-android-2567</t>
  </si>
  <si>
    <t>[F-Droid Dev version] App crashes on Auto upload option openning</t>
  </si>
  <si>
    <t>Similar behavior on different devices:
Xiaomi Redmi Note with rooted LineageOS 14.1 latest
Google Pixel XL with non-rooted latest 8.1
Nextcloud Dev F-Droid 20180427 version.</t>
  </si>
  <si>
    <t>TsimpDim-PassBuy-38</t>
  </si>
  <si>
    <t>Server crashing due to un-handled error?!</t>
  </si>
  <si>
    <t>The server log contains an error message:
Database connection successful.
throw er Unhandled error event
Notice the throw er error. Looks like typo somewhere in the code.</t>
  </si>
  <si>
    <t>AlexanderEggers-hitogo-3</t>
  </si>
  <si>
    <t>Min SDK 16</t>
  </si>
  <si>
    <t>this is Harri from TEF HH.
hope you enjoy your new Ways.
But there is Problem with your Great Lib when using Popups with older Devices (API 16):
PopupAlertParams uses Transition, which was introduced with API 19 and crashes on API 19.
There is Support Variant, but this is not compatible with PopupWindow,
so the easy Way is to make SDK Check within onCreateParams:
if (Build.VERSION.SDK INT Build.VERSION CODES.M)
enterTransition TRANSITION KEY)
exitTransition TRANSITION KEY)
took Build.VERSION CODES.M here since using methods for Transition has the same case.</t>
  </si>
  <si>
    <t>forrestguice-SuntimesWidget-198</t>
  </si>
  <si>
    <t>app crash on Settings-&gt; General</t>
  </si>
  <si>
    <t>Tested against v0.8.1..
on an LG Nexus 5X running Android (where the bug is reproducible).
on Android 4.4.4, and Android (where the bug doesn occur).
1) Navigate to Settings-&gt; General. The app crashes before the activity gets chance to display (force close).
2) After triggering the bug reopen the app and check the log it indicates the calculator pref was erroneously set to missing causing the fallback calculator to load instead. The fallback lacks support for the moon functionality this causes separate crash (NPE) on subsequent attempts to open the moon dialog.</t>
  </si>
  <si>
    <t>2018-05-09</t>
  </si>
  <si>
    <t>WeAreFairphone-FP2-Launcher-9</t>
  </si>
  <si>
    <t>Crash when trying to change the wallpaper</t>
  </si>
  <si>
    <t>If the launcher does not have the storage permission and the user tries to change the wallpaper, the launcher crashes:
It should probably be handled more gracefully.</t>
  </si>
  <si>
    <t>OneBusAway-onebusaway-android-874</t>
  </si>
  <si>
    <t>Unit tests fail to run</t>
  </si>
  <si>
    <t>Using Android Studio 3.1.2, Gradle wrapper 4.4, and Android Gradle Plugin 3.1.2, the unit tests fail to run from within Android Studio (right-click class or method and choose run test as well as from command line using gradlew
Here the output in the Run console from Android Studio:
Client not ready yet..
Started running tests
Test running failed: Instrumentation run failed due to Process crashed.
Empty test suite.
...and on command line:
Configure project :onebusaway-android
The method has been deprecated and is scheduled to be removed in Gradle 5.0. Please use Task.doLast(Action) instead.
(Run with --stacktrace to get the full stack trace of this deprecation warning.)
Starting tests on SM-G955U 8.0.0
Tests on SM-G955U 8.0.0 failed: Instrumentation run failed due to Process crashed.
No tests found. This usually means that your test classes are not in the form that your test runner expects (e.g. don inherit from TestCase or lack
What went wrong:
Execution failed for task
There were failing tests. See the report at: file: E: Android Studio onebusaway-android onebusaway-android build reports androidTests connected fl
Run with --stacktrace option to get the stack trace. Run with --info or --debug option to get more log output. Run with --scan to get full insights.
Get more help at https: help.gradle.org
BUILD FAILED in 48s
51 actionable tasks: executed, 42 up-to-date</t>
  </si>
  <si>
    <t>2018-05-08</t>
  </si>
  <si>
    <t>fennifith-Alarmio-2</t>
  </si>
  <si>
    <t>Oreo Background Restrictions</t>
  </si>
  <si>
    <t>The sleep reminder service doesn like to start when the app is in the background for some reason. Might have to create broadcast receiver to decide whether to start the service in the foreground first so that it doesn crash.</t>
  </si>
  <si>
    <t>dimagi-commcare-android-1994</t>
  </si>
  <si>
    <t>[HOTFIX] Vector drawable Crash</t>
  </si>
  <si>
    <t>There are multiple crashes on fabric trying to load vector drawables on pre lolipop devices.
am guessing this is happening because added vector support library in build.gradle though have not been able to test this due to lack of Android device. Since Boston has Android device, can someone try going to on that device and see it doesn crash with this fix.
Product Note: Fixes bug in CommCare 2.43 due to which CommCare will crash on various screens on pre lolipop devices.</t>
  </si>
  <si>
    <t>react-native-camera-react-native-camera-1550</t>
  </si>
  <si>
    <t>[AVCaptureMovieFileOutput availableVideoCodecTypes]: unrecognized selector sent to instance</t>
  </si>
  <si>
    <t>### Which implementation are you using
### Steps to reproduce
really not doing anything fancy. The video recording works perfectly fine on Android but it crashes after stopRecording() on iOS.
Permission to use camera
We need your permission to use your camera phone
ref cam this.camera cam
type videoFacing back
### Expected behaviour
Finish recording and return the uri
### Actual behaviour
App crashes with the following error:
unrecognized selector sent to instance 0x14fb4e20
unrecognized selector sent to instance 0x14fb4e20
**Node.js version**: 6.11.0
**React Native version**: 0.54.0
**React Native platform platform version**: iOS 9.3.3</t>
  </si>
  <si>
    <t>mapbox-mapbox-events-android-137</t>
  </si>
  <si>
    <t>Oreo Background Service Fix</t>
  </si>
  <si>
    <t>Running into background service crash associated with Oreo. This PR is to fix and prevent, before full Oreo update is finished.</t>
  </si>
  <si>
    <t>2018-05-07</t>
  </si>
  <si>
    <t>mapbox-mapbox-events-android-136</t>
  </si>
  <si>
    <t>Bug Fix for attempting to unbind a service that is already unregistered</t>
  </si>
  <si>
    <t>Check if service is running and if it is, then unbind and continue on process. Prevents crash and keeps system working.</t>
  </si>
  <si>
    <t>nextcloud-news-android-632</t>
  </si>
  <si>
    <t>App crash when downloading single image</t>
  </si>
  <si>
    <t>App crashes with Security Exception if the user tries to download an image through the Long-Press Dialog.
Most likely due to missing write storage permission.. https: stackoverflow.com questions 40514335</t>
  </si>
  <si>
    <t>nextcloud-android-2556</t>
  </si>
  <si>
    <t>ActivitiesActivity crash when no network</t>
  </si>
  <si>
    <t>### Actual behaviour
### Expected behaviour
Show some meaningful error
### Steps to reproduce
1. disable internet
2. open up Activities
3. wait until timeout (30s)</t>
  </si>
  <si>
    <t>phamhongphuc-uit.money-2</t>
  </si>
  <si>
    <t>Realm: Crash when a new user login</t>
  </si>
  <si>
    <t>If client call .findAllAsync() when the schema hasn created yet the application will crash
Exception has been thrown: Cannot create asynchronous query while in write transaction in Users Nabil Dev realm master realm-java realm realm-library src main cpp io realm internal sync OsSubscription.cpp line 71</t>
  </si>
  <si>
    <t>2018-05-06</t>
  </si>
  <si>
    <t>EntireNewsProject-Android-App-12</t>
  </si>
  <si>
    <t>App crashes after altering sources in the settings menu</t>
  </si>
  <si>
    <t>When we go to select sources under the settings menu and change sources that are shown then the app crashed when going back to the app home page.
Below is the instructions to recreate the bug.
Homepage --&gt; Settings Menu --&gt; Select Sources --&gt; Change few displayed sources --&gt; Click back to go to settings page--&gt; Click back to go to home page --&gt; !!!App crashed!!!</t>
  </si>
  <si>
    <t>2018-05-05</t>
  </si>
  <si>
    <t>YoungMaker-iORC-139</t>
  </si>
  <si>
    <t>rotated view of character sheet crashes app</t>
  </si>
  <si>
    <t>create rotated view xml of the character sheet, since the current one is missing some fields.</t>
  </si>
  <si>
    <t>geopaparazzi-geopaparazzi-485</t>
  </si>
  <si>
    <t>Profile: adding/removing project to profile does not work</t>
  </si>
  <si>
    <t>Create new profile, add basemap, overlay, and then project file. While the project file is shown properly in the Profile cardview, it is not shown on the Main View Project Info view (the previous project is shown).
Removing the project form the Profile seems to work but it, but leaves behind some text on the card view:
Viewing the project info caused Geopaparazzi to crash: unknown error (code 14) Could not open database.</t>
  </si>
  <si>
    <t>getodk-collect-2167</t>
  </si>
  <si>
    <t>User is not able to see the form download results when app is minimized</t>
  </si>
  <si>
    <t>Thank you for taking the time to report an ODK Collect issue!
This space is for submitting problems and feature requests. For general usage, form design questions and for ODK Collect source code questions, please visit ODK forum: https:
Before filling this form, visit https: github.com opendatakit collect issues?q is%3Aissue and search to see whether your issue was already reported or fixed. If you find match, comment on it or add +1 rather than posting new issue. If you find problem you know how to fix, submit pull request.
For all problem reports, please use the template below. Also include any relevant stack traces or error messages.
For feature requests, please include the problem description (what problem do you have that can currently be solved?) and proposed solution if you have one in mind (optional). You can delete the template.
#### Software and hardware versions
#### Problem description
User is not able to see dialog showing form download results when Google Sheets is selected as server. App crashes but the user is not able to notice. able to notice this through logs and then comparing form downloading behaviour when the Aggregate server is used.
#### Steps to reproduce the problem
1. Set Platform as Google Drive, Google Sheets
2. Get Blank Form
3. Select any form
4. Tap on Download Selected
5. Tap on Home button or Switch app to minimize the Collect app
6. Open app again
The user is not able to see the dialog showing the form download result as it is shown when the aggregate server is selected.
#### Expected behavior
User should be able to see the dialog showing form download result.
#### Other information
ezgif com-video-to-gif (https: 18495162</t>
  </si>
  <si>
    <t>2018-05-04</t>
  </si>
  <si>
    <t>dashevo-dash-wallet-107</t>
  </si>
  <si>
    <t>Loading Key Backup File Crash</t>
  </si>
  <si>
    <t>Loading backup from over years ago will crash the app. These backups do not have keychains.</t>
  </si>
  <si>
    <t>mapbox-mapbox-events-android-132</t>
  </si>
  <si>
    <t>LocationEngineProvider crash when obtainBestLocationEngineAvailable()</t>
  </si>
  <si>
    <t>follow your example to get location but app crash.
Samsung Galaxy S8+
Same crash if do locationEngine new PLAY SERVICES)
There is my gradle
And the crash</t>
  </si>
  <si>
    <t>2018-05-03</t>
  </si>
  <si>
    <t>maks-MGit-342</t>
  </si>
  <si>
    <t>fix crash when opening url via intent</t>
  </si>
  <si>
    <t>caused by changes from #333</t>
  </si>
  <si>
    <t>mapbox-mapbox-plugins-android-477</t>
  </si>
  <si>
    <t xml:space="preserve">Location layer plugin - Maps SDK - can't find source layer warning log and native crash </t>
  </si>
  <si>
    <t>After updating to Maps SDK 6.x and LLP 0.5.0 we are seeing these logs in the Nav SDK. This seems to be happening when using the map even if the location layer plugin isn being initialized within that activity or fragment. Like something is being cached regarding the layer or expression.
When rotating the turn-by-turn UI, we get intermittent crashes and our orientation instrumentation test (https: github.com mapbox pull 895 is able to reproduce the native crash.
cc LukasPaczos tobrun cammace</t>
  </si>
  <si>
    <t>Maxr1998-MaxLock-136</t>
  </si>
  <si>
    <t>Task thumbnail hiding broken on Marshmallow</t>
  </si>
  <si>
    <t>Maxlock has started crashing too much and spamming xposed log and draining battery life. Here the log attached. have disabled it at the moment.
Please fix this. Thanks for the nice app.</t>
  </si>
  <si>
    <t>nextcloud-android-2538</t>
  </si>
  <si>
    <t>Crash when new version download fails</t>
  </si>
  <si>
    <t>### Actual behaviour
After marking file to be available offline the app checks every time before openimg it if newer version is available (which is anoying when the network is bad) and it crashes when the network goes down
### Expected behaviour
Don check for newer files or at least stop it when the server doesn respond after second or two
### Steps to reproduce
See actual behavior
### Environment data
Stock or customized system:
Nextcloud app version:
Nextcloud server version:</t>
  </si>
  <si>
    <t>2018-05-02</t>
  </si>
  <si>
    <t>commons-app-apps-android-commons-1483</t>
  </si>
  <si>
    <t>java.io.FileNotFoundException: /jacoco.exec (Read-only file system)</t>
  </si>
  <si>
    <t>If log out and log back in again, opening Nearby will reliably cause this crash for me the first time do that.
**Add System logs:**
**Device and Android version:**
Nexus API 25
**Commons app version:**
2.7.1 prod debug build
**Would you like to work on the issue?**</t>
  </si>
  <si>
    <t>commons-app-apps-android-commons-1480</t>
  </si>
  <si>
    <t>Nearby crashes after logging out and in</t>
  </si>
  <si>
    <t>Nearby crashes after logging out and in.
**Steps to reproduce:**
Open app, open nearby, log out, log in, open nearby again
**Add System logs:**
**Device and Android version:**
API level 19
**Commons app version:**</t>
  </si>
  <si>
    <t>dashevo-dash-wallet-106</t>
  </si>
  <si>
    <t>Crash on Setting PIN #2</t>
  </si>
  <si>
    <t>This has happened twice, both on Android 6.
One crash on 5.17.5
One crash on 5.18
This is not new crash.
Today, 6:32 AM on app version 51800
Motorola Moto (2nd Gen) (titan umts), 1024MB RAM, Android 6.0</t>
  </si>
  <si>
    <t>eduvpn-android-139</t>
  </si>
  <si>
    <t>App crash (WindowManager)</t>
  </si>
  <si>
    <t>In Android emulator.</t>
  </si>
  <si>
    <t>2018-05-01</t>
  </si>
  <si>
    <t>mapbox-mapbox-plugins-android-474</t>
  </si>
  <si>
    <t>Plugin layer crash on Samsung Galaxy Note3</t>
  </si>
  <si>
    <t>ve use Mapbox SDK for Android ver 6.0.1 with location layer plugin 5.0.0.
Today found crash on fabric statistic
Galaxy Note3, android 4.3.
Fatal Exception: array length must be or
Looks like old issue fixed on old location view:</t>
  </si>
  <si>
    <t>AniTrend-anitrend-app-28</t>
  </si>
  <si>
    <t>Notification Crashes &amp; Missing Entries In User Progress</t>
  </si>
  <si>
    <t>Notifications cause the crash when binding notification of thread type.
Users profile progress page only returns anime, which is potentially GraphQL query issue
Every time the application checks for notification it reports it as new notification
Create new account doesn seem to be working because of text formatting</t>
  </si>
  <si>
    <t>evernote-android-job-442</t>
  </si>
  <si>
    <t>crash in v21.PlatformJobService.onStopJob</t>
  </si>
  <si>
    <t>We are getting lot of these crashes reported in Google Play, but only on Android 7.1:
It seems the platform calls prior to where the JobManager is created.
Here is out code: https: github.com tuskyapp Tusky</t>
  </si>
  <si>
    <t>2018-04-30</t>
  </si>
  <si>
    <t>syncthing-syncthing-android-1075</t>
  </si>
  <si>
    <t>fix DevicesAdapter NullPtr exception</t>
  </si>
  <si>
    <t>This PR is follow-up to PR https: github.com syncthing syncthing-android pull 1072
Intends to fix mistake unfortunately made which causes syncthing to crash with NullPtr exception.
It was logical error.</t>
  </si>
  <si>
    <t>mapbox-mapbox-plugins-android-470</t>
  </si>
  <si>
    <t>LocationLayerPlugin not visible after setting mapStyleUrl or random crashes</t>
  </si>
  <si>
    <t>Hello, in onMapReady am initializing the Immediately after am setting the map style through the method map.setMapStyleUrl. The plugin is not visible and sometimes we are experiencing crashes immediately after the callback onStyleLoaded gets called. Reproduces always on 0.5.0 with maps sdk 6.0.1</t>
  </si>
  <si>
    <t>nextcloud-android-2529</t>
  </si>
  <si>
    <t>### Actual behaviour
try to upload pictures. When going to dcim camera folder in my phone app crash immediately.
### Expected behaviour
should see pictures in my phone.
There are 1096 files and folders.
### Steps to reproduce
1. Go to upload (+)
2. Choose dcim, camera
### Environment data
Device model: Samsung S8
Stock or customized system: stock
Nextcloud app version: dev 20180427
Nextcloud server version: 13.0.2
#### Web server error log
Insert your webserver log here
#### Nextcloud log (data nextcloud.log)
Insert your Nextcloud log here</t>
  </si>
  <si>
    <t>2018-04-29</t>
  </si>
  <si>
    <t>ardevd-habitat-5</t>
  </si>
  <si>
    <t>Log table not created for users that update to v1.0.7</t>
  </si>
  <si>
    <t>Since the database version is not incremented, existing users who update the app will experience crashes every time the log table is interacted with.</t>
  </si>
  <si>
    <t>nextcloud-android-2527</t>
  </si>
  <si>
    <t>App craches using grid view during upload and scrolling</t>
  </si>
  <si>
    <t>### Actual behaviour
When uploading new files and selecting grid-view and scrolling through the list the app crashes.
### Expected behaviour
The app not crashing.
### Steps to reproduce
1. Choose folder
2. Click the sign at the bottom right
3. Select Upload Files
4. Select folder with lot of files so you need to scroll, in my case my DCIM Camera folder.
5. Enable grid view using the 3dot menu top-right.
6. Scroll slow fast, select file or something, after few scrolling attempts the app crashes.
### Environment data
Android version: 8.1.0 and 7.0
Device model: Nexus 5X and Galaxy S6 (SM-G920F)
Stock or customized system: Stock
Nextcloud app version: 20180425
Nextcloud server version: Owncloud 9.1.6 (I know need to switch upgrade
#### Web server error log
#### Nextcloud log (data nextcloud.log)</t>
  </si>
  <si>
    <t>2018-04-28</t>
  </si>
  <si>
    <t>twilio-video-quickstart-android-292</t>
  </si>
  <si>
    <t>Android app crash due to EGL context</t>
  </si>
  <si>
    <t>Android APP crash and the error is Failed to create EGL context
Please consider this issue on high priority as my application is live now.
Error Log is as below::
int32 height 480
int32 width 640
string mime video x-vnd.on2.vp8
string mime video raw
int32 stride 640
int32 slice-height 480
int32 color-format 2141391876
Rect crop(0, 0, 639, 479)
int32 width 640
int32 height 480
Caused by: Failed to create EGL context: 0x3003
am rendering only two video view one for local and other one for remote user,
and there is only one remote user so, in total there are only video views are rendering.</t>
  </si>
  <si>
    <t>2018-04-27</t>
  </si>
  <si>
    <t>StepicOrg-stepik-android-adaptive-40</t>
  </si>
  <si>
    <t>fix progress dialog state loss</t>
  </si>
  <si>
    <t>**YouTrack task**: #APPS-1874 (https: youtrack issue APPS-1874)
fix crash due to progress dialog state loss</t>
  </si>
  <si>
    <t>BackyardBrains-Spike-Recorder-Android-88</t>
  </si>
  <si>
    <t>App sometimes crashes when recording is being played</t>
  </si>
  <si>
    <t>When recording is played but sample rate is not set before the actual playing starts app would crash</t>
  </si>
  <si>
    <t>2018-04-26</t>
  </si>
  <si>
    <t>BackyardBrains-Spike-Recorder-Android-87</t>
  </si>
  <si>
    <t>App crashes when audio file without extension is played</t>
  </si>
  <si>
    <t>When recording that has been saved without extension is played app would crash every time</t>
  </si>
  <si>
    <t>Aptoide-aptoide-client-v8-524</t>
  </si>
  <si>
    <t>[Hotfix/ASV-397] Trusted Badge crash</t>
  </si>
  <si>
    <t>**What does this PR do?**
Clicking on the trusted badge svg was causing crashes on specific Android api levels. The cause was the gradient in the svg compatibility. The solution for now is to revert the svg to png.
**Where should the reviewer start?**
**What are the relevant tickets?**
Tickets related to this pull-request: ASV-397 (https: browse ASV-397)
**Code Review Checklist**
Documentation on public interfaces
If yes Database migration?
Remove comments unused code forgotten testing Logs
Unit tests pass
Functional QA tests pass</t>
  </si>
  <si>
    <t>twilio-video-quickstart-android-288</t>
  </si>
  <si>
    <t>First Time Call Join crash</t>
  </si>
  <si>
    <t>App crashes when user joins the call first time.
### Steps to Reproduce
1. Join Video Room and give camera permissions
2. App crashes when you join for the first time.
Video constraints while creating local video track
private val videoConstraints
RATIO 16 9)
540P VIDEO DIMENSIONS)
1080P VIDEO DIMENSIONS)
#### Expected Behavior
App should not crash
#### Actual Behavior
#### Reproduces how Often
FATAL EXCEPTION: Camera Process: to.go internal, PID: 19374
#### Video Android SDK
#### Android API
23 and above
#### Android Device
Xiaomi Mi 5, LG G2</t>
  </si>
  <si>
    <t>hzi-braunschweig-SORMAS-Project-576</t>
  </si>
  <si>
    <t>Crash when entering NewCaseActivity</t>
  </si>
  <si>
    <t>This only happened for user U2NBLL so far. When they click on the button to create new case, the app synchronizes and then crashes. There are Google Analytics crash reports for version 0.18.2.</t>
  </si>
  <si>
    <t>lingochamp-FileDownloader-1017</t>
  </si>
  <si>
    <t>Android 8/8+: Fatal Exception: java.lang.IllegalStateException</t>
  </si>
  <si>
    <t>100% of this crash happens in Android 8+
99% of this crash happens when app is at background
Info from Crashlytics</t>
  </si>
  <si>
    <t>inaturalist-iNaturalistAndroid-507</t>
  </si>
  <si>
    <t>NullPointerException on Explore</t>
  </si>
  <si>
    <t>Currently the top non-memory-related crash in build 281</t>
  </si>
  <si>
    <t>Purdue-ACM-SIGApp-BoilerFaves-51</t>
  </si>
  <si>
    <t>Menu retrieval null pointer bug</t>
  </si>
  <si>
    <t>Google play console is telling us our app crashes as result of this bug:
Null pointer exception</t>
  </si>
  <si>
    <t>gsantner-markor-229</t>
  </si>
  <si>
    <t>Remember last directory not works when closing app from task switcher.</t>
  </si>
  <si>
    <t>#### General information
**App version:** 0.3.6
**System:** Android on Galaxy J5 Prime
When close Markor from offical android
task switcher, It doesn save my last opened directory.
Look for already reported issues before posting!
Also take look at documentation and wiki, or write in the project chat.
App version: The version of the app installed and the installation source. Example: v0.3.5 F-Droid
Please keep in mind that only the latest downloadable version is supported and that there are no backports to older versions.
What this is about, what happens and what is expected to happen. What needs to be done for it to happen.
If crash is happening log is needed. Screenshots or demonstration videos are always helpful too.</t>
  </si>
  <si>
    <t>2018-04-25</t>
  </si>
  <si>
    <t>nextcloud-android-2515</t>
  </si>
  <si>
    <t>Crash at files loading</t>
  </si>
  <si>
    <t>### Actual behaviour
Tell us what happens
After connecting and an attempt to load the files, the app crashes become unable to launch.
### Expected behaviour
Tell us what should happen
should be able to use the app.
### Steps to reproduce
1. Open the app
2. Connect yourself
3. Wait for some seconds
4. try to relaunche the app.
### Environment data
Stock or customized system:
Nextcloud app version:
Nextcloud server version:
#### Web server error log
Insert your webserver log here
Can open the log cause my notepad can detect the character encoding.
#### Nextcloud log (data nextcloud.log)
Insert your Nextcloud log here</t>
  </si>
  <si>
    <t>nikita36078-J2ME-Loader-312</t>
  </si>
  <si>
    <t>Total Conquest (TS) bug on lollipop</t>
  </si>
  <si>
    <t>When tried all version, each resolution and version have different bug.
480 800, 240 400 for Samsung: Building Unit on list can selected normally.
360 640: Music can playing normally, sometime crashed when battle mode.
240 400 for Nokia: All both bug included.
All non-TS: work great, but finger cursor is missing when installing TS version before (and without delete data game).
TS Touch Screen</t>
  </si>
  <si>
    <t>BackyardBrains-Spike-Recorder-Android-86</t>
  </si>
  <si>
    <t>App sometimes crash when Recordings screen is opened</t>
  </si>
  <si>
    <t>When Recordings screen opens, if there are files with exactly same last modified dates the app would crash.</t>
  </si>
  <si>
    <t>2018-04-24</t>
  </si>
  <si>
    <t>BackyardBrains-Spike-Recorder-Android-85</t>
  </si>
  <si>
    <t>App crashes when setting cut off values for custom filter</t>
  </si>
  <si>
    <t>When setting cut-off values for custom filter using keyboard (not slider) app is crashing</t>
  </si>
  <si>
    <t>cgeo-cgeo-6984</t>
  </si>
  <si>
    <t>Unwanted zoom-out on device rotation on new Mapsforge beta</t>
  </si>
  <si>
    <t>##### Detailed steps causing the problem:
Make sure that automated device rotation is enabled
Open live map
Rotate the device, e.g. from portrait to landscape
##### Actual behavior after performing these steps:
Map is redrawn with zoom-out factor, in my case from 1km to 10km, to 50km, to 500km, to 5000km.
Another rotation at 5000km causes c:geo to crash.
##### Expected behavior after performing these steps:
Zoom factor does not change on rotation
The zoom factor is limited and does not cause crash
##### Version of c:geo used:
##### Is the problem reproducible for you?</t>
  </si>
  <si>
    <t>2018-04-23</t>
  </si>
  <si>
    <t>mapbox-mapbox-events-android-124</t>
  </si>
  <si>
    <t>Job Service Context Crash</t>
  </si>
  <si>
    <t>While testing the Oreo update, came across crash that intermittently occurs when creating LocationEvent. Looks to be related to the siloing that occurs with the job service. Context seems to be missing for MapboxTelemetry Need to work on better solution to prevent issue from happening.</t>
  </si>
  <si>
    <t>StAResComp-sifids-127</t>
  </si>
  <si>
    <t>App crash and won't re-open when clicked save after finishing a row of data on form</t>
  </si>
  <si>
    <t>When clicked save after filling in row of data the app crashed, closed and will not re-open. went into settings and clicked force stop but the app will still not reopen.</t>
  </si>
  <si>
    <t>nextcloud-android-2502</t>
  </si>
  <si>
    <t>Null context passed in ActivitiesListAdapter. Results in NPE crash.</t>
  </si>
  <si>
    <t>assuming this is due to but the null value passed as the context argument at L257 in the ActivityListAdapter now results in crash.
is being called on the passed null value which leads to the crash.
The issue seems to be fixed when valid context object is passed to the setImageDrawable call.
PR coming shorty.</t>
  </si>
  <si>
    <t>Neamar-KISS-959</t>
  </si>
  <si>
    <t xml:space="preserve">Kiss crashes when the widget is updated from the Play Store </t>
  </si>
  <si>
    <t>When there an update to the widget use in Kiss, as in update to newer version of the widget, Kiss crashes when the update is complete. also have to set Kiss as default launcher again. This is not big issue but annoying when using widget that has frequent updates.
Using the Chronus widget</t>
  </si>
  <si>
    <t>2018-04-22</t>
  </si>
  <si>
    <t>SCCapstone-Cupboard-107</t>
  </si>
  <si>
    <t xml:space="preserve">Crash from Filtering </t>
  </si>
  <si>
    <t>When trying to sort My Cupboard by Pantry the app crashes. This is most likely the result of me not having classified any item as Pantry item. It happens with Freezer and Fridge. Perhaps an issue of base case.
03 sort pantry crash (https: 23388365</t>
  </si>
  <si>
    <t>SCCapstone-Cupboard-105</t>
  </si>
  <si>
    <t>Application crashes when trying to exit shopping list.
Emulator Android 8.0 API 27
01 app crash (https: 23388365</t>
  </si>
  <si>
    <t>lineargs-WatchNextApp-28</t>
  </si>
  <si>
    <t>Null Pointer Eception</t>
  </si>
  <si>
    <t>The app crashes when setting up the Imdb button, throwing Null Pointer Exception</t>
  </si>
  <si>
    <t>nextcloud-android-2498</t>
  </si>
  <si>
    <t>Crash when trying to use mosaic display</t>
  </si>
  <si>
    <t>Each time try to display ly files in mosaic mode in nextcloud android 3.1 on my OnePlus phone with Android 8.0, the application crashes.
sent comments with full journal from within Android when it last happened.</t>
  </si>
  <si>
    <t>2018-04-21</t>
  </si>
  <si>
    <t>nextcloud-android-2497</t>
  </si>
  <si>
    <t>Crash when hitting photo menu</t>
  </si>
  <si>
    <t>Each time hit the photo menu on nextcloud android 3.1 on my oneplus with Android 8.0.0, the application crashes.
sent comments from within the phone when it happened last time.</t>
  </si>
  <si>
    <t>TeamNewPipe-NewPipe-1338</t>
  </si>
  <si>
    <t>Show notification on SD card download</t>
  </si>
  <si>
    <t>We still get way to many issues about downloading to SD card.
think until the new Download manager is there it might be good idea to show notification once the app crashes because of accessing extSD. We could add an option there to reset the download folder back to default.</t>
  </si>
  <si>
    <t>Azure-azure-iot-sdk-java-229</t>
  </si>
  <si>
    <t>Android app crashes when trying to run service client SDK</t>
  </si>
  <si>
    <t>using real device running Android Oreo 8.0 (API 26)..
The code is barely the same as the sample except added the Service SDK dependency in the build.gradle, after which the app crashes upon startup directly..
Worth mentioning that it crashes too on any emulator running API 26, but surprisingly works normally on emulator running API 27 and without any code changes!!)..
So any idea why is this happening and how to make it run on API 26 physical device ??
**Here my build.gradle:**
exclude META-INF MSFTSIG.SF
exclude META-INF MSFTSIG.RSA
exclude META-INF DEPENDENCIES
exclude META-INF NOTICE
exclude META-INF LICENSE
exclude META-INF LICENSE.txt
exclude META-INF NOTICE.txt
implementation fileTree(dir: libs include: *.jar
Remote binary dependency</t>
  </si>
  <si>
    <t>niclabs-adkintunmobile-androidclient-191</t>
  </si>
  <si>
    <t>SitePreference.java line 16</t>
  </si>
  <si>
    <t>k9mail-k-9-3351</t>
  </si>
  <si>
    <t>Non-RFC-822 email format causes crash rendering email</t>
  </si>
  <si>
    <t>Please search to check for an existing issue (including closed issues, for which the fix may not have yet been released) before opening new issue: https: github.com k9mail k-9 issues?q is%3Aissue
### Expected behavior
Email should download and open body
### Actual behavior
### Steps to reproduce
1. Tap to open suspect email
K-9 Mail version: 5.503
Android version: 8.1.0
Account type (IMAP, POP3, WebDAV Exchange): IMAP
Specifically, this is an obvious phishing email in my gmail spam folder, accessed via imap. Email that triggers the issue is attached. Other emails in spam folder open fine. Interestingly, there doesn seem to be anything actively broken or malicious that can see, though it obvious phishing and none of the security (e.g. SPF) checks out.</t>
  </si>
  <si>
    <t>2018-04-20</t>
  </si>
  <si>
    <t>react-native-camera-react-native-camera-1504</t>
  </si>
  <si>
    <t>App crash when using tack picture on Samsung Galaxy A7 device</t>
  </si>
  <si>
    <t>Hi every one, has issue.
When using device Samsung Galaxy A7 tack picture, then app crash. call logcat. and this result:
screen shot 2018-04-20 at 16 15 pm (https: 25562336
And file full log:
### Expected behaviour
Get uri image
### Actual behaviour
**React Native platform platform version**: Android 7.0 Samsung Galaxy A7 Version 8.1
Love Please consider supporting our collective: https: opencollective.com react-native-camera donate</t>
  </si>
  <si>
    <t>GCRC-nunaliit_android-41</t>
  </si>
  <si>
    <t>crash on initial connection</t>
  </si>
  <si>
    <t>After few failed attempts (wrong URL) got it right and the app connected started spinning its wheel. looked away for bit but when looked back, the app had closed and was also not in the android recent app list.</t>
  </si>
  <si>
    <t>2018-04-19</t>
  </si>
  <si>
    <t>OneBusAway-onebusaway-android-870</t>
  </si>
  <si>
    <t xml:space="preserve">IllegalStateException in ES SDK onTokenRequestCompleted() </t>
  </si>
  <si>
    <t>Issue documented in Embedded Social SDK https: github.com Microsoft issues 88 it needs to first be fixed there.
From the OneBusAway Android rollout via the Android Developer Console affecting users (3 crashes):
assuming this happens when someone tries to log into Embedded Social in the OBA app and then closes it, likely under poor wireless conditions that cause significant delay in returning.
**Steps to reproduce:**
**Device and Android version:**
Samsung Galaxy Note8 (greatqlte), 6144MB RAM, Android 8.0
Google Pixel (walleye), 4096MB RAM, Android 8.1
ZTE Blade Max (stollen), 2048MB RAM, Android 7.1
Note that the Note and Pixel are affected, so this does affect flagship devices</t>
  </si>
  <si>
    <t>JamMarHer-ProjectParadise-2</t>
  </si>
  <si>
    <t>Initial Activity doesn't properly respond when there's no internet.</t>
  </si>
  <si>
    <t>The logic flow in the initial activity class is quite bad. When there no internet connection the app either crashes or displays an improper animation. good solution for this would be to separate the animation activity and the login register form. This will add more structure and better flow.</t>
  </si>
  <si>
    <t>square-okhttp-3973</t>
  </si>
  <si>
    <t>Unexpected TLS version: NONE</t>
  </si>
  <si>
    <t>These days so many crashes happened in our app. About 200+ Android devices has happened. And it always happend on Andorid 8.1.0. The OkHttp version used is 3.10.0.
This is the crash stack information
Unexpected TLS version: NONE
found that OkHttp will not callback when happend.
This exception is thrown by method
public static TlsVersion forJavaName(String javaName)
throw new Unexpected TLS version: javaName)
When invoke call enqueue method to get result async, if this exception happened, it will not callback onFailure method. And also can catch it.
public void onFailure(Call call, IOException e)
public void onResponse(Call call, Response response) throws IOException
final class AsyncCall extends NamedRunnable
private final Callback responseCallback
Override protected void execute()
boolean signalledCallback false
new IOException( Canceled ))
catch (IOException e)
only IOException will catch and callback onFailure method
Do not signal the callback twice!
Callback failure for toLoggableString(), e)
Is there any solution? Thank you.</t>
  </si>
  <si>
    <t>PhilJay-MPAndroidChart-3959</t>
  </si>
  <si>
    <t>CombinedChart crashes randomly : Attempt to read from null array in BarChartRenderer</t>
  </si>
  <si>
    <t>Hello and thank you for all your work creating this library,
PhilJay, can you tell me if this is bug or is there something doing wrong.
having really hard time finding the source of this **random** crash.
Thank you very much for your help.
Here is link to the stackOverflow (https: stackoverflow.com questions 49905089 question created. provided sample code and the full stacktrace.</t>
  </si>
  <si>
    <t>2018-04-18</t>
  </si>
  <si>
    <t>inaturalist-iNaturalistAndroid-505</t>
  </si>
  <si>
    <t>Czech formatting bug</t>
  </si>
  <si>
    <t>Set your phone to Czech (Cestina), go to explore and search for obs by the user inara and include casual obs to find https: www.inaturalist.org observations 11029552, then try to add an ID and let suggestions load to trigger the crash. Here log file:
Doesn seem to happen in all situations, so maybe it one of the results, or maybe it only when there common ancestor.
Check the other recently-added locales for this too.</t>
  </si>
  <si>
    <t>nextcloud-android-2480</t>
  </si>
  <si>
    <t>App crash (beta) with "Bad notification for startForeground"</t>
  </si>
  <si>
    <t>### Actual behaviour
App crash with notification staying at 0% all the time.
Files seems to get uploaded though.
App keeps crashing and no way to get it back.
When open it again, files get uploaded.
When take another photo, it crashes again (but files get uploaded etc).
### Expected behaviour
App should continue working
### Steps to reproduce
Latest beta (14.04.2018.). Always reproduced when auto uploading files.
### Environment data
Lineage 15.1 (8?)
Stock or customized system:
Nextcloud app version:
Nextcloud server version:
#### Nextcloud log (data nextcloud.log)</t>
  </si>
  <si>
    <t>oliexdev-openScale-245</t>
  </si>
  <si>
    <t>Crash with new version</t>
  </si>
  <si>
    <t>Please find below the crash report
Build version: 1.7.2
Caused by: Null reference used for synchronization (monitor-enter)</t>
  </si>
  <si>
    <t>inaturalist-iNaturalistAndroid-503</t>
  </si>
  <si>
    <t>Passing an int to a string format</t>
  </si>
  <si>
    <t>Not sure why this is showing up all of sudden, but there are lot of crashes in build 278</t>
  </si>
  <si>
    <t>2018-04-17</t>
  </si>
  <si>
    <t>Purdue-ACM-SIGApp-BoilerFaves-39</t>
  </si>
  <si>
    <t>Crash in select food activity</t>
  </si>
  <si>
    <t>After opening the select food activity, the progress bar was displayed for few seconds before the app crashed. Not sure what caused this and was unable to replicate</t>
  </si>
  <si>
    <t>2018-04-16</t>
  </si>
  <si>
    <t>Purdue-ACM-SIGApp-BoilerFaves-38</t>
  </si>
  <si>
    <t>Crash on new install</t>
  </si>
  <si>
    <t>The app crashed when opened it after deleting its storage</t>
  </si>
  <si>
    <t>react-native-camera-react-native-camera-1486</t>
  </si>
  <si>
    <t>java.lang.ArrayIndexOutOfBoundsException when loading camera view</t>
  </si>
  <si>
    <t>react-native-camera version 1.1.1
Testing on Genymotion and actual device
### Actual behaviour
App crashes with the following logcat on Android</t>
  </si>
  <si>
    <t>osmdroid-osmdroid-998</t>
  </si>
  <si>
    <t>Crash in demos around Bookmarks</t>
  </si>
  <si>
    <t>## Issue Type
## Description and or steps code to reproduce the problem
go to demo More Samples Location Heading Compass up
go again to demo More Samples Location Heading Compass up
then it crashes with that kind of log:
### Version of osmdroid the issue relates to:</t>
  </si>
  <si>
    <t>mapbox-mapbox-events-android-117</t>
  </si>
  <si>
    <t>Add service running check</t>
  </si>
  <si>
    <t>Adds service running check for the cases in which the OS has unexpectedly unregistered the service (shouldn happen but seen crashes in Samsung devices https: github.com mapbox mapbox-gl-native issues
cc electrostat tobrun zugaldia masterjefferson</t>
  </si>
  <si>
    <t>sraorao-AnimApp-5</t>
  </si>
  <si>
    <t>App crashes when first a large file is opened (which triggers a message dialog) and then click on Analyse</t>
  </si>
  <si>
    <t>Probably because it is trying to open csv file that does not exist.</t>
  </si>
  <si>
    <t>Haptic-Apps-Slide-2720</t>
  </si>
  <si>
    <t>Slide crashes when i open filtered content</t>
  </si>
  <si>
    <t>Slide version: 5.8.2
Android version: Miui 9, Android 7.0
Tried restarting the phone but didn help. It happened when accidentally filtered reddit pictures.</t>
  </si>
  <si>
    <t>2018-04-15</t>
  </si>
  <si>
    <t>oliexdev-openScale-244</t>
  </si>
  <si>
    <t>App crash while granting Bluetooth permission</t>
  </si>
  <si>
    <t>erijo in the current dev version the app crash while granting the location permission in the Bluetooth preference view.
Would be great if you can look into it.</t>
  </si>
  <si>
    <t>UdacityAndroidDevScholarship-blood-donation-28</t>
  </si>
  <si>
    <t>App crash when trying to login.</t>
  </si>
  <si>
    <t>## Bug Report
Device Operating System Emulator x86 Android 8.1.1, Android Studio 3.1.1
What error did you encounter?
App force closed when trying to sign in.
When does this occur?
After entering valid phone number and clicking in. It crashes immediately.
#### Steps to reproduce:
1. Open the app.
2. Enter your phone number.
3. Click on in</t>
  </si>
  <si>
    <t>2018-04-14</t>
  </si>
  <si>
    <t>willowtreeapps-Hyperion-Android-98</t>
  </si>
  <si>
    <t>Sample app crashes on launch on API level 15</t>
  </si>
  <si>
    <t>The Geiger counter plugin crashes on launch because it instantiates an API 16+ class during It looks like maybe is called regardless of whether the minimumRequiredApi is satisfied?
&lt;img width 651 alt screen shot 2018-04-13 at 54 04 pm src https: 602569</t>
  </si>
  <si>
    <t>2018-04-13</t>
  </si>
  <si>
    <t>ehubscher-briarproject_390-163</t>
  </si>
  <si>
    <t xml:space="preserve">BUG: App runs out of memory when opening wallpaper page </t>
  </si>
  <si>
    <t>The bug happens on Nexus android 6.0.1 API 23
What has been done to try to fix the bug so far:
compress image view to bitmap, reduced to 50% of the quality
reduced to 10% of the quality
Before compression, this bug happened on emulator too (Pixel API 27). Compressing to bitmap 50% fixed it. Now it only seems to happen on the Nexus phone. It does not crash on any other device (including emulators).
Crash report from Nexus API 23:</t>
  </si>
  <si>
    <t>FusixGit-WiFiPasswordSearcher-6</t>
  </si>
  <si>
    <t>The application crashes on "Add network"</t>
  </si>
  <si>
    <t>When the key is in unknown state (not found in 3WiFi), calling the Add network context action results in application crash.</t>
  </si>
  <si>
    <t>twilio-video-quickstart-android-284</t>
  </si>
  <si>
    <t>Supported formats could not be retrieved because an error occurred connecting to the camera service</t>
  </si>
  <si>
    <t>App crashes due to the following error log. It did not crash before beta version.
### Steps to Reproduce
1. Give permissions to camera.
2. App crashes when local camera stream is created.
Caused by: Supported formats could not be retrieved because an error occurred connecting to the camera service
#### Expected Behavior
App should not crash
#### Actual Behavior
#### Reproduces how Often
#### Video Android SDK
#### Android API
#### Android Device
One Plus, Xiaomi</t>
  </si>
  <si>
    <t>rjaros87-pm-home-station-24</t>
  </si>
  <si>
    <t>Firebase crash application</t>
  </si>
  <si>
    <t>mapsforge-mapsforge-1049</t>
  </si>
  <si>
    <t>DatabaseRenderer crash while printing exception</t>
  </si>
  <si>
    <t>got an null pointer at this line
the exception message is null and so get println needs message
this crash happen randomically
can you please change that log to something like this:
that should not crash? thanks</t>
  </si>
  <si>
    <t>2018-04-12</t>
  </si>
  <si>
    <t>mauron85-cordova-plugin-background-geolocation-403</t>
  </si>
  <si>
    <t>Java Crash Null Pointer Exception</t>
  </si>
  <si>
    <t>&lt;!--- Provide general summary of the issue in the Title above --&gt;
## Your Environment
Plugin version: 3.0.0-alpha.24
OS version: 7.0
Device manufacturer and model: Samsung Galaxy Xcover4 (xcover4lte), 2048MB RAM, Android 7.0
Cordova version cordova -v ): 8.0.0
Cordova platform version cordova platform ls ): 7.1.0
Plugin configuration options:
GOOGLE PLAY SERVICES VERSION value 11+
ANDROID SUPPORT LIBRARY VERSION value 27.1.0
Some of our users have reported that our App is crashing while in the background. have checked the google play store crash report tool and have included it at the bottom. have not been able to reproduce this issue on various devices including the one mentioned above.
## Expected Behavior
Continue tracking the GPS while the app is in the background.
## Actual Behavior
App crashed due to java exception.
## Possible Fix
## Steps to Reproduce
We are trying to get the app to run in the background tracking the GPS for 12+ hours.
## Debug logs</t>
  </si>
  <si>
    <t>dimagi-commcare-android-1970</t>
  </si>
  <si>
    <t>Fix 2 NPEs from crashlytics</t>
  </si>
  <si>
    <t>2018-04-11</t>
  </si>
  <si>
    <t>react-native-camera-react-native-camera-1458</t>
  </si>
  <si>
    <t>Out of memory/crash when not in debugger</t>
  </si>
  <si>
    <t>### Which implementation are you using
### Steps to reproduce
1. Created new screen with the camera, using the remote debugger have no issues and works perfectly. When disable the debugger it takes forever to load the screen and it goes in out of memory.
### Does it work with Expo Camera?
### Expected behaviour
It should not crash when the debugger is off
### Actual behaviour
The app should NOT crash out of memory when the debugger is off
**Node.js version**: 9.3.0
**React Native version**: 0.54.2
**React Native platform platform version**: iOS11.0, Android 8.0</t>
  </si>
  <si>
    <t>stefan-niedermann-nextcloud-notes-366</t>
  </si>
  <si>
    <t>WindowManager$BadTokenException</t>
  </si>
  <si>
    <t>20 crash reports in the past 60 days with the following stacktrace:
will be caught and the app would not display
the Force Close message
feel uncomfortable with this solution since it does not explain *why* this happens.</t>
  </si>
  <si>
    <t>stefan-niedermann-nextcloud-notes-365</t>
  </si>
  <si>
    <t>NullPointerException on autosave()</t>
  </si>
  <si>
    <t>67 crash reports in the psat 60 days with the following stacktrace:</t>
  </si>
  <si>
    <t>stefan-niedermann-nextcloud-notes-364</t>
  </si>
  <si>
    <t>50 crash reports in the past 60 days with the following stacktrace:</t>
  </si>
  <si>
    <t>yydcdut-RxMarkdown-45</t>
  </si>
  <si>
    <t>sorry, do not know how to reproduce this, but there are many crashes on my app that have this stacktrace in common:</t>
  </si>
  <si>
    <t>Teester-Whats-Nearby-19</t>
  </si>
  <si>
    <t>Crash on startup of 0.16</t>
  </si>
  <si>
    <t>If user isn logged in, 0.16 crashes on startup.
This is due to 401 unauthorized error when the app tries to get the username from but it isn logged in yet. The user will still get notified about locations, but the app crashes when trying to load questions for the same reason.</t>
  </si>
  <si>
    <t>maks-MGit-319</t>
  </si>
  <si>
    <t>crash on Android when attempting to edit file</t>
  </si>
  <si>
    <t>ANDROID VERSION 8.0.0
APP VERSION NAME 1.5.4.2
PHONE MODEL ONEPLUS A5000</t>
  </si>
  <si>
    <t>uber-AutoDispose-192</t>
  </si>
  <si>
    <t>AutoDispose does not handle Fragment onDestroyView</t>
  </si>
  <si>
    <t>Unsure if this only applies to onDestroyView because support fragment does some funky state manipulation, e.g. (taken from support fragment source code)
mState ACTIVITY CREATED
Anyway, the following code causes autodispose to not crash or ever dispose of the observable.
override fun onDestroyView()
println( Subscribed! $activity
From some initial debugging, it looks like autodispose thinks that the current lifecycle is onStart (which guess makes sense because maps the state ON CREATE to ON START and from looking at the fragment code it looks like the state would be created.</t>
  </si>
  <si>
    <t>OneBusAway-onebusaway-android-868</t>
  </si>
  <si>
    <t>NPE in EmbeddedSocialUtils.isSocialRestricted() after AsyncTask callback</t>
  </si>
  <si>
    <t>From the Android developer console (1 crash):
guessing that the user opened the app and then quickly exited it. Then, the callback coming from the ObaRegionsTask triggered the to be redrawn, which in turn triggered the check to see if the embedded social features for that region were enabled or restricted by the user. And, by the time was called the HomeActivity context passed into no longer existed, generating the NPE when it tried to look up SERVICE)) in
acrown-msft One solution for this is to pass in the Application context into like:
That way even if the Activity is destroyed the Application context should still exist. An alternate approach would be to just return true from if the context passed into the method is null. guessing this NPE will only happen on lower-end devices with less memory that are more aggressive with killing activities not sure if they would destroy the application context as aggressively. If so, then the safer solution is to return true and not rely on the context existing. (the application context should always exist if code is running duh).
Please take look and let me know what you think.
**Steps to reproduce:**
Unsure probably quickly launch and stop the app, but due to the AsyncTask it will likely be hard to reproduce.
**Device and Android version:**
ZTE ZTE AVID (calbee), 2048MB RAM, Android 7.1</t>
  </si>
  <si>
    <t>2018-04-10</t>
  </si>
  <si>
    <t>rollbar-rollbar-java-115</t>
  </si>
  <si>
    <t>Crash on Android devices with API version lower than 19</t>
  </si>
  <si>
    <t>The next line causes crash during rollbar initialization:
This happens due to the class StandardCharsets does not exists in the Android 4.3 and lower.</t>
  </si>
  <si>
    <t>matomo-org-matomo-sdk-android-199</t>
  </si>
  <si>
    <t>SDK crashes app after a while in case the tracking backend is permanently not reachable</t>
  </si>
  <si>
    <t>We are currently using the Piwik SDK in one client app. Last week the staging environment was undergoing maintenance and was not reachable for few days returning HTTP 500 error codes for every call made by the Piwik SDK.
It seems that the SDK then retries the calls without retry limit until the app crashes with SSLException Unable to create application data which seems to indicate resource exhaustion due to too many threads files etc. (At least according to this (https: github.com square okhttp issues 3761) issue in the OkHttp repo). This behaviour was logged with the version 2.0.0 of the Piwik SDK integrated, but could also be reproduced with the 3.0.0 version of the Piwik SDK.
In the described case, the SDK always retries the calls without retry limit, indicated by the endlessly repeating logs like this:
After while multiple SocketExceptions appear in the logs:
Unsuccesful assuming OFFLINE, requeuing events.
Uncaching of events took 0ms
After few minutes, the app then crashes with the following exception, preceded by AppData::create pipe (2) failed: Too many open files
Caused by: Unable to create application data</t>
  </si>
  <si>
    <t>renyuneyun-Easer-81</t>
  </si>
  <si>
    <t>Easer crashes on screen rotate</t>
  </si>
  <si>
    <t>#### Expected behavior
App is suppose to be responsive on every screen mode, to enable phones with small screen use the landscape mode.
#### Actual behavior
App crashes when you want to add event or scenario and you rotate your screen.
#### How to reproduce
Download Easer from F-droid
Open the app
Click on menu icon and choose event or scenario
Click the plus button
Rotate your screen
#### Device detail
Device: Lenovo a5000
Software version: Easer 0.5.5.4
#### Recording Of The Bug
&lt;iframe width 560 height 315 src https: www.youtube.com embed 3bQn6NhAU9o frameborder allow autoplay encrypted-media allowfullscreen&gt;&lt; iframe&gt;
&lt;br &gt;&lt;hr &gt;&lt;em&gt;Posted on &lt;a href https: utopian.io utopian-io macspeaks &gt;Utopian.io Rewarding Open Source Contributors&lt; a&gt;&lt; em&gt;&lt;hr</t>
  </si>
  <si>
    <t>2018-04-09</t>
  </si>
  <si>
    <t>ChaosLeung-PinView-18</t>
  </si>
  <si>
    <t>Issue with checkItemRadius</t>
  </si>
  <si>
    <t>style style PinWidget.PinView
using the above code and the app crashes with the following:
Caused by The itemRadius can not be greater than itemWidth
The radius is exactly half the item width but the app crashes.
Happening on Galaxy S3, S7 and Pixel XL</t>
  </si>
  <si>
    <t>google-ExoPlayer-4104</t>
  </si>
  <si>
    <t>Philips TV (QM163E) crashes when switching surface</t>
  </si>
  <si>
    <t>We are using in our app multiple players and dynamically switch the surface. This behaviour makes ExoPlayer crash or produce an ANR on one specific Philips TV model (QM163E). We could not reproduce this behaviour on other Android devices (mobile and TVs), even not on other Philips TV models (MT5593FHT EU, PH7M EU 5596).
This has been confirmed using ExoPlayer versions 2.7.1, 2.7.0, 2.6.x, 2.5.x.
This seems to be related to: https: github.com google ExoPlayer issues 3835
Applying the workaround by adding it to the list in for fixes the issue:
private static boolean name)
QM16XE Philips QM163E
Philips TV (QM163E)
All Android mobile phones tested
Other Philips TVs (MT5593FHT EU, PH7M EU 5596)
Other Android TVs tested</t>
  </si>
  <si>
    <t>julian-klode-dns66-265</t>
  </si>
  <si>
    <t>Do not allow disabling notification in Oreo (IllegalStateException: Not allowed to start service Intent)</t>
  </si>
  <si>
    <t>DNS66 fails periodically and requires manual restart now and then. This seems like the exception
--------- beginning of crash
Phone One Plus 5t
Oxygen OS 5.0.4</t>
  </si>
  <si>
    <t>UTurista-PRSPY-4</t>
  </si>
  <si>
    <t>ServerDetails and MapDetails crash when no internet</t>
  </si>
  <si>
    <t>UTurista-PRSPY-3</t>
  </si>
  <si>
    <t>Serialization error</t>
  </si>
  <si>
    <t>App crashes when creating server from parcel it throws an when giving the null value to the
Weird part, is that gamemode could have been null when putting it in the parcel, else the same error would have been throwed before.</t>
  </si>
  <si>
    <t>jameelbrochu-AnyMemo-155</t>
  </si>
  <si>
    <t>Bug where cannot complete quiz 100% and crashes when restarting quiz</t>
  </si>
  <si>
    <t>2018-04-08</t>
  </si>
  <si>
    <t>cgeo-cgeo-6969</t>
  </si>
  <si>
    <t>App crash on map source change</t>
  </si>
  <si>
    <t>##### Detailed steps causing the problem:
Not clearly reproducible
Map list of cache
Change between different offline maps or between Google and Offline
Seems to happen since we promoted the new mapsforge as default
##### Actual behavior after performing these steps:
Sometimes the app stopps responding and crashes shortafter
Will try to gain some logs next days
##### Expected behavior after performing these steps:
##### Version of c:geo used:
##### Is the problem reproducible for you?
##### System information:
Attach system information here if available (see c:geo menu -&gt; About c:geo -&gt; Swipe right to System)
Keep the apostrophe at beginning and end to have it properly formatted
##### Other comments and remarks:
e.g. Reference to other issues, projects, sources, etc.</t>
  </si>
  <si>
    <t>CMPUT301W18T23-GeoTask-54</t>
  </si>
  <si>
    <t>Delete Task Crash</t>
  </si>
  <si>
    <t>If you tap delete task too fast it will crash the app. (Not sure if it reproducible, server went down as was testing)</t>
  </si>
  <si>
    <t>lineargs-WatchNextApp-19</t>
  </si>
  <si>
    <t>App crashes on send feedback</t>
  </si>
  <si>
    <t>App crashes when clicked on send feedback or starting about activity</t>
  </si>
  <si>
    <t>2018-04-07</t>
  </si>
  <si>
    <t>google-ExoPlayer-4096</t>
  </si>
  <si>
    <t>IndexOutOfBounds on setPlayWhenReady using IMA Extension</t>
  </si>
  <si>
    <t>### Issue description
am receiving significant amount of crash reports when doing From the stacktrace it looks like it might have to do with the IMA Extension, but ve yet to be able to reproduce it locally.
seeing this issue on all devices and android versions 5-8.
### Reproduction steps
Unable to reproduce it locally, but can give my setup (Kotlin).
fun play(video: VideoModel)
var mediaSource ?: return
playWhenReady true &lt;---- CRASH COMES FROM THIS CALL
private fun VideoModel): MediaSource?
val mediaSource when
-&gt; dataSourceFactory, 1, null, null)
dataSourceFactory, extractorsFactory, null, null)
else -&gt; return null
val textFormat MimeTypes.TEXT VTT, Format.NO VALUE, en
val textMediaSource dataSourceFactory,
textFormat, C.TIME UNSET)
private fun MediaSource, video: VideoModel): MediaSource
val adTagUri ?: return originalMediaSource
### Link to test content
### Version of ExoPlayer being used</t>
  </si>
  <si>
    <t>2018-04-06</t>
  </si>
  <si>
    <t>mapbox-mapbox-gestures-android-38</t>
  </si>
  <si>
    <t>Single tap gesture crash</t>
  </si>
  <si>
    <t>While working on mapbox found
Steps to reproduce:
1. Navigation test app dan-maps-3.0 branch in https: github.com mapbox
2. Open Mock Navigation activity
3. Tap map to place waypoint
4. Press the START ROUTE button
5. Tap map (single tap)
cc LukasPaczos tobrun danesfeder</t>
  </si>
  <si>
    <t>MarcLeclair-Mini-Cap-AnyMemo-96</t>
  </si>
  <si>
    <t>Bug: Cannot view card list</t>
  </si>
  <si>
    <t>When trying to view the card list from chosen database, the app crashes and closes down.
Steps to reproduce the bug:
1. Go to the list of databases tab (2nd tab from the left).
2. Select quiz.
3. Choose Card List.
Being able to see the list of cards that the database contains.
The app crashes and closes before being able to see the list of cards.</t>
  </si>
  <si>
    <t>aerogear-aerogear-android-sdk-190</t>
  </si>
  <si>
    <t>Example app crashes when using local Keycloak</t>
  </si>
  <si>
    <t>## Expected Behavior
App should allow me to connect to my Keycloak server if use that instead of the provided one in the example app.
## Actual Behavior
App crashes when using own Keycloak server instead of provided one in example app.
FATAL EXCEPTION: pool-3-thread-1
## Steps to Reproduce the Problem
1. Change the URL of Keycloak in in the example app to local Keycloak
2. Try to initiate auth</t>
  </si>
  <si>
    <t>aerogear-aerogear-android-sdk-189</t>
  </si>
  <si>
    <t>Example app crashes when metrics not found in configuration</t>
  </si>
  <si>
    <t>## Expected Behavior
If add in my own file to the example app it should still function. Even if don have every service provisioned.
This has only been confirmed when metrics is missing, other services may also cause this.
## Actual Behavior
If add without metrics configured then the app will crash.
## Steps to Reproduce the Problem
1. Remove metrics from
2. Run the app</t>
  </si>
  <si>
    <t>Fr4gorSoftware-SecScanQR-31</t>
  </si>
  <si>
    <t>Crash when viewing certain entries in history</t>
  </si>
  <si>
    <t>When scanning this Data Matrix Code (https: github.com zxing zxing issues 365), and subsequently viewing its entry in the history tab, the application crashes.</t>
  </si>
  <si>
    <t>opensensorhub-osh-android-11</t>
  </si>
  <si>
    <t>App crashes on Pixel XL running 8.1.0</t>
  </si>
  <si>
    <t>Don know if the OS version is the issue but get SensorHubConnect has stopped or SensorHubConnect keeps stopping error. After hitting start. Running Android App version 1.2.0 (current version on distros)</t>
  </si>
  <si>
    <t>2018-04-05</t>
  </si>
  <si>
    <t>alaskalinuxuser-app_JustChess-1</t>
  </si>
  <si>
    <t>Suggested move crashes app if castle is suggested move.</t>
  </si>
  <si>
    <t>If the engine suggests castling as the next best move, the app will crash when you ask for suggestion.</t>
  </si>
  <si>
    <t>UTurista-PRSPY-1</t>
  </si>
  <si>
    <t>App crash when opening settings links</t>
  </si>
  <si>
    <t>When opening link in the settings activity, eg: Rate in Play Store app crashes</t>
  </si>
  <si>
    <t>k3b-APhotoManager-119</t>
  </si>
  <si>
    <t>A photo manager crashes on opening filemanager(clicking folder icon) and rotating the screen</t>
  </si>
  <si>
    <t>#### Expected behavior
After opening the app and clicking on the file icon from top bar of the app and rotating the screen to view in landscape mode, the interface should rotate with the screen.&lt;br&gt;
#### Actual behavior
But when you click on the folder icon to open file manager from the app and rotate the screen the app crashes and stops.&lt;br&gt;
#### How to reproduce
2. Click on the folder icon as shown in the following screenshot.&lt;br&gt;! (https: s19.postimg.org qg2prl9ib 20180403 194919.png)
3. Switch the orientation of your screen to landscape mode and Rotate the screen of your phone.&lt;br&gt;
The app now will crash and stop and will show message as below.&lt;br&gt;! (https: s19.postimg.org abqvc27gz 20180401 162213.png)
This bug is reported in Samsung Galaxy J5 Android 6.0.1 and Photo Manager app version 0.6.4.180321. &lt;br&gt;
App Version: 0.6.4.180321 &lt;br&gt;
Operating system: Android 6.0.1
#### Recording Of The Bug
Here the bug recorded in video.&lt;br&gt;
&lt;iframe width 560 height 315 src https: www.youtube.com embed cArA3fUzC0Q frameborder allow autoplay encrypted-media allowfullscreen&gt;&lt; iframe&gt;
&lt;br &gt;&lt;hr &gt;&lt;em&gt;Posted on &lt;a href https: utopian.io utopian-io neupanedipen &gt;Utopian.io Rewarding Open Source Contributors&lt; a&gt;&lt; em&gt;&lt;hr</t>
  </si>
  <si>
    <t>2018-04-04</t>
  </si>
  <si>
    <t>oliexdev-openScale-238</t>
  </si>
  <si>
    <t>App crash on start</t>
  </si>
  <si>
    <t>OpenScale 1.7.1 crash on startup. Installed from F-Droid.
Build version: 1.7.1
... 11 more
Caused by: Invalid int: res color abc primary text material light.xml
... 31 more</t>
  </si>
  <si>
    <t>jameelbrochu-AnyMemo-138</t>
  </si>
  <si>
    <t>Fix Shuffle For Multiple Choice Deck</t>
  </si>
  <si>
    <t>Shuffle button currently crashes. The deck is already shuffled so need to remove this feature specifically for MC mode or adapt it to work for mc as well</t>
  </si>
  <si>
    <t>twilio-video-quickstart-android-278</t>
  </si>
  <si>
    <t>Crash on camera flip in emulator</t>
  </si>
  <si>
    <t>App crashes when trying to flip camera on emulator
### Steps to Reproduce
1. Try to flip camera on Emulator
Code that help reproduce the issue
#### Expected Behavior
Camera should switch or app shouldn crash
#### Actual Behavior
#### Reproduces how Often
#### Video Android SDK
#### Android API
API level 26
#### Android Device
Emulator Android 8.0 x86</t>
  </si>
  <si>
    <t>iBotPeaches-Apktool-1761</t>
  </si>
  <si>
    <t>Implicit qualifiers removed during decode</t>
  </si>
  <si>
    <t>1. Apktool 2.3.1 and 2.3.2 snapshot
3. SystemUI.apk and framework-res.apk from note Oreo firmware
The resource folder layout changes from the original apk, for instance in the original SystemUI.apk there is an animator-v21 folder but the disappears when decompiled and files move to simple animator folder.
### Steps to Reproduce
1. apktool SystemUI.apk
2. apktool SystemUI -c
3. Flash new apk, results in SystemUI crash</t>
  </si>
  <si>
    <t>2018-04-03</t>
  </si>
  <si>
    <t>commons-app-apps-android-commons-1412</t>
  </si>
  <si>
    <t>Crash (SQLiteReadOnlyDatabaseException) when opening another activity after notifications activity</t>
  </si>
  <si>
    <t>As 97balakrishnan said:
This happens only when the app is logged in for the first time. When tried to launch the notifications and then open recent uploads got the following crash. dont know if they are related but just thought of reporting it. My recent uploads are working fine after relaunch the app on my phone Android 6.0.1.
**Steps to reproduce:**
97balakrishnan can you explain here?
**Add System logs:**
(Edited by misaochan)</t>
  </si>
  <si>
    <t>2018-04-02</t>
  </si>
  <si>
    <t>kollerlukas-Camera-Roll-Android-App-169</t>
  </si>
  <si>
    <t>Camera Roll: Bug found when clicked on "Scan"</t>
  </si>
  <si>
    <t>#### Expected behavior
After navigating to the storage folder by clicking on the File Explorer option, expected the app to scan the storage folder for files and probably display them.
#### Actual behavior
When get to folder in my storage that want to scan and then clicked on Scan option the app crashes and takes me back to the Home Activity.
#### How to reproduce
Download the Camera Roll app from Playstore
Launch the app
At the home activity, Click on the menu option icon at the top right
From the menu options click on File Explorer
Navigate to folder you want to scan
Click on the menu icon
From the drop down options click on Scan
The app crashes and returns to the Home Activity.
App Version: Version 1.0.5
Operating system: Infinix Hot, Android Kitkat
#### Recording Of The Bug
&lt;br &gt;&lt;hr &gt;&lt;em&gt;Posted on &lt;a href https: utopian.io utopian-io godwyn &gt;Utopian.io Rewarding Open Source Contributors&lt; a&gt;&lt; em&gt;&lt;hr</t>
  </si>
  <si>
    <t>TeamNewPipe-NewPipe-1242</t>
  </si>
  <si>
    <t>Error upon pressing media buttons from other apps</t>
  </si>
  <si>
    <t>carefully read the contribution guidelines (https: github.com TeamNewPipe NewPipe blob HEAD .github CONTRIBUTING.md) and agree to them.
checked if the issue feature exists in the latest version.
The app is unable to handle media buttons inputs that come from other apps installed. For example Kustom Live Wallpaper, Kustom Widget, Music Boss, and the Pebble app (with using pebble smartwatch of course) crashes the app. The error reporter shows an ui error.
Might as well add request since this bug needs some fixing and its related. Would be nice if Newpipe would share player details. Like for example what the current song (or video) info (Title Artist, track duration, and current track position) This info is quite useful for the apps mentioned above.
Here are the error details that the Newpipe reports.
PS your report via email button is broken too. :P</t>
  </si>
  <si>
    <t>2018-04-01</t>
  </si>
  <si>
    <t>commons-app-apps-android-commons-1401</t>
  </si>
  <si>
    <t>User is no longer prompted to send ACRA crash reports</t>
  </si>
  <si>
    <t>ACRA crash report prompt has disappeared.
**Steps to reproduce:**
In prior versions (not sure how long ago), the user used to be prompted to send crash reports to ACRA (our mailing list) whenever the app crashes. This allows us to see the logs of crash alongside the user comments, which is important for debugging.
No prompt to send crash report.
**Device and Android version:**
Samsung Galaxy S7, Android 6.0.1
**Commons app version:**
**Would you like to work on the issue?**
Preferably not, but ll pick it up if no one wants it</t>
  </si>
  <si>
    <t>yeriomin-YalpStore-412</t>
  </si>
  <si>
    <t>Running 0.35 on LineageOS 14.1.
### Expected behaviour
Search for name or updates. Login and search.
### Actual behaviour
Searching for name or updates will pop up the log in dialog. Then the app crashs.
### Steps to reproduce
Install yalp with f-droid. Search for anything in yalp.
### Info about your device
Newly installed LineageOS 14.1 on Redmi5.</t>
  </si>
  <si>
    <t>aionnetwork-aion-319</t>
  </si>
  <si>
    <t>Critical Threads Dying due to incorrect exception handling</t>
  </si>
  <si>
    <t>Currently, some parts of the kernel stop working sporadically due to critical threads (for example sync-ib dying due to exceptions.
These threads must handle abide by the contract of handling all exceptions that may arise. As we have no thread-manager that respawns threads upon crash. Attached is log containing jstack that shows sync-ib is missing from the threads list. This in turn stops syncing.
ali-sharif pointed out that other components have similar issues:
EventManager handler threads on each component
P2pMgr long running tasks: TaskInbound (incoming connections), TaskClear, TaskConnectPeers
SyncMgr (TaskImportBlocks (sync-ib)), TaskGetBodies, TaskGetStatus
Ideally, we should be documenting clearly the status, responsibilities and guarantees of each thread and take inventory of which threads are long running in our system. Some sort of naming convention would go long with too.</t>
  </si>
  <si>
    <t>2018-03-31</t>
  </si>
  <si>
    <t>morenoh149-react-native-contacts-279</t>
  </si>
  <si>
    <t>Contacts.getAll works on emulator but crashes on mobile phone.</t>
  </si>
  <si>
    <t>Here is my code:
import React from react
import View, Text from react-native
import Contacts from
export default class ContactTab extends React.Component
console.log( Hello Contacts)
&lt;View style flex: 1, justifyContent: center alignItems: center
It works fine on emulator but crashes on phone.
The crash report only says
As the Contacts.getAll function gets called app crashed.
What might be the issue checked the permission and it returns authorized
Any solution to this</t>
  </si>
  <si>
    <t>nikita36078-J2ME-Loader-267</t>
  </si>
  <si>
    <t>Bomberman 3D - Freezing/Crashing Issue</t>
  </si>
  <si>
    <t>**Description of the issue:**
&gt;**Issue 1:** The game freezes in menu (Can be fix by enabling immediate processing mode)
**Issue 2:** Enabled Immediate Processing Mode The game crashes after finishing the first level.</t>
  </si>
  <si>
    <t>Devsoc-BPGC-ARD-215</t>
  </si>
  <si>
    <t>App closes on browser launch</t>
  </si>
  <si>
    <t>On launching url from the Brower util noticed app finishes (and in onStart app crashes due to FirebaseAuth user data being null for some reason).
To prevent null pointer exception in onStart, have added check in
Rushi98 Confirm if this behaviour is visible in your phone too.
tested on Oreo Emulator</t>
  </si>
  <si>
    <t>2018-03-30</t>
  </si>
  <si>
    <t>getsentry-sentry-java-572</t>
  </si>
  <si>
    <t>Sentry fails to upload with ProGuard: silent NullPointerException in JsonMarshaller.writeExtras</t>
  </si>
  <si>
    <t>Using sentry 1.7.2 on Android, am able to upload without ProGuard (on my debug builds) but fail on non-debug builds with ProGuard (note: obfuscation is off). The exception is thrown here, where extras is null: https: github.com getsentry sentry-java blob sentry src main java io sentry marshaller json
And it silently suppressed so as an end user of Sentry, don see any logs and Sentry mysteriously fails to upload.
To repro, here copy of my code: https: github.com mcomella firefox-tv tree host-sentry-npe Notes:
You ll have to build with the build variant
You ll have to sign the APK in order to install it on device (as is the case with release builds)
Add debugger statement on the line mention above
Run the app and crash it. added code so that you can force crash once by pressing any button once you re on the home screen (with the Enter search text field)
Reopen the app.
Attach debugger to the running app
Wait 60s for the background thread to attempt to upload and wait for the debugger to catch
was able to fix the problem by keeping the Event class: noticed it gets serialized to disk so guessing ProGuard is removing fields that are important for the Serialization process. Here my proguard config for sentry:</t>
  </si>
  <si>
    <t>Jeremyyiu-BatteryManager-10</t>
  </si>
  <si>
    <t>Permission denial</t>
  </si>
  <si>
    <t>Writing exception to parcel
Occurred and causes the app the crash when tried running the app after implementing an onclick listener to generate intent to open up wifi settings</t>
  </si>
  <si>
    <t>kazijehangir-BloodHub-44</t>
  </si>
  <si>
    <t>My donations crashes</t>
  </si>
  <si>
    <t>My donations gives this error:
FATAL EXCEPTION: main</t>
  </si>
  <si>
    <t>kollerlukas-Camera-Roll-Android-App-167</t>
  </si>
  <si>
    <t>App crashes when you long press on an item in the list</t>
  </si>
  <si>
    <t>#### Expected behavior
When long press on an item, say an image in list of several images. expected options to come up or the image to be highlighted in the case where want to select multiple images.
#### Actual behavior
When long press on an item be it an image file or video the app crashes.
#### How to reproduce
Download the Camera Roll app from playstore
Launch the app
In the list of items inside the folder, long press on an item
Version: Veersion 1.0.5
Operating system: Infinix Hot, Android Kitkat
#### Recording Of The Bug
&lt;br &gt;&lt;hr &gt;&lt;em&gt;Posted on &lt;a href https: utopian.io utopian-io godwyn &gt;Utopian.io Rewarding Open Source Contributors&lt; a&gt;&lt; em&gt;&lt;hr</t>
  </si>
  <si>
    <t>2018-03-29</t>
  </si>
  <si>
    <t>twilio-video-quickstart-android-276</t>
  </si>
  <si>
    <t>Crashes with RecyclerView list of remote participants</t>
  </si>
  <si>
    <t>Using RecyclerView to hold list of multiple remote participants is crashing app.
My app is supposed to allow group video calls. Where user has RecyclerView list of other users with their videos. However, if test the app with more than participants my app crashes from code cannot control.
Not sure if my RecyclerViewAdapter is not being used correctly with the VideoViews and Participants.
tried replicating this RecyclerView with VideoView example:
But that example uses RecyclerView to display LocalVideo instead of remote participants, so it does not seem to apply to my use case. (And the class doesnt seem to exist)
### Steps to Reproduce
1. While having video conference with or more remote users, app will eventually slow down the device and then crash.
private Map&lt;String, Integer&gt; participantItemMap new HashMap&lt;&gt;()
private VideoTrack&gt; viewHolderMap new HashMap&lt;&gt;()
this.items new ArrayList&lt;&gt;()
This is called from the activity when participant enters the room
public void participant)
public void holder, int position)
if (videoTrack null)
for (VideoRenderer renderer
if (renderer holder.videoView)
if videoview is already rendering this videotrack, dont rebind it
Release any previous renderings
private VideoTrack participant)
if (participant null)</t>
  </si>
  <si>
    <t>mapbox-mapbox-events-android-98</t>
  </si>
  <si>
    <t>Fix crash when sticky service is recreated</t>
  </si>
  <si>
    <t>Fixes crash when STICKY Service is recreated
This is release blocker so for now the solution taken is making the Service NOT STICKY
Will open new ticket to revisit this and fix that back.</t>
  </si>
  <si>
    <t>wncc-instiapp-android-83</t>
  </si>
  <si>
    <t>AddEventFragment launched from FAB in FeedFragment causes app crash on adding photo</t>
  </si>
  <si>
    <t>kollerlukas-Camera-Roll-Android-App-166</t>
  </si>
  <si>
    <t>Camera Roll: Move and Copy features crashes the app</t>
  </si>
  <si>
    <t>#### Expected behavior
After viewing file,when want to copy or move the file from one location to another expected the app to do so successfully without crashing.
#### Actual behavior
When view file, click on the menu option and select either copy or move, then select the destination folder and click on the Ok button the app crashes.
#### How to reproduce
Download the Camera Roll app from playstore
Launch the app
Select file to view it
When viewing the file,click on the menu icon to view the drop down options
Click on Copy or Move
Select the destination Folder
Click on the Ok button
Version: Veersion 1.0.5
Operating system: Infinix Hot, Android Kitkat
#### Recording Of The Bug
&lt;br &gt;&lt;hr &gt;&lt;em&gt;Posted on &lt;a href https: utopian.io utopian-io godwyn &gt;Utopian.io Rewarding Open Source Contributors&lt; a&gt;&lt; em&gt;&lt;hr</t>
  </si>
  <si>
    <t>mapbox-mapbox-events-android-97</t>
  </si>
  <si>
    <t>Service crashes after restart</t>
  </si>
  <si>
    <t>Refs. https: github.com mapbox mapbox-gl-native issues 11554.
When the service that works in sticky mode (https: github.com mapbox blob libtelemetry src main java com mapbox android telemetry is being killed by the OS and then restarted, it going to deliver null intent and crash here (https: github.com mapbox blob libtelemetry src main java com mapbox android telemetry</t>
  </si>
  <si>
    <t>kollerlukas-Camera-Roll-Android-App-165</t>
  </si>
  <si>
    <t>Camera Roll app crashes when trying to rename a file</t>
  </si>
  <si>
    <t>#### Expected behavior
When view file and want to rename the file, expected the Camera Roll app to change the file name successfully without crashing.
#### Actual behavior
When view file, image or view and click on the drop down menu options and click on RENAME the rename dialog comes up. When type in new name for the file or not when click on RENAME the app crashes.
#### How to reproduce
Download the Camera Roll app from laystore
Launch the app
Select file to view it
When viewing the file,click on the menu icon to view the drop down options
Click on Rename
Whether you type in new name or not
Click on the RENAME
The app crashes and returns to the parent folder
Version: Veersion 1.0.5
Operating system: Infinix Hot, Android Kitkat
#### Recording Of The Bug
&lt;br &gt;&lt;hr &gt;&lt;em&gt;Posted on &lt;a href https: utopian.io utopian-io godwyn &gt;Utopian.io Rewarding Open Source Contributors&lt; a&gt;&lt; em&gt;&lt;hr</t>
  </si>
  <si>
    <t>2018-03-28</t>
  </si>
  <si>
    <t>smartnsoft-smartrecyclerview-android-1</t>
  </si>
  <si>
    <t>La méthode `getSpanSizeForPosition` de la classe `SmartRecyclerAdapter` peut provoquer un crash</t>
  </si>
  <si>
    <t>Chemin de reproduction
1. Cr er une liste avec impl mentation du DiffUtil avec un seul ment dedans
2. Appeler la thode du avec en param tre une liste vide
3. Constater le crash
Le probl me, dans ce cas pr vis vient du fait que la thode est appel avec une position -1 Comme la condition if (position wrappers.size()) est remplie, application crash sur la ligne suivante
Il convient donc de rifier si, en plus, la position est bien sup rieure ou gale 0.</t>
  </si>
  <si>
    <t>tchapgouv-tchap-android-legacy-79</t>
  </si>
  <si>
    <t>Access to public room</t>
  </si>
  <si>
    <t>When user try to access public room, tchap crashes (even if the user is the creator of the room).</t>
  </si>
  <si>
    <t>k9mail-k-9-3289</t>
  </si>
  <si>
    <t>selecting key from openkeychain fails</t>
  </si>
  <si>
    <t>k-9 does not accept the cryptographic key from openkeychain.
The key has been created newly by openkeychain using plain defaults from the
wizzard, except for uploading to the internet being off (as these are tests
Steps in detail:
In k-9, after selecting the key from the list, the app takes short breath
for about sec. and then simply behaves as if it was newly started. Looks
like quick app restart after crash or so (but there is no crash message).
When entering the menu Cryptography My key, there is still no key
Tried with K-9 OpenKeyChain 5.502 4.9.2 as well as 5.403 4.9.
Android version: 7.1.2 LineageOS. Security options were off for both
for both apps.</t>
  </si>
  <si>
    <t>react-native-camera-react-native-camera-1408</t>
  </si>
  <si>
    <t xml:space="preserve">recordAsync: Expected a Camera component  </t>
  </si>
  <si>
    <t>### Which implementation are you using
### Steps to reproduce
Trying to record video with recordAsync, using the below code
ref (cam) this.camera cam
this.setState( message Camera Ready
2. startVideo async ()
if !this.camera return
const data await
this.setState( message: Good
this.setState( message: bad
if !this.camera return
4. react-native run-android
### Does it work with Expo Camera?
Did not try
### Expected behaviour
Video should be recorded and URI should be shown on console
### Actual behaviour
Error in console, app crashes
Console error ::
Possible Unhandled Promise Rejection (id: 0):</t>
  </si>
  <si>
    <t>szaske-loc8r-39</t>
  </si>
  <si>
    <t>Passport crashes on first login of a user.</t>
  </si>
  <si>
    <t>Seems to be happening in Error is</t>
  </si>
  <si>
    <t>2018-03-27</t>
  </si>
  <si>
    <t>Codernauti-GameBank-27</t>
  </si>
  <si>
    <t>RoomActivity - Set visible FAB button after current state is received</t>
  </si>
  <si>
    <t>This bug cause crash</t>
  </si>
  <si>
    <t>mvysny-aedict-828</t>
  </si>
  <si>
    <t>Aedict 4</t>
  </si>
  <si>
    <t>Since Android will enforce lazy permissions as described in #741 Aedict will be required to ask for all SD-Card accesses, which is ridiculous and quite incompatible with the feature custom location of dictionaries However, can just simply force the dictionaries to be in folder allocated by Android for Aedict because that often resides on internal memory (Android lying its ass off here) and the users will be pissed. After years of tweaking of the dictionary location it seems that it working for everyone more or less, and will not dare to touch that and risk shitstorm of complaints.
Therefore take this as an opportunity to introduce new, Aedict version and make all ground-breaking and incompatible changes that have been piling up:
1. Enforcing dictionaries to reside on directory allocated by Android. This requires no permissions and should therefore work properly.
2. Removing the old way of storing notepad tags srs as files. The old way is dumb and does not work at all with huge notepads which some users do have, because it requires all data to be present in-memory which is the source of frequent OutOfMemoryError crashes. Use database from the very beginning.
3. Remove CouchBase. CouchBase is database which uses lots of CPU all the time the Android CouchBaseLite is utter crap (they ve dropped the ForestDB without any explanation which left Aedict screwed) and frequently fails to synchronize with the Gateway (randomly drops attachments, and then the sync internally crashes that there is no attachment, wtf). Evaluate replacement.
4. Change the payment model from one-time to yearly subscription. One-time payments simply do not generate enough revenue therefore have to have job. And since have kids as well, that leaves me with very few time to spare on any further development of Aedict.
5. Changing the payment model also helps to fight the piracy Aedict is currently paid app with no protection, and so hackers reverse-created Aedict APKs from the app installed on their phones and uploaded Aedict into other playstores.</t>
  </si>
  <si>
    <t>evernote-android-job-415</t>
  </si>
  <si>
    <t>Library crash after play-services-gcm:12.0.0 update.</t>
  </si>
  <si>
    <t>Crash appears in your library. Error is following:
Tested on 4.4.2.</t>
  </si>
  <si>
    <t>2018-03-26</t>
  </si>
  <si>
    <t>nikita36078-J2ME-Loader-254</t>
  </si>
  <si>
    <t>Sonic Runners Adventure</t>
  </si>
  <si>
    <t>Proline Android 5.1 tablet
**Description of the issue:**
It ll start then give you an option if you want sound or not, and after your choice it ll start to load get to approximately 93% and crash and drop you back to j2me loader</t>
  </si>
  <si>
    <t>barbeau-gpstest-132</t>
  </si>
  <si>
    <t>ArrayOutOfBoundsException when parsing Altitude (MSL) values</t>
  </si>
  <si>
    <t>Some devices appear to have malformed NMEA strings. From Android Developer Console:
**Steps to reproduce:**
Run app on device with malformed NMEA strings
Correctly parse NMEA value, or log exception but don crash on malformed NMEA strings
App crashes with
**Device and Android version:**
Above stack trace is from:</t>
  </si>
  <si>
    <t>2018-03-25</t>
  </si>
  <si>
    <t>barbeau-gpstest-131</t>
  </si>
  <si>
    <t>ArrayIndexOutOfBoundsException when parsing DOP values</t>
  </si>
  <si>
    <t>Some devices appear to have malformed NMEA strings. From Android Developer Console:
**Steps to reproduce:**
Run app on device with malformed NMEA strings
Correctly parse NMEA value, or log exception but don crash on malformed NMEA strings
App crashes with
**Device and Android version:**
Above stack trace was from:</t>
  </si>
  <si>
    <t>caarmen-scrumchatter-65</t>
  </si>
  <si>
    <t>The Scrum Chatter App Crashes ~ bug</t>
  </si>
  <si>
    <t>It should be able to allow users rotate their screen so as to properly use their screen to choose their preferred settings
It crashes each time the screen is rotated while on the settings theme menu....
***How to produce the bug***
Open the app, click on more options at the top right corner, select settings, click on theme Now rotate your screen, it would crash...
You should enable auto rotate, so as to view produce the bug
Operating system Android 6.0
Phone Infinix hot
Scrum Chatter v1.6.4
***Recording of the bug is showned below......***
Watch the video below to see how it behaves....
&lt;br &gt;&lt;hr &gt;&lt;em&gt;Posted on &lt;a href https: utopian.io utopian-io beckysophie &gt;Utopian.io Rewarding Open Source Contributors&lt; a&gt;&lt; em&gt;&lt;hr</t>
  </si>
  <si>
    <t>panmau-spotify-releases-app-21</t>
  </si>
  <si>
    <t>Handle "BIG FAILURE" in Async Task correctly</t>
  </si>
  <si>
    <t>The app shouldn crash when this happens.</t>
  </si>
  <si>
    <t>YoungMaker-iORC-98</t>
  </si>
  <si>
    <t>Loading view in delete mutation causes app to crash</t>
  </si>
  <si>
    <t>When deleting character the loading view crashes the app, will look into it</t>
  </si>
  <si>
    <t>2018-03-24</t>
  </si>
  <si>
    <t>SecUSo-privacy-friendly-weather-62</t>
  </si>
  <si>
    <t>Weather (Privacy Friendly) App crash, when click multiple times on refresh button.</t>
  </si>
  <si>
    <t>#### Expected behavior
The app is showing me weather of my city on main screen and there is refresh button on top right of app which refresh the weather details. Now if click multiple times on the refresh button, then app needs to manage multiple clicks and update the weather with new information (if there is any new change in weather information).
#### Actual behavior
When click on refresh button multiple times rapidly the app got crashed. Sometimes app got crash in 3-4 clicks or sometimes it take 6-8 clicks on refresh button. But it is crashing every time on clicking refresh button multiple times.
#### How to reproduce
To reproduce the bug follow the following steps :-
Download app from play store.
Enter your first location in app, now you have screen which shows weather details of your location.
Look at top right of app, you will see refresh button. Now press refresh button rapidly -5 times and the app got crashed. (For better understanding watch recording of bug)
Sometimes app got crash in 3-4 clicks or sometimes it take 6-8 clicks on refresh button.
Device: Samsung J7 Prime
Operating system: Android 7.0 Nougatt
App Version: v2.0
#### Recording Of The Bug
&lt;br &gt;&lt;hr &gt;&lt;em&gt;Posted on &lt;a href https: utopian.io utopian-io iamankit &gt;Utopian.io Rewarding Open Source Contributors&lt; a&gt;&lt; em&gt;&lt;hr</t>
  </si>
  <si>
    <t>SecUSo-privacy-friendly-weather-61</t>
  </si>
  <si>
    <t xml:space="preserve">Weather (Privacy Friendly) App crash, when rotate 'The First Location' screen from portrait to landscape </t>
  </si>
  <si>
    <t>#### Expected behavior
If app supports landscape orientation, then app needs to manage it layout when user rotates screen from portrait to landscape or landscape to portrait.
#### Actual behavior
run app and came to The First Location screen, where app asking me my first location. Now on the The First Location screen, rotate my screen from portrait to landscape and app got crashed. Other screens works fine in both orientation just this screen leading app to crash.
#### How to reproduce
To reproduce the bug, follow the following steps :-
Download fresh copy of app from play store.
Now open app and slide next from welcome screen to add first location screen. Don press skip button.
After coming to add first location screen, just rotate device screen from portrait to landscape.
The app crashed.
Device: Samsung J7 Prime
Operating system: Android 7.0 Nougatt
App Version: v2.0
#### Recording Of The Bug
&lt;br &gt;&lt;hr &gt;&lt;em&gt;Posted on &lt;a href https: utopian.io utopian-io iamankit &gt;Utopian.io Rewarding Open Source Contributors&lt; a&gt;&lt; em&gt;&lt;hr</t>
  </si>
  <si>
    <t>opensrp-opensrp-client-path-312</t>
  </si>
  <si>
    <t>App is closing unexpectedly (not crashing) when you are on ZEIR register and tap again on ZEIR in side menu</t>
  </si>
  <si>
    <t>Steps to reproduce:
Tap on the ZEIR in the side menu when you are already on the ZEIR home register page.</t>
  </si>
  <si>
    <t>2018-03-23</t>
  </si>
  <si>
    <t>tony19-logback-android-169</t>
  </si>
  <si>
    <t>java.io.IOException: write failed: ENOTCONN (Transport endpoint is not connected)</t>
  </si>
  <si>
    <t>Hello! use logback-android 1.1.1-6. In my crashlytics often got this non-fatal exceptions:</t>
  </si>
  <si>
    <t>Amuff1n-Study-Buddy-10</t>
  </si>
  <si>
    <t>Viewing profile after creating account crashes app</t>
  </si>
  <si>
    <t>Currently when an account is created, the user document on the database only has firstName, lastName, and uid fields. When you view your profile, it expects school, major, year, and class fields as well causing it to crash.
Possible fix would be to create these fields when creating account but make them null to start.</t>
  </si>
  <si>
    <t>2018-03-22</t>
  </si>
  <si>
    <t>CMPUT301W18T23-GeoTask-31</t>
  </si>
  <si>
    <t>Task Owner click on view profile popup in view bid activity crashes</t>
  </si>
  <si>
    <t>david-ron-tango-97</t>
  </si>
  <si>
    <t>BUG: App crashes upon re-selecting star in Answers</t>
  </si>
  <si>
    <t>Upon on click the value is added to the database
Bug No longer occurs</t>
  </si>
  <si>
    <t>maks-MGit-289</t>
  </si>
  <si>
    <t>Git repository deleted when open share with the same URL end</t>
  </si>
  <si>
    <t>How to reproduce:
1. Open some URL in browser (for example https: github.com maks MGit) an choice MGit in application selector.
2. Repository automatically cloned.
3. Open URL with the same end in browser (for example https: github.com morristech MGit)
4. Some dialog box about already exists...
5. Previously cloned repository gravatar changes...
6. Attempt to open previously cloned repository and the application crashes with the following report
ANDROID VERSION 7.1.2
APP VERSION NAME 1.5.4.2
PHONE MODEL MI 5s
7. Directory with previously cloned repository deleted from disk
8. attempt to open broken repository crashes application again.</t>
  </si>
  <si>
    <t>2018-03-21</t>
  </si>
  <si>
    <t>dariuszseweryn-RxAndroidBle-404</t>
  </si>
  <si>
    <t>Crash due to LocationServicesOkObservableApi23 somewhere has null</t>
  </si>
  <si>
    <t>Hi guys! Thank you for that awesome lib you ve created!
That seems to be thing with location permissions, but actually runtime ACCESS COARSE LOCATION was granted.
Ccrash sometimes happens when simply try to obtain RxBleClient instance.
would really appreciate your help. Thanks in advance!
### Library version
#### Logs from the application (crash report)
#### Actual result
App crashes on start
#### Expected result
App does not crash on start</t>
  </si>
  <si>
    <t>hzi-braunschweig-SORMAS-Project-531</t>
  </si>
  <si>
    <t>Possible app crash when trying to create a case from a contact</t>
  </si>
  <si>
    <t>check Google Analytics for crash report
fix bug if possible</t>
  </si>
  <si>
    <t>YoungMaker-iORC-85</t>
  </si>
  <si>
    <t>App crashes when entering skills tab</t>
  </si>
  <si>
    <t>this is due (suprise) to another null pointer exception Attempt to invoke virtual method java.lang.Object on null object reference</t>
  </si>
  <si>
    <t>YoungMaker-iORC-80</t>
  </si>
  <si>
    <t>App crashes when going into character detail page</t>
  </si>
  <si>
    <t>2018-03-20</t>
  </si>
  <si>
    <t>applivery-applivery-android-sdk-18</t>
  </si>
  <si>
    <t>java.lang.NullPointerException Attempt to invoke interface method 'retrofit2.Call</t>
  </si>
  <si>
    <t>this error is crashing app. happens randomly, haven been able to figure out what causes it</t>
  </si>
  <si>
    <t>react-native-camera-react-native-camera-1369</t>
  </si>
  <si>
    <t>RNCamera crashes on ratio update (Android)</t>
  </si>
  <si>
    <t>### Which implementation are you using
### Steps to reproduce
1. Use physical device eg. Galaxy Grand Prime
2. On onCameraReady get and use it to update state with ratio property (initially it undefined)
3. You should get exception
### Expected behaviour
It should accept supported ratio and render camera
### Actual behaviour</t>
  </si>
  <si>
    <t>OneTimePass-OneTimePass-9</t>
  </si>
  <si>
    <t>Crash after scanning</t>
  </si>
  <si>
    <t>just wanted to try out the app unfortunately got crash steps took:
install v1.2.2 from FDroid
enter password times
enter password one time
grant requested camera permission</t>
  </si>
  <si>
    <t>tony19-logback-android-168</t>
  </si>
  <si>
    <t>Crash due to race condition when creating log directory</t>
  </si>
  <si>
    <t>Got crash report in Fabric:
Caused by storage emulated app name logs app name-latest.log should not have existing parent directory
Upon investigation, this issue has since been addressed in logback upstream, see JIRA issue (https: jira.qos.ch browse LOGBACK-128) and corresponding patch (https: jira.qos.ch secure attachment 10277 parent dirs.patch)</t>
  </si>
  <si>
    <t>JohnLines-mediclog-8</t>
  </si>
  <si>
    <t>Clear button crash</t>
  </si>
  <si>
    <t>Clicking any of the or buttons next to field that has been cleared causes the app to crash.
SAMSUNG-SGH-I747 Android 4.4.2</t>
  </si>
  <si>
    <t>koral---android-gif-drawable-522</t>
  </si>
  <si>
    <t>native crash</t>
  </si>
  <si>
    <t>am using there are some online crashes on my app.
Android System Version: Android 4.1.2, level 16</t>
  </si>
  <si>
    <t>2018-03-19</t>
  </si>
  <si>
    <t>HenriDellal-emerald-62</t>
  </si>
  <si>
    <t>CategoryManager's list doesn't update properly</t>
  </si>
  <si>
    <t>When list of categories is changed (e.g. category was deleted), visually the list is the same, even though its items may refer to different categories that may lead to crash.</t>
  </si>
  <si>
    <t>SecUSo-privacy-friendly-weather-58</t>
  </si>
  <si>
    <t>New release doesn't install on Android 5.0.2</t>
  </si>
  <si>
    <t>tried to install latest release but can t. download apk file but cannot access it through file manager. When open download folder it crashes. had the same problem with other apps, it has been solved by updating build tools. It seems the same issue here.</t>
  </si>
  <si>
    <t>dimagi-commcare-android-1962</t>
  </si>
  <si>
    <t>Requests for camera permission in ImageWidget in case it's not already granted</t>
  </si>
  <si>
    <t>Fix for: https: manage.dimagi.com
Since users can disable the permissions Commcare has anytime, before making use of feature that requires certain permissions we should always check for required permissions before calling out to that feature.
Though am not sure whether Camera permission should also get explicitly added in the permissions list (https: github.com dimagi commcare-android blob master app src org commcare utils we check for at startup since not all apps require camera for their functioning!
Product Note: Fixes crash on Android M+ where image capture question would result in crash in case no camera permissions are granted to commcare by user.</t>
  </si>
  <si>
    <t>eltos-SimpleDialogFragments-33</t>
  </si>
  <si>
    <t>Crash after phone wake up if SimpleFormDialog was stay in foreground.</t>
  </si>
  <si>
    <t>There is problem with SimpleFormDialog if it was in foreground when device going to sleep. When it wake up application crashes because of getDialog() is null in the following code:
protected void onDialogShown()
resize dialog when keyboard is shown to prevent fields from hiding behind the keyboard
INPUT ADJUST RESIZE)
If add null check to it if (getDialog() null &amp;&amp; null) the crash disappears.</t>
  </si>
  <si>
    <t>2018-03-18</t>
  </si>
  <si>
    <t>andOTP-andOTP-159</t>
  </si>
  <si>
    <t>PIN code can simply be bypassed on SDK 23</t>
  </si>
  <si>
    <t>#### General information
**App version:** 0.5.0
**App source:** F-Droid*
**Android Version:** SDK 23
**Custom ROM:** no
#### Expected result
**What is expected?** PIN code to block the view of the OTPs
**What does happen instead?** App crashes and the restarts by showing the OTPs.
#### Steps to reproduce
1. open the app
2. tap unlock
3. see the app crash
4. tap ok -&gt; app reloads without requesting the PIN code</t>
  </si>
  <si>
    <t>2018-03-17</t>
  </si>
  <si>
    <t>aionnetwork-aion-208</t>
  </si>
  <si>
    <t>16G ram , kernel still crash.  more than 10K thread eat all system resource.</t>
  </si>
  <si>
    <t>spawned too many p2p-thread.....</t>
  </si>
  <si>
    <t>rollbar-rollbar-react-native-21</t>
  </si>
  <si>
    <t>Disabling crash reporting doesn't work</t>
  </si>
  <si>
    <t>using another crash reporting framework and thus don need the one from rollbar. How can disable it?</t>
  </si>
  <si>
    <t>2018-03-16</t>
  </si>
  <si>
    <t>rollbar-rollbar-java-110</t>
  </si>
  <si>
    <t xml:space="preserve"> No errors reported after Crash</t>
  </si>
  <si>
    <t>User is trying to set up Rollbar-Java and is able to get general errors, but unable to get errors reported after crash. With the newest release, this should be done automatically.
User has below in gradle:</t>
  </si>
  <si>
    <t>nikita36078-J2ME-Loader-226</t>
  </si>
  <si>
    <t>Ice Age 2: Arctic Slide - Crashing Issue</t>
  </si>
  <si>
    <t>1.2.8.1 and later
**Description of the issue:**
(The game will crash after the GLU logo.)</t>
  </si>
  <si>
    <t>k9mail-k-9-3266</t>
  </si>
  <si>
    <t>crash: reply to encrypted mail</t>
  </si>
  <si>
    <t>### Expected behavior
open new mail screen.
### Actual behavior
K9 displays new mail screen and crashes.
This seems related to have no encryption add-on installed.
### Steps to reproduce
1. open encrypted mail (info: install add-on to view decrypted content)
2. press reply button
K-9 Mail version: 5.403
Android version: 7.1.2
Account type (IMAP, POP3, WebDAV Exchange):</t>
  </si>
  <si>
    <t>react-native-camera-react-native-camera-1357</t>
  </si>
  <si>
    <t xml:space="preserve">【RNCamera】Camera is being used after camera.release() was called </t>
  </si>
  <si>
    <t>On Android the Camera occasionally crashes with the following exception:
Fatal Exception: Camera is being used after Camera.release() was called
**React Native version**:0.50.3
**React Native platform platform version**: Android 5.1</t>
  </si>
  <si>
    <t>opensrp-opensrp-client-growth-monitoring-22</t>
  </si>
  <si>
    <t>Check for null dialogs to prevent NullPointerExceptions</t>
  </si>
  <si>
    <t>This PR fixes bug that caused the app to crash on multiple, quick and successive clicks on the Record weight or the Growth chart button.
It was caused by caused by calls made on null dialog.</t>
  </si>
  <si>
    <t>JulianSobott-Catan-31</t>
  </si>
  <si>
    <t>Click Outside the map</t>
  </si>
  <si>
    <t>The game crashes when working with the Method when clicking on the Map. Problem is that the returned index is outOfBounds.
we need to validate if the click was on the map and handle the other case</t>
  </si>
  <si>
    <t>2018-03-14</t>
  </si>
  <si>
    <t>nikita36078-J2ME-Loader-222</t>
  </si>
  <si>
    <t>Clone 3D game crashes</t>
  </si>
  <si>
    <t>Emulator version: 1.2.8-open
Game version: 1.0
Game resolution: 240x320
Android version: 5.1
Game crashes while opening the first mission.</t>
  </si>
  <si>
    <t>antest1-kcanotify-46</t>
  </si>
  <si>
    <t>App crash when using with other applications</t>
  </si>
  <si>
    <t>Assuming the problem is in the sniffer implementation.
*** *** *** *** *** *** *** *** *** *** *** *** *** *** *** ***
Build fingerprint: motorola potter amz potter:7.0 NPNS25.137-93-4 2:user release-keys
signal (SIGABRT), code -6 (SI TKILL), fault addr --------
r0 00000000 r1 0000244b r2 00000006 r3 00000008
r4 9147e978 r5 00000006 r6 9147e920 r7 0000010c
r8 00000000 r9 ada6a274 sl 000001a0 fp ada2f90f
ip 0000000d sp 9147dbc8 lr afffd3e7 pc affffc44 cpsr 200f0010
#12 pc 0000ed67 dev ashmem (deleted)</t>
  </si>
  <si>
    <t>mapbox-mapbox-plugins-android-361</t>
  </si>
  <si>
    <t>Crash when changing location layer style right after MapView finishes loading style</t>
  </si>
  <si>
    <t>Mapbox SDK version 5.5.0
Location layer version 0.4.0
Code looks like this (simplified, in Kotlin):
if (change MapView.DID FINISH LOADING STYLE)
Waiting for the first MapView.WILL START RENDERING FRAME after the style is finished loading avoids the crash but causes some kind of flicker where the default drawable is used for couple of frames, which isn great.
Am doing something wrong? Let me know if you need more info.</t>
  </si>
  <si>
    <t>nvllsvm-Audinaut-23</t>
  </si>
  <si>
    <t>Crashes on launch on Lollipop</t>
  </si>
  <si>
    <t>#### Expected behavior
this application should be open and listen to music online with the help of libresonic
#### Actual behavior
tried to open this app and try to listen to music online. this application even stops itself and failed to open.
#### How to reproduce
-download the app
-lauch the app and the app get crashed
Operating system: advan s5e nxt android lolipop idos 5.1
app version o.2.3
#### Recording Of The Bug
&lt;br &gt;&lt;hr &gt;&lt;em&gt;Posted on &lt;a href https: utopian.io utopian-io muhammadarif &gt;Utopian.io Rewarding Open Source Contributors&lt; a&gt;&lt; em&gt;&lt;hr</t>
  </si>
  <si>
    <t>2018-03-13</t>
  </si>
  <si>
    <t>nitaliano-react-native-mapbox-gl-1110</t>
  </si>
  <si>
    <t>[IOS, Android]: App crash, when use iconRotationAlignment or iconPitchAlignment</t>
  </si>
  <si>
    <t>App crash, when use style properties.
error from xcode: Assertion failed: (it names)), function toString, file Users vagrant git platform darwin src line 32.</t>
  </si>
  <si>
    <t>k9mail-k-9-3255</t>
  </si>
  <si>
    <t>Crashes with invalid format email address</t>
  </si>
  <si>
    <t>### Expected behavior
want to use an internal email adress like foo b.2 We use some custom software on our own servers only for internal communication. **It works in Thunderbird.**
### Actual behavior
(All messages and texts are in german on my device don know the texts if you use K9 in english. just tried to translate them)
If try to add new email account to K9-Mail (Enter email and password) and tap on one of the two buttons Manually or Continue the app will crash with only the message K-9 Mail has stopped
### Steps to reproduce
1. Open K-9 Mail
2. Add new email account with foo b.2
3. Press Manually or Continue
K-9 Mail version: 5.403
Android version: 6.0.1
Account type (IMAP, POP3, WebDAV Exchange): WANT to use IMAP, but haven tried yet, because of the crash.</t>
  </si>
  <si>
    <t>couchbaselabs-mobile-travel-sample-40</t>
  </si>
  <si>
    <t>android: App crashes if you try to make a flight booking without creating user via web app</t>
  </si>
  <si>
    <t>ramack-ActivityDiary-119</t>
  </si>
  <si>
    <t>App crashes when deleting one of more pics in an activity</t>
  </si>
  <si>
    <t>#### Expected behavior
pics should be deleted amongst others under the same activity.
#### Actual behavior
Deleting pic out of more than one pics in an activity crashes the app.
#### How to reproduce
Download the app from fdroid&lt;br&gt;
Open and create an activity&lt;br&gt;
Add more than one pics to the activity&lt;br&gt;
Open the side menu and go to diary&lt;br&gt;
Look for the activity and delete pics from it&lt;br&gt;
App gets to crash at that instance&lt;br&gt;
App: Activity Diary. Fdroid version 1.1.8
Operating system: Android Nougat 7.0 on Tecno K7
#### Recording Of The Bug
&lt;br &gt;&lt;hr &gt;&lt;em&gt;Posted on &lt;a href https: utopian.io utopian-io mcyusuf &gt;Utopian.io Rewarding Open Source Contributors&lt; a&gt;&lt; em&gt;&lt;hr</t>
  </si>
  <si>
    <t>2018-03-12</t>
  </si>
  <si>
    <t>codinguser-gnucash-android-771</t>
  </si>
  <si>
    <t>QIF export crashes due to illegal denominator</t>
  </si>
  <si>
    <t>GnuCash Android crashes few seconds after starting to export my transactions to QIF file, either local or in Dropbox. File is created, but empty. ve been exporting my mobile transactions to desktop app this way for long time, and it had worked last time with the same database.
ve checked Android logs with CatLog and found this error message:
ve searched Google for this error message, and found source code (QifExporter.java) that throws it if split has the QUANTITY DENOM column set to an unsupported value. It seems that allowed values are only 10, 100 or 1000.
Then ve opened the current book database file with SQLite and ran query to find out which transactions had the unsupported 1.000.000 value as QUANTITY DENOM, and found few of them, as shown in the attached screenshot. These were transactions created with GnuCash Desktop and imported to GnuCash Android months ago, with recent beta version of the mobile app (not sure which of them).
After deleting those few transactions (didn try to fix them in the database, as they re already in GnuCash Desktop), export works fine.
don know GnuCash internals to tell if setting the denominator column to 1.000.000 was mistake of the desktop or the mobile app, but believe it should be properly handled at export time.
GnuCash Android 2.3.0 (from Play Store, not sure if it beta1 or beta3, but also happened before last update).
Reported through Google Plus (https: plus.google.com posts 57VVzatACi2).</t>
  </si>
  <si>
    <t>forrestguice-SuntimesWidget-177</t>
  </si>
  <si>
    <t>Application crashes when name of user defined location contains an apostrophe</t>
  </si>
  <si>
    <t>was having problem with the application crashing whenever would tap on the location push pin It took little bit of detective work, but think this is because the user defined location name had entered had an apostrophe in it (e.g. John House without the double quotes).
The only way to recover was to delete all the app data data). When enter the user defined location name again without an apostrophe, then everything is fine. When enter location name with an apostrophe, it crashes when you go back into the location settings.
guessing that an apostrophe or single quote needs to be escaped before storing the string internally or something like that. Everything else seems to be working just fine for me.</t>
  </si>
  <si>
    <t>calypsonet-keyple-java-48</t>
  </si>
  <si>
    <t>Ticketing app crashes when resume app</t>
  </si>
  <si>
    <t>open the app
read nfc card
switch to another app
resume to app
read nfc card -&gt; crash throwing</t>
  </si>
  <si>
    <t>Tencent-tinker-787</t>
  </si>
  <si>
    <t>GIONEE GN9002 Android4.2.2 Patch成功以后，首次启动patch成功，退出后三次启动crash</t>
  </si>
  <si>
    <t>SDK TinkerPatch SDK
5s Plus patch crash
######### patch #############
############ patch app ###############
Caused by: Thread already started.
Caused by: Thread already started.
issue (https: github.com tvvocold
Tinker sample Tinker pr.</t>
  </si>
  <si>
    <t>doublesymmetry-react-native-track-player-159</t>
  </si>
  <si>
    <t>Failed resolution of: Landroid/support/v7/app/NotificationCompat$Builder targetSdk 26</t>
  </si>
  <si>
    <t>Building project for android using support libs 26.0.2 crashes with error:
not an android dev so can really help to fix it, any ideas?</t>
  </si>
  <si>
    <t>nextcloud-android-2329</t>
  </si>
  <si>
    <t>Crash loop when showing upload history</t>
  </si>
  <si>
    <t>### Actual behaviour
When start the application, unlock it with my fingerprint and try to show the upload history, it crashes. Ii then restarts by itself and if unlock it again, it crashes directly, guess because it try to directly show upload history.
For the record, was abroad without internet for few days and took photos. There should be around 240 photos waiting in failure state because of missing internet connection in the upload history.
### Expected behaviour
It should not crash and show the upload history.
### Steps to reproduce
1. Start the application
2. Unlock it with your fingerprint
3. Show the upload history
### Environment data
Android version: Android 8.1.0 from CopperheadOS
Device model: Nexus 5X
Stock or customized system: CopperheadOS
Nextcloud app version: 3.0.3
Nextcloud server version: 13.0.0
#### Web server error log:
#### Nextcloud log (data nextcloud.log)</t>
  </si>
  <si>
    <t>2018-03-11</t>
  </si>
  <si>
    <t>ttnmapper-ttnmapper_android_v2-12</t>
  </si>
  <si>
    <t>V30 crashes on Android 8.1.0 when mapping started</t>
  </si>
  <si>
    <t>Tested on Google Pixel Android 8.1.0
All requested access rights were granted to app
crashes when sliding the Mapping button to on</t>
  </si>
  <si>
    <t>opensrp-opensrp-client-immunization-26</t>
  </si>
  <si>
    <t>App crash on multiple button clicks bug fix</t>
  </si>
  <si>
    <t>This bug fix adds momentary disable action to views whose click action leads to dialog pop-ups. This is to prevent possible undesired overlap of dialogs opened after multiple, quick and successive clicks on the same view.</t>
  </si>
  <si>
    <t>kazijehangir-BloodHub-24</t>
  </si>
  <si>
    <t>App crash when  placing request</t>
  </si>
  <si>
    <t>Reported by bloodlink team. App crashed when placing new request. Investigate.</t>
  </si>
  <si>
    <t>brykan-WTNAndroid-4</t>
  </si>
  <si>
    <t>Min SDK Version</t>
  </si>
  <si>
    <t>Not sure if this matters yet, but there might be specific min sdk version that the app supports. When tested on phone with Android ver. 21, there was crash that occurred. Need to test further to confirm if it is the SDK version or code issue</t>
  </si>
  <si>
    <t>CodeTaj-Briar-CodeTingz-71</t>
  </si>
  <si>
    <t>[Bug] App crashes when login is clicked with no data</t>
  </si>
  <si>
    <t>Steps to recreate: Log in instead -&gt;Sign in</t>
  </si>
  <si>
    <t>LonamiWebs-Stringlate-184</t>
  </si>
  <si>
    <t>ClassCastException: ResString -&gt; ResStringArray$Item, seperator problem</t>
  </si>
  <si>
    <t>## What happened?
## What have done before crash happened?
using ver 0.13 to translate this repo (https: github.com T-Rex96 Easy xkcd).
Most translation can be typed and saved successfully. But when it came to pref notifications:0 (current string id), after typing any character, the app crashed.
It also happened at pref notifications:1 pref orientation:0 It doesn crash at loading offline 20 80 which also contain numbers and can translate them successfully.
## Device Info Log
using Unoffical Resurrection Remix Nougat(7.1.2) V5.8.5 LuisROM for OnePlus link (https: luis-builds.de downloads lineageos rr oneplus3
Built Time: 28. Feb CET 2018
model ONEPLUS A3000
android version 7.1.2(25)
version name 0.13
supported abis arm64-v8a armeabi-v7a armeabi
display lineage oneplus3-userdebug 7.1.2 NJH47F 40a6a51390 release-keys
FATAL EXCEPTION: main</t>
  </si>
  <si>
    <t>Haptic-Apps-Slide-2682</t>
  </si>
  <si>
    <t>Crash when open image -&gt; click "comment" icon on bottom left</t>
  </si>
  <si>
    <t>Slide version: 5.8.2
Android version: 6.0.1 (OnePlus One using stock ROM)
Open image (with the app image viewer) from an Image-Post -&gt;
On the far bottom left side of the screen there the comment icon, to open the comment section of the post -&gt;
The app crashes.</t>
  </si>
  <si>
    <t>inaturalist-iNaturalistAndroid-481</t>
  </si>
  <si>
    <t>App crashes during Explore and when IDing an Observation</t>
  </si>
  <si>
    <t>logcat (6).txt (https: github.com inaturalist iNaturalistAndroid files 1798701 logcat.6.txt)</t>
  </si>
  <si>
    <t>2018-03-09</t>
  </si>
  <si>
    <t>react-native-camera-react-native-camera-1337</t>
  </si>
  <si>
    <t>react-native-camera record video crashes while capturing video</t>
  </si>
  <si>
    <t>Hi, am using in reactnative for recording video. It works in iOS and but not in Android
When start recoding video, from camera while capturing the timer, app crashes</t>
  </si>
  <si>
    <t>TeamNewPipe-NewPipe-1176</t>
  </si>
  <si>
    <t>Crash with no media player</t>
  </si>
  <si>
    <t>When trying to open downloaded video (as audio file) the app crashes when there is no music player app installed.
What: ui error
Request: App crash, UI failure
Time: 2018-04-17 08:21
OS-Version: Linux Android 7.12 25</t>
  </si>
  <si>
    <t>nextcloud-android-2318</t>
  </si>
  <si>
    <t>Crash after renaming directory on server</t>
  </si>
  <si>
    <t>### Actual behaviour
-Crash on reloading server files
### Expected behaviour
### Steps to reproduce
1. Create Autoupload folder for some other apps (e.g. Facebook, Tumblr or sth. else where you downlaod funny pictures)
2. File uploading works well
3. Decide to rename the folder in the serverUI to make it invisible. E.g. .Facebook
4. Open App -&gt; dots -&gt; choose first layer: Refresh account.
5. Rename it back to Facebook: All works fine
##Rename it in the App
6. Rename it in the app, works and it won crash.
### Environment data
Huawei Y6 2017
Stock or customized system:
Nextcloud app version:
Nextcloud server version:
#### Web server error log
Please ask me
#### Nextcloud log (data nextcloud.log)
File renamed: Facebook to .Facebook</t>
  </si>
  <si>
    <t>2018-03-08</t>
  </si>
  <si>
    <t>doublesymmetry-react-native-track-player-157</t>
  </si>
  <si>
    <t>[BUG] App crashed on android 5.0.1</t>
  </si>
  <si>
    <t>Guichaguri This component still not working on android 5.0.1 (Huawei P8 Lite)
When we use TrackPlayer in page and navigate to that page my app closed without any error. (I also check log-android output many times)
Have you any plan to fix it? :disappointed:
Maybe related: #100, #125 and https: github.com tanguyantoine pull 129 files
also try ariona notes to fix this by change this line:
KEY RATING, track.rating)
But it still not working.
Please help me to fix this.</t>
  </si>
  <si>
    <t>jruesga-rview-68</t>
  </si>
  <si>
    <t>Crash on opening existing change</t>
  </si>
  <si>
    <t>browse changes on Incoming tab and app crashes constantly while tapping specific change.
Backtrace is in attachments. don know how to get text backtrace easily, so screen shot attached, text is not copyable in this window.</t>
  </si>
  <si>
    <t>barbeau-gpstest-121</t>
  </si>
  <si>
    <t>NPE in GnssStatusAdapter.onBindViewHolder()</t>
  </si>
  <si>
    <t>Reported by user in https: groups.google.com msg gpstest android wlIi9jBVncQ rAk2pmEGBwAJ, stack trace from Android Developer Console.
On upgrading the app from 2.2.0 to 3.0.0 via Google Play, it continously crashes on startup with the following stack trace:
User reported that clearing the application data and cache stopped it from crashing (https: groups.google.com msg gpstest android wlIi9jBVncQ 9kXMgA4jBgAJ).
**Steps to reproduce:**
Unknown (user reported it happening continuously on upgrading the app from 2.2.0 to 3.0.0 via Google Play)
1. In Settings, uncheck Use GNSS APIs
Crash due to NPE
**Device and Android version:**
Samsung Galaxy S8+ (dream2lte), 4096MB RAM, Android 8.0 (International variant of S8+)</t>
  </si>
  <si>
    <t>SCCapstone-Cupboard-80</t>
  </si>
  <si>
    <t>App sometimes crashes when I add an item</t>
  </si>
  <si>
    <t>It does add the item, because it there when start the app again. However, what do these numbers mean?</t>
  </si>
  <si>
    <t>2018-03-07</t>
  </si>
  <si>
    <t>septadev-SEPTA-Android-149</t>
  </si>
  <si>
    <t>fixed crash when no connection and user would resume app with an ongoing general / mobile alert</t>
  </si>
  <si>
    <t>nextcloud-android-2307</t>
  </si>
  <si>
    <t>App crashes when scanning qr code with provisioning link</t>
  </si>
  <si>
    <t>### Actual behaviour
created qr-code containing provisioning link like this:
When the qr code is scanned android ask if want to open this url with nextcloud. After saying yes to that question the nextcloud app crashes.
If have the provisioning link in HTML-Link &lt;a href ... &gt;..&lt; a&gt;. The app does not crash.
### Expected behaviour
App should not crash but should log in
### Steps to reproduce
1. Create provisioning link
2. Create qr code
3. Scan qr code
### Environment data
Samsung Galaxy Tab S3
Stock or customized system:
Nextcloud app version:
Nextcloud server version:</t>
  </si>
  <si>
    <t>nextcloud-android-2306</t>
  </si>
  <si>
    <t>### Actual behaviour
After logging in (pressing the button after putting credentials) the application says redirecting then crashes.
### Expected behaviour
It should show me my files.
### Steps to reproduce
This is probably server bug or incompatibility. Still, the app shouldn crash.
### Environment data
Android version: 7.1.2
Device model: ONE E1003
Stock or customized system: Using LineageOS version
Nextcloud app version: 3.0.2
Nextcloud server version: v0.26c
#### Web server error log
If needed can provide these.
#### Nextcloud log (data nextcloud.log)</t>
  </si>
  <si>
    <t>2018-03-06</t>
  </si>
  <si>
    <t>ucsb-cs56-projects-cs56-android-smoke-signals-56</t>
  </si>
  <si>
    <t>Main Thread Error</t>
  </si>
  <si>
    <t>After research Query has to be performed on worker thread, otherwise the application crashes. In our program, there is an assertNotMainThread to prevent the program from crashing. Queries are synchronous, meaning that they will be run on the same thread your triggering it from. If that the main thread we will get an error.
-Learn basics of Android
-Learn basics of SMS Broadcast Reciever
-Threads and how to take inputs into Threads from inside function</t>
  </si>
  <si>
    <t>TeamWalrus-Walrus-79</t>
  </si>
  <si>
    <t>App crashes when writing blank card with no card data</t>
  </si>
  <si>
    <t>Genymobile-gnirehtet-85</t>
  </si>
  <si>
    <t>v2.2 does crashes in a while</t>
  </si>
  <si>
    <t>gnirehtet run RUST BACKTRACE</t>
  </si>
  <si>
    <t>YoungMaker-iORC-55</t>
  </si>
  <si>
    <t>Emulator Crashing on character deletion</t>
  </si>
  <si>
    <t>When character is deleted the emulator crashes but when tested on phone works fine.</t>
  </si>
  <si>
    <t>2018-03-05</t>
  </si>
  <si>
    <t>YoungMaker-iORC-51</t>
  </si>
  <si>
    <t xml:space="preserve">App crashes when going from supplementary tabs back to character view. </t>
  </si>
  <si>
    <t>Some of the intent extras are not being put into the intent. This causes null pointer exception.</t>
  </si>
  <si>
    <t>2018-03-04</t>
  </si>
  <si>
    <t>YoungMaker-iORC-48</t>
  </si>
  <si>
    <t xml:space="preserve">App crashes when pressing back out of class detail page </t>
  </si>
  <si>
    <t>Probably due to not properly processing the intent extras? Idk.</t>
  </si>
  <si>
    <t>2018-03-03</t>
  </si>
  <si>
    <t>nikita36078-J2ME-Loader-185</t>
  </si>
  <si>
    <t>Zuma J2me crashes</t>
  </si>
  <si>
    <t>RCA 10 Viking Pro tablet
**Description of the issue:**
Whenever try to play zuma, the game just gets stuck with the screen flashing at the Popcap Logo
Pressing the center button sometimes shows the next screen (the Zuma one) for frame or two, but it still flashes
Turning on immediate processing mode just crashes the game after the masyaka loading screen</t>
  </si>
  <si>
    <t>deltachat-deltachat-android-259</t>
  </si>
  <si>
    <t>Select group profile image "from camera" does not work</t>
  </si>
  <si>
    <t>Select group profile image by camery does not work, no crash or sth. like that, simply nothing happens when tapping on the button. Tested on Nexus and Moto G, user schneider17, however, reported that it works for him.
Selecting groups profile images by gallery or deleting them works for me.</t>
  </si>
  <si>
    <t>2018-03-02</t>
  </si>
  <si>
    <t>k9mail-k-9-3230</t>
  </si>
  <si>
    <t>Systematic crash on composing on teclast T10</t>
  </si>
  <si>
    <t>ve been happy user of K9mail for years, and installed it on all my android devices, and even family devices. Unfortunately K9mail on my brand new teclast T10 tablet crash systematically and immediately without reporting any error when trying to hit compose or reply button (https: general general for hardware description).
can read mail from imap account without problem and configured K9MAIL using the save restore configuration feature from another working tablet (and even manually when discovered it failed to be sure it was not config import problem).
What can do to help diagnose the problem? ve been forced to switch to bluemail for sending email in the meantime...
enabled the debug and trace, but can see anything printed. can hook an usb cable and know how to use adb if needed.
K-9 Mail version: 5.403, even tried the new 5.501 beta yesterday.
Android version: 7.0
Account type IMAP</t>
  </si>
  <si>
    <t>nikita36078-J2ME-Loader-179</t>
  </si>
  <si>
    <t xml:space="preserve">5ud0ku: Duplicate and reverse menu items </t>
  </si>
  <si>
    <t>5ud0ku 1.8.9, source code dug up and reuploaded here (https: github.com easyaspi314 5ud0ku tree for everyone convenience
(For example, 240x320 or 640x360)
Android 7.1.2 (Resurrection Remix 5.8.5). have Xposed, but literally nothing is installed to it, and got this crash without it enabled.
**Description of issue:**
Menu items in the main game screen keep duplicating and appear to be added backwards.
The number of menu options accumulates the more times you go back to the game board, as it appears that items aren being properly removed when new ones are added.</t>
  </si>
  <si>
    <t>nikita36078-J2ME-Loader-178</t>
  </si>
  <si>
    <t>5ud0ku crashes in some menus</t>
  </si>
  <si>
    <t>5ud0ku 1.8.9, source code dug up and reuploaded here (https: github.com easyaspi314 5ud0ku tree for everyone convenience
(For example, 240x320 or 640x360)
Android 7.1.2 (Resurrection Remix 5.8.5). have Xposed, but literally nothing is installed to it, and got this crash without it enabled.
**Description of the issue:**
Clicking on either the Game or Specials menu items in the Preferences screen reliably causes crash.
trace (click to expand)&lt; summary&gt;
on null object reference</t>
  </si>
  <si>
    <t>geopaparazzi-geopaparazzi-443</t>
  </si>
  <si>
    <t>Feature attribute display crashes with column of type BIGINT</t>
  </si>
  <si>
    <t>Geopaparazzi will crash displaying Spatialite database features when the table has an unsupported column type lie BIGINT</t>
  </si>
  <si>
    <t>2018-03-01</t>
  </si>
  <si>
    <t>react-native-camera-react-native-camera-1306</t>
  </si>
  <si>
    <t>RNCamera  starting Crash</t>
  </si>
  <si>
    <t>the problem is that when take more video mode the application never opens and returns an error
import RNCamera from react-native-camera can not use it like this does not debug the application
import RNCamera from react-native-camera this way get the following errors and think get an error accessing the library
react-native-camera versions 1.0.1
React-native versions 0.53.3
App started crashed.
takeCapture not working
recordAsync not working crash</t>
  </si>
  <si>
    <t>open-keychain-open-keychain-2278</t>
  </si>
  <si>
    <t>Can't save a file after decryption.</t>
  </si>
  <si>
    <t>As of version 4.9.1 file cannot be saved after the decryption process finishes. The app crashes. Wiping and reinstalling doesn fix the problem. However the issue isn present after downgrading to version 4.8.1 on F-droid.</t>
  </si>
  <si>
    <t>evrencoskun-TableView-64</t>
  </si>
  <si>
    <t>Problem with the CellViewHolder</t>
  </si>
  <si>
    <t>developing software where show table from DB. The issue is that have 16 colums to show, but somehow it crashes when it tries to render the last (15) column, the log says that the length is 15 and size too, but doing the debug find out that my array it is 16 plus it happens at the CellViewHolderModel and TableAdapter. When comment the last ColumHeaderModel, works fine. have no clue what is going on actually... was trying to debug to understand, but no conclusion yet. wanted to know if there limit of colums or is it bug?
ll try to figure it out.
Also, tried to add new column on the TableViewSampleApp2 that works with fragments and Web Service. Same, it crashes when reaching column 16.</t>
  </si>
  <si>
    <t>2018-02-28</t>
  </si>
  <si>
    <t>twilio-video-quickstart-android-257</t>
  </si>
  <si>
    <t>Error while using VideoTextureView in RecyclerView</t>
  </si>
  <si>
    <t>get crash while scrolling videos in Recycler view of TextureViews.
### Steps to Reproduce
1. Scroll the list of videos
#### Expected Behavior
App should not crash
#### Actual Behavior
#### Reproduces how Often
Fatal Exception: video view: Already initialized
#### Video Android SDK
#### Android API
#### Android Device</t>
  </si>
  <si>
    <t>deltachat-deltachat-android-255</t>
  </si>
  <si>
    <t>Crash when attaching media while using special developer options</t>
  </si>
  <si>
    <t>Using v0.14.0, clicking on the paperclip icon from within chat results in Telegram-like attachment page, but this is only briefly shown as it crashes instantly afterward.
using Sony G8441 (Xperia XZ1 Compact) on Android 8.0.0 on kernel version 4.4.78-perf and build number 47.1.A.12.75.
**Steps to reproduce the problem**
1. Open chat
2. Click the paperclip icon to attach media</t>
  </si>
  <si>
    <t>grpc-grpc-java-4154</t>
  </si>
  <si>
    <t>NetworkOnMainThread exception while resolving IP address.</t>
  </si>
  <si>
    <t>### What version of gRPC are you using?
### What did you expect to see?
When calling one of the stub method get crash on Android, throwing NetworkOnMainThread exception with the following stacktrace.
The thread pool appears to contain the main thread, as Android triggers NetworkOnMainThread exception if any networking is attempted to be done on it.
It seems related to https: github.com grpc grpc-java issues 577, despite it being marked as closed.</t>
  </si>
  <si>
    <t>twilio-video-quickstart-android-255</t>
  </si>
  <si>
    <t>Crash on disconnecting room</t>
  </si>
  <si>
    <t>App crashes when video activity is closed before any of the callbacks is fired (onConnectFailure, onConnected)
### Steps to Reproduce
1. Start connecting to room
2. Close before any of the callbacks is fired for connection failure or disconnection
#### Expected Behavior
App should not crash
#### Actual Behavior
#### Reproduces how Often
All relevant version information for issue.
#### Video Android SDK
#### Android API
#### Android Device
OnePlus 5, Xiaomi, Samsung S8, One plus 3T</t>
  </si>
  <si>
    <t>nikita36078-J2ME-Loader-166</t>
  </si>
  <si>
    <t>Blood+ just crashes after opening</t>
  </si>
  <si>
    <t>**Description of the issue:**
Blood+ suddenly crashes on emulator.</t>
  </si>
  <si>
    <t>consp1racy-android-support-preference-90</t>
  </si>
  <si>
    <t xml:space="preserve">Crash with latest support libraries </t>
  </si>
  <si>
    <t>With the latest support library version 27.1.0 the drop down lists crash due to ListViewCompat being removed now.</t>
  </si>
  <si>
    <t>nikita36078-J2ME-Loader-163</t>
  </si>
  <si>
    <t>Real Football 2018 - Unable to Install</t>
  </si>
  <si>
    <t>1.0.0 for Samsung GT-S5230)
1.0.1 (for Nokia 5800)
**Description of the issue:**
(Unable to install. J2ME Loader will crash when installing)
&lt;img height 300 width 176 src https: 36059629</t>
  </si>
  <si>
    <t>tanrabad-survey-56</t>
  </si>
  <si>
    <t>tanrabad-survey-55</t>
  </si>
  <si>
    <t>MonitoringInstrumentation.java line 351</t>
  </si>
  <si>
    <t>innoveit-react-native-ble-manager-294</t>
  </si>
  <si>
    <t>Fatal Exception: NSInternalInconsistencyException: bridge is not set. This is probably because you've explicitly synthesized the bridge in BleManager, even though it's inherited from RCTEventEmitter.</t>
  </si>
  <si>
    <t>Tell us which versions you are using:
react-native v?.? 0.51.0
iOS Android v.? iOS
### Expected behaviour
App should NOT crash when pressing Scan Bluetooth
### Actual behaviour
Once in while (NOT deterministic) the app crashes
### Steps to reproduce
Not easily reproducible
### Stack trace and console log
Fatal Exception: is not set. This is probably because you ve explicitly synthesized the bridge in BleManager, even though it inherited from RCTEventEmitter. Raw Text
project RCTEventEmitter.m line 40- RCTEventEmitter
project BleManager.m line 317- BleManager stopScanTimer:
13 UIKit (Missing)
14 project main.m line 16main
15 libdyld.dylib (Missing)
16 (Missing) (Missing)
&lt;img width 921 alt trace src https: 1825834</t>
  </si>
  <si>
    <t>2018-02-27</t>
  </si>
  <si>
    <t>smartdevicelink-sdl_java_suite-691</t>
  </si>
  <si>
    <t>Potential bad package added in AndroidTools.java</t>
  </si>
  <si>
    <t>### Bug Report
We are adding the package info to the list even when the system cannot find the package and throws This can lead to bad ResolveInfo and PackageInfo being used to create SdlAppInfo object and subsequently library crash. Reference (https: github.com smartdevicelink sdl android blob develop sdl android src main java com smartdevicelink util
for (ResolveInfo info resolveInfoList)
PackageInfo packageInfo null
The code above adds every package to the list regardless because it being done inside the finally clause. Should it pass on the package that results in an exception?</t>
  </si>
  <si>
    <t>RightMesh-meshIM-36</t>
  </si>
  <si>
    <t>app crashes while wifi direct and BT on at the same time</t>
  </si>
  <si>
    <t>evernote-android-job-385</t>
  </si>
  <si>
    <t>Crash on strict mode</t>
  </si>
  <si>
    <t>When strict mode is enabled like so:
get the following crash when the job is starting:</t>
  </si>
  <si>
    <t>2018-02-26</t>
  </si>
  <si>
    <t>smartdevicelink-sdl_java_suite-689</t>
  </si>
  <si>
    <t>Potential crash in SdlRouterService.java</t>
  </si>
  <si>
    <t>### Bug Report
In method, cases where the library could crash with an
1. List size n, and
2. List size is (special case of 1.)
The problem is with this index access: here (https: github.com smartdevicelink sdl android blob develop sdl android src main java com smartdevicelink transport
##### Expected Behavior
Library would not crash.
##### Observed Behavior
Library would crash.</t>
  </si>
  <si>
    <t>react-native-camera-react-native-camera-1292</t>
  </si>
  <si>
    <t>RNCameraManager crash issues after QRCODE read</t>
  </si>
  <si>
    <t>### Steps to reproduce
1. scanning QRCode with weird encoding on something like that
2. *)captureOutput *)metadataObjects *)connection calls
3. is NULL that causes application crash.
### Expected behaviour
should be not be NULL
### Actual behaviour
**Node.js version**: 8.9.1
**React Native version**: 0.51.0
**React Native platform platform version**: iOS 11.2
### QRCODE that causes issue
image 2018-02-26 19 23 25 (https: 2022624</t>
  </si>
  <si>
    <t>twilio-video-quickstart-android-252</t>
  </si>
  <si>
    <t>failed to close camera exception even when twilio video is not started</t>
  </si>
  <si>
    <t>&lt;!-- Check the following before filing an issue --&gt;
Before filing an issue please check that the issue is not already addressed by the following:
Video Guides (https: www.twilio.com docs api video)
Github Issues (https: github.com twilio issues)
Changelog (https: www.twilio.com docs api video changelogs android)
Even when have not started twilio video am getting failed to close camera exception
#Steps to Reproduce
1. Deny permission for camera
2. Go to Settings enable permission
3. Start android camera
4. capture image
5. close camera
No twilio exception should be found
Application crashes with twilio exception
#Reproduces how Often
Fatal error in home jenkins workspace library src main jni com twilio video line 129
last system error: 110
All android versions
###Video Android SDK</t>
  </si>
  <si>
    <t>TeamNewPipe-NewPipe-1148</t>
  </si>
  <si>
    <t>[data protection] IP address request to third party service leaks information about users</t>
  </si>
  <si>
    <t>Not only this information doesn really add anything to the crash reports (at least nothing could think of), it also shares the following details with this service (which, so far, nobody checked, regarding data protection and privacy):
complete IP address (and therefore an approximation of their location)
user operating system
user is using NewPipe (user agent thing)
time of the crash (allows for generating stats like frequency, ...)
In my opinion, this feature should be removed entirely from NewPipe, following the data protection principle of Datensparsamkeit (a.k.a. data economy i.e., reduce the amount of data collected to the absolute minimum).
If there are good reasons to continue to collect this information, however, the implementation needs to be improved to ensure users privacy (otherwise, one of our USPs, privacy doesn apply):
validate service ToS and ensure they won collect and or share the information
implement multiple providers (I say at least 5) and choose random one every time (round-robin like)
ask user whether they want to share this information, maybe with checkbox they can uncheck, and request service only when the user confirms they want to send mail (i.e., don auto fetch it when the activity is shown)
By the way, according to https: major.io icanhazip-com-faq the software is open source, but the requests are all logged and there is no word about deletion of logs. Also, we don know anything about where it hosted and how many service providers the provider makes use of have access to the data or network streams.</t>
  </si>
  <si>
    <t>smartdevicelink-sdl_java_suite-688</t>
  </si>
  <si>
    <t>Crash In SDLRouterStatusProvider</t>
  </si>
  <si>
    <t>This is coming through in my crash reports, it appears to happen quite regularly in the wild however have not seen it during internal testing. Hope you guys are able to help. Let me know if you need more info.
Caused by Can create handler inside thread that has not called Looper.prepare()</t>
  </si>
  <si>
    <t>twilio-video-quickstart-android-250</t>
  </si>
  <si>
    <t xml:space="preserve">Getting a crash while using VideoView backed by TextureView.. </t>
  </si>
  <si>
    <t>Getting crash while using VideoView backed by TextureView. Crash Occurs when try to change orientation of mobile continuously.
### Steps to Reproduce
1. Use VideoView backed by textureView https: gist.github.com aaalaniz (click here)
2. Create room and land into the call page which has the VideoView in it..
3. Try rotating the mobile and changing orientation of the mobile from portrait to landscape continuously or in second interval.
#### Logs which got
FATAL EXCEPTION: main
Caused by: Failed to create EGL context: 0x3003
#### Video Android SDK
#### Android API
#### Android Device
Samsung C7 Pro ... The issue generally occurs with all devices.</t>
  </si>
  <si>
    <t>commons-app-apps-android-commons-1207</t>
  </si>
  <si>
    <t>BUG: In Login activity, app crashes during orientation change.</t>
  </si>
  <si>
    <t>When orientation change occurs in login activity, it crashes the app.
**Steps to reproduce:**
How can we reproduce the issue?
1. Go the login screen (Logout if already logged in).
2. Change the phone orientation.
**Add System logs:**
Caused by: Required view login credentials with ID 2131689634 for field loginCredentials was not found. If this view is optional add Nullable (fields) or Optional (methods) annotation.
**Device and Android version:**
Android MIUI V9.0
**Commons app version:**
**I am working on the issue**
Can anybody confirm the bug?
This TextView is only present in portrait mode of activity login.xml
Added this to landscape and x-large activity login.xml solves the bug.
PR #1208 fixes this issue.</t>
  </si>
  <si>
    <t>getodk-collect-1932</t>
  </si>
  <si>
    <t>Fail gracefully when a device doesn't have an app to handle an image pick intent</t>
  </si>
  <si>
    <t>#### Software and hardware versions
Collect v1.13.0 and prior
#### Problem description
If device doesn have an app to pick an image and the user attempts to select QR code, Collect hard crashes.
#### Steps to reproduce the problem
Don have any app that can pick an image. Go to Admin Settings Import Export settings and then tap Select code
#### Expected behavior
Graceful failure, for example with toast that no image picking application is on the device.
#### Other information</t>
  </si>
  <si>
    <t>citiususc-calendula-92</t>
  </si>
  <si>
    <t>App crashes when editing duration of schedule on Galaxy Note 4</t>
  </si>
  <si>
    <t>Thanks for your efforts. On Samsung Galaxy Note with Android 5.0, when editing duration of schedules, the app crashes.
It should be an issue caused by buggy built-in DatePicker on such Samsung Lollipop devices. found the following Stack Overflow posts discussing this issue:
One possible workaround is to set special theme for the DatePicker. That would make the picker looks different on such devices but may avoid the crashes.</t>
  </si>
  <si>
    <t>2018-02-25</t>
  </si>
  <si>
    <t>codingworkshopru-Gymm-9</t>
  </si>
  <si>
    <t>crash in ru.codingworkshop.gymm.data.tree.loader.ExerciseLoader</t>
  </si>
  <si>
    <t>Caused by: **Trying to set children to immutable children holder**</t>
  </si>
  <si>
    <t>k9mail-k-9-3215</t>
  </si>
  <si>
    <t>K9 crashed immediately by trying to decrypt a mail</t>
  </si>
  <si>
    <t>### Expected behavior
Mails should be decrypted
### Actual behavior
K9 crashed immediately by trying to decrypt
### Steps to reproduce
1. Open encrypted (in my case not signed) mail
2. Enter the key password
3. The screen will be black for second and nothing else happens
K-9 Mail version: 5.500
Android version: 7.0 on Huawei nova
Account type (IMAP, POP3, WebDAV Exchange): IMAP
have enabled debug logging. Where can found the logg file?</t>
  </si>
  <si>
    <t>inaturalist-iNaturalistAndroid-473</t>
  </si>
  <si>
    <t>Crash when rotating Explore with place boundary</t>
  </si>
  <si>
    <t>1. Go to explore, search for place
1. View the map and make sure the place boundary is visible
1. Rotate your phone
For me this causes consistent crash, regardless of place or other filters. Build 264.</t>
  </si>
  <si>
    <t>2018-02-24</t>
  </si>
  <si>
    <t>johannilsson-sthlmtraveling-83</t>
  </si>
  <si>
    <t>Started to get a lot of crashes when looking up travel details</t>
  </si>
  <si>
    <t>managed to get the following stacktrace out of my phone:
It seems to happen when the app is trying to show an ad.</t>
  </si>
  <si>
    <t>oliexdev-openScale-202</t>
  </si>
  <si>
    <t>Crash while clicking around in graph</t>
  </si>
  <si>
    <t>Got the following crash while clicking around in the graph with regression line active (degree 10). Don have time just now to figure out exactly what did, but perhaps it can be fixed anyway.
Build version: 1.7-dev 0cba7961</t>
  </si>
  <si>
    <t>eltos-SimpleDialogFragments-27</t>
  </si>
  <si>
    <t>Dialog crash after screen rotation</t>
  </si>
  <si>
    <t>When downloading and running demo test application and selecting dialogs from List and Choices, Date and Time, Inputs and Forms, dialog crash after screen rotation.
1. Start demo app. MainActivity.
2. Tap on the DATE button
3. Rotate device
## Test Environment
compileSdkVersion 25, buildToolsVersion 27.0.3
emulator Nexus API 19 1200x1920 xhdpi Android 4.4.2
real device Lenovo A5500-F Android 4.4.2 800 1280 pixels, 16:10 ratio 189 ppi density)
## Stack Trace
FATAL EXCEPTION: main</t>
  </si>
  <si>
    <t>MiPushFramework-MiPushFramework-74</t>
  </si>
  <si>
    <t>最新snapshot导致系统界面不停重启</t>
  </si>
  <si>
    <t>system ui crash</t>
  </si>
  <si>
    <t>Amuff1n-Study-Buddy-3</t>
  </si>
  <si>
    <t>Application crashes on empty Sign In</t>
  </si>
  <si>
    <t>Attempting to sign in without filling both email and password fields crashes the application.
In action: https: gfycat.com
Looks like we ll have to check for empty fields.</t>
  </si>
  <si>
    <t>2018-02-23</t>
  </si>
  <si>
    <t>TeamNewPipe-NewPipe-1140</t>
  </si>
  <si>
    <t>Some video names crash the downloader</t>
  </si>
  <si>
    <t>carefully read the contribution guidelines (https: github.com TeamNewPipe NewPipe blob HEAD .github CONTRIBUTING.md) and agree to them.
checked if the issue feature exists in the latest version.
noticed video names containing quotation marks crash the UI when attempting to download video. get prompted with the download menu. Clicking OK crashes Newpipe. Removing the quotation marks in the filename to be saved makes it possible to download without crashing.
did not report the issue through Sentry because don have mail client on my phone (and do not wish to have one at the moment) and because found how to reproduce the crash. Here (https: www.youtube.com watch?v ROhyYT39aM0) is video you can try it on. could reproduce the issue with both 0.11.5 and beta 0.11.6.
Thank you for maintaining NewPipe, it wonder! Lots of datalove to you &lt;3</t>
  </si>
  <si>
    <t>commons-app-apps-android-commons-1181</t>
  </si>
  <si>
    <t>Orientation Change in NearybyActivity during Map mode crashes the app.</t>
  </si>
  <si>
    <t>Where there occurs orientation change in NearbyActivity during Map mode, it crashes the app.
**Steps to reproduce:**
1. Go Nearby Places activity from navigation drawer.
2. Load the list of nearby places as shown below:
3. Change the orientation of phone.
Gracefully handle orientation change and should not crashes.
During orientation change in NearbyActivity in Map mode, it crashes the app.
crash (https: 20313518
**I am working on the issue.**</t>
  </si>
  <si>
    <t>opensrp-opensrp-client-path-256</t>
  </si>
  <si>
    <t>Investigate frequent crashes in latest release</t>
  </si>
  <si>
    <t>nikita36078-J2ME-Loader-134</t>
  </si>
  <si>
    <t>Prince of Persia Warrior Within - Hangs/Crashes</t>
  </si>
  <si>
    <t>Hangs Crashes after the initial loading screen.
Version 1.0.5 352x416 N90 Hangs, version 1.0.2 240x320 crashes
Android version: 4.2.1</t>
  </si>
  <si>
    <t>stefan-niedermann-nextcloud-notes-335</t>
  </si>
  <si>
    <t>crashes using unnumbered lists</t>
  </si>
  <si>
    <t>input two enter after text two ...CRASH</t>
  </si>
  <si>
    <t>RxViper-RxViper-55</t>
  </si>
  <si>
    <t>Crash in unit tests</t>
  </si>
  <si>
    <t>After update to rc1 from 0.10.0 unit tests crashes on any access to view or router methods.
See sample project, demonstrating the issue.</t>
  </si>
  <si>
    <t>2018-02-22</t>
  </si>
  <si>
    <t>dimagi-commcare-android-1951</t>
  </si>
  <si>
    <t>Updates landscape layout for update activity with recent changes</t>
  </si>
  <si>
    <t>Regression from https: github.com dimagi commcare-android pull 1946, we missed out on adding the new error view to landscape layout causing NPE in landscape mode.
Side Note: stumbled on this while working on integration tests. This was appearing as the infamous error on device farm with no crash logs in logcat logs. So it seems like logcat provided by device farm is not always complete accurate.</t>
  </si>
  <si>
    <t>nikita36078-J2ME-Loader-128</t>
  </si>
  <si>
    <t>Heroes of War Sandstorm crashes before gameplay</t>
  </si>
  <si>
    <t>**Heroes of War Sandstorm**, screen resolution any
After choosing Start Game the game loads and then crashes. This is 3D-heavy game so think it is what those limitations nikita36078 are referring to.</t>
  </si>
  <si>
    <t>pylerSM-YouTubeBackgroundPlayback-357</t>
  </si>
  <si>
    <t>General issue reports vol. 2</t>
  </si>
  <si>
    <t>Been getting constant crashes in YouTube recently. Haven tested without this module yet but thought provide this log in case it helps.
Caused by: alyl cannot be cast to</t>
  </si>
  <si>
    <t>nextcloud-android-2219</t>
  </si>
  <si>
    <t>AppContent null?</t>
  </si>
  <si>
    <t>Google play console:
which is first line of:
We could change the first line to be like second line, but do not know if this is then crashing later, if contentResolver is null.
Unfortunately cannot reproduce this</t>
  </si>
  <si>
    <t>Credntia-AndroidVisionPipeline-1</t>
  </si>
  <si>
    <t>Crash on devices that don't have flash</t>
  </si>
  <si>
    <t>in CameraSource returns null and causes crash.</t>
  </si>
  <si>
    <t>google-ExoPlayer-3879</t>
  </si>
  <si>
    <t>void com.google.ads.interactivemedia.v3.api.AdsManager.resume() nullpointer exception</t>
  </si>
  <si>
    <t>When pre roll ad is playing and app goes in background and comes back in foreground, app crashes. Here is the stack trace.
FATAL EXCEPTION: main Process:
Here are my onresume and onpause methods of fragment:
public void onResume()
public void onPause()
Please help me with the same.</t>
  </si>
  <si>
    <t>TNG-JGiven-338</t>
  </si>
  <si>
    <t>given() returns null if all @Test methods in previous class are @Disabled</t>
  </si>
  <si>
    <t>Using jgiven-junit5, 0.15.3
Given two test classes implementing ScenarioTest or SimpleScenarioTest:
Class has all Test methods Disabled
Class contains normal Test methods.
When class is run after class in the same test run (say, using Maven), the given() call in class returns null.
This only occurs if has Test methods which are all Disabled
public class DisabledReproA extends ReproStage, ReproStage&gt;
Disabled( for reasons
given().something is set up()
public class DisabledReproB extends ReproStage, ReproStage&gt;
This will crash with nullpointer exception:
given().something is set up()
public class ReproStage extends Stage&lt;ReproStage&gt;
public ReproStage something is set up()</t>
  </si>
  <si>
    <t>2018-02-21</t>
  </si>
  <si>
    <t>aaronjwood-PortAuthority-97</t>
  </si>
  <si>
    <t>NPE related to java.net.NetworkInterface.getHardwareAddress() on Chromebook</t>
  </si>
  <si>
    <t>FYI-- The latest 2.2.6 update from F-Droid crashes as follows on Chromebook:</t>
  </si>
  <si>
    <t>evernote-android-job-380</t>
  </si>
  <si>
    <t>getNetworkType() crashes with NPE</t>
  </si>
  <si>
    <t>On google dev console, see this:
So we are calling and in this function an NPE happens.</t>
  </si>
  <si>
    <t>2018-02-20</t>
  </si>
  <si>
    <t>processing-processing-android-442</t>
  </si>
  <si>
    <t>NPE when calling background or setunder P3D renderer</t>
  </si>
  <si>
    <t>Forum post here (https: two discussion 26361 which will copy the relevant pieces next:
From the trace call, can see the problem is the background() function call in OPENGL mode. am able to reproduce the problem with the following MCVE (plz ensure image is in the data folder):
size(displayWidth, displayHeight, P3D)
back loadImage( bg.jpg
Notice that when using P3D:
Either background() or set() throws an NPE and App crashes
It works normally if one uses image() instead,
Using the default renderer, you can use either background set image and you won have any problem. tested this using Win10, AM 4.0.1 and P3.3.6 on SG8 Nougat.
Back trace output next based on background():
FATAL EXCEPTION: GLThread 181069
Process: 180219b, PID: 7447
Back trace output next based on set():
FATAL EXCEPTION: GLThread 183761
Process: 180219b, PID: 3877
These lines are of interest based on the trace:</t>
  </si>
  <si>
    <t>zouroboros-filmchecker-3</t>
  </si>
  <si>
    <t>f-droid version 1.2 crashes</t>
  </si>
  <si>
    <t>When add new dm film the app crashes.
Version 1.1 from f-droid works fine.
Tested with oneplus5 android8.0.0</t>
  </si>
  <si>
    <t>2018-02-19</t>
  </si>
  <si>
    <t>aerogear-aerogear-android-sdk-55</t>
  </si>
  <si>
    <t>Application crashes on start when using the Android SDK</t>
  </si>
  <si>
    <t>## Expected Behavior
The Aerogear Android SDK can be added to my project by following the instructions. Following as per https: github.com aerogear pull 52
## Actual Behavior
Application crashes on start when you reference the Aerogear Android SDK in your project.
## Steps to Reproduce the Problem
1. Follow the getting started guide to add the aerogear android SDK to this project https: github.com feedhenry
2. Try to run the application here using this PR https: github.com feedhenry pull 33 files
storeFile file( .. signing keys.keystore
storePassword System.getenv( KEYSTORE PASSWORD
keyPassword System.getenv( KEY PASSWORD
versionNameSuffix System.getenv( CIRCLE BUILD NUM
android support version 27.0.2
compile fileTree(dir: libs include: *.jar
exclude module: recyclerview-v7
Core SDK Version: 5.0.0.SNAPSHOT (Latest Master)
Relevant Service Modules: Core, Auth</t>
  </si>
  <si>
    <t>codingworkshopru-Gymm-3</t>
  </si>
  <si>
    <t>crash when all program trainings deleted and saved with new ones</t>
  </si>
  <si>
    <t>It can be resolved with #2. Create integration funcational test for this case.</t>
  </si>
  <si>
    <t>2018-02-18</t>
  </si>
  <si>
    <t>arunkumar9t2-lynket-browser-72</t>
  </si>
  <si>
    <t>Dynamic toolbar color causes Chromer to crash frequently</t>
  </si>
  <si>
    <t>nonsensicalthinking-planttracker-21</t>
  </si>
  <si>
    <t>Taking pictures in landscape can crash the app</t>
  </si>
  <si>
    <t>Rotate phone to landscape</t>
  </si>
  <si>
    <t>andOTP-andOTP-135</t>
  </si>
  <si>
    <t>App crashes due to invalid values being processed</t>
  </si>
  <si>
    <t>### General information
When entering an invalid value (empty or in the Advanced Options section when manually entering details, the app crashes. This seems to be due to conversion of (empty string) to number or division by (when value is 0). This happens for both, the Period and Digits fields.
**App version:** 0.4.0.1
**App source:** Google Play
**Android Version:** 7.1.2
**Custom ROM:** LineageOs 14.1
(This also happens on my main phone but the logcat on the device above is way less cluttered
### Expected result
**What is expected?**
The Save button should be disabled while input fields contain invalid information (and maybe the input field containing wrong value should have short description why the value is invalid).
**What does happen instead?**
ve extracted the *exceptions stack trace* from the logcat. If you really need the whole logcat, willing to send it to you via mail or so, but don want to post it publicly (I ve seen my WiFi name in there and curious of what other sensitive information (like GPS coordinates?) might be there as well..).
*Empyt value in field Period :*
*Value in field Period:*
### Steps to reproduce
Click the button to add new OTP
Select Enter details
Fill in Label and Secret
Click Advanced Options
Change the value of Period or Digit to be empty or</t>
  </si>
  <si>
    <t>2018-02-17</t>
  </si>
  <si>
    <t>alexandrosntak-mobileComputing-18</t>
  </si>
  <si>
    <t>On first start it crashes</t>
  </si>
  <si>
    <t>Shirakumo-Ocelot-1</t>
  </si>
  <si>
    <t>Picking Emotes Crashes</t>
  </si>
  <si>
    <t>It should allow users to select from the available Emoji without any error
Each time any Emoji is clicked on, the app crashes
Operating system Android 6.0
Phone Infinix hot
Ocelot version 0.1
***How to produce the bug***
Open the App, set up your account (it won take up to 30sec)
After opening, click on the text area to input text, select the Emoji icon to bring out all available emoji, now select any Emoji, it ll definitely Crash
*Recording of the bug is shown below......*
&lt;br &gt;&lt;hr &gt;&lt;em&gt;Posted on &lt;a href https: utopian.io utopian-io beckysophie bug-in-ocelot-app &gt;Utopian.io Rewarding Open Source Contributors&lt; a&gt;&lt; em&gt;&lt;hr</t>
  </si>
  <si>
    <t>woefe-ShoppingList-8</t>
  </si>
  <si>
    <t>Fix crash when WRITE_EXTERNAL_STORAGE is revoked</t>
  </si>
  <si>
    <t>Fix crash when WRITE EXTERNAL STORAGE is revoked while app is running (in background)</t>
  </si>
  <si>
    <t>woefe-ShoppingList-5</t>
  </si>
  <si>
    <t>Fix crash when list name changes externally</t>
  </si>
  <si>
    <t>The app crashes, when trying to reload list from disk and the name of the currently displayed list changed</t>
  </si>
  <si>
    <t>commons-app-apps-android-commons-1163</t>
  </si>
  <si>
    <t>Crash on upload picture with right to left languages</t>
  </si>
  <si>
    <t>Change your phone language to Arabic, try to upload picture. It results this crash:</t>
  </si>
  <si>
    <t>2018-02-16</t>
  </si>
  <si>
    <t>Z3r0byte-Magistify-70</t>
  </si>
  <si>
    <t>SQL injection</t>
  </si>
  <si>
    <t>In some database functions, it is possible to crash the application by having in an input value. It also creates the possibility for SQL injection. User credentials data are not in danger</t>
  </si>
  <si>
    <t>ramack-ActivityDiary-82</t>
  </si>
  <si>
    <t>Creation of Activity crashes - ArrayIndexOutOfBoundsException</t>
  </si>
  <si>
    <t>even with v1.1.5 some users report crashes on activity creation:
This seems to be due to the activity created with ID -1 and only after the INSERT SQL completes valid ID is set.</t>
  </si>
  <si>
    <t>cgeo-cgeo-6933</t>
  </si>
  <si>
    <t>Caches disappear on map switch with new mapsforge beta</t>
  </si>
  <si>
    <t>##### Detailed steps causing the problem:
Open live map with an offline OSM map (Freizeitkarte or Openandromaps with theme)
Switch to Google Maps caches are still there
Switch back to OSM map
##### Actual behavior after performing these steps:
Caches disappeared. Whether they are saved or not is irrelevant.
The OSM theme used seems to be irrelevant, too.
##### Other strange behavior (not sure if this is all the same problem or we need separate issues)
Zooming out to 2km brings the caches back, zooming in to 1km make them disappear again.
If automatic rotation is active and the device is rotated then the map zooms out by levels. Rotating back rotates again by levels. At the c:geo crashes.
Zoom out button is disabled at 10km but using two fingers it is possible to zoom out to 5000km or even to 10000km
All tested using 2018-02-14-NB1.</t>
  </si>
  <si>
    <t>2018-02-15</t>
  </si>
  <si>
    <t>michael-rapp-ChromeLikeTabSwitcher-13</t>
  </si>
  <si>
    <t>Example crashes on tablets</t>
  </si>
  <si>
    <t>Is this expected?
Emulator Nexus API 26
Could you add workaround for this? The phone layout on tablets would be ok.</t>
  </si>
  <si>
    <t>nextcloud-android-2184</t>
  </si>
  <si>
    <t>App crashes on back arrow and menu.</t>
  </si>
  <si>
    <t>On new version nextcloud crashes when using the back arrow on the upper left of the app or the menu on the same place. Works fine when use the back button of my device or slide from left to right to perform the same actions. It was ok on previous versions.
Lenovo a850 android 4.2.2</t>
  </si>
  <si>
    <t>aerogear-aerogear-android-sdk-43</t>
  </si>
  <si>
    <t>Example App Crashes when Suspending after Authentication</t>
  </si>
  <si>
    <t>## Expected Behavior
App does not crash after suspending after login.
## Actual Behavior
When trying to demo some SSO, the example app crashes after login when you suspend the app.
## Steps to Reproduce the Problem
2. Press the home button or the menu button on the device.
3. App crashes.</t>
  </si>
  <si>
    <t>tanrabad-survey-54</t>
  </si>
  <si>
    <t>tonyofrancis-Fetch-111</t>
  </si>
  <si>
    <t>Unhandled Exception Database is closed</t>
  </si>
  <si>
    <t>After terminate my application sometimes the main activity crashes with an exception that cannot handle. Following is the Logcat output:</t>
  </si>
  <si>
    <t>2018-02-14</t>
  </si>
  <si>
    <t>DroiDevs-PL-books-17</t>
  </si>
  <si>
    <t>App crashes on Android 5.1 (API 22)</t>
  </si>
  <si>
    <t>Caused by: not float!</t>
  </si>
  <si>
    <t>2018-02-13</t>
  </si>
  <si>
    <t>warmshowers-wsandroid-267</t>
  </si>
  <si>
    <t>Crash in MessageThreadListAdapter on emulator with Android 4.1</t>
  </si>
  <si>
    <t>When opening the message thread list view from the navigation drawer on an API level 16 emulator (Nexus API 16), the app crashes with below Exception:
FATAL EXCEPTION: main
Caused by: java.util.Objects</t>
  </si>
  <si>
    <t>2018-02-12</t>
  </si>
  <si>
    <t>novoda-merlin-158</t>
  </si>
  <si>
    <t>MER-157/Runtime crash on clearing registerables</t>
  </si>
  <si>
    <t>Fix for the crash reported in #157. Registerables are always attempted to be cleared even when client has not registered for that particular brand of registerable
Highlight Nullable fields with an annotation and perform null check before attempting to clear registerables.
### Test(s) added
Fixed using TDD.
### Paired with</t>
  </si>
  <si>
    <t>EyeSeeTea-EReferralsApp-130</t>
  </si>
  <si>
    <t>media: pdf preview crash</t>
  </si>
  <si>
    <t>PDF preview crashes systematically on the media gallery (mosaic view). Tested on two different devices.</t>
  </si>
  <si>
    <t>dimagi-commcare-android-1943</t>
  </si>
  <si>
    <t>Fixes NPE on rotation for Update Prompts</t>
  </si>
  <si>
    <t>On Rotation, before we could refresh the updateToPrompt in onCreateSessionSafe isBackEnabled gets called from which results in this NPE. am now refreshing the updateToPrompt object again if it null and have added the isNull check in onCreateSessionSafe to avoid duplicate initialization.
Product Note: Fixes Commcare crash on rotation on the update prompt screen.</t>
  </si>
  <si>
    <t>thekirankumar-carstream-android-auto-77</t>
  </si>
  <si>
    <t>Steering Wheels command cause Crash</t>
  </si>
  <si>
    <t>sometime using Steering Wheels command app crash....
Always when carstream play local file and the file played is the last, if select next app crash.
you can find video explaining issue at this link</t>
  </si>
  <si>
    <t>2018-02-11</t>
  </si>
  <si>
    <t>tanrabad-survey-53</t>
  </si>
  <si>
    <t>nonsensicalthinking-planttracker-19</t>
  </si>
  <si>
    <t>Crash when selecting only 1 image to attach to record</t>
  </si>
  <si>
    <t>When attaching only single image .getClipData() is null.
Need to get the Uri through some other field.
When attaching multiple images the crash doesn occur.</t>
  </si>
  <si>
    <t>mapbox-mapbox-plugins-android-274</t>
  </si>
  <si>
    <t>traffic plugin initialization not working consistantly</t>
  </si>
  <si>
    <t>receiving this crash when try initializing the traffic plugin.</t>
  </si>
  <si>
    <t>2018-02-10</t>
  </si>
  <si>
    <t>MiPushFramework-MiPushFramework-54</t>
  </si>
  <si>
    <t>偶发性触发crash</t>
  </si>
  <si>
    <t>deltachat-deltachat-android-248</t>
  </si>
  <si>
    <t>ndk-build fails for NDK r16b</t>
  </si>
  <si>
    <t>**Delta Chat version**
Newest GitHub version
ndk-build to work :-)
Many lines of output...
armeabi Compile arm messenger.1 misc.c
mem-&gt;buf mmap(NULL, mem-&gt;allocated, PROT READ,
Naturally, when build and launch Delta Chat anyway, it crashes Unfortunately, Delta Chat has stopped. ).
**Steps to reproduce the problem**</t>
  </si>
  <si>
    <t>2018-02-09</t>
  </si>
  <si>
    <t>ZeevoX-Ocquarium-15</t>
  </si>
  <si>
    <t>Application crash when no input provided for Octopus size</t>
  </si>
  <si>
    <t>If the user doesn input anything into the octopus Min max EditTextPreference the application crashes with</t>
  </si>
  <si>
    <t>yeriomin-YalpStore-392</t>
  </si>
  <si>
    <t>Entering preferences screen causes a crash on Amazon devices</t>
  </si>
  <si>
    <t>### Expected behaviour
### Actual behaviour
Bug report opens
### Steps to reproduce
1. Press the menu button
2. Select settings
3. Bug report opens
### Info about your device</t>
  </si>
  <si>
    <t>ankidroid-Anki-Android-4786</t>
  </si>
  <si>
    <t>*Enter an character to confirm the points below:*
have searched for similar existing issues here and on the user forum
###### Reproduction Steps
1. Install 2.9alpha18 on Android 8.1 and launch app
2. Restart device
###### Expected Result
###### Actual Result
AnkiDroid crashes as part of startup procedure i.e. does not need to be launched
###### Debug info</t>
  </si>
  <si>
    <t>codinguser-gnucash-android-768</t>
  </si>
  <si>
    <t>ScheduledActionService crashes on Android 8</t>
  </si>
  <si>
    <t>#### Steps to reproduce the behaviour
1. Schedule an action.
2. Restart the application.
#### Expected behaviour
Scheduled actions are run periodically.
#### Actual behaviour
#### Software specifications
GnuCash Android version: 2.3
System Android version:</t>
  </si>
  <si>
    <t>2018-02-08</t>
  </si>
  <si>
    <t>Freeyourgadget-Gadgetbridge-982</t>
  </si>
  <si>
    <t>App crashes when I try to go into Settings.</t>
  </si>
  <si>
    <t>#### Before opening an issue please confirm the following:
have read the wiki (https: github.com Freeyourgadget Gadgetbridge wiki), and didn find solution to my problem an answer to my question.
have searched the issues (https: github.com Freeyourgadget Gadgetbridge issues), and didn find solution to my problem an answer to my question.
If you upload an image or other content, please make sure you have read and understood the github policies and terms of services (https: help.github.com articles
#### Your issue is:
When tap Settings. cannot show any logs since the app crashes then.
#### Your wearable device is:
*Please specify model and firmware version if possible*
#### Your android version is:
Android 8.1.0 on Nexus 5X
#### Your Gadgetbridge version is:
*New issues about already solved documented topics could be closed without further comments. Same for too generic or incomplete reports.*</t>
  </si>
  <si>
    <t>mendhak-gpslogger-617</t>
  </si>
  <si>
    <t>start widget doesn't work when GpsLoggingService is stopped</t>
  </si>
  <si>
    <t>Since the update to version 91 GPSLogger runs but fails to write track about 80% of the time, it also crashed 2-3 times. am attaching the debug log of today failed attempt: GPSLogger was started and stopped via widgets as usual and failed to write track. Another navi program was running in parallel and GPS was functioning properly all the time. Android 6.0.1, Samsung galaxy S5.</t>
  </si>
  <si>
    <t>ScreamingHawk-android-slideshow-95</t>
  </si>
  <si>
    <t>Picture in picture causes crashes</t>
  </si>
  <si>
    <t>Selecting picture in picture is causing crash for devices that do not support it.
Ideally this option should be hidden when the device doesn support it. But at the very least it shouldn crash.</t>
  </si>
  <si>
    <t>2018-02-07</t>
  </si>
  <si>
    <t>inaturalist-iNaturalistAndroid-465</t>
  </si>
  <si>
    <t>IllegalStateException crash</t>
  </si>
  <si>
    <t>Seems like this is only hitting Samsungs running Android 7, but it hitting quite few of them</t>
  </si>
  <si>
    <t>nextcloud-android-2111</t>
  </si>
  <si>
    <t>Flash back? Please give priority to this problem</t>
  </si>
  <si>
    <t>### Actual behaviour
When you try to move the file elsewhere, the search option seems unfriendly on the new pop-up selection page, and if you do use the search, you will surely find that the program is crashing.
### Expected behaviour
think you should search the target folder, don you?
### Steps to reproduce
1. Click on file and select move in actionbar
2. Then click search in the pop-up folder selection page
3. Search for any name, click on the keyboard to determine
4. It collapsed, didn it?
### Environment data
Stock or customized system:
Nextcloud app version:
Nextcloud server version:
#### Web server error log
don seem to know if there log, but it definitely problem.
Insert your webserver log here
#### Nextcloud log (data nextcloud.log)
Insert your Nextcloud log here</t>
  </si>
  <si>
    <t>thekirankumar-carstream-android-auto-32</t>
  </si>
  <si>
    <t>APP CRASH ERROR</t>
  </si>
  <si>
    <t>me and some other people are getting the app crashed when open it on AA (black display), getting an error message like the one reported below. using the phone Honor 9. Can you help to solve this problem? Why is it crashing? What have noted is that unistalling and installing again AA from the Play Store the app comes back to work normally, but only for once, at the second connection still have the same error and crash. Thanks in advance for your support in solving this issue.
** Maxcar crashed</t>
  </si>
  <si>
    <t>2018-02-06</t>
  </si>
  <si>
    <t>dimagi-commcare-android-1941</t>
  </si>
  <si>
    <t>Adds Bypass aar from maven repo to include the .so files for 64 bit processors</t>
  </si>
  <si>
    <t>Markdown code is currently crashing on the phones with 64 bit processors because we didn have the required .so files for 64 bit architectures. have deleted the local aar file and jni files to use the remote aar from maven repo which contains the missing files.</t>
  </si>
  <si>
    <t>2018-02-05</t>
  </si>
  <si>
    <t>YoungMaker-iORC-20</t>
  </si>
  <si>
    <t>Items crash on detail view</t>
  </si>
  <si>
    <t>nikita36078-J2ME-Loader-93</t>
  </si>
  <si>
    <t>error with "Suspend" on MeBoy application</t>
  </si>
  <si>
    <t>This is MeBoy, gb gbc emulator.
It happens when you start the game on MeBoy, goes to menu and press Suspend option.
Oh! and another thing:
enabling Sounds on Settings menu inside MeBoy crashes the app.</t>
  </si>
  <si>
    <t>tanrabad-survey-52</t>
  </si>
  <si>
    <t>:com.google.android.gms.DynamiteModulesB@11946434 line 45</t>
  </si>
  <si>
    <t>#### in mf.a
Number of crashes:
There lot more information about this crash on crashlytics.com:</t>
  </si>
  <si>
    <t>2018-02-03</t>
  </si>
  <si>
    <t>nextcloud-android-2096</t>
  </si>
  <si>
    <t>App crashes when opening a folder with images that the server fails to generate a preview for</t>
  </si>
  <si>
    <t>### Actual behaviour
App crashes sometimes when opening folder with images that the server fails to generate preview for.
### Expected behaviour
App should open the folder without crashing.
### Steps to reproduce
1. Set up NextCloud server with low memory limit
2. Upload big image
3. Open folder with big image in app
### Environment data
Android version: 7.0
Device model: Samsung Galaxy S6 SM-G920F
Stock or customized system: Stock
Nextcloud app version: 2.0.0
Nextcloud server version: 12.0.4snap2
#### Nextcloud log (data nextcloud.log)</t>
  </si>
  <si>
    <t>Neamar-KISS-819</t>
  </si>
  <si>
    <t>v2.32.4 crashes when trying to type into the search bar</t>
  </si>
  <si>
    <t>Install upgrade to 2.32.4
Focus search bar
Populated search results
Same behavior after reinstall, reupgrade from working 2.32.3 and or deleting all preferences.
Everything else works.
Using Moto G4 XT1622 running latest OEM update android 7.0 kernel 3.10.84-g498cc0c with security patch 01. december 2017</t>
  </si>
  <si>
    <t>2018-02-02</t>
  </si>
  <si>
    <t>OneBusAway-onebusaway-android-849</t>
  </si>
  <si>
    <t>Release builds are failing due to DuplicatePlatformClasses</t>
  </si>
  <si>
    <t>When run gradlew get the following:
Configure project :onebusaway-android
The method has been deprecated and is scheduled to be removed in Gradle 5.0. Please use Task.doLast(Action) instead.
Solutions include finding newer versions or alternative libraries that don have the same problem (for example, for httpclient use HttpUrlConnection
or okhttp instead), or repackaging the library using something like jarjar.
Explanation for issues of type
There are number of libraries that duplicate not just functionality of
the Android platform but using the exact same class names as the ones
provided in Android -- for example the apache http classes. This can lead
to unexpected crashes.
To solve this, you need to either find newer version of the library which
no longer has this problem, or to repackage the library (and all of its
dependencies) using something like the jarjar tool, or finally, rewriting
the code to use different APIs (for example, for http code, consider using
HttpUrlConnection or library like okhttp.)
What went wrong:
Execution failed for task
Lint found fatal errors while assembling release target.
To proceed, either fix the issues identified by lint, or modify your build script as follows:
Or, if you prefer, you can continue to check for errors in release builds,</t>
  </si>
  <si>
    <t>2018-02-01</t>
  </si>
  <si>
    <t>nextcloud-android-2085</t>
  </si>
  <si>
    <t>3.0.0: app is crashing whenever I try and enter certain folders</t>
  </si>
  <si>
    <t>### Actual behaviour
The beta app crashes when try and enter certain folders.
### Expected behaviour
It should not crash.
### Steps to reproduce
1. Enter certain folders (always photos? think)
3. Send crash report
Do you guys get Play Store crash reports? sent bunch. will debug this logcat tonight.
### Environment data
Stock or customized system:
Nextcloud app version: 3.0.0RC3
Nextcloud server version: 13 RC4
#### Web server error log
Insert your webserver log here
#### Nextcloud log (data nextcloud.log)
Insert your Nextcloud log here</t>
  </si>
  <si>
    <t>mapbox-mapbox-plugins-android-268</t>
  </si>
  <si>
    <t>NullPointer on GeoJSON</t>
  </si>
  <si>
    <t>Recreate of ticket from kingfisherphuoc upstream in https: github.com mapbox mapbox-gl-native issues 11102:
**Mapbox SDK version: 5.3.2**
### Steps to trigger behavior
1. Load map successfully
2. Change map style
3. Map crashed in some devices (some others app did not crash).
found out that the problem came from Location permission. If dont provide permission, the style cannot be load. With other styles, it worked normally with or without the permission.
### Expected behavior
Map should not get crash.
### Actual behavior
Map crash with below log:</t>
  </si>
  <si>
    <t>opensrp-opensrp-client-growth-monitoring-19</t>
  </si>
  <si>
    <t>Sample App crash when changed network connection status, from on to offline.</t>
  </si>
  <si>
    <t>App crash, when network connection unavailable
Caused by: Attempt to invoke virtual method java.lang.String on null object reference</t>
  </si>
  <si>
    <t>BaristaVentures-android-debug-artist-69</t>
  </si>
  <si>
    <t>Remove RxLint</t>
  </si>
  <si>
    <t>Newer RxLint requires you to use the new android gradle plugin (3.x) to work, creating crash on compilation otherwise.</t>
  </si>
  <si>
    <t>consp1racy-android-support-preference-88</t>
  </si>
  <si>
    <t>SortCursor crash java.lang.NullPointerException: Attempt to invoke virtual method 'int java.lang.String.compareToIgnoreCase(java.lang.String)'</t>
  </si>
  <si>
    <t>As discussed in #62
Fatal Exception: Attempt to invoke virtual method int on null object reference
Happens on different devices and OS versions (very rare crash).</t>
  </si>
  <si>
    <t>2018-01-31</t>
  </si>
  <si>
    <t>StepicOrg-stepik-android-adaptive-16</t>
  </si>
  <si>
    <t>fix swipe after pop crash</t>
  </si>
  <si>
    <t>**YouTrack task**: #APPS-1745 (https: youtrack issue APPS-1745)
Fix crash when card being dragged after it has been popped from list of cards</t>
  </si>
  <si>
    <t>UNFPAInnovation-GetIn_Mobile-91</t>
  </si>
  <si>
    <t>Call Midwife Button in VHT APP crashes on scroll</t>
  </si>
  <si>
    <t>On last visit, some VHTs phones crashed on the call Midwife scroll page, should be issue of loading more midwives not assigned to VHT objects.</t>
  </si>
  <si>
    <t>consp1racy-android-support-preference-87</t>
  </si>
  <si>
    <t>Crash: java.lang.NullPointerException: Attempt to read from field 'boolean net.xpece.android.support.preference.RingtonePreference.i'</t>
  </si>
  <si>
    <t>Just noticed few crashes with this stack trace:
Can reproduce this. Can you please look into this?</t>
  </si>
  <si>
    <t>2018-01-30</t>
  </si>
  <si>
    <t>hzi-braunschweig-SORMAS-Project-493</t>
  </si>
  <si>
    <t>App crashing after switching phone to offline mode</t>
  </si>
  <si>
    <t>hzi-braunschweig-SORMAS-Project-492</t>
  </si>
  <si>
    <t>App crash because of broken database update script</t>
  </si>
  <si>
    <t>venomousboxer-watermarking-application-5</t>
  </si>
  <si>
    <t>App crashes when we press capture image button</t>
  </si>
  <si>
    <t>After last commit when new function was created to dispatch take picture intent app has started crashing when we press capture image button</t>
  </si>
  <si>
    <t>Awful-Awful.apk-588</t>
  </si>
  <si>
    <t>Swiping a code block that's at the bottom of a thread can crash the app</t>
  </si>
  <si>
    <t>If you scroll thread right to the bottom, and there code block there, swiping across it and also moving your finger down can cause this crash
where the code in question is
if (enabled &amp;&amp; !swipeEnabled)
maybe it needs sleep, or an actual fakeDragBy() call, or something. Related to #438 but this one is crash instead of an annoyance</t>
  </si>
  <si>
    <t>2018-01-29</t>
  </si>
  <si>
    <t>BaseballCardTracker-bbct-android-427</t>
  </si>
  <si>
    <t>:com.google.android.gms.DynamiteModulesA line 324</t>
  </si>
  <si>
    <t>#### in abi.b
Number of crashes:
There lot more information about this crash on crashlytics.com:</t>
  </si>
  <si>
    <t>2018-01-28</t>
  </si>
  <si>
    <t>Leo-App-android-62</t>
  </si>
  <si>
    <t>Essensbons: Crash bei alten QR Codes</t>
  </si>
  <si>
    <t>Das alte QR-Code System crasht die App beim Scannen</t>
  </si>
  <si>
    <t>venomousboxer-watermarking-application-2</t>
  </si>
  <si>
    <t>App crashes when watermarking button is pressed</t>
  </si>
  <si>
    <t>After bug fixture of upload image button app is getting crashed when we press watermarking button</t>
  </si>
  <si>
    <t>2018-01-27</t>
  </si>
  <si>
    <t>twilio-video-quickstart-android-233</t>
  </si>
  <si>
    <t>Failed to close camera connection</t>
  </si>
  <si>
    <t>am facing crash whenever try to use camera resource in different places in my app.
### Steps to Reproduce
1. Open second activity with camera from the first camera activity
2.Close the second activity
3. App crashes
#### Expected Behavior
App should not crash
#### Actual Behavior
#### Reproduces how Often
Fatal error in home travis build twilio library src main jni com twilio video line 129
last system error:
All relevant version information for issue.
#### Video Android SDK
#### Android API
#### Android Device</t>
  </si>
  <si>
    <t>2018-01-26</t>
  </si>
  <si>
    <t>venomousboxer-watermarking-application-1</t>
  </si>
  <si>
    <t>App crashes on pressing upload button</t>
  </si>
  <si>
    <t>App crashes when we press upload button and try to upload image from the gallery</t>
  </si>
  <si>
    <t>gsssrao-UnityAndroidSpeechRecognition-1</t>
  </si>
  <si>
    <t>Unable to include code into Unity Project</t>
  </si>
  <si>
    <t>Hi, first off, thanks form making this public.
have what it must be very simple problem, my Unity project doesn work after importing using Unity 5.3.3f1, on Win 64bits, and running the apk in Samsug Galaxy S5 running Android 5.0. The first thing to mention is that your apk works wondeful on it own, but:
1. If run my apk (your unitypackage imported into my project), it crashes, shows the default Unity splash for just sec, besides is strange that the splash looks not centered and that the app icon is lost and replaced by the default Android icon.
2. If delete AndroidManifest.xml file from the project and compile again, the apk loads successfully, so able to click the speak button then the google api window shows up, able to speak, my speech is recognized as the google api window closes, BUT... no words are shown on TextRecognition UI Text component, seems that by deleting the xml file, broke the possibility that the callback method onActivityResult() gets called. Though at least my app doesn crash and my app icon is back again!
good C# programmer and been using Unity for more than two years, but dealing with Android api classes and xml manifest files is beyond my knowledge, so far now.
Any help would be apprecciated.</t>
  </si>
  <si>
    <t>Neamar-KISS-802</t>
  </si>
  <si>
    <t>bug: deleting the widget app without removing it from KISS crashes KISS.</t>
  </si>
  <si>
    <t>Here are the steps to reproduce:
install an app that provide widget (I used netatmo weather but think any app would do)
add the widget to kiss
uninstall the app
reboot the phone</t>
  </si>
  <si>
    <t>2018-01-25</t>
  </si>
  <si>
    <t>DanielPollithy-flashwifi-56</t>
  </si>
  <si>
    <t>Fund wallet crashes the app if no internet connection available</t>
  </si>
  <si>
    <t>2018-01-24</t>
  </si>
  <si>
    <t>k9mail-k-9-3129</t>
  </si>
  <si>
    <t>App crashes when I click on contact logo</t>
  </si>
  <si>
    <t>ve not found recent issue related to my issue.
Thanks for your answer
### Expected behavior
It should be create new message with the clicked contact, as recipient.
### Actual behavior
Since the update, the app crashes when click on contact logo square.
### Steps to reproduce
1. Open the app
2. Click on the logo square of any email
3. The app will crash
K-9 Mail version: 5.403
Android version: 5.1 with Flyme 6.2.0.0A
Account type (IMAP, POP3, WebDAV Exchange): IMAP with Gmail</t>
  </si>
  <si>
    <t>twilio-voice-quickstart-android-131</t>
  </si>
  <si>
    <t>java.lang.NullPointerException at com.twilio.voice.CallCommand.startCall</t>
  </si>
  <si>
    <t>found this crash in my log, It very hard to reproduce in the sample app. But it did happen.
And the crash log itself is very expressive.
After this crash, the following call will never go out.
saw log like this</t>
  </si>
  <si>
    <t>mapbox-mapbox-events-android-58</t>
  </si>
  <si>
    <t>Remove LOST from LocationEngineProvider</t>
  </si>
  <si>
    <t>Remove lost from to help crash associated with including Lost dependency</t>
  </si>
  <si>
    <t>2018-01-23</t>
  </si>
  <si>
    <t>aws-amplify-aws-sdk-android-400</t>
  </si>
  <si>
    <t>Using startService for a background event is causing crashes in Android O</t>
  </si>
  <si>
    <t>Android rules for background services have changed, the above line is causing our application to crash irrecoverably.</t>
  </si>
  <si>
    <t>MiPushFramework-MiPushFramework-33</t>
  </si>
  <si>
    <t>[TODO] 一个可能导致无法收到通知的原因</t>
  </si>
  <si>
    <t>** ** ** ** logs
API 24 Builder#setGroup
notify crash broadcast</t>
  </si>
  <si>
    <t>square-okhttp-3794</t>
  </si>
  <si>
    <t>java.lang.IllegalArgumentException: sockaddrToInetAddress unsupported ss_family: 0</t>
  </si>
  <si>
    <t>Okhttp version: 3.3.1
Received crash report from HUAWEI TAG-AL100 on Android 5.1.
1Caused by: unsupported ss family:</t>
  </si>
  <si>
    <t>iFixit-dozuki-android-4</t>
  </si>
  <si>
    <t>Crash when adding photos to steps</t>
  </si>
  <si>
    <t>When editing guide step, trying to take photo directly from the media manager causes the app to crash (android).
Fix the error and restore functionality.</t>
  </si>
  <si>
    <t>2018-01-22</t>
  </si>
  <si>
    <t>kontalk-androidclient-1142</t>
  </si>
  <si>
    <t>Crash opening conversation view</t>
  </si>
  <si>
    <t>### Expected behavior
Tapping on conversation, the conversation view opens
### Actual behavior
Tapping on conversation, the app crashes
### Steps to reproduce
1. tap on conversation
Android version: Alien Dalvik on SailfishOS (android 4.1.2 SDK 16)
Device model: Jolla
The app crash only when opening conversation with single contact. Group chat conversation works.</t>
  </si>
  <si>
    <t>avrland-DogeTracker_Android-3</t>
  </si>
  <si>
    <t>Pasting address when empty clipboard crash app</t>
  </si>
  <si>
    <t>oliexdev-openScale-158</t>
  </si>
  <si>
    <t>App crash, parallel use of Amazfit Notify and openScale</t>
  </si>
  <si>
    <t>Build version: 1.7</t>
  </si>
  <si>
    <t>square-okhttp-3793</t>
  </si>
  <si>
    <t>Fatal Exception: ArrayIndexOutOfBoundsException in Hpack.java</t>
  </si>
  <si>
    <t>Okhttp version: 3.9.1
Retrofit version: 2.3.0
Received crash report from SM-G950F on Android 7.0.
Fatal Exception: length index</t>
  </si>
  <si>
    <t>commons-app-apps-android-commons-1087</t>
  </si>
  <si>
    <t xml:space="preserve">[Urgent] Version 2.6.6 crash </t>
  </si>
  <si>
    <t>New crash in version 2.6.6 affecting 12 users with 79 reports. It appears to be caused by uploading. tried to contact the user to get more information, but we ll see if he responds.
(Yes, the stack trace is only lines. Not sure why)
Android 5.1 60 75.9%
Android 7.0 10 12.7%
Android 8.0 6.3%
Android 6.0 2.5%
A37f (A37f) 59 74.7%
ZenFone Max (ZC520TL) (ASUS X008 1) 10.1%
Mi A1 (tissot sprout) 3.8%
OnePlus3T (OnePlus3T) 2.5%</t>
  </si>
  <si>
    <t>2018-01-21</t>
  </si>
  <si>
    <t>ozelevrim-EvrimNews-15</t>
  </si>
  <si>
    <t>Sign in/Sign up button not working (Crash)</t>
  </si>
  <si>
    <t>The button that is located in the main screen named sign in sign up is not working when clicked.
The app would crash when you click on it.</t>
  </si>
  <si>
    <t>2018-01-20</t>
  </si>
  <si>
    <t>ozelevrim-EvrimNews-13</t>
  </si>
  <si>
    <t>Crash when clicked on Settings/About</t>
  </si>
  <si>
    <t>The app crashes when the user clicks on the button located in the main screen named Settings About (Ayarlar Hakk nda)
Remove the Settings About button completely.
Define function to the button (and design completely new Settings screen that includes an About button to access new about screen).</t>
  </si>
  <si>
    <t>nextcloud-android-2016</t>
  </si>
  <si>
    <t>Recurring login screen</t>
  </si>
  <si>
    <t>### Actual behaviour
After my app updated and the Nextcloud icon changed (3.0.0 RC1), every time typed in my password it took me to my files but immediately back to the login screen. The only way to fix was by uninstalling and reinstalling. Also, it crashed when going to the backup contacts screen.
### Expected behaviour
Normal functionality after an update.
### Steps to reproduce
1. Update the app to the mentioned version
2. Log in
3. Continue trying to log in
### Environment data
Android version: 7.0
Device model: Nexus
Stock or customized system: stock
Nextcloud app version: 3.0.0 RC1
Nextcloud server version: 11.0.3
#### Web server error log
Insert your webserver log here
#### Nextcloud log (data nextcloud.log)
Insert your Nextcloud log here</t>
  </si>
  <si>
    <t>Neamar-KISS-797</t>
  </si>
  <si>
    <t>If app with emoji name is installed, typing into search bar crashes</t>
  </si>
  <si>
    <t>On my phone, KISS AppProvider is crashing whenever type into the search bar. Uninstalling Image Analysis Toolset, an app with emoji in the app-drawer name (but not the Settings name), then KISS Settings Advanced Restart fixes this crash.
Caused by: String index out of range:
discovered that the Scoop Xposed module automatically captures stack traces into your notifications. It really helpful and would recommend it for everyone.</t>
  </si>
  <si>
    <t>nextcloud-android-2013</t>
  </si>
  <si>
    <t>Android App - Set Up Encryption fails</t>
  </si>
  <si>
    <t>### Actual behaviour
Fails to setup encryption option on android app.
### Expected behaviour
### Steps to reproduce
1. Select folder to encrypt.
2. Tap menu.
3. Select Set as encrypted
4. Click folder.
--&gt; Note your encryption passphrase...
5. Click Set Up Encryption
--&gt; Error message Error. Storing keys was unsuccessful, please try it again!
6. Click close.
--&gt; (If you try to enter the encrypted folder, the process (and error) repeats from step 4).
If try to access the encrypted folder via the web portal, it errors (probably expected behavior?).
Nothing useful seen in server log because it does not record the client-side error (but it does record the accessing encrypted folder failure, which is normal think?). am happy to try to provide additional info.
If try to send app logs, the app crashes Nextcloud has stopped ). But even so, there are no app log entries associated with the encryption set-up failure anyway.
### Environment data
Android version: 8.1.0
Device model: Pixel XL
Stock or customized system: Stock</t>
  </si>
  <si>
    <t>DanielPollithy-flashwifi-37</t>
  </si>
  <si>
    <t>Set blank password for wallet crashes app</t>
  </si>
  <si>
    <t>When choosing password, leaving the password blank crashes the app.</t>
  </si>
  <si>
    <t>mauron85-react-native-background-geolocation-149</t>
  </si>
  <si>
    <t xml:space="preserve">Android App Crash after some time </t>
  </si>
  <si>
    <t>&lt;!--- Provide general summary of the issue in the Title above --&gt;
## Your Environment
&lt;!--- Include as many relevant details about the environment you experienced the bug in --&gt;
Plugin version: 0.4.1
OS version: Android 6.0 Marshmallow
Device manufacturer and model: Sony Xperia E5
React Native version: 0.47
Plugin configuration options:
Link to your project:
After some time of the app running background or foreground the app stops and close
## Expected Behavior
The app keeps running and working foreground and background
## Actual Behavior
The App crash with fatal Exception:
trying to send the user location each seconds.</t>
  </si>
  <si>
    <t>2018-01-19</t>
  </si>
  <si>
    <t>react-native-camera-react-native-camera-1112</t>
  </si>
  <si>
    <t>ios crash when scan barcode many times</t>
  </si>
  <si>
    <t>### Steps to reproduce
1.open camera to scan barcode
2.close camera after finish scanning
3.reopen camera to scan barcode
### Expected behaviour
Work as well
### Actual behaviour
**React Native version**:0.48.4
**React Native platform platform version**: iOS 11.1.2, iPhone x, iPhone 6s
### crash log
Hardware Model: iPhone10,3
Code Type: ARM-64 (Native)
Parent Process: launchd
OS Version: iPhone OS 11.1.2 (15B202)
Baseband Version: 1.41.00
Report Version: 104
Exception Type: EXC CRASH (SIGABRT)
Exception Codes: 0x0000000000000000, 0x0000000000000000
Exception Note: EXC CORPSE NOTIFY
Triggered by Thread:</t>
  </si>
  <si>
    <t>2018-01-18</t>
  </si>
  <si>
    <t>naoufal-react-native-touch-id-67</t>
  </si>
  <si>
    <t>Android crashes when authentication fails at second time</t>
  </si>
  <si>
    <t>It seems that android still keep the Fingerprint working after the first authentication.
let isAuthOk false
let responseAuth await Authentication
console.log( Error ,e)
let successPromise await new Promise((resolve, reject)</t>
  </si>
  <si>
    <t>2018-01-17</t>
  </si>
  <si>
    <t>pockethub-PocketHub-1148</t>
  </si>
  <si>
    <t>Application crashes when trying to access a non existing repository</t>
  </si>
  <si>
    <t>When repository has been deleted, it still appears in the list of recent events.
When trying to access it, the application crashes.
Steps to reproduce
1) Install the app
2) Log in
3) Follow user that deletes repository
4) Try to access the repository from the recent events list</t>
  </si>
  <si>
    <t>getodk-collect-1796</t>
  </si>
  <si>
    <t>Collect crash when canceling refresh and then clicking on checklist.</t>
  </si>
  <si>
    <t>#### Software and hardware versions
#### Problem description
Collect crash when canceling refresh and then clicking on checklist.
#### Steps to reproduce the problem
1. Go to Get Blank Form.
2. Click on Refresh button.
3. Cancel that process.
4. Try to select any item from the checklist.
#### Expected behavior
Collect should not crash.
#### Other information
It doesnt matter if items from the checklist ale selected or not, the same error occurs.
Screenshot of behavior attached.</t>
  </si>
  <si>
    <t>getodk-collect-1794</t>
  </si>
  <si>
    <t>Could not open the database in read/write mode</t>
  </si>
  <si>
    <t>It the second most popular crash in v1.12.2.</t>
  </si>
  <si>
    <t>nextcloud-android-1974</t>
  </si>
  <si>
    <t>3.0.0 RC1: Crash in grid view when selecting share photo before it has loaded thumbnail</t>
  </si>
  <si>
    <t>### Actual behaviour
The Nextcloud Android app crashes if select photo from the grid view before the thumbnail has loaded.
### Expected behaviour
### Steps to reproduce
1. Open folder with photos
2. Switch to grid view
3. If thumbnails have not been loaded: crash
### Environment data
Android version: 7.0
Device model: S8
Stock or customized system: Stock
Nextcloud app version: 3.0.0 RC1
Nextcloud server version: 13.0.0 RC1
#### Web server error log
Insert your webserver log here
#### Nextcloud log (data nextcloud.log)
Insert your Nextcloud log here</t>
  </si>
  <si>
    <t>osmdroid-osmdroid-880</t>
  </si>
  <si>
    <t>crash responding to single tap with Polyline</t>
  </si>
  <si>
    <t>## Issue Type
Build system related
## Description and or steps code to reproduce the problem
With Polyline displayed containing around 1k points or more, returning false from p) results in crash:
There is no java stack trace (which is new to me).
This does not happen if true is returned, no Polyline is shown, or &lt;5 points are in the line (I haven tried many intermediate numbers of points). It does happen regardless of whether hardware acceleration is on.
### If it bug, version(s) of android this affects:
5.1 hardware and emulator
### Version of osmdroid the issue relates to:
6.0.0 d3c71cc7 (not problem in 5.6.5)</t>
  </si>
  <si>
    <t>2018-01-16</t>
  </si>
  <si>
    <t>google-ExoPlayer-3716</t>
  </si>
  <si>
    <t>### Issue description
App is crashing with unordered sequencing of timeOffset for AdBreaks
### Reproduction steps
1. Download sample app from https: github.com google ExoPlayer tree release-v2 demos main (url)
3. Load the ad and it will cause immediate crash.
### Link to test content
### Version of ExoPlayer being used
### Device(s) and version(s) of Android being used
LG Nexus (Android version 6.0.1)
### full bug report captured from the device</t>
  </si>
  <si>
    <t>nextcloud-android-1970</t>
  </si>
  <si>
    <t>Android (playstore) app will not log in to server 12.04 backend</t>
  </si>
  <si>
    <t>### Actual behaviour
Unable to log in with either the Beta client or the regular android client. This happened on an install of server 12.03 and then an upgraded version of 12.04 as well as fresh install of 12.04 (except preserved the data folder). When attempting to log in click the grant access button enter user name and password and the app spins for ever before prompting me to revert to the older style login. Tailing the logs on the server shows that the request is made, see responses from remote.php webdav and some entries. When try and invalid password the app still spins for ever but the server logs show the invalid access attempt.
If keep trying (I spent hours trying to log in and debug this myself) one in maybe 20 tries the login succeeds but am greeted with no files or folders and what appears to be constant scanning until either the app crashes or my screen goes to sleep. When either event happens the app is logged out (despite having clicked the remember option) and have to start the whole process again.
Using mobile browser yields no problems. Additionally, using the *owncloud beta* android app (which is free) allows me to log in and have the instant upload of my photos (which is my main concern). Desktop browsers as well as desktop integration works as expected so am sure this is problem with the android app. Previously had no problems, have been using the beta app for the last several months without issue
### Expected behaviour
expect to be able to log in and see my files as am able to with the owncloud app
### Steps to reproduce
1. Download the nextcloud-client app (or beta) from the play store
2. Attempt to log in with username and password
3. Never actually able to log in
### Environment data
Android version: Android 7.0 with Nov 6, 2017 security patches
Device model: Honor 6XXX
Stock or customized system: Stock
Nextcloud app version: Latest version from the play store (as well as the latest beta)
Nextcloud server version: 12.04
#### Web server error log
To follow shortly when test
#### Nextcloud log (data nextcloud.log)</t>
  </si>
  <si>
    <t>hold17-cphindustries-114</t>
  </si>
  <si>
    <t>Feature/delete weapons</t>
  </si>
  <si>
    <t>## Proposed Changes
Fixed issue with app crashing upon deletion of Weapon
Collected an if-statement</t>
  </si>
  <si>
    <t>2018-01-15</t>
  </si>
  <si>
    <t>hold17-cphindustries-107</t>
  </si>
  <si>
    <t>Deleting weapons causes crash</t>
  </si>
  <si>
    <t>Deleting weapon and then going back to the view fragment causes the app to crash.
### Steps to Reproduce
1. Go to scene
2. Go to shoot
3. Click the lock button
4. Delete weapon by swiping
5. Click the lock button again to return to the view fragment
**Expected behavior:** Display list of weapons without the one you just deleted
**Actual behaviour:** Crash
**Reproduces how often:** 100%
### Additional Information
To make this error occur, make sure to have at least:*</t>
  </si>
  <si>
    <t>cgeo-cgeo-6912</t>
  </si>
  <si>
    <t>Crash after deleting GPX file using 'import' list.</t>
  </si>
  <si>
    <t>CGEO consistantly crashes after deleting GPX file using the import list.
##### Detailed steps causing the problem:
Open stored list
Goto Import Import GPS (A list of files is shown)
Long-press on one of the files (Pop-up: Do you want to delete xxxx.GPX?
Long-press on another file (I think files have to be in the same folder)
##### Actual behavior after performing these steps:
##### Expected behavior after performing these steps:
You should be able to delete series of files.
##### Version of c:geo used:2018.01.14-RC
##### Is the problem reproducible for you?
##### System information:
--- System information ---
Android version: 7.1.1
Android build: 32.4.A.0.160
Google Play services: enabled 11.9.51 (448-177350961)
Low power mode: inactive
Compass capabilities: yes
Rotation vector sensor: present
Orientation sensor: present</t>
  </si>
  <si>
    <t>Haptic-Apps-Slide-2624</t>
  </si>
  <si>
    <t>App crash when tapping before image download at the image viewer</t>
  </si>
  <si>
    <t>Slide version: 5.8-alpha1.5
Android version: 7.0
clicked on GFYcat link. It takes forever to even start downloading related but not the specific issue.
Right before it starts the download there is the phase in which the app sends request to get the gif file and start the downloading.
Tapping anywhere(as far as know only tried inside the image viewer) **crashes** the app.
There is possibility that an image would crash it too, but its significantly common for me to be waiting for the app to load GFYcat.</t>
  </si>
  <si>
    <t>doublesymmetry-react-native-track-player-118</t>
  </si>
  <si>
    <t>MediaManager.java: add null check</t>
  </si>
  <si>
    <t>Fix crashes as described in https: github.com react-native-kit issues 117</t>
  </si>
  <si>
    <t>nikita36078-J2ME-Loader-75</t>
  </si>
  <si>
    <t>Lost saved game after force stopping j2me-loader</t>
  </si>
  <si>
    <t>tested game: doom rpg
1.save status in game
2.exit game then reopen it without close j2me-loader, continue option show in start menu
3.exit game then quit j2me-loader use function in app menu, reopen the game, continue option show in start menu
exit game then force stop j2me-loader, reopen the game, only new game option in start menu
game works fine in 1.2.5, crash in 1.2.6</t>
  </si>
  <si>
    <t>andOTP-andOTP-113</t>
  </si>
  <si>
    <t>Fix crash with no Bitcoin app installed</t>
  </si>
  <si>
    <t>This is just reminder for myself to fix the app crashing when you have no Bitcoin app installed and click on the donate link for RichyHBM.</t>
  </si>
  <si>
    <t>doublesymmetry-react-native-track-player-117</t>
  </si>
  <si>
    <t>NullPointerException in MediaManager.onPlay</t>
  </si>
  <si>
    <t>Just wanted to start off with huge thank you to you!
have noticed few crashes this one occurs in approx in 1000 users:
Not completely sure why when it happens, but think it is because is returning null: https: github.com react-native-kit blob android src main java guichaguri trackplayer logic</t>
  </si>
  <si>
    <t>2018-01-14</t>
  </si>
  <si>
    <t>the3deers-android-3D-model-viewer-34</t>
  </si>
  <si>
    <t>Bug in demo option: App crashes</t>
  </si>
  <si>
    <t>#### Expected behavior
After launching the app which am not really used to, needed tutorial for it usage but luckily found demo of how to design the model. But unfortunately none of the demos was able to play.
#### Actual behavior
The app keeps crashing everytime click on demo to play for how to use it.
#### How to reproduce
Open the android 3D model viewer app if already installed or download from Google Play Store if not, after launching it go-to demo and after it loads, click any of the demo you wish to view, immediately the app crashes.
Browser: infinix note
Operating system: android
#### Recording Of The Bug
Here is video to record the bug.
&lt;br &gt;&lt;hr &gt;&lt;em&gt;Posted on &lt;a href https: utopian.io utopian-io onos Rewarding Open Source Contributors&lt; a&gt;&lt; em&gt;&lt;hr</t>
  </si>
  <si>
    <t>DanielPollithy-flashwifi-6</t>
  </si>
  <si>
    <t>Decrypt seed with no password crashes app</t>
  </si>
  <si>
    <t>No password null empty check exists in:
flashwifi app src main java com flashwifi wifip2p HomeActivity.java
private void decryptSeed(String password)
Will add null check</t>
  </si>
  <si>
    <t>2018-01-13</t>
  </si>
  <si>
    <t>Haptic-Apps-Slide-2623</t>
  </si>
  <si>
    <t>Subreddit sidebar crashes slide</t>
  </si>
  <si>
    <t>Slide version: 5.7.2
Android version: 8.1.0
Steps to reproduce:
Swipe left menu out
Swipe from right to get sidebar</t>
  </si>
  <si>
    <t>hold17-cphindustries-90</t>
  </si>
  <si>
    <t>Clearing cache while in shoot or weapons, then going up the hierarchy crashes the app</t>
  </si>
  <si>
    <t>it should either not be possible to do, or the app should return to the top level of the heirarchy and clear the backstack when clearing cache.</t>
  </si>
  <si>
    <t>guardianproject-haven-211</t>
  </si>
  <si>
    <t>Monitor/Camera activity crashes but background service continues</t>
  </si>
  <si>
    <t>When the app notifies me of the crash, it still sends notifications to
me via signal until activated and deactivated the camera again.
What is happening here is that the foreground camera sensor is crashing, but the main background daemon is still running, with all the other sensors still active.</t>
  </si>
  <si>
    <t>2018-01-12</t>
  </si>
  <si>
    <t>guardianproject-haven-210</t>
  </si>
  <si>
    <t>Camera crashes with a lot of motion</t>
  </si>
  <si>
    <t>The app will frequently crash when in use, most notably when there is lot of motion in the scene or there is big light change (the app was tested in room with lux levels ranging from 0.01lx to 210 lux).
Phoenix 3, cost 60$</t>
  </si>
  <si>
    <t>Joshun-mobile-assignment-20</t>
  </si>
  <si>
    <t>If no photos have geo info, launching the map crashes</t>
  </si>
  <si>
    <t>2018-01-11</t>
  </si>
  <si>
    <t>react-native-camera-react-native-camera-1090</t>
  </si>
  <si>
    <t>Front camera not working on some iPhones</t>
  </si>
  <si>
    <t>having issues using the front facing camera on some iPhones, at least on iPhone 5s and 6s, both running iOS 11. have no issues on other iPhones, e.g. iPhone X. The preview is black, and the app crashes when try to take photo:
*** First throw call stack:
(0x183eb2364 0x1830f8528 0x189829494 0x10084e598 0x101a392cc 0x101a3928c 0x101a47f80 0x101a3c7ec 0x101a48f6c 0x101a50020 0x183ad6f1c 0x183ad6b6c)
Anyone else experienced this?
Screenshot from iPhone 6s</t>
  </si>
  <si>
    <t>mit-cml-appinventor-sources-1125</t>
  </si>
  <si>
    <t>About Menu Crashes in New APK files</t>
  </si>
  <si>
    <t>In newly built apk, hitting the three dots at the bottom to pull up the About App options causes the app to crash.</t>
  </si>
  <si>
    <t>Neamar-KISS-788</t>
  </si>
  <si>
    <t>Pre-launch report: crash when resetting search providers</t>
  </si>
  <si>
    <t>Play store does some monkey typing on random devices before publishing,
got report that there was an error, here is the video:
By the look of it, they were trying to reset the search providers.
FATAL EXCEPTION: ControllerMessenger</t>
  </si>
  <si>
    <t>2018-01-10</t>
  </si>
  <si>
    <t>mapbox-mapbox-plugins-android-238</t>
  </si>
  <si>
    <t>autocomplete widget not saving complete carmen feature correctly</t>
  </si>
  <si>
    <t>when click on recent search result and try to place marker on it center point, get this crash.</t>
  </si>
  <si>
    <t>asterics-AsTeRICS-220</t>
  </si>
  <si>
    <t>CIM Port Scanning and usage causes AsTeRICS to freeze or crash</t>
  </si>
  <si>
    <t>We encountered some strange situations, where CIM Port scanning or usage of CIM Ports caused AsTeRICS to crash. Unfortunately we could not reproduce all errors or causes of errors. These errors occur:
endless exceptions if disconnecting CIM device while using it
freezing of AsTeRICS GUI after disconnecting CIM device while using it, but also spontaneously on at random times
rescanning on USB attach does not work properly
These issues should be resolved or at least improved.</t>
  </si>
  <si>
    <t>tanrabad-survey-51</t>
  </si>
  <si>
    <t>mit-cml-appinventor-sources-1121</t>
  </si>
  <si>
    <t>Compiled apps with Default Theme crash, except the Companion</t>
  </si>
  <si>
    <t>From the forum (https: groups.google.com msg mitappinventortest 9PmvHDeNi40 nU dLF9MEQAJ): Apps other than the Companion compiled targeting the new themes seem to generate deep within the Android Support library. This causes the app to crash immediately upon start.</t>
  </si>
  <si>
    <t>2018-01-09</t>
  </si>
  <si>
    <t>dimagi-commcare-android-1925</t>
  </si>
  <si>
    <t>Adds activitiy is Finishing checks to avoid illegalStateExceptions</t>
  </si>
  <si>
    <t>This is not going to eliminate the crash completely but should reduce the frequency of these crashes.</t>
  </si>
  <si>
    <t>rovo89-XposedInstaller-420</t>
  </si>
  <si>
    <t>Xposed v89 SDK26 crash on module download page</t>
  </si>
  <si>
    <t>When opening module download page, the app immediately crashes.
v89 arm64 beta sdk26 G8441 (Xperia XZ1 Compact)</t>
  </si>
  <si>
    <t>lingochamp-okdownload-4</t>
  </si>
  <si>
    <t>sample crash</t>
  </si>
  <si>
    <t>In sample project, when click start button on Single Download page, it does work, and then click cancel button, but the project crash.</t>
  </si>
  <si>
    <t>mapbox-mapbox-plugins-android-235</t>
  </si>
  <si>
    <t>Throw a better error message when onStop isn't called</t>
  </si>
  <si>
    <t>When someone forgets to implement the onStop and onStart (or setup lifecycle observer) and the devices configuration changes, the app crashes with nasty error message in the log. We should clarify that this is the issue by throwing an exception internally in the lib.</t>
  </si>
  <si>
    <t>2018-01-08</t>
  </si>
  <si>
    <t>jMonkeyEngine-jmonkeyengine-794</t>
  </si>
  <si>
    <t>DetailedProfilerState + assertions enabled = OpenGLException</t>
  </si>
  <si>
    <t>In JME 3.2, created new BasicGame project and added
to the simpleInitApp() method. enabled assertions by putting -ea in the runtime VM options.
When executed, the application crashed immediately:</t>
  </si>
  <si>
    <t>RoboTutorLLC-RTFace_Login-3</t>
  </si>
  <si>
    <t>FaceLogin 1.6 sometimes crashes.</t>
  </si>
  <si>
    <t>Vishnu found crashes in Both Pixel and Samsung while simultaneously capturing audio and video (in Kiosk mode), and otherwise (in regular non-Kiosk mode). The bug recipe works if you rotate within seconds of tapping OR if you tap seconds after the demo video starts and tap within seconds of when the demo video ends. You might be wondering how got these exact numbers hint: it right in the code :wink:.
VISHNU PLEASE ELABORATE, WITH POINTER(S) TO SPECIFIC LINE(S) OF CODE.
1. Start FaceLogin 1.6.
2. Wait for demo video to start.
3. Tap at most seconds after the demo video starts.
4. Wait for demo video to end.
5. Tap at most seconds after the demo video ends. VISHNU -- TAP *WHERE*?
Vishnu reported that this recipe crashes FaceLogin 1.6 reliably on Vishnu Pixel but he thinks it may be due to system processes (e.g. memory overload or lack of sufficient storage). For rooted tablet, system logs in ROOT Device Logging folder may tell.
ifound that tapping &lt;2 seconds after the demo video starts caused FaceLogin.1.5.2 and 1.6 to crash sometimes, but not reproducibly. Please watch very short video example at https: drive.google.com drive folders
don think chasing exotic crashes is our top priority right now. But beware that it can happen. If we can *verifiably* exterminate it entirely, we must ensure that it survivable -- e.g. by falling through into bare-bones logo screen with button that launches FaceLogin with no video or animation that risks crashing.</t>
  </si>
  <si>
    <t>nextcloud-android-1934</t>
  </si>
  <si>
    <t>When creating existing directory during loading app crashes</t>
  </si>
  <si>
    <t>### Actual behaviour
When you create an existing directory while the app is not yet showing the files, it crashes
### Expected behaviour
Message box: folder already exists or so
### Steps to reproduce
1. Close the app completely
2. Open it
3. While loading, press create directory
4. It will crash
### Environment data
Huawei Honor 6X (europe)
Stock or customized system:
Nextcloud app version:
Nextcloud server version:
#### Web server error log
do not have access to the log
#### Nextcloud log (data nextcloud.log)
No access to logs
am sorry that could not post the webserver errors, but think it is an issue in the app, so it wouldn matter anyway</t>
  </si>
  <si>
    <t>mvysny-aedict-817</t>
  </si>
  <si>
    <t xml:space="preserve">Aedict "crashes" as soon as I click on a dictionary entry. </t>
  </si>
  <si>
    <t>Hello. originally had Aedict for free on Amazon Underground, but it was so good decided to buy it for my Fire tablet! have also bought it for my Android phone. However, with the latest update, my Fire tablet will not allow me to view any dictionary entry for more than second before crashing! Or sometimes it will take me to the previous screen. have included video to show you. https: youtu.be hurSzSjEEWw</t>
  </si>
  <si>
    <t>zhanghai-MaterialProgressBar-73</t>
  </si>
  <si>
    <t>cannot find class</t>
  </si>
  <si>
    <t>Here is crash log:
And the device info is below
Android version: Android 4.1.1,level 16 ROM:Samsung full CPU:armeabi-v7a</t>
  </si>
  <si>
    <t>2018-01-07</t>
  </si>
  <si>
    <t>oliexdev-openScale-134</t>
  </si>
  <si>
    <t>App crash with RT-Libra-B</t>
  </si>
  <si>
    <t>just tried openScale with the latest development build (v1.7-beta-7d735146 and RT-Libra-B
After successful connection the app displays some values which differ from the display and crashes afterwards. The issues is 100% reproduce able. use Android version 6.0.1. How can help? If you want could do some tests with development build which includes some debug-traces.</t>
  </si>
  <si>
    <t>cgeo-cgeo-6904</t>
  </si>
  <si>
    <t>App crashes on pause with calculator</t>
  </si>
  <si>
    <t>press app switch button
--- System information ---
Android version: 7.1.2
Android build: lineage mido-userdebug 7.1.2 NJH47F ce829446e0
Google Play services: disabled 11.9.51 (448-177350961)
Low power mode: inactive
Compass capabilities: yes
Rotation vector sensor: present
Orientation sensor: present
Magnetometer Accelerometer sensor: present
Direction sensor used: rotation vector
Hide own found: true
Map strategy: fast
HW acceleration: enabled (default state)
System language: de DE
System date format: dd.MM.yy
Debug mode active: no
System internal c:geo dir: data user cgeo.geocaching (12,6 GB free) internal
User storage c:geo dir: storage emulated cgeo (12,6 GB free) external non-removable
Fine location permission: granted</t>
  </si>
  <si>
    <t>niclabs-adkintunmobile-androidclient-190</t>
  </si>
  <si>
    <t>MediaTestPreferenceFragment.java line 89</t>
  </si>
  <si>
    <t>osmdroid-osmdroid-850</t>
  </si>
  <si>
    <t>Systematic crash with .gemf files</t>
  </si>
  <si>
    <t>## Issue Type
## Description and or steps code to reproduce the problem
have .gemf file (usgssat-jpg.gemf) in my osmdroid folder: basically, USA at zoom or 3.
each time go to the USA map at zoom or 3, have glimpse of the tiles, then within 10ths of second crash like that:
don know what the StrictMode of the log message represents. Maybe this bug appeared first when recently upgraded Android Studio and had to have it modify some compilation parameters.
### Version of osmdroid the issue relates to:</t>
  </si>
  <si>
    <t>2018-01-06</t>
  </si>
  <si>
    <t>damienrochat-BikeTracks-16</t>
  </si>
  <si>
    <t>Disabling contact permission after authorizing it and adding a contact makes the app crash</t>
  </si>
  <si>
    <t>Need to check if permission is enabled before selecting contact</t>
  </si>
  <si>
    <t>TeamNewPipe-NewPipe-968</t>
  </si>
  <si>
    <t>Loading second page of channels makes newpip crash</t>
  </si>
  <si>
    <t>NP crashes because it can not get channel name.</t>
  </si>
  <si>
    <t>ikarus23-MifareClassicTool-165</t>
  </si>
  <si>
    <t>Sharing dumps/keys on Android 7+</t>
  </si>
  <si>
    <t>Sharing dump or key files will result in crash on devices with Android 7+
Instead of directly sharing URI, content provider should be used.</t>
  </si>
  <si>
    <t>square-okhttp-3761</t>
  </si>
  <si>
    <t>Okhttp crashes app with SSLException: Unable to create application data</t>
  </si>
  <si>
    <t>We were testing our app by changing the date on the device when this crash happened. not sure if the crash is related to the date change or not.
Here is the crash log:
Caused by: Unable to create application data
... 27 more</t>
  </si>
  <si>
    <t>2018-01-05</t>
  </si>
  <si>
    <t>TeamNewPipe-NewPipe-963</t>
  </si>
  <si>
    <t>v0.11.3 crash because of plurals</t>
  </si>
  <si>
    <t>Have to return to 11.2, because 11.3 crashes on android 4.0.4 ICS immidiately after opening the app, on android 4.4.2 KitKat once you try to search something or click on channel details. Haven tried it on 7.0 nougat yet rather.. Wonder whether it can be the cz translation related. can provide the error screens if needed</t>
  </si>
  <si>
    <t>damienrochat-BikeTracks-15</t>
  </si>
  <si>
    <t>Send SMS crashing</t>
  </si>
  <si>
    <t>hold17-cphindustries-50</t>
  </si>
  <si>
    <t>Crash when deleting item from SceneDaoDemo</t>
  </si>
  <si>
    <t>Using the delete method the crashes app.</t>
  </si>
  <si>
    <t>openMF-Fineract-CN-mobile-171</t>
  </si>
  <si>
    <t xml:space="preserve">Bug in Roles/Permissions activity </t>
  </si>
  <si>
    <t>**Summarize your issue in one sentence (what goes wrong, what did you expect to happen)**
when user press the back button in time of loading the content of roles tab app crashes
**What make and model device (e.g., Samsung Galaxy S3) did you encounter this on? What Android
version (e.g., Android 4.0 Ice Cream Sandwich or Android 6.0 Marshmallow) are you running? Is it
version from the manufacturer or custom ROM?**
have test it on real device (as shown in gif) running android 5.1 and on emulator runnig android 8.0. App crashes on both.
**Would you like to work on it?**</t>
  </si>
  <si>
    <t>google-ExoPlayer-3670</t>
  </si>
  <si>
    <t>File allocating tons of memory</t>
  </si>
  <si>
    <t>have m4a audio file that when trying to play it just allocates tons of memory in constantly triggers the garbage collection and finally lets the device crash.
reproduced this on Nexus 5x with Android 8.1 and ExoPlayer 2.6.0 and 2.6.1
Audio file incoming via mail. Please let me know when can take down the file.</t>
  </si>
  <si>
    <t>michael-rapp-AndroidMaterialValidation-3</t>
  </si>
  <si>
    <t>NoSuchMethodError: android.widget.EditText.setElegantTextHeight</t>
  </si>
  <si>
    <t>Hi, seeing this in Crashlytics. This crash primarily happens on Samsung devices. Is it possible to wrap it in try catch before calling on the view?
Crashlytics captured this issue for whole bunch of Samsung devices running API levels 17-19.</t>
  </si>
  <si>
    <t>Menighin-ZenSource-8</t>
  </si>
  <si>
    <t>App crashes if fragment is changed before loading</t>
  </si>
  <si>
    <t>If the users selects another fragment while the current fragment didn finish the HTTP Request, the application crashes.</t>
  </si>
  <si>
    <t>hold17-cphindustries-44</t>
  </si>
  <si>
    <t>Crashing when going to scene</t>
  </si>
  <si>
    <t>Steps to reproduce:
**If no scenes has been added yet:**
1. Start app
2. Go to edit scene
3. Go to create scene
4. Create new scene
5. Close app
**If scenes has been added:**
1. Start app
2. Go to any scene
**To prevent crash:**
1. Open app
2. Go to edit scenes
3. Go back to scene list
4. Pick any scene</t>
  </si>
  <si>
    <t>2018-01-04</t>
  </si>
  <si>
    <t>pinballmap-pbm-android-183</t>
  </si>
  <si>
    <t>Recently Added - crashing if visited before rest of data loads</t>
  </si>
  <si>
    <t>From what can tell:
immediately visit recently added section
If you wait and load the rest of the data (like if you visit the lookup by location section and wait for the data to load) before visiting recently added, then it doesn crash. replicated out couple times.</t>
  </si>
  <si>
    <t>fabian7593-MagicalCamera-36</t>
  </si>
  <si>
    <t>Crashing on takePhoto</t>
  </si>
  <si>
    <t>Device Xiomi A1
App is crashing when we take photo and resultCode, data) is crashing in onActivityResult.
have also tested your application on Google Play, that is also crashing.</t>
  </si>
  <si>
    <t>2018-01-03</t>
  </si>
  <si>
    <t>mit-cml-appinventor-sources-1105</t>
  </si>
  <si>
    <t>Non-opaque PrimaryColor or PrimaryColorDark crashes compiled apps</t>
  </si>
  <si>
    <t>From the forum (https: groups.google.com msg mitappinventortest WYkW5JfKAKA ztkWLHu3DwAJ): Setting primary color that is translucent or transparent causes compiled apps to crash with logcat error TaskDescription primary color should be opaque.</t>
  </si>
  <si>
    <t>nextcloud-android-1918</t>
  </si>
  <si>
    <t>DEV-20171230 Send/Share crashes from within preview</t>
  </si>
  <si>
    <t>1. Open an image
2. Open menu
3. Click Send Share
All works as expected if click on the share icon in the file list next to the same image.</t>
  </si>
  <si>
    <t>hzi-braunschweig-SORMAS-Project-455</t>
  </si>
  <si>
    <t>SORMAS version 12 crashing in weekly reports form</t>
  </si>
  <si>
    <t>SORMAS latest version keeps crashing and restarting to enter pin... Please check</t>
  </si>
  <si>
    <t>2018-01-02</t>
  </si>
  <si>
    <t>fenimore-DemocracyDroid-43</t>
  </si>
  <si>
    <t>App crashes when video is selected</t>
  </si>
  <si>
    <t>Using version 3.6.1 on Nexus 5x Android 8.1.0 and the app started crashing recently when attempt to play video from the broadcast tab. If don restart the app immediately via open app again pop up hear the first tunes of DN.</t>
  </si>
  <si>
    <t>garysheppardjr-geodev-dc-labs-140</t>
  </si>
  <si>
    <t>.NET WPF: Lock focus button causes crash if 3D has never been enabled</t>
  </si>
  <si>
    <t>Run the Exercise solution. Without toggling to 3D, click the lock focus button. The program crashes.
This behavior probably happens in Exercises through as well.
We need to fix the bug in the solutions and then update the Exercise text.</t>
  </si>
  <si>
    <t>MCMrARM-revolution-irc-74</t>
  </si>
  <si>
    <t>Crash on connecting to gitter</t>
  </si>
  <si>
    <t>Connecting to the irc.gitter.im server using version 0.3.2 results in crash. Check https: irc.gitter.im for instructions on how to connect. Let me know if more information is needed.</t>
  </si>
  <si>
    <t>2018-01-01</t>
  </si>
  <si>
    <t>guardianproject-haven-175</t>
  </si>
  <si>
    <t>orbot stops whenever I try to enable remote access</t>
  </si>
  <si>
    <t>Whenever try to check the Enable remote access via Tor Onion Service box, Orbot opens, get the An app wants to open hidden server port 8888 to the Tor network. This is safe if you trust the app. message. When click allow, get the Orbot has stopped system message. Every. Time.
It doesn matter if Orbot was running or not before attempting to open the hidden service.
This is on Nexus that got directly from Google, running dead-stock Android 7.1.1. Orbot is up-to-date and Haven is the latest (29December2017) beta in the Google store. ve tried uninstalling and re-installing Haven and, of course, turnin Repeated tries just repeatedly crash Orbot.
Oddly, nobody else seems to have reported even vaguely similar problem, yet it renders Haven useless and it hard to conceive of more standard Android environment.</t>
  </si>
  <si>
    <t>Aliucord-Aliucord-389</t>
  </si>
  <si>
    <t>Aliucord crashing after fresh install</t>
  </si>
  <si>
    <t>### Discord Account
### What happens when the bug or crash occurs?
The Unfortunately, Aliucord has stopped error is thrown split second after clicking Aliucord on the launcher.
Device is Samsung Galaxy Tab 8.4 on Android 6, non-upgradable.
### What is the expected behaviour?
Aliucord doesn crash, like Discord on same version 126.21 doesn t.
### How do you recreate this bug or crash?
1. Click Aliucord from launcher
2. Observe crash
### Request Agreement
did indeed check to make sure the bug or crash report is applicable!</t>
  </si>
  <si>
    <t>2023-10-16</t>
  </si>
  <si>
    <t>AndroidIDEOfficial-AndroidIDE-1384</t>
  </si>
  <si>
    <t xml:space="preserve">Error on terminal </t>
  </si>
  <si>
    <t>### What happened?
Error on open terminal
### What the expected behavior?
### What version of AndroidIDE you re using?
v2.5.3 (debug builds)
### Relevant log output
AndroidIDE crash report
SDK version: 30
Caused by: data arm64-v8a bootstrap.zip
Caused by: data arm64-v8a bootstrap.zip
### Duplicate issues
This issue has not been reported yet.
### Code of Conduct
agree to follow this project Code of Conduct</t>
  </si>
  <si>
    <t>2023-10-15</t>
  </si>
  <si>
    <t>Anuken-Mindustry-9172</t>
  </si>
  <si>
    <t>The game crashes</t>
  </si>
  <si>
    <t>When enter sector the game closes after 5-10 min or when return to the menu, It happens in the normal app and in the beta
### Steps to reproduce
Enter sector, wait moment and try return to the menu
### Mods used
### Save file
### (Crash) logs
have updated to the latest release (https: github.com Anuken Mindustry releases) to make sure my issue has not been fixed.
have searched the closed and open issues to make sure that this problem has not already been reported.</t>
  </si>
  <si>
    <t>VinylMusicPlayer-VinylMusicPlayer-808</t>
  </si>
  <si>
    <t>Dont crash if OopsHandler is called from a background (non-UI) thread</t>
  </si>
  <si>
    <t>Fixes https: github.com VinylMusicPlayer VinylMusicPlayer issues 802
Note that this fixes the app crash, not the cause of the (diverse) exception that trigger the copy of exception to the clipboard</t>
  </si>
  <si>
    <t>2023-10-14</t>
  </si>
  <si>
    <t>VinylMusicPlayer-VinylMusicPlayer-805</t>
  </si>
  <si>
    <t>Crash when using a widget</t>
  </si>
  <si>
    <t>**Describe the bug**
Vinyl crashes after update when launching from any of its widgets.
Widget is also blank, no content displayed
Steps to reproduce the behavior:
1. Add Vinyl Widget to your launcher (i use Square Home2)
2. Click on Widget
Works as in previous version.
App version: 1.5.3
App version code: 182
Android build version: S918BXXS3AWHR
Android release version: 13
Android SDK version: 33
Android build ID:
Device brand: samsung
Device manufacturer: samsung
Device name: dm3q
Device model: SM-S918B
Device product name: dm3qxeea
Device hardware name: qcom
ABIs (32bit): armeabi-v7a, armeabi</t>
  </si>
  <si>
    <t>VinylMusicPlayer-VinylMusicPlayer-803</t>
  </si>
  <si>
    <t>The app crashes upon startup</t>
  </si>
  <si>
    <t>**Describe the bug**
The app crashes upon startup. It started happening after update to 1.5.3. Before the update it would crash the whole Android screen and cause it to restart and then stay in restart-crash loop so that the only way to come out was to restart my phone. Now only the app crashes and shows dialog to submit the crash report.
Simply open the app. The app crashes immediately after starting it.
The app doesn crash upon startup.
App version: 1.5.3
App version code: 182
Android build version: c6541019ac
Android release version: 12
Android SDK version: 32
Android build ID: lineage sargo-userdebug 12 SQ3A.220705.004 c6541019ac
Device brand: google
Device manufacturer: Google
Device name: sargo
Device model: Pixel 3a
Device product name: sargo
Device hardware name: sargo
ABIs (32bit): armeabi-v7a, armeabi
ABIs (64bit): arm64-v8a
Strongly consider using FLAG IMMUTABLE, only use FLAG MUTABLE if some functionality depends on the PendingIntent being mutable, e.g. if it needs to be used with inline replies or bubbles.</t>
  </si>
  <si>
    <t>2023-10-13</t>
  </si>
  <si>
    <t>VinylMusicPlayer-VinylMusicPlayer-802</t>
  </si>
  <si>
    <t>Crash on startup after updating to 1.5.3</t>
  </si>
  <si>
    <t>**Describe the bug**
Vinyl crashes on startup
Steps to reproduce the behavior:
1. Open Vinyl
2. Wait for crash modal
Device: ZTE Z820
Android Version: 5.1
ROM: Stock AOSP
Vinyl Music Player Version: 1.5.3, also tested with 083b4ce
1.5.3 crashes without loading the song list, 083b4ce loads the song list but crashes trying to load album art.
All of my files are either MP3 or FLAC.
will not be discouraged if this is the end of Android support and minApi needs to be bumped. will just find another music player if that the case.
&lt;summary&gt;Crash reporter output&lt; summary&gt;
App version: 1.5.3
App version code: 182
Android build version: MPCS P675T07V1.0.0B11
Android release version: 5.1
Android SDK version: 22
Android build ID: MPCS Z820V1.0.0B11
Device brand: ZTE</t>
  </si>
  <si>
    <t>VinylMusicPlayer-VinylMusicPlayer-794</t>
  </si>
  <si>
    <t>Exceptions copied to clipboard, crash on play, snackbar white (on dark theme)</t>
  </si>
  <si>
    <t>**Describe the bug**
Since last update on Wednesday (2023-10-11), version 1.5.3 available on the Play Store, the app crashes when attempting to play music, takes long time to load album covers (mostly .jpg), constantly try to update the music library (the snackbar is white even though use dark theme), and is repeatedly coping the exceptions to the clipboard. Most of the problems mentioned in #788 and #789 happened to me, but with different exception messages.
Steps to reproduce the behavior:
1. Start the app.
2. Exceptions are sent to the clipboard.
3. Library starts to update.
4. Playing any song crashed the app.
Behave like previous version, do not rescan the library every time the app is opened. Snackbar should follow phone theme.
Please complete the following information. Or if you get directed here from the app, you can paste the collected
Device: Motorola Moto G82 5G
Android Version: 13
ROM: Stock Android
Vinyl Music Player Version: 1.5.3
These are some of the messages copied to the clipboard, There was also one called but was not able to copy it in time.
... 13 more</t>
  </si>
  <si>
    <t>VinylMusicPlayer-VinylMusicPlayer-793</t>
  </si>
  <si>
    <t>Fix permission request music folder crash</t>
  </si>
  <si>
    <t>This fixes https: github.com VinylMusicPlayer VinylMusicPlayer issues 782</t>
  </si>
  <si>
    <t>PojavLauncherTeam-PojavLauncher-4729</t>
  </si>
  <si>
    <t>[BUG] &lt;When creating a world the game crashes Forge 1.12.2&gt;</t>
  </si>
  <si>
    <t>### Describe the bug
here is the list of mods
### The log file and images videos
### Steps To Reproduce
### Expected Behavior
Device model:Samsung Galaxy A52
Android version: 13
PojavLauncher version: Latest version
### Anything else?</t>
  </si>
  <si>
    <t>PojavLauncherTeam-PojavLauncher-4728</t>
  </si>
  <si>
    <t>[BUG] &lt;Create chashed when I installed blocks from this mod&gt;</t>
  </si>
  <si>
    <t>### Describe the bug
expected that the blocks from the create mod would be placed and did not crash. Minecraft version 1.18.2 forge version 40.2.10
Create mod version 0.5.1e
### The log file and images videos
Last time you asked me to send latestlog.txt
### Steps To Reproduce
Launch pojav with create mod and render angle
Placing the block from mod create
### Expected Behavior
expected that the blocks from the create mod would be placed and did not crash.
Device model: samsung s10
CPU architecture: ex9820
Android version: 12
PojavLauncher version: edelweis-20230928-
### Anything else?
last time you asked me to send latestlog.txt here am again</t>
  </si>
  <si>
    <t>Anuken-Mindustry-9159</t>
  </si>
  <si>
    <t>Transferring save data</t>
  </si>
  <si>
    <t>Release build 146
When exporting save data, the zip file exported is 0kb. This is still the case when transferred between phones, meaning that you cannot transfer save data.
### Steps to reproduce
Attempt to export save data, it will most likely come out as 0kb, if not have no idea.
### Mods used
Build Core Units
### Save file
Unable to attach due to nature of bug problem
### (Crash) logs
couldn attach the crash log. However it did download as data not 0kb.
have updated to the latest release (https: github.com Anuken Mindustry releases) to make sure my issue has not been fixed.
have searched the closed and open issues to make sure that this problem has not already been reported.</t>
  </si>
  <si>
    <t>2023-10-12</t>
  </si>
  <si>
    <t>deltachat-deltachat-android-2742</t>
  </si>
  <si>
    <t>Crash in ChatBackgroundActivity.onActivityResult()</t>
  </si>
  <si>
    <t>Thanks to the new crash report sharing added to DeltaLab recently, got this crash report from an Android 10 user:
... 11 more
... 12 more
It seems in his device is not called when resuming the activity while receiving the intent response, hence acceptMenuItem variable is null by the time it is tried to be use in onActivityResult()</t>
  </si>
  <si>
    <t>VinylMusicPlayer-VinylMusicPlayer-787</t>
  </si>
  <si>
    <t>But crash on first start ip</t>
  </si>
  <si>
    <t>**Describe the bug**
clear and concise description of what the bug is.
Steps to reproduce the behavior:
1. Go to ...
2. Click on ....
3. Scroll down to ....
4. See error
clear and concise description of what you expected to happen.
Please complete the following information. Or if you get directed here from the app, you can paste the collected
Vinyl Music Player Version:
Add any other context about the problem here.
If applicable, add screenshots to help explain your problem.</t>
  </si>
  <si>
    <t>VinylMusicPlayer-VinylMusicPlayer-786</t>
  </si>
  <si>
    <t>Fix crashes that occur when the user has a widget set up</t>
  </si>
  <si>
    <t>Fixes the crashes in #784 but not the null pointer exceptions.</t>
  </si>
  <si>
    <t>PojavLauncherTeam-PojavLauncher-4726</t>
  </si>
  <si>
    <t>[BUG] mod create when place train track turn the game crashed</t>
  </si>
  <si>
    <t>### Describe the bug
### The log file and images videos
b) Add the JAR that contains the shared library to the classpath.
Caused by: Unable to load library flite
dlopen failed: library libflite.so not found
dlopen failed: library libflite.so not found
Native library (linux-aarch64 libflite.so) not found in resource path
### Steps To Reproduce
Place turn track train then crashed
### Expected Behavior
Device model: poco m4 pro
CPU architecture: idk
Android version: 11
PojavLauncher version: 1.19.2
### Anything else?</t>
  </si>
  <si>
    <t>2023-10-11</t>
  </si>
  <si>
    <t>deltachat-deltachat-android-2736</t>
  </si>
  <si>
    <t>application crashes when clicking notification</t>
  </si>
  <si>
    <t>This is how can reproduce it:
1. Go to chat and find message with PDF attachment
3. while you are in the PDF app, from another device send message to the account where you opened the PDF file
4. when you receive the notification of the new message while you still have the PDF opened, click the notification to go back to Delta Chat
5. the app crashes</t>
  </si>
  <si>
    <t>PojavLauncherTeam-PojavLauncher-4725</t>
  </si>
  <si>
    <t>[BUG] &lt;Create mod crashing with ANGLE&gt;</t>
  </si>
  <si>
    <t>### Describe the bug
Create mod crashing with render angle on 1.18.2.
when entered the world and placed blocks from the create mod it crashed.
---- Minecraft Crash Report ----
Would you like cupcake?
detailed walkthrough of the error, its code path and all known details is as follows:
-- System Details --
Minecraft Version: 1.16.5
Minecraft Version ID: 1.16.5
Operating System: Linux (aarch64) version Android-12
ModLauncher launch target: fmlclient
ModLauncher naming: srg
mixin-0.8.4.jar mixin PLUGINSERVICE
eventbus-4.0.0.jar eventbus PLUGINSERVICE
object holder definalize PLUGINSERVICE
runtime enum extender PLUGINSERVICE
capability inject definalize PLUGINSERVICE
FML Language Providers:
Minecraft minecraft 1.16.5 ENQUEUE IM Manifest: NOSIGNATURE
Flywheel flywheel 1.16-0.2.5 ENQUEUE IM Manifest: NOSIGNATURE</t>
  </si>
  <si>
    <t>Anuken-Mindustry-9153</t>
  </si>
  <si>
    <t>#9070 is still in effect</t>
  </si>
  <si>
    <t>When unfocus Ministry, say to check my WiFi connection, enter some text, or even leave the map editor, the game stops registering my inputs.
### Steps to reproduce
See above or video in first comment
### Mods used
### Save file
It crashed on the join server screen, pretty sure it happens everywhere
### (Crash) logs
was told there was no relevant crash
have updated to the latest release (https: github.com Anuken Mindustry releases) to make sure my issue has not been fixed.
have searched the closed and open issues to make sure that this problem has not already been reported.</t>
  </si>
  <si>
    <t>VinylMusicPlayer-VinylMusicPlayer-784</t>
  </si>
  <si>
    <t>Crashes every time</t>
  </si>
  <si>
    <t>**Describe the bug**
App crashes whenever new song is clicked on from the library to play.
Also, Java null pointer exception is shown for every song when reloading the library.
Most of my songs are opus files, maybe that plays role
Steps to reproduce the behavior:
1. Open Vinyl
2. Click any song in the library
3. App crashes
clear and concise description of what you expected to happen.
Please complete the following information. Or if you get directed here from the app, you can paste the collected
Vinyl Music Player Version:
Add any other context about the problem here.
If applicable, add screenshots to help explain your problem.
App version: 1.5.3
App version code: 182
Android build version: 33.0210.0210.314
Android release version: 13
Android SDK version: 33
Android build ID: release-keys
Device brand: asus</t>
  </si>
  <si>
    <t>PojavLauncherTeam-PojavLauncher-4724</t>
  </si>
  <si>
    <t>[BUG] Any modpack with Sodium in it crashes with GL4ES renderer</t>
  </si>
  <si>
    <t>### Describe the bug
Every time when you try to join world or server on profile with Sodium with GL4ES renderer, the game crashes while trying to join the world server.
### The log file and images videos
### Steps To Reproduce
1. Install new modpack with Sodium in it or make new profile with Sodium mod.
2. Launch the game with just created profile and GL4ES renderer.
3. When the game has launched, join any world or server.
### Expected Behavior
The player should be moved to the world server.
Device model: Redmi Note 10 Pro 128 GB
CPU architecture: unknown
Android version: 12 SKQ1.210908.001
PojavLauncher version: latest Google Play Store release openjdk)
### Anything else?</t>
  </si>
  <si>
    <t>2023-10-10</t>
  </si>
  <si>
    <t>VinylMusicPlayer-VinylMusicPlayer-782</t>
  </si>
  <si>
    <t>Crash on SD access wizard</t>
  </si>
  <si>
    <t>Fresh install. Try to delete travk, which pops up the SD card access that explains the process you need to choose folder containing your music, not the root folder... ). Then crash with following stacktrace:
App version: 1.5.2-cont-integ 77b9cbdf 230725-1257 CI
App version code: 181
Android build version: 80b935b9cc
Android release version: 13
Android SDK version: 33
Android build ID: lineage enchilada-userdebug 13 TQ3A.230901.001 80b935b9cc
Device brand: OnePlus
Device manufacturer: OnePlus
Device name: OnePlus6
Device model: ONEPLUS A6003
Device product name: OnePlus6
Device hardware name: qcom
ABIs (32bit): armeabi-v7a, armeabi
ABIs (64bit): arm64-v8a
... 13 more</t>
  </si>
  <si>
    <t>2023-10-09</t>
  </si>
  <si>
    <t>PojavLauncherTeam-PojavLauncher-4722</t>
  </si>
  <si>
    <t xml:space="preserve">Crash on Rlcraft </t>
  </si>
  <si>
    <t>### Describe the bug
Using latest pojavlauncher make Rlcraft crash try old version of pojavlauncher it working why after update the pojavlauncher so many things not working anymore
### The log file and images videos
### Steps To Reproduce
1. Starting pojavlauncher
2. Create world
3. Crash on sec play
### Expected Behavior
Using latest pojavlauncher crash
Old pojavlauncher working fine
Device model: umidigi bison
CPU architecture: 64
Android version: 10
PojavLauncher version: latest GitHub
### Anything else?
After try some mod on update for months many mods are not working anymore plss fix</t>
  </si>
  <si>
    <t>TeamNewPipe-NewPipe-10482</t>
  </si>
  <si>
    <t>Fix crash with disabled thumbnails when trying to play a stream</t>
  </si>
  <si>
    <t>#### What is it?
Bugfix (user facing)
Feature (user facing)
Codebase improvement (dev facing)
Meta improvement to the project (dev facing)
#### Description of the changes in your PR
Fix caused by nullable thumbnail URL String being parsed by URI.parse(). This regression was introduced in #10062 and reported in https: github.com TeamNewPipe NewPipe issues It occurred when disabling thumbnails and loading stream.
User Action: ui error
Request: ACRA report
Content Country: US
Content Language: en-US
App Language: en US
OS: Linux Android 12 31
log b&gt;&lt; summary&gt;&lt;p&gt;
Caused by: exceptions occurred.
Caused by: Multiple exceptions (2)
#### Fixes the following issue(s)
Fixes report from https: github.com TeamNewPipe NewPipe issues
#### APK testing
&lt;!-- Use new, meaningfully named branch. The name is used as suffix for the app ID to allow installing and testing multiple versions of NewPipe, e.g. commentfix if your PR implements bugfix for comments. (No names like patch-0 and feature-1 .) --&gt;</t>
  </si>
  <si>
    <t>SOFTENG310-VicRoy-310-RondayView-110</t>
  </si>
  <si>
    <t>App crashes when tapping on an event card in home fragment</t>
  </si>
  <si>
    <t>**Describe the bug**
App crashes when tapping on an event card in home fragment because the fragment manager was not initialised.
Steps to reproduce the behavior:
1. Go to home fragment
2. Click on an event card
3. App crashes
Should navigate to detail page of the event</t>
  </si>
  <si>
    <t>PojavLauncherTeam-PojavLauncher-4721</t>
  </si>
  <si>
    <t xml:space="preserve">[BUG] Sodium crash in 1.20.1 0.5.0+ versions not sported </t>
  </si>
  <si>
    <t>### Describe the bug
Pls fix sodium crash in the 0.5.0+ sodium versions is really help comunity
### The log file and images videos
### Steps To Reproduce
### Expected Behavior
want play sodium in 1.20.2
### Anything else?
So pls fix that</t>
  </si>
  <si>
    <t>2023-10-08</t>
  </si>
  <si>
    <t>PojavLauncherTeam-PojavLauncher-4714</t>
  </si>
  <si>
    <t xml:space="preserve">[BUG] Pojavlauncher is getting crashed after installing distant horizons mod </t>
  </si>
  <si>
    <t>### Describe the bug
### The log file and images videos
### Steps To Reproduce
### Expected Behavior
### Anything else?</t>
  </si>
  <si>
    <t>PojavLauncherTeam-PojavLauncher-4712</t>
  </si>
  <si>
    <t>[BUG] crashing on hypixel with mods</t>
  </si>
  <si>
    <t>### Describe the bug
Before adding essential and patcher the game was crashing too but it now more frequent and says that there was an error with error code -1 where earlier it was just crashing without any notification.
### The log file and images videos
### Steps To Reproduce
1. Start pojav
2. Load up your minecraft forge 1.8.9 with: optifine, essential, neu and patcher
3. go play some skyblock
4. crash after few minutes
5. get an error code -1
### Expected Behavior
Device model: Mi 12 lite 128GB
CPU architecture: aarch64
Android version: 12
PojavLauncher version: Latest release from google play
### Anything else?</t>
  </si>
  <si>
    <t>2023-10-07</t>
  </si>
  <si>
    <t>PojavLauncherTeam-PojavLauncher-4709</t>
  </si>
  <si>
    <t>[BUG] Sodium(Fabric) and Rubidium(Forge) Kept crashing while joining a world or server</t>
  </si>
  <si>
    <t>### Describe the bug
Sodium and Rubidium mod client kept crashing the game while joining world
### The log file and images videos
can capture the screen because it kept crashing
### Steps To Reproduce
1. Start pojavlauncher while having using Sodium with Fabric OR Rubidium with Forge
2. Create world or join world
3. It crash because of Sodium Rubidium Client Maybe because of the renderer?!?!
### Expected Behavior
expected to not crash the game and continue like normal
Device model: Samsung A03s
CPU architecture: Don know what this is
Android version: 13
PojavLauncher version: Latest Or the game version: 1.19.2 Forge latest (43.3.0 recommended)
### Anything else?</t>
  </si>
  <si>
    <t>AndroidIDEOfficial-AndroidIDE-1370</t>
  </si>
  <si>
    <t xml:space="preserve">[Bug]: .java file Crash  </t>
  </si>
  <si>
    <t>### What happened?
MainActvity.java file does not work. All codes have red underline.
### What the expected behavior?
### What version of AndroidIDE you re using?
v2.5.3 (debug builds)
### Relevant log output
AndroidIDE crash report
SDK version: 31
### Duplicate issues
This issue has not been reported yet.
### Code of Conduct
agree to follow this project Code of Conduct</t>
  </si>
  <si>
    <t>nextcloud-android-12004</t>
  </si>
  <si>
    <t>Crash when navigating to upload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</si>
  <si>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Upload file to directory via sharing (so go to an app, share something, select nexcloud, navigate to the directory, tap upload)
2. Remove the directory from the server (possibly the parent directory too)
3. Share file again to nextcloud
4. Now the removed directory is shown as the default location
5. Navigate to the parent directory
6. Get the crash
### Expected behaviour
Get to the root directory or some existing path instead of crashing.
### Actual behaviour
### Android version
13 and 14
### Device brand and model
### Stock or custom OS?
### Nextcloud android app version</t>
  </si>
  <si>
    <t>2023-10-06</t>
  </si>
  <si>
    <t>PojavLauncherTeam-PojavLauncher-4700</t>
  </si>
  <si>
    <t>sodium mod crashes</t>
  </si>
  <si>
    <t>### Describe the bug
the devs of sodium also know pojavlauncher exists and they also warn you at the start that the mod might crash or not work properly, after that when you turn off all the optimization, it crashes, and even with the optimizations turned on it crashes too.
theres something about the rendering or something idk but sodium just no longer works after the 1.20 update
### The log file and images videos
lost the latest log file cause started playing with optifine
### Steps To Reproduce
open the game with fabric and sodium mod, change settings and no matter how many settings tried, it just crashes
### Expected Behavior
The game does launch but the worlds aren playable
Device model: samsung m20
CPU architecture: unknown
Android version: 10
PojavLauncher version: Version openjdk
### Anything else?
have no more to say but the only thing know is, Sodium gives you warning that it will crash on pojavlauncher and it does crash no matter whatever setting choose</t>
  </si>
  <si>
    <t>Anuken-Mindustry-9139</t>
  </si>
  <si>
    <t>very quickly Clicking the show all servers button results in a crash</t>
  </si>
  <si>
    <t>Very rapidly clicking the show all servers button crashes the game, causing it to exit
### Steps to reproduce
Go to join game, click the show all servers button very quickly (about 2-5 times second)
### Mods used
### Save file
### (Crash) logs
have updated to the latest release (https: github.com Anuken Mindustry releases) to make sure my issue has not been fixed.
have searched the closed and open issues to make sure that this problem has not already been reported.</t>
  </si>
  <si>
    <t>2023-10-05</t>
  </si>
  <si>
    <t>PojavLauncherTeam-PojavLauncher-4697</t>
  </si>
  <si>
    <t>[BUG] &lt;crash using sodium&gt;</t>
  </si>
  <si>
    <t>### Describe the bug
My game crash when using sodium on mod pack called fabulously optimized
Information of the modpack will leave at the platform section.
### The log file and images videos
The log file is extremely long so paste here the log lines stared when start to join the world.
ing essential and or &lt;1.13?Thread Render thread,10,main No context is current or function that is not available in the current context was called. Are you running essential and or &lt;1.13?Thread Render thread,10,main No context is current or function that is not available in the current context was called. Are you running essential and or &lt;1.13?Thread Render thread,10,main No context is current or function that is not available in the current context was called. Are you running essential and or &lt;1.13?Thread Render thread,10,main No context is current or function that is not available in the current context was called. Are you running essential and or &lt;1.13?version string: 330 coreERROR: 0:25: switch Reserved word.
INTERNAL ERROR: no main() function!
version string: 330 coreScanning with template const float FOG SHAPE SPHERICAL %f
Scanning with template const float FOG SHAPE CYLINDRICAL %f
INTERNAL ERROR: no main() function!
INTERNAL ERROR: no main() function!
---- Minecraft Crash Report ----
Why did you do that?
detailed walkthrough of the error, its code path and all known details is as follows:
-- Head --
Mixins in Stacktrace:
dynamic (dynamic fps.mixins.json)
-- Affected level --
All players: total class 746 sustyler128 101, ClientLevel -28.50, 54.00, -76.50
Chunk stats: 256, 45</t>
  </si>
  <si>
    <t>Catfriend1-syncthing-android-1014</t>
  </si>
  <si>
    <t>Input validation for the number of minutes</t>
  </si>
  <si>
    <t>### Description of the issue
The sync cycle setting allows for minutes, then the app crashes on launch.
FATAL EXCEPTION: main
Caused by: For input string:
### Version Information
1.23.6.0 from F-droid</t>
  </si>
  <si>
    <t>0XDE57-SpaceProject-44</t>
  </si>
  <si>
    <t>occasional box2d crash on create body: com.badlogic.gdx.physics.box2d.World.jniCreateBody()</t>
  </si>
  <si>
    <t>Current thread JavaThread main thread in native, id 77910,
Native frames: (J compiled Java code, interpreted, Vv VM code, native code)</t>
  </si>
  <si>
    <t>PojavLauncherTeam-PojavLauncher-4686</t>
  </si>
  <si>
    <t>Crash with Rl craft</t>
  </si>
  <si>
    <t>### Describe the bug
downloaded the rl craft 2.9.3 from create modpack profile option and it starts properly and opens till menu but after create new world or open any world as it was about to to open it starts crashing and says shutting down internal server and games simple crashes
### The log file and images videos
### Steps To Reproduce
Download Rl craft 2.9.3
And create new world
### Expected Behavior
The game should not crash after creating world
Device model: RMX3241
CPU architecture: aarch64
Android version: 13
PojavLauncher version: openjdk
### Anything else?
tried with both holy gles and zink renderer it crash always and Before this update the games works fine</t>
  </si>
  <si>
    <t>RosettaDrone-rosettadrone-185</t>
  </si>
  <si>
    <t>Crash at Runtime: Failed resolution of: Ldji/keysdk/callback/KeyListener</t>
  </si>
  <si>
    <t>### Describe the bug
have implemented the keys.xml file in the values folder and the app successfully builds. However, it crashes instantly on my phone and get the following error message. Any reason why?
**Caused by: Didn find class on path: DexPathList zip file data app mTSLaLEMvK7H rpR0tOnlA base.apk data app mTSLaLEMvK7H rpR0tOnlA lib arm64, data app mTSLaLEMvK7H rpR0tOnlA base.apk! lib arm64-v8a, system lib64, system system ext lib64
### Steps To Reproduce
Screenshot 2023-10-04 193115 (https: github.com RosettaDrone rosettadrone assets 77417229
### Drone Model
### Smartphone Model
Android version: 13
### Additional context</t>
  </si>
  <si>
    <t>PojavLauncherTeam-PojavLauncher-4685</t>
  </si>
  <si>
    <t>Having a problem with forge 1.20.1</t>
  </si>
  <si>
    <t>### Describe the bug
Ever time install forge 1.20.1 the game crash on loading screen and gives me game exited with code (vanilla 1.20.1 works fine)
### The log file and images videos
### Steps To Reproduce
2.choose 1.20.1 forge
### Expected Behavior
Expected the game to launch normally
Device model: realme pro 8g
Android version: 11
PojavLauncher version: edelweiss
### Anything else?</t>
  </si>
  <si>
    <t>2023-10-04</t>
  </si>
  <si>
    <t>jMonkeyEngine-jmonkeyengine-2078</t>
  </si>
  <si>
    <t>IllegalArgumentException in Camera.setFov()</t>
  </si>
  <si>
    <t>crash that easy to reproduce using FlyByCamera on non-perspective camera in JMonkeyEngine v3.6.1-stable:
An easy fix would be for FlyByCamera to zoom only when the camera is in perspective mode. Another approach would be to implement zoom differently when the camera is in orthogonal mode.</t>
  </si>
  <si>
    <t>dotintent-react-native-ble-plx-1103</t>
  </si>
  <si>
    <t xml:space="preserve">🐛 Android crashes on bluetooth device disconnect </t>
  </si>
  <si>
    <t>checked the documentation and FAQ without finding solution
checked to make sure that this issue has not already been filed
### Expected Behavior
### Current Behavior
### Library version
### Environment info
### Steps to reproduce
1. connect to device
2. disconnect(i just shut down the power on the Bluetooth device)
Screenshot 2023-10-03 at 11 23 52 AM (https: github.com dotintent assets 1450431
Screenshot 2023-10-03 at 11 24 23 AM (https: github.com dotintent assets 1450431
### Formatted code sample or link to repository
sorry let me know if you really need that but think the stack trace should be good nuff right?
### Relevant log output
### Additional information</t>
  </si>
  <si>
    <t>2023-10-03</t>
  </si>
  <si>
    <t>PojavLauncherTeam-PojavLauncher-4677</t>
  </si>
  <si>
    <t>[BUG] Crash on immersive portals and optifabric</t>
  </si>
  <si>
    <t>### Describe the bug
So my phone only supports zink to run immersive portals and its bit laggy without any performance mods so put optifabric (because sodium sucks on pojav) and optifine is better for me and in the first few seconds it crashee
### The log file and images videos
Here is my log file. (https: github.com PojavLauncherTeam PojavLauncher files 12795025 latestlog-1.txt)
### Steps To Reproduce
1- start pojav
2- install optifabric and immersive portals (i also installed optifine for optifabric to work)
3- launch fabric
### Expected Behavior
expected the game to open
Device model: Techno Spark pro
CPU architecture: 64 bit
Android version: 11
PojavLauncher version: latest
### Anything else?
Nothing just need prefirmance mods bc my phone sucks with vanilla minecraft no optifine.</t>
  </si>
  <si>
    <t>PojavLauncherTeam-PojavLauncher-4672</t>
  </si>
  <si>
    <t>[BUG] Optifine crash</t>
  </si>
  <si>
    <t>### Describe the bug
as play suvival on optifine it randomly crashes
### The log file and images videos
### Steps To Reproduce
open survival world in optifine on chromebook
### Expected Behavior
not sure about these
### Anything else?</t>
  </si>
  <si>
    <t>jellyfin-jellyfin-androidtv-3096</t>
  </si>
  <si>
    <t>[Beta 0.16.0] Crash while clearing music queue</t>
  </si>
  <si>
    <t>### Describe the bug
As title says, crash while clearing music queue
Music still plays when you back out the app into the android launcher. Is there going to be stop button that clears the music, like it was never playing?
### App information
***App version***: 0.16.0-beta.4 160004
### Device information
***Android version***: 11
***Device brand***: NVIDIA
***Device product***: sif
***Device model***: SHIELD Android TV
### Application version
### Where did you install the app from?
### Device information
### Android version
### Jellyfin server version</t>
  </si>
  <si>
    <t>aws-aws-iot-device-sdk-java-v2-480</t>
  </si>
  <si>
    <t>latest android sample broken</t>
  </si>
  <si>
    <t>### Describe the bug
these lines, are missing slash after the second .. .. thus causing class loader failure.
https: github.com aws blob main samples Android app src main java software amazon awssdk iotsamples
when exists, the classloader will cause an exception. this line could be changed to something like:
val sampleClass try catch(e:Exception) null and the end of next if block should have return between line 120 and 121 here https: github.com aws blob main samples Android app src main java software amazon awssdk iotsamples
### Expected Behavior
it runs respect samples.
it prints the error and return.
### Current Behavior
it does not run the sample, instead it crashes.
it does not print the error. if is fixed, it would print the error, but it will continue to launch the thread with null sampleClass that unnecessary.
### Reproduction Steps
just build tne android app and run it. select sample from the drop-down selection.
### Possible Solution
see the description. specifically:
java.srcDir .. ..Utils CommandLineUtils
java.srcDir .. ..BasicPubSub src main java
java.srcDir .. ..Jobs src main java
java.srcDir .. ..Shadow src main java
java.srcDir .. ..CognitoConnect src main java</t>
  </si>
  <si>
    <t>DevEmperor-WristAssist-5</t>
  </si>
  <si>
    <t>There is a bug in the TTS function module.</t>
  </si>
  <si>
    <t>There is bug in the TTS function module. The answer can only read the sentence before the punctuation mark, and sometimes it will crash. Also, can you add voice conversation function?</t>
  </si>
  <si>
    <t>PojavLauncherTeam-PojavLauncher-4669</t>
  </si>
  <si>
    <t>Rise Cracked not working</t>
  </si>
  <si>
    <t>### Describe the bug
Crashes when enter in game
### The log file and images videos
### Steps To Reproduce
1. Start rise cracked
2. Get in single player world
### Expected Behavior
expected rise to crash.
Device model: pixel
CPU architecture: arm64-v8a armeabi-v7a armeabi
Android version: 13
PojavLauncher version: latest
### Anything else?</t>
  </si>
  <si>
    <t>2023-10-02</t>
  </si>
  <si>
    <t>Anuken-Mindustry-9128</t>
  </si>
  <si>
    <t>Android TV Buttons don't working.</t>
  </si>
  <si>
    <t>Release Build 146, Itch.io Android.
When playing Mindustry through an Android TV, the game runs perfectly and loads perfectly but the buttons do not react in any way.
### Steps to reproduce
Just download and open the game from an Android TV.
### Mods used
### Save file
### (Crash) logs
cannot send crash log if cannot touch any button in the game.
have updated to the latest release (https: github.com Anuken Mindustry releases) to make sure my issue has not been fixed.
have searched the closed and open issues to make sure that this problem has not already been reported.</t>
  </si>
  <si>
    <t>2023-10-01</t>
  </si>
  <si>
    <t>PojavLauncherTeam-PojavLauncher-4665</t>
  </si>
  <si>
    <t>[BUG] Forge 1.5.2/1.6.4 not launching/crashing before startup</t>
  </si>
  <si>
    <t>### Describe the bug
Whenever try to launch forge on version 1.6.4 or 1.5.2 it crashes.
### The log file and images videos
### Steps To Reproduce
1. Start Pojavlauncher
2. add new version profile
3. add forge profile
4. add forge 1.5.2 (latest version)
5. launch forge 1.5.2
(Same issue on 1.6.4 forge)
### Expected Behavior
Forge 1.5.2 launches and is playable
Device model: Oppo A77 (CPH2339)
CPU architecture: Dimensity 810 Octa Core
Android version: 13
PojavLauncher version: Edelweiss Release (Google Play version)
### Anything else?</t>
  </si>
  <si>
    <t>PojavLauncherTeam-PojavLauncher-4662</t>
  </si>
  <si>
    <t>[BUG] 1.20.1 Forge Crash by unsupported jave to mod</t>
  </si>
  <si>
    <t>### Describe the bug
when you install mod call solar flux reborn
check curseforge info it has problem if you use java 17 it will crash instantly but need to play it did you have solutions or way to fix it
### The log file and images videos
### Steps To Reproduce
Install mod solar flux reborn
Use java 17
Then crash on launch
### Expected Behavior
Game launch normaly with mod installed
Device model: Redmi Note 10 128G
CPU architecture: Arm64-v8a armabi armabi-v7a
Android version: 12
PojavLauncher version: edelweiss 20232908
Rom: Mi 14.0.3
### Anything else?</t>
  </si>
  <si>
    <t>FCL-Team-FoldCraftLauncher-128</t>
  </si>
  <si>
    <t>Forge 1.20.1 failed to launch if has mods</t>
  </si>
  <si>
    <t>### Launcher Version
### Device Information
Redmi Note 10 Android 12 arm64-v8a
### Problem Description
When launch if with mod it will crash
What mod cause it
### Game Version
### Modifications Made to the Game
Forge 42.2.2 Optfine HD I5
### Game Crash Report
### Launcher Crash Report
### Launcher Log File</t>
  </si>
  <si>
    <t>PojavLauncherTeam-PojavLauncher-4661</t>
  </si>
  <si>
    <t>Lunar client crash....</t>
  </si>
  <si>
    <t>### Describe the bug
just run 1.8.9 and crash tried and 17 java and crash like Let fix this
### The log file and images videos
### Steps To Reproduce
launch the Lunar client and after second it crashes
### Expected Behavior
teclast t40 pro:
Latest beta from github
### Anything else?</t>
  </si>
  <si>
    <t>2023-09-30</t>
  </si>
  <si>
    <t>PojavLauncherTeam-PojavLauncher-4660</t>
  </si>
  <si>
    <t>[BUG] &lt;application/game exited with code 1, check latestlog.txt for more details. &gt;</t>
  </si>
  <si>
    <t>### Describe the bug
application game exited with code 1, check latestlog.txt for more details.
### The log file and images videos
--------- beginning with launcher debug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t>
  </si>
  <si>
    <t>chathuranga-jayanath-99-GPATracker-41</t>
  </si>
  <si>
    <t>Crash when adding a new semester module</t>
  </si>
  <si>
    <t>When semester module is added with no result, the app tries to generate the semester GPA. To calculate the semester GPA, each semester module result has to be compared. Since it is null, the app crashes.</t>
  </si>
  <si>
    <t>PojavLauncherTeam-PojavLauncher-4657</t>
  </si>
  <si>
    <t>Sodium crash on new update</t>
  </si>
  <si>
    <t>### Describe the bug
join some server with sodium and 20-30 minit my game crash on latest update
### The log file and images videos
### Steps To Reproduce
Plzz reply me
### Expected Behavior
Device model:poco c3
PojavLauncher version: new version
### Anything else?</t>
  </si>
  <si>
    <t>AndroidIDEOfficial-AndroidIDE-1351</t>
  </si>
  <si>
    <t xml:space="preserve">[Bug]: I opened the application and gave this error and said it was to report here! </t>
  </si>
  <si>
    <t>### What happened?
AndroidIDE crash report
SDK version: 33
Caused by: data arm64-v8a bootstrap.zip
Caused by: data arm64-v8a bootstrap.zip
### What the expected behavior?
Install the sdk
### What version of AndroidIDE you re using?
v2.5.3 (debug builds)
### Relevant log output
### Duplicate issues
This issue has not been reported yet.
### Code of Conduct
agree to follow this project Code of Conduct</t>
  </si>
  <si>
    <t>2023-09-29</t>
  </si>
  <si>
    <t>AndroidIDEOfficial-AndroidIDE-1350</t>
  </si>
  <si>
    <t>[Bug]: Crased</t>
  </si>
  <si>
    <t>### What happened?
AndroidIDE crash report
SDK version: 31
### What the expected behavior?
AndroidIDE crash report
SDK version: 31
### What version of AndroidIDE you re using?
### Relevant log output
### Duplicate issues
This issue has not been reported yet.
### Code of Conduct
agree to follow this project Code of Conduct</t>
  </si>
  <si>
    <t>PojavLauncherTeam-PojavLauncher-4656</t>
  </si>
  <si>
    <t>[BUG] &lt;Game crash when press start in the launcher&gt;</t>
  </si>
  <si>
    <t>### Describe the bug
Game exited with code -1
### The log file and images videos
latestlog 2.txt (https: github.com PojavLauncherTeam PojavLauncher files 12769277 latestlog.2.txt)
### Steps To Reproduce
1. Open SideStore
2. Enable JIT
3. Start pojav
4. press start button in launcher
### Expected Behavior
expect the game to launch
Device model: IPad Air
CPU architecture: A14 bionic
IOS version: 16
PojavLauncher version: 2.2
### Anything else?</t>
  </si>
  <si>
    <t>OpenTracksApp-OpenTracks-1711</t>
  </si>
  <si>
    <t>App crash in track selection mode</t>
  </si>
  <si>
    <t>**Describe the bug**
App crashes when long pressing second track in selection mode
1. Long press one track to enable selection mode
2. Long press any other track
3. App crashes
### App information
Version: 5399 v4.8.4
### Device information
### Cause of error
Exception in thread main Attempt to invoke virtual method long on null object reference</t>
  </si>
  <si>
    <t>2023-09-28</t>
  </si>
  <si>
    <t>Anuken-Mindustry-9101</t>
  </si>
  <si>
    <t>Mindustry on arm64 machines</t>
  </si>
  <si>
    <t>Assuming you have linux arm64 (idk if this accounts for 32 as well) machine you wont be able to run the game
### Steps to reproduce
Any arm64 linux machine eg switch.
Try to run it it will crash
### Mods used
### Save file
### (Crash) logs
have updated to the latest release (https: github.com Anuken Mindustry releases) to make sure my issue has not been fixed.
have searched the closed and open issues to make sure that this problem has not already been reported.</t>
  </si>
  <si>
    <t>2023-09-27</t>
  </si>
  <si>
    <t>LawnchairLauncher-lawnchair-3635</t>
  </si>
  <si>
    <t>### Describe the bug
Lawnchair crashes when swiping up for task switcher
### Steps to reproduce
Swipe up for task switcher
### Expected behavior
Open task switcher
### Device information
### Additional context</t>
  </si>
  <si>
    <t>SOFTENG310-VicRoy-310-RondayView-98</t>
  </si>
  <si>
    <t>[BUG]clicking event to open detailed page crashes app</t>
  </si>
  <si>
    <t>**Describe the bug**
clicking event to open detailed page crashes app
Steps to reproduce the behavior:
1.click on event image
4. See error
detailed page fragment should open up</t>
  </si>
  <si>
    <t>MuntashirAkon-AppManager-1203</t>
  </si>
  <si>
    <t>Click on any app , make appmanager crash</t>
  </si>
  <si>
    <t>### Please check before submitting an issue
know what my device, OS and App Manager versions are
know how to take logs
know how to reproduce the issue which may not be specific to my device
### Describe the bug
Just click on any app in the list
### To Reproduce
Just click on any app in the list
### Expected behavior
Caused by: Cannot create an instance of class
App version: 3.1.2
App version code: 425
Android build version: V14.0.12.0.TMTMIXM
Android release version: 13
Android SDK version: 33
Android build ID: TKQ1.221114.001 test-keys
Device brand: Redmi
Device manufacturer: Xiaomi
Device name: tapas
Device model: 23021RAAEG</t>
  </si>
  <si>
    <t>2023-09-26</t>
  </si>
  <si>
    <t>jellyfin-jellyfin-androidtv-3075</t>
  </si>
  <si>
    <t>Freezes/Crashes on Nvidia Sheild if Screen Saver goes active and you exit screen saver back into app</t>
  </si>
  <si>
    <t>### Describe the bug
Let screen saver go active when using on Nvidia shield. This is during playback and you pause it.
just started using jellyfin yesterday so not sure which of the three logs has the crashes. think it happened twice last night.
### Application version
### Where did you install the app from?
### Device information
Nvidia Shield Pro 2019
### Android version
Android TV 11
### Jellyfin server version</t>
  </si>
  <si>
    <t>2023-09-25</t>
  </si>
  <si>
    <t>Anuken-Mindustry-9092</t>
  </si>
  <si>
    <t>Surge metal inefficiency</t>
  </si>
  <si>
    <t>7.0 Build 146
When surge smelter is full with twenty of each resource that is required, it output of surge metal per second drops drastically, from the usual .8 per second to around .2 or .3 per second.
### Steps to reproduce
had created surge metal factory with surge smelters lined up, with resources going into each one. started it up and it worked as planned to begin with, but as surplus copper, lead, titanium, and silicon piled up the smelter efficiency dropped severely. To reproduce, place surge smelter and then supply it with more resources than needed.
### Mods used
### Save file
### (Crash) logs
No crash occurred.
have updated to the latest release (https: github.com Anuken Mindustry releases) to make sure my issue has not been fixed.
have searched the closed and open issues to make sure that this problem has not already been reported.</t>
  </si>
  <si>
    <t>2023-09-24</t>
  </si>
  <si>
    <t>Sesu8642-FeudalTactics-65</t>
  </si>
  <si>
    <t>ConcurrentModificationException Crash</t>
  </si>
  <si>
    <t>received several crash reports caused by this exception:
It seems to be happening during the but turn after the game starts. Relevant log line:</t>
  </si>
  <si>
    <t>PojavLauncherTeam-PojavLauncher-4633</t>
  </si>
  <si>
    <t>[BUG] Crashes with 1.20.2</t>
  </si>
  <si>
    <t>### Describe the bug
The game doesn launch and just exists with code -1 my phone is POCO F5 the 12 gb variant any way could fix the issue? Or is it bug?
### The log file and images videos
### Steps To Reproduce
Press play with 1.20.2 profile selected
### Expected Behavior
The game is supposed start up but the mojang logo doesnt even show up and crashes.
Device model: POCO F5 12GB RAM
CPU architecture: ARM64
Android version: MIUI 14.0.7
PojavLauncher version: openjdk
### Anything else?
The game was also very unstable on 1.8.9 with optifine and kept crashing</t>
  </si>
  <si>
    <t>PojavLauncherTeam-PojavLauncher-4630</t>
  </si>
  <si>
    <t>[BUG] when i use modpack profile and try to create a world or join a world it crashes</t>
  </si>
  <si>
    <t>### Describe the bug
application exited with code
dont know why it happens everytime try
### The log file and images videos
Latest log is here
Latest log.txt (https: cdn.discordapp.com attachments 1155042331167313931 1155521423301951548 latestlog.txt)
### Steps To Reproduce
join world or join server
### Expected Behavior
When try to join world or server
Device model: iqoo z5
CPU architecture: aarch64
Android version: 13
PojavLauncher version: 1.20.1
### Anything else?</t>
  </si>
  <si>
    <t>PojavLauncherTeam-PojavLauncher-4629</t>
  </si>
  <si>
    <t>Minecraft 1.20.2 crash</t>
  </si>
  <si>
    <t>### Describe the bug
when start Minecraft Version 1.20.2 crash
### The log file and images videos
--------- beginning with launcher debug
Added custom env: TMPDIR data user net.kdt.pojavlaunch cache
Added custom env: AWTSTUB WIDTH 2320
Added custom env: FORCE VSYNC false
Added custom env: POJAV NATIVEDIR data app tu5zBPEBEXw yg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Internal-17 lib jli: data user net.kdt.pojavlaunch runtimes Internal-17 lib: system lib64: vendor lib64: vendor lib64 hw: data app tu5zBPEBEXw yg lib arm64
Added custom env: POJAV RENDERER opengles3 desktopgl angle vulkan
Added custom env: LIBGL ES
Added custom env: VTEST SOCKET NAME data user net.kdt.pojavlaunch cache .virgl test</t>
  </si>
  <si>
    <t>MuntashirAkon-AppManager-1202</t>
  </si>
  <si>
    <t>Code editor crashed and failed to open the file</t>
  </si>
  <si>
    <t>### Please check before submitting an issue
know what my device, OS and App Manager versions are
know how to take logs
know how to reproduce the issue which may not be specific to my device
### Describe the bug
1st my system crashed due to some other reason then followed by AM code editor crash when opened from device recents. was editing file using AM code editor.
### To Reproduce
### Expected behavior
### Device info
App version: 4.0.0-alpha02
App version code: 435
Android build version: 8049b-fa5cf
Android release version: 12
Android SDK version: 31
Android build ID: S2RUBS32.51-15-9-7
Device brand: motorola
Device manufacturer: motorola
Device name: corfur
Device model: moto g71 5G
Device product name: corfur</t>
  </si>
  <si>
    <t>commons-app-apps-android-commons-5303</t>
  </si>
  <si>
    <t>[Bug]: App crashes when trying to sign up on lowest supported api 21.</t>
  </si>
  <si>
    <t>Need to update downgrade google materials library version. am supposing downgrading won be an option here, so for upgrading need to update jdk version to at least 17.
### Steps to reproduce
Try to Sign up on fresh app install.
The app will crash.
### Expected behaviour
App should not crash
### Actual behaviour
App crashes when trying to open webview.
### Device name
### Android version
### Commons app version
### Device logs
### Would you like to work on the issue?</t>
  </si>
  <si>
    <t>PojavLauncherTeam-PojavLauncher-4619</t>
  </si>
  <si>
    <t>[BUG] Crash when loading a world with immersive portals</t>
  </si>
  <si>
    <t>### Describe the bug
loaded world with the immersive portals mod then it crashes with out an error code
### The log file and images videos
### Steps To Reproduce
1. Start pojav launcher
2. install immersive portals and fabric api
3. launch world
4. it crashes
### Expected Behavior
thought that the world would launch
Device model: Techno Spark Pro
CPU architecture: All 64 architectures
Android version: 11
PojavLauncher version: latest
### Anything else?
Pretty much nothing else.</t>
  </si>
  <si>
    <t>2023-09-22</t>
  </si>
  <si>
    <t>Anuken-Mindustry-9075</t>
  </si>
  <si>
    <t>[BUG] Crash</t>
  </si>
  <si>
    <t>Crash on use block from mode.
### Steps to reproduce
1. Place Pressure Boilder
3. Catch crash
### Mods used
### Save file
### (Crash) logs
have updated to the latest release (https: github.com Anuken Mindustry releases) to make sure my issue has not been fixed.
have searched the closed and open issues to make sure that this problem has not already been reported.</t>
  </si>
  <si>
    <t>2023-09-19</t>
  </si>
  <si>
    <t>jellyfin-jellyfin-androidtv-3056</t>
  </si>
  <si>
    <t>Fix crash during media stream resolving for corrupt files</t>
  </si>
  <si>
    <t>Fix crash during media stream resolving for corrupt files
Server returning 500 is not great though
&lt;!-- Tag any issues that this PR solves here.
ex. Fixes --&gt;</t>
  </si>
  <si>
    <t>PhenoApps-Field-Book-735</t>
  </si>
  <si>
    <t xml:space="preserve">[BUG]: </t>
  </si>
  <si>
    <t>V5.5.13 dowloaded from APK
Uploaded field layout file attached: 2023Nursery NorthEast2.csv (https: github.com PhenoApps Field-Book files 12662702 2023Nursery NorthEast2.csv), which has some lat long coordinate data in geo coordinates column.
expect and like to see data from this column in the info bars, but instead see null geo coordinates window of the Summary tab is likewise empty. Also, If you try to view coordinates in the row names of the data grid (TBH, not sure why you would do this), the app crashes.
### Expected behavior
Allow viewer to see geo coordinates data as confidence check in both summary view and info bars.
### Field Book version</t>
  </si>
  <si>
    <t>AndroidIDEOfficial-AndroidIDE-1322</t>
  </si>
  <si>
    <t>[Bug]: app crashed if filename empty</t>
  </si>
  <si>
    <t>### What happened?
### What the expected behavior?
should show an error if filename is empty.
### What version of AndroidIDE you re using?
v2.5.2 (debug builds)
### Relevant log output
AndroidIDE crash report
SDK version: 33
### Duplicate issues
This issue has not been reported yet.
### Code of Conduct
agree to follow this project Code of Conduct</t>
  </si>
  <si>
    <t>Anuken-Mindustry-9070</t>
  </si>
  <si>
    <t>Input crash on unfocus</t>
  </si>
  <si>
    <t>Whenever unfocus the app, whether by switching or opening textbox, the game input locks up. can still see what happening, but need to reload the app to do anything.
### Steps to reproduce
tried to send chat message
### Mods used
### Save file
You can get the file of server?
### (Crash) logs
have updated to the latest release (https: github.com Anuken Mindustry releases) to make sure my issue has not been fixed.
have searched the closed and open issues to make sure that this problem has not already been reported.</t>
  </si>
  <si>
    <t>PojavLauncherTeam-PojavLauncher-4598</t>
  </si>
  <si>
    <t>i want to solve this log what is this about log</t>
  </si>
  <si>
    <t>### Describe the bug
latestlog (1).txt (https: github.com PojavLauncherTeam PojavLauncher files 12651647 latestlog.1.txt)
pls solve this log and what is this problem
### The log file and images videos
have sent the log file. am trying to play game with sodium but can play bcz this error come me.
latestlog (1).txt (https: github.com PojavLauncherTeam PojavLauncher files 12651647 latestlog.1.txt)
### Steps To Reproduce
1. start pojav launcher
2. game crashes
### Expected Behavior
expect to run the mods properly
Device model: vivo y11
CPU architecture: arm64
Android version: 11
PojavLauncher version: openjdk
### Anything else?</t>
  </si>
  <si>
    <t>2023-09-18</t>
  </si>
  <si>
    <t>Aliucord-Aliucord-383</t>
  </si>
  <si>
    <t xml:space="preserve">Cant report stuff </t>
  </si>
  <si>
    <t>### Discord Account
### What happens when the bug or crash occurs?
When you click the report button it just goes back to the chat and doesn show anything for reporting stuff
### What is the expected behaviour?
Should display all the buttons can report stuff for
### How do you recreate this bug or crash?
1. Press and hold message
2. Click report
(And it doesn show anything for reporting stuff).
Replace this text with your crash-log.
### Request Agreement
did indeed check to make sure the bug or crash report is applicable!</t>
  </si>
  <si>
    <t>FCL-Team-FoldCraftLauncher-118</t>
  </si>
  <si>
    <t>Crashing after creating a world with fabric</t>
  </si>
  <si>
    <t>### Launcher Version
### Device Information
### Problem Description
can start Minecraft with Fabric normally (with mods), but when create or enter world, my game crash.
Holy GL4ES (OpenGL 2.1)
### Game Version
### Modifications Made to the Game
Fabric, Sodium and other mods for Fabric.
### Game Crash Report
FCL Version: 1.0.7
Android SDK: 33
FCL Internal D: AndroidStudio FoldCraftLauncher FCLauncher src main jni fcl fcl loader.c:77
Log pipe ready.
FCL Internal D: AndroidStudio FoldCraftLauncher FCLauncher src main jni fcl fcl bridge.c:60
setFCLNativeWindow 0x715baf8010, size 1636x756
FCL Internal D: AndroidStudio FoldCraftLauncher FCLauncher src main jni fcl fcl event.c:193
Succeeded to set event pipe
Working directory: storage emulated FCL .minecraft
Minecraft argument: -Djava.awt.headless false
Minecraft argument: 1636x756</t>
  </si>
  <si>
    <t>2023-09-17</t>
  </si>
  <si>
    <t>PojavLauncherTeam-PojavLauncher-4590</t>
  </si>
  <si>
    <t>Black screen and crush after launch on old device.</t>
  </si>
  <si>
    <t>### Describe the bug
The application has terminated with code 1.
tried to run on an old device with 32-bit ARMv7 architecture with support for OpenGL ES 2.0. tried many versions of Java runtime and pojavLauncher, but did not achieve results. Which version, video acceleration and Java runtime should use?
### The log file and images videos
### Steps To Reproduce
1. Opened the application
2. installed the JVM
3. Installed 1.7.10 (same on other versions)
4. press the play button
5. Black screen and crash with error log
### Expected Behavior
starting the game
Device model: Samsung Galaxy Tab 3G
CPU architecture: 2x ARM Cortex-A9 32-bit ARMv7
Android version: 6.0.1 (Marshmallow)
PojavLauncher version: 3.3.1 (same latest)
### Anything else?
tried Java runtime 8, and 17. Does not work. Also experimented with later versions of Pojav.</t>
  </si>
  <si>
    <t>2023-09-16</t>
  </si>
  <si>
    <t>PojavLauncherTeam-PojavLauncher-4587</t>
  </si>
  <si>
    <t>[BUG] my pojav laucher crashes when i launch 1.20.1</t>
  </si>
  <si>
    <t>### Describe the bug
Application exited with code -1
### The log file and images videos
b) Add the JAR that contains the shared library to the classpath.
... 11 more
### Steps To Reproduce
1.start pojav launcher
2.launch forge or optifine 1.20.1
3.launch single player
4.wait for world to launch
5.game crashes when game launches
### Expected Behavior
expect someone will provide fix
Device model:not know
CPU architecture: not know
Android version: 12
PojavLauncher version: latest
### Anything else?</t>
  </si>
  <si>
    <t>PojavLauncherTeam-PojavLauncher-4585</t>
  </si>
  <si>
    <t>Zink render getting crash</t>
  </si>
  <si>
    <t>### Describe the bug
No error ocuur
### The log file and images videos
### Steps To Reproduce
Game get crash will starting
### Expected Behavior
don know it get crash automatically on last load generating context
Device model: oppo a15s 64Gb
CPU architecture: 64
Android version: 10
PojavLauncher version: latest GitHub Zink render uptade
### Anything else?
Plz make Zink render support my device</t>
  </si>
  <si>
    <t>2023-09-15</t>
  </si>
  <si>
    <t>chathuranga-jayanath-99-GPATracker-23</t>
  </si>
  <si>
    <t>App crash upon clicking on an account in main page</t>
  </si>
  <si>
    <t>Anuken-Mindustry-9056</t>
  </si>
  <si>
    <t>mod browsing and github search feature not working</t>
  </si>
  <si>
    <t>Release build 146
the Mod Browser and Import from github features do not work, bot dispalying an Error occured the trustanchors parameters must be non empty
here are the crash logs
Screenshot from 2023-09-14 21-52-59 (https: github.com Anuken Mindustry assets 145063624
Screenshot from 2023-09-14 21-53-07 (https: github.com Anuken Mindustry assets 145063624
Screenshot from 2023-09-14 21-53-11 (https: github.com Anuken Mindustry assets 145063624
### Steps to reproduce
have no idea, guess you have to play on linux and have your trustanchors non empty
### Mods used
no mods are used
### Save file
### (Crash) logs
have updated to the latest release (https: github.com Anuken Mindustry releases) to make sure my issue has not been fixed.
have searched the closed and open issues to make sure that this problem has not already been reported.</t>
  </si>
  <si>
    <t>2023-09-14</t>
  </si>
  <si>
    <t>wiglenet-wigle-wifi-wardriving-634</t>
  </si>
  <si>
    <t>[FIX] ISE prevention</t>
  </si>
  <si>
    <t>unclear how we get empty lat long pairs but recorded observation, but we shouldn crash because of it.
Also specifying char encoding for API GET requests (old call is deprecated)</t>
  </si>
  <si>
    <t>AndroidIDEOfficial-AndroidIDE-1315</t>
  </si>
  <si>
    <t>When i running Android ide</t>
  </si>
  <si>
    <t>### What happened?
AndroidIDE crash report
SDK version: 30
Caused by: data arm64-v8a bootstrap.zip
Caused by: data arm64-v8a bootstrap.zip
### What the expected behavior?
AndroidIDE crash report
SDK version: 30
Caused by: data arm64-v8a bootstrap.zip
Caused by: data arm64-v8a bootstrap.zip
### What version of AndroidIDE you re using?
v2.5.2 (debug builds)
### Relevant log output
AndroidIDE crash report
SDK version: 30
Caused by: data arm64-v8a bootstrap.zip
Caused by: data arm64-v8a bootstrap.zip
### Duplicate issues
This issue has not been reported yet.
### Code of Conduct</t>
  </si>
  <si>
    <t>AndroidIDEOfficial-AndroidIDE-1312</t>
  </si>
  <si>
    <t xml:space="preserve">Error al compilar desde android 10 usando vpn [Bug]: </t>
  </si>
  <si>
    <t>### What happened?
AndroidIDE crash report
SDK version: 29
### What the expected behavior?
La aplicaci se craseha
### What version of AndroidIDE you re using?
v2.5.2 (debug builds)
### Relevant log output
### Duplicate issues
This issue has not been reported yet.
### Code of Conduct
agree to follow this project Code of Conduct</t>
  </si>
  <si>
    <t>MuntashirAkon-AppManager-1176</t>
  </si>
  <si>
    <t>WakeLock under-locked</t>
  </si>
  <si>
    <t>### Please check before submitting an issue
know what my device, OS and App Manager versions are
know how to take logs
know how to reproduce the issue which may not be specific to my device
### Describe the bug
AppManager crashed while performing 1-click ops immediately after restarting the device. (1 time crash)
### To Reproduce
1. Restart the device
2. Immediately open AM 1-Click Ops Clear data from uninstall apps Trim caches in all apps
3. See error
### Expected behavior
### Device info
App version: 4.0.0-alpha01-DEBUG
App version code: 434
Android build version: 8049b-fa5cf
Android release version: 12
Android SDK version: 31
Android build ID: S2RUBS32.51-15-9-7
Device brand: motorola
Device manufacturer: motorola</t>
  </si>
  <si>
    <t>2023-09-13</t>
  </si>
  <si>
    <t>rudderlabs-rudder-sdk-android-303</t>
  </si>
  <si>
    <t>BUG : Crash on RudderContext.resetTraits() by enabling R8</t>
  </si>
  <si>
    <t>getting crash by enabling R8 and using the Rudderstack SDK. Indeed get this error:
By following the documentation, put this line:
But the crash even occurs.
using the version 1.18.1 but the crash even occurs with previous versions.
Using the AGP 8.1</t>
  </si>
  <si>
    <t>AndroidIDEOfficial-AndroidIDE-1308</t>
  </si>
  <si>
    <t>[Bug]: App doesn't work on user 10 side of android 8.1 mtk device</t>
  </si>
  <si>
    <t>### What happened?
have multiple user accounts on my device. The developer account is on user 10. Create another user by typing su pm create-user developer When open the app it gives error pasted below.
### What the expected behavior?
To create folder
### What version of AndroidIDE you re using?
v2.5.2 (debug builds)
### Relevant log output
AndroidIDE crash report
SDK version: 27
### Duplicate issues
This issue has not been reported yet.
### Code of Conduct
agree to follow this project Code of Conduct</t>
  </si>
  <si>
    <t>LSPosed-LSPosed-2754</t>
  </si>
  <si>
    <t>[Bug] starbucks App crash after install Lsposed</t>
  </si>
  <si>
    <t>### Steps to reproduce
App Lsposed app,
### Expected behaviour
### Actual behaviour
### Xposed Module List Xposed
### Magisk Module List Magisk
### LSPosed version LSPosed
### Android version Android
### Magisk version Magisk
### Riru version Riru
### Version requirement
am using latest debug CI version of LSPosed and enable verbose log CI</t>
  </si>
  <si>
    <t>PojavLauncherTeam-PojavLauncher-4580</t>
  </si>
  <si>
    <t>Pixelmon Crash Fix</t>
  </si>
  <si>
    <t>### Describe the bug
hi so downloaded pixelmon 9.1.3 on pojav in 1.16.5 forge 36.2.34 so basically the problem is my game is crashing with code-1 also used the exact same render that it needs
### The log file and images videos
### Steps To Reproduce
### Expected Behavior
did the exact same thing to download it but its crashing
Device model: oppoA15s
CPU architecture: aarch64
Android version: 10
PojavLauncher version: openjdk
### Anything else?</t>
  </si>
  <si>
    <t>pedroSG94-RootEncoder-1275</t>
  </si>
  <si>
    <t>Android 14 (API 34) Media Projection Support</t>
  </si>
  <si>
    <t>**Is your feature request related to problem? Please describe.**
Our app has begun our process to upgrade our targetSdk to API 34 (Android 14), however, when attempting to start an RTMP stream (using an RtmpDisplay via Media Projection), we get the following crash:
**Describe the solution you like**
We like to make sure the library adds the requisite callback needed to satisfy the new requirements in Android 14.
**Describe alternatives you ve considered**
If the API for RtmpDisplay allowed the caller to provide their own Media Projection instance, the responsibility to satisfy the Android 14 requirements would fall to the caller instead of the library. Our application already instantiates our own Media Projection instances for our other recording use cases, so for us, we already satisfy the Android 14 requirements.</t>
  </si>
  <si>
    <t>2023-09-12</t>
  </si>
  <si>
    <t>OneSignal-OneSignal-Android-SDK-1834</t>
  </si>
  <si>
    <t>[Bug]: NPE in showMessageView OS 5.0.1</t>
  </si>
  <si>
    <t>### What happened?
am able to init and connect to OS with the new User paradigm. After dismissing an in-app notification, get crash after 3-5 seconds with the following stacktrace:
### Steps to reproduce?
1. Update to OS 5.0.1
2. Init and Assign User
3. Add data tags to user
4. Display In-App Message
5. Dismiss message using in-message CTA.
### What did you expect to happen?
expected nothing to happen.
### OneSignal Android SDK version
### Android version
### Specific Android models
Samsung Galaxy S21U
### Relevant log output
### Code of Conduct
agree to follow this project Code of Conduct
&lt;!-- probot onesignal-probot response time in business days :1 --&gt;</t>
  </si>
  <si>
    <t>PojavLauncherTeam-PojavLauncher-4578</t>
  </si>
  <si>
    <t>After downloading jre17 app crash</t>
  </si>
  <si>
    <t>### Describe the bug
When click on pojavlauncher app it crashes
### The log file and images videos
### Steps To Reproduce
1.Click On pojav app it crash
### Expected Behavior
Its happening after downloaded jre17 runtime
Device model: realme c3
CPU architecture: aarch64
Android version: 10
PojavLauncher version: playstore latest version
### Anything else?</t>
  </si>
  <si>
    <t>LSPosed-LSPosed-2753</t>
  </si>
  <si>
    <t>[Bug] WebView crashes with Shamiko enabled</t>
  </si>
  <si>
    <t>### Steps to reproduce
Install and enable Shamiko module (whitelist mode) only.
### Expected behaviour
### Actual behaviour
WebView crashes on shown.
### Xposed Module List Xposed
### Magisk Module List Magisk
### LSPosed version LSPosed
### Android version Android
### Magisk version Magisk
### Riru version Riru
### Version requirement
am using latest debug CI version of LSPosed and enable verbose log CI
Android version: 9.0
Magisk version name: 26.3
Magisk version code: 26300
Magisk. 2.62, 2.63 tested
whitelist +webview either.
*** *** *** *** *** *** *** *** *** *** *** *** *** *** *** ***
Build fingerprint: SMARTISAN icesky msm8992 icesky msm8992:5.1.1 LMY47V 1:user release-keys</t>
  </si>
  <si>
    <t>nicolasbrailo-PianOli-65</t>
  </si>
  <si>
    <t>Crash when closing locking app while not in foreground</t>
  </si>
  <si>
    <t>Via Google Play Console. Has occurred 1000 times in the last month (most of any crashes). The title of this issue is my interpretation of the stack trace have not witnessed it myself:
Caused by Invalid task, not in foreground</t>
  </si>
  <si>
    <t>2023-09-11</t>
  </si>
  <si>
    <t>CappielloAntonio-tempo-74</t>
  </si>
  <si>
    <t>Replay gain crash</t>
  </si>
  <si>
    <t>Replay gain on auto</t>
  </si>
  <si>
    <t>2023-09-10</t>
  </si>
  <si>
    <t>Anuken-Mindustry-9043</t>
  </si>
  <si>
    <t>When entering the game sometime was spawned outside the map
Screenshot io anuke mindustry (https: github.com Anuken Mindustry assets 144585250
### Steps to reproduce
Enter to continue playing
### Mods used
### Save file
Screenshot io anuke mindustry (https: github.com Anuken Mindustry assets 144585250
### (Crash) logs
only get errors, not crashes
Screenshot io anuke mindustry (https: github.com Anuken Mindustry assets 144585250
have updated to the latest release (https: github.com Anuken Mindustry releases) to make sure my issue has not been fixed.
have searched the closed and open issues to make sure that this problem has not already been reported.</t>
  </si>
  <si>
    <t>osudroid-osu-droid-279</t>
  </si>
  <si>
    <t>Possible BASS native library crash due to reinitialization</t>
  </si>
  <si>
    <t>Ever since the 1.6.8 release, the game uses two BASS configuration presets The first preset is used when the game is on focus.
The second preset is used when the game acts as music player.
The reason why it is done this way is because the on-focus configuration focuses on delivering the smallest latency possible. However, doing that increases CPU usage, which can be inferred via the small values of BASS CONFIG UPDATEPERIOD (https: www.un4seen.com doc #bass BASS CONFIG UPDATEPERIOD.html) and BASS CONFIG DEV PERIOD (https: www.un4seen.com doc #bass BASS CONFIG DEV PERIOD.html). This is not favorable when the game just acts as music player, hence why the configuration is switched in-between.
The configuration is switched via BASS Init (https: www.un4seen.com doc #bass BASS Init.html) with the BASS DEVICE REINIT flag. However, it has come to my attention that reinitializing BASS can cause crash from BASS native libraries that we are unable to control. Here is captured log:
*** *** *** *** *** *** *** *** *** *** *** *** *** *** *** ***
Build fingerprint: POCO vayu global vayu:11 RKQ1.200826.002 release-keys
signal 11 (SIGSEGV), code (SEGV MAPERR), fault addr 0x0
x0 0000006f823405c0 x1 0000006f8939d670 x2 0000000000000000 x3 0000006f89374000
x4 0000000000000000 x5 ff00000000000000 x6 2e00000000000000 x7 00000000000000ff
x8 0000006f89375a70 x9 0000000000000081 x10 0000000000000001 x11 0000000000000000
x12 0000000000000038 x13 ffffffffffffffff x14 ff00000000000000 x15 ffffffffffffffff
x16 00000070132e2ea8 x17 0000007012c63104 x18 0000006f2a590000 x19 0000000000000000
x20 0000000000000201 x21 0000006f8939c500 x22 0000000000000000 x23 0000006f8269b000
x24 0000006f8269b000 x25 0000000000000000 x26 ffffffff00002e89 x27 0000000000000000
x28 0000000000006a2d x29 0000006f8269a6d0
lr 00000070132ccd3c sp 0000006f8269a6c0 pc 0000006f89375a98 pst 0000000000000000
#00 pc 000000000001ea98 system lib64 libaaudio internal.so (BuildId:
#01 pc 00000000000b3d38 system lib64 libaudioclient.so (BuildId:
#02 pc 000000000004a29c system lib64 libaudioclient.so int, android::Parcel const&amp;, android::Parcel*, unsigned int)+468) (BuildId:
Unfortunately, this means that we cannot reinitialize BASS to switch between configurations. Another way to do so is to free BASS and initialize it with the new configurations. However, freeing BASS will also free sample channels, which means lot more work needs to be done (i.e., reloading samples in ResourceManager ). It also does not help that under on-focus configurations, the music player stutters (likely due to the small BASS CONFIG BUFFER (https: www.un4seen.com doc #bass BASS CONFIG BUFFER.html) value, which is required to achieve small latency).</t>
  </si>
  <si>
    <t>applifycu-simple-1</t>
  </si>
  <si>
    <t xml:space="preserve">Cierre inesperdado </t>
  </si>
  <si>
    <t>Al entrar la aplicaci en suspensi en ocasiones la aplicaci se crashea.</t>
  </si>
  <si>
    <t>2023-09-09</t>
  </si>
  <si>
    <t>PojavLauncherTeam-PojavLauncher-4569</t>
  </si>
  <si>
    <t>[BUG] Deleting the app</t>
  </si>
  <si>
    <t>### Describe the bug
want to download the older version of pojav launcher, but can delete the installed version. System app, which doing that just crashing with launcher. Other apps are deleting without problem
### The log file and images videos
### Steps To Reproduce
1. Delete pojav launcher
### Expected Behavior
Device model: Samsung Galaxy A12
CPU architecture: aarch64
Android version: 13
PojavLauncher version: Any version
### Anything else?</t>
  </si>
  <si>
    <t>facebook-react-native-39359</t>
  </si>
  <si>
    <t>Invalid UTF-8 continuation byte for index.android.bundle #3272</t>
  </si>
  <si>
    <t>## Bug Description
Please provide clear and concise description of what the bug is.
If it an exception, please include the screenshots, e.g. the React Native
RedBox screen includes symbolicated JavaScript stack trace with stack trace
when Metro is running (it grayscale monospaced text on black background below
the red background section). Please also include few lines of the JavaScript
source before and after the line in which the error occurs.
If it an abort (e.g. app crashes), please see Reporting crashes from
for instructions on reporting native crash, including symbolicating the native
stack trace. Note this will only work with some versions of Hermes.
have weird problem. We update our react-native from 0.71.7 to O.72.3.
And an issue appeared only for Android.
So look at the documentation and add the script like that
def create sentry release(app name:, flavor type:)
Create sourcemaps folder at project root
sh( cd .. .. &amp;&amp; mkdir -p sourcemaps
Copy the sourcemaps in the new folder
flavor flavor type Store app name app name flavor type
asset bundle directory name flavor type Store createBundle# app name.capitalize ReleaseJsAndAssets
sourcemap path .. sourcemaps</t>
  </si>
  <si>
    <t>2023-09-08</t>
  </si>
  <si>
    <t>PojavLauncherTeam-PojavLauncher-4567</t>
  </si>
  <si>
    <t>Avaritia render</t>
  </si>
  <si>
    <t>### Describe the bug
when running the latest version of pojav launcher with avaritia, the launcher crashes without crashlog
### The log file and images videos
--------- beginning with launcher debug
Added custom env: TMPDIR data user cache
Added custom env: AWTSTUB WIDTH 1556
Added custom env: FORCE VSYNC false
Added custom env: POJAV NATIVEDIR data app lib arm64
Added custom env: REGAL GL VERSION 4.5
Added custom env: REGAL GL VENDOR Android
Added custom env: LIBGL MIPMAP
Added custom env: allow higher compat version true
Added custom env: MESA GLSL CACHE DIR data user cache
Added custom env: LIBGL NOINTOVLHACK
Added custom env: force glsl extensions warn true
Added custom env: LIBGL NORMALIZE
Added custom env: LD LIBRARY PATH data user runtimes Internal lib aarch64 jli: data user runtimes Internal lib aarch64: system lib64: vendor lib64: vendor lib64 hw: data app lib arm64
Added custom env: POJAV RENDERER opengles2
Added custom env: LIBGL ES
Added custom env: VTEST SOCKET NAME data user cache .virgl test</t>
  </si>
  <si>
    <t>VishnuSanal-DialogMusicPlayer-43</t>
  </si>
  <si>
    <t>**Describe the bug**
DMP crashes when try to play music 2nd time after playing from another player e.g. VLC
Steps to reproduce the behavior:
1. Click on your music from any FM choose DMP
2. Hide the dialog of DMP without closing it i.e while still on the FM screen
3. Click on another music (from FM) pick different music player
4. Now again click on song from FM choose DMP (while the other music player still playing)
5. See error
FATAL EXCEPTION: main
**Smartphone (please complete the following information):**
Device: moto g71 5G
Andorid Version: 12
App Version: v2.1.0</t>
  </si>
  <si>
    <t>microg-GmsCore-2024</t>
  </si>
  <si>
    <t>Commit "Add basic Google account settings" break Android settings on KitKat</t>
  </si>
  <si>
    <t>have moved here the message that was in the other post since it is separate issue.
have compiled microG on Windows as is (without any change).
On Android 4.4.4 it works in general and even allow to add Google account correctly but when visiting the account in the Android settings the Settings app crash.
Does someone know why?
android os LeapdroidJNI( 481): Leapdroid set()
dalvikvm( 481): GC CONCURRENT freed 882K, 17% free 6581K 7924K, paused 3ms+1ms, total 10ms
android os LeapdroidJNI( 481): Leapdroid set()
audio hw primary( 169): out write() limiting sleep time 44149 to 23219
audio hw primary( 169): out write() limiting sleep time 55759 to 23219
android os LeapdroidJNI( 481): Leapdroid set()
audio hw primary( 169): out write() limiting sleep time 57369 to 23219
audio hw primary( 169): out write() limiting sleep time 38979 to 23219
audio hw primary( 169): out write() limiting sleep time 30589 to 23219
audio hw primary( 169): out write() limiting sleep time 23876 to 23219
android os LeapdroidJNI( 481): Leapdroid set()
android os LeapdroidJNI( 481): Leapdroid set()
EGL emulation( 683): eglSurfaceAttrib not 12435, value 12436), simply return EGL TRUE
MediaFocusControl( 481): RemoteControlClient died
JavaBinder( 481): !!! FAILED BINDER TRANSACTION !!!
JavaBinder( 481): !!! FAILED BINDER TRANSACTION !!!</t>
  </si>
  <si>
    <t>2023-09-07</t>
  </si>
  <si>
    <t>LawnchairLauncher-lawnchair-3619</t>
  </si>
  <si>
    <t>### Describe the bug
Keep Notes Samsung Notes
Note apps widgets won work and the app will crash
### Steps to reproduce
Steps to reproduce the behavior:
1. Try to put single note using Keep Notes Samsung Notes
### Expected behavior
The app will crash due to error from type:
### Device information
Device: e.g. Samsung Galaxy S21 FE
OS: e.g. stock ROM Android version 13.0
App version: e.g. 12.1.0 Alpha
### Additional context
Lawnchair bug report Sep 4, 2023 4:16:56 PM</t>
  </si>
  <si>
    <t>androidx-media-642</t>
  </si>
  <si>
    <t>Update IMA SDK to 3.31.0, apps targeting API 34 could crash on Android 14 devices</t>
  </si>
  <si>
    <t>### More version details
### Devices that reproduce the issue
All devices running Android 14 on apps targeting API 34
### Devices that do not reproduce the issue
All devices running Android 14 on apps targeting API 33 or less
### Reproducible in the demo app?
### Reproduction steps
1. Play any media with ads using the IMA SDK on an app targeting API 34
2. The app will crash
See also https: groups.google.com ima-sdk XCrb5a5WiYI?pli
### Expected result
The app does not crash
### Actual result
The app crashes because the IMA SDK is not 3.31.0 which fixes this crash on apps targeting API 34.
### Bug Report
You will email the zip file produced by adb bugreport to google.com after filing this issue.</t>
  </si>
  <si>
    <t>Anuken-Mindustry-9031</t>
  </si>
  <si>
    <t>Crash with "Player can't configure a tile" error in editor</t>
  </si>
  <si>
    <t>Some unique case that accidentally found in game XD
Attempt to edit world processor in live test from editor while being in another team in online hosted game results in game crash.
### Steps to reproduce
Place world processor in editor
Launch test run.
From test run host online game to have an ability to change teams from tab menu (ik can use console or mod, but this time was too lazy to do that)
Change the team
Attempt to change opposite team world processor code result in crash
### Mods used
Reproduced on clean game
### Save file
### (Crash) logs
have updated to the latest release (https: github.com Anuken Mindustry releases) to make sure my issue has not been fixed.
have searched the closed and open issues to make sure that this problem has not already been reported.</t>
  </si>
  <si>
    <t>Anuken-Mindustry-9030</t>
  </si>
  <si>
    <t>Game crush</t>
  </si>
  <si>
    <t>opened the mod file, the game opened, and then crashed
### Steps to reproduce
Just opened the mod file
### Mods used
### Save file
### (Crash) logs
Mindustry has crashed. How unfortunate.
Android API level: 16
Runtime Available Memory: 8796093022207mb
Runtime: Error copying source file: private var mobile Containers Data Application Documents Scheme-Size.jar (absolute)
To destination: var mobile Containers Data Application Documents Scheme-Size.jar (absolute)
ArcRuntime: Error copying source file: private var mobile Containers Data Application Documents Scheme-Size.jar (absolute)
To destination: var mobile Containers Data Application Documents Scheme-Size.jar (absolute)
ArcRuntime: Error reading file: private var mobile Containers Data Application Documents Scheme-Size.jar (absolute)
FileNotFound: private var mobile Containers Data Application Documents Scheme-Size.jar: open failed: EPERM (Operation not permitted)
Errno: open failed: EPERM (Operation not permitted)
Mindustry has crashed. How unfortunate.
Android API level: 16
Runtime Available Memory: 8796093022207mb
Runtime: Error copying source file: private var mobile Containers Data Application Documents wpx mining.msch (absolute)</t>
  </si>
  <si>
    <t>2023-09-06</t>
  </si>
  <si>
    <t>AndroidIDEOfficial-AndroidIDE-1268</t>
  </si>
  <si>
    <t>[Bug]: app freezes on clicking Quick run</t>
  </si>
  <si>
    <t>### What happened?
This error started to appear in the branch rework tooling api, didn know if could report it before. Sometimes between in every 20 builds when clicking on the quick run button the app crashes and only returns to normal when The build ends (success or failure)
It looks like the UI thread gets blocked
### What the expected behavior?
### What version of AndroidIDE you re using?
v2.5.2 (debug builds)
### Relevant log output
### Duplicate issues
This issue has not been reported yet.
### Code of Conduct
agree to follow this project Code of Conduct</t>
  </si>
  <si>
    <t>2023-09-05</t>
  </si>
  <si>
    <t>PojavLauncherTeam-PojavLauncher-4561</t>
  </si>
  <si>
    <t>Sodium and optifabric</t>
  </si>
  <si>
    <t>### Describe the bug
Sodium doesn work on Pojav Launcher.Show an message like sodium doesn not work on Pojav Launcher and it may causes errors and crash the Launcher.
Optifabric doesn work on Pojav Launcher Like
Whenever play multiplayer or single player it crashes the Launcher
Mathias-Boulay artdeell Duy
### The log file and images videos
### Steps To Reproduce
Launches Single player and crashes the Launcher
### Expected Behavior
Examples Game would launch
Device model: OnePlusNordCE2
CPU 64 bit architecture
PojavLauncher version: latest version
### Anything else?</t>
  </si>
  <si>
    <t>Anuken-Mindustry-9023</t>
  </si>
  <si>
    <t>Game crashes for no reason</t>
  </si>
  <si>
    <t>After version 138, the game Nachila Fly out for no reason
### Steps to reproduce
Updated the game
### Mods used
### Save file
GL Version: GLES 3.2.0 Imagination Technologies PowerVR Rogue GE8100
GL Max texture size: 4096
GL Using OpenGL context.
ANDROID API level: 27
RAM Available: 128.0 MB
Shader shaders mesh.vert shaders planet.frag:
Shader shaders default.vert shaders blockbuild.frag:
Shader shaders screenspace.vert shaders shield.frag:
Shader shaders default.vert shaders fog.frag:
Shader shaders screenspace.vert shaders buildbeam.frag:
Shader shaders default.vert shaders unitbuild.frag:
Shader shaders default.vert shaders unitarmor.frag:
Shader shaders default.vert shaders darkness.frag:
Shader shaders screenspace.vert shaders light.frag:
Shader shaders screenspace.vert shaders water.frag:</t>
  </si>
  <si>
    <t>2023-09-04</t>
  </si>
  <si>
    <t>FCL-Team-FoldCraftLauncher-112</t>
  </si>
  <si>
    <t>Optiforge crashing when creating world</t>
  </si>
  <si>
    <t>### Launcher Version
### Device Information
### Problem Description
when im making world its crashing
### Game Version
### Modifications Made to the Game
optifine hd g9
### Game Crash Report
optiforge is crashing when creating world
### Launcher Crash Report
### Launcher Log File</t>
  </si>
  <si>
    <t>Anuken-Mindustry-9012</t>
  </si>
  <si>
    <t>Crashes during normal gameplay</t>
  </si>
  <si>
    <t>During standard gameplay in the campaign, the game will just shut down for no reason. ve tried all the normal fixes and nothing works. not whats causing it to happen, but hopefully it will be fixed soon.
### Steps to reproduce
just played the game and it crashed.
### Mods used
### Save file
### (Crash) logs
have updated to the latest release (https: github.com Anuken Mindustry releases) to make sure my issue has not been fixed.
have searched the closed and open issues to make sure that this problem has not already been reported.</t>
  </si>
  <si>
    <t>AndroidIDEOfficial-AndroidIDE-1263</t>
  </si>
  <si>
    <t xml:space="preserve">[Bug]: </t>
  </si>
  <si>
    <t>### What happened?
AndroidIDE crash report
SDK version: 30
### What the expected behavior?
AndroidIDE crash report
SDK version: 30
### What version of AndroidIDE you re using?
v2.5.2 (debug builds)
### Relevant log output
AndroidIDE crash report
SDK version: 30
### Duplicate issues
This issue has not been reported yet.
### Code of Conduct
agree to follow this project Code of Conduct</t>
  </si>
  <si>
    <t>2023-09-03</t>
  </si>
  <si>
    <t>MuntashirAkon-AppManager-1165</t>
  </si>
  <si>
    <t>Enabling battery optimization for Galaxy store crashes the app</t>
  </si>
  <si>
    <t>### Please check before submitting an issue
know what my device, OS and App Manager versions are
know how to take logs
know how to reproduce the issue which may not be specific to my device
### Describe the bug
Title, app manager crash when trying to enable the battery optimization for Galaxy store for example.
### To Reproduce
Pick Galaxy store
### Expected behavior
App version: 4.0.0-alpha01
App version code: 434
Android build version: S908EXXU6CWH3
Android release version: 13
Android SDK version: 33
Android build ID:
Device brand: samsung
Device manufacturer: samsung
Device name: b0q
Device model: SM-S908E
Device product name: b0qxxx</t>
  </si>
  <si>
    <t>AndroidIDEOfficial-AndroidIDE-1260</t>
  </si>
  <si>
    <t>[Bug]: Install app</t>
  </si>
  <si>
    <t>### What happened?
When compiling and installing the application AndroidIDE crashes.
### What the expected behavior?
install compiled app without issue
### What version of AndroidIDE you re using?
v2.5.2 (debug builds)
### Relevant log output
AndroidIDE crash report
SDK version: 33
Caused by: Caller has no access to session 272901807
### Duplicate issues
This issue has not been reported yet.
### Code of Conduct
agree to follow this project Code of Conduct</t>
  </si>
  <si>
    <t>Anuken-Mindustry-9003</t>
  </si>
  <si>
    <t>Scheme pack tags</t>
  </si>
  <si>
    <t>When disabled schemepack due to it being in russian every tag stayed trying to delete them with the mod off would get you an error where the file for the tag isnt found and deleting it while the mod is on crashes your game
### Steps to reproduce
Download scheme pack, have it enabled
Disable the mod
Enter the game
(The bug)Tags are still there
Delete tags from the scheme mod(crashes if deleted while mod enabled)
### Mods used
Any scheme packs
### Save file
something.zip im not sure how this works
### (Crash) logs
Cant find the logs in my files
have updated to the latest release (https: github.com Anuken Mindustry releases) to make sure my issue has not been fixed.
have searched the closed and open issues to make sure that this problem has not already been reported.</t>
  </si>
  <si>
    <t>PojavLauncherTeam-PojavLauncher-4545</t>
  </si>
  <si>
    <t>[BUG] &lt;zink renderer crash from beginning&gt;</t>
  </si>
  <si>
    <t>### Describe the bug
Beta Zink renderer crash in beginning can open it always crash from beginning using the zink because want to test some shader in 1.12.2-1.14.4
### The log file and images videos
### Steps To Reproduce
just want try some shader
### Expected Behavior
expect the game to Launch and join in the game
Device model: Realme C12 32
CPU architecture: aarch64
Android version: 11
PojavLauncher version: Feat: Zink Renderer Remove VirGL #4316
### Anything else?
How to fix the crash using this zink beta</t>
  </si>
  <si>
    <t>2023-09-02</t>
  </si>
  <si>
    <t>AndroidIDEOfficial-AndroidIDE-1257</t>
  </si>
  <si>
    <t xml:space="preserve">[Bug]: Cannot use terminal to use idesetup </t>
  </si>
  <si>
    <t>### What happened?
Terminal doesn show, instead IDE shows an error that it can create directory.
### What the expected behavior?
It should open the terminal
### What version of AndroidIDE you re using?
v2.5.2 (debug builds)
### Relevant log output
AndroidIDE crash report
SDK version: 33
### Duplicate issues
This issue has not been reported yet.
### Code of Conduct
agree to follow this project Code of Conduct</t>
  </si>
  <si>
    <t>2023-09-01</t>
  </si>
  <si>
    <t>jellyfin-jellyfin-androidtv-3015</t>
  </si>
  <si>
    <t>Artwork-Thumbs-Assets Not Loading</t>
  </si>
  <si>
    <t>### Describe the bug
No Artwork, Artists, Movie Posters etc is loaded just the default movie or person icon etc
if scan quickly through (fast scroll) then blurred colour images appear but disappear once stop scrolling
cleared cache and data still persists
log attached for reference but not sure there is much there..as it doesn actually crash
everything works fine just no images loaded
--------- beginning of crash
### App information
***App version***: 0.16.0-beta.3 160003
### Device information
***Android version***: 12
***Device brand***: google
***Device product***: sabrina prod stable
***Device model***: Chromecast
### Crash information
### Application version
### Where did you install the app from?
### Device information
Google Chromecast with Google TV
### Android version</t>
  </si>
  <si>
    <t>PojavLauncherTeam-PojavLauncher-4541</t>
  </si>
  <si>
    <t>[BUG] &lt;S</t>
  </si>
  <si>
    <t>### Describe the bug
cant hide the bluetooth corsur in my screen while playing and cant rotate properly
### The log file and images videos
### Steps To Reproduce
### Expected Behavior
it just cant remove the cursor in the screen its kinda annoying the bluetooth otg mouse
Device model: cph1801
CPU architecture: aarch64
PojavLauncher version:Latest Release version 3.3.1.1 rel 20210206
### Anything else?
and also the it freeze sometimes or crash</t>
  </si>
  <si>
    <t>2023-08-31</t>
  </si>
  <si>
    <t>PojavLauncherTeam-PojavLauncher-4539</t>
  </si>
  <si>
    <t>Vic Modern Warfare mod bug</t>
  </si>
  <si>
    <t>### Describe the bug
When use attachment on gun my screen become black and all texture are bug latest GitHub when use old pojavlauncher all working properly big crash on 40minutes
### The log file and images videos
### Steps To Reproduce
1. Start pojavlauncher
2. create world
3. Attachment on gun
4. Black screen
### Expected Behavior
Device model: umidigi bison
CPU architecture: 64
Android version: 10
PojavLauncher version: latest GitHub
### Anything else?</t>
  </si>
  <si>
    <t>PojavLauncherTeam-PojavLauncher-4538</t>
  </si>
  <si>
    <t xml:space="preserve">Sodium mod 1.20.1 crash when I create Minecraft world </t>
  </si>
  <si>
    <t>### Describe the bug
Crash when create Minecraft world using sodium mod
### The log file and images videos
### Steps To Reproduce
1. Start pojavlauncher
2. Create world
3. Crash the game
### Expected Behavior
Working with sodium mod
Device model: umidigi bison
CPU architecture: 64
Android version: 10
PojavLauncher version: latest GitHub
### Anything else?</t>
  </si>
  <si>
    <t>OpenTracksApp-OpenTracks-1682</t>
  </si>
  <si>
    <t>Crash when a track is shared</t>
  </si>
  <si>
    <t>**Describe the bug**
When the Share button is pressed on track the app crashes.
1. Go to any recorded track.
2. Tap the Share button.
Device: Google Pixel
OS: Android 14 beta 5.2
OpenTracks version: 4.8.1 (from F-Droid)</t>
  </si>
  <si>
    <t>2023-08-30</t>
  </si>
  <si>
    <t>PojavLauncherTeam-PojavLauncher-4535</t>
  </si>
  <si>
    <t>the app crashed after enter a word</t>
  </si>
  <si>
    <t>### Describe the bug
the app crashed after enter word for while(within minutes), it runs good except entering word. the game version is 1.20.1fabric.
### The log file and images videos
### Steps To Reproduce
2.open the game
### Expected Behavior
the game runs
Device model: Mi Pad 6Pro
CPU architecture: aarch64
Android version: 13
PojavLauncher version: fabric refactor
### Anything else?</t>
  </si>
  <si>
    <t>2023-08-29</t>
  </si>
  <si>
    <t>AndroidIDEOfficial-AndroidIDE-1241</t>
  </si>
  <si>
    <t>[Bug]: AIDE Crashed</t>
  </si>
  <si>
    <t>### What happened?
wanted to close the project, but came across this message and decided to let you know, maybe it will help you :)
### What the expected behavior?
### What version of AndroidIDE you re using?
v2.5.2 (debug builds)
### Relevant log output
AndroidIDE crash report
SDK version: 31
### Duplicate issues
This issue has not been reported yet.
### Code of Conduct
agree to follow this project Code of Conduct</t>
  </si>
  <si>
    <t>Anuken-Mindustry-8989</t>
  </si>
  <si>
    <t>import mod will be crash</t>
  </si>
  <si>
    <t>steam build 145.1
**No additional information is required**
### Steps to reproduce
mods import mod import this mod (https: github.com Yuria-Shikibe NewHorizonMod releases download v0.4.8 NewHorizonMod.jar)
### Mods used
NewHorizon (https: github.com Yuria-Shikibe NewHorizonMod)
new-console (https: github.com mnemotechnician new-console)
### Save file
### (Crash) logs
Mindustry has crashed. How unfortunate.
Runtime Available Memory: 2966mb
To destination: saves mods (null).zip (local)
Caused by: Error reading file: (null) (absolute)
Caused by: (null) (No such file or directory)
have updated to the latest release (https: github.com Anuken Mindustry releases) to make sure my issue has not been fixed.
have searched the closed and open issues to make sure that this problem has not already been reported.</t>
  </si>
  <si>
    <t>AndroidIDEOfficial-AndroidIDE-1238</t>
  </si>
  <si>
    <t>[Bug]: Crash when Closing Project</t>
  </si>
  <si>
    <t>### What happened?
When closing project it crashes (many time some time don t)
### What the expected behavior?
### What version of AndroidIDE you re using?
v2.5.2 (debug builds)
### Relevant log output
AndroidIDE crash report
SDK version: 29
### Duplicate issues
This issue has not been reported yet.
### Code of Conduct
agree to follow this project Code of Conduct</t>
  </si>
  <si>
    <t>raphw-byte-buddy-1512</t>
  </si>
  <si>
    <t>Plugin Engine crashes on types with missing dependencies even when error handlers are disabled.</t>
  </si>
  <si>
    <t>To reproduce run the following test:
public final class
public TemporaryFolder tempDir new TemporaryFolder()
public void does not crash when type is missing deps() throws IOException
File jar tempDir.newFile( testInput.jar
FileOutputStream fileOutputStream new
JarOutputStream jarBuilder new new Manifest())
Add type with required dependency, but don add its dependency
so building instrumenting the type fails.
Plugin plugin new Plugin()
return builder.visit(new -&gt; true))
public boolean target)
public void close()
tempDir.newFile( testOutput.jar ),
Arrays.asList(() -&gt; plugin)
public static final class TypeDep
public static final class TypeWithDep
private static final TypeDep DEP new TypeDep()
public static final class TypeToInstrument
private static void jarBuilder, Class&lt;?&gt; aClass) throws IOException</t>
  </si>
  <si>
    <t>2023-08-27</t>
  </si>
  <si>
    <t>Anuken-Mindustry-8977</t>
  </si>
  <si>
    <t>GPU troubleshooting on a older laptop</t>
  </si>
  <si>
    <t>so my old lenovo w520 laptop has GPU s, and the more powerful one died. booting into the other gpu, cannot launch mindustry, and wondering if its big, or just the laptop is too old. windows 10 laptop with directx11, opengl 3.3 and no opencl. when launch the game, get GLEW failed to initialize: missing framebuffer object extension error.
is there any way to get this working, or is this laptop simply too old?
### Steps to reproduce
kinda hard ... get old laptop with Intel HD Graphics 3000 gpu, update drivers and launch mindustry
### Mods used
### Save file
### (Crash) logs
game will not initialize create logs ... cant provide crash data
have updated to the latest release (https: github.com Anuken Mindustry releases) to make sure my issue has not been fixed.
have searched the closed and open issues to make sure that this problem has not already been reported.</t>
  </si>
  <si>
    <t>SOFTENG310-VicRoy-310-RondayView-61</t>
  </si>
  <si>
    <t>App crashes if first event is swiped</t>
  </si>
  <si>
    <t>**Describe the bug**
On the first loading of events, swiping the first event card will produce an in handleSwipe This causes the app to crash.
Steps to reproduce the behavior:
1. Run the app
2. Swipe the first event
3. App crashes
App should not crash. Event card should swipe away.
Add any other context about the problem here.</t>
  </si>
  <si>
    <t>PojavLauncherTeam-PojavLauncher-4517</t>
  </si>
  <si>
    <t>[BUG] can't run jre 17</t>
  </si>
  <si>
    <t>### Describe the bug
Exit with code
can play 1.17.x and above (including optifine vanilla forge ,.... All client know) because can run jre 17 on my phone
When switch to jre and set it default try to run the game again but it still automatically switch to jre 17 and crash
also using custom jvm so sorry if that jvm make the game crash
### The log file and images videos
### Steps To Reproduce
install 1.18.1 vanilla
install 1.18.1 optifine
run it with default settings and it crash
### Expected Behavior
want to it run completely fine and doesn crash when run jre 17
Device model: google pixel 64gb
CPU architecture: arm64-v8a (64-bit)
Android version: 12 (up to date)
PojavLauncher version: version openjdk (newest)
### Anything else?</t>
  </si>
  <si>
    <t>2023-08-26</t>
  </si>
  <si>
    <t>androidx-media-613</t>
  </si>
  <si>
    <t>Exception when parse RTSP url like rtsp://10.1.58.192/stream/0?config.login=web</t>
  </si>
  <si>
    <t>### More version details
### Devices that reproduce the issue
tablet running android 7.1.2
### Devices that do not reproduce the issue
VLC Android 3.5.4 on this tablet is OK
### Reproducible in the demo app?
### Reproduction steps
1. Edit media.exolist.json
2. Add rtsp url:
4. Play this rtsp url in demo app
### Expected result
play this rtsp video successfully
### Actual result
demo app crashed:
URL like this:
### Bug Report
You will email the zip file produced by adb bugreport to google.com after filing this issue.</t>
  </si>
  <si>
    <t>AndroidIDEOfficial-AndroidIDE-1233</t>
  </si>
  <si>
    <t>### What happened?
AndroidIDE crash report
SDK version: 29
### What the expected behavior?
### What version of AndroidIDE you re using?
v2.5.2 (debug builds)
### Relevant log output
AndroidIDE crash report
SDK version: 29
### Duplicate issues
This issue has not been reported yet.
### Code of Conduct
agree to follow this project Code of Conduct</t>
  </si>
  <si>
    <t>2023-08-25</t>
  </si>
  <si>
    <t>Parsely-parsely-android-57</t>
  </si>
  <si>
    <t>NullPointerException when accessing deviceInfo map in ParselyTracker.java</t>
  </si>
  <si>
    <t>When using 3.0.6 version of SDK, our app is reporting crashes due to deviceInfo map not being initialized when accessing its entries when calling Below is stacktrace from crashlytics:
Parsley SDK 3.0.6
Fatal Exception: Attempt to invoke interface method java.lang.Object on null object reference</t>
  </si>
  <si>
    <t>OneSignal-OneSignal-Android-SDK-1815</t>
  </si>
  <si>
    <t>[Bug]: 829377 crash when receiving a push notifications with two buttons</t>
  </si>
  <si>
    <t>### What happened?
The app crashes upon receiving push notification with two buttons with the error
### Steps to reproduce?
1. setup device to receive push message
2. start up the flutter(android) app
2. send test message with two buttons and actions
### What did you expect to happen?
the message getting displayed in the notifications
### OneSignal Android SDK version
### Android version
### Specific Android models
Samsung Galaxy S9
### Relevant log output
### Code of Conduct
agree to follow this project Code of Conduct
&lt;!-- probot onesignal-probot response time in business days :9 --&gt;</t>
  </si>
  <si>
    <t>AndroidIDEOfficial-AndroidIDE-1231</t>
  </si>
  <si>
    <t>[Bug]: Bootstrap</t>
  </si>
  <si>
    <t>### What happened?
**Help me pls :)**
AndroidIDE crash report
SDK version: 31
Caused by: data arm64-v8a bootstrap.zip
Caused by: data arm64-v8a bootstrap.zip
### What the expected behavior?
Expected the stable operation of the application.
### What version of AndroidIDE you re using?
v2.5.2 (debug builds)
### Relevant log output
### Duplicate issues
This issue has not been reported yet.
### Code of Conduct
agree to follow this project Code of Conduct</t>
  </si>
  <si>
    <t>CappielloAntonio-tempo-46</t>
  </si>
  <si>
    <t>Some Problems with playlists</t>
  </si>
  <si>
    <t>discovered some problems with playlists:
When you delete playlist in Tempo, it is remotely deleted but not removed from the app UI.
New playlists created on the server only show up once the app is restarted (same problem as above really)
Clicking the dot menu of an empty playlist crashes the Tempo
Renaming playlist doesn work. In fact it deletes the playlist.
For issues and The UI needs to be refreshable, think. Refreshing should happen automatically after playlist deletion or should be manually triggerable (pull down to reload?) by the user.</t>
  </si>
  <si>
    <t>2023-08-24</t>
  </si>
  <si>
    <t>Keidan-HexViewer-259</t>
  </si>
  <si>
    <t>Crash in Hungarian.</t>
  </si>
  <si>
    <t>If switch to Hungarian, and return to the settings, the applicatgion crashes.</t>
  </si>
  <si>
    <t>Igalia-wolvic-934</t>
  </si>
  <si>
    <t>Crash when passing from controllers to handtracking</t>
  </si>
  <si>
    <t>&lt;!--- State the version number and build ID affected. --&gt;
&lt;!--- The build ID is obtained by clicking on the build date in settings. --&gt;
Wolvic version: 1.5
Wolvic build ID: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Launch Wolvic with the controllers enabled
2. Left the right controller on the floor
## Current Behavior
&lt;!--- If describing bug, tell us what happens instead of the expected behavior. --&gt;
&lt;!--- If suggesting change improvement, explain the difference from current behavior. --&gt;
Wolvic crashes due to an assert violation
## Expected Behavior
&lt;!--- If you re describing bug, tell us what should happen. --&gt;
&lt;!--- If you re suggesting change improvement, tell us how it should work. --&gt;
The hands model are rendered instead of the controllers
## Possible Solution</t>
  </si>
  <si>
    <t>2023-08-23</t>
  </si>
  <si>
    <t>wultra-powerauth-mobile-sdk-539</t>
  </si>
  <si>
    <t>Android TokenStore data inconsistency</t>
  </si>
  <si>
    <t>If application or mobile SDK crash in sensitive moment between the token data is already in keychain but index is not yet written, then the token appears to exist even if it suppose not. was able to simulate this in our unit tests when some experimental code caused crash of SDK.
The problem is in function that doesn verify whether the token is stored also in the index.
This will be fixed in upcoming 1.8 and backported to 1.7.x branch.</t>
  </si>
  <si>
    <t>bumptech-glide-5256</t>
  </si>
  <si>
    <t>Crash in glide compose alpha.5, when computing scale factor</t>
  </si>
  <si>
    <t>**Glide Version**: 1.0.0-alpha.5 4.16.0
**Integration libraries**: okhttp4-integration (although issue is not here)
**Device Android Version**: Emulator Pixel 6a
**Issue details Repro steps Use case background**:
Looks like glide triggers ScaleFactor is unspecified exception, if either the width or height is implicit and the other is computed from ratio if the width or height resolves to 0.dp.
found this, because had gotten 1.0.0-alpha.3 working with compose MotionLayout where the image is Gone in the initial constraints and appears in end constraints. It took time to determine the root cause to see if it was the MotionLayout code or Glide, but was able to reproduce using standard GlideImage without MotionLayout involved.
Here is the abbreviated stack:
FATAL EXCEPTION: main
It seems like the bug is the intrinsicWidth intrinsicHeight is 0.dp and or the constrainedWidth Height is 0.dp. Essentially this should be checked for 0.dp as division by results in NaN and ends up triggering the exception. suspect if 0.dp is determined as the width or height there is no need to issue the network download or draw the image as it can not be seen. The easy fix is to not crash, but couldn quite follow to determine if there is an optimization to avoid the network cache fetch as well.
The code in question is:
---&gt; Check for 0.dp here and if so skip the scale computation.
Here are some examples outside of the MotionLayout that trigger the same. suspect MotionLayout under the covers is doing one of these variations when the image layout is marked as Gone.
model https: image from internet....
had some crashes with but not as consistent at reproduction.
Technically it doesn make sense to have width height resolve to zero. However MotionLayout where the image is initially Gone will trigger the issue. It also seems related to the aspect ratio. downloading into square so used 1, but essentially don know the exact size as it is percentage of the width.
do have few work arounds but neither are ideal for the final solution:
1) Set the image to be invisible to start vs gone. However, if the user never interacts triggering the view expansion, in theory fetching and drawing an image with alpha 0.
2) Use Box which doesn seem to have this same issue, but this seems heavy handed.
3) Fallback to alpha.3. (at this point, probably temporarily do or 2.</t>
  </si>
  <si>
    <t>AndroidIDEOfficial-AndroidIDE-1223</t>
  </si>
  <si>
    <t>[Bug]: Unable to install compiled results</t>
  </si>
  <si>
    <t>### What happened?
When make row of data that is too long, the application feels heavy and can be clicked and when succeed in compiling the application source code it is forced to close ...
this really interferes with my work and is really tedious because have to find files that managed to compile manually
### What the expected behavior?
Please fix the bug issue because it is very annoying
### What version of AndroidIDE you re using?
v2.5.2 (debug builds)
### Relevant log output
AndroidIDE crash report
SDK version: 33
Caused by: Caller has no access to session 856088330
### Duplicate issues
This issue has not been reported yet.
### Code of Conduct
agree to follow this project Code of Conduct</t>
  </si>
  <si>
    <t>2023-08-22</t>
  </si>
  <si>
    <t>AppLovin-AppLovin-MAX-React-Native-238</t>
  </si>
  <si>
    <t xml:space="preserve">java.lang.IllegalStateException - The specified child already has a parent. You must call removeView() on the child's parent first. </t>
  </si>
  <si>
    <t>### MAX Module Version
### React Native Version
### Device Platform Info
### Current Behavior
Users are experiencing many crashes in production because of ApplovinMax which suppose are because of the NativeAdView
Error while updating property mediaView of view managed by:
The specified child already has parent. You must call removeView() on the child parent first.
### Expected Behavior
### How to Reproduce
have multiple component like this among the app, suppose the crashes come from this:
const Ad: React.FC&lt;Props&gt; placement, style, backgroundColor
const nativeAdViewRef useRef(null)
const initialized useAppLovinMax()
const nativeAdLoaded, setNativeAdLoaded useState(false)
const reportEvent useAnalytics()
const loadAd ()
const (visible: boolean)
if (visible false)
const onErrorHandle async ()
if (retry 10)</t>
  </si>
  <si>
    <t>PojavLauncherTeam-PojavLauncher-4501</t>
  </si>
  <si>
    <t>[BUG] Game exited with code -1</t>
  </si>
  <si>
    <t>### Describe the bug
this is the log that shows the failed component, whats this problem and how do solve it?
### The log file and images videos
### Steps To Reproduce
1. Open Pojav Launcher
2. select Version 1.20.1
### Expected Behavior
normally the Game just gives Low Memory warning and Launches but here it crashes immediatly.
Device Model: LG V40 ThinQ
CPU Architecture) Kryo 385(CPU Architecture)
Android Version: Android 10
### Anything else?</t>
  </si>
  <si>
    <t>Igalia-wolvic-925</t>
  </si>
  <si>
    <t>Playing any Youtube video on a web page crashes</t>
  </si>
  <si>
    <t>Wolvic version: 1.4.2
## Current Behavior
Playing any Youtube video on web page crashes
## Error Logs and Stack Traces
tested your package, which played YouTube videos without crashing
Why is this the case? Do need some special settings for Android packaging?</t>
  </si>
  <si>
    <t>AppLovin-AppLovin-MAX-SDK-Android-534</t>
  </si>
  <si>
    <t>Clear SharedPreferences crash - NPE</t>
  </si>
  <si>
    <t>### MAX SDK Version
### Device Platform Info
### Current Behavior
### Expected Behavior
### How to Reproduce
### Additional Info
&lt;img width 775 alt image src https: github.com AppLovin assets 951083</t>
  </si>
  <si>
    <t>2023-08-21</t>
  </si>
  <si>
    <t>OpenSeizureDetector-Android_Pebble_SD-120</t>
  </si>
  <si>
    <t>Crash when trying to export data</t>
  </si>
  <si>
    <t>Using the data export function to export 12 hours of data resulted in the following crash. It works ok for hours of data.
***** DEVICE INFO
***** APP INFO
***** ERROR LOG</t>
  </si>
  <si>
    <t>LSPosed-LSPosed-2702</t>
  </si>
  <si>
    <t>[Bug] Starbuck China app crash with LSPosed</t>
  </si>
  <si>
    <t>### Steps to reproduce
1. Install Zygisk-LSPosed module in Magisk KernelSU
2. Install Starbuck China APP 9.4.0)
3. Open Starbuck China APP then crash
4. Turn-OFF the Zygisk module in Magisk KernelSU
5. Restart the phone
6. Starbucks work normally
### Expected behaviour
### Actual behaviour
crash quit unexpectedly
### Xposed Module List Xposed
Hide my Applist
### Magisk Module List Magisk
Zygisk on KernelSU
Zygisk Enchance mode for Stroage Isolation
### LSPosed version LSPosed
### Android version Android
### Magisk version Magisk
### Riru version Riru
### Version requirement</t>
  </si>
  <si>
    <t>material-components-material-components-android-3532</t>
  </si>
  <si>
    <t>[Material Carousel] Null Pointer Exception</t>
  </si>
  <si>
    <t>App simply crashes because carousel is on main activity</t>
  </si>
  <si>
    <t>Anuken-Mindustry-8963</t>
  </si>
  <si>
    <t>Ravine - insufficient core resources</t>
  </si>
  <si>
    <t>Steam v145 version, Android Mindustry Bleeding Edge 24341
Sorry for my english!
new in Mindustry. Today Play with steam version of the game. completed sector on Erekir and want to start the next level name Ravine but can launch the core, because Tungsten is missing.
Whats wrong with this. have Tungsten.
installed the android version of the game. And the problem is same with steam version.
### Steps to reproduce
Start the Ravine Sector
### Mods used
don use mods
### Save file
### (Crash) logs
have no crash logs.
have updated to the latest release (https: github.com Anuken Mindustry releases) to make sure my issue has not been fixed.
have searched the closed and open issues to make sure that this problem has not already been reported.</t>
  </si>
  <si>
    <t>2023-08-20</t>
  </si>
  <si>
    <t>LawnchairLauncher-lawnchair-3594</t>
  </si>
  <si>
    <t>Lawnchair crashes when it is selected in quickswitch</t>
  </si>
  <si>
    <t>### Describe the bug
When select lawnchair in quickswitch and reboot lawnchair crashes constantly and recents obviously would not work or it would not let me select lawnchair
### Steps to reproduce
Steps to reproduce the behavior:
1. Try to Select lawnchair in quickswitch (if it would not let you go to step 4)
3. Try to use lawnchair (or open recents menu)
4. See error
### Expected behavior
Recents work and lawnchair does not crash or it would let me select lawnchair
### Device information
Device: Samsung Galaxy S10
OS: LineageOS 20 (Android 13)
App version: latest debug build
### Additional context</t>
  </si>
  <si>
    <t>2023-08-19</t>
  </si>
  <si>
    <t>deltachat-deltachat-android-2639</t>
  </si>
  <si>
    <t>F-Droid 1.40.0 crashes on start</t>
  </si>
  <si>
    <t>Android version: 13
Delta Chat version: 1.40.0
Steps to reproduce the problem:
--------- beginning of crash
Debug logs can be copied from within the Delta Chat app with
Settings menu -&gt; Advanced -&gt; View log
Alternatively from the Android system log:
adb logcat -v time -s DeltaChat
Logs may contain private data
which shall be removed or anonymised prior to posting.
Report on the F-Droid forum: https: forum.f-droid.org 23322</t>
  </si>
  <si>
    <t>nextcloud-notes-android-1876</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</si>
  <si>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app crashes immedeatly when typing in search bar
also happens sometimes with other querys (not reliably)
Steps to reproduce the behavior:
1. Go to searchbar
4. See error crash
&lt;!-- clear and concise description of what you expected to happen. --&gt;
&lt;!-- If applicable, add screenshots to help explain your problem. --&gt;
**Smartphone (please complete the following information):**
Nextcloud Notes-Version (android app): 4.1.0 rc
F-Droid or Play Store: fdroid
Nextcloud version: 25.06
Nextcloud Notes version (server app): 4.7.2
App Version: 4.1.0 RC1</t>
  </si>
  <si>
    <t>2023-08-18</t>
  </si>
  <si>
    <t>rudderlabs-rudder-sdk-android-282</t>
  </si>
  <si>
    <t>BUG : Crash on app startup on error IllegalArgumentException: There should be at least one field in @Entity</t>
  </si>
  <si>
    <t>**Describe the bug**
Please provide the following information:
When using the Rudderstack Android SDK version 1.17.0 and building our app for release with minifyEnabled true the app crashes on startup due to the error pasted below this. can reproduce this creating new, empty project in Android Studio and just building that (with our key and data plane URL in the config).
Caused by: There should be at least one field in Entity
Other relevant info:
Kotlin version: 1.9.0
Android Gradle Plugin: 8.2.0-alpha16
have attached the sample where could reproduce this, but without our credentials of course.
Steps to reproduce the behaviour:
1. Update the Rudderstack Android SDK to 1.70.0
2. Build the app in release configuration
3. Start the app
4. See the app crash
would expect the app not to crash, and the SDK to make sure that any needed rules for the build are included in the SDK itself.
**Version of the Android SDK**
Android SDK 1.17.0
**Mobile device mode integration**
**SDK initialisation snippet**
Please provide the following information:
1. Share the code snippet used for initializing the Android SDK</t>
  </si>
  <si>
    <t>Anuken-Mindustry-8948</t>
  </si>
  <si>
    <t>Save file bug</t>
  </si>
  <si>
    <t>made mistake when trying to capture sector and tried to load it back and it crashed. restarted the game and got back on the game again, it was bugged.
see my sectors captured from before but when played the sector wanted, it was reset, same for the rest of sectors captured
In other words, it showed them captured but its not
### Steps to reproduce
save my save file everytime Im about to make big sector capture and it was only times did so
### Mods used
FactoryDusty texture pack
### Save file
### (Crash) logs
have updated to the latest release (https: github.com Anuken Mindustry releases) to make sure my issue has not been fixed.
have searched the closed and open issues to make sure that this problem has not already been reported.</t>
  </si>
  <si>
    <t>Anuken-Mindustry-8947</t>
  </si>
  <si>
    <t>"Local players cannot be traced and do not have info" crash when hosting.. again</t>
  </si>
  <si>
    <t>The game crashes when the block is configured.
### Steps to reproduce
1) start the game on custom map
2) open local server
3) change the configuration of any block
### Mods used
### Save file
### (Crash) logs
GL Version: OpenGL 4.6.0 NVIDIA Corporation GeForce 610M PCIe SSE2
GL Max texture size: 16384
GL Using OpenGL context.
JAVA Version: 1.8.0 311
RAM Available: 1.3 GB
Mindustry Version: 145.1
Total time to load: 16543ms
Fetching community servers at https: Anuken Mindustry master servers v7.json
Fetched 54 community servers.
Saved on exit.
Local players cannot be traced and do not have info.
have updated to the latest release (https: github.com Anuken Mindustry releases) to make sure my issue has not been fixed.</t>
  </si>
  <si>
    <t>2023-08-17</t>
  </si>
  <si>
    <t>Anuken-Mindustry-8946</t>
  </si>
  <si>
    <t>Use Blast compound on Steam generator make it damage.</t>
  </si>
  <si>
    <t>Use Blast compound on Steam generator make it damage and not fully power output.
### Steps to reproduce
1. Build Steam generator.
2. Input water.
3. Input Blast compound.
4. Wait for it.
### Mods used
### Save file
must zip it, github not allow msav file type. Or something wrong with me.
### (Crash) logs
No crash log
have updated to the latest release (https: github.com Anuken Mindustry releases) to make sure my issue has not been fixed.
have searched the closed and open issues to make sure that this problem has not already been reported.</t>
  </si>
  <si>
    <t>Anuken-Mindustry-8944</t>
  </si>
  <si>
    <t>"Local players cannot be traced and do not have info" crash when hosting</t>
  </si>
  <si>
    <t>The game crashes when the block is configured.
### Steps to reproduce
1) start the game
3) custom map
4) select any map (I chose Fortress)
7) mine some lead
8) place sorter
9) go to menu (esc)
10) host multiplayer game
13) select any resource in placed sorter (I choose copper)
### Mods used
### Save file
The save has not been saved.
### (Crash) logs
Initialized Discord rich presence.
Core Initialized SDL v2.0.20
Audio Initialized SoLoud 202002 using MiniAudio at 44100hz 2048 samples channels
GL Version: OpenGL 4.6.0 NVIDIA Corporation GeForce 610M PCIe SSE2
GL Max texture size: 16384
GL Using OpenGL context.</t>
  </si>
  <si>
    <t>PojavLauncherTeam-PojavLauncher-4487</t>
  </si>
  <si>
    <t xml:space="preserve">Zink not working </t>
  </si>
  <si>
    <t>### Describe the bug
When start the pojavlauncher crash
### The log file and images videos
### Steps To Reproduce
Start pojavlauncher crash
### Expected Behavior
Device model: umidigi bison
CPU architecture: 64
Android version: 10
PojavLauncher version: latest zink
### Anything else?
Plss update the working zink</t>
  </si>
  <si>
    <t>2023-08-16</t>
  </si>
  <si>
    <t>deepjavalibrary-djl-2750</t>
  </si>
  <si>
    <t xml:space="preserve">PyTorch Engine throws "EngineException: Method 'forward' is not defined." when running Open AI Whisper zoo-model on GPU </t>
  </si>
  <si>
    <t>When run the openai whisper example from the DJL demo, on GPU, getting this error:
Caused by: Method forward is not defined.
... 13 common frames omitted
### Expected Behavior
The inference was to be performed just as it was done in CPU mode.
### Error Message
Caused by: Method forward is not defined.
... 13 common frames omitted
## How to Reproduce?
To reproduce this error,
1. Avoiding found-two-devices error GPU and CPU found by extending WhisperTranslator to In the extended class override the below function.
the input is moved to GPU, also placeholder is initialized with 0f instead of empty string to avoid the crash SIGSEGV (0xb)
public NDList ctx, Audio input) throws Exception
for (AudioProcessor processor processors)
return new NDList(samples, true)
2. Extending to provide the above extended class
public class implements TranslatorFactory, Serializable
private static final long serialVersionUID 1L
private Device device
private static final Set&lt;Pair&lt;Type, Type&gt;&gt; SUPPORTED TYPES new HashSet&lt;&gt;()</t>
  </si>
  <si>
    <t>Anuken-Mindustry-8939</t>
  </si>
  <si>
    <t>some weapons such as breach and afflict have their projectiles absorbed by ducts when said turrets were targeting something behind the ducts</t>
  </si>
  <si>
    <t>turret with piercing projectiles (breach and afflict are examples) can have their projectiles intercepted by block with underBullets true
&lt;img width 439 alt Screenshot 2023-08-15 103749 src https: github.com Anuken Mindustry assets 125099471
this can be abused on attack maps, players can fight breaches (and to lesser extent afflicts, although afflict only isn seen most of the time) with the help of duct spam and avoid any damage to their units
### Steps to reproduce
In the save file provided, just link the ammo power supply to the breach and afflict on the top of the map and watch their bullets get absorbed by the ducts
it should be easy to reproduce this issue, test with other units turrets with piercing projectiles if needed
### Mods used
used Testing Utilities to spawn the maces and Mapping Utilities to enable Any planet
### Save file
### (Crash) logs
this isn crash
have updated to the latest release (https: github.com Anuken Mindustry releases) to make sure my issue has not been fixed.
have searched the closed and open issues to make sure that this problem has not already been reported.</t>
  </si>
  <si>
    <t>2023-08-15</t>
  </si>
  <si>
    <t>PojavLauncherTeam-PojavLauncher-4481</t>
  </si>
  <si>
    <t>[BUG] Game crashes when opening a new (mc) version</t>
  </si>
  <si>
    <t>### Describe the bug
Application exited with code 1.
### The log file and images videos
### Steps To Reproduce
1. Start PojavLauncher.
2. Use profile which is using 1.16.5 (this is **not** the only version that crashes, 1.18.2 and others that aren installed yet think)
3. Use the jvm args in the latestlog.txt
4. Press play.
5. Game Crashes
### Expected Behavior
Expected the game to launch and run
Device model: RealMe C25s
CPU architecture: 64 bit (if understand this correctly)
Android version: 11
PojavLauncher version: Latest Google Play Release openjdk
### Anything else?
Runtime Manager: Internal 17
1020 Allocated RAM
There are installed versions, 1.8.9, 1.16.5, 1.18.2, their Optifine versions, and 1.16.5 (current one)</t>
  </si>
  <si>
    <t>google-ExoPlayer-11263</t>
  </si>
  <si>
    <t xml:space="preserve">IllegalArgumentException error on PlaybackStatsListener </t>
  </si>
  <si>
    <t>Our application has an average of 200k daily users. When test it, couldn detect any issues. However, when examined Firebase crashlytics events, noticed that the class is causing crashes for some users. suppose the issue is related to the assertion at
****line 658: .**
ExoPlayer version 2.16.0
&lt;img width 1435 alt Screen Shot 2023-08-14 at 22 26 44 src https: github.com google ExoPlayer assets 44908368</t>
  </si>
  <si>
    <t>2023-08-14</t>
  </si>
  <si>
    <t>nextcloud-notes-android-1875</t>
  </si>
  <si>
    <t>crash when searching</t>
  </si>
  <si>
    <t>**Describe the bug**
Any attempt to seach notes crashes the app with error:
App Version: 4.1.0 RC1
App Version Code: 40010051
App Flavor: fdroid
Files App Version Code: 30250090 (PROD)
OS API Level: 33
Model (and Product): SM-G991B (o1sxeea)
Steps to reproduce the behavior:
1. Tap on the search bar
2. Type character
3. Observe crash
Search notes without crash.
**Smartphone (please complete the following information):**
App Version: 4.1.0 RC1
App Version Code: 40010051
App Flavor: fdroid
Files App Version Code: 30250090 (PROD)
OS API Level: 33
Model (and Product): SM-G991B (o1sxeea)</t>
  </si>
  <si>
    <t>aws-amplify-amplify-android-2560</t>
  </si>
  <si>
    <t>AndroidRuntime: java.lang.IllegalStateException: Already resumed</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</si>
  <si>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Put output below this line
### Environment information
Put output below this line
### Please include any relevant guides or documentation you re referencing
### Describe the bug
am using Amplify Authentication library. My application crash sometimes when try to submit MFA otp
override suspend fun submitMfaCode(
val confirmationCode code)
Code was not valid, so still in this state
catch (e: AuthException)
found there are some crash happening in the Amplify library. Here is the crash output:
went to check the library code to see where this crash happening. found it is happening in below code where continuation gets called multiple time:
override suspend fun confirmSignIn(
return suspendCoroutine continuation -&gt;
Could you tell me what to do to prevent this error happening as it crashing my app.</t>
  </si>
  <si>
    <t>FCL-Team-FoldCraftLauncher-87</t>
  </si>
  <si>
    <t>Fix shader crashing when activating</t>
  </si>
  <si>
    <t>### Launcher Version
### Device Information
### Problem Description
bruh fix it please beg you all
### Game Version
### Modifications Made to the Game
### Game Crash Report
when activating shader it crashes and sends you back to the Launcher Home
### Launcher Crash Report
### Launcher Log File</t>
  </si>
  <si>
    <t>Anuken-Mindustry-8932</t>
  </si>
  <si>
    <t>game crash when I try to open it</t>
  </si>
  <si>
    <t>want to start the game and crash file have appear. The game isn opening
### Steps to reproduce
don really know how to reproduce because it just appear after an update of java
### Mods used
### Save file
### (Crash) logs
have updated to the latest release (https: github.com Anuken Mindustry releases) to make sure my issue has not been fixed.
have searched the closed and open issues to make sure that this problem has not already been reported.</t>
  </si>
  <si>
    <t>LSPosed-LSPosed-2686</t>
  </si>
  <si>
    <t>[Bug] Breaks revolut 9.16 onwards</t>
  </si>
  <si>
    <t>### Steps to reproduce
1. Install Revolut 9.16 or later and open it.
### Expected behaviour
App should open normally.
### Actual behaviour
App crashes immediately when starting up.
Workaround for now is to downgrade to Revolut 9.15, but they will stop supporting that at some point.
### Xposed Module List Xposed
### Magisk Module List Magisk
Universal SafetynetFix 2.4.0
MagiskHide Props Config 6.1.2-137
### LSPosed version LSPosed
### Android version Android
13 LineageOS 20 with MicroG
### Magisk version Magisk
### Riru version Riru
### Version requirement
am using latest debug CI version of LSPosed and enable verbose log CI
--------- beginning of crash</t>
  </si>
  <si>
    <t>2023-08-13</t>
  </si>
  <si>
    <t>AndroidIDEOfficial-AndroidIDE-1208</t>
  </si>
  <si>
    <t>[Bug]: Error putting the app in the background</t>
  </si>
  <si>
    <t>### What happened?
just put the application in the background and when returned to it it showed me the error
### What the expected behavior?
it won close the app
### What version of AndroidIDE you re using?
v2.5.2 (debug builds)
### Relevant log output
AndroidIDE crash report
SDK version: 33
### Duplicate issues
This issue has not been reported yet.
### Code of Conduct
agree to follow this project Code of Conduct</t>
  </si>
  <si>
    <t>2023-08-12</t>
  </si>
  <si>
    <t>Doubi88-SlideshowWallpaper-23</t>
  </si>
  <si>
    <t>deleted images cause problems</t>
  </si>
  <si>
    <t>If an image from the slideshow has been deleted:
when the slideshow tries to set that image as wallpaper, it ends up being solid black
if try to remove that image from the slideshow in the app, the app crashes</t>
  </si>
  <si>
    <t>jellyfin-jellyfin-androidtv-2963</t>
  </si>
  <si>
    <t>[0.16.0-beta.2] TV guide items are showing in recordings and programs</t>
  </si>
  <si>
    <t>### Describe the bug
Since search was fixed from crashing, items are showing in recordings and programs section off the app.
The debug app isn able to be updated (beta 2). Having to uninstall the app to install update, can this change?
### Application version
### Where did you install the app from?
### Device information
### Android version
### Jellyfin server version</t>
  </si>
  <si>
    <t>jellyfin-jellyfin-androidtv-2960</t>
  </si>
  <si>
    <t>Fix crash when same item appears in queue multiple times</t>
  </si>
  <si>
    <t>Fix crash when same item appears in queue multiple times
&lt;!-- Tag any issues that this PR solves here.
ex. Fixes --&gt;</t>
  </si>
  <si>
    <t>2023-08-11</t>
  </si>
  <si>
    <t>MuntashirAkon-AppManager-1145</t>
  </si>
  <si>
    <t xml:space="preserve">Crashing on Android 13 while getting Superuser Privilege </t>
  </si>
  <si>
    <t>### Please check before submitting an issue
know what my device, OS and App Manager versions are
know how to take logs
know how to reproduce the issue which may not be specific to my device
### Describe the bug
The app crashes while getting Superuser Privilege, if didn get it works fine.
### To Reproduce
### Expected behavior
You can find logs here: https: bin.kv2.dev
### Device info
Device: Redmi Note Pro
OS Version: 13
App Manager Version: 3.1.1 Stable
### Additional context</t>
  </si>
  <si>
    <t>Anuken-Mindustry-8916</t>
  </si>
  <si>
    <t>crash.</t>
  </si>
  <si>
    <t>Game crashes randomly at any point.
blame my mods, but you should look into it. Might be something.
### Steps to reproduce
### Mods used
### Save file
love you Anuken.zip (https: github.com Anuken Mindustry files 12317451
### (Crash) logs
have updated to the latest release (https: github.com Anuken Mindustry releases) to make sure my issue has not been fixed.
have searched the closed and open issues to make sure that this problem has not already been reported.</t>
  </si>
  <si>
    <t>2023-08-10</t>
  </si>
  <si>
    <t>Anuken-Mindustry-8915</t>
  </si>
  <si>
    <t>Mindustry crashes after 5 minutes of playing</t>
  </si>
  <si>
    <t>release 145.1, Google play
after about minutes, mindustry crashes due to using up to 900mb of ram, crashing the entire game. this also happens during menu changes, graphical effects, and waves
### Steps to reproduce
Have android device without any mods on any map over 400x400
### Mods used
### Save file
Can import due to save size of 232mb
### (Crash) logs
have updated to the latest release (https: github.com Anuken Mindustry releases) to make sure my issue has not been fixed.
have searched the closed and open issues to make sure that this problem has not already been reported.</t>
  </si>
  <si>
    <t>AndroidIDEOfficial-AndroidIDE-1198</t>
  </si>
  <si>
    <t>[Bug]: Application crashed when clicking on undo.</t>
  </si>
  <si>
    <t>### What happened?
The application crashed while was undoing my code.
### What the expected behavior?
### What version of AndroidIDE you re using?
v2.5.2 (debug builds)
### Relevant log output
AndroidIDE crash report
SDK version: 33
### Duplicate issues
This issue has not been reported yet.
### Code of Conduct
agree to follow this project Code of Conduct</t>
  </si>
  <si>
    <t>OpenTracksApp-OpenTracks-1663</t>
  </si>
  <si>
    <t>nightly crash</t>
  </si>
  <si>
    <t>### App information
### Device information
### Cause of error
Exception in thread ModernAsyncTask #2 An error occurred while executing doInBackground()</t>
  </si>
  <si>
    <t>CSC207-2023Y-UofT-course-project-tnt-50</t>
  </si>
  <si>
    <t>timer glitch with prompt</t>
  </si>
  <si>
    <t>the app crashes when the timer reaches the end of the first cycle</t>
  </si>
  <si>
    <t>2023-08-09</t>
  </si>
  <si>
    <t>jellyfin-jellyfin-androidtv-2952</t>
  </si>
  <si>
    <t>experience is atrocious. (0.15.11 or 0.16.2)</t>
  </si>
  <si>
    <t>### Describe the bug
got an LG TV on Web OS using the WebOS Jellyfin client and the experience is what it should be (8th gen i5 server with Intel transcoding). It is smooth, we can go fast forward, rewind, it snappy. So this is my benchmark. Wife compliant!
Now, on my latest Fire TV 4K stick (which is really fast little device connected through Ethernet USB-Host) the Jellyfin player version 0.15.11 is disaster, so installed version 0.16.2 and it just the same.
The app keeps on crashing. Cannot fast forward without crash or if no crash, real long wait before it resumes. cannot rewind, same behaviour.
If don fore quit the app from the FireTV settings, it will crash playback the next day (the two first crash logs are because didn force quit today).
On minor annoyance, the menu item for audio sync is so big on screen that you cannot see the characters talking half of the time. The FireStick screen saver got over the playback twice as writing this piece... and now, for good 15 minutes, no screen saver... what gives
Anyway, this Android TV app is not wife compliant, if you see what mean...
All my logs back to back:
Caused by: Request timeout has expired url http: 192.168.2.201:8096 Users Items request timeout 30000 ms
### App information
***App version***: 0.16.0-beta.2 160002
### Device information
***Device brand***: Amazon
***Device product***: kara
***Device model***: AFTKA
### Crash information
remainder of logs are here (too many chars):
### Application version
### Where did you install the app from?
### Device information</t>
  </si>
  <si>
    <t>FCL-Team-FoldCraftLauncher-79</t>
  </si>
  <si>
    <t>when Activating shaders in Shaderpacks it crashes pls fix:(</t>
  </si>
  <si>
    <t>### Launcher Version
### Device Information
### Problem Description
so was downloading Shader for Holy renderer
and going to try it and then when activating it it crashes not just with the shader and when you press Internal render it crashes as well tested on the other shaders it still crashes please fix this :(
### Game Version
### Modifications Made to the Game
Optifine and Forge
### Game Crash Report
this is the crash video
### Launcher Crash Report
### Launcher Log File</t>
  </si>
  <si>
    <t>2023-08-08</t>
  </si>
  <si>
    <t>AndroidIDEOfficial-AndroidIDE-1195</t>
  </si>
  <si>
    <t>[Bug]: Flash back</t>
  </si>
  <si>
    <t>### What happened?
After the build is successful, close the project and flashback occurs
### What the expected behavior?
Screenshot com itsaky androidide (https: github.com AndroidIDEOfficial AndroidIDE assets 131748628
### What version of AndroidIDE you re using?
v2.5.2 (debug builds)
### Relevant log output
AndroidIDE crash report
SDK version: 33
### Duplicate issues
This issue has not been reported yet.
### Code of Conduct
agree to follow this project Code of Conduct</t>
  </si>
  <si>
    <t>ringcentral-tutorials-engage-digital-messaging-android-demo-30</t>
  </si>
  <si>
    <t>Fix: rotating the device to landscape while on the telecom tab crashes the app. RD-27298</t>
  </si>
  <si>
    <t>awslabs-aws-crt-java-659</t>
  </si>
  <si>
    <t>Application crashes with an image base liberica-openjre-alpine in `s3Transfer` copy operation</t>
  </si>
  <si>
    <t>### Describe the bug
Since the release of version 0.24.0 0.23.0, our application has been crashing during the execution of s3Transfer copy operation.
It running on JDK 17 and we use bellsoft as base image.
The code has been tested and confirmed to run smoothly on and may also work on other base images.
### Expected Behavior
It doesn crash in liberica images.
### Current Behavior
The application crashes. Here are the logs:
error occurred during error reporting ((null)), id 0xb, SIGSEGV (0xb) at pc 0x00007ff917c0dcf4
error occurred during error reporting (printing fatal error message), id 0xb, SIGSEGV (0xb) at pc 0x00007ff917c0dcf4
error occurred during error reporting (printing type of error), id 0xb, SIGSEGV (0xb) at pc 0x00007ff917c0dcf4
error occurred during error reporting (printing exception signal name), id 0xb, SIGSEGV (0xb) at pc 0x00007ff917c0dcf4
error occurred during error reporting (printing current thread and pid), id 0xb, SIGSEGV (0xb) at pc 0x00007ff917c0dcf4
error occurred during error reporting (printing error message), id 0xb, SIGSEGV (0xb) at pc 0x00007ff917c0dcf4
error occurred during error reporting (printing Java version string), id 0xb, SIGSEGV (0xb) at pc 0x00007ff917c0dcf4
error occurred during error reporting (printing problematic frame), id 0xb, SIGSEGV (0xb) at pc 0x00007ff917c0dcf4
error occurred during error reporting (printing core file information), id 0xb, SIGSEGV (0xb) at pc 0x00007ff917c0dcf4
error occurred during error reporting (printing jfr information), id 0xb, SIGSEGV (0xb) at pc 0x00007ff917c0dcf4
error occurred during error reporting (printing bug submit message), id 0xb, SIGSEGV (0xb) at pc 0x00007ff917c0dcf4
error occurred during error reporting (printing summary), id 0xb, SIGSEGV (0xb) at pc 0x00007ff917c0dcf4</t>
  </si>
  <si>
    <t>green-green-avk-AnotherTerm-44</t>
  </si>
  <si>
    <t>lsusb after libusb setup crashes debian bookworm root session</t>
  </si>
  <si>
    <t>trying to interface with USB device and Termux wasn really helping, so when found your excellent tool decided to try it out. My first attempt with Alpine had some other issues with the software was trying to compile but got things built under Debian, but now when try to list the devices get the permission prompt and can accept it, and it prints the correct device info, but then immediately kills the session which must close the USB connection because running the compiled application in new session reports it can find compatible device.
To add few more details, the device attempting to access presents various HID interfaces for programming and interacting with the device, ve been able to interact with it from Linux easily, from Chromebook with couple limitations in the Crostini Linux apps environment, and now Android is my next battlefield.
with -v and -d 1209:</t>
  </si>
  <si>
    <t>jellyfin-jellyfin-androidtv-2949</t>
  </si>
  <si>
    <t>Improve BaseRowItem refreshing (fix crash after item deletion)</t>
  </si>
  <si>
    <t>Fix race conditions where selected item would change during refresh
Catch API exceptions
Remove item from adapter when refresh fails should actually only happen with 404 but the server returns 500
Format some files</t>
  </si>
  <si>
    <t>2023-08-07</t>
  </si>
  <si>
    <t>PhenoApps-Field-Book-706</t>
  </si>
  <si>
    <t>[BUG]: v5.5 crashing</t>
  </si>
  <si>
    <t>Trying to use v5.5 on my Samsung S22. When opening Field Import, long lag time even with only sample fields and my intended field loaded followed by crashing. get the attached message.
### Expected behavior
### Field Book version</t>
  </si>
  <si>
    <t>bk138-droidVNC-NG-157</t>
  </si>
  <si>
    <t>Version 2.0.0 crashes immediately after startup</t>
  </si>
  <si>
    <t>If you like to put out an incentive for fixing this bug, you can do so at https: issuehunt.io bk138 droidVNC-NG
**Describe the bug**
had version 1.4.0 and installed 2.0.0 (downloaded from Github) over it. Afterwards installed 1.4.0 over 2.0.0 and it worked again normally.
1. Install 2.0.0 over 1.4.0 (the latter worked).
2. Started droidVNC.
3. It crashes and closes.
It should work normally.
**Your environment (please complete the following information):**
droidVNC-NG version: 2.0.0
Android version: 10
Client-side OS and version: macOS Ventura
VNC client and version:RealVNC viewer</t>
  </si>
  <si>
    <t>nextcloud-notes-android-1867</t>
  </si>
  <si>
    <t>**Describe the bug**
Trying yo search in searchbox crashes the app on typing the first letter.
Steps to reproduce the behavior:
1. Open the app
2. Click on the search input
&lt;!-- clear and concise description of what you expected to happen. --&gt;
&lt;!-- If applicable, add screenshots to help explain your problem. --&gt;
**Smartphone (please complete the following information):**
Nextcloud Notes-Version (android app):
Nextcloud Notes version (server app):
App Version: 4.1.0 RC1
App Version Code: 40010051
App Flavor: fdroid
Files App Version Code: 30250090 (PROD)
OS API Level: 29
Model (and Product): SM-G960F (starltexx)</t>
  </si>
  <si>
    <t>jellyfin-jellyfin-androidtv-2948</t>
  </si>
  <si>
    <t>Error deleting item</t>
  </si>
  <si>
    <t>### Describe the bug
Upon deleting item after playing there was crash of the client, seems sporadic as some items delete without an issue.
Movie details taken out of log.
Server should be quick enough to handle as nothing else was happening on it and it Ryzen 5700x with 16GB of RAM.
--- End of stack trace from previous location ---
--- End of stack trace from previous location ---
### Application version
### Where did you install the app from?
### Device information
Sony Bravia TV KD-49XG9005
### Android version
Latest for that model 9?
### Jellyfin server version</t>
  </si>
  <si>
    <t>AndroidIDEOfficial-AndroidIDE-1189</t>
  </si>
  <si>
    <t xml:space="preserve">[Bug]: App crash when I add src:@drawable/ic_clear_grey in preview layout </t>
  </si>
  <si>
    <t>### What happened?
AndroidIDE crash report
SDK version: 31
### What the expected behavior?
Please release this fix as soon as possible
### What version of AndroidIDE you re using?
v2.5.0 (debug builds)
### Relevant log output
### Duplicate issues
This issue has not been reported yet.
### Code of Conduct
agree to follow this project Code of Conduct</t>
  </si>
  <si>
    <t>AndroidIDEOfficial-AndroidIDE-1186</t>
  </si>
  <si>
    <t>[Bug]: App Crash</t>
  </si>
  <si>
    <t>### What happened?
AndroidIDE crash report
SDK version: 31
### What the expected behavior?
Please fix it
### What version of AndroidIDE you re using?
v2.5.0 (debug builds)
### Relevant log output
### Duplicate issues
This issue has not been reported yet.
### Code of Conduct
agree to follow this project Code of Conduct</t>
  </si>
  <si>
    <t>2023-08-06</t>
  </si>
  <si>
    <t>nextcloud-notes-android-1866</t>
  </si>
  <si>
    <t>search leads to crash</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</si>
  <si>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searching notes leads to error setSpan (153...83) has end before start
Steps to reproduce the behavior:
1. Go to search box
2. begin typing
3. See error
&lt;!-- clear and concise description of what you expected to happen. --&gt;
expecting search to... search!
&lt;!-- If applicable, add screenshots to help explain your problem. --&gt;
**Smartphone (please complete the following information):**
Nextcloud Notes-Version (android app): 4.1.0 RC1
F-Droid or Play Store: f-droid
Android-Version: Android 13 (Lineage 20)
Device: OnePlus A6003</t>
  </si>
  <si>
    <t>2023-08-05</t>
  </si>
  <si>
    <t>nextcloud-android-11870</t>
  </si>
  <si>
    <t>Deleted Storage path in Android produces Null pointer</t>
  </si>
  <si>
    <t>### Steps to reproduce
1. Create path like InstantUploud Camera on the Nextcloud
2. Use the *Share with Nextcloud* function in Android to upload file
3. Choice in the Nextcloud App the path InstantUpload Camera
4. Delete in the Nextcloud path InstantUpload Camera
5. Use the *Share with Nextcloud* function in Android to upload file
5.1 **try to upload instantly**
5.1.1 click the upload button
5.2 **try to change directory**
5.2.1 click the back arrow in the upper left corner
5.2.2 App shows crash because of
### Expected behaviour
5.1.2 Test before upload if path exists. If the path does not exist, show error message to user and change to root directory.
5.2.2 Recover from missing path. Show error message and switch to root directory.
### Actual behaviour
5.1.2 nothing happens
5.2.2 App shows crash because of
### Android version
### Device brand and model
### Stock or custom OS?</t>
  </si>
  <si>
    <t>nextcloud-notes-android-1865</t>
  </si>
  <si>
    <t>Searching for a note gives error</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</si>
  <si>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When using the search bar to find note, app crashes with Java error. My server has 97 notes and categories (folders). Also 13 starred notes.
Steps to reproduce the behavior:
1. Search for note in the app. Upon entering any text stacktrace is shown.
&lt;!-- clear and concise description of what you expected to happen. --&gt;
App should filter my notes and show them.
&lt;!-- If applicable, add screenshots to help explain your problem. --&gt;
**Smartphone (please complete the following information):**
Nextcloud Notes-Version (android app): 4.1.0 RC1
F-Droid or Play Store: f-droid
Android-Version: 13, stock rom
Nextcloud version: Nextcloud Hub (26.0.2)
Nextcloud Notes version (server app): 4.8.0
App Version: 4.1.0 RC1</t>
  </si>
  <si>
    <t>AndroidIDEOfficial-AndroidIDE-1176</t>
  </si>
  <si>
    <t>[bug]: NPE when I click in preview layout without layout files opened</t>
  </si>
  <si>
    <t>### What happened?
don use the layout feature, but ve noticed that if have layout and close it and try to preview it, the app hangs at an NPE
Video showing the issue:
### What the expected behavior?
### What version of AndroidIDE you re using?
v2.5.0 (debug builds)
### Relevant log output
AndroidIDE crash report
SDK version: 28
### Duplicate issues
This issue has not been reported yet.
### Code of Conduct
agree to follow this project Code of Conduct</t>
  </si>
  <si>
    <t>2023-08-04</t>
  </si>
  <si>
    <t>AndroidIDEOfficial-AndroidIDE-1175</t>
  </si>
  <si>
    <t>### What happened?
AndroidIDE crash report
SDK version: 30
### What the expected behavior?
It happened when reopen the ide, it stuck then cleared cache.
### What version of AndroidIDE you re using?
v2.5.0 (debug builds)
### Relevant log output
### Duplicate issues
This issue has not been reported yet.
### Code of Conduct
agree to follow this project Code of Conduct</t>
  </si>
  <si>
    <t>microg-GmsCore-2005</t>
  </si>
  <si>
    <t>GmsCore crashes on device without GPS provider</t>
  </si>
  <si>
    <t>have device running Android 13 (android-x86) and The device does not have gnss HAL (no hardware, gnss HAL service not installed or running). In that case, there is no GPS location provider. When an app requests location, e.g. MyChart, the GmsCore app crashes with the following backtrace:
My understanding is that the gnss HAL is optional, so would expect GmsCore to be able to cope with that scenario:</t>
  </si>
  <si>
    <t>microg-GmsCore-2004</t>
  </si>
  <si>
    <t>[com.wunderground.android.weather] Stopped working (crash) since Microg v0.2.28.231657</t>
  </si>
  <si>
    <t>**Describe the bug**
Here is the error from logcat when launching the app
Steps to reproduce the behavior:
2. Launch the app
3. The app crashes
The app should open and work.
Android Version: 13
Custom ROM: iod
microG Core version: 0.2.28.231657-28 (a749fe4)
microG Self-Check results: All ticked
&lt;!-- Please note that any of the self-check items not being ticked is good indicator of microG being not properly set up. If something is not working, it might just be because of that. --&gt;
The app worked fine before upgraded from MicroG v0.2.27.223616 to v0.2.28.231657</t>
  </si>
  <si>
    <t>AndroidIDEOfficial-AndroidIDE-1174</t>
  </si>
  <si>
    <t>[Bug]: AndroidIde gets Stuck</t>
  </si>
  <si>
    <t>### What happened?
After sometime androidide gets stuck without any reason. And then no button works when clicked. Also note that the app didn crashed and it stayed stuck there.
### What the expected behavior?
Should not get stucked
### What version of AndroidIDE you re using?
v2.5.0 (debug builds)
### Relevant log output
can open the logs since it was stuck and had to remove the app and start again.
### Duplicate issues
This issue has not been reported yet.
### Code of Conduct
agree to follow this project Code of Conduct</t>
  </si>
  <si>
    <t>FCL-Team-FoldCraftLauncher-66</t>
  </si>
  <si>
    <t>Error feedback</t>
  </si>
  <si>
    <t>### Launcher Version
### Device Information
Redmi Note Android 10 arm64
### Problem Description
1.12.2 Running the Avaritia module will crash back
### Game Version
### Modifications Made to the Game
OptiFine 1.12.2 HD G5 Avaritia CodeChicken Lib Forge14.23.5.2860
### Game Crash Report
### Launcher Crash Report
### Launcher Log File</t>
  </si>
  <si>
    <t>2023-08-03</t>
  </si>
  <si>
    <t>jellyfin-jellyfin-androidtv-2940</t>
  </si>
  <si>
    <t>Fix crash when reusing actions in MyDetailsOverviewRowPresenter</t>
  </si>
  <si>
    <t>This is bit of hack but the FullDetailsFragment is too messy to fix it properly right now...
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Remove current parent first if set to avoid crash (parent already set)
&lt;!-- Describe your changes here in 1-5 sentences. --&gt;
&lt;!-- Tag any issues that this PR solves here.
ex. Fixes --&gt;</t>
  </si>
  <si>
    <t>2023-08-02</t>
  </si>
  <si>
    <t>FCL-Team-FoldCraftLauncher-64</t>
  </si>
  <si>
    <t>Patcher mod crash</t>
  </si>
  <si>
    <t>### Launcher Version
### Device Information
Samsung Galaxy A33 5G, Android 13, aarch64
### Problem Description
So tried to run Patcher mod in Minecraft Forge 1.8.9, At first it was running fine, but when open world or when open the settings, the game freezes and crashes for no reason after few seconds.
even tried to run it several times but it gives the same thing.
Would it be possible for you to fix this problem
And would it be possible for you to make it work in the next updates
If you want, even recorded to show you how this happened.
Screenshot of the issue (https: github.com FCL-Team FoldCraftLauncher assets 80771781
### Game Version
### Modifications Made to the Game
Forge 11.15.1.2318, OptiFine HD M5, Sidebar Mod Revamp 2.0, BetterFps-1.2.0, Cloud Client 1.4.1, Essential-forge 1-8-9, Patcher 1.8.7, TimeChanger 1.0
### Game Crash Report
### Launcher Crash Report
### Launcher Log File</t>
  </si>
  <si>
    <t>Anuken-Mindustry-8883</t>
  </si>
  <si>
    <t>Game kicks me to desktop after loading without crash. (game breaking, not fixed)</t>
  </si>
  <si>
    <t>7.0 Build 145.1
Ive played mindustry for long time but several days ago tried to play it and when the game loaded got kicked to desktop and the game went into the taskbar, if tried to show the window black completely empty window appeared which seemed to change size several times before going back into the taskbar.
have reinstalled the game several times, unsubscribed from mods on my workshop nothing fixed or changed it, have already played version before and it worked fine.
tried to get tech support for it but got redirected to the email for anukendev, got no response after describing the problem, tried on steam discussions but not much then found the github for mindustry.
Some info: play on laptop with an integrated GPU and use windows 11 ive never had this problem before or seen it, also when the game hides in the taskbar can still hear the menu music, ive verified the integrity of installed files and have no other apps games with such issues, and bought and use the game on steam, also have not seen the same exact bug in any closed or open issue.
im *not providing save file* as all can actually see before get kicked is the loading screen then the game goes into the taskbar on its own, *cant provide any steps for reproduction of the bug as was just trying to run the game* and thats what happened, ive *removed all mods so cant provide list of those either.*
if theres any more info should provide, please comment that instead of instantly closing the issue like its finished, cannot play the game when its in this state.
### Steps to reproduce
Unknown, seemingly happened after some update.
### Mods used
all removed, didnt fix it
### Save file
Happened after the start-up loading screen not in save.
### (Crash) logs
have updated to the latest release (https: github.com Anuken Mindustry releases) to make sure my issue has not been fixed.
have searched the closed and open issues to make sure that this problem has not already been reported.</t>
  </si>
  <si>
    <t>AndroidIDEOfficial-AndroidIDE-1169</t>
  </si>
  <si>
    <t>[Bug] App Crash</t>
  </si>
  <si>
    <t>### What happened?
AndroidIDE crash report
SDK version: 31
### What the expected behavior?
Bug fix for improvement
### What version of AndroidIDE you re using?
v2.5.0 (debug builds)
### Relevant log output
### Duplicate issues
This issue has not been reported yet.
### Code of Conduct
agree to follow this project Code of Conduct</t>
  </si>
  <si>
    <t>2023-08-01</t>
  </si>
  <si>
    <t>cgeo-cgeo-14466</t>
  </si>
  <si>
    <t>"navigation menu" setting crash</t>
  </si>
  <si>
    <t>Settings -&gt; routing navigation -&gt; navigation menu crash
guess this is related to OrganicMaps integration (https: github.com cgeo cgeo commit
FATAL EXCEPTION: main</t>
  </si>
  <si>
    <t>2023-07-31</t>
  </si>
  <si>
    <t>cgeo-cgeo-14465</t>
  </si>
  <si>
    <t>Crash in landscape</t>
  </si>
  <si>
    <t>With Saturdays master (https: github.com cgeo cgeo commit get crashes whenever cgeo is started in landscape or when rotating the device and doing any UI interaction.
Screen size in landscape is 1706x1080 might be relevant as can reproduce on another device.
In portrait everything is fine.
FATAL EXCEPTION: main
... 13 more</t>
  </si>
  <si>
    <t>deltachat-deltachat-android-2626</t>
  </si>
  <si>
    <t>Nightlies (APKs) built 2023-07-27 and younger do not run</t>
  </si>
  <si>
    <t>Fairphone FP2 (Lineage OS 18.1 build RQ3A.211001.001 10be2ba37b from 2023-07-20).
Delta Chat version:
1.38.2 (nightly builds &gt;2023-07-26).
The app is launched.
The app crashes.
Steps to reproduce the problem:
-- Install Delta Chat nightly built on 2023-07-27 or later, and try to run it.</t>
  </si>
  <si>
    <t>Aliucord-Aliucord-376</t>
  </si>
  <si>
    <t>Aliucord not initializing and emotes not loading</t>
  </si>
  <si>
    <t>### Discord Account
### What happens when the bug or crash occurs?
this bug is preventing Aliucord to load, as in the app loads, can use it, but no plugins or themes, and for some reason, emotes (builtin) do not load, while they do on vanilla...
as note, am on latest android 14 beta, so it may be related to that if you cant reproduce the bug on a13 stable
### What is the expected behaviour?
expect aliucord to initialize and be able to use it, and view and send emojis
### How do you recreate this bug or crash?
1. install aliucord with latest version of installer app
2. see by yourself
no crashlog but the error logcat is
when trying to load an emoji
### Request Agreement
did indeed check to make sure the bug or crash report is applicable!</t>
  </si>
  <si>
    <t>MuntashirAkon-AppManager-1137</t>
  </si>
  <si>
    <t>AM crashes without SAF</t>
  </si>
  <si>
    <t>### Please check before submitting an issue
know what my device, OS and App Manager versions are
know how to take logs
know how to reproduce the issue which may not be specific to my device
### Describe the bug
Not sure what changed, recently AM crashing everytime export any profile.
See my next comment.
### To Reproduce
1. Long click on any profile Export
3. See error
### Expected behavior
### Device info
App version: 4.0.0-alpha01
App version code: 434
Android build version: 8049b-fa5cf
Android release version: 12
Android SDK version: 31
Android build ID: S2RUBS32.51-15-9-7
Device brand: motorola
Device manufacturer: motorola</t>
  </si>
  <si>
    <t>jellyfin-jellyfin-androidtv-2932</t>
  </si>
  <si>
    <t>Fix crash when location type is null in CardPresenter</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</si>
  <si>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crash when location type is null in CardPresenter
Should fix #2930</t>
  </si>
  <si>
    <t>jellyfin-jellyfin-androidtv-2931</t>
  </si>
  <si>
    <t>[0.16.0-beta.1] App crashes before next up screen</t>
  </si>
  <si>
    <t>### Describe the bug
Watching media in HEVC format, once ended the app crashed. think has something to do with next up?
--------- beginning of crash
### App information
***App version***: 0.16.0-beta.1 160001
### Device information
***Android version***: 11
***Device brand***: NVIDIA
***Device product***: sif
***Device model***: SHIELD Android TV
### Crash information
### Application version
### Where did you install the app from?
### Device information
### Android version
### Jellyfin server version</t>
  </si>
  <si>
    <t>FCL-Team-FoldCraftLauncher-54</t>
  </si>
  <si>
    <t>some modpack crashed</t>
  </si>
  <si>
    <t>### Launcher Version
### Device Information
Redmi Note Pro, Android 11, arm64
### Problem Description
there are some modpacks that crash when launching like MC Eternal Lite, Stone Block,...
### Game Version
### Modifications Made to the Game
### Game Crash Report
### Launcher Crash Report
### Launcher Log File</t>
  </si>
  <si>
    <t>FCL-Team-FoldCraftLauncher-53</t>
  </si>
  <si>
    <t>Modpacks crashing</t>
  </si>
  <si>
    <t>### Launcher Version
### Device Information
Redmi K40, android 13,arm64
### Problem Description
some 1.7.10 modpacks like regrowth,ftb magic quest... can run on 1.0.1,1.0.2 but in latest version,it crash
### Game Version
### Modifications Made to the Game
Forge 1.7.10, modpacks regrowth
### Game Crash Report
### Launcher Crash Report
### Launcher Log File</t>
  </si>
  <si>
    <t>FCL-Team-FoldCraftLauncher-52</t>
  </si>
  <si>
    <t>crash on fabric 1.18.2</t>
  </si>
  <si>
    <t>### Launcher Version
### Device Information
Realme GT NEO 150W
### Problem Description
Initializing game failed
### Game Version
### Modifications Made to the Game
### Game Crash Report
### Launcher Crash Report
### Launcher Log File</t>
  </si>
  <si>
    <t>FCL-Team-FoldCraftLauncher-51</t>
  </si>
  <si>
    <t xml:space="preserve">Launcher crash </t>
  </si>
  <si>
    <t>### Launcher Version
### Device Information
Poco c3 Prosser mediatek hello g35 bit 32
### Problem Description
Render angle and all render
### Game Version
### Modifications Made to the Game
### Game Crash Report
### Launcher Crash Report
### Launcher Log File</t>
  </si>
  <si>
    <t>jellyfin-jellyfin-androidtv-2930</t>
  </si>
  <si>
    <t>[v0.16.0-beta.1] Crash while searching</t>
  </si>
  <si>
    <t>### Describe the bug
Searching crashes the app?
### App information
***App version***: 0.16.0-beta.1 160001
### Device information
***Android version***: 11
***Device brand***: NVIDIA
***Device product***: sif
***Device model***: SHIELD Android TV
### Crash information
### Application version
### Where did you install the app from?
### Device information
### Android version
### Jellyfin server version</t>
  </si>
  <si>
    <t>AndroidIDEOfficial-AndroidIDE-1168</t>
  </si>
  <si>
    <t>[Bug]: Crash after changing to dark mode</t>
  </si>
  <si>
    <t>### What happened?
changed dark mode in quick settings and IDE crashed
### What the expected behavior?
### What version of AndroidIDE you re using?
v2.5.0 (debug builds)
### Relevant log output
AndroidIDE crash report
SDK version: 33
### Duplicate issues
This issue has not been reported yet.
### Code of Conduct
agree to follow this project Code of Conduct</t>
  </si>
  <si>
    <t>2023-07-30</t>
  </si>
  <si>
    <t>Anuken-Mindustry-8865</t>
  </si>
  <si>
    <t>Saving map causes crash.</t>
  </si>
  <si>
    <t>When am trying to save map in map editor, the game crashed.
heared that some android users have the same problem but some other android users don t.
### Steps to reproduce
1. Create new map in map editor.
2. Save the map. (If the game haven crashed, try more times)
### Mods used
### Save file
### (Crash) logs
No crash file was created.
have updated to the latest release (https: github.com Anuken Mindustry releases) to make sure my issue has not been fixed.
have searched the closed and open issues to make sure that this problem has not already been reported.</t>
  </si>
  <si>
    <t>FCL-Team-FoldCraftLauncher-46</t>
  </si>
  <si>
    <t>i cant use optifine and forge at the same time</t>
  </si>
  <si>
    <t>### Launcher Version
### Device Information
Redmi Note Pro, Android 12, arm64-v8a
### Problem Description
when join world with forge and optifine it loads to 100 then it says saving then it crashes
### Game Version
### Modifications Made to the Game
Optifine HD l5 Forge 47.1.43
### Game Crash Report
### Launcher Crash Report
### Launcher Log File</t>
  </si>
  <si>
    <t>jellyfin-jellyfin-androidtv-2923</t>
  </si>
  <si>
    <t>Fix crash when switching users while playing music</t>
  </si>
  <si>
    <t>Previously we only stopped playback after the user is changed, with this change we also stop media immediately after usiong the switch users button in the home toolbar&lt;!--
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Stop media playback when switching users
Previously we only stopped playback after the user is changed, with this change we also stop media immediately after usiong the switch users button in the home toolbar
Don clear ApiClient credentials when destroying session
This fixes various crashes where API calls would fail after session was destroyed. Most notable was the crash that occurred when stopping music playback when switching users
&lt;!-- Tag any issues that this PR solves here.
ex. Fixes --&gt;</t>
  </si>
  <si>
    <t>2023-07-29</t>
  </si>
  <si>
    <t>CappielloAntonio-tempo-21</t>
  </si>
  <si>
    <t>Consistently crashing</t>
  </si>
  <si>
    <t>Pixel GrapheneOS Version: 2023072600
Tempo Release v.3.4.7
Part of my music library is in WAV format which seems to cause the app to crash. ve attempted to play several WAV tracks and the app will crash, go to reopen the app and it will immediately crash again. will uninstall, reinstall, and successfully play an MP3 track. As soon as attempt to play WAV track, the app will crash again.
Here is the crash report get:</t>
  </si>
  <si>
    <t>nextcloud-android-11848</t>
  </si>
  <si>
    <t>App crashes on startup, or after logging in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</si>
  <si>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Login to the nextcloud app
2. Observe the crash
3. restart of the app starts the login process all over again
### Expected behaviour
App shouldn crash
### Actual behaviour
### Android version
### Device brand and model
Samsung Galaxy A5 2017
### Stock or custom OS?
Custom (explain in additional information
### Nextcloud android app version
3.25.0 according to f-droid. Can check the settings screen for obvious reasons.
### Nextcloud server version</t>
  </si>
  <si>
    <t>LSPosed-LSPatch-224</t>
  </si>
  <si>
    <t xml:space="preserve">[Bug] multi-user app crash </t>
  </si>
  <si>
    <t>### Steps to reproduce
1. adb shell create-user 10
1. adb shell pm list users
### Expected behaviour
### Actual behaviour
### Xposed Module List Xposed
no add Module
### LSPatch version LSPatch
### Android version Android
### Shizuku version Shizuku
### Version requirement
am using latest debug CI version of LSPatch and enable verbose log CI
### Apk file Apk</t>
  </si>
  <si>
    <t>abdallah-odeh-flutter_file_downloader-17</t>
  </si>
  <si>
    <t>download error crash</t>
  </si>
  <si>
    <t>MuntashirAkon-AppManager-1136</t>
  </si>
  <si>
    <t>Installer | DEX optimization crash</t>
  </si>
  <si>
    <t>### Please check before submitting an issue
know what my device, OS and App Manager versions are
know how to take logs
know how to reproduce the issue which may not be specific to my device
### Describe the bug
App crashes with Installer DEX optimization.
### To Reproduce
1. Install any app (in my case from Aurora Store)
2. Choose AM Install
3. Immediately perform DEX optimization ok Install
4. See error
### Expected behavior
### Device info
App version: 4.0.0-alpha01
App version code: 434
Android build version: 8049b-fa5cf
Android release version: 12
Android SDK version: 31
Android build ID: S2RUBS32.51-15-9-7
Device brand: motorola</t>
  </si>
  <si>
    <t>2023-07-28</t>
  </si>
  <si>
    <t>MuntashirAkon-AppManager-1135</t>
  </si>
  <si>
    <t xml:space="preserve">Crashes when tapping on any app </t>
  </si>
  <si>
    <t>### Please check before submitting an issue
know what my device, OS and App Manager versions are
know how to take logs
know how to reproduce the issue which may not be specific to my device
### Describe the bug
App opens to main screen. Tapping on any app displays the app info screen for second or so before crashing. App Manager has just crashed. Tap to submit crash report. message is displayed.
### To Reproduce
-1. Open App Manager
-2. Click on any app
### Expected behavior
App info screen stays open, allowing options to be selected, etc.
### Device info
Device: Pixel Pro
OS Version: Android 14 beta
App Manager Version: 3.1.1
### Additional context
Began after upgrading to Android 14 beta 4.</t>
  </si>
  <si>
    <t>OneSignal-OneSignal-Android-SDK-1789</t>
  </si>
  <si>
    <t>[Bug]: Fatal Exception: java.util.ConcurrentModificationException</t>
  </si>
  <si>
    <t>### What happened?
installed v5.0.0-beta4 of the SDK, and noticed that got the below crash report
The only thing ve done, is attempting to register for Push Notifications
### Steps to reproduce?
Install v5.0.0-beta4 of the SDK
not sure what steps reproduce this issue but hoping the crash report is sufficient
### What did you expect to happen?
No crash to happen
### OneSignal Android SDK version
### Android version
### Specific Android models
Android Studio Emulator on Android 13
### Relevant log output
### Code of Conduct
agree to follow this project Code of Conduct
&lt;!-- probot onesignal-probot response time in business days :20 --&gt;</t>
  </si>
  <si>
    <t>OpenTracksApp-OpenTracks-1647</t>
  </si>
  <si>
    <t>Crash when trying to share a workout</t>
  </si>
  <si>
    <t>not able to export (to email file Dropbox) the latest workout using Share button, as the app crashes with the following trace. This might have something to do with heart rate data, as can export other workouts that were done without HR sensor.
### App information
Version: 5289 v4.6.1
### Device information
### Cause of error
Exception in thread AsyncTask #2 An error occurred while executing doInBackground()
Caused by: Attempt to invoke virtual method double on null object reference</t>
  </si>
  <si>
    <t>AndroidIDEOfficial-AndroidIDE-1156</t>
  </si>
  <si>
    <t>[Bug]: Implement abstract method(s)</t>
  </si>
  <si>
    <t>### What happened?
Implement abstract method(s) crash
### What the expected behavior?
### What version of AndroidIDE you re using?
v2.5.0 (debug builds)
### Relevant log output
AndroidIDE crash report
SDK version: 33
### Duplicate issues
This issue has not been reported yet.
### Code of Conduct
agree to follow this project Code of Conduct</t>
  </si>
  <si>
    <t>nextcloud-notes-android-1861</t>
  </si>
  <si>
    <t>App crash upon search</t>
  </si>
  <si>
    <t>... immediately after inserting the first search sequence letter
App Version: 4.1.0 RC1
App Version Code: 40010051
App Flavor: fdroid
Files App Version Code: 30250090 (PROD)
OS API Level: 30
Model (and Product): FP3 (FP3)</t>
  </si>
  <si>
    <t>nextcloud-android-11841</t>
  </si>
  <si>
    <t>Directory deleted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</si>
  <si>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Created directory in nextcloud
Share file with android app
Delete dir on nextcloud
Share file with android app
On change directory (not exist), crash nextcloud
### Expected behaviour
### Cause of error
### App information
Build flavor: gplay
### Device information
### Actual behaviour
Created directory in nextcloud
Share file with android app
Delete dir on nextcloud</t>
  </si>
  <si>
    <t>2023-07-26</t>
  </si>
  <si>
    <t>AndroidIDEOfficial-AndroidIDE-1153</t>
  </si>
  <si>
    <t>[Bug]: unable to start building app</t>
  </si>
  <si>
    <t>### What happened?
was trying to start project and then this popped out
### What the expected behavior?
don know what to write here
### What version of AndroidIDE you re using?
### Relevant log output
AndroidIDE crash report
SDK version: 30
### Duplicate issues
This issue has not been reported yet.
### Code of Conduct
agree to follow this project Code of Conduct</t>
  </si>
  <si>
    <t>PojavLauncherTeam-PojavLauncher-4408</t>
  </si>
  <si>
    <t xml:space="preserve">Vic Modern Warfare Cubed mod crash </t>
  </si>
  <si>
    <t>### Describe the bug
When open the inventory it crash
### The log file and images videos
### Steps To Reproduce
1. Start pojavlauncher
2. Create world
3. Open inventory and crash
### Expected Behavior
Device model: umidigi bison
CPU architecture: 64
Android version: 10
PojavLauncher version: latest
### Anything else?</t>
  </si>
  <si>
    <t>2023-07-25</t>
  </si>
  <si>
    <t>AndroidIDEOfficial-AndroidIDE-1151</t>
  </si>
  <si>
    <t>[Bug]:</t>
  </si>
  <si>
    <t>### What happened?
Terminal not working
### What the expected behavior?
### What version of AndroidIDE you re using?
v2.5.0 (debug builds)
### Relevant log output
AndroidIDE crash report
SDK version: 27
Caused by: data arm64-v8a bootstrap.zip
Caused by: data arm64-v8a bootstrap.zip
### Duplicate issues
This issue has not been reported yet.
### Code of Conduct
agree to follow this project Code of Conduct</t>
  </si>
  <si>
    <t>VinylMusicPlayer-VinylMusicPlayer-766</t>
  </si>
  <si>
    <t>Fix crash</t>
  </si>
  <si>
    <t>patzly-grocy-android-734</t>
  </si>
  <si>
    <t>App crashing on opening after sudden suspension</t>
  </si>
  <si>
    <t>noticed that the app crashes on opening from launcher icon if it has been suddenly suspended (or closed too, not sure) after being launched resumed.
It happened to me in situations:
while was using the app and periodically locking and unlocking the screen the app crashed when accidentally pressed the power button instants after unlocking the phone
while was browsing the apps on my phone accidentally opened the app, after quickly closing it it crashes if reopen it
In both cases terminating the app and or cleaning the cache does nothing and can still use the app if don start it the normal way but go directly to different activity (like the shopping list). workaround to fix the situation is to open the app this way, go to settings -&gt; restore settings from server and then restart the app</t>
  </si>
  <si>
    <t>AndroidIDEOfficial-AndroidIDE-1150</t>
  </si>
  <si>
    <t>[Bug]: AndroidIDE crashed upon closing project</t>
  </si>
  <si>
    <t>### What happened?
AndroidIDE crashed when the project was closed
### What the expected behavior?
AndroidIDE crashed when tried to close the project. App version v2.5.1-beta
### What version of AndroidIDE you re using?
### Relevant log output
AndroidIDE crash report
SDK version: 30
### Duplicate issues
This issue has not been reported yet.
### Code of Conduct
agree to follow this project Code of Conduct</t>
  </si>
  <si>
    <t>AndroidIDEOfficial-AndroidIDE-1149</t>
  </si>
  <si>
    <t>[Bug]: Crash when closing project</t>
  </si>
  <si>
    <t>### What happened?
Crash occurred when closed my project in the navigation bar
### What the expected behavior?
### What version of AndroidIDE you re using?
v2.5.0 (debug builds)
### Relevant log output
AndroidIDE crash report
SDK version: 30
### Duplicate issues
This issue has not been reported yet.
### Code of Conduct
agree to follow this project Code of Conduct</t>
  </si>
  <si>
    <t>PojavLauncherTeam-PojavLauncher-4402</t>
  </si>
  <si>
    <t>Error occurred during initialization of VM java/lang/NoClassDefFoundError: java/lang/Object</t>
  </si>
  <si>
    <t>### Describe the bug
this is the crash code
Error occurred during initialization of VM
### The log file and images videos
Error occurred during initialization of VM
### Steps To Reproduce
1-Error occurred during initialization of VM
### Expected Behavior
Error occurred during initialization of VM
Device model: y7 prime 2019
CPU architecture: idk
PojavLauncher version: latest plau store
### Anything else?
Error occurred during initialization of VM</t>
  </si>
  <si>
    <t>AndroidIDEOfficial-AndroidIDE-1147</t>
  </si>
  <si>
    <t>[Bug]:  Error</t>
  </si>
  <si>
    <t>### What happened?
AndroidIDE crash report
SDK version: 30
### What the expected behavior?
Crashed on exit
### What version of AndroidIDE you re using?
v2.5.0 (debug builds)
### Relevant log output
### Duplicate issues
This issue has not been reported yet.
### Code of Conduct
agree to follow this project Code of Conduct</t>
  </si>
  <si>
    <t>2023-07-24</t>
  </si>
  <si>
    <t>kiwix-java-libkiwix-51</t>
  </si>
  <si>
    <t>Server is crashing while opens on web browser.</t>
  </si>
  <si>
    <t>We have refactored the kiwix-android code to support the latest java-libkiwix wrapper. All the other functionality are working fine with the changes of the newest wrapper, but there is problem with the Kiwix server.
The server starts normally from the application, there is no error but when we try to open the URL(server) in the web browser then it is crashing with these error logs.</t>
  </si>
  <si>
    <t>iBotPeaches-Apktool-3199</t>
  </si>
  <si>
    <t>[BUG] Regression: sparseResources is always true</t>
  </si>
  <si>
    <t>Another issue that seems to be regression since 2.8.0: sparseResources in apktool.yml is forced to true regardless of whether the original APK used sparse or not.
It easy to reproduce:
1) Decompile any APK: sparseResources is true in apktool.yml.
2) Set sparseResources to false in apktool.yml.
3) Recompile the APK.
4) Decompile the rebuilt APK: sparseResources is true in apktool.yml again.
This wasn the behavior in Apktool 2.7.1-SNAPSHOT and prior.
While it would still work when rebuilding APKs on an Android 13 ROM, no such luck on Android 10 (other versions might be affected as well), as it causes nasty boot failure:
system bin idmap2: failed to create idmap for overlay apk path product overlay overlay product overlay does not successfully overlay any resource -&gt; failed to create idmap
libc Fatal signal 11 (SIGSEGV), code (SEGV MAPERR), fault addr 0x7c2f611507 in tid 2172 (idmap2), pid 2172 (idmap2)
crash dump64: obtaining output fd from tombstoned, type: kDebuggerdTombstone
system bin tombstoned: received crash request for pid 2172
crash dump64: performing dump of process 2172 (target tid 2172)
DEBUG *** *** *** *** *** *** *** *** *** *** *** *** *** *** *** ***
DEBUG Build fingerprint: Xiaomi dipper dipper:10 QKQ1.190828.002 release-keys
DEBUG ABI: arm64
DEBUG pid: 2172, tid: 2172, name: idmap2 &gt;&gt;&gt; system bin idmap2 &lt;&lt;&lt;
DEBUG signal 11 (SIGSEGV), code (SEGV MAPERR), fault addr 0x7c2f611507
DEBUG x0 000000000000216d x1 0000007c2f229320 x2 0000007c2f200000 x3 0000000000000003
DEBUG x4 0000000000000029 x5 7365616d6c657373 x6 7373656c6d616573 x7 7f7f7f7f7f7f7f7f</t>
  </si>
  <si>
    <t>2023-07-23</t>
  </si>
  <si>
    <t>Theta-Limited-OpenAthenaAndroid-80</t>
  </si>
  <si>
    <t>Huge drone images still crash the app</t>
  </si>
  <si>
    <t>It appears that huge drone images of large resolution still crash the app, despite this safety check in this code of MainActivity.java (https: github.com Theta-Limited OpenAthenaAndroid blob app src main java com openathena
An appropriate fix will need to copy the image to the app cache directory, make scaled down copy, and load the scaled scaled down copy for display and use with the app. This would allow even huge drone images to be safely used with the app.
## User story
As user, want to load huge drone images, so that can use my huge drone images with the app</t>
  </si>
  <si>
    <t>2023-07-22</t>
  </si>
  <si>
    <t>MuntashirAkon-AppManager-1131</t>
  </si>
  <si>
    <t>Crash on reset default runtime optimization</t>
  </si>
  <si>
    <t>### Please check before submitting an issue
know what my device, OS and App Manager versions are
know how to take logs
know how to reproduce the issue which may not be specific to my device
### Describe the bug
Reset to default runtime optimization crashes the app.
### To Reproduce
1. Open 1-Click Ops
2. Click on Perfrom runtime optimization Reset to default
3. See error
### Expected behavior
### Device info
App version: 4.0.0-alpha01
App version code: 434
Android build version: 8049b-fa5cf
Android release version: 12
Android SDK version: 31
Android build ID: S2RUBS32.51-15-9-7
Device brand: motorola
Device manufacturer: motorola</t>
  </si>
  <si>
    <t>AndroidIDEOfficial-AndroidIDE-1137</t>
  </si>
  <si>
    <t xml:space="preserve">[Bug]: fechou o app ao finalizar o projeto </t>
  </si>
  <si>
    <t>### What happened?
Ele fechou aplicativo ao fechar projeto
### What the expected behavior?
Fechar somente projeto
### What version of AndroidIDE you re using?
v2.5.0 (debug builds)
### Relevant log output
AndroidIDE crash report
SDK version: 33
### Duplicate issues
This issue has not been reported yet.
### Code of Conduct
agree to follow this project Code of Conduct</t>
  </si>
  <si>
    <t>PojavLauncherTeam-PojavLauncher-4390</t>
  </si>
  <si>
    <t>[BUG] PojavLauncher crash when removing all profiles</t>
  </si>
  <si>
    <t>### Describe the bug
PojavLauncher crash when all profiles were removed
### The log file and images videos
no latestlog.txt because app reinstalled
### Steps To Reproduce
1. install apk
2. edit current profile
3. delete it
4. repeat 2,3 until all profiles were removed
5. app crash
### Expected Behavior
keep running when no profile exist
preserve or regenerate default profile
Device model: raphael Redmi K20 Pro
CPU architecture: aarch64
Android version: 12
PojavLauncher version: openjdk
### Anything else?</t>
  </si>
  <si>
    <t>2023-07-21</t>
  </si>
  <si>
    <t>AndroidIDEOfficial-AndroidIDE-1133</t>
  </si>
  <si>
    <t xml:space="preserve">[Bug]: crashes when pressed back button </t>
  </si>
  <si>
    <t>### What happened?
AndroidIDE crash report
SDK version: 30
### What the expected behavior?
On pressing back to close the project it crashes
### What version of AndroidIDE you re using?
v2.5.0 (debug builds)
### Relevant log output
AndroidIDE crash report
SDK version: 30
### Duplicate issues
This issue has not been reported yet.
### Code of Conduct
agree to follow this project Code of Conduct</t>
  </si>
  <si>
    <t>2023-07-20</t>
  </si>
  <si>
    <t>nextcloud-android-11823</t>
  </si>
  <si>
    <t xml:space="preserve">Bug every time the app opens from a file shortcut on the home screen </t>
  </si>
  <si>
    <t>### Steps to reproduce
1. Open file from home screen shortcut
### Expected behaviour
The file opens (pdf)
### Actual behaviour
App crashes with logs displayed
### Android version
### Device brand and model
### Stock or custom OS?
### Nextcloud android app version
### Nextcloud server version
### Using reverse proxy?
### Android logs
### Cause of error
### App information
Build flavor: gplay
### Device information
Incremental: T.R4T3.110730f 335df-2
### Server error logs
### Additional information</t>
  </si>
  <si>
    <t>AndroidIDEOfficial-AndroidIDE-1132</t>
  </si>
  <si>
    <t>[bug] Android IDE crashed out of nowhere</t>
  </si>
  <si>
    <t>### What happened?
saw that this error has apparently already been fixed, but it occurred to me times in the 2.5.1-beta version If this serves as context: times when closing the project and time when opening the app, The start of the stacktrace is different than what was reported by someone else, but the cause seems to be the same.
### What the expected behavior?
### What version of AndroidIDE you re using?
v2.5.0 (debug builds)
### Relevant log output
AndroidIDE crash report
SDK version: 28
### Duplicate issues
This issue has not been reported yet.
### Code of Conduct
agree to follow this project Code of Conduct</t>
  </si>
  <si>
    <t>kiwix-java-libkiwix-47</t>
  </si>
  <si>
    <t>[REGRESSION] `JNIICU.setDataDirectory()` implementation not found</t>
  </si>
  <si>
    <t>While refactoring the kiwix-android to compile with java-libkiwix wrapper we faced the no implementation found error for method of the wrapper.
FATAL EXCEPTION: main
Since this method is not set on the Android side we have commented this code to test the other parts of the wrapper in Android. It is crashing on the server and search functionality.
For server the logs:
Fatal signal 11 (SIGSEGV), code (SEGV MAPERR), fault addr 0x0 in tid 29404 (wix.kiwixmobile), pid 29404 (wix.kiwixmobile)
And for search, while we are using function of the Search class it crashes.
Fatal signal 11 (SIGSEGV), code (SEGV MAPERR), fault addr 0x0 in tid 28887 (DefaultDispatch), pid 28740 (wix.kiwixmobile)
suspect that it is crashing on these functionalities because we have not set on the Android side.</t>
  </si>
  <si>
    <t>dgudim-Scheduler-19</t>
  </si>
  <si>
    <t>[COCKROACH] Scheduler Won't Uninstall</t>
  </si>
  <si>
    <t>**Describe the bug**
When try to uninstall the app it instantly crashes the package manager, and remains installed. installed it off of the F-Droid repo.
Steps to reproduce the behavior:
1. Go to App Info
2. Click on Uninstall
1. Go to App Drawer
2. Hold the Scheduler Icon
3. Click on Uninstall
6. After multiple attempts: Package installer keeps stopping.
Scheduler uninstalling with no issues.
**The following information**
Device: Samsung Flip3 5G
UI shell version (One UI 5.1)
OS: Android 13
App version 0.6.3.release
don want to factory reset my phone</t>
  </si>
  <si>
    <t>2023-07-19</t>
  </si>
  <si>
    <t>HTCheater-SKDEditor-5</t>
  </si>
  <si>
    <t>SKDEditor stays black</t>
  </si>
  <si>
    <t>Well, just want to clarify that am using the Google translator in case you find inconsistencies in the text that you will see below.
have Redmi K40 Gaming and have Magisk and LSPosed and when open SKDEditor the screen stays black and absolutely nothing happens, already tried it in VMOS Pro and despite the fact that the soul knight crashes due to the game cheat detector yes SKDEditor was working, so here attach picture of the problem.</t>
  </si>
  <si>
    <t>stefan-niedermann-nextcloud-tables-16</t>
  </si>
  <si>
    <t>App crashed when user touch the header of column (no rows)</t>
  </si>
  <si>
    <t>**Describe the bug**
App crashed when user touch the header of table (screenshot)
Steps to reproduce the behavior:
1. Create table via web app
2. Create few columns. Second column with type Selection (five items)
3. Remove last item and create again with the same value
4. Save table
5. Open this table in Android and touch header of table. App crashed
Should be opened edit mode or something like that.
&lt;!-- latest is NOT version. Depending on your Nextcloud instance the latest versions can vary. --&gt;
Nextcloud Tables: 0.5.1
Nextcloud Android: 3.25
Nextcloud Android Tables: 1.1.0
**Smartphone (please complete the following information):**
Device: Samsung Galaxy S8
Google Play Store -&gt; Nextcloud
F-Droid Nextcloud Tables
App Version: 1.1.0
App Version Code: 1001000
App Flavor: fdroid</t>
  </si>
  <si>
    <t>2023-07-18</t>
  </si>
  <si>
    <t>PhenoApps-Field-Book-677</t>
  </si>
  <si>
    <t>[BUG]:  $1 in date trait entry causing crashes</t>
  </si>
  <si>
    <t>noticed that for one plot in fieldbook the app crashes when moving to specific trait. checked the .db file and noticed for that trait the plot has $1 entry. assume that is why the app is crashing. This is date trait. No idea how $1 got there. Should just delete this entry in the database? See attached database file (added .txt so github would let me upload it). If you look at the plant observation unit id for the second female flowering date trait in the observations table you will see it.
### Expected behavior
### Field Book version</t>
  </si>
  <si>
    <t>chesterbr-minitruco-android-178</t>
  </si>
  <si>
    <t>Bugs no servidor internet</t>
  </si>
  <si>
    <t>Esses bugs acumularam enquanto eu focava em outras coisa:
de 11 crashando (faltav rndFrase no servidor)
Ao entrar com jogadores, alguns iniciam jogo
Ao terminar jogo, fica tudo parado (deveria deixar gerente ou qualquer um come ar um novo jogo) isso talvez mude por conta da nova UI</t>
  </si>
  <si>
    <t>AndroidIDEOfficial-AndroidIDE-1129</t>
  </si>
  <si>
    <t>[Bug]: TextureView widget crash.</t>
  </si>
  <si>
    <t>### What happened?
App crashed when drag and drop TextureView widget.
### What the expected behavior?
The app crashes every time when drag and drop the TextureView widget.
### What version of AndroidIDE you re using?
v2.5.0 (debug builds)
### Relevant log output
AndroidIDE crash report
SDK version: 27
### Duplicate issues
This issue has not been reported yet.
### Code of Conduct
agree to follow this project Code of Conduct</t>
  </si>
  <si>
    <t>nextcloud-android-11815</t>
  </si>
  <si>
    <t>Avoid multiple API calls on create button click</t>
  </si>
  <si>
    <t>1. Open app
2. Go to Files
3. Tap Plus-button and create new Collabora Office Document Spreadsheet or Presentation
4. Enter some individual name for the fiel that doesn exist yet
5. Double-tap on the Create button (not unrealistic speeed-tapping etc., just two successive touches on the Create button, which would easily happen for example if the finger bounces on the screen etc.)
There should not be problem with the Create-button successive activations of this button should be ignored by the app
The Create button is responsive to more than one activation (successive finger touches on button), although this action results in crash every time
Furthermore duplicates of the file are created and saved in the cloud this way, like filename filename (1), ...
Exception in thread AsyncTask #4 An error occurred while executing doInBackground()
Caused by: Exception in thread AsyncTask #4 Fragment fa07d9c not attached to context.
This PR fix both the issues by avoiding multiple api calls:
2. Avoid creating multiple office files.
Writing tests is very important. Please try to write some tests for your PR.
If you need help, please do not hesitate to ask in this PR for help.
Unit tests: https: github.com nextcloud android blob master
Instrumented tests: https: github.com nextcloud android blob master
UI tests: https: github.com nextcloud android blob master
Tests written, or not not needed</t>
  </si>
  <si>
    <t>AndroidIDEOfficial-AndroidIDE-1127</t>
  </si>
  <si>
    <t>[Bug]: App crashed</t>
  </si>
  <si>
    <t>### What happened?
The app is crashing when am using overwrite super class method options.
### What the expected behavior?
Overwrite super class method
### What version of AndroidIDE you re using?
v2.5.1 (debug builds)
### Relevant log output
AndroidIDE crash report
SDK version: 29
### Duplicate issues
This issue has not been reported yet.
### Code of Conduct
agree to follow this project Code of Conduct</t>
  </si>
  <si>
    <t>AndroidIDEOfficial-AndroidIDE-1126</t>
  </si>
  <si>
    <t>[Bug]: java.lang.IndexOutOfBoundsException: Index: 2, Size: 1</t>
  </si>
  <si>
    <t>### What happened?
just saved the java file to exit from IDE as auto code completion for java isn working. When clicked on exit button and clicked yes of exit dialog that when this happened
### What the expected behavior?
idk maybe it should closed my project. And also there is some bugs in auto code completion
### What version of AndroidIDE you re using?
v2.5.0 (debug builds)
### Relevant log output
AndroidIDE crash report
SDK version: 31
### Duplicate issues
This issue has not been reported yet.
### Code of Conduct
agree to follow this project Code of Conduct</t>
  </si>
  <si>
    <t>nextcloud-notes-android-1845</t>
  </si>
  <si>
    <t>Crash during search</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</si>
  <si>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&lt;!-- clear and concise description of what the bug is. --&gt;
App crashes whilr trying to search
Steps to reproduce the behavior:
1. Go to List View
2. Click on Search field
4. See error
&lt;!-- clear and concise description of what you expected to happen. --&gt;
Search results are shown
&lt;!-- If applicable, add screenshots to help explain your problem. --&gt;
**Smartphone (please complete the following information):**
App Version: 4.1.0 RC1
App Version Code: 40010051
App Flavor: fdroid
Files App Version Code: 30250090 (PROD)</t>
  </si>
  <si>
    <t>nextcloud-android-11814</t>
  </si>
  <si>
    <t>Random crash when trying to share from another app</t>
  </si>
  <si>
    <t>### Cause of error
### App information
Build flavor: gplay
### Device information</t>
  </si>
  <si>
    <t>AndroidIDEOfficial-AndroidIDE-1121</t>
  </si>
  <si>
    <t>[Bug]: something error on start</t>
  </si>
  <si>
    <t>### What happened?
### What the expected behavior?
### What version of AndroidIDE you re using?
v2.5.0 (debug builds)
### Relevant log output
AndroidIDE crash report
SDK version: 29
Caused by: data arm64-v8a bootstrap.zip
Caused by: data arm64-v8a bootstrap.zip
### Duplicate issues
This issue has not been reported yet.
### Code of Conduct
agree to follow this project Code of Conduct</t>
  </si>
  <si>
    <t>AndroidIDEOfficial-AndroidIDE-1119</t>
  </si>
  <si>
    <t>[Bug]: It crashs when I just open a normal project</t>
  </si>
  <si>
    <t>### What happened?
It crashs when just open normal project.
### What the expected behavior?
### What version of AndroidIDE you re using?
v2.5.0 (debug builds)
### Relevant log output
AndroidIDE crash report
SDK version: 31
SDK version: 31
### Duplicate issues
This issue has not been reported yet.
### Code of Conduct
agree to follow this project Code of Conduct</t>
  </si>
  <si>
    <t>AndroidIDEOfficial-AndroidIDE-1113</t>
  </si>
  <si>
    <t>[Bug]: While reopening file after closing</t>
  </si>
  <si>
    <t>### What happened?
When reloaded color scheme when it was highlighting code properly but showing error but after reloading showing white text tried again then also white text closed file then it was showing white text in another file closed both MainActivity and AndroidManifiest and try reopening file then ide crashed
### What the expected behavior?
### What version of AndroidIDE you re using?
v2.5.0 (debug builds)
### Relevant log output
AndroidIDE crash report
SDK version: 28
### Duplicate issues
This issue has not been reported yet.
### Code of Conduct
agree to follow this project Code of Conduct</t>
  </si>
  <si>
    <t>2023-07-17</t>
  </si>
  <si>
    <t>AndroidIDEOfficial-AndroidIDE-1110</t>
  </si>
  <si>
    <t>[Bug]: java.lang.IndexOutOfBoundsException</t>
  </si>
  <si>
    <t>### What happened?
AndroidIDE crash report
SDK version: 31
### What the expected behavior?
### What version of AndroidIDE you re using?
v2.5.0 (debug builds)
### Relevant log output
AndroidIDE crash report
SDK version: 31
### Duplicate issues
This issue has not been reported yet.
### Code of Conduct
agree to follow this project Code of Conduct</t>
  </si>
  <si>
    <t>2023-07-16</t>
  </si>
  <si>
    <t>AndroidIDEOfficial-AndroidIDE-1109</t>
  </si>
  <si>
    <t>[Bug]: 反复的点击创建项目和离开发生了崩溃</t>
  </si>
  <si>
    <t>### What happened?
### What the expected behavior?
### What version of AndroidIDE you re using?
v2.5.0 (debug builds)
### Relevant log output
AndroidIDE crash report
SDK version: 28
### Duplicate issues
This issue has not been reported yet.
### Code of Conduct
agree to follow this project Code of Conduct</t>
  </si>
  <si>
    <t>AndroidIDEOfficial-AndroidIDE-1108</t>
  </si>
  <si>
    <t>[Bug]: IDE Crash when opening project</t>
  </si>
  <si>
    <t>### What happened?
When closed re-opened the project ide crashed
### What the expected behavior?
### What version of AndroidIDE you re using?
v2.5.0 (debug builds)
### Relevant log output
AndroidIDE crash report
SDK version: 28
### Duplicate issues
This issue has not been reported yet.
### Code of Conduct
agree to follow this project Code of Conduct</t>
  </si>
  <si>
    <t>Anuken-Mindustry-8819</t>
  </si>
  <si>
    <t>Can't import a mod from a directory with "é" in it's name</t>
  </si>
  <si>
    <t>145.1 Steam Linux 64bit
When try to import .jar mod from directory with in it like the French word for downlads chargements it crashes with this error message
Capture cran du 2023-07-15 19-01-23 (https: github.com Anuken Mindustry assets 123917079
think the game deosn understand thoses characters. haven tested yet but it might not work with and
### Steps to reproduce
Import .jar mod frome folder with in it.
### Mods used
Tested it with the last version of Extra Utilities: https: github.com guiYMOUR
### Save file
Doesn happen in game
### (Crash) logs
have updated to the latest release (https: github.com Anuken Mindustry releases) to make sure my issue has not been fixed.
have searched the closed and open issues to make sure that this problem has not already been reported.</t>
  </si>
  <si>
    <t>2023-07-15</t>
  </si>
  <si>
    <t>PojavLauncherTeam-PojavLauncher-4374</t>
  </si>
  <si>
    <t>[BUG] Unable to use "INSTALL .JAR" and Modded Version</t>
  </si>
  <si>
    <t>### Describe the bug
Unable to use INSTALL .JAR and Modded Version
### The log file and images videos
### Steps To Reproduce
1.Add newest JDK
(jdk8 arm64 20230504 release)
2.Install fabric by clicking INSTALL .JAR
3.It will crash
### Expected Behavior
It won crash and keep the installation
Device model: Xiaomi Pad Pro 128G
CPU architecture: aarch61
Android version: 11
Version Name automatic drawer actuation
Version Number 9939222
### Anything else?
It will get two different logs when turn on off about Sandbox .jar installer</t>
  </si>
  <si>
    <t>AndroidIDEOfficial-AndroidIDE-1103</t>
  </si>
  <si>
    <t xml:space="preserve">[Bug]: Crash while using auto complete </t>
  </si>
  <si>
    <t>### What happened?
Auto complete function is working properly in latest build 2.5.0-beta
Screenshot com itsaky androidide (https: github.com AndroidIDEOfficial AndroidIDE assets 100035516
Here you can see type Button but auto complete is not showing me correct option
### What the expected behavior?
It should work properly in latest latest release build 2.5.0-beta it was working properly in previous release and now its crashing not showing correct options in auto complete
### What version of AndroidIDE you re using?
v2.4.0 (debug builds)
### Relevant log output
AndroidIDE crash report
SDK version: 33
### Duplicate issues
This issue has not been reported yet.
### Code of Conduct
agree to follow this project Code of Conduct</t>
  </si>
  <si>
    <t>2023-07-14</t>
  </si>
  <si>
    <t>TeamNewPipe-NewPipe-10229</t>
  </si>
  <si>
    <t>Fix crash after feed update</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</si>
  <si>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Fixed crash after updating the feed. It doesn seem to be common issue, however it happens every time on my device.
#### Before After Screenshots Screen Record
#### Fixes the following issue(s)
&lt;!-- Prefix issues with Fixes so that GitHub closes them when the PR is merged (note that each Fixes should be in its own item). Also add any other relevant links. --&gt;
#### Relies on the following changes
&lt;!-- Delete this if it doesn apply to your PR.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You can find more info and video demonstration on this wiki page (https: github.com TeamNewPipe NewPipe wiki
#### Due diligence
read the contribution guidelines (https: github.com TeamNewPipe NewPipe blob HEAD .github CONTRIBUTING.md).</t>
  </si>
  <si>
    <t>AndroidIDEOfficial-AndroidIDE-1102</t>
  </si>
  <si>
    <t>[Bug]: crash when opening library project</t>
  </si>
  <si>
    <t>### What happened?
crashes when opening library project files, even though prior to version 2.5.0 it can be opened and can run unit tests
### What the expected behavior?
fix it as before it can be opened and can run tasks for the library
### What version of AndroidIDE you re using?
v2.4.0 (debug builds)
### Relevant log output
AndroidIDE crash report
SDK version: 30
### Duplicate issues
This issue has not been reported yet.
### Code of Conduct
agree to follow this project Code of Conduct</t>
  </si>
  <si>
    <t>AndroidIDEOfficial-AndroidIDE-1101</t>
  </si>
  <si>
    <t>[Bug]: Crash in dark mode</t>
  </si>
  <si>
    <t>### What happened?
the app crashes in dark mode select
### What the expected behavior?
### What version of AndroidIDE you re using?
v2.4.0 (debug builds)
### Relevant log output
AndroidIDE crash report
SDK version: 27
### Duplicate issues
This issue has not been reported yet.
### Code of Conduct
agree to follow this project Code of Conduct</t>
  </si>
  <si>
    <t>2023-07-13</t>
  </si>
  <si>
    <t>MuntashirAkon-AppManager-1123</t>
  </si>
  <si>
    <t xml:space="preserve">Crashing when "go to.." is just a string without slash </t>
  </si>
  <si>
    <t>### Please check before submitting an issue
know what my device, OS and App Manager versions are
know how to take logs
know how to reproduce the issue which may not be specific to my device
### Describe the bug
Just watch the video, and attaching crash log.
Here is crash https: pastebin.com 23w2Xt9w
### To Reproduce
### Expected behavior
### Device info
Device: Check logs
OS Version: check logs
App Manager Version: latest debug
### Additional context</t>
  </si>
  <si>
    <t>MuntashirAkon-AppManager-1121</t>
  </si>
  <si>
    <t>Could not fetch package info</t>
  </si>
  <si>
    <t>### Please check before submitting an issue
know what my device, OS and App Manager versions are
know how to take logs
know how to reproduce the issue which may not be specific to my device
### Describe the bug
Can update or even fresh install latest debug version. AM Debug v3.2.0-alpha01 Run#2505
It shows this message Could not fetch package info when open with App Info or Install.
Explore option causes crashes.
### To Reproduce
### Expected behavior
### Device info
App version: 3.2.0-alpha01-DEBUG
App version code: 433
Android build version: 8049b-fa5cf
Android release version: 12
Android SDK version: 31
Android build ID: S2RUBS32.51-15-9-7
Device brand: motorola
Device manufacturer: motorola
Device name: corfur</t>
  </si>
  <si>
    <t>sdcxtech-react-native-troika-6</t>
  </si>
  <si>
    <t>native-stack react-navigation go back using the nestedScrolview causing a crash</t>
  </si>
  <si>
    <t>&lt;NestedScrollView inside native-stack from react-navigation, causing crash on only Android when you push screen in top of each other and contains &lt;NestedScrollView component</t>
  </si>
  <si>
    <t>2023-07-12</t>
  </si>
  <si>
    <t>OffRange-KeyGo-12</t>
  </si>
  <si>
    <t>the app has good sisign BUT...</t>
  </si>
  <si>
    <t>When try to put 256bit passcode 60 character) or more the app accept it but cant open the app with it and the app hard crash so there is no way to put real password
The app say nothing just crash
Its sad for secure app</t>
  </si>
  <si>
    <t>LSPosed-LSPosed-2620</t>
  </si>
  <si>
    <t>[Bug] Getting resources fails with IllegalArgumentException if module has system_server in scope</t>
  </si>
  <si>
    <t>### Steps to reproduce
1. Create module which injects into some app (Settings in my case) and into system server, there are separate classes for that
2. Class for injection into Settings app calls to getResources.
3. Open Settings app
### Expected behaviour
App should work without crashes, module should get all necessary resources.
### Actual behaviour
The actual crash reason is different, but it is caused by this one indirectly.
### Xposed Module List Xposed
Module with issue
App Settings Reborn
### Magisk Module List Magisk
Universal SafetyNet Fix
### LSPosed version LSPosed
### Android version Android
### Magisk version Magisk
### Riru version Riru
### Version requirement
am using latest debug CI version of LSPosed and enable verbose log CI</t>
  </si>
  <si>
    <t>Anuken-Mindustry-8814</t>
  </si>
  <si>
    <t>Mindustry map crash</t>
  </si>
  <si>
    <t>Continuation of #8767
Map continues to crash with error EOFException.
After crashing map becomes corrupted so can figure out what exactly on map causes the crash.
Server isn an issue here as it running safe and sound.
### Steps to reproduce
Open the map and on some point it starting to throw up EOF exception or Tiles array index overflow.
Map uses around 60 world processors so the issue can be caused from one of them.
ve attached original map and crashed map for comparation.
### Mods used
### Save file
### (Crash) logs
have updated to the latest release (https: github.com Anuken Mindustry releases) to make sure my issue has not been fixed.
have searched the closed and open issues to make sure that this problem has not already been reported.</t>
  </si>
  <si>
    <t>sspanak-tt9-302</t>
  </si>
  <si>
    <t>Removed SnakeYAML to prevent crashes on older devices</t>
  </si>
  <si>
    <t>2023-07-11</t>
  </si>
  <si>
    <t>PojavLauncherTeam-PojavLauncher-4355</t>
  </si>
  <si>
    <t>[BUG] Forge crashes with create</t>
  </si>
  <si>
    <t>### Describe the bug
Your boat drown with number -1, check debris for more detail
### The log file and images videos
### Steps To Reproduce
1. Open PojavLauncher
2. Install Forge (any versions?)
3. Import create mod
4. run world
5. Play the mod :)
### Expected Behavior
... 30 more
... 21 more
Initialized TensorFlow Lite runtime.
... 20 more
... 15 more
ALSOFT (EE) Failed to set real-time priority for thread: Operation not permitted (1)
version string: 150 coreversion string: 150 coreversion string: 150 coreversion string: 150 coreversion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string: 150version st
Device model: Huawei p40 lite JNY-LX1
CPU architecture: Octa-core Armv8-A (Harvard)</t>
  </si>
  <si>
    <t>deepjavalibrary-djl-2702</t>
  </si>
  <si>
    <t>What libraries are required to run a PtNDArray constructor in an external Java App? #  SIGSEGV (0xb) at pc=0x00000001323213ac, pid=84356, tid=8707</t>
  </si>
  <si>
    <t>Loading the constructor of PtNDArray in an external Java App leads to Core Dump with minimal libraries.
### Expected Behavior
The PtNDArray constructs and garbage collects normally.
### Error Message
main INFO PyTorch graph executor optimizer is enabled, this may impact your inference latency and throughput. See: https: docs.djl.ai docs development inference performance
main INFO Number of inter-op threads is
main INFO Number of intra-op threads is
Output after array creation.
fatal error has been detected by the Java Runtime Environment:
SIGSEGV (0xb) at pc 0x00000001323213ac, pid 84356, tid 8707
JRE version: Java(TM) SE Runtime Environment 18.9 (11.0.18+9) (build 11.0.18+9-LTS-195)
Java VM: Java HotSpot(TM) 64-Bit Server VM 18.9 (11.0.18+9-LTS-195, mixed mode, tiered, compressed oops, g1 gc, bsd-aarch64)
0.22.1-libdjl torch.dylib+0x3d3ac c10::intrusive ()+0x18
No core dump will be written. Core dumps have been disabled. To enable core dumping, try ulimit -c unlimited before starting Java again
An error report file with more information is saved as:
Users juliangamble Documents 2023 Jun23 dlj-zero-test hs err pid84356.log
If you would like to submit bug report, please visit:
The crash happened outside the Java Virtual Machine in native code.
See problematic frame for where to report the bug.
Process finished with exit code 134 (interrupted by signal 6: SIGABRT)</t>
  </si>
  <si>
    <t>AndroidIDEOfficial-AndroidIDE-1081</t>
  </si>
  <si>
    <t>### What happened?
AndroidIDE crash report and Lag
### What the expected behavior?
Legs and crashes when opening .java
### What version of AndroidIDE you re using?
v2.4.0 (debug builds)
### Relevant log output
AndroidIDE crash report
SDK version: 30
### Duplicate issues
This issue has not been reported yet.
### Code of Conduct
agree to follow this project Code of Conduct</t>
  </si>
  <si>
    <t>2023-07-10</t>
  </si>
  <si>
    <t>AndroidIDEOfficial-AndroidIDE-1079</t>
  </si>
  <si>
    <t>[Bug]: Adding toast in java project</t>
  </si>
  <si>
    <t>### What happened?
Compiler crashed after trying to write code with adding toast to Java project
### What the expected behavior?
The application did not highlight the code that related to the toast and after couple of seconds it crashed with an error
### What version of AndroidIDE you re using?
v2.4.0 (debug builds)
### Relevant log output
AndroidIDE crash report
SDK version: 33
### Duplicate issues
This issue has not been reported yet.
### Code of Conduct
agree to follow this project Code of Conduct</t>
  </si>
  <si>
    <t>2023-07-09</t>
  </si>
  <si>
    <t>AndroidIDEOfficial-AndroidIDE-1078</t>
  </si>
  <si>
    <t>[Bug]: Problem Android IDE Crash</t>
  </si>
  <si>
    <t>### What happened?
AndroidIDE crash report
SDK version: 29
### What the expected behavior?
went to compile my project and it crashes and bugs
### What version of AndroidIDE you re using?
v2.4.0 (debug builds)
### Relevant log output
### Duplicate issues
This issue has not been reported yet.
### Code of Conduct
agree to follow this project Code of Conduct</t>
  </si>
  <si>
    <t>jellyfin-jellyfin-androidtv-2884</t>
  </si>
  <si>
    <t>Fix application crash on startup</t>
  </si>
  <si>
    <t>Regression from #2880, thanks build cache.
Fix application crash on startup by removing an invalid initializer entry from the manifest
&lt;!-- Tag any issues that this PR solves here.
ex. Fixes --&gt;</t>
  </si>
  <si>
    <t>PojavLauncherTeam-PojavLauncher-4343</t>
  </si>
  <si>
    <t>[BUG] ESSENTIAL mod crashes</t>
  </si>
  <si>
    <t>### Describe the bug
Currently, when we want to play Pojavlauncher with the Essential Mod mod, the game crashes when confirming the privacy policy, etc.
tried on any renderer and on Fabric and both Forge. Will you add support for this mod??
### The log file and images videos
Uploading lv 20230709110714.mp4
### Steps To Reproduce
1. Enable pojav
### Expected Behavior
Game crash with code -1
Device model: Huawei P30 Lite 128GB
CPU architecture: aadch64
Android version: 10
PojavLauncher version: newest
### Anything else?</t>
  </si>
  <si>
    <t>microg-GmsCore-1982</t>
  </si>
  <si>
    <t>[com.micropole.android.tcl_mobile] crashes with "java.lang.NullPointerException: Listener must not be null" when using geolocation</t>
  </si>
  <si>
    <t>**Describe the bug**
The app worked fine since long time.
But, after upgrading OS to 1.12.3 instead of 1.11, it now crashes whenever using geolocation
Steps to reproduce the behavior:
1. Install the app
2. Skip the intro screens Passer in French on top right)
3. Click on Start part in French)
4. Click on My location Ma position in French)
5. Accept geolocation
6. The app crashes
Geolocation should be found and used by the app, like it was before
Android Version: 11 and 12
Custom ROM: OS 1.12.3 (tested on two different FP3, and SM-G900F)
microG Core version: 0.2.28.231657-17 (9645c3e)-noen
microG Self-Check results: All ticked
It was not crashing with OS 1.11
Adb log excerpt:
Reinstall the app (or remove its data), then do not use geolocation.
Original report: https: 50501</t>
  </si>
  <si>
    <t>TS-Code-Editor-Android-Code-Editor-4</t>
  </si>
  <si>
    <t>App stop</t>
  </si>
  <si>
    <t>App is crashed show some error.
Steps to reproduce the behavior:
1. Go to app
2. Click on tap to start
3. See error
**Smartphone (please complete the following information):**
... 80 more
... 81 more
Caused by: Class not found using the boot class loader no stack trace available</t>
  </si>
  <si>
    <t>osudroid-osu-droid-256</t>
  </si>
  <si>
    <t>Crashing when clicking/tapping any beatmap</t>
  </si>
  <si>
    <t>### Issue description
Expected result: select beatmap and show all its difficulties and play the map
Actual result: game error message sorry abnormal program will exit now then game crash
### Steps to reproduce the issue
1. Select any beatmap
#### Additional details Screenshot Clip
Android version: 12,
Game version:1.6.8 230704-release
### Crashdump, backtrace or other files</t>
  </si>
  <si>
    <t>2023-07-08</t>
  </si>
  <si>
    <t>Anuken-Mindustry-8803</t>
  </si>
  <si>
    <t>Sudden closure</t>
  </si>
  <si>
    <t>installed mod on but when restart the app it crashes, closes and when reopen it it says that the mods are interfering with the game and it blocks them automatically (I use Ipad at last version of IOS)
### Steps to reproduce
Trying install Exogenis mod on mobile and then reopen the game
### Mods used
### Save file
### (Crash) logs
have updated to the latest release (https: github.com Anuken Mindustry releases) to make sure my issue has not been fixed.
have searched the closed and open issues to make sure that this problem has not already been reported.</t>
  </si>
  <si>
    <t>PojavLauncherTeam-PojavLauncher-4337</t>
  </si>
  <si>
    <t>application/game crash with code -1337</t>
  </si>
  <si>
    <t>### Describe the bug
Hello, asking for your help. downloaded the LabyMod4 version 1.16.5 and when log in, error -1337 appears. skinshot will be attached below. help please.
### The log file and images videos
### Steps To Reproduce
1)start pojav launcher
2)choose microsoft account
3)start LabyMod4 1.16.5
### Expected Behavior
want the error to go away and the money to work
Device model: POCO X3 PRO
PojavLauncher version: openjdk
### Anything else?</t>
  </si>
  <si>
    <t>2023-07-07</t>
  </si>
  <si>
    <t>cgeo-cgeo-14395</t>
  </si>
  <si>
    <t>[Nightly] Crash on creating filter with "letzte Detailaktualisierung"</t>
  </si>
  <si>
    <t>### Describe your problem!
### How to reproduce?
1. Open advanced filter dialog from map or search activity.
2. Add criteria letzte
### Actual result after these steps?
The app crashes.
### Expected result after these steps?
The app does not crash.
### c:geo Version
### System information
## System information
Device type: SM-G980F (x1sxx, samsung)
Android version: 11
Screen resolution: 1080x2178px (360x726dp)
Pixel density: 3.3000002
System font scale: 1.1 used scale: 1.1
Sailfish OS detected: false
Google Play services: enabled 23.24.14 (150400-544099984)
Memory: Available:2,3 GB, Total:7,3 GB, Threshold: 216,0 MB, low:false
Sensor and location:</t>
  </si>
  <si>
    <t>2023-07-06</t>
  </si>
  <si>
    <t>capacitor-community-google-maps-222</t>
  </si>
  <si>
    <t>Map crashes app on ios</t>
  </si>
  <si>
    <t>**Describe the bug**
app works fine on android platform but in ios the app crashes whenever the map is about to be loaded
when app is lauched everthing works fine but when page with the map is opened it crahed
have exc bad access
have tried bot the latest version of xocode (14.3) and 14.1 still same
1.create sample app for ios
2.run to see on simulator
3. See error</t>
  </si>
  <si>
    <t>AndroidIDEOfficial-AndroidIDE-1065</t>
  </si>
  <si>
    <t xml:space="preserve">Not Build Cordova[Bug]: </t>
  </si>
  <si>
    <t>### What happened?
The project was built with Cordova not implemented
### What the expected behavior?
Execute the project correctly
### What version of AndroidIDE you re using?
v2.4.0 (debug builds)
### Relevant log output
AndroidIDE crash report
SDK version: 28
### Duplicate issues
This issue has not been reported yet.
### Code of Conduct
agree to follow this project Code of Conduct</t>
  </si>
  <si>
    <t>PojavLauncherTeam-PojavLauncher-4336</t>
  </si>
  <si>
    <t>[BUG] Cracks appear on the edge of the item</t>
  </si>
  <si>
    <t>### Describe the bug
As shown in the picture, the texture of the edge is not complete (transparency), there are cracks
Screenshot 20230706 191835 com android gallery3d (https: github.com PojavLauncherTeam PojavLauncher assets 135925971
Screenshot 20230706 191829 com android gallery3d (https: github.com PojavLauncherTeam PojavLauncher assets 135925971
### The log file and images videos
no crash log
### Steps To Reproduce
### Expected Behavior
Game textures should display normally
Device model: HUAWEI P20
CPU architecture: ARMv8
Android version: 10
PojavLauncher version: Play latest version
### Anything else?</t>
  </si>
  <si>
    <t>MuntashirAkon-AppManager-1115</t>
  </si>
  <si>
    <t xml:space="preserve">Crashes whenever I tap an apps name </t>
  </si>
  <si>
    <t>### Please check before submitting an issue
know what my device, OS and App Manager versions are
know how to take logs
know how to reproduce the issue which may not be specific to my device
### Describe the bug
Each time select an app from the main screen it continuously crashes.
### To Reproduce
### Expected behavior
### Device info
App Manager Version:
Mode: Root ADB NonRoot
Pixel 6a running android 14
### Additional context</t>
  </si>
  <si>
    <t>2023-07-05</t>
  </si>
  <si>
    <t>amplitude-Amplitude-Android-374</t>
  </si>
  <si>
    <t>Crash: Could not allocate CursorWindow</t>
  </si>
  <si>
    <t>&lt;!--- Please fill out the template to the best of your ability --&gt;
## Expected Behavior
&lt;!--- What should have happened? --&gt;
## Current Behavior
&lt;!--- What went wrong? --&gt;
This crash happened after we upgraded the SDK from 2.28.2 to 2.39.5.
It might relate to #285
## Possible Solution
&lt;!--- (Not obligatory) Suggest fix reason --&gt;
## Steps to Reproduce
&lt;!--- Please provide clear sequence of steps to reproduce this bug --&gt;
&lt;!--- Include code and images, if relevant --&gt;
SDK Version: &lt;!-- E.g. v2.28.0 --&gt; v2.39.5
Android API Level: &lt;!-- E.g. 8.1.0 --&gt; 71% Android 10, 26% Android 11
Device: &lt;!--- E.g. Samsung Galaxy S20--&gt; 37% ZTE Z6250CC, 24% BLU Mediatek B131DL, 21% TCT Mobile Limited (Alcatel)</t>
  </si>
  <si>
    <t>axel358-smartdock-63</t>
  </si>
  <si>
    <t>Settings SmartDock as default launcher causes the current launcher to crash</t>
  </si>
  <si>
    <t>Anytime want to set the app as my default launcher it crashes. Note mg Phone is not rooted and use gesture navigation (android 12)</t>
  </si>
  <si>
    <t>Igalia-wolvic-795</t>
  </si>
  <si>
    <t>[Chromium] Crash when switching tabs</t>
  </si>
  <si>
    <t>Wolvic build using the in-development Chromium backend
## Steps to Reproduce
&lt;!--- For bugs, please provide link to live web site, test page, or rough set of --&gt;
&lt;!--- steps to reproduce this bug. If relevant, include code to reproduce. --&gt;
&lt;!--- Feel free to attach images and GIFs of screen captures. --&gt;
1. Open couple of tabs
2. Switch between them couple of times
## Current Behavior
&lt;!--- If describing bug, tell us what happens instead of the expected behavior. --&gt;
&lt;!--- If suggesting change improvement, explain the difference from current behavior. --&gt;
App crashes with the trace that can be seen bellow
## Expected Behavior
&lt;!--- If you re describing bug, tell us what should happen. --&gt;
&lt;!--- If you re suggesting change improvement, tell us how it should work. --&gt;
## Possible Solution
&lt;!--- Optional --&gt;
&lt;!--- Feel free to suggest fix reason for the bug, --&gt;
&lt;!--- or ideas how to implement the addition or change. --&gt;
&lt;!--- Optional --&gt;
&lt;!--- How has this issue affected you? What are you trying to accomplish? --&gt;</t>
  </si>
  <si>
    <t>2023-07-04</t>
  </si>
  <si>
    <t>aws-amplify-amplify-android-2504</t>
  </si>
  <si>
    <t>NotAuthorizedException: Client xxxxx is configured with secret but SECRET_HASH was not received</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</si>
  <si>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Welcome to Gradle 8.0!
For more details see https: docs.gradle.org 8.0 release-notes.html
### Please include any relevant guides or documentation you re referencing
### Describe the bug
Most often my test app crashes, when trying to signing into cognito user pool with correct credentials. It crashes with with message, that indicates that the SECRET HASH was not retrieved, but it is given in the know that it is not wrong, because sometimes the sign in works.
### Reproduction steps (if applicable)
1. Install app with given activity.
2. Input correct credentials
3. Click sign in
### Code Snippet
class MainActivity ComponentActivity()
override fun Bundle?)
surface container using the background color from the theme
SignedIn(username username.value ?:</t>
  </si>
  <si>
    <t>LSPosed-LSPatch-215</t>
  </si>
  <si>
    <t xml:space="preserve">[Bug] App Crashing </t>
  </si>
  <si>
    <t>### Steps to reproduce
2. Then Install it after replacing it inside PIXEL LAUNCHER EXTENDED MAGISK MODULE
### Expected behaviour
It should add DT2S to the pixel launcher app without using LSPosed and it definitely worked well.
### Actual behaviour
But the launcher crashed when tried to open widgets section.
Here is crash log https: bin.kv2.dev
### Xposed Module List Xposed
### LSPatch version LSPatch
### Android version Android
### Shizuku version Shizuku
### Version requirement
am using latest debug CI version of LSPatch and enable verbose log CI
### Apk file Apk
Replace this line with the log</t>
  </si>
  <si>
    <t>2023-07-03</t>
  </si>
  <si>
    <t>PojavLauncherTeam-PojavLauncher-4327</t>
  </si>
  <si>
    <t>(BUG) crashs on lauch hp chromebook from 2022</t>
  </si>
  <si>
    <t>### Describe the bug
im useing my chromebook from 2022 reset lot it can run mc launcher and tlauncher but wanna use pojav and its crashing on launch
### The log file and images videos
### Steps To Reproduce
idk what to type here
### Expected Behavior
launch pojav clicked play tryed every verison it crashed
Device model: HQ-TR 71025
CPU architecture: idk
Android version: android 12 chrome OS
PojavLauncher version: latest
### Anything else?</t>
  </si>
  <si>
    <t>MuntashirAkon-AppManager-1113</t>
  </si>
  <si>
    <t>App Usage | Crash when click on apps quickly</t>
  </si>
  <si>
    <t>### Please check before submitting an issue
know what my device, OS and App Manager versions are
know how to take logs
know how to reproduce the issue which may not be specific to my device
### Describe the bug
AM crashes when open App Usage try to click on different apps multiple times very quickly.
### To Reproduce
### Expected behavior
### Device info
App version: 3.2.0-alpha01-DEBUG
App version code: 433
Android build version: 8049b-fa5cf
Android release version: 12
Android SDK version: 31
Android build ID: S2RUBS32.51-15-9-7
Device brand: motorola
Device manufacturer: motorola
Device name: corfur
Device model: moto g71 5G
Device product name: corfur</t>
  </si>
  <si>
    <t>2023-07-01</t>
  </si>
  <si>
    <t>jellyfin-jellyfin-androidtv-2863</t>
  </si>
  <si>
    <t>Jellyfin on FireTV crashes after selecting user</t>
  </si>
  <si>
    <t>### Describe the bug
1. Open Jellyfin on Firestick
2. Select Server
3. Select User
Then it just instantly crashes and says report was sent to the server
... 11 more
--------- beginning of main
### App information
***App version***: 0.15.10 151099
### Device information
***Android version***: 7.1.2
***Device brand***: Amazon
***Device product***: mantis
***Device model***: AFTMM
### Crash information
### Application version
### Where did you install the app from?
### Device information
Amazon FireTV Stick 4K
### Android version</t>
  </si>
  <si>
    <t>GrapheneOS-Camera-369</t>
  </si>
  <si>
    <t>Camera app is crashing on Android 14 (latest beta)</t>
  </si>
  <si>
    <t>2023-06-29</t>
  </si>
  <si>
    <t>PojavLauncherTeam-PojavLauncher-4301</t>
  </si>
  <si>
    <t>Crashing when opening or creating a world</t>
  </si>
  <si>
    <t>### Describe the bug
There is no error code no crash report just the logs
the app just closes. And have some mods installed
### The log file and images videos
### Steps To Reproduce
Idk, use the same mods as mine guess
### Expected Behavior
It should open the world
Device model: Sansung galaxy A30s
CPU architecture: aarch64
Android version: 11
### Anything else?
think it have something to do with the narrator library</t>
  </si>
  <si>
    <t>Anuken-Mindustry-8767</t>
  </si>
  <si>
    <t>Mindustry crash</t>
  </si>
  <si>
    <t>Map on server crashed down with error area out of bounds.
### Steps to reproduce
Got save file from server but it won open
### Mods used
### Save file
### (Crash) logs
Map on server crashed down with area out of bounds.
Fetching community servers at https: Anuken Mindustry master servers v7.json
Textures Async: sprites rays.png in 9.1605ms
Textures Async: sprites distortAlpha.png in 2.0737ms
Textures Async: sprites clouds.png in 7.8132ms
Fetched 45 community servers.
Textures Async: sprites in 1.1321ms
Connecting to server:
Received world data: 306420 bytes.
Index 185760 out of bounds for length 185760
Server logs display tcp disconnection:
Caused by: Connection is closed.
have updated to the latest release (https: github.com Anuken Mindustry releases) to make sure my issue has not been fixed.
have searched the closed and open issues to make sure that this problem has not already been reported.</t>
  </si>
  <si>
    <t>2023-06-28</t>
  </si>
  <si>
    <t>syncthing-syncthing-android-1927</t>
  </si>
  <si>
    <t>"Warning: Your Android version does not allow syncing to external storage devices."</t>
  </si>
  <si>
    <t>folder doesn show up cause of that error.
Use advanced folder picker just crashes syncthing.
Steps to reproduce: Give permission to app and try adding folder.</t>
  </si>
  <si>
    <t>Anuken-Mindustry-8765</t>
  </si>
  <si>
    <t>Random connection closing disconnection</t>
  </si>
  <si>
    <t>v145 through to v145.2
when on server, connection hangs (units stop moving, can progress building construction, but can still look around), and get disconnected with the connection closed error few seconds later. Happens about 5-10 minutes after joining. If there specific thing that is done to cause it unsure, it will still happen if afk. Doesn seem to affect anyone else.
after being disconnected it temporarily shows that there are no joinable servers, but returns to normal on refresh.
Happens on every public server join
don think it an issue with my internet connection, since it very good, and nothing else is disconnected
Never happened before v145
Sorry if this is unclear but unsure how to obtain more data
### Steps to reproduce
Join server, wait
### Mods used
### Save file
save-error save.zip (https: github.com Anuken Mindustry files 11889599
### (Crash) logs
Not crash but here they are anyway
have updated to the latest release (https: github.com Anuken Mindustry releases) to make sure my issue has not been fixed.
have searched the closed and open issues to make sure that this problem has not already been reported.</t>
  </si>
  <si>
    <t>nextcloud-notes-android-1833</t>
  </si>
  <si>
    <t xml:space="preserve">:mag: Searching leads to crash :lady_beetle: :boom: </t>
  </si>
  <si>
    <t>Guidelines for submitting issues:
Bug reports which do not fill the complete issue template will be closed.
Please search the existing issues first, it likely that your issue was already reported or even fixed.
This repository is *only* for issues within the Nextcloud Notes Android app
Please use ** GitHub reactions (https: blog.github.com )** to show that you are affected by the same issue. Please don comment if you have no relevant information to add!
**Describe the bug**
Using the global search bar crashes the application
Steps to reproduce the behavior:
1. Open the Notes App
2. Click on the top search bar (**not** the in-note-search)
4. See error
**Smartphone (please complete the following information):**
Nextcloud Notes-Version (android app): 4.1.0 RC1
F-Droid or Play Store: F-Droid
Android-Version: LineageOS 13
Device: Alioth (Poco F3)
Theme: System default
View mode: List (not card)
App Version: 4.1.0 RC1
App Version Code: 40010051</t>
  </si>
  <si>
    <t>2023-06-27</t>
  </si>
  <si>
    <t>androidx-media-480</t>
  </si>
  <si>
    <t xml:space="preserve">IllegalStateException when setting shuffle with custom order before adding media items. </t>
  </si>
  <si>
    <t>### Media3 Version
### Devices that reproduce the issue
### Devices that do not reproduce the issue
### Reproducible in the demo app?
### Reproduction steps
fun crash (val shuffle: Boolean)
val list IntArray(0)
### Expected result
### Actual result
FATAL EXCEPTION: main
### Bug Report
You will email the zip file produced by adb bugreport to dev.exoplayer gmail.com after filing this issue.</t>
  </si>
  <si>
    <t>LSPosed-LSPosed-2582</t>
  </si>
  <si>
    <t>[Bug] Parasitic Manager doesn't work with Android 10 One UI Samsung</t>
  </si>
  <si>
    <t>### Steps to reproduce
1. Own Samsung device running One UI Android 10
2. Install LSPosed using Magisk
3. Parasitic Notification doesn show, forcing Enabling showing Parasitic Status crashes LSPosed Play Store APK
### Expected behaviour
We shouldn install LSPosed Play Store because Parastic notification will show after installation
### Actual behaviour
No notification, when enabling notification app crashes
### Xposed Module List Xposed
App Setting Reborn
Hide My Applist
SIM Number Setter
Xposed Edge Pro
### Magisk Module List Magisk
MagiskHide Props Config
Universal SafetyNet Fix by kdrag0n Displex
### LSPosed version LSPosed
### Android version Android
### Magisk version Magisk
### Riru version Riru</t>
  </si>
  <si>
    <t>2023-06-26</t>
  </si>
  <si>
    <t>MuntashirAkon-AppManager-1109</t>
  </si>
  <si>
    <t>FM | Open with crash</t>
  </si>
  <si>
    <t>### Please check before submitting an issue
know what my device, OS and App Manager versions are
know how to take logs
know how to reproduce the issue which may not be specific to my device
### Describe the bug
AM filemanager open with crashes ifvyou pick any option app.
### To Reproduce
1. Open AM Labs Files
2. Click on any file (open with) pick any option
3. See error
### Expected behavior
### Device info
App version: 3.2.0-alpha01-DEBUG
App version code: 433
Android build version: 8049b-fa5cf
Android release version: 12
Android SDK version: 31
Android build ID: S2RUBS32.51-15-9-7
Device brand: motorola
Device manufacturer: motorola</t>
  </si>
  <si>
    <t>Anuken-Mindustry-8758</t>
  </si>
  <si>
    <t>In campaign, couldn enter my sector (**crashed immediately**), after copied data from android
### Steps to reproduce
initially, wanted to move my game data from **Android to Windows**, and when it was done couldn enter my sector (**crashed immediately**), don think it because using mods
### Mods used
### Save file
Cuplikan layar 2023-06-26 073459 (https: github.com Anuken Mindustry assets 54733993
### (Crash) logs
have updated to the latest release (https: github.com Anuken Mindustry releases) to make sure my issue has not been fixed.
have searched the closed and open issues to make sure that this problem has not already been reported.</t>
  </si>
  <si>
    <t>PojavLauncherTeam-PojavLauncher-4298</t>
  </si>
  <si>
    <t>[BUG] Thaumcraft 4 Unnatural Hunger crashes the game</t>
  </si>
  <si>
    <t>### Describe the bug
Giving the player Thaumcraft Unnatural Hunger crashes the game, without stack trace. The game slows down for second or two, then crashes. This can be reproduced reliably, happens every time.
This happens regardless of whether shaders are enabled or disabled in the Thaumcraft config.
### The log file and images videos
### Steps To Reproduce
1. Start 1.7.10 instance with Forge and Thaumcraft 4.
2. Give yourself Unnatural hunger effect with commands.
### Expected Behavior
Player gets Unnatural hunger, other than that the game keeps running.
Device model: Redmi Note
CPU architecture: arm
Android version: 10
PojavLauncher version: Play store version
### Anything else?</t>
  </si>
  <si>
    <t>2023-06-25</t>
  </si>
  <si>
    <t>aws-amplify-amplify-android-2489</t>
  </si>
  <si>
    <t>Android runtime Crash while calling Amplify.configure(getApplicationContext())</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</si>
  <si>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gradle version 7.4.2
### Please include any relevant guides or documentation you re referencing
### Describe the bug
When trying to initialize Amplify SDK in Application class it successfully build but when app open it crashes
**my app OkHttp version** is 4.10.0
### Reproduction steps (if applicable)
### Code Snippet
Put your code below this line.
### Log output
Put your logs below this line
### GraphQL Schema
Put your schema below this line
### Additional information and screenshots</t>
  </si>
  <si>
    <t>mollyim-mollyim-android-198</t>
  </si>
  <si>
    <t>Molly locks when voice call ends</t>
  </si>
  <si>
    <t>### Is there an existing issue for this?
have searched the existing issues
### Bug description
Molly will lock itself whenever voice call ends.
(I ve been calling more people on Signal who are more comfortable with calling vs. texting recently.)
think this could technically crash, because the first time noticed this, saw the Android system prompt box showing that Molly had stopped crashed, before Molly went back to the local database lockscreen.
### Steps to reproduce
1. Start voice call.
It doesn matter if you or the caller start the call
2. The voice call ends.
think so far ve observed this when the other person ends the call, but don know if also happens if you end the call
3. If you re lucky, then you might see Molly keeps stopping Android message otherwise, Molly immediately locks itself and asks you to enter the database password again.
(Unfortunately, wasn able to make the debug log right after this happened, but several hours later. It happened both today and yesterday.)
### Molly version
### Android version
Google Pixel 4a
### Link to debug log</t>
  </si>
  <si>
    <t>Anuken-Mindustry-8752</t>
  </si>
  <si>
    <t>Fps dropped severely after a certain number of blocks when planning to place</t>
  </si>
  <si>
    <t>### Steps to reproduce
### Mods used
### Save file
### (Crash) logs
No crash issue.
have updated to the latest release (https: github.com Anuken Mindustry releases) to make sure my issue has not been fixed.
have searched the closed and open issues to make sure that this problem has not already been reported.</t>
  </si>
  <si>
    <t>2023-06-24</t>
  </si>
  <si>
    <t>jellyfin-jellyfin-androidtv-2854</t>
  </si>
  <si>
    <t>Media play crash</t>
  </si>
  <si>
    <t>### Describe the bug
When play on android TV,app crash
Caused by: Attempt to invoke virtual method boolean on null object reference
### App information
***App version***: 0.15.6 150699
### Device information
***Android version***: 6.0.1
***Device brand***: Xiaomi
***Device product***: pulpfiction
***Device model***: MiTV4
### Crash information
### FFmpeg logs
in docker ,do not know path
### Media info of the file
### Application version
### Device information
### Android version
### Jellyfin server version</t>
  </si>
  <si>
    <t>Anuken-Mindustry-8750</t>
  </si>
  <si>
    <t>Servers not working on my device</t>
  </si>
  <si>
    <t>am an Android user and can not join any servers. tried uninstalling, but it didn work.
### Steps to reproduce
It seemed to happen after completed sandbox match.
### Mods used
did have the AutoTranslate mod installed, but do not think it caused this issue.
### Save file
### (Crash) logs
am not reporting crash
have updated to the latest release (https: github.com Anuken Mindustry releases) to make sure my issue has not been fixed.
have searched the closed and open issues to make sure that this problem has not already been reported.</t>
  </si>
  <si>
    <t>AndroidIDEOfficial-AndroidIDE-1057</t>
  </si>
  <si>
    <t>[Bug]: CodeEditor</t>
  </si>
  <si>
    <t>### What happened?
was just writing code regarding closing keyboard. and it just crashed.
### What the expected behavior?
That it does not have these errors, as it interferes with the programming experience.
### What version of AndroidIDE you re using?
v2.4.0 (debug builds)
### Relevant log output
AndroidIDE crash report
SDK version: 33
### Duplicate issues
This issue has not been reported yet.
### Code of Conduct
agree to follow this project Code of Conduct</t>
  </si>
  <si>
    <t>2023-06-23</t>
  </si>
  <si>
    <t>CappielloAntonio-tempo-2</t>
  </si>
  <si>
    <t>Crash on opening subsonic server</t>
  </si>
  <si>
    <t>happen to have my subsonic server in subdirectory, https: example.com navidrome which tends to uncover problems in early versions of players.
1. Omitting https: that is, writing example.com navidrome outright causes crash.
2. https: example.com navidrome results in quickly flashing error message about an at line 1. Same if add trailing slash.</t>
  </si>
  <si>
    <t>Anuken-Mindustry-8745</t>
  </si>
  <si>
    <t>Game crashes when attempting to edit Message block</t>
  </si>
  <si>
    <t>Whenever attempt to edit the text in Message block, game crashes (however there is no pop up about crash when opening the game again). The Message block can be empty or already with text. This bug occurs both in campaign and custom games. didn find any specific dependency.
### Steps to reproduce
1. Place or find an already existing Message block
2. Click on the block
3. Click edit button
### Mods used
### Save file
### (Crash) logs
have updated to the latest release (https: github.com Anuken Mindustry releases) to make sure my issue has not been fixed.
have searched the closed and open issues to make sure that this problem has not already been reported.</t>
  </si>
  <si>
    <t>2023-06-22</t>
  </si>
  <si>
    <t>Anuken-Mindustry-8741</t>
  </si>
  <si>
    <t>### Steps to reproduce
Unknown. surrendly crashed.
Crashed during multiplayer.
Other players have all received the same error reports.
### Mods used
### Save file
### (Crash) logs
Mindustry has crashed. How unfortunate.
Report this at https: github.com Anuken Mindustry issues new?labels bug&amp;template bug report.md
Runtime Available Memory: 16368mb
have updated to the latest release (https: github.com Anuken Mindustry releases) to make sure my issue has not been fixed.
have searched the closed and open issues to make sure that this problem has not already been reported.</t>
  </si>
  <si>
    <t>Anuken-Mindustry-8737</t>
  </si>
  <si>
    <t>BOSD results in loss of resorceis and round progress</t>
  </si>
  <si>
    <t>My computer blue screaned and on the secter was captureing all my resorces were set to and the round number was reset to 1, but the buildings stayed intacted
### Steps to reproduce
1. go to secter thats uncaptured
2. triger BOSD
3. all resorces and round number reset
### Mods used
frozen farlands https: github.com zielonytrojkat frozen-farlands
### Save file
file too big, goog drive link
### (Crash) logs
no crash logs found game
have updated to the latest release (https: github.com Anuken Mindustry releases) to make sure my issue has not been fixed.
have searched the closed and open issues to make sure that this problem has not already been reported.</t>
  </si>
  <si>
    <t>2023-06-21</t>
  </si>
  <si>
    <t>jellyfin-jellyfin-androidtv-2848</t>
  </si>
  <si>
    <t>Fix crash when player controls are auto-hiding while closing the player</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</si>
  <si>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crash when player controls are auto-hiding while closing the player
&lt;!-- Describe your changes here in 1-5 sentences. --&gt;
&lt;!-- Tag any issues that this PR solves here.
ex. Fixes --&gt;</t>
  </si>
  <si>
    <t>2023-06-20</t>
  </si>
  <si>
    <t>BranchMetrics-capacitor-branch-deep-links-111</t>
  </si>
  <si>
    <t>Problems with play-services-ads version</t>
  </si>
  <si>
    <t>### Describe the bug
Not long time ago Google Play started to show message about play-services-ads and versions sunset
This version is scheduled to sunset on June 30th 2023. See https: admob android deprecation for more information.
In documentation (https: help.branch.io developers-hub docs capacitor#android) version 19.4.0 is specified.
ve tried update it to latest but app is crashing with error
The Google Mobile Ads SDK was initialized incorrectly. AdMob publishers
should follow the instructions here:
to add valid App ID inside the AndroidManifest.
Google Ad Manager publishers should follow instructions here:
see that have to add AdMob app ID, but not sure what it is, where shoult get it and does it requred at all.
### Steps to reproduce
### Expected behavior
### SDK Version
### Make and Model
Xiaomi 10T Pro
### Additional Information Context</t>
  </si>
  <si>
    <t>MuntashirAkon-AppManager-1105</t>
  </si>
  <si>
    <t>Activities, Services, Receivers crash</t>
  </si>
  <si>
    <t>### Please check before submitting an issue
know what my device, OS and App Manager versions are
know how to take logs
know how to reproduce the issue which may not be specific to my device
### Describe the bug
Opening Activities Services or Receivers crashes the app. Latest debug version AM Debug v3.2.0-alpha01 Run#2418
### To Reproduce
1. Open activities Services Receivers of any app
2. See error
### Expected behavior
### Device info
App version: 3.2.0-alpha01-DEBUG
App version code: 433
Android build version: 8049b-fa5cf
Android release version: 12
Android SDK version: 31
Android build ID: S2RUBS32.51-15-9-7
Device brand: motorola
Device manufacturer: motorola
Device name: corfur</t>
  </si>
  <si>
    <t>MuntashirAkon-AppManager-1106</t>
  </si>
  <si>
    <t>### Please check before submitting an issue
know what my device, OS and App Manager versions are
know how to take logs
know how to reproduce the issue which may not be specific to my device
### Describe the bug
App crashed while updating an app from Aurora store. Intermittent crash.
### To Reproduce
### Expected behavior
### Device info
App version: 3.2.0-alpha01-DEBUG
App version code: 433
Android build version: 8704X S001025 190606 ROW
Android release version: 8.1.0
Android SDK version: 27
Android build ID: TB-8704X S001025 190606 ROW
Device brand: Lenovo
Device manufacturer: LENOVO
Device name: TB-8704X
Device model: Lenovo TB-8704X
Device product name: TB-8704X</t>
  </si>
  <si>
    <t>Anuken-Mindustry-8729</t>
  </si>
  <si>
    <t>Crash in on icon tag</t>
  </si>
  <si>
    <t>**Steps to reproduce**: trying to add tag to schematic as an icon tag and it crashes
**Link(s) to mod(s) used**:
**(Crash) logs**: crash-report-06 19 2023 19 33 03.txt (https: github.com Anuken Mindustry files 11790403 crash-report-06 19 2023 19 33 03.txt)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</si>
  <si>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2023-06-19</t>
  </si>
  <si>
    <t>AndroidIDEOfficial-AndroidIDE-1050</t>
  </si>
  <si>
    <t>[Bug]: AndroidIDE crashed</t>
  </si>
  <si>
    <t>### What happened?
AndroidIDE crashed in middle of editing
### What the expected behavior?
It should not crash in middle of editing of files.
### What version of AndroidIDE you re using?
v2.4.0 (debug builds)
### Relevant log output
AndroidIDE crash report
SDK version: 33
### Duplicate issues
This issue has not been reported yet.
### Code of Conduct
agree to follow this project Code of Conduct</t>
  </si>
  <si>
    <t>AndroidIDEOfficial-AndroidIDE-1049</t>
  </si>
  <si>
    <t>### What happened?
AndroidIDE crash report
SDK version: 30
### What the expected behavior?
### What version of AndroidIDE you re using?
v2.4.0 (debug builds)
### Relevant log output
### Duplicate issues
This issue has not been reported yet.
### Code of Conduct
agree to follow this project Code of Conduct</t>
  </si>
  <si>
    <t>2023-06-18</t>
  </si>
  <si>
    <t>OpenSeizureDetector-Android_Pebble_SD-106</t>
  </si>
  <si>
    <t>V4.1.8 - Crash when enabling NDA Logging</t>
  </si>
  <si>
    <t>User reported crash when enabling NDA logging in settings:
**** UCE HANDLER Library
***** by Rohit Surwase
***** DEVICE INFO
***** APP INFO
***** ERROR LOG
***** END OF LOG *****</t>
  </si>
  <si>
    <t>commons-app-apps-android-commons-5240</t>
  </si>
  <si>
    <t>[Bug]: Crash in MediaDetailPagerFragment due to lack of no-arg constructor</t>
  </si>
  <si>
    <t>We ve got whole bunch of crash reports with cause that seems to surround with instantiating the One some exploration the cause seems to be due to the lack of public default constructor in There private no-arg constructor but Android needs public no-arg contructor to instantiate fragments ref (https: stackoverflow.com 16977633 5614968)
### Steps to reproduce
don have specific steps. nicolas-raoul could you share set of steps if possible
### Expected behaviour
The has public no-arg constructor for Android to use.
### Actual behaviour
Instantiating the fails when Android is trying to restore it. We need to introduce public no-arg constructor and possibly avoid the parameterized constructors for the fragment by receive the corresponding parameters via Bundle arguments as suggested in this Q&amp;A (https: stackoverflow.com 16977633 5614968)
### Device name
### Android version
### Commons app version
This does not seem specific to 4.1.0 or Android 13. There are crash reports from other versions like 4.0.3 and Android versions like 10.
### Device logs
The trace of one such crash looks as follows:
trace of crash&lt; summary&gt;
Caused by: Unable to instantiate fragment could not find Fragment constructor
... 17 more
... 38 more
### Would you like to work on the issue?</t>
  </si>
  <si>
    <t>microg-GmsCore-1962</t>
  </si>
  <si>
    <t>Tesla Motors app crashes with GmsCore v0.2.28.231657 when accessing map features</t>
  </si>
  <si>
    <t>**Describe the bug**
Steps to reproduce the behavior:
1. Start the Tesla Motors app
2. Click on Location or Summon
3. The app crashes
With GmsCore v0.2.27.223616 is works, so when selection either option the map is shown and the app functions correctly.
Android Version: 13
Custom ROM: ArrowOS, Libre Mobile OS and crDroid with microG Installer Revived 3.3.2-0 on Magisk v26.1
Add any other context about the problem here.</t>
  </si>
  <si>
    <t>TeamNewPipe-NewPipe-10174</t>
  </si>
  <si>
    <t>[YouTube] 403 HTTP errors while playing/downloading videos (workaround broken)</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</si>
  <si>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Pasted the error log down below. When watching that video the app crashed.
It keeps failing constantly at 1:19 timestamp. Tried playing it times got the same error.
### Expected behavior
### Actual behavior
### Screenshots Screen recordings
User Action: play stream
Request: Player error type ERROR CODE IO BAD HTTP STATUS occurred while playing https: www.youtube.com watch?v 17vabTy82Iw
Content Country: GB
Content Language: en-GB
App Language: en GB
OS: Linux realme RMX1971 RMX1971:11 RKQ1.201217.002 1637545731209:user release-keys 11 30
log b&gt;&lt; summary&gt;&lt;p&gt;</t>
  </si>
  <si>
    <t>Anuken-Mindustry-8721</t>
  </si>
  <si>
    <t>Mindustry crashed when playing multiplayer.</t>
  </si>
  <si>
    <t>**Steps to reproduce**: joined server, placed some mender-projector, deleted it and it crashed.
**Link(s) to mod(s) used**: no mod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</si>
  <si>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Anuken-Mindustry-8718</t>
  </si>
  <si>
    <t>V145 crash while placing blocks</t>
  </si>
  <si>
    <t>**Steps to reproduce**: Place some conveyor bridges
**Link(s) to mod(s) used**: none
**Save file**: (https: github.com Anuken Mindustry files 11780979
Mindustry has crashed. How unfortunate.
Report this at https: github.com Anuken Mindustry issues new?labels bug&amp;template bug report.md
Android API level: 30
Runtime Available Memory: 256mb
NullPointer: Attempt to invoke virtual method int on null object reference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</si>
  <si>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Anuken-Mindustry-8717</t>
  </si>
  <si>
    <t>v145 causing headless server crash</t>
  </si>
  <si>
    <t>**Steps to reproduce**: Upgraded from v144 to v145. could do it one more time to my other server.
**Link(s) to mod(s) used**: am running one plugin. It is not publicly available.
**Save file**: Not applicable.
**(Crash) logs**: Console snip:
Server crashed with exit code 1. Restarting.
Caused by: Cannot invoke Object.hashCode() because key is null
... 15 more
Server crashed with exit code 1. Restarting.
The location where this passes through my code, initialize Rules instance when starting the server:
private final Rules rules new Rules()
Then later on (the line 270), at the start of each game copy that master rules object into state:
Nowhere in my codebase do touch planet field in Rules instance.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</si>
  <si>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AndroidIDEOfficial-AndroidIDE-1048</t>
  </si>
  <si>
    <t>[Bug]: Code Editor Forced Close</t>
  </si>
  <si>
    <t>### What happened?
When click on the kotlin class,
the application is immediately forced close.
### What the expected behavior?
### What version of AndroidIDE you re using?
v2.4.0 (debug builds)
### Relevant log output
AndroidIDE crash report
SDK version: 33
### Duplicate issues
This issue has not been reported yet.
### Code of Conduct
agree to follow this project Code of Conduct</t>
  </si>
  <si>
    <t>2023-06-17</t>
  </si>
  <si>
    <t>otpless-tech-otpless-android-sdk-35</t>
  </si>
  <si>
    <t>uriString null crash fix</t>
  </si>
  <si>
    <t>in low memory case activity recreate with onNewIntent case handled</t>
  </si>
  <si>
    <t>2023-06-16</t>
  </si>
  <si>
    <t>OpenSeizureDetector-Android_Pebble_SD-102</t>
  </si>
  <si>
    <t>V4.1.7 - LogManager Crash</t>
  </si>
  <si>
    <t>User Reported crash:
Phone Model: SM-A336B
Android Version: 13
Total Internal memory: 114238140416
Available Internal memory: 82960121856
**** End of current Report ***</t>
  </si>
  <si>
    <t>deltazefiro-Amarok-Hider-70</t>
  </si>
  <si>
    <t>[BUG] Amarok crashes in work profile</t>
  </si>
  <si>
    <t>**Describe the bug **
Trying to run Amarok in Android work profile results in the app suddenly crashing and not being able to open
**To Reproduce **
Steps to reproduce the behavior
1. Install Amarok in Android work profile.
2. Try to run the Amarok.
3. The app crashes and refuses to launch.
**Expected behavior **
The app should open normally and work as intended.
**Basic Information :**
OS (ROM) GrapheneOS
Android Version 13.0
Amarok Version Amarok v0.8.4a1-foss
**Additional context **
Here is the crash log:</t>
  </si>
  <si>
    <t>MuntashirAkon-AppManager-1097</t>
  </si>
  <si>
    <t>crashes when creating a backup</t>
  </si>
  <si>
    <t>### Please check before submitting an issue
know what my device, OS and App Manager versions are
know how to take logs
know how to reproduce the issue which may not be specific to my device
### Describe the bug
trying to make backup of the whatsapp application data
### To Reproduce
click on it to open the menu where you select backup
choose only data
click create and the application crashes
### Expected behavior
backup was created
### Device info
Device: Redmi Note
OS Version: Android 10
App Manager Version: 3.1.1 F-droid
### Additional context</t>
  </si>
  <si>
    <t>2023-06-15</t>
  </si>
  <si>
    <t>nextcloud-android-11740</t>
  </si>
  <si>
    <t>Clearing trashbin crashes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</si>
  <si>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Go to trashbin, press dot menu, clear trash.
Deleting individual files works fine.
### Expected behaviour
Trash is empty
### Actual behaviour
### Android version
Emui 13 android 12
### Device brand and model
huawei mate 50 pro
### Stock or custom OS?
### Nextcloud android app version
### Nextcloud server version
### Using reverse proxy?
### Android logs</t>
  </si>
  <si>
    <t>jellyfin-jellyfin-androidtv-2843</t>
  </si>
  <si>
    <t xml:space="preserve"> the application crashes，When the play button is clicked</t>
  </si>
  <si>
    <t>### Describe the bug
2.click the play button
but try the 0.12.X version,it is okay
### App information
***App version***: 0.15.10 151099
### Device information
***Device brand***: MBX
***Device product***: MagicBox M19
***Device model***: MagicBox M19
### Crash information
### Application version
### Where did you install the app from?
### Device information
MagicBox M19 alibaba
### Android version
### Jellyfin server version</t>
  </si>
  <si>
    <t>AndroidIDEOfficial-AndroidIDE-1042</t>
  </si>
  <si>
    <t>### What happened?
AndroidIDE crash report
SDK version: 27
### What the expected behavior?
It supposed to display all build successfully
### What version of AndroidIDE you re using?
v2.4.0 (debug builds)
### Relevant log output
### Duplicate issues
This issue has not been reported yet.
### Code of Conduct
agree to follow this project Code of Conduct</t>
  </si>
  <si>
    <t>AndroidIDEOfficial-AndroidIDE-1040</t>
  </si>
  <si>
    <t>### What happened?
Just writing code when give space for newline just gave error.
### What the expected behavior?
It doesn give an error when skipping lines of code.
### What version of AndroidIDE you re using?
v2.4.0 (debug builds)
### Relevant log output
AndroidIDE crash report
SDK version: 33
### Duplicate issues
This issue has not been reported yet.
### Code of Conduct
agree to follow this project Code of Conduct</t>
  </si>
  <si>
    <t>2023-06-14</t>
  </si>
  <si>
    <t>androidx-media-462</t>
  </si>
  <si>
    <t>MediaSessionService produce android.app.RemoteServiceException$ForegroundServiceDidNotStartInTimeException</t>
  </si>
  <si>
    <t>### Media3 Version
### Devices that reproduce the issue
75% Galaxy Note20 5G
13% Galaxy S22 Ultra
12% Galaxy Flip4
### Devices that do not reproduce the issue
### Reproducible in the demo app?
### Reproduction steps
Was reported during Crashlytics dashboard
### Expected result
the app must not crashed
### Actual result
the app produce ANRs
self-hosted mp3 items
### Bug Report
You will email the zip file produced by adb bugreport to dev.exoplayer gmail.com after filing this issue.</t>
  </si>
  <si>
    <t>SkyTubeTeam-SkyTube-1191</t>
  </si>
  <si>
    <t>Watching Downloads with Sponsorblock enabled leads to crash</t>
  </si>
  <si>
    <t>**Describe the bug**
If you try to watch download, that was downloaded with SponsorBlock disabled, with SponsorBlock enabled now it crashes.
Steps to reproduce the behavior:
1. Make sure SponsorBlock is disabled in settings
2. Download video
3. Enable SponsorBlock in settings
4. Open the download
The video just opens, either fetches the sponsorblock data afterwards, or doesnt enable sponsorblock for the video at all. Or even ask the user. You could maybe add default setting.
Android version: 12
Is Your device rooted? No
Do You use Tor or any VPN service with your device? No
App source e.g. FDroid, Downloaded from GitHub, self build Github
App Version e.g. v2.977 v2.986
App Flavour e.g. Extra or OSS Extra
FATAL EXCEPTION: main</t>
  </si>
  <si>
    <t>Woosmap-geofencing-core-android-sdk-12</t>
  </si>
  <si>
    <t>[Android Core SDK] -Upgrade Google Play Services dependency libraries</t>
  </si>
  <si>
    <t>Upgrade Google Play Services dependency libraries
1. to 21.0.1
2. play-services-maps to 18.1.0
McDonald started to migrate from Geofencing Android SDK v1 to SDK v3.
When they use the startTracking() or stopTracking() methods, crash occurs with this message:
### Engineering Section</t>
  </si>
  <si>
    <t>AndroidIDEOfficial-AndroidIDE-1038</t>
  </si>
  <si>
    <t>[Bug]: ArrayIndexOutOfBoundsException in IDEEditor</t>
  </si>
  <si>
    <t>### What happened?
using pre-released version from github action this commit (https: github.com AndroidIDEOfficial AndroidIDE actions runs 5178919221)
don know why but the editor was always freezing while editing even though it not very large file (only have 100+ lines in this case). It keep delaying whenever tried to edit.
### What the expected behavior?
### What version of AndroidIDE you re using?
v2.4.0 (debug builds)
### Relevant log output
AndroidIDE crash report
SDK version: 30
### Duplicate issues
This issue has not been reported yet.
### Code of Conduct
agree to follow this project Code of Conduct</t>
  </si>
  <si>
    <t>AndroidIDEOfficial-AndroidIDE-1037</t>
  </si>
  <si>
    <t xml:space="preserve">Happened when i opened a file while indexing </t>
  </si>
  <si>
    <t>AndroidIDE crash report
SDK version: 30</t>
  </si>
  <si>
    <t>AndroidIDEOfficial-AndroidIDE-1036</t>
  </si>
  <si>
    <t>[Bug]: Crash when i open Cosmicide-rewrite</t>
  </si>
  <si>
    <t>### What happened?
Crash after try open cosmicide-rewrite
### What the expected behavior?
### What version of AndroidIDE you re using?
v2.4.0 (debug builds)
### Relevant log output
AndroidIDE crash report
SDK version: 31
### Duplicate issues
This issue has not been reported yet.
### Code of Conduct
agree to follow this project Code of Conduct</t>
  </si>
  <si>
    <t>Anuken-Mindustry-8710</t>
  </si>
  <si>
    <t>Canvas crash</t>
  </si>
  <si>
    <t>**Steps to reproduce**: *Join to any sandbox server. Build 40+ canvases with some images. Enjoy.*
Mindustry has crashed. How unfortunate.
Android API level: 31
Runtime Available Memory: 256mb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</si>
  <si>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2023-06-13</t>
  </si>
  <si>
    <t>Anuken-Mindustry-8708</t>
  </si>
  <si>
    <t xml:space="preserve">didn't unlock Exponential Reconstuctor after capturing Overgrowth </t>
  </si>
  <si>
    <t>Exponential Reconstuctor should be unlocked after capturing Overgrowth, but it still locked even though Overgrowth has been captured, abandoned, and recaptured.
**Steps to reproduce**: *How you happened across the issue, and what exactly you did to make the bug happen.*
Not sure. Failed to take Overgrowth several times, Fungal Pass was also attacked in the middle of it. don recall if anything was unlocked right after capturing Overgrowth, but it currently locked and shown as (???) In tech tree.
tried abandoning and recapturing Overgrowth, but it still locked, so you may be able to reproduce the issue this way.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</si>
  <si>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PojavLauncherTeam-PojavLauncher-4266</t>
  </si>
  <si>
    <t>[BUG] Mesa-based renderers on armhf/arm32 don't work</t>
  </si>
  <si>
    <t>### Describe the bug
Virgl on arm32 doesn currently work, and zink doesn support arm32 yet. ANGLE and GL4ES both do, so don know why zink is 64bit only.
### The log file and images videos
### Steps To Reproduce
1. Start PojavLauncher on 32bit arm OS
2. try launching with virgl or zink
3. VirGL: OSMesa buffer flush is DISABLED!
### Expected Behavior
expect the game to not crash with VirGL: OSMesa buffer flush is DISABLED! with zink and to have zink binaries on arm32 or just no zink entirely.
Device model: Galaxy J8
CPU architecture: armhf arm arm32 armv8l armv7l (Snapdragon 450 64bit on 32bit OS)
Android version: 10
PojavLauncher version: this commit (https: github.com PojavLauncherTeam PojavLauncher commit (it showing up as local build in LATESTLOG and on android even tho it not
### Anything else?
This has been an issue for idk how long. Updating libOSMesa 8.so partially works, ll try seeing if that can fix virgl.</t>
  </si>
  <si>
    <t>aws-amplify-aws-sdk-android-3322</t>
  </si>
  <si>
    <t>Android:startForegroundService TransferService is crashing in API 33.</t>
  </si>
  <si>
    <t>**Describe the bug**
Calling with TransferService is crashing in API 33 when the app is removed from background.
1. Open the app
2. Put the app in the background.
3. Clear from memory.
4. App crashes.
Device: Samsung s10 lite
Android Version: Tiramisu API level 33</t>
  </si>
  <si>
    <t>2023-06-12</t>
  </si>
  <si>
    <t>Anuken-Mindustry-8703</t>
  </si>
  <si>
    <t>Drill Speed label is unreadable underneath Assember drone making it hard to find best spot</t>
  </si>
  <si>
    <t>**Steps to reproduce**: Build Ship Assembler, select Eruption Drill and try to find the best spot by moving it around bit.
**Link(s) to mod(s) used**: None.
**Save file**: (https: github.com Anuken Mindustry files 11718806
**(Crash) logs**: Doesn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</si>
  <si>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Card-Forge-forge-3250</t>
  </si>
  <si>
    <t>NPE guard for cases like Dunerider Outlaw dealing damage.</t>
  </si>
  <si>
    <t>This seems to make Dunerider Outlaw to work correctly and not crash after dealing damage, but not sure if maybe this is masking bigger issue elsewhere in the code, so needs some consideration and review.
Test case for this: the AI has Dunerider Outlaw and attacks into the human empty battlefield. Without the NPE guard, the game will crash.</t>
  </si>
  <si>
    <t>OpenTracksApp-OpenTracks-1599</t>
  </si>
  <si>
    <t xml:space="preserve">Crash on start through intent </t>
  </si>
  <si>
    <t>**Describe the bug**
Crash on start through intent
1. Send start intent
### App information
### Device information
### Cause of error
Exception in thread main Attempt to invoke virtual method void on null object reference
See crash log</t>
  </si>
  <si>
    <t>2023-06-11</t>
  </si>
  <si>
    <t>OpenSeizureDetector-Android_Pebble_SD-99</t>
  </si>
  <si>
    <t>V4.0.7 - Crash during data sharing authentication?</t>
  </si>
  <si>
    <t>User reported crash:
***** DEVICE INFO
***** APP INFO
***** ERROR LOG
***** END OF LOG *****</t>
  </si>
  <si>
    <t>tradle-react-native-udp-248</t>
  </si>
  <si>
    <t>I can't listen to the broadcast.</t>
  </si>
  <si>
    <t>There are two different apps and two different devices.
One of these app has the following code constantly broadcasting to the public network
const socket dgram.createSocket( udp4
socket.send( Hello World undefined, undefined, 28000, 255.255.255.0 function (err)
if (err) throw err
console.log( Message sent!
Now what should be the code in my other app to listen to this message broadcasting from one device and app???
If write code like this in other application, the application crashes....
If use the ip address of the device, the messages do not come....
socket.bind(28000, 255.255.255.0, ()
socket.on( message function(msg, rinfo)
console.log( Message received msg)
couldn manage to broadcast udp from one device and listen from the other device, where do you think am doing wrong?</t>
  </si>
  <si>
    <t>AndroidIDEOfficial-AndroidIDE-1034</t>
  </si>
  <si>
    <t>[Bug]: GradleBuildService instance has been released</t>
  </si>
  <si>
    <t>### What happened?
### What the expected behavior?
clicked on the notification about the end of the build
### What version of AndroidIDE you re using?
v2.4.0 (debug builds)
### Relevant log output
AndroidIDE crash report
SDK version: 28
### Duplicate issues
This issue has not been reported yet.
### Code of Conduct
agree to follow this project Code of Conduct</t>
  </si>
  <si>
    <t>AndroidIDEOfficial-AndroidIDE-1032</t>
  </si>
  <si>
    <t>[Bug]: When open file *.kts in ide, the app force close</t>
  </si>
  <si>
    <t>### What happened?
The app force close when open file build.gradle.kts in ide
### What the expected behavior?
Normally editing build.gradle.kts with syntax highlights in ide to edit my hobby project
### What version of AndroidIDE you re using?
v2.4.0 (debug builds)
### Relevant log output
AndroidIDE crash report
SDK version: 33
### Duplicate issues
This issue has not been reported yet.
### Code of Conduct
agree to follow this project Code of Conduct</t>
  </si>
  <si>
    <t>Anuken-Mindustry-8698</t>
  </si>
  <si>
    <t>Force Projector</t>
  </si>
  <si>
    <t>**Steps to reproduce**: *Build force projector. Connect and disconnect power source to it. Feel the pain.*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</si>
  <si>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2023-06-10</t>
  </si>
  <si>
    <t>nextcloud-android-11718</t>
  </si>
  <si>
    <t>crash with karadav server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</si>
  <si>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3. log in
### Expected behaviour
app must not crash
### Actual behaviour
### Cause of error
Exception in thread Thread-7 For input string: eJwrTi1K
### App information
Build flavor: generic
### Device information
### Android version
### Device brand and model
Brand: OnePlus Device: OnePlus9Pro Model: LE2120
### Stock or custom OS?
### Nextcloud android app version</t>
  </si>
  <si>
    <t>2023-06-09</t>
  </si>
  <si>
    <t>Shared-Reality-Lab-IMAGE-Monarch-36</t>
  </si>
  <si>
    <t>Monarch app crashes for complex(?) images</t>
  </si>
  <si>
    <t>The Monarch app crashes when the full image with both semantic segmentation and object detection is rendered on the pins for some images. complex(?) is used in the issue title as this photo is neither larger in size nor in dimensions in comparison to other successfully rendered photos. However, it has lot of objects and complicated and irregular semantic segmentation svg.
Crashes were observed with the following images:
Usain Bolt (https: github.com Shared-Reality-Lab IMAGE-Monarch blob custom-renderings test-graphics UsainBolt.jpg?raw true)
but not with the following images of comparable size and aspect ratio but fewer objects:
Cat (https: images pet-health 1110)
Cat (https: wikipedia commons thumb 15 Cat August 2010-4.jpg 1280px-Cat August 2010-4.jpg)
Logs after crash indicate very high CPU usage:
----- Output from proc pressure memory -----
some avg10 0.00 avg60 0.00 avg300 0.00 total
full avg10 0.00 avg60 0.00 avg300 0.00 total
----- End output from proc pressure memory -----
6% 479 system server: 4.5% user 1.5% kernel faults: 772 minor
2.9% 378 adbd: 1.3% user 1.5% kernel faults: 1886 minor
2.5% 338 audioserver: 1.9% user 0.5% kernel faults: minor
1.1% 428 irq 64-dwc3: 0% user 1.1% kernel
0.7% 174 rknn server: 0.1% user 0.5% kernel
0.7% 7361 kworker u8:3-events unbound: 0% user 0.7% kernel faults: 15 minor
0.7% 13778 kworker u8:1-events unbound: 0% user 0.7% kernel faults: minor
0.5% 167 logd: 0.1% user 0.3% kernel
0.3% 403 media.metrics: 0.1% user 0.1% kernel faults: 13 minor</t>
  </si>
  <si>
    <t>PojavLauncherTeam-PojavLauncher-4256</t>
  </si>
  <si>
    <t>Zink bug</t>
  </si>
  <si>
    <t>### Describe the bug
After enabling zink rendering, the game crashes. Version 1.12 starts the game, but freezes lot and the menu turns into unknown symbols. Newer versions don launch at all
Screenshot 20230609-024231 PojavLauncher (Minecraft Java Edition fer Android) (https: github.com PojavLauncherTeam PojavLauncher assets 59277170
### The log file and images videos
### Steps To Reproduce
start pojav launcher, choose zink renderer, start game.
### Expected Behavior
expect for the game to launching
Device model: samsung galaxy S20 FE (Snapdragon865)
CPU architecture: aarch64
Android version: 11
PojavLauncher version: v3 zink new Zink, but swapchain-based
### Anything else?</t>
  </si>
  <si>
    <t>2023-06-08</t>
  </si>
  <si>
    <t>nextcloud-android-11716</t>
  </si>
  <si>
    <t>file share to nextcloud app crashes when folder does no longer exist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</si>
  <si>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share file from another app to nextcloud app
2. nextcloud app will open the file exp lorer. Navigate to some folder like foo bar and upload the file to it
3. within nextcloud app delete the folder foo bar
4. share another file from an app to nextcloud app
5. nextcloud app will open the folder the last file was shared to even though the folder no longer exists. can upload to that folder, neither can navigate back via the &lt;- Button. When try this get the Error:
### Cause of error
### Expected behaviour
When the folder was deleted nextcloud app should start in the root folder
### Actual behaviour
### Cause of error
### App information
Build flavor: gplay
### Device information
### Android version</t>
  </si>
  <si>
    <t>deltachat-deltachat-android-2585</t>
  </si>
  <si>
    <t>crash opening HTML message in Android 4</t>
  </si>
  <si>
    <t>an Android 4.2 user reported that opening an HTML message fails after the recent addition of https: github.com deltachat deltachat-android pull 2575</t>
  </si>
  <si>
    <t>PhenoApps-Field-Book-631</t>
  </si>
  <si>
    <t>Tutorial crashes app</t>
  </si>
  <si>
    <t>smartdevicelink-sdl_java_suite-1848</t>
  </si>
  <si>
    <t>`RemoteServiceException ForegroundServiceDidNotStartInTimeException` for SdlService</t>
  </si>
  <si>
    <t>### Bug Summary
Since we start SdlServices from the RS with the pending intent it is now likely that there could be potential remote exception of the SdlService not calling startForeground in time. We should add that exception to the handler and keep it moving.
### Reproduction Steps
1. Connect SDL app normailly via Bluetooth on Androud 12+ device
2. Download and install second SDL app that SdlService will not call to start the foreground.
We would like for the SdlBroadcast receiver uncaught exception handler to handle it and keep moving.
App crashes, and we get an ANR
### Which projects have you seen this bug on?
### Android Version(s)
### Android Device(s)
### sdl java suite Version
### Testing Environment(s)
### Relevant log output</t>
  </si>
  <si>
    <t>2023-06-07</t>
  </si>
  <si>
    <t>MuntashirAkon-AppManager-1087</t>
  </si>
  <si>
    <t>java.io.FileNotFoundException: No available shared storage found.</t>
  </si>
  <si>
    <t>### Please check before submitting an issue
know what my device, OS and App Manager versions are
know how to take logs
know how to reproduce the issue which may not be specific to my device
### Describe the bug
recently updated to crdroid Android 13 on my Realme Pro. And now App Manager doesn launch with root mode but it crashes, although it works with no root.
On earlier version available on F-droid it just didn go past initializing
### To Reproduce
1. Get Realme Pro
2. Install crdroid Android 13 on it
3. Install App Manager from F-Droid on it.
### Expected behavior
It should launch
### Device info
Device: Realme Pro
OS Version: crDroid Android 13 grabbed from crdroid.net
App Manager Version: 3.1.0
### Additional context
did full new install, so the previous data was wiped, so it is all new. And it launches with no root mode
Root was obtained by Magisk</t>
  </si>
  <si>
    <t>2023-06-05</t>
  </si>
  <si>
    <t>AndroidIDEOfficial-AndroidIDE-1024</t>
  </si>
  <si>
    <t>[Bug]: Drawable</t>
  </si>
  <si>
    <t>### What happened?
just tried to add Drawable, at the root of the view, through the view widgets menu.
### What the expected behavior?
Not having these types of errors.
### What version of AndroidIDE you re using?
v2.4.0 (debug builds)
### Relevant log output
AndroidIDE crash report
SDK version: 33
### Duplicate issues
This issue has not been reported yet.
### Code of Conduct
agree to follow this project Code of Conduct</t>
  </si>
  <si>
    <t>Anuken-Mindustry-8675</t>
  </si>
  <si>
    <t>Tecta's "whenShooting = false" line doesn't work</t>
  </si>
  <si>
    <t>3279. width 6f
3280. whenShooting false Has an error
**Steps to reproduce**: Make Tecta shoot
**Link(s) to mod(s) used**: No mods
**Save file**: tecta bug.zip (https: github.com Anuken Mindustry files 11645875 tecta bug.zip)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</si>
  <si>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2023-06-04</t>
  </si>
  <si>
    <t>Anuken-Mindustry-8671</t>
  </si>
  <si>
    <t>"whitelist remove" not removing player off of the whitelist</t>
  </si>
  <si>
    <t>Server 144.3 on Java 11.0.18
When running whitelist remove it does not remove UUID from the whitelist. Below is an image showing the issue.
**Steps to reproduce**: *How you happened across the issue, and what exactly you did to make the bug happen.*
1. Download Mindustry server version 144.3 from https: anuke.itch.io mindustry
2. Run server
3. Add UUID to whitelist
4. Try to remove UUID from whitelist
5. Check whitelist
**Link(s) to mod(s) used**: *The mod repositories or zip files that are related to the issue, if applicable.*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</si>
  <si>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androidx-media-437</t>
  </si>
  <si>
    <t>ClippingConfiguration produces unexpected output when fallback is required</t>
  </si>
  <si>
    <t>### Media3 Version
### Devices that reproduce the issue
GoogleApi 33 emulator
(but probably all devices)
### Devices that do not reproduce the issue
### Reproducible in the demo app?
### Reproduction steps
(not main but transformer demo app)
Choose preset file 360p VP8 video and Vorbis audio
Select trim values 15 20
### Expected result
Output is 5s long
### Actual result
The output length is the same. But content is cut (in Vorbis case)
&lt;img src https: github.com androidx media assets 1947112 width 30%
When doing the same flow with mp3 input, the transformation crashes.
Preset 360p VP8 video and Vorbis audio
### Bug Report
You will email the zip file produced by adb bugreport to dev.exoplayer gmail.com after filing this issue.</t>
  </si>
  <si>
    <t>2023-06-03</t>
  </si>
  <si>
    <t>Anuken-Mindustry-8668</t>
  </si>
  <si>
    <t>Env blocks decided to vanish</t>
  </si>
  <si>
    <t>(no env blocks on the right menu)
**Steps to reproduce**: It quite random actually, was able to replicate it only times on BE (but seems to be more common when in custom build though)
Open map editor and maybe if you re (un)lucky enough the bug will happen.
**Link(s) to mod(s) used**: No mod used.
**Save file**: Did not happen in-game. could provide save file of corrupted map though if could replicate it again.
If you remove the line above without reading it properly and understanding what it means, will reap your soul. Even if you re playing on someone server, you can still save the game to slot.
When you tried to place an environment block (by picking the existing one and place them)
When you tried to edit in-game. (BE 24134)
Also trying to place an env block, but this is from custom build though.
Another crash from custom build. Can remember what did, but it related.
Also from custom build, trying to do something to a... map with no tile? (This map is corrupted from the effect of this bug, probably not related idk)
And also from custom build, trying to place non-existing env block.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</si>
  <si>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Anuken-Mindustry-8667</t>
  </si>
  <si>
    <t>Buttons cannot be overridden with mods</t>
  </si>
  <si>
    <t>**Steps to reproduce**:
1. Create new mod with the mod.json file and sprite-override folder
2. Create ui folder where you put in new button sprites with the original file name (INSIDE THE sprite-override FOLDER!)
**Link(s) to mod(s) used**: mod.zip (https: github.com Anuken Mindustry files 11642715
**Save file**: Bug occures in the main menu.
**(Crash) logs**: Game does not crash because of the bug.
**I have updated to the latest release (https: github.com Anuken Mindustry releases) to make sure my issue has not been fixed.**
**I have searched the closed and open issues to make sure that this problem has not already been reported.**</t>
  </si>
  <si>
    <t>Anuken-Mindustry-8661</t>
  </si>
  <si>
    <t>Erikir tech tree issues</t>
  </si>
  <si>
    <t>In the erikir tech tree, materials such as thorium, surge alloy and phase fabric appear, even though they have not been produced yet. Ever since sector atlas, there have been things in the research tree that require thorium to research, even though thorium is only available for the first time much later in stronghold.
noticed it early game and it has been really annoying because things like the large payload mass driver and shielded wall are sitting in the tech tree, unable to be researched, because thorium is not accessible yet. downloaded the game off google play store, not off of any website.
Save file attached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you have read the line below.*
**I have updated to the latest release (https: github.com Anuken Mindustry releases) to make sure my issue has not been fixed.**
**I have searched the closed and open issues to make sure that this problem has not already been reported.**</t>
  </si>
  <si>
    <t>Anuken-Mindustry-8659</t>
  </si>
  <si>
    <t>for whatever reason constructors and deconstructors don't care about the build cost of units and blocks</t>
  </si>
  <si>
    <t>Windows, although have performed this on server twice
In this test, units and block cost multipliers are both at 0.5
Exhibit A: Constructor does not care
&lt;img width 367 alt payloads bug part src https: github.com Anuken Mindustry assets 125099471
Exhibite B: Placing blocks and units inside the deconstructor, despite both only being half-finished they give half of the cost as if the cost multipliers were set to
&lt;img width 593 alt payloads bug part src https: github.com Anuken Mindustry assets 125099471
&lt;img width 427 alt payloads bug part 2a src https: github.com Anuken Mindustry assets 125099471
**Steps to reproduce**: *How you happened across the issue, and what exactly you did to make the bug happen.*
In map settings, set block and unit costs less than 1.
**Link(s) to mod(s) used**: *The mod repositories or zip files that are related to the issue, if applicable.*
Mapping Utilities was used to make it mixtech but not really needed for running this test.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it is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</si>
  <si>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2023-06-02</t>
  </si>
  <si>
    <t>PhenoApps-Field-Book-630</t>
  </si>
  <si>
    <t>[BUG]: exporting observations fail for the new version</t>
  </si>
  <si>
    <t>have tested with Ryan Crawford to export to breedbase some data using Fieldbook and brapi. But it crashed for Fieldbook 5.4 and exported successfully for version 5.3
### Expected behavior
### Field Book version</t>
  </si>
  <si>
    <t>MuntashirAkon-AppManager-1084</t>
  </si>
  <si>
    <t>Can't press Agree to start the app</t>
  </si>
  <si>
    <t>### Describe the existing feature documentation
The background flashes and nothing happens when press Agree What up with that?
can use APK editor pro either, just crashes when choose full edit. Maybe it something with my phone.
### Describe your problem(s)
### Additional context
Nothing Phone Android 13</t>
  </si>
  <si>
    <t>AndroidIDEOfficial-AndroidIDE-1016</t>
  </si>
  <si>
    <t>[Bug]: Crash on opening *.kts files</t>
  </si>
  <si>
    <t>### What happened?
When go to open Kotlin file, it usually when it happens the first files of the day, that try to open. This error started to occur after updating sora editor to the latest snapshot few commits ago, but not entirely sure about that
### What the expected behavior?
### What version of AndroidIDE you re using?
v2.4.0 (debug builds)
### Relevant log output
AndroidIDE crash report
SDK version: 28
### Duplicate issues
This issue has not been reported yet.
### Code of Conduct
agree to follow this project Code of Conduct</t>
  </si>
  <si>
    <t>2023-06-01</t>
  </si>
  <si>
    <t>m-arquiza-Workoutholic-101</t>
  </si>
  <si>
    <t>Deleting Plans crash the game</t>
  </si>
  <si>
    <t>How to recreate:
1. Create single workout entry
2. Switch to plans tab and create plans times
3. deleting any plan but the first one crashes the app</t>
  </si>
  <si>
    <t>AndroidIDEOfficial-AndroidIDE-1012</t>
  </si>
  <si>
    <t>### What happened?
just tried to add background to linear through the options menu for that id (LinearLayout) by typing: drawable file name, it simply failed.
### What the expected behavior?
It doesn give these types of errors.
### What version of AndroidIDE you re using?
v2.4.0 (debug builds)
### Relevant log output
AndroidIDE crash report
SDK version: 33
### Duplicate issues
This issue has not been reported yet.
### Code of Conduct
agree to follow this project Code of Conduct</t>
  </si>
  <si>
    <t>2023-05-31</t>
  </si>
  <si>
    <t>peiva-git-SDM_project-106</t>
  </si>
  <si>
    <t>Crashing when trying to play again</t>
  </si>
  <si>
    <t>**Describe the bug**
The game crashes when trying to start playing
Steps to reproduce the behavior:
1. Play game normally
2. Choose to skip the last move
3. Choose to play another game
4. Click on an empty tile
The new game should continue without crashing
desktop project module
gradle build configuration with 2x2 board
The bug is due to the incorrect handling of state transitions. This issue might be solved by GameStateObserver or we might also get rid of states alltogether</t>
  </si>
  <si>
    <t>PhenoApps-Field-Book-621</t>
  </si>
  <si>
    <t>[BUG]: Capturing NA on categorical traits results in a crash</t>
  </si>
  <si>
    <t>Caused by Expected BEGIN ARRAY but was STRING at line column path
### Expected behavior
### Field Book version</t>
  </si>
  <si>
    <t>AndroidIDEOfficial-AndroidIDE-1010</t>
  </si>
  <si>
    <t>### What happened?
AndroidIDE crash report
SDK version: 31
### What the expected behavior?
AndroidIDE crash report
SDK version: 31
### What version of AndroidIDE you re using?
v2.4.0 (debug builds)
### Relevant log output
### Duplicate issues
This issue has not been reported yet.
### Code of Conduct
agree to follow this project Code of Conduct</t>
  </si>
  <si>
    <t>2023-05-30</t>
  </si>
  <si>
    <t>microg-GmsCore-1945</t>
  </si>
  <si>
    <t>Uber and UberEats Crashes</t>
  </si>
  <si>
    <t>**Describe the bug**
Both Uber and UberEats crash on start
Steps to reproduce the behavior:
1. Open Uber
2. Observe Crash
It not crash
Android Version: 13</t>
  </si>
  <si>
    <t>PojavLauncherTeam-PojavLauncher-4239</t>
  </si>
  <si>
    <t>[BUG] Pojav launcher install.jar crash</t>
  </si>
  <si>
    <t>### Describe the bug
Whenever try to install optifine, forge, fabric on clicking on install.jar pojav launcher crashes instantly..... What should do?? It crashes on older versions too
### The log file and images videos
Screenshot net kdt pojavlaunch (https: github.com PojavLauncherTeam PojavLauncher assets 135044797
### Steps To Reproduce
1. Start Pojav launcher
2. Click on install.jar
3. Selecting jar file
4. Crashes instantly
### Expected Behavior
expected to install optifine, forge, fabric.
Device model: Poco M4 Pro
CPU architecture: 64-bit ARMv8-A
Android version: 12
PojavLauncher version: latest
### Anything else?</t>
  </si>
  <si>
    <t>microg-GmsCore-1943</t>
  </si>
  <si>
    <t>Withings crashes with new NLP changes</t>
  </si>
  <si>
    <t>**Describe the bug**
The Withings Health app crashes with the latest microG NLP Changes
Steps to reproduce the behavior:
1. Open the Withings App
2. Observe it immediately crash
It not crash
Android Version: 13</t>
  </si>
  <si>
    <t>PojavLauncherTeam-PojavLauncher-4238</t>
  </si>
  <si>
    <t>Screen Freezed Crash While Playing</t>
  </si>
  <si>
    <t>### Describe the bug
Application Exited With Code
### The log file and images videos
heres the log files
### Steps To Reproduce
playing in my world
sometimes freezed few seconds
crash code exited
### Expected Behavior
expect to fixed the problem so don have to wait over 15mins to rejoin
Device model: VivoY19 128G
PojavLauncher version: openjdk
### Anything else?</t>
  </si>
  <si>
    <t>microg-GmsCore-1942</t>
  </si>
  <si>
    <t>microG crashes when viewing what apps are using NLP.</t>
  </si>
  <si>
    <t>**Describe the bug**
When attempting to view apps that are using location, microG crashes.
Steps to reproduce the behavior:
1. Open microG
2. Click on Location
3. Click on any App
4. See error
It not crash
Android Version: 13</t>
  </si>
  <si>
    <t>jellyfin-jellyfin-androidtv-2805</t>
  </si>
  <si>
    <t>Fix race condition in HomeFragment causing a crash</t>
  </si>
  <si>
    <t>Crash occurred when the profile picture loads when the view is already destroyed.
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race condition in HomeFragment
&lt;!-- Describe your changes here in 1-5 sentences. --&gt;
guess #2780 wasn enough</t>
  </si>
  <si>
    <t>AndroidIDEOfficial-AndroidIDE-1007</t>
  </si>
  <si>
    <t>### What happened?
do not know
### What the expected behavior?
### What version of AndroidIDE you re using?
v2.4.0 (debug builds)
### Relevant log output
AndroidIDE crash report
SDK version: 33
### Duplicate issues
This issue has not been reported yet.
### Code of Conduct
agree to follow this project Code of Conduct</t>
  </si>
  <si>
    <t>2023-05-29</t>
  </si>
  <si>
    <t>Anuken-Mindustry-8649</t>
  </si>
  <si>
    <t>Enemy air units target derelict team</t>
  </si>
  <si>
    <t>Enemy AI flying units target derelict blocks
&lt;img width 349 alt image src https: github.com Anuken Mindustry assets 125099471
**Steps to reproduce**: *How you happened across the issue, and what exactly you did to make the bug happen.*
Place derelict generators, factories, storage, etc.
Spawn flying units for the enemy that target the blocks
**Link(s) to mod(s) used**: *The mod repositories or zip files that are related to the issue, if applicable.*
Testing Utilities was used to place the derelict blocks and spawn the air units but you can use map editor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not exactly sure why would need save file in this scenario but ok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</si>
  <si>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MuntashirAkon-AppManager-1079</t>
  </si>
  <si>
    <t>Crash on `intent://settings/rules_prefs/freeze_type`</t>
  </si>
  <si>
    <t>### Please check before submitting an issue
know what my device, OS and App Manager versions are
know how to take logs
know how to reproduce the issue which may not be specific to my device
### Describe the bug
AM crashed when clicked on Settings Rules Default freezing method from docs.
### To Reproduce
1. Open AM User Manual
2. Search Default freezing method
3. Click on Settings Rules Default freezing method hyperlink
4. See error
### Expected behavior
Should open Default freezing method option from AM settings.
### Device info
App version: 3.2.0-alpha01-DEBUG
App version code: 433
Android build version: 1ec84-76c7d7
Android release version: 12
Android SDK version: 31
Android build ID: S2RUBS32.51-15-9-5</t>
  </si>
  <si>
    <t>2023-05-28</t>
  </si>
  <si>
    <t>AndroidIDEOfficial-AndroidIDE-1006</t>
  </si>
  <si>
    <t>[Bug]: updateDisplay</t>
  </si>
  <si>
    <t>### What happened?
just gave line break to write another code and it gave this error requested below.
### What the expected behavior?
Have no error.
### What version of AndroidIDE you re using?
v2.4.0 (debug builds)
### Relevant log output
AndroidIDE crash report
SDK version: 33
### Duplicate issues
This issue has not been reported yet.
### Code of Conduct
agree to follow this project Code of Conduct</t>
  </si>
  <si>
    <t>AppLovin-AppLovin-MAX-React-Native-224</t>
  </si>
  <si>
    <t>java.lang.NullPointerException - Attempt to invoke virtual method 'int android.view.View.getWidth()' on a null object reference</t>
  </si>
  <si>
    <t>### MAX Module Version
### React Native Version
### Device Platform Info
### Current Behavior
App crashes during opening page with native ad banner. Happened once on emulator, now crashlitycs shows issue with many user.
### Expected Behavior
Not to crash
### How to Reproduce
don know. just know that it happens randomly on different devices and different android versions
### Additional Info</t>
  </si>
  <si>
    <t>2023-05-26</t>
  </si>
  <si>
    <t>Azure-azure-iot-sdk-java-1718</t>
  </si>
  <si>
    <t>[Bug Report] Application runtime exception in IotHubTransport.</t>
  </si>
  <si>
    <t>**OS and version used:** Android 11 (API 30)
**Java runtime used:** 1.8
**SDK version used:** 2.1.5
## Description of the issue
While working throws runtime exception:
MQTT connection is used.
## Code sample exhibiting the issue
Just as sample, nothing wrong, belive, in here.
public void test() throws
DeviceClient device new DeviceClient(
Runnable task () -&gt;
Message( poison ))
System.out.println( Send exception: e.getMessage())
catch (Exception e)
System.out.println( Ignore exception
Then turn off on the connection and wait till it happen
## Console log of the issue
Remove partly because of legal and privacy.
Obviously they are not going to show you the whole run.
--------- beginning of crash</t>
  </si>
  <si>
    <t>2023-05-25</t>
  </si>
  <si>
    <t>react-native-webrtc-react-native-callkeep-693</t>
  </si>
  <si>
    <t>Null-check instance prior to being called in fetchStoredSettings</t>
  </si>
  <si>
    <t>My crashlytics reports the below error on multiple different devices, on different versions of Android OS.
The code in question:
protected static void Nullable Context fromContext)
Context context fromContext null fromContext
if (instance null &amp;&amp; context null)
Log.w(TAG, RNCallKeepModule fetchStoredSettings no instance nor fromContext.
Maybe do the null-check of instance prior to possibly calling the getAppContext?
protected static void Nullable Context fromContext)
if (instance null &amp;&amp; fromContext null)
Log.w(TAG, RNCallKeepModule fetchStoredSettings no instance nor fromContext.
Context context fromContext null fromContext</t>
  </si>
  <si>
    <t>patzly-grocy-android-708</t>
  </si>
  <si>
    <t>Crash opening qu conversion page</t>
  </si>
  <si>
    <t>--------- beginning of main
--------- beginning of crash</t>
  </si>
  <si>
    <t>2023-05-24</t>
  </si>
  <si>
    <t>Aliucord-Aliucord-357</t>
  </si>
  <si>
    <t xml:space="preserve">Obscure crash with slash commands </t>
  </si>
  <si>
    <t>### Discord Account
quirky anime boy#5506
### What happens when the bug or crash occurs?
You can crash the application by putting slash command like me message:test into the message bar and then adding backslash right after the slash command and then placing one in front of the message argument. Typing backslash before the argument without having placed one after the command will move the backslash into the message field
### What is the expected behaviour?
In the latest Version of discord when adding backslash in this Position it will escape the message argument field. Having one right after the command doesnt do anything.
### How do you recreate this bug or crash?
1. Enter built-in command into the text field
2. Fill out the message argument with some text
3. Move the text cursor right after the actual slash command but not the space
5. Move the cursor right in front of the message field
7. The app should now crash (forced to close)
tested on galaxy s9 on Android 10
No crash log gets created by this crash
### Request Agreement
did indeed check to make sure the bug or crash report is applicable!</t>
  </si>
  <si>
    <t>2023-05-23</t>
  </si>
  <si>
    <t>nextcloud-android-11646</t>
  </si>
  <si>
    <t>App crashes and constantly shows Force Close dialog on phone boot, or on app launch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</si>
  <si>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Launch the app
### Expected behaviour
The app should open
### Actual behaviour
The app either force closes repeatedly, or shows debug log.
### Android version
### Device brand and model
### Stock or custom OS?
### Nextcloud android app version
### Nextcloud server version
### Using reverse proxy?
### Android logs
### Cause of error
Exception in thread WM.task-4 context is null</t>
  </si>
  <si>
    <t>AlfaazPlus-QuranApp-328</t>
  </si>
  <si>
    <t xml:space="preserve">Crash when pressing "Quran and science" button </t>
  </si>
  <si>
    <t>### Steps to reproduce
### Expected behavior
pressed the Quran and science button and expected to be led to page about the Quran and science.
### Actual behavior
pressed the Quran and science button makes the app crashing
### QuranApp version
### Android version
### Other details
have searched the existing issues and this is new ticket, **NOT** duplicate or related to another open issue.
have written short but informative title.</t>
  </si>
  <si>
    <t>backtrace-labs-backtrace-android-97</t>
  </si>
  <si>
    <t>Handle invalid Crashpad handler path</t>
  </si>
  <si>
    <t>Backtrace-android must start separate process in the system to handle crashes. This can be done via the crashpad handler path. By default we should always know the path to the handler, however, there are situations where libraries like crashpad handler are hidden or unavailable. Because of that, we have false positive information about the started process.
This diff checks if the crashpad handler exists before we start the integration</t>
  </si>
  <si>
    <t>LSPosed-LSPosed-2544</t>
  </si>
  <si>
    <t>[Bug] Crash UpsideDownCake UPB2.230407.014 pixel 6a</t>
  </si>
  <si>
    <t>### Steps to reproduce
latest version of lsposed
### Expected behaviour
who to patch this probleme
### Actual behaviour
crash on start
### Xposed Module List Xposed
### Magisk Module List Magisk
universal safetynet fix
### LSPosed version LSPosed
### Android version Android
android 14 beta
### Magisk version Magisk
### Riru version Riru
### Version requirement
am using latest debug CI version of LSPosed and enable verbose log CI
dont have log.zip (https: github.com LSPosed LSPosed files 11536690</t>
  </si>
  <si>
    <t>2023-05-22</t>
  </si>
  <si>
    <t>smartdevicelink-sdl_java_suite-1843</t>
  </si>
  <si>
    <t>SdlRouterService doesn't include PendingIntent for ping broadcasts</t>
  </si>
  <si>
    <t>### Bug Summary
The RS does not include its pendingIntent for apps to start their SdlServices. This is an issue if the app is installed during an already connected session. That would happen also if an app crashed and was restarted during connected session.
### Reproduction Steps
1. Install app after RS is already connected
Installed app connects to RS and IVI
App does not start its SdlService and therefore does not connect
### Which projects have you seen this bug on?
### Android Version(s)
### Android Device(s)
### sdl java suite Version
### Testing Environment(s)
### Relevant log output</t>
  </si>
  <si>
    <t>aws-amplify-amplify-android-2458</t>
  </si>
  <si>
    <t>Datastore, random crash when switching from online to offline use case</t>
  </si>
  <si>
    <t>### Before opening, please confirm:
have searched for duplicate or closed issues (https: github.com aws-amplify amplify-android issues?q is%3Aissue+) and discussions (https: github.com aws-amplify amplify-android discussions).
### Language and Async Model
Kotlin, Kotlin Coroutines
### Amplify Categories
### Gradle script dependencies
Put output below this line
### Environment information
Put output below this line
### Please include any relevant guides or documentation you re referencing
### Describe the bug
Use case lose the network and recover the network
Random crash on production (not easy to reproduce)
RX java crash
### Reproduction steps (if applicable)
### Code Snippet
Put your code below this line.
### Log output
Put your logs below this line
Caused by: Only single observer allowed.</t>
  </si>
  <si>
    <t>LawnchairLauncher-lawnchair-3477</t>
  </si>
  <si>
    <t>### Describe the bug
BUG Hello, good afternoon wanted to report some bugs that the launcher has. The First Bug It Has is that Sometimes It Gives an Error When Adding the Clock App Widget. The second error that it has is that have Gesture Navigation configured on the cell phone. The Problem is that When want to Open the Screen of Explosive Apps it does not Open. The Last Bug is that the Feed From Google Sometimes it doesn open. Please fix these bugs.
### Steps to reproduce
Steps to reproduce the behavior:
1. Go to ...
2. Click on ....
3. Scroll down to ....
4. See error
### Expected behavior
Was Hoping The Launcher Could Add The Clock Widget Without Any Problems. He also hoped that he could open the crashing apps screen without any problem.
### Device information
Device: e.g. Samsung Galaxy A03
OS: e.g. stock ROM Android version 13.0
App version: e.g. 12.1.0 Alpha
### Additional context</t>
  </si>
  <si>
    <t>2023-05-21</t>
  </si>
  <si>
    <t>cgeo-cgeo-14278</t>
  </si>
  <si>
    <t xml:space="preserve">  java.lang.ClassCastException in GoogleMapView.setMapSource</t>
  </si>
  <si>
    <t>Crash report in Play Store logs for current release 2023.05.15:
Total share on crashes in that release is about 20% currently (two top-most crashes)</t>
  </si>
  <si>
    <t>2023-05-20</t>
  </si>
  <si>
    <t>AndroidIDEOfficial-AndroidIDE-985</t>
  </si>
  <si>
    <t>### What happened?
changed string from null to in that, it crashed.
### What the expected behavior?
Do not give error
### What version of AndroidIDE you re using?
v2.4.0 (debug builds)
### Relevant log output
AndroidIDE crash report
SDK version: 33
### Duplicate issues
This issue has not been reported yet.
### Code of Conduct
agree to follow this project Code of Conduct</t>
  </si>
  <si>
    <t>PhenoApps-Field-Book-606</t>
  </si>
  <si>
    <t>[BUG]: gnss causing app crash</t>
  </si>
  <si>
    <t>gnss causing app crash
### Expected behavior
### Field Book version</t>
  </si>
  <si>
    <t>2023-05-19</t>
  </si>
  <si>
    <t>patzly-grocy-android-699</t>
  </si>
  <si>
    <t>App crashig after latest release (Product stock overview popup)</t>
  </si>
  <si>
    <t>The app crashes after opening stock overview popup.</t>
  </si>
  <si>
    <t>AndroidIDEOfficial-AndroidIDE-982</t>
  </si>
  <si>
    <t>[Bug]: GridLayout</t>
  </si>
  <si>
    <t>### What happened?
### What the expected behavior?
### What version of AndroidIDE you re using?
v2.4.0 (debug builds)
### Relevant log output
AndroidIDE crash report
SDK version: 33
### Duplicate issues
This issue has not been reported yet.
### Code of Conduct
agree to follow this project Code of Conduct</t>
  </si>
  <si>
    <t>jellyfin-jellyfin-androidtv-2780</t>
  </si>
  <si>
    <t>Fix rare race condition crash in HomeFragment</t>
  </si>
  <si>
    <t>When the user image was loaded after the fragment view was destroyed the app could crash. To fix this we send the fragment to Glide instead of the context so it can check if the fragment view is still visible.
Fix rare race condition crash in HomeFragment
&lt;!-- Tag any issues that this PR solves here.
ex. Fixes --&gt;</t>
  </si>
  <si>
    <t>2023-05-18</t>
  </si>
  <si>
    <t>aws-amplify-amplify-android-2456</t>
  </si>
  <si>
    <t>ConnectivityManager$TooManyRequestsException while uploading large files</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</si>
  <si>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Put output below this line
def amplifyVersion 2.8.3
### Environment information
Put output below this line
### Please include any relevant guides or documentation you re referencing
### Describe the bug
When uploading large files such as videos to the amplify storage, was thrown and crashes the App.
This is the crash --&gt;
### Reproduction steps (if applicable)
### Code Snippet
Attempts to upload the file and return Result that wraps Key corresponding to the
suspend operator fun invoke(): Result&lt;String&gt;
var uploadResult: Result&lt;String&gt;
val key uri.getUniqueKey()
var progressJob: Deferred&lt;Unit&gt;? null</t>
  </si>
  <si>
    <t>2023-05-17</t>
  </si>
  <si>
    <t>nikita36078-J2ME-Loader-998</t>
  </si>
  <si>
    <t>QWERTY keys cause crash in getGameAction</t>
  </si>
  <si>
    <t>MuntashirAkon-AppManager-1066</t>
  </si>
  <si>
    <t>AppManger always crashes when trying to go to Providers or App Opps tab</t>
  </si>
  <si>
    <t>### Please check before submitting an issue
know what my device, OS and App Manager versions are
know how to take logs
know how to reproduce the issue which may not be specific to my device
### Describe the bug
For every app, when click on the Providers or App Opps tab (or swipe right trying to get to them) AppManager crashes immediately.
### To Reproduce
### Expected behavior
Obviously, expect to have access to those sections.
Two items in the log appear of interest:
FATAL EXCEPTION: main
*** Uncaught remote exception! (Exceptions are not yet supported across processes.)
### Device info
Device: Samsung Galaxy Tab
OS Version: LineageOS (Android 6.0.1)
Mode: Auto (Inferred mode: Root)
### Additional context</t>
  </si>
  <si>
    <t>2023-05-16</t>
  </si>
  <si>
    <t>androidx-media-395</t>
  </si>
  <si>
    <t>has a Native Crash for ExoPlayer:Playb</t>
  </si>
  <si>
    <t>### Media3 Version
### Devices that reproduce the issue
encountered low-level error while using it, and did not use the UI component. The main code is as follows:
RENDERER MODE PREFER)
private void initListener()
public void playWhenReady, int playbackState)
public void onPlayerError( NonNull error)
signal 11 (SIGSEGV), code (SEGV MAPERR), fault addr 0x7ff91500
r0 80515da0 r1 7ff91500 r2 00000320 r3 00000020
r4 849e9978 r5 00000340 r6 00000340 r7 7ff91500
r8 b3ba4edc r9 b4d78200 r10 00000000 r11 00000000
ip 00000000 sp 849e9958 lr b3bc6e3b pc b0c68924
### Devices that do not reproduce the issue
### Reproducible in the demo app?
### Reproduction steps
don know how to reproduce it. It was randomly tested by monkeys
### Expected result
not has native crash
### Actual result
has native crash</t>
  </si>
  <si>
    <t>PojavLauncherTeam-PojavLauncher-4199</t>
  </si>
  <si>
    <t>[BUG] essential causes crash</t>
  </si>
  <si>
    <t>### Describe the bug
### The log file and images videos
When have essential installed my game crashes
### Steps To Reproduce
Install any essential mod
Crash after 1-2 sec after loading
### Expected Behavior
Run completely fine
Device model: vivo v10
CPU architecture: arm64
Android version: 12
PojavLauncher version: letest version on 2023 may 16
### Anything else?</t>
  </si>
  <si>
    <t>2023-05-15</t>
  </si>
  <si>
    <t>Anuken-Mindustry-8612</t>
  </si>
  <si>
    <t>Error with texture mapping.</t>
  </si>
  <si>
    <t>**Steps to reproduce**:
lick on Play button
lick on Company button
Launching the starting location.
**Link(s) to mod(s) used**: *Without mods.*
**Save file**: *No server.*
**(Crash) logs**: *The application does not crash.*
**Screenshots with the problem:**
15-05-2023 183851 (https: github.com Anuken Mindustry assets 62933036
15-05-2023 183937 (https: github.com Anuken Mindustry assets 62933036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</si>
  <si>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material-components-material-components-android-3399</t>
  </si>
  <si>
    <t xml:space="preserve">[MaterialDatePicker] MaterialDatePicker crashes with mode=INPUT_MODE_TEXT </t>
  </si>
  <si>
    <t>Build MaterialDatePicker with InputMode MODE TEXT
**Expected behavior:** Open MaterialDatePicker without crashing
class MainActivity AppCompatActivity()
override fun Bundle?)
private fun DatePicker()
val activity as AppCompatActivity
**Minimal sample app repro:** You can find sample project here: https: github.com jarroyoesp
**Android API version:** Android API 30+
**Material Library version:**
Jetpack Compose version: 1.5.0-alpha04
Android Studio Build: Android Studio Flamingo 2022.2.1 Patch Build built on April 19, 2023
Kotlin version: 1.8.20
FATAL EXCEPTION: main
Sending signal. PID: 7601 SIG:</t>
  </si>
  <si>
    <t>jMonkeyEngine-jmonkeyengine-2011</t>
  </si>
  <si>
    <t>App crashes when using OpenGL version 3.0 and 3.1 with LWJGL 3</t>
  </si>
  <si>
    <t>Reported by aspenyoung79 in forum post: https: 46759
App crashes when using AppSettings.LWJGL OPENGL30 and AppSettings.LWJGL OPENGL31 renderers with lwjgl3.</t>
  </si>
  <si>
    <t>androidx-media-392</t>
  </si>
  <si>
    <t>ExoPLayer:PLayback ArrayIndexOutOfBoundsException</t>
  </si>
  <si>
    <t>connect to my camera via rtsp and when creating mediateam, crash occurs with the arrayindexofbounds error.
The connection to the camera goes through VLC normally, there is no error in the address
rtspUri rtsp: 192.168.1.166:554
### Media3 Version
### Devices that reproduce the issue
### Devices that do not reproduce the issue
### Reproducible in the demo app?
### Reproduction steps
create media item with rtsp uri
### Expected result
the media plays succesful
### Actual result
FATAL EXCEPTION: ExoPlayer:Playback
### Bug Report
You will email the zip file produced by adb bugreport to dev.exoplayer gmail.com after filing this issue.</t>
  </si>
  <si>
    <t>Anuken-Mindustry-8607</t>
  </si>
  <si>
    <t>An error in a network game</t>
  </si>
  <si>
    <t>it happens that it crashes into the main menu without an error.
Steps to reproduce:
go to the map, which has lot of units and buildings.
After 20 seconds, the flight takes place. The more units, buildings on the map, the faster the departure.
Also, if play from the very beginning of the game, then when there are lot of buildings and units, then there is departure. reconnect to the server and play for +- minutes, then fly out again. The more units buildings, the faster the departure.
The file with the map on which the flight took place.
But the departure takes place on any fairly large map, where there are lot of units and buildings.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</si>
  <si>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patzly-grocy-android-697</t>
  </si>
  <si>
    <t>Random Fatal Exception</t>
  </si>
  <si>
    <t>not sure what this means or if it any thing worth reporting. This logs happened seemingly when opened the app with my phone in power save mode.
--------- beginning of crash
--------- beginning of main</t>
  </si>
  <si>
    <t>2023-05-14</t>
  </si>
  <si>
    <t>LSPosed-LSPosed-2535</t>
  </si>
  <si>
    <t>[Bug] Lsposed Manager Crashing always</t>
  </si>
  <si>
    <t>### Steps to reproduce
installed Lsposed module and manager and rebooted the device
### Expected behaviour
Lsposed manager should have run properly
### Actual behaviour
Lsposed manager is crashing always
### Xposed Module List Xposed
### Magisk Module List Magisk
### LSPosed version LSPosed
### Android version Android
### Magisk version Magisk
### Riru version Riru
### Version requirement
am using latest debug CI version of LSPosed and enable verbose log CI</t>
  </si>
  <si>
    <t>Anuken-Mindustry-8602</t>
  </si>
  <si>
    <t>Core item bug</t>
  </si>
  <si>
    <t>**Steps to reproduce**: customgame -&gt;Start the game,Place Vault next to the core
savegame -&gt; loadgame -&gt; savegame -&gt; loadgame
**Link(s) to mod(s) used**: *The mod repositories or zip files that are related to the issue, if applicable.*
**Save file**: wait.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</si>
  <si>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2023-05-13</t>
  </si>
  <si>
    <t>OpenTracksApp-OpenTracks-1561</t>
  </si>
  <si>
    <t>Capturing Images causes crashing the app</t>
  </si>
  <si>
    <t>Trying to make pictures while recording results in this error and crashing the app.
### App information
Version: 5196 v4.3.4
### Device information
### Cause of error</t>
  </si>
  <si>
    <t>Anuken-Mindustry-8594</t>
  </si>
  <si>
    <t>Wave graph bug</t>
  </si>
  <si>
    <t>(see image for reference of what had and the bugged graph line) image (https: github.com Anuken Mindustry assets 131086642
**Link(s) to mod(s) used**: Foos Client 37af8d0, Mapping utilities
**Save file**: not save related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</si>
  <si>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2023-05-12</t>
  </si>
  <si>
    <t>Anuken-Mindustry-8589</t>
  </si>
  <si>
    <t>The game crashs when you have any mod installed the moment you press the join button</t>
  </si>
  <si>
    <t>**Steps to reproduce**: have any mod installed and press the join button
**Link(s) to mod(s) used**:
**Save file**: v144.1 zip.zip (https: github.com Anuken Mindustry files 11466406 v144.1.zip.zip)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</si>
  <si>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Anuken-Mindustry-8588</t>
  </si>
  <si>
    <t>Frozen Forest Fog Of War making enemies completely invisible</t>
  </si>
  <si>
    <t>**Steps to reproduce**: this happened just by existing. this carries across both Foo client and after reinstalling minedustry to get rid of Foo s.
**Link(s) to mod(s) used**: https: github.com EmanuelG-Gaming mindustry-raycaster
**Save file**: Dragonion Bug Report Save.zip (https: github.com Anuken Mindustry files 11465940
**(Crash) logs**: *Either crash reports from the crash folder, or the file you get when you go into Settings -&gt; Game Data -&gt; Export Crash logs. REQUIRED if you are reporting crash.*
---no crash logs found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</si>
  <si>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Anuken-Mindustry-8587</t>
  </si>
  <si>
    <t>Mindustry crash report please help</t>
  </si>
  <si>
    <t>build id 11215491
cannot launch from overgrowth(serpulo) to 133, when try to launch, the animation plays, and then freezes, shortly after my game crashes. previously my game had allowed me to launch from overgrowth to other sectors, but today tried launching and the crash report came up.
steps on what happened.
1. gather material from overgrowth
2. launch to 133(enemy base)
3. animation plays
4. game crashes
NO MODs USED
attached is world file and crash report
*Place an (no spaces) between the brackets to confirm that you have read the line below.*
**I have updated to the latest release (https: github.com An
uken Mindustry releases) to make sure my issue has not been fixed.**
**I have searched the closed and open issues to make sure that this problem has not already been reported.**</t>
  </si>
  <si>
    <t>LSPosed-LSPosed-2531</t>
  </si>
  <si>
    <t>[Bug] App crashes when starting if enabled for any LSposed module</t>
  </si>
  <si>
    <t>### Steps to reproduce
2. Start app
### Expected behaviour
App should not crash.
### Actual behaviour
App crashes when starting.
### Xposed Module List Xposed
Any one or more modules.
### Magisk Module List Magisk
Universal SafetyNet Fix v2.4.0
### LSPosed version LSPosed
### Android version Android
### Magisk version Magisk
### Riru version Riru
### Version requirement
am using latest debug CI version of LSPosed and enable verbose log CI</t>
  </si>
  <si>
    <t>aws-amplify-amplify-android-2449</t>
  </si>
  <si>
    <t>App gets crashed while updating to 2.8.3, it works fine on 2.8.2</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</si>
  <si>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AWS MQTT dependencies
### Environment information
Put output below this line
### Please include any relevant guides or documentation you re referencing
### Describe the bug
When move to version 2.8.3 app gets crashed, it worked fine on 2.8.2 version of Amplify
### Reproduction steps (if applicable)
Simply update to 2.8.3 version
### Code Snippet
Put your code below this line.
### Log output
Put your logs below this line
aws-datastore Reading subscriptions buffer has failed.
Caused by: Only single observer allowed.
... 31 more</t>
  </si>
  <si>
    <t>Androidacy-MagiskModuleManager-21</t>
  </si>
  <si>
    <t>[BUG] App crash while loading LOS20</t>
  </si>
  <si>
    <t>**Describe the bug**
App crashes on LineageOS 20 TQ2A.230505.002 (May 2023)
Steps to reproduce the behavior:
1. Go to foxmmm
2. Wait for app to load modules
4. See error
Launch app load modules
If applicable, add screenshots to help explain your problem.
**Device info(please complete the following information):**
Device: OnePlus 7TPro
OS: LineageOS 20 TQ2A.230505.002
App Version 2.1.0</t>
  </si>
  <si>
    <t>SleepingApps-Slurp-150</t>
  </si>
  <si>
    <t>With a fresh install the app crashes on WeekListItem constructor</t>
  </si>
  <si>
    <t>With fresh install the app crashes on WeekListItem constructor because StartDate is null</t>
  </si>
  <si>
    <t>2023-05-11</t>
  </si>
  <si>
    <t>material-components-material-components-android-3393</t>
  </si>
  <si>
    <t>[MaterialTheme][SplashScreen] IllegalStateException after update from material 1.8.0 to 1.9.0</t>
  </si>
  <si>
    <t>Application crashes at splash screen after updating material dependency from 1.8.0 to 1.9.0
AppCompat version is 1.6.1
ActivityKtx version is 1.7.1
have tried playing around with splash screen, but have not figured out what changes after switching dependency to 1.9.0
FATAL EXCEPTION: main
Caused by: You need to use Theme.AppCompat theme (or descendant) with this activity.
class MainActivity main)
override fun Bundle?)
*Condition on view model state*
&lt;style name parent Theme.SplashScreen
&lt;item name color uikit foundation500&lt; item&gt;
&lt;item name drawable ic launcher foreground&lt; item&gt;
&lt;item name style Theme.App.Dark&lt; item&gt;
&lt;style name Theme.App.Dark parent
Crashes only with isShrinkResources on.</t>
  </si>
  <si>
    <t>SecUSo-privacy-friendly-qr-scanner-165</t>
  </si>
  <si>
    <t>Crash during image generation if the scanned code type is not supported</t>
  </si>
  <si>
    <t>App crashes in result screen because the image can not be created correctly.</t>
  </si>
  <si>
    <t>RoboTutorLLC-RTFace_Login-63</t>
  </si>
  <si>
    <t>CRASH RTFaceLogin 1.8.2.2 but which one?  can't tell from CRASH log</t>
  </si>
  <si>
    <t>There are dozens of CRASH logs for 1.8.2.2 but which version of it? Which crashes remain to fix?
Including build timestamp in log filenames should eliminate this ambiguity in future.</t>
  </si>
  <si>
    <t>2023-05-10</t>
  </si>
  <si>
    <t>Androidacy-MagiskModuleManager-19</t>
  </si>
  <si>
    <t>[BUG] V2 1.0 crashes EVERY time when opening if there is an Upgradable module</t>
  </si>
  <si>
    <t>Just observed on both my phones (Xiaomi A11 and A12)
If there is single upgradable module, v2.1.0 crashes when opening
have submitted several crash reports by mail
If upgrade module from Magisk app, then afterwards v2.1.0 opens
But if downgrade again some module (eg, uninstall and install an older version from Alt Repo), then your app crashes again when open restart v2.1.0
Screenshot com fox2code mmm (https: github.com Androidacy MagiskModuleManager assets 51943147</t>
  </si>
  <si>
    <t>capacitor-community-barcode-scanner-239</t>
  </si>
  <si>
    <t>Error with BarcodeScanner.stop() on Android</t>
  </si>
  <si>
    <t>**Describe the bug**
The app crash after the calling the method
Steps to reproduce the behavior:
1. Install new ionic project with Capacitor
2. Install the package barcode-scanner configs
3. Create new modal and adapt styles to display the scanner
4. On scan success, call the method
5. Run the app on an Android device using Android Studio.
6. The app crash and can see the error in the Android Studio App.
FATAL EXCEPTION: main
The scanner stop working without crashing the app.
ionic angular ^7.0.0
capacitor core 5.0.1
capacitor-community barcode-scanner ^5.0.0-beta.0
**Smartphone (please complete the following information):**
Device: Samsung Galaxy A51
OS: Android 13 One UI 5.1
Browser: Ionic App</t>
  </si>
  <si>
    <t>2023-05-09</t>
  </si>
  <si>
    <t>Androidacy-MagiskModuleManager-18</t>
  </si>
  <si>
    <t>[BUG] Installing Modules Crashes App</t>
  </si>
  <si>
    <t>**Describe the bug**
Every time try to install module through Fox MMM, it crashes the app and does not install the module, this happens for every module try
1.Select the module to install
2.The app crashes
The module should install
Device: Pixel 6a
OS: Android 13
App Version v2.0.1 and v2.0.2
This is the full error message:
Caused by: class pe is not concrete class
... 10 more</t>
  </si>
  <si>
    <t>2023-05-08</t>
  </si>
  <si>
    <t>VishnuSanal-DialogMusicPlayer-37</t>
  </si>
  <si>
    <t xml:space="preserve">[FIX] Crashes when play from Termux.
</t>
  </si>
  <si>
    <t>&lt;img src https: 40796508 height 800 &lt;img src https: 40796508 height 800
Should be like the second image
If possible, add crash logs to help us figure out the problem.
**Smartphone (please complete the following information):**
Device: Redmi 10 (fog)
Andorid Version: Android 11
App Version: latest from f-droid
problem play with termux</t>
  </si>
  <si>
    <t>PojavLauncherTeam-PojavLauncher-4178</t>
  </si>
  <si>
    <t>[BUG] &lt;installing .jar issues&gt;</t>
  </si>
  <si>
    <t>### Describe the bug
### The log file and images videos
### Steps To Reproduce
When install optifine crash error 1.
### Expected Behavior
expect to install optifine but crash
Device model: v2027
Android version: 12
PojavLauncher version: dahila
### Anything else?</t>
  </si>
  <si>
    <t>babybuddy-babybuddy-for-android-27</t>
  </si>
  <si>
    <t>Grab App Token "DNR"s</t>
  </si>
  <si>
    <t>The app forces synchronous check on app-token availability which goes against Android design guidelines in the first place, but was done to be able to release the app more quickly.
This used to only cause DNR which do not look good but are not critical per-se. However, when the network connection becomes slow, this also can cause hard crashes when Android terminates the app due to timeouts.
This should be fixed in the next release as well!</t>
  </si>
  <si>
    <t>2023-05-07</t>
  </si>
  <si>
    <t>Androidacy-MagiskModuleManager-14</t>
  </si>
  <si>
    <t>[BUG] No script would install after choosing from storage</t>
  </si>
  <si>
    <t>**Describe the bug**
When choose .zip file Magisk module to flash from the internal storage, the app crashes.
Steps to reproduce the behavior:
1. Go to Install module from storage
2. Choose .zip magisk module.
3. Encounter error
terminal-esque window should come up showing progress of the module installation.
Screenshot 20230507-203034 Fox Magisk Module Manager.png (https: 22472867
**Device info(please complete the following information):**
Device: OnePlus Pro
App Version: v2.0.2
Bug report: https: textsaver.flap.tv lists 5o0t</t>
  </si>
  <si>
    <t>nextcloud-android-11598</t>
  </si>
  <si>
    <t>Crash when back in folder.histiry of a rented folder (send to, share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</si>
  <si>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Make picture oder PDF
Use share with next cloud
Next cloud will open last folder.
If you renamed the.meanwhile the folder and go back in client to choose new directory the client crashes
### Expected behaviour
Should go back to home directory or last root
### Actual behaviour
### Android version
### Device brand and model
### Stock or custom OS?
### Nextcloud android app version
### Nextcloud server version
### Using reverse proxy?
### Android logs</t>
  </si>
  <si>
    <t>Androidacy-MagiskModuleManager-13</t>
  </si>
  <si>
    <t>[BUG] Cannot install any module.</t>
  </si>
  <si>
    <t>**Describe the bug**
When trying to install module, it crashes.
Steps to reproduce the behavior:
1. Try to install any module.
We ve ran into smug! screen
**Device info(please complete the following information):**
Device: Samsung Galaxy S10+ (beyond2lte)
OS: Pixel Experience 13 March security update.
App Version 22</t>
  </si>
  <si>
    <t>MuntashirAkon-AppManager-1062</t>
  </si>
  <si>
    <t>Code Editor crash</t>
  </si>
  <si>
    <t>### Please check before submitting an issue
know what my device, OS and App Manager versions are
know how to take logs
know how to reproduce the issue which may not be specific to my device
### Describe the bug
AM, code editor crashed while tried to reopen from device recent apps. Intermittent crash.
### To Reproduce
1. Open AM Code Editor
2. Add some texts there
3. Open another app (in my case browser application)
4. Reopen Code Editor from device recent apps
5. See Error...
### Expected behavior
Reopen Code Editor from device recent continue from where you left.
### Device info
App version code: 433
Android build version: 8704X S001025 190606 ROW
Android release version: 8.1.0
Android SDK version: 27
Android build ID: TB-8704X S001025 190606 ROW</t>
  </si>
  <si>
    <t>Androidacy-MagiskModuleManager-12</t>
  </si>
  <si>
    <t>[BUG] REPLACE_ME</t>
  </si>
  <si>
    <t>**Describe the bug**
Using android 9. Went to description or
Install and is redirected to the apps download page and the cookie permissions page launches full screen and cannot be cancelled. No options work, constantly sits there making me angry. tiny yes no button would help instead of non-cancellable large paged description that won dissapear. Page slows to crawl crashing entire app.
Screenshot 20230507-002939 Fox Magisk Module Manager (https: 878576
Android SDK: 28
CPU ABI: armeabi-v7a
CPU ABI: armeabi</t>
  </si>
  <si>
    <t>2023-05-06</t>
  </si>
  <si>
    <t>MuntashirAkon-AppManager-1059</t>
  </si>
  <si>
    <t>Crash on ListOptionsActions</t>
  </si>
  <si>
    <t>### Please check before submitting an issue
know what my device, OS and App Manager versions are
know how to take logs
know how to reproduce the issue which may not be specific to my device
### Describe the bug
AM crashed when Split screen or Freeform mode while on Main Page with List options view.
### To Reproduce
1. Open AM. Click on List options (view bottom sheet)
2. Perform Split screen or Freeform mode
3. See error
### Expected behavior
### Device info
App version code: 433
Android build version: 1ec84-76c7d7
Android release version: 12
Android SDK version: 31
Android build ID: S2RUBS32.51-15-9-5
Device brand: motorola
Device manufacturer: motorola
Device name: corfur</t>
  </si>
  <si>
    <t>2023-05-05</t>
  </si>
  <si>
    <t>sspanak-tt9-251</t>
  </si>
  <si>
    <t>Improved visual feedback when dictionary operations are in progress</t>
  </si>
  <si>
    <t>Disable all clear buttons when clearing.
Change the description of the respective button to: Clearing dictionary... or Clearing language1, language2, ... Clearing... seems to be fine for all cases.
Display status when word indexing is in progress. Sum up the total time at the end, instead of displaying only the file reading time.
Trying to load words, while loading is in progress (and there are no indexes), causes crash, which could even prevent the index from being created. The same could happen if loading is cancelled using clear
Ensure no crashes occur.
Display toast that loading is in progress.
Add preference switch for fast loading If it is on, drop the indexes at start. load fast and unsafe The words will load faster, but you must not interrupt the process or you will have to start over. This turned out to be bad idea. It is easy to cause data corruption, so indexes will no longer be created dynamically.</t>
  </si>
  <si>
    <t>2023-05-04</t>
  </si>
  <si>
    <t>deepjavalibrary-djl-2581</t>
  </si>
  <si>
    <t>Crash with very old cuda installed (6.4)</t>
  </si>
  <si>
    <t>Djl is failing when an old cuda is installed (64). It seems to be because djl assumes cuda version is digits long.
### Expected Behavior
It should not crash and fall back to cpu if needed.
### Error Message
-- Found cudart: C: Program Files (x86) NVIDIA Corporation PhysX Common cudart64 65.dll
Caused by: begin 2, end 5, length
## How to Reproduce?
Install cuda with version with numbers (aka before 10.x like 6.4).
## Environment Info
Djl 0.22.1 on windows</t>
  </si>
  <si>
    <t>aws-amplify-amplify-android-2431</t>
  </si>
  <si>
    <t>[GraphQL] Optional ID fields using a @BelongsTo relationship crash application with NullPointerException</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</si>
  <si>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Put output below this line
Also tried with V1
### Describe the bug
Please take look at the GraphQL Schema attached below. See that it has ID fields which are optional (nullable). Also see that fields like customer id animal id and measurement id are linked using BelongsTo relation.
Here is the bug:
When mutation is being triggered, noticed that the BelongsTo relation is being **enforced as not null** in the file. This causes crash when set nested model to null. For example, if you follow the reproduction steps provided below, you can see that while saving note, customer is required but animal and measurement are supposed to be optional fields. But, when leave either of them out, it causes an app crash.
Our previous app was built using Amplify V1 and it used to work just fine on the same schema so initially thought it was bug with Amplify V2. However, have tested this schema with both V1 and V2 and the result stays the same, i.e., the app crashed with This functionality is important to us. For example, we want every model to be able to have many Notes. This makes it obvious that each note cannot have value for each model that it belongs to
am 100% certain that this feature used to work before on similar schema. And am certain it works or used to work on both iOS and JavaScript versions of our app.
My current way of handling this issue is to use SimpleGraphQL request and use custom mutation document as would on the AppSync console, which is huge headache to keep track of as we keep scaling the app up to use more models.
### Reproduction steps (if applicable)
1. Set up amplify env using the schema provided or using similar schema with model containing optional ID fields which are related to another model using ** BelongsTo** relationship.
2. Using GraphQL API, create customer, an animal, and note in similar fashion to provided code.
3. Note how the note fails to get created and throws the Android Runtime error that is provided in the log output.
4. This happens because note also has another optional field named measurement id which is linked to Note using the BelongsTo relationship
### Code Snippet</t>
  </si>
  <si>
    <t>2023-05-03</t>
  </si>
  <si>
    <t>dedis-popstellar-1539</t>
  </si>
  <si>
    <t>[BUG] Multiserver connection fails when the first server hasn't started yet</t>
  </si>
  <si>
    <t>Considering two servers:
Server which has the address of server (and possibly other servers) as parameter
Server will try to connect to server once and if that fails, it will also fail (on go).
### Expected behavior
It has yet to be discussed and defined by the protocol but we can look into implementing retries.
### How to reproduce
1. Start server with parameters for other servers addresses without starting them
2. See error failed to connect to server: failed to dial to ws: address server
You can make sure that server has already started before starting server 2.
For now, there is delay in the deployed versions that makes sure that server is started before server but from usability perspective it is not ideal to have server crash because of this reason.
### Possible root cause
On the go backend, in cli mod.go the server simply has loop that iterates over the other servers addressed and tries to connect to them then fails directly if one of them doesn succeed.</t>
  </si>
  <si>
    <t>Anuken-Mindustry-8557</t>
  </si>
  <si>
    <t>JSON Planets don't have mod prefixes on them</t>
  </si>
  <si>
    <t>**Steps to reproduce**: See screenshot above for console command
**Link(s) to mod(s) used**: Example JSON Planet (https: github.com Slotterleet Fading Revelations (https: github.com Fresh791 Fading-Revelations)
**Save file**: Not applicable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</si>
  <si>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2023-05-02</t>
  </si>
  <si>
    <t>aws-amplify-aws-sdk-android-3273</t>
  </si>
  <si>
    <t>Fatal Exception: java.lang.NullPointerException. Throwable.getCause()</t>
  </si>
  <si>
    <t>**Describe the bug**
Updated AWS sdk in my project from 2.14.2 to 2.65.0. During testing all run smooth as expected.
But after releasing the app lot of crash reporst coming to Firebase Crashlytics.
Not able to reproduce locally on the devices, but issue appears on some percent of app users.
Here is logs that have in crashytics. Nothing related to my code.
Fatal Exception: Attempt to invoke virtual method java.lang.Throwable on null object reference
**Which AWS service(s) are affected?**
Suppose that Pinpoint Service
App runs without crashes
**Environment Information (please complete the following information):**
AWS Android SDK Version: 2.65.0
Device: lot of devices
Android Version: Pie 9.0+
Specific to simulators: No</t>
  </si>
  <si>
    <t>Anuken-Mindustry-8554</t>
  </si>
  <si>
    <t>World Processors do not execute at all (With "Disable World Processors" disabled)</t>
  </si>
  <si>
    <t>**Steps to reproduce**: Place World Processor. Put code in it, for example, setting block data or enabling disabling building. It does not fire its instructions.
**Link(s) to mod(s) used**: Fresh791 Fading-Revelations. Tried when disabled still happens.
**Save file**: Not applicable. Happens regardless of save being used tried.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</si>
  <si>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PojavLauncherTeam-PojavLauncher-4157</t>
  </si>
  <si>
    <t>[BUG] Can't install Forge 1.8.9</t>
  </si>
  <si>
    <t>### Describe the bug
When try to install it, it crashes and report code error tried different video solutions but none worked
### The log file and images videos
### Steps To Reproduce
1.open jar installer
2.select forge version
### Expected Behavior
install without crash
Device model: Poco m4 5g pro
CPU architecture: ARM 64-bit (MediaTek Dimensity 810 (MT6833P))
Android version: 12
PojavLauncher version: Playstore most recent complete app-debug (I tested both)
### Anything else?</t>
  </si>
  <si>
    <t>2023-05-01</t>
  </si>
  <si>
    <t>openremote-openremote-1050</t>
  </si>
  <si>
    <t>Insights: page refresh 'crashes' tab</t>
  </si>
  <si>
    <t>Switch between insights pages few times and refresh
Page is stuck in loading and GET for master dashboards all master is not finished:
Initially seemed related to #1049 but is also reproduced without the dialog showing up. However, if encountering the dialog, pressing discard, and refreshing, this issue will appear too.</t>
  </si>
  <si>
    <t>cr4sh-me-NHLauncher-1</t>
  </si>
  <si>
    <t>App not opening in android 13</t>
  </si>
  <si>
    <t>After installing the app ,it didn start everytime press the icon ,the app crashes</t>
  </si>
  <si>
    <t>2023-04-30</t>
  </si>
  <si>
    <t>PojavLauncherTeam-PojavLauncher-4154</t>
  </si>
  <si>
    <t>[BUG]I can't turn on the "Video and renderer", "Control customization" and "Java Tweaks" options.</t>
  </si>
  <si>
    <t>### Describe the bug
When updated to the latest beta, found that would crash when turned on the video and renderer control customization and Java Tweaks options.
### The log file and images videos
... 26 more
### Steps To Reproduce
Clicking on these setting options will crash.
### Expected Behavior
hope it can be repaired.
Device model: OPPO A9 128G
CPU architecture: aarch64
Android version: 11
PojavLauncher version: Cleanup, part
### Anything else?</t>
  </si>
  <si>
    <t>jellyfin-jellyfin-androidtv-2723</t>
  </si>
  <si>
    <t>Add support for retrieving resume items in BaseRowAdapter using the SDK</t>
  </si>
  <si>
    <t>Feeding the dragon
Add new Resume type to our fancy query system
Implemented with the Kotlin SDK using the model
Uses the process lifecycle which will definitely not help preventing crashes but the item row adapter doesn have lifecycle :(</t>
  </si>
  <si>
    <t>Anuken-Mindustry-8545</t>
  </si>
  <si>
    <t>Sdl Error (custom-build)</t>
  </si>
  <si>
    <t>Custom build crashes when running desctop run command. Crash report is below.
The system was running until the previous day.
One thing that has changed is that we have upgraded the intel graphics.
**Steps to reproduce**:
**Link(s) to mod(s) used**:
No mods used
This one, too, has crashed and data cannot be retrieved.
would appreciate it if you could tell me where you saved the game data.
Mindustry has crashed. How unfortunate.
Runtime Available Memory: 8128mb
&lt;no mod init&gt;
No Android SDK found. Skipping Android module.
Compiling with build: custom build
Initialized Discord rich presence.
Could not create GL context:
-&gt; 95% EXECUTING 23m 49s</t>
  </si>
  <si>
    <t>MuntashirAkon-AppManager-1054</t>
  </si>
  <si>
    <t>App Manager crashes after opening Trichrome Library in apps list [3.2.0-alpha01]</t>
  </si>
  <si>
    <t>### Please check before submitting an issue
know what my device, OS and App Manager versions are
know how to take logs
know how to reproduce the issue which may not be specific to my device
### Describe the bug
As the title states. Providing crash report.
### Device info
App version: 3.2.0-alpha01
App version code: 433
Android build version: 10.1.0.150C431
Android release version: 10
Android SDK version: 29
Android build ID: VOG-L29
Device brand: HUAWEI
Device manufacturer: HUAWEI
Device name: HWVOG
Device model: VOG-L29
Device product name: VOG-L29EEA
Device hardware name: kirin980
ABIs (32bit): armeabi-v7a, armeabi</t>
  </si>
  <si>
    <t>2023-04-29</t>
  </si>
  <si>
    <t>PojavLauncherTeam-PojavLauncher-4148</t>
  </si>
  <si>
    <t>Cannot run fabric 1.16.5 with mods</t>
  </si>
  <si>
    <t>### Describe the bug
installed fabric without single mod and it was fine but when added fabric api it crashed here is my log
### The log file and images videos
potential solution has been determined:
Replace Minecraft (minecraft) 1.16.5 with any version between 1.20- (inclusive) and 1.20.1- (exclusive).
Unmet dependency listing:
Mod Fabric API (fabric-api) 0.79.2+1.20 requires any version between 1.20- (inclusive) and 1.20.1- (exclusive) of Minecraft (minecraft), but only the wrong version is present: 1.16.5!
Mod Fabric Command API (v2) 2.2.7+df5b2a9d4e requires any version after 1.19-alpha.22.11.a of Minecraft (minecraft), but only the wrong version is present: 1.16.5!
Mod Fabric Convention Tags 1.4.2+9a7c5daa4e requires version 1.18.2 or later of Minecraft (minecraft), but only the wrong version is present: 1.16.5!
Mod Fabric Sound API (v1) 1.0.10+75e982114e requires version 1.19.2 or later of Minecraft (minecraft), but only the wrong version is present: 1.16.5!
### Steps To Reproduce
1. Installed loader 1.16.5
2. Run it withouwt mods
3. Upload mods
4. Run it again
5. It crashed
### Expected Behavior
expect the game to launch with sodium mod and api fabricc
Device model: iphone 6.11 xsmax
CPU architecture: idk</t>
  </si>
  <si>
    <t>Fox2Code-FoxMagiskModuleManager-316</t>
  </si>
  <si>
    <t>[Issue] Not showing Upgradable modules</t>
  </si>
  <si>
    <t>With the previous version there was progress bar and when it finished Fox MMM displayed all Upgradable modules on top
Now, with this new version had even notification that two modules are upgradable but when opened Fox MMM it didn list which modules are upgradable
Only, there was badge but went back and force between Installed and Online tabs and there was no list of which modules are Upgradable
tested also with Action build (with the fix for crashing on Installing module) and it was the same
You can reproduce if you have several modules installed. Use MixPlorer or so, go to data adb modules and into the folders of modules, open their module.prop files and revert eg
Save, go to Magisk app, Modules tab and it will show that the module has an Update
Fox MMM should also show that the module is upgradable</t>
  </si>
  <si>
    <t>mixpanel-mixpanel-android-815</t>
  </si>
  <si>
    <t>Never crash when checking isBluetoothEnabled</t>
  </si>
  <si>
    <t>Customer was seeing crashes due to unhandled exception when we checked if bluetooth was enabled. This is non-critical, we should never crash. We can live without it.</t>
  </si>
  <si>
    <t>2023-04-28</t>
  </si>
  <si>
    <t>Fox2Code-FoxMagiskModuleManager-308</t>
  </si>
  <si>
    <t>[BUG] Installing any module results in crashloop</t>
  </si>
  <si>
    <t>**Describe the bug**
When attempting to install any module, it results in FMM crashing every time you open it. You have to reset the app to get it to work.
Steps to reproduce the behavior:
1. Go to modules
2. Install module
3. See error
The module installs correctly and does not result in crasshloop
Screenshot 20230427-132434 Fox Magisk Module Manager (https: 45834520
**Device info(please complete the following information):**
Device: OnePlus 7T HD1907 HD1905
OS: LineageOS 20 for hotdogb
App Version 67</t>
  </si>
  <si>
    <t>2023-04-27</t>
  </si>
  <si>
    <t>AndroidIDEOfficial-AndroidIDE-962</t>
  </si>
  <si>
    <t>[Bug]: Sora editor</t>
  </si>
  <si>
    <t>### What happened?
When writing codes, Sora Editor crashes.
### What the expected behavior?
No error when writing code.
### What version of AndroidIDE you re using?
v2.4.0 (debug builds)
### Relevant log output
AndroidIDE crash report
SDK version: 33
### Duplicate issues
This issue has not been reported yet.
### Code of Conduct
agree to follow this project Code of Conduct</t>
  </si>
  <si>
    <t>aws-amplify-amplify-android-2416</t>
  </si>
  <si>
    <t>Could not find aws.sdk.kotlin:aws-http:0.16.2.</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</si>
  <si>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def amplify version 2.8.0
### Environment information
### Please include any relevant guides or documentation you re referencing
### Describe the bug
Build apk file with version 2.7.0 -&gt; all fine
Change version to 2.8.0 -&gt; crash
Could not find
### Reproduction steps (if applicable)
### Code Snippet
Put your code below this line.
### Log output
Put your logs below this line
### GraphQL Schema
Put your schema below this line
### Additional information and screenshots</t>
  </si>
  <si>
    <t>commons-app-apps-android-commons-5217</t>
  </si>
  <si>
    <t>[Bug]: App crashes after entering credentials</t>
  </si>
  <si>
    <t>just installed the app from F-Droid, entered my credentials and it just crashes.
APK source: F-Droid link in repo readme
Tried to reboot the phone but didn change anything.
### Steps to reproduce
1. Install app
2. Skip introduction screens
3. enter username password
4. app closes
### Expected behaviour
Login works or fails with an error message but app survives.
### Actual behaviour
App crashes repeatedly. Does so even after clearing the app storage. Needed to uninstall and install again to reproduce the behavior.
### Device name
### Android version
Android 12 from LineageOS 19
### Commons app version
### Device logs
### Would you like to work on the issue?</t>
  </si>
  <si>
    <t>2023-04-26</t>
  </si>
  <si>
    <t>Anuken-Mindustry-8539</t>
  </si>
  <si>
    <t>1st time Game Crash</t>
  </si>
  <si>
    <t>**Steps to reproduce**: *Unsure, this is the first and only crash ve ever experienced.*
**Link(s) to mod(s) used**: *None all mods had to be uninstalled before joined the server*
If you remove the line above without reading it properly and understanding what it means, will reap your soul. Even if you re playing on someone server, you can still save the game to slot.
**(Crash) logs**: crash-report-04 26 2023 10 04 10.txt (https: github.com Anuken Mindustry files 11334108 crash-report-04 26 2023 10 04 10.txt)*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</si>
  <si>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nextcloud-android-11558</t>
  </si>
  <si>
    <t xml:space="preserve">Nextcloud keeps stopping on Android 13 (LOS20)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</si>
  <si>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Have Nextcloud Android installed on Android 12 (LOS19.1).
2. Update to Android 13 (LOS20).
### Expected behaviour
App should be running normally.
### Actual behaviour
App crashes constantly. Most of the times (99%) Nextcloud keeps stopping message is displayed, which disappears almost immediately. Sometimes (0,95%) the message stays, waiting for input to Wait or Close the app Seldom (0.05%) log is created, which used now to create this bug report.
### Android version
### Device brand and model
Xiaomi Redmi K30 Pro Zoom Edition
### Stock or custom OS?
Custom (explain in additional information
### Nextcloud android app version
### Nextcloud server version
### Using reverse proxy?</t>
  </si>
  <si>
    <t>PojavLauncherTeam-PojavLauncher-4136</t>
  </si>
  <si>
    <t>[BUG] Launcher Crashing When Loading</t>
  </si>
  <si>
    <t>### Describe the bug
Launcher crashes upon opening. It seems to have issues with the layout rendering.
### The log file and images videos
### Steps To Reproduce
1. Open launcher
### Expected Behavior
The launcher is supposed to open like normal. The issue is undetermined as it was working fine around an hour before.
Device model: CTL. Chromebook
CPU architecture: ARM64
Android version: (Latest)
PojavLauncher version: (Latest Release)
### Anything else?
Seems to only happen on ChromeOS. Problems with the XML file that helps render the UI from what can understand.</t>
  </si>
  <si>
    <t>Anuken-Mindustry-8537</t>
  </si>
  <si>
    <t>I can't use the 'any' environment in custom games</t>
  </si>
  <si>
    <t>**Steps to reproduce**: *just try to select the any environment on android*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</si>
  <si>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smartdevicelink-sdl_java_suite-1842</t>
  </si>
  <si>
    <t>NPE crash in BaseTextAndGraphicsManager.java line 206</t>
  </si>
  <si>
    <t>### Bug Summary
We re seeing the following crash affecting few hundred users in Crashlytics, but have been unable to reproduce it as of yet. Seems to be new issue after upgrading to SDL 5.6.0. The crash is coming from line 206 in where false) is called. Somehow the value of transactionQueue is null when this line is reached.
### Reproduction Steps
No reproduction steps yet. This crash came from Crashlytics logs and was observed after we updated to SDL 5.6.0.
### Which projects have you seen this bug on?
### Android Version(s)
Android 7.0-Android 13.0
### Android Device(s)
Multiple Samsung, Motorola, LG, OnePlus, and Nokia phones
### sdl java suite Version
### Testing Environment(s)
### Relevant log output</t>
  </si>
  <si>
    <t>2023-04-25</t>
  </si>
  <si>
    <t>SCCapstone-BoredBards-220</t>
  </si>
  <si>
    <t>Editing a note to be blank causes the app to crash</t>
  </si>
  <si>
    <t>2023-04-24</t>
  </si>
  <si>
    <t>SCCapstone-BoredBards-219</t>
  </si>
  <si>
    <t>App crashes when blank Player is added</t>
  </si>
  <si>
    <t>AndroidIDEOfficial-AndroidIDE-958</t>
  </si>
  <si>
    <t>While search no text actions uppear</t>
  </si>
  <si>
    <t>### What happened?
When click on search ican and search for word after pressing back button no text actions appear long press on text have to close the ide and reopen
### What the expected behavior?
Should display text actions
### What version of AndroidIDE you re using?
### Relevant log output
It is not crash
### Duplicate issues
This issue has not been reported yet.
### Code of Conduct
agree to follow this project Code of Conduct</t>
  </si>
  <si>
    <t>androidx-media-350</t>
  </si>
  <si>
    <t>IllegalStateException while accessing DefaultDrmSessionManager builder.</t>
  </si>
  <si>
    <t>### Media3 Version
### Devices that reproduce the issue
Xiaomi Redmi Note running on 11
### Devices that do not reproduce the issue
### Reproducible in the demo app?
### Reproduction steps
Play any Widevine DRM protected content. Haven tested other DRM schemes yet.
### Expected result
The content should play without any exception thrown since we have not changed anything in our implementation since the last update.
### Actual result
Playback does not crash but instead continues with the following stack trace. This actually seems to be intended but we have yet to come up with reason behind this behavior.
accessed before setPlayer(), possibly on the wrong thread.
Sent via email.
### Bug Report
You will email the zip file produced by adb bugreport to dev.exoplayer gmail.com after filing this issue.</t>
  </si>
  <si>
    <t>2023-04-23</t>
  </si>
  <si>
    <t>libgdx-libgdx-7127</t>
  </si>
  <si>
    <t>fix instanced rendering when used with Renderable or Model</t>
  </si>
  <si>
    <t>is copy of but using renderables instead.
In this case, Mesh used cached vertex attributes location for instanced buffer, which was wrong instanced attributes are not part of vertex attributes.
Without the fix, the provided test crash because it has more instanced attributes than vertex attributes (index out of bounds exception) but for other cases, it fails silently and instanced data wasn available in the shader.
This change is not optimal, we could cache instanced attributes locations as well but not sure the best way to do that without breaking API bit we would need something like
change Mesh.bind unbind (final ShaderProgram shader, final int vertexLocations, final int instancedLocations)
Since it an optimisation, it should be done in another PR anyway. Any opinion on that</t>
  </si>
  <si>
    <t>libgdx-libgdx-7126</t>
  </si>
  <si>
    <t>fix OpenGL version in tests</t>
  </si>
  <si>
    <t>noticed crash running because requires OpenGL 3.3+.
Note that OpenGL 4.3 is needed in order to fully emulate GLES 3.0. (see LwjglGL30 and Lwjgl3GL30 java imports)</t>
  </si>
  <si>
    <t>cgeo-cgeo-14217</t>
  </si>
  <si>
    <t>Crash when trying to open cache details</t>
  </si>
  <si>
    <t>### Describe your problem!
user claims, that c:geo keeps crashing when he tries to open any cache.
Any idea how to debug other than resetting the app?
### How to reproduce?
Open cache details
### Actual result after these steps?
Users log is full of crashes like this:
### Expected result after these steps?
### c:geo Version
### System information
## System information
Device type: SM-G781B (r8qxeea, samsung)
Android version: 13
Screen resolution: 1080x2186px (411x832dp)
Pixel density: 2.625
System font scale: 1.0 used scale: 1.0
Sailfish OS detected: false
Google Play services: enabled 23.13.12 (190408-519946965)
Memory: Available:2,0 GB, Total:5,5 GB, Threshold: 303,0 MB, low:false
Sensor and location:</t>
  </si>
  <si>
    <t>Rapsssito-react-native-tcp-socket-173</t>
  </si>
  <si>
    <t>Nmap port scan crashes the entire app on iOS 16</t>
  </si>
  <si>
    <t>Running nmap port scan crashes the entire app, for some reason
## Steps to reproduce
Steps to reproduce the behavior:
1. Use the code below.
2. Run the command nmap -p 5555 IP HERE
3. App crashes, with no output
This is how my server is defined
let senderSocket: TcpSocket.Socket
socket.on( data (data)
console.log( data Does not fire on nmap
socket.write( Echo server data)
socket.on( error (error)
console.log( An error occurred with client socket error)
socket.on( close (error)
console.log( Closed connection with socket.address(), error error
server.on( error (error)
console.log( An error occurred with the server error)
server.on( close ()
console.log( Server closed connection
Logs for your project will appear below. Press Ctrl+C to exit.</t>
  </si>
  <si>
    <t>SCCapstone-BoredBards-206</t>
  </si>
  <si>
    <t>Notes and Campaigns crash when blank version is added</t>
  </si>
  <si>
    <t>cgeo-cgeo-14212</t>
  </si>
  <si>
    <t>Mapsforge map: NPE in IndividualRoutePointLayer.onLongPress</t>
  </si>
  <si>
    <t>### Describe your problem!
Lately experience crashes while browsing on my offline map.
This mostly happens on cache map or list map when trying to long tap to create new cache waypoint.
### How to reproduce?
Not really reproducible but can be provoked within some minutes of working with the map
### Actual result after these steps?
### Expected result after these steps?
### c:geo Version
### System information
### Additional Information</t>
  </si>
  <si>
    <t>2023-04-22</t>
  </si>
  <si>
    <t>AndroidIDEOfficial-AndroidIDE-956</t>
  </si>
  <si>
    <t>[Bug] Android IDE crashed while in background</t>
  </si>
  <si>
    <t>### What happened?
was browsing another app and out of nowhere the Android IDE screen popped up showing the crash.Not the first time want this happened, just want to report maybe it something easy to fix AndroidIDE crash report
### What the expected behavior?
### What version of AndroidIDE you re using?
v2.4.0 (debug builds)
### Relevant log output
SDK version: 28
### Duplicate issues
This issue has not been reported yet.
### Code of Conduct
agree to follow this project Code of Conduct</t>
  </si>
  <si>
    <t>2023-04-21</t>
  </si>
  <si>
    <t>Anuken-Mindustry-8522</t>
  </si>
  <si>
    <t>"The Onset" not completing</t>
  </si>
  <si>
    <t>First time player, did the tutorial level The Onset killed, disassembed etc everything, put miner on every ressource, still not completing.
have researched everything available to me
there are no more enemies or structures
have tried closing and reopening the game, still can only play The Onset
**Steps to reproduce**: *How you happened across the issue, and what exactly you did to make the bug happen.*
just played the tutorial?
**Link(s) to mod(s) used**: *The mod repositories or zip files that are related to the issue, if applicable.*
**Save file**: *The (zipped) save file you were playing on
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have updated to the latest release available on steam, which has the same build number as the latest release on github
**I have searched the closed and open issues to make sure that this problem has not already been reported.**</t>
  </si>
  <si>
    <t>2023-04-20</t>
  </si>
  <si>
    <t>aws-amplify-amplify-android-2401</t>
  </si>
  <si>
    <t>Crash on Application start when calling method Amplify.configure</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</si>
  <si>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 Please include any relevant guides or documentation you re referencing
### Describe the bug
Our crash monitoring is reporting some occurrences of crash that happens in the application initialization when calling the amplify configure method.
couldn reproduce the issue in any way, but the rare users that find this problem can reproduce it frequently.
port must be in range 1, 65535
This issue is duplication of https: github.com aws-amplify amplify-android issues 2297 which was closed due to inactivity. added comment on the other issue but nobody replied.
### Reproduction steps (if applicable)
We couldn reproduce the issue but it happens lot for few users according to our crash monitoring.
### Code Snippet
class AppApplication Application()
override fun onCreate()
The crash happens here in this call
catch (exception: AmplifyException)
### Log output</t>
  </si>
  <si>
    <t>2023-04-19</t>
  </si>
  <si>
    <t>LawnchairLauncher-lawnchair-3428</t>
  </si>
  <si>
    <t xml:space="preserve">[BUG] NPE in PrefenceMananger2$Companion.getInstance </t>
  </si>
  <si>
    <t>### Describe the bug
Issues still occur, Always return null pointer exception from getInstance
### Steps to reproduce
Steps to reproduce the behavior:
1. Go to ...
2. Click on ....
3. Scroll down to ....
4. See error
### Expected behavior
Should no have crash in getInstance
Above fixes is not working --&gt; still return null
### Device information
App version: 12.1
### Additional context</t>
  </si>
  <si>
    <t>AlfaazPlus-QuranApp-233</t>
  </si>
  <si>
    <t xml:space="preserve">App crash when no internet connections! </t>
  </si>
  <si>
    <t>### Steps to reproduce
1- Turn off internet wifi mobile data
2- Open QuranApp (debug) with new audio player
3- Goto manage audio tap on any reciter
App crashes suddenly.
### Expected behavior
think the crash is because the host-url or something like that maybe...
### Actual behavior
It should show no interet connection available like the translation downloader screen.
### QuranApp version
### Android version
Android 13 OneUI 5.1
### Other details
Here is crash log:
... 26 more
... 26 more
... 27 more
... 26 more
... 26 more
... 26 more</t>
  </si>
  <si>
    <t>AndroidIDEOfficial-AndroidIDE-951</t>
  </si>
  <si>
    <t>[Bug]: Crash when opening AndroidIDE from recent applications</t>
  </si>
  <si>
    <t>### What happened?
AndroidIDE crashed when opening it from recent applications.
### What the expected behavior?
### What version of AndroidIDE you re using?
v2.4.0 (debug builds)
### Relevant log output
AndroidIDE crash report
SDK version: 33
### Duplicate issues
This issue has not been reported yet.
### Code of Conduct
agree to follow this project Code of Conduct</t>
  </si>
  <si>
    <t>2023-04-18</t>
  </si>
  <si>
    <t>Anuken-Mindustry-8515</t>
  </si>
  <si>
    <t>World Proc explosion radius bug</t>
  </si>
  <si>
    <t>**Steps to reproduce**: get world proc, set explosion radius with high damage and greater than 100 explosion radius, set it off and observe only blocks within 100 tiles of the explosion get destroyed (expected all tiles within the specified radius)
**Link(s) to mod(s) used**: none
**Save file**: *will be given in comment*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</si>
  <si>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AndroidIDEOfficial-AndroidIDE-950</t>
  </si>
  <si>
    <t>[Bug]: Crash when using action "Fix import(s)"</t>
  </si>
  <si>
    <t>### What happened?
AndroidIDE crashed when clicked on the Fix imports action.
### What the expected behavior?
AndroidIDE should not have crashed.
### What version of AndroidIDE you re using?
v2.4.0 (debug builds)
### Relevant log output
AndroidIDE crash report
SDK version: 33
### Duplicate issues
This issue has not been reported yet.
### Code of Conduct
agree to follow this project Code of Conduct</t>
  </si>
  <si>
    <t>2023-04-17</t>
  </si>
  <si>
    <t>cgeo-cgeo-14202</t>
  </si>
  <si>
    <t>c:geo frequently crashing</t>
  </si>
  <si>
    <t>User on support reports that c:geo crashes frequently for them. They seem to be able to do some steps, but on entering user note (?, Google translated) it crashing again.
Their logfile has the following two types of error messages, each of them several times:
and this one:
Full logfile available upon request.
Addition info: Ticket number 145556
They are using rather old version of c:geo (2022.09.04), so asked them to upgrade and then check whether the error persists.</t>
  </si>
  <si>
    <t>2023-04-16</t>
  </si>
  <si>
    <t>wiglenet-wigle-wifi-wardriving-585</t>
  </si>
  <si>
    <t>[FIX] responding to crash reports.</t>
  </si>
  <si>
    <t>Some of these null checks are deemed impossible by the linter, but here we are with reports that they ve happened</t>
  </si>
  <si>
    <t>LSPosed-LSPosed-2492</t>
  </si>
  <si>
    <t>[Bug] Target App com.comdirect.phototan crashes when LSPosed module is active</t>
  </si>
  <si>
    <t>### Steps to reproduce
FATAL EXCEPTION: Thread-7
am not sure if this is actually bug or some feature from the app itself that prevents using LSPosed.
### Expected behaviour
App should start normally
### Actual behaviour
App crashes at start.
### Xposed Module List Xposed
Tried with XPrivacyLua and others
### Magisk Module List Magisk
MagiskHide Props Config
Universal SafetyNet Fix
### LSPosed version LSPosed
### Android version Android
### Magisk version Magisk
### Riru version Riru
### Version requirement
am using latest debug CI version of LSPosed and enable verbose log CI</t>
  </si>
  <si>
    <t>2023-04-15</t>
  </si>
  <si>
    <t>nextcloud-android-11527</t>
  </si>
  <si>
    <t>Crash while trying to set up autoupload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</si>
  <si>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Install fresh NC client version thanks to f-droid, it just removed flawlessly worked 3.17.1 instead of upgrade so needed to install app from scratch. No matter where app is installed from f-droid, getapps, google play, bug is still here. Version 1.23.1 (the most old version available on f-droid) crashes too.
2. Enter your credentials, observe files list and go to Settings Auto-upload (I have non-English interface so can be not precise here)
3. See crash dump
### Expected behaviour
Can set auto upload folders
### Actual behaviour
### Android version
### Device brand and model
Xiaomi redmi note
### Stock or custom OS?
### Nextcloud android app version
### Nextcloud server version
### Using reverse proxy?
### Android logs</t>
  </si>
  <si>
    <t>VinylMusicPlayer-VinylMusicPlayer-737</t>
  </si>
  <si>
    <t>App crashed after device rotation with open popup message</t>
  </si>
  <si>
    <t>**Describe the bug**
clear and concise description of what the bug is.
Steps to reproduce the behavior:
1. Go to Alben in Landscape orientation
2. Click on an Album and the first Title
3. The Popup About to Add 59 titles into the playing queue. How do you want to procede with these Songs appears, but only the headliine and not the options are visible because oft the landscape orientation of the phone and the popup does not scroll.
4. Rotate Phone from landscape to Portrait.
5. See error
App version: 1.5.0
App version code: 180
Android build version: 2023041100
Android release version: 13
Android SDK version: 33
Android build ID:
Device brand: google
Device manufacturer: Google
Device name: raven
Device model: Pixel Pro
Device product name: raven
Device hardware name: raven</t>
  </si>
  <si>
    <t>jellyfin-jellyfin-androidtv-2668</t>
  </si>
  <si>
    <t>Fix app crash when playback stop is requested without an active player</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</si>
  <si>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app crash when playback stop is requested without an active player
&lt;!-- Describe your changes here in 1-5 sentences. --&gt;</t>
  </si>
  <si>
    <t>2023-04-14</t>
  </si>
  <si>
    <t>oliexdev-openScale-952</t>
  </si>
  <si>
    <t>Crash on Bluetooth Scan Unknown Permission</t>
  </si>
  <si>
    <t>App crash on any attempt to add scale. Given the error appears to say BLUETOOTH SCAN is unknown permision this may be due to my phone being anolder s5 variant with an older android build. Hopefully this can be resolved eaisly
Build version: 2.5.1
OS version: Android 6.0.1 (SDK 23)</t>
  </si>
  <si>
    <t>PojavLauncherTeam-PojavLauncher-4115</t>
  </si>
  <si>
    <t>[BUG] Game crashing with exited with code 1</t>
  </si>
  <si>
    <t>### Describe the bug
Application exited with code
### The log file and images videos
--------- beginning with launcher debug
Added custom env: TMPDIR data user net.kdt.pojavlaunch cache
Added custom env: AWTSTUB WIDTH 586
Added custom env: FORCE VSYNC false
Added custom env: POJAV NATIVEDIR data app zCw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Internal-17 lib jli: data user net.kdt.pojavlaunch runtimes Internal-17 lib: system lib64: vendor lib64: vendor lib64 hw: data app zCw lib arm64
Added custom env: POJAV RENDERER opengles2
Added custom env: LIBGL ES
Added custom env: VTEST SOCKET NAME data user net.kdt.pojavlaunch cache .virgl test</t>
  </si>
  <si>
    <t>babybuddy-babybuddy-for-android-24</t>
  </si>
  <si>
    <t>App hard-crashes in LoginFragment</t>
  </si>
  <si>
    <t>As reported back from Google Play:</t>
  </si>
  <si>
    <t>2023-04-13</t>
  </si>
  <si>
    <t>SCCapstone-BoredBards-187</t>
  </si>
  <si>
    <t>Text in number of dice</t>
  </si>
  <si>
    <t>If the user puts text like ten into the number of dice and click set dice it will crash the app and when it reboots it will bring the user back to the previous screen they were on.</t>
  </si>
  <si>
    <t>Aliucord-Aliucord-338</t>
  </si>
  <si>
    <t>Not responding/infinite hang upon startup</t>
  </si>
  <si>
    <t>### Discord Account
### What happens when the bug or crash occurs?
After update, app hangs until Android pops up not responding notice. Choosing to wait, the app continues to hang. have let it sit for few minutes and it was still frozen.
### What is the expected behaviour?
App to load (or at least crash)
### How do you recreate this bug or crash?
1. Update Aliucord to latest version in Installer
2. Open App
Unsure of how to get crash log in hang non-crash situation, but if you tell me ll be happy to do it.
### Request Agreement
did indeed check to make sure the bug or crash report is applicable!</t>
  </si>
  <si>
    <t>AndroidIDEOfficial-AndroidIDE-943</t>
  </si>
  <si>
    <t>[Bug]: Unexpected shutdown when exiting and re-entering the application.</t>
  </si>
  <si>
    <t>### What happened?
Leaving the application to go to another app and returning to AndroidIDE causes the error that shared.
v2.4.1 (debug builds)
### What the expected behavior?
Returning to the application without any errors occurring.
### What version of AndroidIDE you re using?
v2.4.0 (debug builds)
### Relevant log output
AndroidIDE crash report
SDK version: 33
### Duplicate issues
This issue has not been reported yet.
### Code of Conduct
agree to follow this project Code of Conduct</t>
  </si>
  <si>
    <t>Anuken-Mindustry-8507</t>
  </si>
  <si>
    <t>two bugs with with containers/vaults</t>
  </si>
  <si>
    <t>**Steps to reproduce**: 1st: if you fill container with flammable resources,light it, and then empty it, it will still be burning( if it is explosive, when destroyed explode). 2nd: fill container with anything, pick up with mega(or any unit that have payload 2x2, if vault 3x3.) then drop near core, so it connects to core, items wont contribute to core.
**Link(s) to mod(s) used**: didn t.
**Save file**: my phone is laghy cant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</si>
  <si>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Mahmud0808-Iconify-132</t>
  </si>
  <si>
    <t>[BUG] Can't run Mir Pay because of Iconify</t>
  </si>
  <si>
    <t>### Describe the bug
Mir Pay (russian GPay alternative) can execute because of Iconify. use Iconify only to change Monet colors. Repainter does not have this problem in this use case. Logs from logcat in additional context.
### Steps to reproduce
Steps to reproduce the behavior:
1. Install Iconify
2. Grant all permissions, wait..., reboot device.
3. Try to start Mir Pay app
4. You can start app
### Expected behavior
You can use Mir Pay.
Screenshot 20230413-125510 Mir Pay (https: 100877226
### Device information
Device: Xiaomi Mi 10T Pro
OS: Arrow OS Android 12L
App version: Latest Stable **or** latest dev. Does not matter.
### Additional context
Mir Pay crash report
Failed to open APK product overlay error
ResourcesManager crash report
failed to preload asset path product overlay</t>
  </si>
  <si>
    <t>Anuken-Mindustry-8505</t>
  </si>
  <si>
    <t>Game crashed/closed itself mid game with no crash log or error during crash</t>
  </si>
  <si>
    <t>Windows 11 home
expanded my current map run, had enemies rush in, and game just closed. No error or anything.
**Steps to reproduce**: *How you happened across the issue, and what exactly you did to make the bug happen.*
Stand at the most south base and repair as new waves comes in, IIRC was repairing as the last bunch walked past the walls they destroyed.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game generated no crash log.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</si>
  <si>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2023-04-12</t>
  </si>
  <si>
    <t>Aliucord-Aliucord-336</t>
  </si>
  <si>
    <t>aliucord uses google analytics and stores them in system folders everytime you open</t>
  </si>
  <si>
    <t>### Discord Account
### What happens when the bug or crash occurs?
when open the app
### What is the expected behaviour?
expect aliucord to block any analytics and not store them anywhere
### How do you recreate this bug or crash?
### Request Agreement
did indeed check to make sure the bug or crash report is applicable!</t>
  </si>
  <si>
    <t>androidx-media-318</t>
  </si>
  <si>
    <t>IllegalStateException about wrong thread Player access upon MediaSessionService connection</t>
  </si>
  <si>
    <t>### Media3 Version
### Devices that reproduce the issue
### Devices that do not reproduce the issue
### Reproducible in the demo app?
### Reproduction steps
have custom player class extending SimpleBasePlayer, using non-main looper. It is part of MediaSessionService that runs in separate process from the client.
The service crashes, complaining about the looper, apparently when the client connects. suspect this may be bug in media3, do not see any any of my own code in the stacktrace. also do not see way to influence the media3 behavior here, short of possibly implementing my own notification scheme, running the player on the main looper, or not offering Timeline right away.
The only place on the service side where specify the non-main looper is in the SimpleBasePlayer constructor. have not seen another applicable API to customize the looper.
assume the stacktrace will be sufficient to pinpoint the logic error here.
### Expected result
No service crash when connecting to
### Actual result
The MediaSessionService crashes:
RuntimeException while executing runnable 6f7d357 with executor 633ae44
Current thread: main
Expected thread: OffMainLooper
See https: exoplayer.dev issues
### Bug Report
You will email the zip file produced by adb bugreport to dev.exoplayer gmail.com after filing this issue.</t>
  </si>
  <si>
    <t>AndroidIDEOfficial-AndroidIDE-939</t>
  </si>
  <si>
    <t>[Bug]: Crash on implement abstract method inside an Interface</t>
  </si>
  <si>
    <t>### What happened?
Crash when tried to click Implement Abstract Method(s) inside an Interface.
Try to run Implement Abstract Method(s)
Dont type anything
### What the expected behavior?
Extracts the abstract methods and put it inside
### What version of AndroidIDE you re using?
v2.4.0 (debug builds)
### Relevant log output
AndroidIDE crash report
SDK version: 33
### Duplicate issues
This issue has not been reported yet.
### Code of Conduct
agree to follow this project Code of Conduct</t>
  </si>
  <si>
    <t>Tencent-Shadow-1171</t>
  </si>
  <si>
    <t>空指针风险</t>
  </si>
  <si>
    <t>https: github.com Tencent Shadow blob projects sdk core runtime src main java com tencent shadow core runtime
Fragment onDetach getActivity null crash null</t>
  </si>
  <si>
    <t>caoccao-Javet-238</t>
  </si>
  <si>
    <t>Javet 2.1.1 crashes on closing the runtime</t>
  </si>
  <si>
    <t>see in the changelog that javet no longer stores callback contexts in the global reference table since 2.1.1, which is good, was having trouble with excessive references.
But the latest version of javet will JNI crash the app if you bind when the close() method of the V8Runtime gets invoked:
Here is sample code that reproduces this:
public class ActivityTest extends AppCompatActivity
private TextView vText
protected void onCreate( Nullable Bundle savedInstanceState)
try (V8Runtime v8Runtime
aaa new hello )))
IV8Executor executor Hello Javet
catch (Exception ex)
public void hello()
if (vText null)
public void run()
believe the problem lies around here, in V8Runtime.java:
Remove callback contexts.
for (long handle
logger.logWarn( V8 callback context object(s) not recycled.</t>
  </si>
  <si>
    <t>2023-04-11</t>
  </si>
  <si>
    <t>OneSignal-OneSignal-Android-SDK-1759</t>
  </si>
  <si>
    <t>[Bug]:  Not allowed to bind to service Intent</t>
  </si>
  <si>
    <t>### What happened?
We are receiving crashes in our application due to the following error
### Steps to reproduce?
am not able to reproduce the issue but it was reported in crashlytics.
### What did you expect to happen?
expected the app to not crash.
### OneSignal Android SDK version
### Android version
### Specific Android models
Mobile FIH Foxconn (View Max Pro)
### Relevant log output
### Code of Conduct
agree to follow this project Code of Conduct
&lt;!-- probot onesignal-probot response time in business days :2 --&gt;</t>
  </si>
  <si>
    <t>SCCapstone-BoredBards-179</t>
  </si>
  <si>
    <t>Campaign players button crashes app</t>
  </si>
  <si>
    <t>When clicking the Players button in the campaign, the app crashes.</t>
  </si>
  <si>
    <t>2023-04-10</t>
  </si>
  <si>
    <t>LSPosed-LSPosed-2481</t>
  </si>
  <si>
    <t>[Bug] cannot start LSPosed on grapheneOS</t>
  </si>
  <si>
    <t>### Steps to reproduce
1. install module
3. start module using LSPosed notification
### Expected behaviour
LSPosed window opening
### Actual behaviour
if insisting, opens crash log
### Xposed Module List Xposed
### Magisk Module List Magisk
1. builtin busibox
2. f-droid privileged extension
3. systemless hosts
4. zygisk lsposed
### LSPosed version LSPosed
### Android version Android
### Magisk version Magisk
### Riru version Riru
### Version requirement
am using latest debug CI version of LSPosed and enable verbose log CI
*** *** *** *** *** *** *** *** *** *** *** *** *** *** *** ***</t>
  </si>
  <si>
    <t>2023-04-09</t>
  </si>
  <si>
    <t>OffRange-KeyGo-3</t>
  </si>
  <si>
    <t>[ViewFragment] Fast editing the title results in a crash</t>
  </si>
  <si>
    <t>**Describe the bug**
If you try to edit the title in the view fragment by long clicking on the title view and then changing the title in the dialog box, the application crashes after submitting.
Steps to reproduce the behavior:
1. Click on an saved element
2. Long click on the title view
3. Change the title in the dialog
5. App crashes
The title should change and stored in the database</t>
  </si>
  <si>
    <t>Anuken-Mindustry-8495</t>
  </si>
  <si>
    <t>Unloader crash</t>
  </si>
  <si>
    <t>**Steps to reproduce**: *idk was in console.*
**Link(s) to mod(s) used**: *No mods.*
**Save file**: *No save because it crashed.*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</si>
  <si>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Anuken-Mindustry-8494</t>
  </si>
  <si>
    <t>Mixed Tech button is busted</t>
  </si>
  <si>
    <t>**Steps to reproduce**:
1. Before starting custom game, enable sandbox mode (or infinite resources).
2. Press the &lt;Any button which was supposed to enable mixed tech in sandbox mode.
**Link(s) to mod(s) used**: Not applicable
**Save file**: Not in-game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</si>
  <si>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cgeo-cgeo-14173</t>
  </si>
  <si>
    <t>Crash on cancelling route optimization</t>
  </si>
  <si>
    <t>### Describe your problem!
### How to reproduce?
create individual route
start calculation route
cancel calculation before it is finished (whether or not first optimized route has been calculated)
### Actual result after these steps?
c:geo crashes, user will be on Android home screen
### Expected result after these steps?
route optimization should be cancelled
user either be returned to route edit screen (or allowed to use an already calculated route)
### c:geo Version
### System information
### Additional Information</t>
  </si>
  <si>
    <t>2023-04-08</t>
  </si>
  <si>
    <t>Anuken-Mindustry-8491</t>
  </si>
  <si>
    <t>my game wont launch because of java bug</t>
  </si>
  <si>
    <t>Steps to reproduce:
Link(s) to mod(s) used: vanilla
(Crash) logs: crash-report-04 08 2023 15 16 20.txt (https: github.com Anuken Mindustry files 11183452 crash-report-04 08 2023 15 16 20.txt)
Place an (no spaces) between the brackets to confirm that you have read the line below.
have updated to the latest release (https: github.com Anuken Mindustry releases) to make sure my issue has not been fixed.
have searched the closed and open issues to make sure that this problem has not already been reported.</t>
  </si>
  <si>
    <t>Anuken-Mindustry-8490</t>
  </si>
  <si>
    <t>Mindustry crash when I shrunk the UI</t>
  </si>
  <si>
    <t>My game crash because shrink my UI.</t>
  </si>
  <si>
    <t>jellyfin-jellyfin-androidtv-2653</t>
  </si>
  <si>
    <t>crash when stopped from dashboard, when not active</t>
  </si>
  <si>
    <t>### Describe the bug
Go to jellyfin dashboard
click stop button on TV instance (that is no longer playing).
### App information
***App version***: 0.15.6 150699
### Device information
***Android version***: 10
***Device brand***: Sony
***Device product***: BRAVIA VH2 EU
***Device model***: BRAVIA 4K VH2
### Crash information
### Application version
### Where did you install the app from?
### Device information
BRAVIA VH2 EU
### Android version
### Jellyfin server version</t>
  </si>
  <si>
    <t>2023-04-07</t>
  </si>
  <si>
    <t>joewilliams007-skyRant-2</t>
  </si>
  <si>
    <t>viewing an image on a rant after tapping on a notif item will crash the app</t>
  </si>
  <si>
    <t>the reason is that from the notif item the rant is not attached, and the image url is not set when the rant has to be first pulled in RantActivity</t>
  </si>
  <si>
    <t>Anuken-Mindustry-8483</t>
  </si>
  <si>
    <t>Mindustry won't open</t>
  </si>
  <si>
    <t>Mindustry has crashed. How unfortunate.
Report this at https: github.com Anuken Mindustry issues new?labels bug&amp;template bug report.md
Runtime Available Memory: 2046mb
Caused by: No cap character found in font
**Steps to reproduce**: Mindustry worked good before and than all of the sudden it doesnt start anymore. changed the GUI level to the lowest (probalbly 5) but cant really imagine that that crashed the game but its the only thing ve done
**Link(s) to mod(s) used**: No mods (Vanilla)
**Save file**: full game problem
If you remove the line above without reading it properly and understanding what it means, will reap your soul. Even if you re playing on someone server, you can still save the game to slot.
**(Crash) logs**: Mindustry has crashed. How unfortunate.
Report this at https: github.com Anuken Mindustry issues new?labels bug&amp;template bug report.md
Runtime Available Memory: 2046mb
Caused by: No cap character found in font
(same as above)
*Place an (no spaces) between the brackets to confirm that you have read the line below.*
cant open the game so ... **I have updated to the latest release (https: github.com Anuken Mindustry releases) to make sure my issue has not been fixed.**
literally deleted everything even close related to Mindsutry on my whole pc and it still crashes... **I have searched the closed and open issues to make sure that this problem has not already been reported.** have found nothing related to this bug</t>
  </si>
  <si>
    <t>AlfaazPlus-QuranApp-197</t>
  </si>
  <si>
    <t xml:space="preserve">App crashes when choose Arabic language </t>
  </si>
  <si>
    <t>### Steps to reproduce
When change language to arabic it crashes here is the crash log
Generated by AppErrorsTracking
Project Url: https: github.com KitsunePie AppErrorsTracking
Device Brand Xiaomi
Device Model POCO F1
Android Version 13
Android API Level 33
System Locale en US
Process ID 25927
CPU ABI none
Version Name 2023.04.02.1
Version Code 230402001
Error Type JVM
### Expected behavior
The app force closes
### Actual behavior
### QuranApp version
### Android version
### Other details</t>
  </si>
  <si>
    <t>androidx-media-302</t>
  </si>
  <si>
    <t>RTSP streams causing "Fatal Exception" with AVProVideo</t>
  </si>
  <si>
    <t>### Media3 Version
### Devices that reproduce the issue
using **AVProVideo** in **Unity 2020.3.36** for Meta Quest video playback.
seem to be hitting this Fatal Exception bug with some RTSP streams. can seem to narrow down what type of stream will cause it, but can use number of streams and won get it but then will get it one that consistently crashes.
can try to provide links that hitting but don have solid list.
ve been discussing over here
and it possibly seems like problem handling audio in ExoPlayer?
### Devices that do not reproduce the issue
only testing on Quest
### Reproducible in the demo app?
### Reproduction steps
1. load RTSP stream in AVProVideo
### Expected result
play stream and provide joy
### Actual result
Quest app fully crashes
ve been trying this test stream and it seems to be what crashes the app
### Bug Report
You will email the zip file produced by adb bugreport to dev.exoplayer gmail.com after filing this issue.</t>
  </si>
  <si>
    <t>2023-04-06</t>
  </si>
  <si>
    <t>omnilaboratory-OBAndroid-67</t>
  </si>
  <si>
    <t xml:space="preserve">Click "MENU--&gt; Channel Manage", the app crashes. </t>
  </si>
  <si>
    <t>Click MENU--&gt; Channel Manage the app crashes.</t>
  </si>
  <si>
    <t>androidx-media-299</t>
  </si>
  <si>
    <t>ANR Context.startForegroundService() did not then call Service.startForeground()</t>
  </si>
  <si>
    <t>### Media3 Version
Media3 1.0.0 target and compile sdk 33
### Devices that reproduce the issue
Galaxy S20 FE 5G Android 13
Pixel Android 13
Pixel Android 13
### Devices that do not reproduce the issue
### Reproducible in the demo app?
Yes. in UAMP when targetting compile sdk 33 and media3 1.0.0
### Reproduction steps
Press play pause on bluetooth headset OR adb shell input keyevent 126
observe crash after some seconds
What notice is that the service gets recreated when press the bluetooth controls. How do circumvent this?
### Expected result
ANR Shouldn happen
we are getting ANR in crashlytics since using Media3 but we cant determine the root cause of this issue maybe you have an idea what might cause these issues.
did not then call ServiceRecord e7bf2a3 u0 .....Redacted......
### Actual result
did not then call ServiceRecord e7bf2a3 u0 .....Redacted......
&lt;img width 1149 alt image src https: 2817395</t>
  </si>
  <si>
    <t>LSPosed-LSPosed-2477</t>
  </si>
  <si>
    <t xml:space="preserve">[Bug] </t>
  </si>
  <si>
    <t>### Steps to reproduce
2.Cut into the background
4.Open manager and it chash
### Expected behaviour
### Actual behaviour
LSPosed Manager crash
### Xposed Module List Xposed
Woobox For MIUI
Unlock CN GMS
### Magisk Module List Magisk
GPS PRO TEST
### LSPosed version LSPosed
### Android version Android
### Magisk version Magisk
### Riru version Riru
### Version requirement
am using latest debug CI version of LSPosed and enable verbose log CI</t>
  </si>
  <si>
    <t>LSPosed-LSPosed-2476</t>
  </si>
  <si>
    <t>Chash[6871]</t>
  </si>
  <si>
    <t>### Steps to reproduce
Open and cut into the background and crash after while
### Expected behaviour
### Actual behaviour
### Xposed Module List Xposed
UNLOCK CN GMS
### Magisk Module List Magisk
### LSPosed version LSPosed
### Android version Android
### Magisk version Magisk
### Riru version Riru
### Version requirement
am using latest debug CI version of LSPosed and enable verbose log CI
... 12 more
Caused by: CREATOR
... 31 more</t>
  </si>
  <si>
    <t>Aliucord-Aliucord-334</t>
  </si>
  <si>
    <t>aliucord 146.8 kept on crashing, could even get to login page |:{</t>
  </si>
  <si>
    <t>### Discord Account
umm hmm, why this? said it couldn t, CRASHED before it mf-ing.
### What happens when the bug or crash occurs?
ya mom gets fucked.
### What is the expected behaviour?
get ya mom unfucked.
### How do you recreate this bug or crash?
ya mama do it by haself.
Replace this text with your crash-log.
said couldn t, it won let me get in, it crashes each and every time, ever and ever. crashlog isn even made or saved in device storage emulated aliucord.
it armv7 apk tried both default hermes and libc++, nothing happened btw, it crashing.
### Request Agreement
did indeed check to make sure the bug or crash report is applicable!</t>
  </si>
  <si>
    <t>2023-04-05</t>
  </si>
  <si>
    <t>AppLovin-AppLovin-MAX-React-Native-200</t>
  </si>
  <si>
    <t>MainApplication.safedk_MainApplication_onCreate_57ea765f2d36ffe6e4e3ea553e0f0486</t>
  </si>
  <si>
    <t>### MAX Module Version
### React Native Version
### Device Platform Info
### Current Behavior
Since switching to the AppLovin ad network in my application, have been receiving this error. This error is particularly experienced by users using Android 12 and Android 13 versions (as shown in the picture). couldn find out what is causing the problem. The error logs are as follows. would appreciate it if you could help.
### Expected Behavior
Users should not experience crash due to this error.
### How to Reproduce
The following items are included in the root-level build.gradle file:
maven url https: android
The following items are included in the app-level build.gradle file:
### Additional Info
&lt;img width 339 alt Screen Shot 2023-04-05 at 16 21 58 src https: 58952445</t>
  </si>
  <si>
    <t>AndroidIDEOfficial-AndroidIDE-927</t>
  </si>
  <si>
    <t>[Bug]: Sora Editor Crashed</t>
  </si>
  <si>
    <t>### What happened?
The title says it: crash
### What the expected behavior?
Not to crash
### What version of AndroidIDE you re using?
v2.4.0 (debug builds)
### Relevant log output
AndroidIDE crash report
SDK version: 31
### Duplicate issues
This issue has not been reported yet.
### Code of Conduct
agree to follow this project Code of Conduct</t>
  </si>
  <si>
    <t>sspanak-tt9-236</t>
  </si>
  <si>
    <t>Changing the theme causes a crash sometimes</t>
  </si>
  <si>
    <t>Changing the theme, then quickly trying to exit the Settings screen using Back-Back, causes an error:</t>
  </si>
  <si>
    <t>Anuken-Mindustry-8475</t>
  </si>
  <si>
    <t>Core is not launching resources to new sectors</t>
  </si>
  <si>
    <t>Steps to reproduce: wait for resources in another sector, then launch to another sector.
And save zip file. By exporting data with steps( settings&gt;Game data exportdata
Found this problem was reported in 2021 xD
And is occuring now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</si>
  <si>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googleads-googleads-ima-android-dai-67</t>
  </si>
  <si>
    <t>3.30.0 Fatal Exception: "java.lang.IllegalStateException: Android TV ads library should be called from an Android TV app"</t>
  </si>
  <si>
    <t>3.30.0 crashes with Android TV ads library should be called from an Android TV app when any video is played. We see this issue in the sample app and when we try to use 3.30.0 in our apps (Paramount).
1. Download and build Advanced Example from the latest Google Ads IMA SDK Android Examples
2. Update the app build.gradle to use 3.30.0
3. Play any video
App crashes with:
FATAL EXCEPTION: pool-1-thread-3</t>
  </si>
  <si>
    <t>2023-04-04</t>
  </si>
  <si>
    <t>facebook-react-native-36796</t>
  </si>
  <si>
    <t>Fix a crash new app template when `createRootView` is invoked with null bundle</t>
  </si>
  <si>
    <t>As the title says, this fixes instacrash on template when createRootView is invoked with
bundle being null. The crash was happening as the parameter, despite being not used, is
specified as Bundle and is not nullable. When the Java caller passes null the app crashes.
Android Fixed Fix crash new app template when createRootView is invoked with null bundle
Differential Revision: D44668305</t>
  </si>
  <si>
    <t>AndroidIDEOfficial-AndroidIDE-919</t>
  </si>
  <si>
    <t xml:space="preserve">[Bug]: app crash. </t>
  </si>
  <si>
    <t>### What happened?
When clicked yes on exit dialog app crashed but doen nt see any crash log may be this because of big process in dialog when clicked yes
### What the expected behavior?
When clicked yes on exit dialog app crashed but doen nt see any crash log may be this because of big process in dialog when clicked yes
### What version of AndroidIDE you re using?
v2.4.0 (debug builds)
### Relevant log output
### Duplicate issues
This issue has not been reported yet.
### Code of Conduct
agree to follow this project Code of Conduct</t>
  </si>
  <si>
    <t>deltachat-deltachat-android-2531</t>
  </si>
  <si>
    <t>BackupProviderFragment may unref backup provider while it is still used</t>
  </si>
  <si>
    <t>Here, in onDestroyView dcBackupProvider is destroyed:
However, it may still be used in thread spawned above at https: github.com deltachat deltachat-android blob src org thoughtcrime securesms qr
All started threads should be joined before calling unref()
This bug leads to crash reported in https: github.com deltachat deltachat-core-rust issues
This bugreport is follow-up to the discussion in https: github.com deltachat deltachat-core-rust pull 4244</t>
  </si>
  <si>
    <t>chetan7020-Smart-Mess-5</t>
  </si>
  <si>
    <t xml:space="preserve">Bug in owner profile when switching from other tab, It gets crashed </t>
  </si>
  <si>
    <t>PojavLauncherTeam-PojavLauncher-4094</t>
  </si>
  <si>
    <t>[BUG] Game crashes when starting forge.</t>
  </si>
  <si>
    <t>### Describe the bug
can install forge normally, but once start the game, it will crash.
Everything else is normal. For example, fabric won crash.
### The log file and images videos
--------- beginning with launcher debug
Added custom env: TMPDIR data user cache
Added custom env: AWTSTUB WIDTH 2340
Added custom env: FORCE VSYNC true
Added custom env: POJAV NATIVEDIR data app lib arm64
Added custom env: REGAL GL VERSION 4.5
Added custom env: REGAL GL VENDOR Android
Added custom env: LIBGL MIPMAP
Added custom env: allow higher compat version true
Added custom env: MESA GLSL CACHE DIR data user cache
Added custom env: LIBGL NOINTOVLHACK
Added custom env: force glsl extensions warn true
Added custom env: LIBGL NORMALIZE
Added custom env: LD LIBRARY PATH data user runtimes lib jli: data user runtimes lib: system lib64: vendor lib64: vendor lib64 hw: data app lib arm64
Added custom env: POJAV RENDERER opengles2
Added custom env: LIBGL ES</t>
  </si>
  <si>
    <t>AppLovin-AppLovin-MAX-React-Native-196</t>
  </si>
  <si>
    <t xml:space="preserve"> java.lang.NullPointerException - Attempt to invoke virtual method 'android.view.ViewParent android.view.View.getParent()' on a null object reference</t>
  </si>
  <si>
    <t>### MAX Module Version
### React Native Version
### Device Platform Info
### Current Behavior
This happens mostly on android 13. If you put banner inside view which has dynamical display style this error crashes the app. Not sure but think this doesn happen only with display style change, but even when phone orientation changes.
### Expected Behavior
Not bugging even if change display style.
### How to Reproduce
Put banner inside view and toggle style display from none to flex.
### Additional Info</t>
  </si>
  <si>
    <t>2023-04-03</t>
  </si>
  <si>
    <t>facebook-react-native-36770</t>
  </si>
  <si>
    <t>'value' is unavailable: introduced in iOS 12.0</t>
  </si>
  <si>
    <t>After updating Xcode to 14.3.
The app starts crashing and gives an error
value is unavailable: introduced in iOS 12.0.
To Fix that have updated the deployment target from 11.0 to 12.0
iOS Fixed Fix the crash in iOS by updating the deployment target from 11.0 to 12.0.</t>
  </si>
  <si>
    <t>RosettaDrone-rosettadrone-145</t>
  </si>
  <si>
    <t>Rosetta Drone from master branch crashes on DJI Smart Controller</t>
  </si>
  <si>
    <t>### Describe the bug
wanted to test this app with My DJI Smart Controller Enterprise but enabling TestMode crashed it.
### Steps To Reproduce
1. Clone master (commit https: github.com RosettaDrone rosettadrone commit branch
2. Build it using instructions from README
3. Apply change from https: github.com RosettaDrone rosettadrone pull 143 (without this there are compilation errors)
4. Build APK file
5. Upload and install it to DJI Smart Controller
1. Open app
2. press logo several times to enable TestMode
3. App crashes Rosetta Drone has stopped
OS: Ubuntu 22.04
Device: DJI Smart Controller Enterprise
### Additional context
When opened and compiled app from work branch (with applied https: github.com RosettaDrone rosettadrone pull 143) app does not crash in testing mode, but it crashes when try to open it when connected with drone (DJI Matrice 300) Rosetta Drone keeps stopping
IDK how to connect this remote to ADB, so can easily collect logs. (Computer does not see device when connected using USB-C port)</t>
  </si>
  <si>
    <t>PojavLauncherTeam-PojavLauncher-4091</t>
  </si>
  <si>
    <t>[BUG] Crash with Vulkan Mod</t>
  </si>
  <si>
    <t>### Describe the bug
want try Vulkan Mod on Minecraft 1.19.4, but Minecraft not starting.
### The log file and images videos
--------- beginning with launcher debug
--------- beginning of crash
Added custom env: TMPDIR data user cache
Added custom env: AWTSTUB WIDTH 1042
Added custom env: FORCE VSYNC true
Added custom env: REGAL GL VERSION 4.5
Added custom env: REGAL GL VENDOR Android
Added custom env: LIBGL MIPMAP
Added custom env: allow higher compat version true
Added custom env: MESA GLSL CACHE DIR data user cache
Added custom env: HOME storage emulated games PojavLauncher
Added custom env: PATH data user runtimes bin: sbin: system sbin: system bin: system xbin: odm bin: vendor bin: vendor xbin
Added custom env: LIBGL NOINTOVLHACK
Added custom env: force glsl extensions warn true
Added custom env: LIBGL NORMALIZE
Added custom env: POJAV RENDERER opengles3 desktopgl angle vulkan
Added custom env: LIBGL ES</t>
  </si>
  <si>
    <t>Anuken-Mindustry-8463</t>
  </si>
  <si>
    <t>ItemBridge crash</t>
  </si>
  <si>
    <t>**Link(s) to mod(s) used**: *No mods.*
**Save file**: *Game crashed so wasn able to save it.*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</si>
  <si>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2023-04-02</t>
  </si>
  <si>
    <t>itsdrnoob-DataMonitor-164</t>
  </si>
  <si>
    <t xml:space="preserve">Crashed in Chinese Traditional </t>
  </si>
  <si>
    <t>am able to reproduce the bug with the latest version (https: github.com itsdrnoob DataMonitor releases latest).
made sure that there are no existing issues open (https: github.com itsdrnoob DataMonitor issues) or closed (https: github.com itsdrnoob DataMonitor issues?q
have taken the time to fill in all the required details in an appropriate descriptive way. understand that the bug report will be dismissed otherwise.
This issue contains only one bug.
### Affected app version
v2.3.1(Beta) Download From PlayStore
### Steps to reproduce the bug
Install beta version v2.3.1 from PlayStore.
Open App, and setup language to Chinese Traditional.
Apps will send you crashed message.
### Expected behavior
Without any crashed message.
### Actual behavior
### Screenshots Screen recordings
----------Start of crash----------
Build type: release
Version code: 23
Thread name: main
Thread stacktrace: Method),
Crash message: Attempt to read from null array</t>
  </si>
  <si>
    <t>Sesu8642-FeudalTactics-48</t>
  </si>
  <si>
    <t>Crash when starting second game</t>
  </si>
  <si>
    <t>If you play game to the end (continue when the enemy gives up), and start another game, the game crashes just before your first turn.
had hoped it was fixed with a7b10fc, as the symptoms are quite similar, but the problem is still in version 1.1.4.</t>
  </si>
  <si>
    <t>2023-04-01</t>
  </si>
  <si>
    <t>AppLovin-AppLovin-MAX-React-Native-194</t>
  </si>
  <si>
    <t>java.lang.UnsatisfiedLinkError - dlopen failed: "/data/data/app/lib-3/libc++_shared.so" is for EM_AARCH64</t>
  </si>
  <si>
    <t>### MAX Module Version
### React Native Version
### Device Platform Info
### Current Behavior
Crashlytics is reporting that app crashes at startup with many users. Happening after add yandex mediation. Happening with almost every device model and android version.
### Expected Behavior
### How to Reproduce
Test yandex mediation
### Additional Info</t>
  </si>
  <si>
    <t>androidx-media-290</t>
  </si>
  <si>
    <t>IllegalArgumentException in QueueTimeline#create()  (trying to use duplicated keys in ImmutableMap)</t>
  </si>
  <si>
    <t>### Media3 Version
### Devices that reproduce the issue
Galaxy S22 running Android 13
Galaxy A20 running Android 11
Realme C21-Y running Android 11
Nokia Plus running Android 10
Galaxy Note8 running Android
### Devices that do not reproduce the issue
think this issue is not device OS version specific.
### Reproducible in the demo app?
### Reproduction steps
Sorry, haven reproduced this issue myself.
All affected users are using the Snoop mode of the app (in order to control and visualize the sound of other music apps).
**At least, did not see the same issue with the previous version of the app that is using media3 v1.0.0-beta03**. All crash reports are only for media3 v1.0.0.
### Expected result
No app crashing occurs inside the method.
### Actual result
These are example stack traces reported on Crashlytics:
Multiple entries with same key: l4.g0 dc9ec702 47 and l4.g0 dc9ec702 45
Multiple entries with same key: l4.g0 d45098c7 19 and l4.g0 d45098c7 18</t>
  </si>
  <si>
    <t>nextcloud-android-11495</t>
  </si>
  <si>
    <t>Crash when sharing to Nextcloud and parent directory of last upload directory was renamed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</si>
  <si>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Create directory
2. Create directory
3. Share file to nextcloud and upload it to
4. Rename the directory to C, so that is now at
5. Share file to Nextcloud
6. The locally cached content of is shown
7. Click the back icon on the left side of the top toolbar to switch to the parent directory
### Expected behaviour
It switches to or at least to the root directory
### Actual behaviour
The Nextcloud app crashes, probably because the parent directory of B, which is A, doesn exist anymore (since it was renamed to C).
This makes the share-to-Nextcloud feature completely unusable until clear the app data and setup everything on the Android client side from scratch.
### Android version
### Device brand and model</t>
  </si>
  <si>
    <t>MuntashirAkon-AppManager-1039</t>
  </si>
  <si>
    <t xml:space="preserve">App freeze lag , crasher  cant touch anithink </t>
  </si>
  <si>
    <t>### Please check before submitting an issue
know what my device, OS and App Manager versions are
know how to take logs
know how to reproduce the issue which may not be specific to my device
### Describe the bug
App open work but cant touch anithink is laggy
run in android 13 rom miui 14
But android 12 miui 13 is normally
### To Reproduce
### Expected behavior
### Device info
App Manager Version:
Mode: Root ADB NonRoot
### Additional context</t>
  </si>
  <si>
    <t>material-components-material-components-android-3322</t>
  </si>
  <si>
    <t>[SideSheet] - 1.10.0-alpha01 - NPE: shapeAppearanceModel not initialized before layout (with workaround)</t>
  </si>
  <si>
    <t>Runtime NPE when trying to layout SideSheet (1.10-alpha01):
Line 163 is where it crashes:
Turns out shapeApparanceModel is null. Hence the crash.
shapeApparanceModel should have been set on line 134 earlier:
if Layout shapeAppearance))
attrs, 0, DEF STYLE RES).build()
But the assignment is skipped as the test fails. Let look at where is set:
We need to make sure Layout shapeAppearance ).
&lt;item name shapeAppearance style item&gt;
also works. For example:
&lt;?xml version 1.0 encoding utf-8 ?&gt;
&lt;!-- the theme applied to the application or activity --&gt;
&lt;style name Theme.MyApp parent
&lt;item name shapeAppearance style item&gt;
Not sure if this will work for every configuration, in every case... but it worked in my quick little test, including the new left edge stuff. Great job, afohrman!</t>
  </si>
  <si>
    <t>2023-03-31</t>
  </si>
  <si>
    <t>AndroidIDEOfficial-AndroidIDE-910</t>
  </si>
  <si>
    <t>[Bug]: This bug occurred when reopening the app</t>
  </si>
  <si>
    <t>### What happened?
This bug occurred when reopening the app
### What the expected behavior?
AndroidIDE crash report
SDK version: 31
### What version of AndroidIDE you re using?
v2.4.0 (debug builds)
### Relevant log output
### Duplicate issues
This issue has not been reported yet.
### Code of Conduct
agree to follow this project Code of Conduct</t>
  </si>
  <si>
    <t>2023-03-30</t>
  </si>
  <si>
    <t>commons-app-apps-android-commons-5195</t>
  </si>
  <si>
    <t>App crashes on pressing the "My Location" icon in the upload wizard</t>
  </si>
  <si>
    <t>The app crashes on pressing the My Location button in the upload wizard. The same icon shows dialog requesting for location access in the Nearby section and in the Map fragment of the Explore section.
### Steps to reproduce
1. Open the Contribution tab
2. Click on the upload from gallery icon (either regular or the custom selector)
3. Choose an image and click on the map icon
4. Click on the My Location icon present just above the green coloured floating icon
### Expected behaviour
dialog must appear requesting for location access.
### Actual behaviour
The app crashes on clicking the icon.
### Device name
### Android version
### Commons app version
master and prodDebug
### Device logs
### Would you like to work on the issue?</t>
  </si>
  <si>
    <t>GrapheneOS-Camera-352</t>
  </si>
  <si>
    <t>QR camera crashes when sideways</t>
  </si>
  <si>
    <t>Whether opening it this way or straight up and then rotating this occurs.</t>
  </si>
  <si>
    <t>RosettaDrone-rosettadrone-139</t>
  </si>
  <si>
    <t>Remove x86 build</t>
  </si>
  <si>
    <t>### Describe the bug
compiled app and wanted to open it to check its functionalities.
### Steps To Reproduce
1. Build app according to instructions in README
2. Create device in Android Studio
3. Press Run app
OS: Android 11
Browser e.g. stock browser, safari
Version: App compiled from master, commit
### Additional context
Connected to process 3371 on device Nexus API 30 emulator-5554
Capturing and displaying logcat messages from application. This behavior can be disabled in the Logcat output section of the Debugger settings page.
--------- beginning of crash
Caused by: Didn find class on path: DexPathList zip file data app base.apk data app lib arm, data app base.apk! lib armeabi-v7a, system lib, system ext lib</t>
  </si>
  <si>
    <t>rudderlabs-rudder-sdk-android-215</t>
  </si>
  <si>
    <t>BUG : NPE while updating user traits.</t>
  </si>
  <si>
    <t>**Describe the bug**
Please provide the following information:
Not able to reproduce but have **980+** crashes reported in last **90** days
**Version of the Android SDK**
Android SDK: **v1.10.0**</t>
  </si>
  <si>
    <t>jellyfin-jellyfin-androidtv-2626</t>
  </si>
  <si>
    <t>It seems cann't be supported on android 8.0 devices.</t>
  </si>
  <si>
    <t>### Describe the bug
the jellyfin client will be crashed when try to open the setting option.
found some error information in the log stack like Only fullscreen opaque activities can request orientation
my device version is android 8.0.
Caused by: Only fullscreen opaque activities can request orientation
--------- beginning of crash
### App information
### Application version
### Where did you install the app from?
### Device information
### Android version
### Jellyfin server version</t>
  </si>
  <si>
    <t>2023-03-29</t>
  </si>
  <si>
    <t>square-react-native-square-reader-sdk-219</t>
  </si>
  <si>
    <t>App crashes when trying to use the Square Stand</t>
  </si>
  <si>
    <t>### Describe the issue
Our product was approved by Square the Apple team. We added the PPID #s to the info.plist file. We expected the reader sdk to connect with the square stand automatically process the payment. However, whenever we try to start the checkout process, the app crashes.
Here is link to the issue on Sentry: https: tabletab.sentry.io share issue
### To Reproduce
Steps to reproduce the issue.
1. Open the reader-sdk app with the square stand
1. Start the checkout process const checkoutResult: CheckoutResult await startCheckoutAsync(
### Expected behavior
It should present the checkout screen.
**Environment (please complete the following information):**
platform: iOS iPad12,1
OS and version: iOS 16.2
Reader SDK version: 1.6.9</t>
  </si>
  <si>
    <t>PhenoApps-Field-Book-554</t>
  </si>
  <si>
    <t>Intermittent problems with photo traits</t>
  </si>
  <si>
    <t>**Describe the bug**
Intermittent problems with photo traits using Fieldbook v5.4 on an S22:
At first Fieldbook app crashed when saving photo after opening the camera and taking photo, when pressing the checkmark.
After reinstalling Fieldbook, the crashing disappeared, but after being taken photos would not display properly when opened from the collect screen. The first photo for each plot could not be found, viewing any of the remaining photos would display the previous photo.
Install v5.4 on an S22, create photo trait, and try taking photos.
No crashing, each photo thumbnail to open the correct corresponding photo.
Also here is logcat output captured in Android studio, covering the same activity shown in the screen recording.
**Device Info (please complete the following information):**
OS: not sure
Field Book Version 5.4
ramierop can provide additional context.</t>
  </si>
  <si>
    <t>2023-03-28</t>
  </si>
  <si>
    <t>AndroidIDEOfficial-AndroidIDE-907</t>
  </si>
  <si>
    <t>[Bug]: Throws an exception while background</t>
  </si>
  <si>
    <t>### What happened?
Crashes while ide is in background.
### What the expected behavior?
Should not have crashed while in background.
### What version of AndroidIDE you re using?
v2.4.0 (debug builds)
### Relevant log output
AndroidIDE crash report
SDK version: 29
### Duplicate issues
This issue has not been reported yet.
### Code of Conduct
agree to follow this project Code of Conduct</t>
  </si>
  <si>
    <t>AndroidIDEOfficial-AndroidIDE-906</t>
  </si>
  <si>
    <t>[Bug]: Crash when writing code</t>
  </si>
  <si>
    <t>### What happened?
Application crashed when am writing code.
### What the expected behavior?
Crash should not happen.
### What version of AndroidIDE you re using?
v2.4.0 (debug builds)
### Relevant log output
AndroidIDE crash report
SDK version: 33
### Duplicate issues
This issue has not been reported yet.
### Code of Conduct
agree to follow this project Code of Conduct</t>
  </si>
  <si>
    <t>2023-03-27</t>
  </si>
  <si>
    <t>AndroidIDEOfficial-AndroidIDE-905</t>
  </si>
  <si>
    <t>[Bug]: Crash when using action "Implement abstract class method (s)"</t>
  </si>
  <si>
    <t>### What happened?
Application crashed when am using action Implement abstract class method (s)
### What the expected behavior?
Crash should not happen.
### What version of AndroidIDE you re using?
v2.4.0 (debug builds)
### Relevant log output
AndroidIDE crash report
SDK version: 33
### Duplicate issues
This issue has not been reported yet.
### Code of Conduct
agree to follow this project Code of Conduct</t>
  </si>
  <si>
    <t>devoxx-MyDevoxxGluon-347</t>
  </si>
  <si>
    <t>Devoxx app crashes when using Twitter Auth</t>
  </si>
  <si>
    <t>When starting OAuth using Twitter on Android Sumsung S23, the app crashes with following catlog</t>
  </si>
  <si>
    <t>AndroidIDEOfficial-AndroidIDE-904</t>
  </si>
  <si>
    <t xml:space="preserve">[Bug]: Crashed when importing classes for auto complete </t>
  </si>
  <si>
    <t>### What happened?
App crashed when importing classes for auto complete
### What the expected behavior?
### What version of AndroidIDE you re using?
v2.4.0 (debug builds)
### Relevant log output
AndroidIDE crash report
SDK version: 33
### Duplicate issues
This issue has not been reported yet.
### Code of Conduct
agree to follow this project Code of Conduct</t>
  </si>
  <si>
    <t>deltachat-deltachat-android-2516</t>
  </si>
  <si>
    <t>App crashes when a chat with Webxdc is opened.</t>
  </si>
  <si>
    <t>have chat with webxdc which crashes every time scroll the chat to the preview of webxdc on Android:
webxdc itself is ok, it even opens on Desktop. But maybe it was received in different way on Android or failed to write the blob to the database.</t>
  </si>
  <si>
    <t>2023-03-26</t>
  </si>
  <si>
    <t>PojavLauncherTeam-PojavLauncher-4078</t>
  </si>
  <si>
    <t>Crash with Minecraft Transit Railway</t>
  </si>
  <si>
    <t>### Describe the bug
Every time on Pojav Launcher load Minecraft with The Transit Railway mod it crashes
---- Minecraft Crash Report ----
Everything going to plan. No, really, that was supposed to happen.
detailed walkthrough of the error, its code path and all known details is as follows:
-- System Details --
Minecraft Version: 1.19.2
Minecraft Version ID: 1.19.2
Operating System: Linux (arm) version Android-13
Processor Vendor: 0x41
Processor Name: ARMv8 Processor rev (v8l)
Frequency (GHz): -0.00
Number of physical packages:
Number of physical CPUs:
Number of logical CPUs:
Graphics card #0 name: unknown
Graphics card #0 vendor: unknown
Graphics card #0 VRAM (MB): 0.00
Graphics card #0 deviceId: unknown
Graphics card #0 versionInfo: unknown</t>
  </si>
  <si>
    <t>mollyim-mollyim-android-174</t>
  </si>
  <si>
    <t>App crash at startup</t>
  </si>
  <si>
    <t>### Is there an existing issue for this?
have searched the existing issues
### Bug description
Molly crashed after unlocking the database with an not responding popup. Launching Molly while internet connection is off works fine.
### Steps to reproduce
1. Open Molly
2. Unlock database
3. Not responding popup shows
### Molly version
### Android version
### Link to debug log</t>
  </si>
  <si>
    <t>PojavLauncherTeam-PojavLauncher-4077</t>
  </si>
  <si>
    <t>[BUG] &lt;HOLY GL4ES crashes part 2&gt;</t>
  </si>
  <si>
    <t>### Describe the bug
When join into my World which is very large (like 2.8GB) it just crashes
### The log file and images videos
### Steps To Reproduce
### Expected Behavior
Device model: CPH2021
Android version: 11
PojavLauncher version: openjdk
### Anything else?
HOPE really got this video put in correctly
If not. am not going to be happy</t>
  </si>
  <si>
    <t>PojavLauncherTeam-PojavLauncher-4075</t>
  </si>
  <si>
    <t>[BUG] &lt;HOLY GL4ES crashes part 1&gt;</t>
  </si>
  <si>
    <t>### Describe the bug
When join into my World which is very large (like 2.8GB) it just crashes
### The log file and images videos
### Steps To Reproduce
Get HOLY GL4ES to work with large Worlds
### Expected Behavior
Not to expect lag fix but for it to render properly in large Worlds
Device model: CPH2021
CPU architecture: aarch64
Android version: 11
PojavLauncher version: openjdk
### Anything else?</t>
  </si>
  <si>
    <t>Aliucord-Aliucord-333</t>
  </si>
  <si>
    <t>search in direct messages are broken</t>
  </si>
  <si>
    <t>### Discord Account
### What happens when the bug or crash occurs?
Discord will keep saying we dropped the magnifying glass when you try to search anything in DM s.
Happens on Aliucord v126021
### What is the expected behaviour?
expect the app to return search results instead of dropping magnifying glasses.
### How do you recreate this bug or crash?
Try to search message in DM channel, doesn matter how you search it.
### Request Agreement
did indeed check to make sure the bug or crash report is applicable!</t>
  </si>
  <si>
    <t>2023-03-25</t>
  </si>
  <si>
    <t>microg-GmsCore-1909</t>
  </si>
  <si>
    <t>DeepL app crashes upon taking picture</t>
  </si>
  <si>
    <t>**Describe the bug**
Upon taking picture, app crashes,
Steps to reproduce the behavior:
1. Open DeepL translator app
2. Try to take picture
3. It crashes
Picture is taken and text on it is detected and translated
Screenshot 20230325-094801 crDroid Home.png (https: 104674625
Android Version: 13
Custom ROM: CrDroid 9.0</t>
  </si>
  <si>
    <t>Anuken-Mindustry-8427</t>
  </si>
  <si>
    <t>Black background but units and buildings visible.</t>
  </si>
  <si>
    <t>**Steps to reproduce**: *I start he game, and click load game or continue campaign.
**Link(s) to mod(s) used**: do not use mods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</si>
  <si>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AndroidIDEOfficial-AndroidIDE-900</t>
  </si>
  <si>
    <t>[Bug]: "libandroidide-terminal.so" not found</t>
  </si>
  <si>
    <t>### What happened?
AndroidIDE not intalled
### What the expected behavior?
### What version of AndroidIDE you re using?
v2.4.0 (debug builds)
### Relevant log output
AndroidIDE crash report
SDK version: 33
### Duplicate issues
This issue has not been reported yet.
### Code of Conduct
agree to follow this project Code of Conduct</t>
  </si>
  <si>
    <t>openid-AppAuth-Android-956</t>
  </si>
  <si>
    <t>AppAuth crashes when OAuth endpoint doesn't return state parameter</t>
  </si>
  <si>
    <t>&lt;!-- Thank your for your input! Before you submit your issue, please make sure you followed our checklist and check the appropriate boxes by putting an in the --&gt;
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Integration: React Native
Identity provider: AWS Cognito
### Issue Description
&lt;!-- Please include what happening, expected behavior, and any relevant code samples --&gt;
AWS Cognito logout endpoint (https: docs.aws.amazon.com cognito latest developerguide when used with logout uri (instead of redirect uri ), notably does not return state parameter (https: repost.aws questions
That would be fine, but AppAuth crashes the entire app over it (https: github.com openid AppAuth-Android blob library java net openid appauth by asserting it as precondition.
argue that precondition checks are inappropriate for parameters not directly provided by the library integrator. In the meantime, struggling to find way to work around this that still uses AppAuth-Android in its current state.
Note didn check the latest release box in this issue because we re using an 0.8.1 version, but can see the same code path still in AppAuth-Android code latest.</t>
  </si>
  <si>
    <t>GetFeedback-getfeedback-g4a-capacitor-14</t>
  </si>
  <si>
    <t>Null pointer exception causes crash on Android</t>
  </si>
  <si>
    <t>We are seeing the following null pointer exception which is resulting in an Android crash:
This crash is being reported in the play store console. This is production issue for us. It has occurred 79 times in the last 28 days.
It appears that callStandardEvent can be null here (https: github.com GetFeedback blob main android src main java com getfeedback
Please let me know if you need any additional information. Thank you.</t>
  </si>
  <si>
    <t>2023-03-24</t>
  </si>
  <si>
    <t>commons-app-apps-android-commons-5187</t>
  </si>
  <si>
    <t>[Bug]: App crashes when you click on Author Name</t>
  </si>
  <si>
    <t>The app crashes when you click on Author Name of an image
### Steps to reproduce
1. Open the app
2. Skip the login
3. In the featured tab, open any image
4. Click on the author name of the image
### Expected behaviour
Details about the author should open
### Actual behaviour
The app crashes
### Device name
### Android version
### Commons app version
### Device logs
fr.free.nrw.commons ACRA caught for fr.free.nrw.commons
### Would you like to work on the issue?</t>
  </si>
  <si>
    <t>CMPUT301W23T07-catch-me-if-you-scan-151</t>
  </si>
  <si>
    <t>74 activity testings are missing enough tests</t>
  </si>
  <si>
    <t>Refactored MainActivityTest into separate tests: MainActivityTest MainActivityMapTest
Total tests 16 -&gt; 22 currently work in progress due to randomized testing order which might cause crash during test
Refactored the SubmissionActivity class such that methods may be tested.
Added setLocations() setter in Monster class</t>
  </si>
  <si>
    <t>2023-03-23</t>
  </si>
  <si>
    <t>PojavLauncherTeam-PojavLauncher-4065</t>
  </si>
  <si>
    <t>[Error] &lt;Sodium Fabric&gt;</t>
  </si>
  <si>
    <t>### Describe the bug
Help. having trouble entering the world in Fabric Sodium. The game crashes after the player appears, and no error is displayed. Java runtime version 17 is installed, and have also checked version 18. Fabric 0.11.1 1.16.5 What advice can you give me?
### The log file and images videos
Screenshot 20230323 011056 PojavLauncher (Minecraft Java Edition for Android) (https: 128646565
Screenshot 20230323 011103 PojavLauncher (Minecraft Java Edition for Android) (https: 128646565
Screenshot 20230323 011108 PojavLauncher (Minecraft Java Edition for Android) (https: 128646565
Screenshot 20230323 011043 PojavLauncher (Minecraft Java Edition for Android) (https: 128646565
### Steps To Reproduce
1.I can launch PojavLauncher normally, but when enter the world, it starts connecting to the world, then saving the world and ends with an error.
### Expected Behavior
No matter how much watch videos or search forums, can find solution to my situation.
Device model:Samsung Tab A8 10.5 LTE.
CPU architecture:Unisoc T618.
PojavLauncher version:I recently downloaded from the Play Store.
### Anything else?</t>
  </si>
  <si>
    <t>2023-03-22</t>
  </si>
  <si>
    <t>omnilaboratory-OBAndroid-44</t>
  </si>
  <si>
    <t xml:space="preserve">When restore password using mnemonic words, presss on "PASTE", the app crashes. </t>
  </si>
  <si>
    <t>When restore password using mnemonic words, presss on PASTE the app crashes.</t>
  </si>
  <si>
    <t>prashasth-nair-AnimePeak-7</t>
  </si>
  <si>
    <t>Crash when changing orrientation</t>
  </si>
  <si>
    <t>when we change orientation in anime details page while its loading it crashes</t>
  </si>
  <si>
    <t>LawnchairLauncher-lawnchair-3383</t>
  </si>
  <si>
    <t>[BUG] Add app icon into another app icon when become folder encounter crash</t>
  </si>
  <si>
    <t>### Describe the bug
--&gt; Null pointer
have two app icon in the Workspace Screen(First Screen), one is Gmail app, and another is Chrome app. When drag Gmail app into Chrome app will auto merge into Folder then the apps crash.
### Steps to reproduce
Steps to reproduce the behavior:
1. Go to Main Screen
2. Drag one of the app and on top of the app will merge into folder
3. then App crash
4. See the log error
### Expected behavior
By right should no crash in method parent value get null guess.
### Device information
Device: Emulator Pixel XL API 29
OS: Android 10.0
App version: 12.1.0 Alpha
### Additional context
public FolderIcon layout, int container, final int screenId, int cellX,
final FolderInfo folderInfo new FolderInfo()
Update the model
container, screenId, cellX, cellY)</t>
  </si>
  <si>
    <t>peiva-git-SDM_project-42</t>
  </si>
  <si>
    <t>Found bug when printing user feedback in the no freedom case</t>
  </si>
  <si>
    <t>When picking free cell on row 8, on the next iteration the system wrongly suggests cells that are out of board bounds
## How to reproduce
Start game. Keep picking positions until you reach row 8. On the next iteration, positions outside the board will be wrongly suggested. Thankfully, if position out of bounds gets picked, the system refuses it. However, even if the next picked position is correct, the system will crash.</t>
  </si>
  <si>
    <t>2023-03-21</t>
  </si>
  <si>
    <t>PojavLauncherTeam-PojavLauncher-4059</t>
  </si>
  <si>
    <t>1.14 crash</t>
  </si>
  <si>
    <t>### Describe the bug
### The log file and images videos
None is shown
### Steps To Reproduce
3.create world4.get kicked out of the launcher game
### Expected Behavior
expected the game would run smoothly
Device model: any
CPU architecture: any
PojavLauncher version: latest
### Anything else?</t>
  </si>
  <si>
    <t>Anuken-Mindustry-8412</t>
  </si>
  <si>
    <t>Pinning the game to the taskbar removes the icon.</t>
  </si>
  <si>
    <t>When using the itch.io version, pinning the game to the taskbar removes the icon, replacing it with the default .exe icon.
**Steps to reproduce**: *How you happened across the issue, and what exactly you did to make the bug happen.*
Downloaded the itch.io version, ran it, then pinned it to the taskbar, which removes the icon.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</si>
  <si>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2023-03-20</t>
  </si>
  <si>
    <t>AlfaazPlus-QuranApp-111</t>
  </si>
  <si>
    <t>App crash with bookmarks</t>
  </si>
  <si>
    <t>### Steps to reproduce
Bookmark some ayat then try to see it or edit notes the app crashes suddenly, This happens with debug app tested to see my language Kurdish that have any mistakes or typo also when app lang is set to the audio(reciter) files cannot be played.
### Expected behavior
### Actual behavior
### QuranApp version
### Android version
Android 13 OneUI 5.1
### Other details
have searched the existing issues and this is new ticket, **NOT** duplicate or related to another open issue.
have written short but informative title.</t>
  </si>
  <si>
    <t>nextcloud-android-11465</t>
  </si>
  <si>
    <t>Crash when going back in the folder three while sharing an image to Nextcloud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</si>
  <si>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Reach an image in the browser (you are at the actual URL of the image).
2. Touch the upper-left arrow or go back with Android gestures to go one folder level up from were the app opened.
3. Acknowledge the crashing.
### Expected behaviour
While loading an image to Nextcloud with the Share function of Android should be able to navigate the folder three freely.
### Actual behaviour
The app crashes when trying to go back.
cannot test going down in folder because the folder the apl opens when share the image hasn got any subfolder and cannot move to folder that has it.
### Android version
### Device brand and model
Motorola Moto 5G Plus
### Stock or custom OS?
### Nextcloud android app version
### Nextcloud server version</t>
  </si>
  <si>
    <t>VinylMusicPlayer-VinylMusicPlayer-728</t>
  </si>
  <si>
    <t>Avoid crash while loading top tracks</t>
  </si>
  <si>
    <t>Resolves https: github.com VinylMusicPlayer VinylMusicPlayer issues 725</t>
  </si>
  <si>
    <t>AndroidIDEOfficial-AndroidIDE-882</t>
  </si>
  <si>
    <t>[Bug]: Crash on installing apk on miui</t>
  </si>
  <si>
    <t>### What happened?
When the build finish the app crashed
### What the expected behavior?
Not to crash
### What version of AndroidIDE you re using?
### Relevant log output
AndroidIDE crash report
SDK version: 31
### Duplicate issues
This issue has not been reported yet.
### Code of Conduct
agree to follow this project Code of Conduct</t>
  </si>
  <si>
    <t>2023-03-19</t>
  </si>
  <si>
    <t>Anuken-Mindustry-8409</t>
  </si>
  <si>
    <t>The Game is randomly crashing</t>
  </si>
  <si>
    <t>**Steps to reproduce**: *I don really know, playing in multiplayer with my friends, when starting on new area the host (me) is randomly crashing, the game closes without any warn and everyone get disconnected.*
**Link(s) to mod(s) used**: *None*
**Save file**: *Here is all the saves, was on coastline when it crashed, dont really know what file is for this specific map...*
**(Crash) logs**: *The in game button says that there no crash, the last log file doesn contain any information (only people connecting to the host). And dont find any crash folder.*
*Place an (no spaces) between the brackets to confirm that you have read the line below.*
**I have updated to the latest release (https: github.com Anuken Mindustry releases), **i up to date on steam** to make sure my issue has not been fixed.**
**I have searched the closed and open issues to make sure that this problem has not already been reported.**
Contact me for any informations, ve been playing for days and it crashed something like times, it mostly happens at the beginning of the construction of sector and it really anoying, the map is saved but all resources are gone and the waves reseted.</t>
  </si>
  <si>
    <t>patzly-grocy-android-674</t>
  </si>
  <si>
    <t>App crashes when adding a new item in offline mode</t>
  </si>
  <si>
    <t>am new user of grocy and don know yet how good the app functions without an internet connection, but guess it should not crash.
It happens when try to create new item while beeing in offline mode.
--------- beginning of crash
--------- beginning of main</t>
  </si>
  <si>
    <t>2023-03-18</t>
  </si>
  <si>
    <t>PojavLauncherTeam-PojavLauncher-4049</t>
  </si>
  <si>
    <t>[BUG] Keeps Crashing</t>
  </si>
  <si>
    <t>### Describe the bug
play on Samsung Galaxy s23 phone 128gb of storage and 8gb of ram. Lately, when log into my Thaumcraft world, the game keeps crashing becaue have the effect Unnatural Hunger II The game lags for seconds, then the game crashes.
### The log file and images videos
### Steps To Reproduce
1. Install Thaumcraft
2. Have Unnatural Hunger II
3. Game Crashes
### Expected Behavior
Device model: Galaxy s23
CPU architecture: ARMV9
Android version: 13
PojavLauncher version: current
### Anything else?</t>
  </si>
  <si>
    <t>LSPosed-LSPosed-2443</t>
  </si>
  <si>
    <t>[Bug] When installing magisk module, the Trichrome Library crashes on /e/OS 1.8.1</t>
  </si>
  <si>
    <t>### Steps to reproduce
1. Install in Magisk
2. Run WebView or SystemBrouser
### Expected behaviour
### Actual behaviour
### Xposed Module List Xposed
### Magisk Module List Magisk
Universal SafetyNet Fix
### LSPosed version LSPosed
### Android version Android
### Magisk version Magisk
### Riru version Riru
None. And dont know wath is debug CI.
### Version requirement
am using latest debug CI version of LSPosed and enable verbose log CI</t>
  </si>
  <si>
    <t>patzly-grocy-android-673</t>
  </si>
  <si>
    <t>APP crashes randomly</t>
  </si>
  <si>
    <t>--------- beginning of crash
--------- beginning of main</t>
  </si>
  <si>
    <t>PojavLauncherTeam-PojavLauncher-4047</t>
  </si>
  <si>
    <t>[BUG] &lt;Short description&gt;it keeps crashing upon start up 1.18.2 with mods</t>
  </si>
  <si>
    <t>### Describe the bug
Application exit code
### The log file and images videos
--------- beginning with launcher debug
--------- beginning of system
--------- beginning of crash
--------- beginning of main
Added custom env: TMPDIR data user net.kdt.pojavlaunch cache
Added custom env: AWTSTUB WIDTH 1476
Added custom env: POJAV NATIVEDIR data app KvkiFUZ3w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lib jli: data user net.kdt.pojavlaunch runtimes lib: system lib64: vendor lib64: vendor lib64 hw: data app KvkiFUZ3w lib arm64
Added custom env: POJAV RENDERER opengles3 virgl</t>
  </si>
  <si>
    <t>PojavLauncherTeam-PojavLauncher-4745</t>
  </si>
  <si>
    <t>[BUG] Nomifactory CEu crashes if launched without internet.</t>
  </si>
  <si>
    <t>### Describe the bug
Nomifactory CEu crashes with code if the modpack is launched without internet.
If launched with internet it successfully loads to main menu.
### The log file and images videos
### Steps To Reproduce
1. Start PojavLauncher.
2. Download Nomifactory CEu frough inbuilt modpack downloader.
3. Start the modpack without internet.
### Expected Behavior
1. Start PojavLauncher.
2. Download Nomifactory CEu frough inbuilt modpack downloader.
3. Start the modpack without internet.
4. Successfully loads to the main menu.
Device model: Redmi Note 12 Pro 256Gb
CPU architecture: arm64-v8a
Android version: 12
PojavLauncher version: Edelweiss Release
### Anything else?
Reinstalling modpack and deleting and manually installing forge version doesn change anything.
Im using newest google play store PojavLauncher as it was updated not that long ago.</t>
  </si>
  <si>
    <t>2023-10-17</t>
  </si>
  <si>
    <t>cgeo-cgeo-14109</t>
  </si>
  <si>
    <t>Crash when opening caches from map</t>
  </si>
  <si>
    <t>### Describe your problem!
Since some days the nightlys are quite unstable.
If open caches from the map view after the second or third when click on Mehr Details c:geo chrashes and jumps back to the main page
### How to reproduce?
Go to map view
Shift to area with no stored caches
Click on cache symbol
Click on more details
Use back button to go back to map
### Actual result after these steps?
### Expected result after these steps?
No crash, but show details of cache
### c:geo Version
### System information
## System information
Device type: MI (dipper, Xiaomi)
Android version: 10
Android build: QKQ1.190828.002 test-keys
Screen resolution: 1080x2029px (392x737dp)
Pixel density: 2.75</t>
  </si>
  <si>
    <t>2023-03-17</t>
  </si>
  <si>
    <t>AndroidIDEOfficial-AndroidIDE-874</t>
  </si>
  <si>
    <t>[Bug]: It's causing the app to crash v2.4.0-beta</t>
  </si>
  <si>
    <t>### What happened?
It is causing the app to crash, when close java class in the editor tab with large code it closes the app and restarts again
### What the expected behavior?
wanted that when close the class in the editor, that the app does not restart
### What version of AndroidIDE you re using?
v2.3.0 (debug builds)
### Relevant log output
### Duplicate issues
This issue has not been reported yet.
### Code of Conduct
agree to follow this project Code of Conduct</t>
  </si>
  <si>
    <t>AndroidIDEOfficial-AndroidIDE-873</t>
  </si>
  <si>
    <t>[Bug]: Application crash when deleting the resource name on a designer text field</t>
  </si>
  <si>
    <t>### What happened?
AndroidIDE crashed when was deleting the resource name (text field for android:src property) on designer.
### What the expected behavior?
AndroidIDE should ignore such exception.
### What version of AndroidIDE you re using?
v2.3.0 (debug builds)
### Relevant log output
AndroidIDE crash report
SDK version: 31
### Duplicate issues
This issue has not been reported yet.
### Code of Conduct
agree to follow this project Code of Conduct</t>
  </si>
  <si>
    <t>AndroidIDEOfficial-AndroidIDE-870</t>
  </si>
  <si>
    <t>[Bug]: error when app was minimized</t>
  </si>
  <si>
    <t>### What happened?
left the app minimized, when went back to it it gave this error.
### What the expected behavior?
hoped it didn give an error when went back to the app again
### What version of AndroidIDE you re using?
v2.3.0 (debug builds)
### Relevant log output
AndroidIDE crash report
SDK version: 31
### Duplicate issues
This issue has not been reported yet.
### Code of Conduct
agree to follow this project Code of Conduct</t>
  </si>
  <si>
    <t>LawnchairLauncher-lawnchair-3373</t>
  </si>
  <si>
    <t>[BUG] android.permission.READ_EXTERNAL_STORAGE</t>
  </si>
  <si>
    <t>### Describe the bug
Only happen in Huawei device.
### Steps to reproduce
Steps to reproduce the behavior:
1. Go to ...
2. Click on ....
3. Scroll down to ....
4. See error
### Expected behavior
Should no return permission denied, is it huawei phone have another permission to handle? wallpaper crash??
### Device information
App version: 12.1.0 Alpha
### Additional context</t>
  </si>
  <si>
    <t>2023-03-16</t>
  </si>
  <si>
    <t>AndroidIDEOfficial-AndroidIDE-867</t>
  </si>
  <si>
    <t>[Bug]: There was a bug when editing the xml layout, when I was editing the width and height.</t>
  </si>
  <si>
    <t>### What happened?
There was bug when editing the xml layout, when was editing the width and height.
### What the expected behavior?
AndroidIDE crash report
SDK version: 31
### What version of AndroidIDE you re using?
### Relevant log output
### Duplicate issues
This issue has not been reported yet.
### Code of Conduct
agree to follow this project Code of Conduct</t>
  </si>
  <si>
    <t>PojavLauncherTeam-PojavLauncher-4041</t>
  </si>
  <si>
    <t xml:space="preserve">Can't play 1.18 fabric with sodium </t>
  </si>
  <si>
    <t>### Describe the bug
Application exited with code
### The log file and images videos
### Steps To Reproduce
1.Start Pojav launcher
2.choose fabric loader 0.14.13 1.18
3.Click on play
3.It will crash after few seconds
### Expected Behavior
expect the game not to crash
Device model: Vivo y91i
CPU architecture: 64 aarch
Android version: 8.1
PojavLauncher version: latest on Google Play Store
### Anything else?
had theese mods
Latest log here-</t>
  </si>
  <si>
    <t>2023-03-15</t>
  </si>
  <si>
    <t>SecUSo-privacy-friendly-todo-list-88</t>
  </si>
  <si>
    <t>Fix crash when a reminder is created</t>
  </si>
  <si>
    <t>Should fix #85</t>
  </si>
  <si>
    <t>2023-03-14</t>
  </si>
  <si>
    <t>OfekiAlm-SoloBeast-19</t>
  </si>
  <si>
    <t>Camera picture doesn't work</t>
  </si>
  <si>
    <t>RESULT OK &amp;&amp; result.getData() null)
Intent bitmap result.getData()
Uri uri bitmap.getData()
catch (IOException e)
throw new RuntimeException(e)
else RESULT CANCELED)
You canceled the process ,Toast.LENGTH LONG).show()
part of the code from RegisterAct.java
crashes when using URI.</t>
  </si>
  <si>
    <t>2023-03-13</t>
  </si>
  <si>
    <t>Hellikandra-ATAK-Weather-Plugin-8</t>
  </si>
  <si>
    <t>Crash after check weather in Ukrane.</t>
  </si>
  <si>
    <t>Hello, don know why, but if you try to check weather in any place on Ukrane territory it will crash whole ATAK.</t>
  </si>
  <si>
    <t>regulaforensics-react-native-face-api-18</t>
  </si>
  <si>
    <t>App crash on android and ios throws error when calling init</t>
  </si>
  <si>
    <t>By just calling the init
The app crashes on android and an error thrown in iOS **Core framework missed, check bundle contains binary**.
already did pod install in iOS and in android am expecting that it is auto linked?</t>
  </si>
  <si>
    <t>osamaqarem-react-native-image-colors-63</t>
  </si>
  <si>
    <t>[Error: ImageColors: Invalid image URI – failed to get image]</t>
  </si>
  <si>
    <t>### Error: Error: ImageColors: Invalid image URI failed to get image
have an app the user enters url and the app gets the preview image of the url. Then use this colors to show gradient view for images. When trying to get the colors from the given url its not giving any warning and crashing the app directly.</t>
  </si>
  <si>
    <t>2023-03-12</t>
  </si>
  <si>
    <t>PojavLauncherTeam-PojavLauncher-4032</t>
  </si>
  <si>
    <t>[BUG] &lt;Unisoc Chipset Renderer Problems&gt;</t>
  </si>
  <si>
    <t>### Describe the bug
Why my zink renderer and Virgl renderer can use in Unisoc chipsets it always crash.
### The log file and images videos
### Steps To Reproduce
### Expected Behavior
expect the game launch
Device model: Realme C11 2021
Android version: 11
PojavLauncher version: Old Version and Playstore Version
### Anything else?
Ty for responding</t>
  </si>
  <si>
    <t>AndroidIDEOfficial-AndroidIDE-854</t>
  </si>
  <si>
    <t>[Bug]: App Crashes when changing theme</t>
  </si>
  <si>
    <t>### What happened?
When you are on editor, the app crashes after changing app theme.
### What the expected behavior?
### What version of AndroidIDE you re using?
v2.3.0 (debug builds)
### Relevant log output
AndroidIDE crash report
SDK version: 31
### Duplicate issues
This issue has not been reported yet.
### Code of Conduct
agree to follow this project Code of Conduct</t>
  </si>
  <si>
    <t>AndroidIDEOfficial-AndroidIDE-853</t>
  </si>
  <si>
    <t>Build Successful but app crashed V2.3</t>
  </si>
  <si>
    <t>### What happened?
quick run my project, it says build successful in the notification panel and then the app crashes
### What the expected behavior?
build successful but eftsoon app crashed
### What version of AndroidIDE you re using?
v2.3.0 (debug builds)
### Relevant log output
AndroidIDE crash report
SDK version: 33
### Duplicate issues
This issue has not been reported yet.
### Code of Conduct
agree to follow this project Code of Conduct</t>
  </si>
  <si>
    <t>2023-03-11</t>
  </si>
  <si>
    <t>woheller69-TimeLapseCamera-8</t>
  </si>
  <si>
    <t>TimeLapseCamera crashes on selecting "Schedule Recording" option</t>
  </si>
  <si>
    <t>The TimeLapseCamera (1.1 version) crashes if select Schedule Recording option on LOS 19.1 and 20 versions.
Steps to reproduce.
1. Open TimeLapseCamera
2. Navigate to Schedule Recording and tick off the checkbox
The issue is reproduced on LOS 19.1 as well.</t>
  </si>
  <si>
    <t>AndroidIDEOfficial-AndroidIDE-852</t>
  </si>
  <si>
    <t>[Bug]: Crash while modifying the AndroidIDE UI</t>
  </si>
  <si>
    <t>### What happened?
crash occurred while modifying the UI
### What the expected behavior?
Hope to refine it in the next release to make AndroidIDE more stable
### What version of AndroidIDE you re using?
v2.3.0 (debug builds)
### Relevant log output
AndroidIDE crash report
SDK version: 33
### Duplicate issues
This issue has not been reported yet.
### Code of Conduct
agree to follow this project Code of Conduct</t>
  </si>
  <si>
    <t>2023-03-10</t>
  </si>
  <si>
    <t>skewyapp-skewyapp-31</t>
  </si>
  <si>
    <t>Activity not found media</t>
  </si>
  <si>
    <t>**Describe the bug**
No crash and audio picker to open
**Smartphone (please complete the following information):**</t>
  </si>
  <si>
    <t>PojavLauncherTeam-PojavLauncher-4027</t>
  </si>
  <si>
    <t>[BUG] &lt;Modpack Crash&gt;</t>
  </si>
  <si>
    <t>### Describe the bug
Hello was trying to play modpack provided by small creator, after long loading it saving world and crash itself
### The log file and images videos
### Steps To Reproduce
1. Start pojav launcher
2. Wait until loading finished
3. Saving world
### Expected Behavior
expect the game launch
Device model: Redmi 10
CPU architecture: aarch64
Android version: 11
PojavLauncher version: Lastest Google Play version
### Anything else?</t>
  </si>
  <si>
    <t>2023-03-09</t>
  </si>
  <si>
    <t>Anuken-Mindustry-8379</t>
  </si>
  <si>
    <t>Mindustry is crashing after 1/2 h playing</t>
  </si>
  <si>
    <t>**Steps to reproduce**: just played
**Link(s) to mod(s) used**: no mods
**Save file**: https: drive.google.com file view?usp drivesdk
**(Crash) logs**: https: drive.google.com file view?usp drivesdk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</si>
  <si>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nextcloud-android-11444</t>
  </si>
  <si>
    <t>crash by filerun Server (Android APP)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</si>
  <si>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Added to an older app version. (It worked)
APP update now directly at start crash
### Expected behaviour
Do not prop of course
### Actual behaviour
### Android version
### Device brand and model
### Stock or custom OS?
Custom (explain in additional information
### Nextcloud android app version
### Nextcloud server version
### Using reverse proxy?
### Android logs
### Cause of error</t>
  </si>
  <si>
    <t>Anuken-Mindustry-8378</t>
  </si>
  <si>
    <t>Launch pad &amp; Logic not working properly during campaign.</t>
  </si>
  <si>
    <t>WINDOWS 11 Desktop PC.
Issue happened during Campaigning between sectors.
Example NO 1:
In sector no.1,
The first time start playing sector one, it already has 20k titanium at start.
built (one) logic module to do titanium transport between core to (one) small vault with item cap of 300 units.
Sector no.1 did not have any production of any item, including titanium. titanium input ). Sector no.1 was not next to any active enemy sector who in certain amount of time will eventually attack sector no.1
then came back to sector no.1, only to find out that the 20k titanium was fully drained out to less than 1000 units or maybe less.
Example NO 2:
Same as sector no.1, change the logic module to Launch pad with target sector to transport items to had been chosen.
Only that the launch pad had also been disabled the time left sector no.1 either using logic switch on off, or by cutting the power it was connected to, or by cutting the supply line to the Launch pad
**Steps to reproduce**: *How you happened across the issue, and what exactly you did to make the bug happen.*
See example no and 2, it happened more than twice at random, however, strangely it also has good chance that the bug did not happen during the course. Chances that the bug occurs is around 20-30%.
**Link(s) to mod(s) used**: *The mod repositories or zip files that are related to the issue, if applicable.*
no link, no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t>
  </si>
  <si>
    <t>PojavLauncherTeam-PojavLauncher-4026</t>
  </si>
  <si>
    <t>Render thread</t>
  </si>
  <si>
    <t>### Describe the bug
the app crashed after loading mods
### The log file and images videos
### Steps To Reproduce
1. start pojav launcher
2. run forge 1.19.2
3. after loading the mojang crashed
### Expected Behavior
expect that it will run and open the game
Device model: Huawei tablet BAH3-W59
CPU architecture: HUAWEI Kirin 820
Android version: not android it HarmonyOS 2.0.0
### Anything else?</t>
  </si>
  <si>
    <t>jellyfin-jellyfin-androidtv-2578</t>
  </si>
  <si>
    <t>Playback crashed after pausing and attempting to resume</t>
  </si>
  <si>
    <t>### Describe the bug
1. Paused movie in the middle.
2. Suddenly the app stopped responding.
3. From the ffmpeg logs, it says that there was memory allocation error, but there wasn any memory issues on the server side. It had plenty of RAM free, according to top
--------- beginning of crash
### App information
***App version***: 0.15.4 150499
### Device information
***Device brand***: Sony
***Device product***: BRAVIA ATV2 UC
***Device model***: BRAVIA 4K GB
### Crash information
### FFmpeg logs
hls 0x564ad624fec0 Opening tmp jellyfin transcodes for writing
Error while filtering: Cannot allocate memory
Failed to inject frame into filter network: Cannot allocate memory
Error while processing the decoded data for stream #0:0
### Media info of the file
### Application version
### Device information</t>
  </si>
  <si>
    <t>Anuken-Mindustry-8376</t>
  </si>
  <si>
    <t>Crash during campaign with LAN. I have the error logs that I will attach</t>
  </si>
  <si>
    <t>The one time was doing an Enemy Base section, we almost killed the last section of the base and it crashed. We got back on and it became Medium Wave 30. The old enemy base is still there but dead. thought it was funny. Also the other sectors that were originally under attack were now fine.
**Steps to reproduce**: Try to bring Core Foundation (the one with like 9k or 10k cap per resource) to new sector. Then try to cap out on all resources. If it helps, was also playing LAN with other friends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not sure how saves work so ll zip the whole saves folder and send it. running campaign and just click campaign to start where last started.
Here is the google link (https: drive.google.com file 1OsaSFaYrKv2Aqqvhbi Y8HOfosQEgq11 view?usp sharing)
**(Crash) logs**: *Either crash reports from the crash folder, or the file you get when you go into Settings -&gt; Game Data -&gt; Export Crash logs. REQUIRED if you are reporting crash.*
The crash logs instructions says there none. But have the files where crashed here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</si>
  <si>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2023-03-08</t>
  </si>
  <si>
    <t>nextcloud-android-11442</t>
  </si>
  <si>
    <t>Android Nextcloud App crashing while uploading files via share option into a moved directory</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</si>
  <si>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Create directory on your nextcloud server.
Upload something into that directory, so it will be default next time you try to upload something via android share button inside an App.
Move that directory on your nextcloud instance.
Upload file via Android share option in an app. The old directory will be selected default (content will be listed) but nextcloud won upload files even if you try to. If you try to go to the upper directory to select the new correct path, the app will crash.
### Expected behaviour
Nextcloud app should upload the file automatically into the new directory path(after moving it) or it should be able to select different directory without crashing.
### Actual behaviour
App crasheswwhile trying to select different directory with following message:
### Cause of error
### App information
Build flavor: gplay
### Device information
### Android version
### Device brand and model</t>
  </si>
  <si>
    <t>2023-03-07</t>
  </si>
  <si>
    <t>AndroidIDEOfficial-AndroidIDE-843</t>
  </si>
  <si>
    <t>[Bug]: CodeView Crash</t>
  </si>
  <si>
    <t>### What happened?
### What the expected behavior?
Crash while writing code
### What version of AndroidIDE you re using?
v2.3.0 (debug builds)
### Relevant log output
AndroidIDE crash report
SDK version: 31
### Duplicate issues
This issue has not been reported yet.
### Code of Conduct
agree to follow this project Code of Conduct</t>
  </si>
  <si>
    <t>ucfcs-GrowthPlus-193</t>
  </si>
  <si>
    <t xml:space="preserve">App crashing after navigating from parent signup to login </t>
  </si>
  <si>
    <t>sometimes get this bug after signup for parent and the app crashes. think it is due to the UI updating faster than the realm so when we navigate to the parent login it calls realm to get the parent but the parent hasn been made yet. We may need to implement the realm listener here.
After open the app after the crash, it works fine and just have to login with the parent that made before the crash.
&lt;img width 2553 alt Screen Shot 2023-03-07 at 10 17 05 AM src https: 81720958</t>
  </si>
  <si>
    <t>sspanak-tt9-207</t>
  </si>
  <si>
    <t>Keyboard has stopped [on Sonim XP3]</t>
  </si>
  <si>
    <t>My Keyboard is crashing on two scenarios:
1. When opening the Clock app and going to add new alarm, selecting time for the alarm typically prompts the 123 keyboard. When open the set time menu, am seeing Traditional T9 has stopped am wondering if it can really handle calls for the 123 keyboard or if since last used the T9 En keyboard for texting, is it trying to default to that when go to set time?
2. My Sonim allows me to close the clamshell of the phone on whatever screen am on and when open the clamshell it will be on the same screen. When close the clamshell with the Traditional T9 keyboard open (say in the middle of composing message), opening the clamshell will also say Traditional T9 has stopped It seems the app cannot re-open It possible the activity is getting destroyed when close the clamshell and certain states are not being saved for when the activity is re-opened. wonder if this would act the same for letting your screen timeout for significant amount of time.</t>
  </si>
  <si>
    <t>AndroidIDEOfficial-AndroidIDE-842</t>
  </si>
  <si>
    <t xml:space="preserve">Android ide Crash </t>
  </si>
  <si>
    <t>### What happened?
### What the expected behavior?
-&gt; Ide Crash
### What version of AndroidIDE you re using?
v2.3.0 (debug builds)
### Relevant log output
AndroidIDE crash report
SDK version: 29
### Duplicate issues
This issue has not been reported yet.
### Code of Conduct
agree to follow this project Code of Conduct</t>
  </si>
  <si>
    <t>CMPUT301W23T32-lordofthewings-67</t>
  </si>
  <si>
    <t>Bug: Add Location Crashing the App</t>
  </si>
  <si>
    <t>Installed the app on my device, granted it one time location permission.
Every time try to add location, It crashes the app.</t>
  </si>
  <si>
    <t>AndroidIDEOfficial-AndroidIDE-841</t>
  </si>
  <si>
    <t>[Bug]: 崩溃</t>
  </si>
  <si>
    <t>### What happened?
AndroidIDE crash report
SDK version: 28
### What the expected behavior?
AndroidIDE crash report
SDK version: 28
### What version of AndroidIDE you re using?
v2.3.0 (debug builds)
### Relevant log output
AndroidIDE crash report
SDK version: 28
### Duplicate issues
This issue has not been reported yet.
### Code of Conduct
agree to follow this project Code of Conduct</t>
  </si>
  <si>
    <t>2023-03-06</t>
  </si>
  <si>
    <t>Alwinator-react-native-http-bridge-refurbished-8</t>
  </si>
  <si>
    <t xml:space="preserve">IOS EXC_BAD_ACCESS (code=1, address=0x10) while try to load local file </t>
  </si>
  <si>
    <t>am trying to get local file from the system RNFile file await
and send the file using, res.send(200, type, file) but the program crashed due to this error
&lt;img width 778 alt image src https: 55431955
then trying to add this condition, my app loaded HTML but the additional file doesn load
&lt;img width 778 alt image src https: 55431955</t>
  </si>
  <si>
    <t>AppLovin-AppLovin-MAX-React-Native-181</t>
  </si>
  <si>
    <t>IOS Crash</t>
  </si>
  <si>
    <t>### MAX Module Version
### React Native Version
### Device Platform Info
### Current Behavior
When build my app with your SDK 4.1.7 my app crash at launch with this error
And nothing is loaded.
downgrade to 4.1.5 and everything is working again
### Expected Behavior
### How to Reproduce
### Additional Info</t>
  </si>
  <si>
    <t>Anuken-Mindustry-8368</t>
  </si>
  <si>
    <t>Unknown Network Error - arc.func.Prov.get()</t>
  </si>
  <si>
    <t>friend of mine ran into this issue playing with me (I was the host). reporting it for them in case the developer wants to be aware of the issue. :-)
Steam Build 142
Playing multiplayer game, suddenly you get booted with the error message (Picture below as well):
An error has occured, unknown network error. Cannot invoke arc.func.Prov.get() because the return value of is null
Seems to happen randomly unfortunately.
**Steps to reproduce**:
1) Play the attached map as non-host (Had players total).
2) Got disconnected randomly 4-5 times over the course of hours.
3) Can reconnect again without issue.
**Similar github issues**:
**Link(s) to mod(s) used**:
Not crash, just booted.
**I have updated to the latest release (https: github.com Anuken Mindustry releases) to make sure my issue has not been fixed.**
**I have searched the closed and open issues to make sure that this problem has not already been reported.**
SCREENSHOT OF ISSUE</t>
  </si>
  <si>
    <t>PojavLauncherTeam-PojavLauncher-4018</t>
  </si>
  <si>
    <t>what mods to i remove for atm6 modpack to load?</t>
  </si>
  <si>
    <t>### Describe the bug
its crashing when starting the game
### The log file and images videos
### Steps To Reproduce
### Expected Behavior
was hoping it would load so me and my friend could play together
Device model: chrome os
CPU architecture: unknown
Android version: Version 112.0.5594.0
PojavLauncher version: openjdk
### Anything else?</t>
  </si>
  <si>
    <t>2023-03-05</t>
  </si>
  <si>
    <t>AndroidIDEOfficial-AndroidIDE-840</t>
  </si>
  <si>
    <t>### What happened?
AndroidIDE crash report
SDK version: 31
### What the expected behavior?
### What version of AndroidIDE you re using?
v2.3.0 (debug builds)
### Relevant log output
AndroidIDE crash report
SDK version: 31
### Duplicate issues
This issue has not been reported yet.
### Code of Conduct
agree to follow this project Code of Conduct</t>
  </si>
  <si>
    <t>LawnchairLauncher-lawnchair-3351</t>
  </si>
  <si>
    <t>### Describe the bug
ve just finished the call and locked my phone. Tried to unlock it to watch time and the phone didn respond. Rebooted it and saw crash notification from lawnchair. Hope it can give you some information to fix this bug
### Steps to reproduce
Steps to reproduce the behavior:
1. Finished the call
2. Locked the phone
3. Tried to unlock it, but it didn not respond
4. Rebooted the phone, crash report notification came off.
### Expected behavior
expected to unlock my phone and to see lockscreen, bud guess it just freezed in locking state and didn respond at any button screen pressings
### Device information
Device: e.g. Nothing phone
Nothing OS: e.g. stock ROM Android version 13.0
App version: e.g. 12.1.0 Alpha
### Additional context</t>
  </si>
  <si>
    <t>AndroidIDEOfficial-AndroidIDE-839</t>
  </si>
  <si>
    <t>[Bug]: AndroidIDE slow and causing crash</t>
  </si>
  <si>
    <t>### What happened?
After compiling the app exited it, when came back it got slow and showed the error.
### What the expected behavior?
Return to the app without any problem
### What version of AndroidIDE you re using?
v2.3.0 (debug builds)
### Relevant log output
AndroidIDE crash report
SDK version: 31
### Duplicate issues
This issue has not been reported yet.
### Code of Conduct
agree to follow this project Code of Conduct</t>
  </si>
  <si>
    <t>AlfaazPlus-QuranApp-80</t>
  </si>
  <si>
    <t>The app keeps crashing while opening "topics"</t>
  </si>
  <si>
    <t>### Steps to reproduce
When opening Topics in Quran
### Expected behavior
The app should open the topics
### Actual behavior
the app crashes
### QuranApp version
### Android version
### Other details
have searched the existing issues and this is new ticket, **NOT** duplicate or related to another open issue.
have written short but informative title.</t>
  </si>
  <si>
    <t>AndroidIDEOfficial-AndroidIDE-838</t>
  </si>
  <si>
    <t>[Bug]: Crashed on startup on Lenovo Tablet</t>
  </si>
  <si>
    <t>### What happened?
App crashed upon opening after sucessful install
### What the expected behavior?
App shouldn crash on first startup.
### What version of AndroidIDE you re using?
v2.3.0 (debug builds)
### Relevant log output
AndroidIDE crash report
SDK version: 29
### Duplicate issues
This issue has not been reported yet.
### Code of Conduct
agree to follow this project Code of Conduct</t>
  </si>
  <si>
    <t>PojavLauncherTeam-PojavLauncher-4013</t>
  </si>
  <si>
    <t>Glitch texture bug</t>
  </si>
  <si>
    <t>### Describe the bug
Glitching texture on VirGl Render 1.18.2
### The log file and images videos
### Steps To Reproduce
1. Start Modpacks
2. Start the game
3. Glitch texture
### Expected Behavior
Device model: umidigi bison
CPU architecture: 64
Android version: 10
PojavLauncher version: latest GitHub
### Anything else?
VirGl Render have glitch texture
Angle render no texture bug
Am using Modpacks some mods need graphics like shader that why am using VirGl Render. in angle Render crash the game some mods not supported on this render can you fix VirGl texture like angle. only problem is texture glitch on VirGl Render</t>
  </si>
  <si>
    <t>jellyfin-jellyfin-androidtv-2567</t>
  </si>
  <si>
    <t>Fix screensaver crash when loading an invalid backdrop image</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</si>
  <si>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screensaver crash when loading an invalid backdrop image
Add logging to
There was root cause:
call for more detail
There was root cause:
call for more detail</t>
  </si>
  <si>
    <t>2023-03-04</t>
  </si>
  <si>
    <t>Anuken-Mindustry-8362</t>
  </si>
  <si>
    <t>Exploit Found</t>
  </si>
  <si>
    <t>Ok so, theres this guy called tomato gone exploiting in the server OmniDustry Serpulo PVP and he claims that he can exploit all games due to bug, he also claims there very few secure servers which he cant hack on. He made it so he can unban himself, freeze others, and not let them respawn.
**Steps to reproduce**: *How you happened across the issue, and what exactly you did to make the bug happen.*
cannot reproduce this issue, but how came across this can explain. joined Omnidustry serpulo pvp, and he was just there exploiting away.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</si>
  <si>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PojavLauncherTeam-PojavLauncher-4012</t>
  </si>
  <si>
    <t>[BUG] Unknown error when entering the server</t>
  </si>
  <si>
    <t>### Describe the bug
Crashes when entering the server using 1.19.2Fabric (including mods), and the crash report shows an unknown error
### The log file and images videos
### Steps To Reproduce
1.Launch the latest Pojav beta
3.Join the server
### Expected Behavior
hope to get fix or get help
Device model: Huawei 128G
CPU architecture: arm64
Android version: 10
PojavLauncher version: Move every variable to Environ
### Anything else?</t>
  </si>
  <si>
    <t>PDA-UR-DIPPID-android-5</t>
  </si>
  <si>
    <t>app crashes when port filed is empty</t>
  </si>
  <si>
    <t>2023-03-03</t>
  </si>
  <si>
    <t>PojavLauncherTeam-PojavLauncher-4004</t>
  </si>
  <si>
    <t>Forge and RAM</t>
  </si>
  <si>
    <t>### Describe the bug
when log into forge with large allocated amount of RAM (1000Mb) and with the ic2 mod installed, the game immediately crashes with error code 1. when insert smaller RAM allocation (600 700Mb), it will be able to enter the game, but when launch any world, then the game just crashes without any or mistakes, FPS 30. The mods used are: ic2, optifine, jei versions 1.12.2, the latest version of mods, the forge is old because on the new one it is not even included in the game. tested it several times and the world loads in 20% of cases, the rest crashes, the world loads for minutes. noticed that it crashes because of ic2. device Redmi 9C 32, 32 bit. the latest version of the game pojavlauncher. Yandex translation
### The log file and images videos
### Steps To Reproduce
Start the game with Forge, waiting for minutes, press play, any world starts at 20%.
### Expected Behavior
expected the world to start but started at 20%
Device model: Redmi 9C 32
CPU architecture: aarch32
Android version: 10
PojavLauncher version: latest
### Anything else?</t>
  </si>
  <si>
    <t>Aliucord-Aliucord-306</t>
  </si>
  <si>
    <t>Crash every open a link</t>
  </si>
  <si>
    <t>### Discord Account
### What happens when the bug or crash occurs?
aliucord always crashed every open link
### What is the expected behaviour?
just open link then crash
### How do you recreate this bug or crash?
just open link then crash
### Request Agreement
did indeed check to make sure the bug or crash report is applicable!</t>
  </si>
  <si>
    <t>AppLovin-AppLovin-MAX-React-Native-176</t>
  </si>
  <si>
    <t>NoSuchMethodError unhandled exception crashes app on Android</t>
  </si>
  <si>
    <t>### MAX Module Version
### React Native Version
### Device Platform Info
### Current Behavior
Getting this exception reported on some Android devices which crashes the app:
### Expected Behavior
Don crash the app.
### How to Reproduce
We have the following in our build.gradle:
### Additional Info</t>
  </si>
  <si>
    <t>2023-03-01</t>
  </si>
  <si>
    <t>RishabhRathi-Dev-AI-Sight-11</t>
  </si>
  <si>
    <t>Optimization needed</t>
  </si>
  <si>
    <t>After the addition of object detection. Application has experienced frequent crashes and is speaking module is not able to work in the intended thread. Solution might be to separate the treads. Still, optimization of application is required for the proper and stable functioning of the application.</t>
  </si>
  <si>
    <t>AndroidIDEOfficial-AndroidIDE-833</t>
  </si>
  <si>
    <t>[Bug]: No Activity found to handle Intent action OPEN_DOCUMENT_TREE</t>
  </si>
  <si>
    <t>### What happened?
Android 13 ARM64 user here!
used language: kotlin
spent 6min building and it ended up doing success building.
now trying to build app and it crashed. ve got logs.
### What the expected behavior?
Should basically proceed the app building process?
### What version of AndroidIDE you re using?
v2.3.0 (debug builds)
latest as from Wed, Mar 2023
### Relevant log output
AndroidIDE crash report
SDK version: 33
### Duplicate issues
This issue has not been reported yet.
### Code of Conduct
agree to follow this project Code of Conduct</t>
  </si>
  <si>
    <t>2023-02-28</t>
  </si>
  <si>
    <t>PojavLauncherTeam-PojavLauncher-4000</t>
  </si>
  <si>
    <t>[BUG] world crashes with DistantHorizons mod</t>
  </si>
  <si>
    <t>### Describe the bug
Can open any worlds with distant horizons mod. Game crashes after Loading terrain screen and shows error code -1. Forge with no mods and vanilla work fine. Tried to use different java runtimes and graphic renderers, tried to download the mod from different sites. Even tried to set all mod settings to the minimum to run as fast as possible.
and DistantHorizons 1.6.10a.
### The log file and images videos
### Steps To Reproduce
When DistantHorizons is active
1. Start Minecraft
3. Choose or create new world and start it
4. Loading screen
5. Joining world screen
6. Loading terrain screen
7. It crashes
### Expected Behavior
expected the world to open
Device model: Black Shark 128
CPU architecture: arm64
Android version: joyui13 (aka miui 13)
PojavLauncher version: openjdk
### Anything else?</t>
  </si>
  <si>
    <t>jellyfin-jellyfin-androidtv-2554</t>
  </si>
  <si>
    <t>Fix crash when scaleType is null in AsyncImage</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</si>
  <si>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Default to FIT CENTER when scaleType is not set
&lt;!-- Tag any issues that this PR solves here.
ex. Fixes --&gt;</t>
  </si>
  <si>
    <t>0XDE57-SpaceProject-28</t>
  </si>
  <si>
    <t>fatal error: box2d shape dispose crash on game start</t>
  </si>
  <si>
    <t>fatal error has been detected by the Java Runtime Environment:
SIGSEGV (0xb) at pc 0x00007f86fb83caf6, pid 34856, tid 0x00007f87af5bc6c0
JRE version: OpenJDK Runtime Environment (8.0 362-b09) (build 1.8.0 362-b09)
Java VM: OpenJDK 64-Bit Server VM (25.362-b09 mixed mode linux-amd64 compressed oops)
Java com badlogic gdx physics box2d Shape jniDispose+0x16
Core dump written. Default location: home logica Documents GitHub SpaceProject assets core or core.34856
If you would like to submit bug report, please visit:
The crash happened outside the Java Virtual Machine in native code.
See problematic frame for where to report the bug.
Current thread JavaThread main thread in native, id 34857,
RAX 0x00007f8051f1929f, RBX 0x00007f8710335fa0, RCX 0x0000000000000020, RDX 0x00007f87a98cf790
RSP 0x00007f87af5badc8, RBP 0x00007f87af5bae28, RSI 0x00007f87af5bae58, RDI 0x00007f87a98cf790
R8 0x0000000000000028, R9 0x0000000000000002, R10 0x00007f879902081c, R11 0x00007f87b00cab30
R12 0x0000000000000000, R13 0x00007f8710335fa0, R14 0x00007f87af5bae58, R15 0x00007f87a8011000
RIP 0x00007f86fb83caf6, EFLAGS 0x0000000000010206, CSGSFS 0x002b000000000033, ERR 0x0000000000000004
Top of Stack: (sp 0x00007f87af5badc8)
Register to memory mapping:
RAX 0x00007f8051f1929f is an unknown value
RBX method 0x00007f8710335fa0 jniDispose (J)V in com badlogic gdx physics box2d Shape
RCX 0x0000000000000020 is an unknown value</t>
  </si>
  <si>
    <t>jellyfin-jellyfin-androidtv-2551</t>
  </si>
  <si>
    <t>exoplayer black flicker input blanking (not a jellyfin-androidtv bug)</t>
  </si>
  <si>
    <t>### Describe the bug
filed this under playback bugs, as wasn sure where else to put it. have run into what is probably unique issue with exoplayer. When go to play file (none of the files tested require transcoding), the screen will flicker black for moment cutting off the input channel to the tv. The tv then resets and the video plays fine afterward after the 3-5 second reset of the tv losing signal. This is an older lcd tv screen. **This issue does not happen with gapps stock proprietary android system and is not jellyfin bug** (I tested with multiple applications that utilize exoplayer). Using libvlc works fine (although slightly slower to start, which is not huge deal). So, will keep using libvlc and or mpv in the future if that is something planned (the findroid implementation of mpv works quite well). just wanted to point this out in case anyone else was having similar issue. There is no actual crash of the player and unsure of whether this issue could even be fixed client-side.
### FFmpeg logs
### Media info of the file
Aspect ratio: 16:9
Bit depth: bit
Video range: SDR
Video range type: SDR
Color space: bt709
Color transfer: bt709
Color primaries: bt709
Pixel format: yuv420p
Sample rate: 48000 Hz
### Application version
### Device information
Nvidia Shield 2015
### Android version
LineageOS for microG foster (android 11)
### Jellyfin server version</t>
  </si>
  <si>
    <t>2023-02-27</t>
  </si>
  <si>
    <t>Anuken-Mindustry-8352</t>
  </si>
  <si>
    <t xml:space="preserve">when I connect to a friend, I have something that I am and I am not at the same time, I don't understand, I just don't see him, but I see that he puts something </t>
  </si>
  <si>
    <t>**Steps to reproduce**: go to friend server, but for some reason not there, but am, and there just nothing can do
**Link(s) to mod(s) used**: mods are not what have not been used am game without mods my friend too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</si>
  <si>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PojavLauncherTeam-PojavLauncher-3996</t>
  </si>
  <si>
    <t>[BUG] &lt;Crashes With Impact 1.16.5&gt;</t>
  </si>
  <si>
    <t>### Describe the bug
don know why it crashes but can upload log file.
### The log file and images videos
### Steps To Reproduce
2.Press Play Button
### Expected Behavior
was waiting for the game to open.
Device model: Samsung Galaxy M33 5G
CPU architecture: aarch64
Android version: 13
PojavLauncher version: Latest Release
### Anything else?</t>
  </si>
  <si>
    <t>rudderlabs-rudder-sdk-android-210</t>
  </si>
  <si>
    <t>BUG : Incompatibility with R8 Full Mode</t>
  </si>
  <si>
    <t>**Describe the bug**
&lt;summary&gt;Stack trace&lt; summary&gt;
Steps to reproduce the behaviour:
After initialising the client, call whatever
Expect it to crash with the above stack trace.
The SDK should handle pro guard full mode correctly, without crashing the application.
**Version of the Android SDK**
**SDK initialisation snippet**
.withDataPlaneUrl( our custom url
**Check for Correct Usage of writeKey and dataPlaneUrl **
They are correctly used.</t>
  </si>
  <si>
    <t>PojavLauncherTeam-PojavLauncher-3993</t>
  </si>
  <si>
    <t>Instant Crash when Launching Minecraft</t>
  </si>
  <si>
    <t>### Describe the bug
recently bought this LG Pro so can play pojavlauncher with my sister but bruh it crashes when launch Minecraft itself in any version
Here what tried to fix it:
Changing every renderer as possible
Switching jre to 17
Changing my RAM allocated to 300
Removing the Java Arguments
Nothing was fixed. Pls any solution?
### The log file and images videos
### Steps To Reproduce
1. Start Pojavlauncher
2. Select Any Version of Minecraft
3. Play the game and crash
### Expected Behavior
Expected the game to launch but nope
Device model: LG Pro
CPU architecture: aarch32
Android version: 5.0.1
PojavLauncher version: openjdk
### Anything else?</t>
  </si>
  <si>
    <t>2023-02-26</t>
  </si>
  <si>
    <t>nextcloud-android-11420</t>
  </si>
  <si>
    <t>Nextcloud share with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</si>
  <si>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Just trying to use the Android share function in Gallery to copy picture to NC folder.
### Expected behaviour
File gets copied to NC folder.
### Actual behaviour
### Android version
### Device brand and model
Samsung Galaxy S22 Ultra
### Stock or custom OS?
### Nextcloud android app version
### Nextcloud server version
### Using reverse proxy?
### Android logs
### Server error logs
### Additional information</t>
  </si>
  <si>
    <t>maityamit-Sleepometer-Android-App-89</t>
  </si>
  <si>
    <t>Application crashes when the orientation change.</t>
  </si>
  <si>
    <t>### Contact Details
### What happened?
### want to fix this issue under JWOC.
### Relevant log output
### Code of Conduct
agree to follow this project Code of Conduct</t>
  </si>
  <si>
    <t>PojavLauncherTeam-PojavLauncher-3992</t>
  </si>
  <si>
    <t>Fabric Loader Crash</t>
  </si>
  <si>
    <t>### Describe the bug
This means that either the device shut down, logd crashed, or this instance of logcat was unable to read log
messages as quickly as they were being produced.
If you have enabled significant logging, look into using the -G option to increase log buffer sizes.
Added custom env: TMPDIR data user net.kdt.pojavlaunch cache
Added custom env: AWTSTUB WIDTH 2341
Added custom env: POJAV NATIVEDIR data app 61i185qZk FIGcMRQqnoSQ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Internal-17 lib jli: data user net.kdt.pojavlaunch runtimes Internal-17 lib: system lib64: vendor lib64: vendor lib64 hw: data app 61i185qZk FIGcMRQqnoSQ lib arm64
Added custom env: LIBGL ES null
Added custom env: VTEST SOCKET NAME data user net.kdt.pojavlaunch cache .virgl test
Added custom env: MESA LOADER DRIVER OVERRIDE zink
Added custom env: JAVA HOME data user net.kdt.pojavlaunch runtimes Internal-17</t>
  </si>
  <si>
    <t>Anuken-Mindustry-8348</t>
  </si>
  <si>
    <t>Basin: destroy 2 core not accepted and i cant finish this sector</t>
  </si>
  <si>
    <t>**Steps to reproduce**: *I just complete little quest to destroy cores but nothing happend. mean it should unlock area under my start core*
**Link(s) to mod(s) used**: *No mods*
**Save file**: *Yo SectorStuckBug.zip (https: github.com Anuken Mindustry files 10833620
If you remove the line above without reading it properly and understanding what it means, will reap your soul. Even if you re playing on someone server, you can still save the game to slot. -- **You made very good joke, laugh for 10 minutes at the time of sending the Bug report**
**(Crash) logs**: *No logs cuz have no crash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</si>
  <si>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PojavLauncherTeam-PojavLauncher-3990</t>
  </si>
  <si>
    <t>[BUG] Crash with custom JVM argument</t>
  </si>
  <si>
    <t>### Describe the bug
want try use Shenandoah GC, but Minecraft 1.17.1 and other versions not starting.
get JRE 17 here: https: github.com PojavLauncherTeam actions runs 4272738415
### The log file and images videos
--------- beginning with launcher debug
--------- beginning of main
Added custom env: TMPDIR data user cache
Added custom env: AWTSTUB WIDTH 1042
Added custom env: FORCE VSYNC true
Added custom env: REGAL GL VERSION 4.5
Added custom env: REGAL GL VENDOR Android
Added custom env: LIBGL MIPMAP
Added custom env: allow higher compat version true
Added custom env: MESA GLSL CACHE DIR data user cache
Added custom env: HOME storage emulated games PojavLauncher
Added custom env: PATH data user runtimes bin: sbin: system sbin: system bin: system xbin: odm bin: vendor bin: vendor xbin
Added custom env: LIBGL NOINTOVLHACK
Added custom env: force glsl extensions warn true
Added custom env: LIBGL NORMALIZE
--------- beginning of crash</t>
  </si>
  <si>
    <t>Anuken-Mindustry-8347</t>
  </si>
  <si>
    <t>There are 2 ancient calderas</t>
  </si>
  <si>
    <t>**Steps to reproduce**: go to the editor tab or the custom game tab on the menu and it will be there.
**Link(s) to mod(s) used**: My mods were uujuju1 Steam-Works, meepoffaith and modified zip of sk7725 testers (these mods wouldnt matter since they don mess with maps, but would like to point that out just to be sure).
**Save file**: It is only on the menu as far as know.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</si>
  <si>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jellyfin-jellyfin-androidtv-2540</t>
  </si>
  <si>
    <t>Shows List Truncates when toggling "do not displayed watched" if not all shows have been previously viewed</t>
  </si>
  <si>
    <t>### Describe the bug
1. Open Shows List
2. Toggle the do not display watched content checkmark icon in the top right
3. Observe that not all shows are displayed scrollable in the list
You will only be able to see the shows which you had previously seen prior to toggling the checkmark icon
If you scroll through your entire list of shows THEN click the icon, you ll see everything displayed and filtered correctly
But if you have more than single page of shows content, you ll only see the checkmark take effect (filter out the watched stuff) on the shows that you have previously scrolled down through (if you haven reached the bottom, you ll never see those shows, even those unwatched, after the checkmark is toggled on)
There is no crash log for this
### Application version
### Where did you install the app from?
### Device information
Chromecast with Google TV
### Android version
### Jellyfin server version</t>
  </si>
  <si>
    <t>AndroidIDEOfficial-AndroidIDE-821</t>
  </si>
  <si>
    <t>[Bug]: A Crash</t>
  </si>
  <si>
    <t>### What happened?
Crash while editing
### What the expected behavior?
Crash while editing
### What version of AndroidIDE you re using?
v2.3.0 (debug builds)
### Relevant log output
AndroidIDE crash report
SDK version: 33
### Duplicate issues
This issue has not been reported yet.
### Code of Conduct
agree to follow this project Code of Conduct</t>
  </si>
  <si>
    <t>mindustry-antigrief-mindustry-client-148</t>
  </si>
  <si>
    <t xml:space="preserve">Game crashes on random, idk [Bug] </t>
  </si>
  <si>
    <t>### What happened?
mindustry crashes on random. first, at some random moment(both campaign and multiplayer), the game freezes, but the music remains for around couple of minutes. on pressing alt-tab, the game goes unresponsive, (as in window pops up).
Sometimes the window says, OpenJDK Platform has stopped working and sometimes it says Mindustry.exe instead.
GL Version: OpenGL 4.3.0 Intel Intel(R) HD Graphics 4400
GL Max texture size: 16384
GL Using OpenGL context.
JAVA Version: 16.0.1
RAM Available: 1.4 GB
CLIENT Version: 311ece2, Feb. 23, 2023 Unstable
Shader shaders mesh.vert shaders planet.frag:
Shader shaders default.vert shaders blockbuild.frag:
Shader shaders screenspace.vert shaders shield.frag:
Shader shaders default.vert shaders fog.frag:
Shader shaders screenspace.vert shaders buildbeam.frag:
Shader shaders default.vert shaders unitbuild.frag:
Shader shaders default.vert shaders unitarmor.frag:
Shader shaders default.vert shaders darkness.frag:
Shader shaders screenspace.vert shaders light.frag:
Shader shaders screenspace.vert shaders water.frag:
Shader shaders screenspace.vert shaders arkycite.frag:</t>
  </si>
  <si>
    <t>2023-02-25</t>
  </si>
  <si>
    <t>PojavLauncherTeam-PojavLauncher-3985</t>
  </si>
  <si>
    <t>my game crash when i wanna play</t>
  </si>
  <si>
    <t>### Describe the bug
everytime try to start minecraft it crashes the game.
### The log file and images videos
### Steps To Reproduce
1. start pojavlauncher
2. click play button
3. crash the game
### Expected Behavior
expect the game to launch
Device model: poco x3pro
CPU architecture: aarch64
Android version: 12
PojavLauncher version: newest from google play
### Anything else?</t>
  </si>
  <si>
    <t>deepjavalibrary-djl-2426</t>
  </si>
  <si>
    <t>NDArray.getInt(index), .getDouble(index), etc cause memory leak</t>
  </si>
  <si>
    <t>Methods of NDArray, which use the getScalar()-method internally are causing memory leak (of native memory), because getScalar() creates an NDResource, which is not closed internally and cannot be closed from the outside.
### Expected Behavior
No Memory leak
### Error Message
No message JVM crash because out of memory error
## How to Reproduce?
Run Microbenchmark on VM with limited RAM on big NDArray with lot of calls (or similar getter method). This will cause native memory (not java managed memory) to stack up and not returning the memory to the system.
### Steps to reproduce
## What have you tried to solve it?
Our Workaround is to reimplemented the getters via Utils Class. It works this way so far, but this might also affect other projects as well.
## Environment Info
mxnet-native-mkl but it might also affect other native implementations, because java resource pointer is not closed properly.</t>
  </si>
  <si>
    <t>jMonkeyEngine-jmonkeyengine-1969</t>
  </si>
  <si>
    <t>NPE in GLRenderer.clearVertexAttribs()</t>
  </si>
  <si>
    <t>Using the test case provided by Nikki, found that very similar crash occurs with the latest master branch of JME. don know what the test app actually does to trigger the crash.
As expected, boundAttribs idx is null at the point of failure. However, the null is not caused by duplicate indices. Here are some values at the start of the final invocation of
According to the javadoc for boundAttribs null array elements are legal:
After add null check (as below), the test app runs without crashing.
if (ref null)
VertexBuffer buffer ref.get()
if (buffer null &amp;&amp;
suppose this check was overlooked at the time of PR 1408 (https: github.com jMonkeyEngine jmonkeyengine pull 1408). Given that 1408 was integrated into JME v3.4---and how often gets invoked---it very surprising nobody reported the crash before.</t>
  </si>
  <si>
    <t>PojavLauncherTeam-PojavLauncher-3982</t>
  </si>
  <si>
    <t>Crash on any version</t>
  </si>
  <si>
    <t>### Describe the bug
Well the app completely closes after tapping on play and waiting 1-2 second
### The log file and images videos
### Steps To Reproduce
2.choose any version
3.wait until close crash
### Expected Behavior
expect the game to launch
Device model: Redmi note 10 pro
CPU architecture: ARMv8-A
Android version: 12
PojavLauncher version: latest by standard on gplay
### Anything else?</t>
  </si>
  <si>
    <t>2023-02-24</t>
  </si>
  <si>
    <t>Anuken-Mindustry-8340</t>
  </si>
  <si>
    <t xml:space="preserve">autoPause bug </t>
  </si>
  <si>
    <t>have been using autoPause before the update and everything was fine. Since 142 it just stops randomly and has restarted few times. There isn any errors. have turned autoPause off in config hopefully that will keep it running.
**Link(s) to mod(s) used**: Default Server
**Save file**: *The (zipped) save file you were playing on when the bug happened. THIS IS REQUIRED FOR ANY ISSUE HAPPENING IN-GAME OR IN MULTIPLAYER, REGARDLESS OF WHETHER YOU THINK IT HAPPENS EVERYWHERE. DO NOT DELETE OR OMIT THIS LINE UNLESS YOU ARE SURE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</si>
  <si>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AndroidIDEOfficial-AndroidIDE-815</t>
  </si>
  <si>
    <t xml:space="preserve">[Bug]: app crash </t>
  </si>
  <si>
    <t>### What happened?
AndroidIDE crash report
SDK version: 28
### What the expected behavior?
AndroidIDE crash report
SDK version: 28
### What version of AndroidIDE you re using?
### Relevant log output
### Duplicate issues
This issue has not been reported yet.
### Code of Conduct
agree to follow this project Code of Conduct</t>
  </si>
  <si>
    <t>Anuken-Mindustry-8335</t>
  </si>
  <si>
    <t>Mindustry crashs on random</t>
  </si>
  <si>
    <t>**Steps to reproduce**: have no clue, but it seems it often happens on water, but not always.
**Link(s) to mod(s) used**: https: github.com ereHyddeS NeonNights v7, https: github.com mindustry-antigrief
**Save file**: All of them,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GL Version: OpenGL 4.3.0 Intel Intel(R) HD Graphics 4400
GL Max texture size: 16384
GL Using OpenGL context.
JAVA Version: 16.0.1
RAM Available: 1.4 GB
CLIENT Version: 311ece2, Feb. 23, 2023 Unstable
Shader shaders mesh.vert shaders planet.frag:
Shader shaders default.vert shaders blockbuild.frag:
Shader shaders screenspace.vert shaders shield.frag:
Shader shaders default.vert shaders fog.frag:
Shader shaders screenspace.vert shaders buildbeam.frag:
Shader shaders default.vert shaders unitbuild.frag:
Shader shaders default.vert shaders unitarmor.frag:
Shader shaders default.vert shaders darkness.frag:
Shader shaders screenspace.vert shaders light.frag:</t>
  </si>
  <si>
    <t>2023-02-23</t>
  </si>
  <si>
    <t>Anuken-Mindustry-8333</t>
  </si>
  <si>
    <t>Game is crashing, not often but crashing</t>
  </si>
  <si>
    <t>VinylMusicPlayer-VinylMusicPlayer-704</t>
  </si>
  <si>
    <t>internal-playlists: Crash</t>
  </si>
  <si>
    <t>**This crash concerns the internal-playlist branch, e. Not in production code**
App version: 1.5.0-cont-integ e66a9ccc 230222-1738 CI
App version code: 180
Android build version: db68469a7b
Android release version: 13
Android SDK version: 33
Android build ID: lineage 13 TQ1A.230205.002 db68469a7b
Device brand: OnePlus
Device manufacturer: OnePlus
Device name: OnePlus5
Device model: ONEPLUS A5000
Device product name: OnePlus5
Device hardware name: qcom
ABIs (32bit): armeabi-v7a, armeabi
ABIs (64bit): arm64-v8a
Caused by: Attempt to invoke virtual method byte on null object reference</t>
  </si>
  <si>
    <t>MuntashirAkon-AppManager-1007</t>
  </si>
  <si>
    <t>App crash on Chinese programs</t>
  </si>
  <si>
    <t>### Please check before submitting an issue
know what my device, OS and App Manager versions are
know how to take logs
know how to reproduce the issue which may not be specific to my device
### Describe the bug
The application crashes when you click on program with Chinese characters in the name
This program is NP Manager
### To Reproduce
### Expected behavior
Caused by: Attempt to invoke virtual method boolean on null object reference
### Device info
App version: 3.0.4
App version code: 416
Android build version: d8b732e824
Android release version:
Android SDK version: 28
Android build ID: PQ1A.190105.004
Device brand: samsung
Device manufacturer: samsung
Device name: ks01lte</t>
  </si>
  <si>
    <t>2023-02-22</t>
  </si>
  <si>
    <t>jellyfin-jellyfin-androidtv-2532</t>
  </si>
  <si>
    <t>Crash after installation,first run app</t>
  </si>
  <si>
    <t>### Describe the bug
1. download and install from GitHub (First installation)
2. run jellyfin app
3. see jellyfin crashdown haven seen any page yet
4. It still the same after reboot the device reinstall app
### Application version
### Where did you install the app from?
### Device information
### Android version
### Jellyfin server version</t>
  </si>
  <si>
    <t>VinylMusicPlayer-VinylMusicPlayer-702</t>
  </si>
  <si>
    <t>Crash on marking / unmarking as favourite</t>
  </si>
  <si>
    <t>**Describe the bug**
Marking and afterwards unmarking song as favourite reproducibly crashes the app. used this to work around the song not being updated (see also #627 and #631), but since one or two Vinyl updates this leads to crashes.
Steps to reproduce the behavior:
1. Open the app
2. Start any song
3. Mark it as favourite by tapping on the heart, either on the main screen or in the notification area
4. Unmark it
5. The app crashes. Sometimes it just returns to the main screen, sometimes it is minimized to the background, sometimes it crashes completely and Android complains about frequent crashes of the app.
No crash on changing the favourite status.
Please complete the following information. Or if you get directed here from the app, you can paste the collected
Device: Samsung A52s
Android Version: 13
Vinyl Music Player Version: 1.4.1 (via F-Droid)</t>
  </si>
  <si>
    <t>PojavLauncherTeam-PojavLauncher-3978</t>
  </si>
  <si>
    <t>[BUG] 1.12.2 optifine menu bugs out with VirGL</t>
  </si>
  <si>
    <t>### Describe the bug
When play Minecraft on 1.12.2 forge with Optifine HD G5 using VirGL it gets buggy menu screen where the background flickers between the normal panorama and grey black vertical gradient with blurry gibberish white text in the corners.
Now would be completely fine with this, but in this state every button press on the menu completely freezes the game. It doesn even crash, it just stops.
### The log file and images videos
Screenshot 20230222-081353 PojavLauncher (Minecraft Java Edition for Android) (https: 123341610
Screenshot 20230222-081343 PojavLauncher (Minecraft Java Edition for Android) (https: 123341610
### Steps To Reproduce
1. Press play on minecraft 1.12.2
### Expected Behavior
Menu screen consistently looks like panorama of minecraft world and buttons function without freezing the game
Device model: Galaxy A12
Android version: 11
pojav version: openjdk
### Anything else?
also using the following mods:
Universal mod core
And the following texture packs:
IR American Steam Addon
(Immersive railroading reads texture packs to add more locos rolling stock to the mod)
All mods and texture packs work as intended with Optifine off, but the menu screen breaks with it on. would just switch renderers but Immersive Railroading requires VirGL to work. would just play the mod without Optifine but you could probably tell how well that would go for me by looking at my device model.</t>
  </si>
  <si>
    <t>2023-02-21</t>
  </si>
  <si>
    <t>Anuken-Mindustry-8326</t>
  </si>
  <si>
    <t>Map name broken on discord</t>
  </si>
  <si>
    <t>**Steps to reproduce**
1. Opens the map name where the map name is written in Korean, Chinese, etc. instead of English.
2. 2023-02-20 234909 (https: 44261958
**Link(s) to mod(s) used**: No mods.
**Save file**: Not required.
If you remove the line above without reading it properly and understanding what it means, will reap your soul. Even if you re playing on someone server, you can still save the game to slot.
**(Crash) logs**: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</si>
  <si>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oliexdev-openScale-932</t>
  </si>
  <si>
    <t xml:space="preserve">Crash since last Update </t>
  </si>
  <si>
    <t>The App crashed since the last update.
Attach debug log (see Settings -&gt; About -&gt; Save debug log to file) that is captured while reproducing the issue.
Build version: 2.5.0
OS version: Android (SDK 28)
Caused by: Invalid URI: openScale backup</t>
  </si>
  <si>
    <t>maniac-tech-react-native-expo-read-sms-23</t>
  </si>
  <si>
    <t>Fixed react native dependency Issue</t>
  </si>
  <si>
    <t>Because the expo app crashes due to dependency issue while building, the latest version of RN has been used to keep it in sync with the other versions.</t>
  </si>
  <si>
    <t>hlp-ai-mt-mobile-23</t>
  </si>
  <si>
    <t>App crashes when choosing picture or calling camera</t>
  </si>
  <si>
    <t>PojavLauncherTeam-PojavLauncher-3973</t>
  </si>
  <si>
    <t>[BUG] 1.18 Forge Crash</t>
  </si>
  <si>
    <t>### Describe the bug
When click play, it crashes in second
### The log file and images videos
--------- beginning with launcher debug
--------- beginning of crash
--------- beginning of main
Added custom env: TMPDIR data user net.kdt.pojavlaunch cache
Added custom env: AWTSTUB WIDTH 1120
Added custom env: POJAV NATIVEDIR data app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Internal-17 lib jli: data user net.kdt.pojavlaunch runtimes Internal-17 lib: system lib64: vendor lib64: vendor lib64 hw: data app lib arm64
Added custom env: POJAV RENDERER opengles3 desktopgl angle vulkan
Added custom env: LIBGL ES</t>
  </si>
  <si>
    <t>ItsCalebJones-SpaceLaunchNow-Android-196</t>
  </si>
  <si>
    <t>[Beta] Widget Crash</t>
  </si>
  <si>
    <t>The Widget keeps crashing for me with:
FATAL EXCEPTION: main
Strongly consider using FLAG IMMUTABLE, only use FLAG MUTABLE if some functionality depends on the PendingIntent being mutable, e.g. if it needs to be used with inline replies or bubbles.
Caused by: Targeting S+ (version 31 and above) requires that one of FLAG IMMUTABLE or FLAG MUTABLE be specified when creating PendingIntent.
Strongly consider using FLAG IMMUTABLE, only use FLAG MUTABLE if some functionality depends on the PendingIntent being mutable, e.g. if it needs to be used with inline replies or bubbles.
using the playstore beta version.</t>
  </si>
  <si>
    <t>2023-02-20</t>
  </si>
  <si>
    <t>jellyfin-jellyfin-androidtv-2514</t>
  </si>
  <si>
    <t>Crash at Login</t>
  </si>
  <si>
    <t>### Describe the bug
Open the App and tried to login.
--------- beginning of crash
### App information
***App version***: 0.15.3 150399
### Application version
### Where did you install the app from?
### Device information
### Android version
### Jellyfin server version</t>
  </si>
  <si>
    <t>2023-02-19</t>
  </si>
  <si>
    <t>gsantner-markor-1985</t>
  </si>
  <si>
    <t>Floating plus icon, does not open "new" dialogue</t>
  </si>
  <si>
    <t>### This issue respects the following points:
This is **bug**. Not question or feature request (https: github.com gsantner markor issues new choose).
The topic is **not** already reported at Issues (https: github.com gsantner markor issues?q #js-issues-search). (I ve searched it)
The bug is still present in the latest development version (git master). (Please download (https: nightly.link gsantner markor workflows master) and try the test version of Markor, named **Marder**. Don worry Markor and Marder appear as completely separate applications. You can install both side-by-side, and Markor settings are not touched. In case the issue is resolved there, you don need to create bug report. The change will be part of the next Markor update.)
Same experience as reported here: https: github.com gsantner markor issues 826.
When open markor, often the floating plus icon is not responsive.
If restart the app (show recent apps, swipe to close markor, reopen markor) the floating plus icon works again.
markor folder is shared through syncthing
please beware: have dowloaded and installed marder, but the app keeps stopping marder is crashing frequently So was not able to reproduce.
### Steps to reproduce
It not super reliable when this happens.
1. Open markor. Share into new file.
2. Do something else
3. Open markor and click the plus sign. Then nothing happes.
Android version: 13
App Version: 2.10.7
### Format File type
### Additional info Log</t>
  </si>
  <si>
    <t>Anuken-Mindustry-8316</t>
  </si>
  <si>
    <t>Mods are overriding sounds even when disabled.</t>
  </si>
  <si>
    <t>**Link(s) to mod(s) used**: Already mentioned in steps to reproduce
**Save file**: Not in game.
If you remove the line above after reading it not properly and understanding what it means, will eat your left arm.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</si>
  <si>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PojavLauncherTeam-PojavLauncher-3967</t>
  </si>
  <si>
    <t>forge crash</t>
  </si>
  <si>
    <t>### Describe the bug
tried to install boosted fps modpack and optifine. but it still crash
### The log file and images videos
### Steps To Reproduce
### Expected Behavior
expect the game launches
Device model: Realme C15
CPU architecture: aarch64
Android version: 10
PojavLauncher version: latest release
### Anything else?</t>
  </si>
  <si>
    <t>2023-02-18</t>
  </si>
  <si>
    <t>Anuken-Mindustry-8311</t>
  </si>
  <si>
    <t>Basin does not unlock</t>
  </si>
  <si>
    <t>**Steps to reproduce**: *How you happened across the issue, and what exactly you did to make the bug happen.*
**Link(s) to mod(s) used**: none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</si>
  <si>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PojavLauncherTeam-PojavLauncher-3963</t>
  </si>
  <si>
    <t>[BUG] Botany Pots</t>
  </si>
  <si>
    <t>### Describe the bug
It cannot enter any world it gives datapack error on only IOS Pojavlauncher. It works on android for me
### The log file and images videos
It is world issue it isnt crash so idk if log is available
### Steps To Reproduce
Use botany pots mod on 1.18.2 forge
open minecraft and try to create world
### Expected Behavior
expect to world to not load.
Device model: IPad Air 5th gen
Android version: IOS 16.3.1
### Anything else?</t>
  </si>
  <si>
    <t>mirrorworld-universe-mirrorworld-sdk-android-22</t>
  </si>
  <si>
    <t>Unable to fetch transactions on Android SDK</t>
  </si>
  <si>
    <t>am unable to get transactions on the SDK:
private fun MethodCall)
val limit call.argument&lt;Int&gt;( limit ?:
val before before ?:
override fun onSuccess(res:
override fun onFailed(code: Long, message: String)
Each time run this function my app crashes with this error?</t>
  </si>
  <si>
    <t>PojavLauncherTeam-PojavLauncher-3960</t>
  </si>
  <si>
    <t>Game exited with code -1</t>
  </si>
  <si>
    <t>### Describe the bug
When load up the version 1.19.2 the game crashes with message saying Game exited with code -1
### The log file and images videos
--------- beggining with launcher debug
Added custom env: TMPDIR data user net.kdt.pojavlaunch cache
Added custom env: AWTSTUB WIDTH 2328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lib jli: data user net.kdt.pojavlaunch runtimes lib: system lib64: vendor lib64: vendor lib64 hw: data app lib arm64
Added custom env: POJAV RENDERER opengles2
Added custom env: LIBGL ES
Added custom env: MESA LOADER DRIVER OVERRIDE zink
Added custom env: MESA GLSL VERSION OVERRIDE 460
Added custom env: JAVA HOME data user net.kdt.pojavlaunch runtimes
Added custom env: MESA GL VERSION OVERRIDE 4.6</t>
  </si>
  <si>
    <t>2023-02-17</t>
  </si>
  <si>
    <t>aws-amplify-amplify-android-2297</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</si>
  <si>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 Please include any relevant guides or documentation you re referencing
### Describe the bug
Our crash monitoring are reporting some occurrences of crash that happens in the application initialization when calling the amplify configure method.
couldn reproduce the issue in any way, but the rare users that find this problem can reproduce it frequently.
### Reproduction steps (if applicable)
### Code Snippet
class AppApplication Application()
override fun onCreate()
The crash happens here in this call
catch (exception: AmplifyException)
### Log output
Caused by port must be in between and 65536
### GraphQL Schema
Put your schema below this line</t>
  </si>
  <si>
    <t>cgeo-cgeo-13988</t>
  </si>
  <si>
    <t>Permission WRITE_EXTERNAL_STORAGE missing</t>
  </si>
  <si>
    <t>### Describe your problem!
Trying to reproduce some other bug on my physical testing device, c:geo asked me whether to update my routing data. On selecting to update it, c:geo crashed. Logcat (see below) showed missing WRITE EXTERNAL STORAGE permission.
### How to reproduce?
uninstalled existing release 2023.02.13
installed dev build from current state of release
followed wizard, granting location permission, selecting base folder, and then restoring backup
tapped on home screen notification whether to update downloaded routing data
### Actual result after these steps?
Logcat shows this:
FATAL EXCEPTION: network--4
received similar error on next restart, when tried to update map data
### Expected result after these steps?
check existing routing data and display update dialog
### c:geo Version
release as of 2023-02-17
### System information
## System information
Android version: 6.0.1
Screen resolution: 1080x1920px (360x616dp)
Pixel density: 3.0</t>
  </si>
  <si>
    <t>jMonkeyEngine-jmonkeyengine-1955</t>
  </si>
  <si>
    <t>Can not play vorbis audio on Android API 31+</t>
  </si>
  <si>
    <t>Apparently, JME Vorbis (Ogg) audio plugin is broken on the Android API 31+.
Here is the crash log:
--------- beginning of crash</t>
  </si>
  <si>
    <t>jellyfin-jellyfin-androidtv-2508</t>
  </si>
  <si>
    <t>Crash on exiting playback java.lang.IllegalStateException</t>
  </si>
  <si>
    <t>### Describe the bug
1. Play video
2. Press back to return to Jellyfin menu.
3. Shield becomes unresponsive and needs to be unplugged.
have refresh rate switching scale on TV on. Turning it off believe stops the crashing from my limited testing.
Might be related to #2316
--------- beginning of crash
### App information
***App version***: 0.15.3 150399
### Device information
***Android version***: 11
***Device brand***: NVIDIA
***Device product***: mdarcy
***Device model***: SHIELD Android TV
### Crash information
### Application version
### Where did you install the app from?
### Device information
Nvidia Shield Pro 2019
### Android version</t>
  </si>
  <si>
    <t>blackboxembedded-WunderLINQ-Android-109</t>
  </si>
  <si>
    <t>Quick Task Crash</t>
  </si>
  <si>
    <t>When trying to use the Quick Task screen, the app scrolls across to the Quick Task menu, but then crashes the app when trying to scroll through the quick task options. This happens regardless of how many tasks are loaded to the Quick Task menu.
This issue happens when off the bike (not connected) and when in the cradle (connected to the bike).</t>
  </si>
  <si>
    <t>nextcloud-android-11390</t>
  </si>
  <si>
    <t>Nextcloud crashes on initial startup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</si>
  <si>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Install from playstore
Enter url to filerun server
Acknowledge prompts etc
### Expected behaviour
Successfully logged into Nextcloud with home folder displayed.
### Actual behaviour
After briefly being shown this page
The following crash report is displayed:
### Cause of error
Exception in thread Thread-8 begin 0, end 8, length
### App information
Build flavor: gplay
### Device information
Device: ASUS I006D</t>
  </si>
  <si>
    <t>2023-02-15</t>
  </si>
  <si>
    <t>ghusta-android-docker-search-330</t>
  </si>
  <si>
    <t>App crashing with Android 6.0</t>
  </si>
  <si>
    <t>### App version</t>
  </si>
  <si>
    <t>facebook-react-native-36164</t>
  </si>
  <si>
    <t>Reduce use of assertions in prop parsing</t>
  </si>
  <si>
    <t>General Fixed Invalid prop values no longer trigger assertion failures in Fabric
Fabric has historically been very strict about prop parsing. It originally abort() ed on any prop value that failed to parse according to the expected type this was replaced with dev-only assertions in D27540903 (https: github.com facebook react-native commit We ve received feedback that C++ assertions (and other similar mechanisms in the legacy renderer) are still too aggressive and disruptive as diagnostic for developers working on JS code.
We are changing React Native to behave more like browser in this regard, reflecting new principle that **bad style values are not runtime errors**. (See e.g. D43159284 (https: github.com facebook react-native commit The recommended way for developers to ensure they are passing correct style values is to use typechecker (TypeScript or Flow) in conjunction with E2E tests and manual spot checks.
More broadly, values passed from JS product code should not be able to crash the app, which is why we re not strictly limiting this change to style props. From now on, if JS developer can trigger an internal assertion in React Native simply by writing normal application code, that is bug.
## This diff
This diff introduces new macro called react native expect which serves as drop-in replacement for react native assert but logs (to glog logcat stdout) instead of asserting. This way we don need to fully delete the existing call sites. This will be helpful if we decide that we want to repurpose these checks for new, more visible diagnostic.
*intentionally* opting for the simplest possible improvement here, which is to silence the assertions not to print them to the JS console, not to convert them to LogBox warnings, etc. The hypothesis is that this is already strictly an improvement over the previous behaviour, will help us get to feature parity between renderers faster, and allow us to design improved diagnostics that are consistent and helpful.
## Next steps
1. There are still places where Fabric can hit an unguarded assertion in prop conversion code (e.g. unchecked casts from RawValue with no fallback code path). will fix those in separate diff.
2. Paper on iOS needs similar treatment as it calls RCTLogError liberally during prop parsing (resulting in native redbox experience that is nearly as bad as an outright crash). will fix that in separate diff.
3. ll add some manual test cases to RNTester to cover these scenarios.
4. We will eventually need to take clear stance on PropTypes, but since they provide reasonable, non-breaking diagnostics (recoverable JS LogBox component stack) it is less urgent to do so.
Reviewed By: sammy-SC
Differential Revision: D43184380</t>
  </si>
  <si>
    <t>Anuken-Mindustry-8304</t>
  </si>
  <si>
    <t>Scaled Health not calculating correctly</t>
  </si>
  <si>
    <t>The fix is in this Pull Request (https: github.com Anuken Mindustry pull 8303).
**Steps to reproduce**: Simply by modding block using scaledHealth and healthScaling from items.
If using Aeyama mod, build Wood Wall, should be ((5*lumber) (10*stone) health points.
**Link(s) to mod(s) used**: Aeyama (https: www.github.com fredyjabe aeyama) (use the repo code, not the release)
**Save file**: No savefile needed.
If you remove the line above without reading it properly and understanding what it means, will reap your soul. Even if you re playing on someone server, you can still save the game to slot.
**(Crash) logs**: No crash, hence no log.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</si>
  <si>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material-components-material-components-android-3237</t>
  </si>
  <si>
    <t>[MaterialSwitch] can't be used in Menu</t>
  </si>
  <si>
    <t>So SwitchCompat could be used inside DrawerLayout menu with the following method:
create layout that holds SwitchCompat (widget switch.xml):
menu would include this layout like so:
Now if we replace
The App crashes, (somewhere after onResume() is done):
expected that MaterialSwitch being subclass of SwitchCompat behaves the same as before, just with the new nice Material Extra design
**Source code:** The code snippet which is causing this issue
**Minimal sample app repro:** Please consider attaching minimal sample app that reproduces the issue. This will help narrow down the conditions required for reproducing the issue, and it will speed up the bug fix process. You may attach zip file of the sample app or link to GitHub repo that contains the sample app.
**Android API version:** Android API version here
compiled and target SDK 33
**Material Library version:** Material Android Library version you are using here (e.g., 1.1.0-alpha07)
emulator SDK 33
To help us triage faster, please check to make sure you are using the latest version (https: github.com material-components releases) of the library.
We also happily accept pull requests (https: github.com material-components pulls).</t>
  </si>
  <si>
    <t>MuntashirAkon-AppManager-998</t>
  </si>
  <si>
    <t>Crashing when opening permissions settings</t>
  </si>
  <si>
    <t>### Please check before submitting an issue
know what my device, OS and App Manager versions are
know how to take logs
know how to reproduce the issue which may not be specific to my device
### Describe the bug
AppManager crashing when open permissions app settings
### To Reproduce
1. Open AppManager
2. Select any user app
3. Open permissions settings on nav bar
### Expected behavior
Permissions settings opened
Caused by: sOpToSwitch length 121 should be 126
### Device info
Device: Asus RogPhone
OS Version: Android 13
App Manager Version: 3.0.3 3.1.0 beta01
### Additional context</t>
  </si>
  <si>
    <t>cgeo-cgeo-13979</t>
  </si>
  <si>
    <t>Crash in GeoJSonUtils on opening the map</t>
  </si>
  <si>
    <t>User on support reports the map is always crashing for her. Error log points to GeoJsonUtils, see below:
Caused by: Failed to allocate 268959752 byte allocation with 16777216 free bytes and 228MB until OOM</t>
  </si>
  <si>
    <t>2023-02-14</t>
  </si>
  <si>
    <t>AndroidIDEOfficial-AndroidIDE-798</t>
  </si>
  <si>
    <t>[Bug]: reopen failed</t>
  </si>
  <si>
    <t>### What happened?
App crashed when open it again
### What the expected behavior?
just opened it,goto home, reopen it,and crashed
### What version of AndroidIDE you re using?
v2.2.0 (debug builds)
### Relevant log output
AndroidIDE crash report
SDK version: 29
### Duplicate issues
This issue has not been reported yet.
### Code of Conduct
agree to follow this project Code of Conduct</t>
  </si>
  <si>
    <t>jellyfin-jellyfin-androidtv-2496</t>
  </si>
  <si>
    <t>ExoPlayer crashes when switching between OPUS and Stereo audio</t>
  </si>
  <si>
    <t>### Describe the bug
How to reproduce
1. Go to any video file that has dual audio sources, one should be OPUS and one Stereo
2. Open the file in ExoPlayer on the jellyfin-tv app
3. Press on the musicnote to change the audio source
4. Switch from the OPUS audio source to Stereo one or vice versa
expect for the audio source to change
The whole jellyfin server freezes up for few seconds and then goes back to normal.
The video plays fine when either audio source is selected on another client and then resume the video with the newly selected audio stream on the android tv client. It still crashes upon changing the audio source again.
Stereo to Stereo or OPUS to OPUS audio changes are not affected by this bug.
No logs were sent to the server by androidtv-jellyfin. The relevant server logs were provided below.
### FFmpeg logs
videos hls1 main 0.ts
usr lib jellyfin-ffmpeg ffmpeg -analyzeduration 200M -init hw device vaapi va:,driver iHD -filter hw device va -hwaccel vaapi -hwaccel output format vaapi -autorotate -i file: media anime DARLING in the FRANXX Season DARLING in the FRANXX S01E01 Alone and Lonesome Bluray-1080p.mkv -autoscale -map metadata -1 -map chapters -1 -threads -map 0:0 -map 0:2 -codec:v:0 h264 vaapi -rc mode VBR -b:v 7834243 -maxrate 7834243 -bufsize 15668486 -profile:v:0 high -force key frames:0 expr:gte(t,0+n forced*3) -filter complex alphasrc 1920x1080:r 10:start ,format bgra,subtitles media anime DARLING in the FRANXX Season DARLING in the FRANXX S01E01 Alone and Lonesome Bluray-1080p.mkv :si 0:alpha 1:sub2video 1:fontsdir cache attachments ,hwupload derive device vaapi sub 0:0 setparams color primaries bt709:color trc bt709:colorspace bt709,scale vaapi format nv12 main main sub overlay vaapi eof action endall:shortest 1:repeatlast 0:w 1920:h 1080 -start at zero -codec:a:0 libfdk aac -ac -ab 187393 -copyts -avoid negative ts disabled -max muxing queue size 2048 -f hls -max delay 5000000 -hls time -hls segment type mpegts -start number -hls segment filename config transcodes -hls playlist type vod -hls list size -y config transcodes
ffmpeg version 5.1.2-Jellyfin Copyright (c) 2000-2022 the FFmpeg developers
built with gcc 10 (Debian 10.2.1-6)
libavutil 57. 28.100 57. 28.100
libavcodec 59. 37.100 59. 37.100
libavformat 59. 27.100 59. 27.100
libavdevice 59. 7.100 59. 7.100</t>
  </si>
  <si>
    <t>PojavLauncherTeam-PojavLauncher-3952</t>
  </si>
  <si>
    <t>[BUG] holy gl4es is crashing</t>
  </si>
  <si>
    <t>### Describe the bug
### The log file and images videos
### Steps To Reproduce
open pojavlauncher version 1.19.2 with optifine and renderer: holy gl4es and open map
### Expected Behavior
expect game will play
Device model: Realme C15 64G RMX2180
CPU architecture: aarch64
Android version: 10
PojavLauncher version: Latest Release
### Anything else?
tried virgl renderer. but all items and blocks texture is not work (looks bad and low fps)
angle renderer: same
please fix it.</t>
  </si>
  <si>
    <t>2023-02-13</t>
  </si>
  <si>
    <t>nextcloud-android-11380</t>
  </si>
  <si>
    <t>Crash when sharing from other app and previous upload folder no longer exist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</si>
  <si>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Upload to server folder from other app sharing example photo gallery.
Now delete or move from server the previous folder.
Now upload to server from other app sharing. By default it will try to upload to previous selected folder that no longer exist, trying to navigate back, the only option available, the app will crash.
### Expected behaviour
It should present to upload to root folder.
### Actual behaviour
Navigate back will crash.
No solution to continuing upload from other app in system.
### Android version
### Device brand and model
Samsung galaxy note
### Stock or custom OS?
### Nextcloud android app version
### Nextcloud server version</t>
  </si>
  <si>
    <t>PojavLauncherTeam-PojavLauncher-3948</t>
  </si>
  <si>
    <t>[BUG] Game Crash</t>
  </si>
  <si>
    <t>### Describe the bug
holy gl4es is crashing
### The log file and images videos
### Steps To Reproduce
open pojavlauncher version 1.19.2 with optifine and renderer: holy gl4es and open map
### Expected Behavior
Device model: Realme C15
CPU architecture: arm64-v8a, armeabi-v7a, armeabi
Android version: 10
PojavLauncher version: latest release
### Anything else?
tried virgl renderer. but all items and blocks texture is not work (looks bad and low fps)
angle renderer: same</t>
  </si>
  <si>
    <t>2023-02-12</t>
  </si>
  <si>
    <t>Sesu8642-FeudalTactics-40</t>
  </si>
  <si>
    <t>Crash on skip first move</t>
  </si>
  <si>
    <t>The game sometimes crashes when you try to skip the Ai first move. After restarting the game can continue with my first move. Unfortunately, could not reproduce the error permanently. using v1.1.2</t>
  </si>
  <si>
    <t>nextcloud-news-android-1147</t>
  </si>
  <si>
    <t>Attempt to move a feed results in a crash</t>
  </si>
  <si>
    <t>Steps to reproduce:
1. Open sidenav
2. Long press any feed
3. Select &lt;kbd&gt;Move&lt; kbd&gt;</t>
  </si>
  <si>
    <t>PojavLauncherTeam-PojavLauncher-3946</t>
  </si>
  <si>
    <t>[BUG] Game crashes with error code -1</t>
  </si>
  <si>
    <t>### Describe the bug
It shows the error code -1.
ve got fairly big mod maybe that is causing some problem.
### The log file and images videos
### Steps To Reproduce
1. Install forge on version 1.7.10.
2. Add the decimation mod to the mod folder.
3. Start the game.
### Expected Behavior
expected the game to start.
Device model: redmi note 10 pro
CPU architecture: aarch64
Android version: 12
PojavLauncher version: latest from play store
### Anything else?</t>
  </si>
  <si>
    <t>cgeo-cgeo-13976</t>
  </si>
  <si>
    <t xml:space="preserve">[Nightly] Crash when selecting setting "Navigation menu" </t>
  </si>
  <si>
    <t>### Describe your problem!
While trying to give Cruiser try, also tapped Settings Routing Navigation Navigation menu for the first time since guess years ... and it immediately crashed c:geo.
### How to reproduce?
open Routing Navigation
tap Navigation menu
### Actual result after these steps?
Crash, c:geo restarts with main screen
### Expected result after these steps?
Just guess ...
### c:geo Version
### System information
## System information
Device type: VOG-L29 (VOG-L29EEA, HUAWEI)
Android version: 10
Android build: VOG-L29
Screen resolution: 1080x2147px (423x841dp)
Pixel density: 2.55
System font scale: 1.0 used scale: 1.0
Sailfish OS detected: false
Google Play services: disabled 23.04.13 (100400-505809224)</t>
  </si>
  <si>
    <t>VinylMusicPlayer-VinylMusicPlayer-690</t>
  </si>
  <si>
    <t>FLAC artwork editing causes crashes</t>
  </si>
  <si>
    <t>This issue still exists #437</t>
  </si>
  <si>
    <t>tradle-react-native-udp-244</t>
  </si>
  <si>
    <t>Android -- Uncaught Error when binding udp</t>
  </si>
  <si>
    <t>Sometimes happens: when binding udp sockets on android, the app crashes.
async function binding()
app.bind(app port, err
console.log( app bound to port app port)
server.bind(server port, err
console.log( server bound to port server port)
app.send(open msg, 0, open msg.length, server port, URL, function (err)
console.log( app sent data, starting frame
app.on( message async (data, rinfo)
const rawData data.toJSON().data
1221676130650 pic (https: 61944458
1231676130654 pic (https: 61944458</t>
  </si>
  <si>
    <t>2023-02-11</t>
  </si>
  <si>
    <t>Anuken-Mindustry-8287</t>
  </si>
  <si>
    <t xml:space="preserve">Android 141.3version After clearing the peak and selecting the canyon map, it is recognized as a lake. </t>
  </si>
  <si>
    <t>MuntashirAkon-AppManager-994</t>
  </si>
  <si>
    <t>Going to any app's "permissions" / "uses permissions" tab causes it to crash.</t>
  </si>
  <si>
    <t>### Please check before submitting an issue
know what my device, OS and App Manager versions are
know how to take logs
know how to reproduce the issue which may not be specific to my device
### Describe the bug
In AppManager, when go to any app permissions or uses permissions tab, AppManager crashes and get notification to send the crash report to the developer. (which did.)
### To Reproduce
1. Launch AppManager
2. Tap any app on the main screen. That app details page opens.
3. Tap the Permissions or Uses Permissions tab at the top.
4. AppManager crashes.
### Expected behavior
Not crash. That app permissions list should be shown.
### Device info
Device: Pixel Pro
OS Version: Android 14 DP1
App Manager Version: 3.0.4
### Additional context
This crash happens only when the app actually has some permissions. If the app doesn have use any permission at all, then AppManager shows No permission instead of crashing.</t>
  </si>
  <si>
    <t>PojavLauncherTeam-PojavLauncher-3939</t>
  </si>
  <si>
    <t>[BUG] App crashes when i tap the app icon</t>
  </si>
  <si>
    <t>### Describe the bug
tap the app icon in my app drawer and it opens to black screen for second or two, and then crashes with crash report.
### The log file and images videos
... 29 more
... 39 more
### Steps To Reproduce
1. Open pojavlauncher
2. Wait second
### Expected Behavior
expect the app to open
Device model: Galaxy A12
CPU architecture: dont know
Android version: Android 11
PojavLauncher version: openjdk
### Anything else?
The app has worked fine for the past few months with few hitches here and there, but after the latest Google Play release, the app doesn even open. ve tried clearing cache, don want to reinstall until know it the only option.</t>
  </si>
  <si>
    <t>kongzue-DialogX-274</t>
  </si>
  <si>
    <t>【BUG反馈】偶现空指针崩溃</t>
  </si>
  <si>
    <t>--------- beginning of crash--</t>
  </si>
  <si>
    <t>2023-02-10</t>
  </si>
  <si>
    <t>nextcloud-android-11369</t>
  </si>
  <si>
    <t>App Crash on android when sharing to deleted external storage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</si>
  <si>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Add external share like sftp NAS
2. Share something into folder on that NAS via Android app
3. Delete or rename the external share
4. Share another file on android
5. The app starts within the now missing folder in the former location
6. After click move folder up to reach the new destination the app crashes
### Expected behaviour
App should jump to root or something similar stead of crashing cause of the missing location
### Actual behaviour
App crashes with error log and gets stuck. Has to be force quitted.
The error stays for the android sharing function! Only opening the app directly works again till next android sharing try.
### Android version
### Device brand and model
### Stock or custom OS?</t>
  </si>
  <si>
    <t>google-ExoPlayer-10977</t>
  </si>
  <si>
    <t>NullPointerException when trying to read isTunnelingEnabled()</t>
  </si>
  <si>
    <t>### ExoPlayer Version
### Devices that reproduce the issue
Samsung Galaxy S21 running Android 13
NVIDIA Shield running Android 11
### Devices that do not reproduce the issue
### Reproducible in the demo app?
### Reproduction steps
Add the following code to onTracksChanged() in PlayerEventListener in PlayerActivity
if (player null)
Log.d( ExoPlayerTunneling String.format( isTunnelingEnabled %b
1. Open demo app
2. Play HLS Apple 4x3 basic stream (TS) Not sure if all playbacks will crash, but this does.
### Expected result
Media plays and the console logs if tunneling is enabled or not
### Actual result
Crashes with the stack trace:
HLS Apple 4x3 basic stream (TS) from the demo app
### Bug Report
You will email the zip file produced by adb bugreport to dev.exoplayer gmail.com after filing this issue.</t>
  </si>
  <si>
    <t>Anuken-Mindustry-8282</t>
  </si>
  <si>
    <t>The power nodes don't show a line when connected</t>
  </si>
  <si>
    <t>Line of power nodes cannot be seen when connected in every gamemode
downloaded the new 141.3 version of the game and joined community server and couldn see any lines from the power nodes. clicked on the power nodes and could see that they were connected by blue diamond.
so sorry can reap my soul.i didn save the game lmao. It was in eviction erekir
Btw no crash
Oh fuck are you not supposed clear the lines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</si>
  <si>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jellyfin-jellyfin-androidtv-2489</t>
  </si>
  <si>
    <t>[Issue]: Client crash when playing photos</t>
  </si>
  <si>
    <t>### Please describe your bug
All photos are blurred and it suddently crashed
### Jellyfin Version
### if other:
### Jellyfin logs
### FFmpeg logs
### Please attach any browser or client logs here
### Please attach any screenshots here
### Code of Conduct
agree to follow this project Code of Conduct</t>
  </si>
  <si>
    <t>forrestguice-SuntimesWidget-691</t>
  </si>
  <si>
    <t>app crash when showing moon dialog from shortcut</t>
  </si>
  <si>
    <t>**Describe the bug**
The app crashes when showing the moon dialog from shortcut, or as widget click action.
1. Long-click on the launcher icon.
2. Click Moon from the drop-down menu.
3. The app crashes.
The app should launch and then immediately open the moon dialog.
App Version: v0.15.0
Android Version: 12
Device Model: emulator
This bug was introduced in v0.15.0 (works in v0.14.12 ).</t>
  </si>
  <si>
    <t>TeamNewPipe-NewPipe-9774</t>
  </si>
  <si>
    <t>Tapping/clicking on an empty comment crashes the app</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</si>
  <si>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Search for the video Tesla can build car by Louis Rossmann: RANDOM LIVE
2. Tap click on the empty comment
3. App should crash
4. Open the app and repeat steps 1-2
5. The error report should appear
### Expected behavior
expected the empty comment to have full text after expanding said comment.
### Actual behavior
As mentioned before, the app crashes when tap on the empty comment in that video.
### Screenshots Screen recordings
&lt;img alt Screenshot 20230209-130010 src https: 63529936 width 270
User Action: ui error</t>
  </si>
  <si>
    <t>2023-02-09</t>
  </si>
  <si>
    <t>PojavLauncherTeam-PojavLauncher-3938</t>
  </si>
  <si>
    <t>### Describe the bug
it keeps crashing when play all the mods modpack is it because have 4gb on my chromebook
### The log file and images videos
### Steps To Reproduce
### Expected Behavior
Device model: Version 109.0.5414.125 (Official Build) (32-bit)
CPU architecture: unknown
Android version: unknown
PojavLauncher version: openjdk
### Anything else?
can you tell me what mods to delete that would help think...</t>
  </si>
  <si>
    <t>aws-aws-iot-device-sdk-java-v2-365</t>
  </si>
  <si>
    <t>JNI error when trying to run mqtt5 sample on android</t>
  </si>
  <si>
    <t>### Describe the bug
am getting below error when trying to run the codes from the mqtt5 sample:
My current dependencies are below:
implementation group: name: aws-crt-android version: 0.21.6
exclude group: module: aws-crt
Same code is able to run on My mac.
Additionally, the example for running mqtt over websocket works fine on android (with same dependencies above).
### Expected Behavior
### Current Behavior
It is crashing in android when
### Reproduction Steps
Use dependencies as
implementation group: name: aws-crt-android version: 0.21.6
exclude group: module: aws-crt
Copy Mqtt5 example codes into sample android app and supply necessary arguments.
Run and it crashes.
### Possible Solution
### Additional Information Context
### SDK version used
1.11.4 and aws-crt-android 0.21.6</t>
  </si>
  <si>
    <t>2023-02-08</t>
  </si>
  <si>
    <t>Anuken-Mindustry-8269</t>
  </si>
  <si>
    <t>Cant join remote servers (MDNS, etc)</t>
  </si>
  <si>
    <t>**Steps to reproduce**: Type in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</si>
  <si>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LawnchairLauncher-lawnchair-3317</t>
  </si>
  <si>
    <t>[BUG] Adding widgets crashes the app</t>
  </si>
  <si>
    <t>### Describe the bug
When adding widget from any app, the app crashes.
When coming back to the app, the widget appears, but when try to resize it (by long-clicking it), it crashes.
assume that the bug, when trying to display the resize line.
Thanks for reading!
### Steps to reproduce
Steps to reproduce the behavior:
1. Long-click the homescreen
2. Click widget
3. Add widget
4. Drag it to the homescreen
5. *Boom* The app crashes.
### Expected behavior
The app not crashing and displaying the resize line.
### Device information
Device: Amazon Fire Tablet HD
OS: Android version 9.0, FireOS 7.3.2.6
App version: 12.1.0 Alpha
### Additional context
Caused by: Can convert value at index to dimension: type 0x3</t>
  </si>
  <si>
    <t>google-ExoPlayer-10971</t>
  </si>
  <si>
    <t>Presumed incompatibility Authentication Hikvision &amp; Foscam RTSP URL's</t>
  </si>
  <si>
    <t>### ExoPlayer Version
### Devices that reproduce the issue
Samsung Android 10 Note8
### Devices that do not reproduce the issue
### Reproducible in the demo app?
### Reproduction steps
Create new solution
Prove to yourself that the specific given model of the Foscam and or Hikvision camera is up and running with any other validation method (for example vlc or previous xamarin forms project)
Set the mediaelement source as the proven working rtsp url with authentication (use specific hikvision and foscam models)
Run your Android app (debug or release)
Check the log for the above fatal app crash
### Expected result
Handles auth headers well and doesnt crash the app
### Actual result
Crashes the app at current time with following error:
m.solid.HomeCo 0xebadde09 skipped times:
libc exiting due to SIG DFL handler for signal 11
Hikvision IP camera model HWI-D140H works great without any problems (rtsp: user:pswd ip:554 ch1 sub live)
Hikvision Doorbell camera model DS-KD8003-IME1 x1 crashes the app (maui toolkit rtsp: user:pswd ip:554 ch1 sub live works both in vlc win and xamarin forms)
Foscam IP camera model R4M crashes the app (maui toolkit rtsp: user:pswd ip:88 ch1 sub live, works both in vlc win and xamarin forms)</t>
  </si>
  <si>
    <t>omnilaboratory-OBAndroid-10</t>
  </si>
  <si>
    <t xml:space="preserve">Exception after saving an empty name as a contact. </t>
  </si>
  <si>
    <t>Save an address to contact list with an empty name. Then when enter wallet again and press send (or scan qr code to make onchain payment), the wallet crashes.</t>
  </si>
  <si>
    <t>PojavLauncherTeam-PojavLauncher-3936</t>
  </si>
  <si>
    <t>[BUG] [Issue] [Crash] Recording and World Generation Crash</t>
  </si>
  <si>
    <t>### Describe the bug
Screen record crashing and world crashing during world generation
This is needed to fix for YouTubers
### The log file and images videos
No log needed
### Steps To Reproduce
1. Start recording
2. Start PojavLauncher
4. Click any world saves
5. 0% world progress then recording crash
6. Joining world then World crash
### Expected Behavior
World generation with any screen recorder
Device model: ...
CPU architecture: armeabi-v7a
Android version: 8.1.0
PojavLauncher version: latest
### Anything else?
Please fix it every Pojavlauncher YouTubers need to Record for YouTube</t>
  </si>
  <si>
    <t>nextcloud-android-11361</t>
  </si>
  <si>
    <t xml:space="preserve">App crashes when uploading documents via Share functionality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</si>
  <si>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Use an app where you can export share pdf document with the Nextcloud app.
2. Select .pdf document and click on share.
3. Click on Nextcloud app.
4. Now, in the Nextcloud app folder selector, try to go back and to browse for different folder where you want to store the document in.
5. The app crashes after going back in the folder hierarchy multiple times.
### Expected behaviour
When you share document with the Nextcloud app to save it there, while browsing the folder hierarchy to select the correct folder you want to store the document, the app should not crash.
### Actual behaviour
While go back in the folder hierarchy to select another folder, the app immediately crashes and cannot save the document via the sharing functionality. have to use the add file feature within the Nextcloud app to save file successfully within my cloud. cannot use the share Feature of my Android phone.
### Android version
### Device brand and model
Google Pixel Pro
### Stock or custom OS?
### Nextcloud android app version</t>
  </si>
  <si>
    <t>Anuken-Mindustry-8267</t>
  </si>
  <si>
    <t xml:space="preserve">Cursor alignment after task switching [ Windows 10 ] </t>
  </si>
  <si>
    <t>Windows 10 Edition Pro Version 22H2 OS Build :19045 24086
Steam Build ID 10378095
Inside game under title on title screen steam build 141.3
After task switching, alt+tab to get out of game, then back into game the cursor mapping doesn match the location of the mouse cursor. It is clear the screen isn at the same settings for resolution, before and after, tabbing back into the game, so that may be the cause. It gets difficult, because there no key controls on the title screen.
like to suggest supporting the arrow keys and the escape key for title menus, so the settings can be changed without use of mouse. Including escape, in lots of common software, opens up prompt, asking the user, if they like to quit the game, with yes or no.
have tested this, and it only applies to the game in Fullscreen
Changing the settings to use Borderless Fullscreen resolves this issue
alas the settings are impractical to change while it is active,
hence the suggestion to allow use of keyboard for menus settings.
**Steps to reproduce**: *How you happened across the issue, and what exactly you did to make the bug happen.*
Adjust game settings to display using Fullscreen then alt+tab task switch, when you alt+tab back, then you will see the issue, of broken mapping.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No save file needed. This is the outer menus before starting game. Although this issue, could happen during game-play, causing frustration...
**(Crash) logs**: *Either crash reports from the crash folder, or the file you get when you go into Settings -&gt; Game Data -&gt; Export Crash logs. REQUIRED if you are reporting crash.*
This is not crash... game seems to be quite stable and enjoyable.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</si>
  <si>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nextcloud-android-11359</t>
  </si>
  <si>
    <t>Crash on account selection (new installation from fdroid)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</si>
  <si>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Installation of latest version 1.21.6. from fdroid (nextcloud app 3.23.0 already installed and configured since long time)
2. app starts up normal
3. hit button account selection
4. choose an account
5. allow access to account (android notification accepted)
6. wild crash appears
### Expected behaviour
Should work guess, not sure what to expect afterwards, probably some decks -)
### Actual behaviour
Crashes with following error response
App Version: 1.21.6
App Version Code: 1021006
Server App Version: 1.7.3
App Flavor: fdroid</t>
  </si>
  <si>
    <t>2023-02-07</t>
  </si>
  <si>
    <t>OTTAA-Project-OTTAAProject-163</t>
  </si>
  <si>
    <t>[Bug]: Json.java line 757</t>
  </si>
  <si>
    <t>### Contact Details
### What happened?
That crash bug related to the JSON file.
### Where are you seeing the problem on?
### Relevant log output
### Code of Conduct
agree to follow this project Code of Conduct</t>
  </si>
  <si>
    <t>UCI-Networking-Group-AntMonitor-7</t>
  </si>
  <si>
    <t>Build successful, however the AntMonitor app keeps stopping in the emulator of Android Studio.</t>
  </si>
  <si>
    <t>am trying to install this app as preliminary for OVRSeen project, however, met an error.
Even though can successfully build this project in Android Studio and install it in the emulator, it keeps stopping when try to use it.
The configuration of the AntMonitor project in Android Studio is as follows:
Android Studio: Android Studio Chipmunk 2021.2.1 Patch
Gradle JDK: default 11.0.12 (I also tried version 1.8.0 321)
Android Gradle Plugin Version: 4.0.0
Gradle Version: 6.1.1
p.s. record how this app crashes and upload this video to google drive https: drive.google.com file 1Ktq4ANXE7SGjtk AOEqelDtExu293l5F view?usp sharing</t>
  </si>
  <si>
    <t>2023-02-06</t>
  </si>
  <si>
    <t>maityamit-Sleepometer-Android-App-61</t>
  </si>
  <si>
    <t>[Bug]: App crashes</t>
  </si>
  <si>
    <t>### Contact Details
### What happened?
On clicking the share button in setting crashes the app. This is happening because app want to share banner but app couldn load it.
### Relevant log output
### Code of Conduct
agree to follow this project Code of Conduct</t>
  </si>
  <si>
    <t>0XDE57-SpaceProject-24</t>
  </si>
  <si>
    <t>uknown crash on first couple runs on new machine</t>
  </si>
  <si>
    <t>play tester notified me of crash on their machine. trying to get logs
unable to repro on my machine.</t>
  </si>
  <si>
    <t>PojavLauncherTeam-PojavLauncher-3926</t>
  </si>
  <si>
    <t>[BUG] &lt;server resource pack download loop&gt;</t>
  </si>
  <si>
    <t>### Describe the bug
When trying to download the server resource pack, it fails at 60-90% and restarts until the game crashes after 5min.
### The log file and images videos
### Steps To Reproduce
1. Start pojavlauncher.
2. Launch stock 1.19.3.
3. Join server which requires resource pack and accept download.
### Expected Behavior
expected the resource pack to download fully and the reappearing download screen would stop looping.
Device model: S21 Ultra 256GB (exynos)
CPU architecture: aarch64
Android version: 13
PojavLauncher version: latest gyro build #4168
### Anything else?
This might just happen to only me because have too much ram allocated or something. tried reading the logs but am not sure what the problem really is.</t>
  </si>
  <si>
    <t>2023-02-05</t>
  </si>
  <si>
    <t>skewyapp-skewyapp-27</t>
  </si>
  <si>
    <t>Crash when closing .sendCommandToMusicService</t>
  </si>
  <si>
    <t>**Describe the bug**
App crashes when closing it.
Not possible far
Crash Error not to occur
**Smartphone (please complete the following information):**</t>
  </si>
  <si>
    <t>PojavLauncherTeam-PojavLauncher-3924</t>
  </si>
  <si>
    <t>[BUG] &lt;Rubidium crashes when ever I load a world&gt;</t>
  </si>
  <si>
    <t>### Describe the bug
Whenever load this mod and start world it keeps crashing
### The log file and images videos
This happens to many others who tried the Rubidium mod me and my sister and my brother
### Steps To Reproduce
think when change to virgl render it will fix it but the biggest issue with virgl render it flips the screen upside down
### Expected Behavior
expected the game would load
Device model: huawei y9 prime
CPU architecture: aarch64
Android version: 10
### Anything else?</t>
  </si>
  <si>
    <t>AlfaazPlus-QuranApp-15</t>
  </si>
  <si>
    <t>### Steps to reproduce
want to contribute in Quran translations. But app crashed when clone the project on my Android Studio. setup the firebase and enable all required services from firebase like Realtime Database, Cloud Storage, Authentication and Cloud Firestore but when run the app got this error in error log.
Can you please tell me how to fix it?
### Expected behavior
### Actual behavior
### QuranApp version
### Android version
### Other details
have searched the existing issues and this is new ticket, **NOT** duplicate or related to another open issue.
have written short but informative title.</t>
  </si>
  <si>
    <t>2023-02-04</t>
  </si>
  <si>
    <t>PojavLauncherTeam-PojavLauncher-3923</t>
  </si>
  <si>
    <t>[BUG] Crash when using fabric sodium on 1.16.5</t>
  </si>
  <si>
    <t>### Describe the bug
When loading world in fabric ml on 1.16.5 version with sodium and fabric api the launcher crashes. The crash report states that the renderer was not initialized.
The fog and vector settings are disabled.
Tried loading world with
es 3): exports opengl 4.3
and the same but with Java 17
Every time resulting in the same crash with same report(renderer not initialized).
### The log file and images videos
### Steps To Reproduce
1. Start Pojav Launcher
2. Launch the fabric loader with fabric api and sodium in mods folder
3. Open world
### Expected Behavior
expected the game to initialize the renderer.
Device model: Poco M4
CPU architecture: 64 bit armv8-a
Android version: 12
PojavLauncher version: openjdk
### Anything else?
Optifine Optifabric isn valid alternative for the infinite mojang screen load(and gigantic log) they cause.</t>
  </si>
  <si>
    <t>Sesu8642-FeudalTactics-39</t>
  </si>
  <si>
    <t>Hard Game crash</t>
  </si>
  <si>
    <t>played match today and at some point, the game hard crashed. Reopening the game put me in the situation was in before and could finish the (almost won) game.
This crash apparently was at the exact time where the you have almost captured the world, want to end here? message box would normally appear. Because never got the message in this match before or after the crash.
The seed was: 1675510407298 (medium size and density) with AI level hard
And here the screenshot of the point in time it crashed how it looked after reopening:</t>
  </si>
  <si>
    <t>TeamNewPipe-NewPipe-9742</t>
  </si>
  <si>
    <t>Revert PR #9553 "Update ExoPlayer to 2.18.2"</t>
  </si>
  <si>
    <t>#### What is it?
Bugfix (user facing)
Feature (user facing)
Codebase improvement (dev facing)
Meta improvement to the project (dev facing)
#### Description of the changes in your PR
This commit reverts #9553 1bb166a and downgrades ExoPlayer to 2.18.1.
There is bug in ExoPlayer 2.18.2 which leads to crashes (e.g. see https: github.com TeamNewPipe NewPipe pull which is going to be fixed in an upcoming version.
#### Fixes the following issue(s)
&lt;!-- Prefix issues with Fixes so that GitHub closes them when the PR is merged (note that each Fixes should be in its own item). Also add any other relevant links. --&gt;
Fixes https: github.com TeamNewPipe NewPipe pull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</si>
  <si>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2023-02-03</t>
  </si>
  <si>
    <t>maityamit-Sleepometer-Android-App-57</t>
  </si>
  <si>
    <t>[Bug]: The 'MissClick?' Time picker is not null safe</t>
  </si>
  <si>
    <t>### Contact Details
### What happened?
When we click on the MissClick? button for the first time and click save without setting any time, then the app crashes.
We need to make it null safe by doing few changes to the java code.
&lt;img width 364 alt Screenshot 2023-02-03 at 12 39 21 PM src https: 92439461
### Relevant log output
### Code of Conduct
agree to follow this project Code of Conduct</t>
  </si>
  <si>
    <t>jellyfin-jellyfin-androidtv-2469</t>
  </si>
  <si>
    <t>Fix rare picture viewer crash when album is empty</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</si>
  <si>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rare picture viewer crash when album is empty
Fixes #2456 on the client</t>
  </si>
  <si>
    <t>2023-02-02</t>
  </si>
  <si>
    <t>AndroidIDEOfficial-AndroidIDE-778</t>
  </si>
  <si>
    <t>Crash bug</t>
  </si>
  <si>
    <t>### What happened?
was using the app then suddenly it crashed
### What the expected behavior?
### What version of AndroidIDE you re using?
v2.2.0 (debug builds)
### Relevant log output
AndroidIDE crash report
SDK version: 30
### Duplicate issues
This issue has not been reported yet.
### Code of Conduct
agree to follow this project Code of Conduct</t>
  </si>
  <si>
    <t>LSPosed-LSPosed-2363</t>
  </si>
  <si>
    <t>[Bug] Unable to open LSPosed manager on GrapheneOS due to a crash (Segmentation fault)</t>
  </si>
  <si>
    <t>### Steps to reproduce
1. Install Magisk
2. Install LSPosed Zygisk module
4. Open LSPosed manager (from either shortcut, dialer sequence or notification tap).
### Expected behaviour
Expect LSPosed manager to open wiithout crash.
### Actual behaviour
When open LSPosed manager (from either shortcut, dialer sequence or notification tap), everything freezes for about seconds, and then see message that is apparently GrapheneOS crash message dialog:
Bug reports contain data from system verious log files, which may include data you consider sensitive (such as app-usage and location data). Only share bug reports with people and apps you trust.
After pressing either Cancel or Ok the dialog closes and can continue to use the phone, but LSPosed manager was not opened.
### Xposed Module List Xposed
### Magisk Module List Magisk
Systemless Hosts (default magisk module)
### LSPosed version LSPosed
### Android version Android
Graphene OS (Android 13)
### Magisk version Magisk
### Riru version Riru
### Version requirement
am using latest debug CI version of LSPosed and enable verbose log CI</t>
  </si>
  <si>
    <t>iiordanov-remote-desktop-clients-419</t>
  </si>
  <si>
    <t>master password problem</t>
  </si>
  <si>
    <t>when master password is set its immideatly going to crash</t>
  </si>
  <si>
    <t>VinylMusicPlayer-VinylMusicPlayer-674</t>
  </si>
  <si>
    <t>crash when unfavoriting song</t>
  </si>
  <si>
    <t>**Describe the bug**
App crashes if song is favorited, then unfavorited pressing the heart button top right.
Steps to reproduce the behavior:
1. Play song
2. Press on heart button to favorite it
3. Press again to unfavorite it
App should not crash but unfavorite the song
Please complete the following information. Or if you get directed here from the app, you can paste the collected
Android Version: 12
ROM: iod os
Vinyl Music Player Version: 1.4.0</t>
  </si>
  <si>
    <t>rafaelsetragni-awesome_notifications-721</t>
  </si>
  <si>
    <t>App crashing with java.lang.NoSuchMethodException: R7.k.values</t>
  </si>
  <si>
    <t>&lt;!-- DO NOT ERASE THIS FORM ISSUE!!!!
&lt;!-- DO NOT ERASE THIS FORM ISSUE!!!!
&lt;!-- DO NOT ERASE THIS FORM ISSUE!!!!
&lt;!-- DO NOT ERASE THIS FORM ISSUE!!!!
&lt;!-- PLEASE, READ THE MESSAGE BELLOW
If you remove, do not respond the form bellow or break the posting rules, your issue will be ***closed*** and marked as ***invalid***.
If your issue was marked with ***invalid***, its content will not be read.
Please respect the rules below and we will respond you as soon as possible.
To report bug and help us to provide the solution as fast as possible, please follow the instructions below:
## **App crashing with R7.k.values
## **2 Provide us as much information as possible**
To help us to understand your issue, provide with your bug report all the relevant informations, such as:
Your plugins list inside the file pubspec.yaml (at least all notification plugins)
Only notification plugin is awesome notifications
What platform did you found the issue
What devices did you found the issue
Samsung Galaxy A32 5G
How are you initializing the plugin
How are you creating the notification
The output of flutter doctor command</t>
  </si>
  <si>
    <t>cgeo-cgeo-13933</t>
  </si>
  <si>
    <t xml:space="preserve">NPE in adjustPersonalNoteVarsOutOfSyncButton </t>
  </si>
  <si>
    <t>### Describe your problem!
New crash report for 2023.01.30-RC on Google Play
Android 10, 13
### How to reproduce?
### Actual result after these steps?
### Expected result after these steps?
### c:geo Version
### System information
### Additional Information</t>
  </si>
  <si>
    <t>2023-02-01</t>
  </si>
  <si>
    <t>PojavLauncherTeam-PojavLauncher-3901</t>
  </si>
  <si>
    <t>[BUG] Trying to install forge or optifine .jar crashes.</t>
  </si>
  <si>
    <t>### Describe the bug
When ever try to install forge or optifine installer, the launcher or whatever crashes. am on 1.19.3, and the vanilla game runs fine.
### The log file and images videos
latestlog (1).txt (https: github.com PojavLauncherTeam PojavLauncher files 10559870 latestlog.1.txt)
### Steps To Reproduce
1. Click on the .jar installer
2. Select the desired .jar you want to install
### Expected Behavior
Expect to start the installer and install it.
Device model: Samsung Galaxy M21 128G (SM-M215F)
CPU architecture: arm64
Android version: 12
PojavLauncher version: openjdk
### Anything else?
have vanila 1.19.3, which has no issues at all</t>
  </si>
  <si>
    <t>SORMAS-Foundation-SORMAS-Project-11428</t>
  </si>
  <si>
    <t>Event participant address is "null" in the android app</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</si>
  <si>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&lt;!-- Mandatory: Describe the actual behaviour or situation --&gt;
#### Steps to Reproduce
&lt;!-- Optional please add more steps if necessary --&gt;
1. Create an event participant in the web app
2. Set values for Home address region and district
3. Open it in the mobile app
Observe the Home Address field, In edit mode if you tap on it the app crashes
&lt;!-- Optional --&gt;
&lt;img width 384 alt image src https: 62599627
#### System Details
&lt;!-- Mandatory you only have to specify the Server URL if the error appeared on publicly available test server --&gt;
Android version Browser:
### Expected Behavior
&lt;!-- Optional --&gt;
The address is displayed correctly and in edit mode the user is able to edit it
### Additional Information
&lt;!-- Optional --&gt;</t>
  </si>
  <si>
    <t>AndroidIDEOfficial-AndroidIDE-772</t>
  </si>
  <si>
    <t>### What happened?
### What the expected behavior?
### What version of AndroidIDE you re using?
### Relevant log output
AndroidIDE crash report
SDK version: 31
### Duplicate issues
This issue has not been reported yet.
### Code of Conduct
agree to follow this project Code of Conduct</t>
  </si>
  <si>
    <t>AndroidIDEOfficial-AndroidIDE-771</t>
  </si>
  <si>
    <t>AndroidIDE Crashed saying IndexOutOfBound while selecting texts from the editor</t>
  </si>
  <si>
    <t>### What happened?
IDE suddenly crashed while was trying to select some texts, and it threw an exception saying IndexOutOfBound.
### What the expected behavior?
It is supposed to select texts and allow me to copy, paste it delete texts depending on my choice for that moment
### What version of AndroidIDE you re using?
v2.2.0 (debug builds)
### Relevant log output
AndroidIDE crash report
SDK version: 29
### Duplicate issues
This issue has not been reported yet.
### Code of Conduct
agree to follow this project Code of Conduct</t>
  </si>
  <si>
    <t>jellyfin-jellyfin-androidtv-2462</t>
  </si>
  <si>
    <t>DTS and Dolby Digital sound interruptions for a second several times</t>
  </si>
  <si>
    <t>### Describe the bug
The problem is that Jellyfin players (both Exo and libVLC) playing any video with DD DD+ DTS tracks with **sound cuts out for less than second** several times randomly during playing while video is playing without any interruptions.
ve checked other players and there are no problems with them (but some other, e.g. Kodi does not passthrough DTS signal).
There are no logs, no transcoding logs, no app errors, just audio interruptions that occurs randomly only while plaing DTS or DD DD+ tracks. And after days found out that IF **Bitstream DTS** is **disabled** then there are no more interruptions in DD mode! But also, there is no DTS output of course. So, hope it may help you to discover what may cause these interruptions and how DTS Bitstream can influence on DD Bitstream.
ve been discovering how to make Mi Box play DTS properly for my AVR and found out that only in SPDIF mode it works well, even playing DD+ that was thinking my AVR doesn supports. Mi Box has Auto, PCM, SPDIF and Manual options for digital audio output. In Auto mode there is no DTS at all in any player. If using manual mode and checking all available options (DD, DD+, DTS, PCM) my AVR got DTS signal, but DD+ detects as simple Stereo. If uncheck DD+ then Jellyfin players crashes or displaying message that video cannot be played. So only SPDIF mode works well.
### FFmpeg logs
### Media info of the file
### Application version
### Device information
Xiaomi Mi Box
### Android version
### Jellyfin server version</t>
  </si>
  <si>
    <t>PojavLauncherTeam-PojavLauncher-3897</t>
  </si>
  <si>
    <t>[BUG] &lt;The. jar tool cannot be used normally.&gt;</t>
  </si>
  <si>
    <t>### Describe the bug
tried to use installer.jar option to use ninjarbrainbot,but can use it normally.
Like in the video, need to enter the game and use f3 and to use this tool, but can do this in the installer.jar option.I tried to start the game, but the installer crashed.
### The log file and images videos
### Steps To Reproduce
2.Click the install. jar option.
3.Select .jar tool
4.I tried to open the game, but the installer crashed
### Expected Behavior
hope to start the. jar file to use the tool while the game is running.
Device model: HUAWEI Honor
CPU architecture: aarch64
PojavLauncher version: openjdk
### Anything else?</t>
  </si>
  <si>
    <t>patzly-grocy-android-652</t>
  </si>
  <si>
    <t>Crash when open the recipe screen.</t>
  </si>
  <si>
    <t>can see my recipe for second and the it crash. Could you remember me what kind of log do you need</t>
  </si>
  <si>
    <t>Anuken-Mindustry-8244</t>
  </si>
  <si>
    <t>Insane lag (freezing) in erekir (sector: Basin)</t>
  </si>
  <si>
    <t>**Steps to reproduce**: After receiving the nuclear strike the sector said, my game started to suddenly freeze every some time, and over time that waiting time became shorter and the freezing longer up until the game freezed completely and it just crashed.
**Link(s) to mod(s) used**: https: github.com Ferlern extended-UI-v7
**Save file**: https: 1drv.ms
am unable to save campaign game so give you my entire campaign save instead.
**(Crash) logs**: https: 1drv.ms
*Place an (no spaces) between the brackets to confirm that you have read the line below.*
**I have updated to the latest release (https: googleplay.com Anuken Mindustry releases) to make sure my issue has not been fixed.**
**I have searched the closed and open issues to make sure that this problem has not already been reported.**</t>
  </si>
  <si>
    <t>2023-01-31</t>
  </si>
  <si>
    <t>PojavLauncherTeam-PojavLauncher-3891</t>
  </si>
  <si>
    <t>App crashes when trying to install fabric</t>
  </si>
  <si>
    <t>### Describe the bug
when trying to run the fabric installer this error is given and the app crashes:
### The log file and images videos
latestcrash.txt (https: pastebin.com f4n6weuN)
### Steps To Reproduce
select install .jar
select fabric launcher
### Expected Behavior
expect the installer to start
Device model: Galaxy Fold
PojavLauncher version: latest
### Anything else?</t>
  </si>
  <si>
    <t>Anuken-Mindustry-8239</t>
  </si>
  <si>
    <t>No core database button on mobile platforms on multiplayer servers.</t>
  </si>
  <si>
    <t>**Steps to reproduce**: Join multiplayer server -&gt; Find core database menu
**Link(s) to mod(s) used**: Vanilla.
**Save file**: Not required.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</si>
  <si>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square-react-native-square-reader-sdk-213</t>
  </si>
  <si>
    <t>Quickstart App Crashes on Startup on M2 MacBook and XCode 14.2</t>
  </si>
  <si>
    <t>### Describe the issue
clear and concise description of what the issue is.
For example When try to authorize my Reader with valid location and
OAuth access token, the plugin returns an exception with message
Cannot read property authorize of undefined.
Error log details:
paste your error log here
ve recently upgraded to new M2 MacBook using XCode 14.2. When run the example project, following the steps outlined in the README (https: github.com square tree master (including updating the Legacy build system settings), the app will compile without issue.
However, when it loads and runs the app in the iOS Simulator, the app crashes on start. ve tried on both the iPhone 13 (iOS 15.2) and iPhone 14 (16.2).
**XCode Error Report:**
Referenced from: Users matthew Desktop ios build SquareReaderSDK
**macOS Error Report:**
Translated Report (Full Report Below)
Hardware Model: Mac14,6
Code Type: ARM-64 (Native)
Parent Process: launchd sim 74223
Responsible Process: SimulatorTrampoline 8379
OS Version: macOS 13.2 (22D49)
Release Type: User
Report Version: 104</t>
  </si>
  <si>
    <t>2023-01-30</t>
  </si>
  <si>
    <t>VinylMusicPlayer-VinylMusicPlayer-666</t>
  </si>
  <si>
    <t>Fix crash unfavorite songs</t>
  </si>
  <si>
    <t>Lyokone-flutterlocation-804</t>
  </si>
  <si>
    <t xml:space="preserve">fix:   crash android app when calling requestService  Android 11 </t>
  </si>
  <si>
    <t>if (! serviceEnabled!)
serviceEnabled await &lt;-------- Crash here
if (! serviceEnabled!)
Doctor summary (to see all details, run flutter doctor -v):
Flutter (Channel stable, 3.7.0, on Ubuntu 22.04.1 LTS 5.15.0-58-generic, locale en US.UTF-8)
Android toolchain develop for Android devices (Android SDK version 33.0.0)
Chrome develop for the web
Linux toolchain develop for Linux desktop
Android Studio (version 2021.3)
Connected device (2 available)
HTTP Host Availability
No issues found!</t>
  </si>
  <si>
    <t>nextcloud-android-11329</t>
  </si>
  <si>
    <t>App randomly starts to crash, Android 13, LineageOS 20</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</si>
  <si>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can fully reproduce this, so ll try to explain when and how the crashes started for me:
recently upgraded to LineageOS 20 (Android 13) after that the issues started, with Los 19 Android 12 had no problems.
The issue exists with 3.23.1 and 3.23.0 (I did not try downgrading to older versions than that)
After setting up the app everything seems to work for couple of days, can use the files and news app without problem.
Then after few days without changing anything the app can start to crash repeatedly, had this happen while just trying to launch the Files app, as well as while trying to start the news app, which just shows an error, that the files app is not responding, after that cannot open the files app anymore. It just keeps repeatedly crashing, even without clicking on the app again. E.g.
1. try to open the file or news app
2. The files app crashes
3. Seemingly the files app is started again in the background and crashes instantly
While trying to grab stack trace through scoop this leads to hundreds of notifications for every crash, the uncontrollable crashes only stop if reboot my phone.
### Expected behaviour
The app should start without crash
### Actual behaviour
The app repeatedly crashes
### Android version</t>
  </si>
  <si>
    <t>HydrolienF-Kokcinelo-139</t>
  </si>
  <si>
    <t>Leave full screen window crash it</t>
  </si>
  <si>
    <t>During action game, if player leave window. Stage brake. It can never be draw back, actor don move.
If player have press escape before, then there is no issues.
fix can be to do as if player have press escape before frame lost focus.
An other fix can be to remove some to quick texture.dispose()
It happend only on Windows (not linux) only on level.</t>
  </si>
  <si>
    <t>nextcloud-android-11328</t>
  </si>
  <si>
    <t>bug at startup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</si>
  <si>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Dont start crashes
### Expected behaviour
Chrash at startup
### Actual behaviour
### Android version
### Device brand and model
### Stock or custom OS?
Custom (explain in additional information
### Nextcloud android app version
dont know Newest update
### Nextcloud server version
### Using reverse proxy?
### Android logs
### Cause of error</t>
  </si>
  <si>
    <t>jellyfin-jellyfin-androidtv-2456</t>
  </si>
  <si>
    <t>Crash when opening jpg</t>
  </si>
  <si>
    <t>### Describe the bug
1. Click into the photo library
2. Open either one of the jpg photo, the client failed to load the picture and crash, but it works ok for videos
### Application version
### Where did you install the app from?
### Device information
### Android version
### Jellyfin server version</t>
  </si>
  <si>
    <t>nextcloud-android-11325</t>
  </si>
  <si>
    <t>crash directly after opening the app</t>
  </si>
  <si>
    <t>### Cause of error
Exception in thread main Attempt to invoke virtual method long on null object reference
### App information
Build flavor: versionDev
### Device information
Product: XQ-BT52 EEA</t>
  </si>
  <si>
    <t>material-components-material-components-android-3196</t>
  </si>
  <si>
    <t>[onCreateContextMenu webView] Crash with dynamic colors theme</t>
  </si>
  <si>
    <t>using during onCreate on myApplication.
The theme used is parent of
When enter onCreateContextMenu on webView it is crashing short after (contextMenu.add
(All my activities inherit AppCompatActivity)
For the moment have replace the theme with
and it works just by changing Theme. by ThemeOverlay.
See the log at the end
**Android API version:** 33
**Material Library version:** 1.8
**Minimal sample app repro:** https: github.com GreenSnakeLinux</t>
  </si>
  <si>
    <t>2023-01-29</t>
  </si>
  <si>
    <t>nextcloud-android-11320</t>
  </si>
  <si>
    <t>Crash while opening a subfolder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</si>
  <si>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Nextcloud app
Move to subdirectory
### Expected behaviour
Open the subdirectory successfully
### Actual behaviour
noticed the crashes after have changed the top level folder Documents to the name Documents user-name yesterday. Since then Nextcloud App crashes regularly if now want to open subfolder where it has to show the files in the subfolders.
If switch back the parents folder name to Documents it works again without any crashes.
### Android version
Harmony OS 2.0.0.268
### Device brand and model
### Stock or custom OS?
Custom (explain in additional information
### Nextcloud android app version
### Nextcloud server version</t>
  </si>
  <si>
    <t>jMonkeyEngine-jmonkeyengine-1930</t>
  </si>
  <si>
    <t>NPE in FbxLayerElement.fromElement()</t>
  </si>
  <si>
    <t>testing current master branch with FBX assets downloaded from CGtrader, Mixamo, and Sketchfab.
Attempting to import certain FBX files causes the following crash:
If dataIndices is null,the entire block should probably be skipped.</t>
  </si>
  <si>
    <t>jMonkeyEngine-jmonkeyengine-1928</t>
  </si>
  <si>
    <t>FBX import throws OutOfMemoryError</t>
  </si>
  <si>
    <t>testing current master branch with FBX assets downloaded from CGtrader, Mixamo, and Sketchfab.
Attempting to load any file with version 7400 results in an OutOfMemoryError
The proximate cause of the crash is that the importer reads huge number of properties propCount for an element --- as in more than 10^9 properties!
Apparently there were fundamental changes to how FBX elements are written between file versions 7400 and 7500.
the endOffset propCount and propsLength fields were extended from bytes to bytes each and
the length of the block sentinel was reduced from 13 bytes to bytes.
FbxReader was probably designed for file versions in the range of 7100 to 7400, so it reading garbage for propCount
There are countless other issues with the FBX importer. This one, at least, looks like simple fix.</t>
  </si>
  <si>
    <t>AndroidIDEOfficial-AndroidIDE-768</t>
  </si>
  <si>
    <t>[Bug]: There was a bug in the xml editor when I went to change the button background color</t>
  </si>
  <si>
    <t>### What happened?
There was bug in the xml editor when went to change the button background color
### What the expected behavior?
AndroidIDE crash report
SDK version: 31
### What version of AndroidIDE you re using?
v2.2.0 (debug builds)
### Relevant log output
### Duplicate issues
This issue has not been reported yet.
### Code of Conduct
agree to follow this project Code of Conduct</t>
  </si>
  <si>
    <t>2023-01-28</t>
  </si>
  <si>
    <t>nextcloud-android-11319</t>
  </si>
  <si>
    <t>Crash after simply opening app and using biometric log in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</si>
  <si>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app
2. use fingerprint scanner to log in
3. Asks for fingerprint scanner again
4. scan again
5. asks for it again
6. just go into recents then it asks again, do it,
7. re enter the app after logging in from recents
8. get crash log
### Expected behaviour
want to get in the app lmao
### Actual behaviour
crash after infinite log in
### Android version
### Device brand and model</t>
  </si>
  <si>
    <t>nextcloud-android-11316</t>
  </si>
  <si>
    <t>NPE on `checkEncryptionStatus`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</si>
  <si>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Start the app
2. Wait for root folder to load
3. Open the menu
4. Click on the favorite link in the sidebar
### Expected behaviour
It is expected to load the favorite files and folders.
### Actual behaviour
It crash again and again.
### Android version
### Device brand and model
Samsung Galaxy Tab 10.5 SM-T800
### Stock or custom OS?
### Nextcloud android app version
### Nextcloud server version</t>
  </si>
  <si>
    <t>Anuken-Mindustry-8230</t>
  </si>
  <si>
    <t>The game seems to be not rendering Color.black</t>
  </si>
  <si>
    <t>Runtime Available Memory: 1960mb
**Steps to reproduce**: Draw anything with Color.black.
**Link(s) to mod(s) used**: new-horizon:0.2.7, newconsole:1.8.1, test-utils:49, testers:0.25, yellow-java:0.6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</si>
  <si>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Mahmud0808-Iconify-42</t>
  </si>
  <si>
    <t>[BUG] SystemUI crash for keyguard</t>
  </si>
  <si>
    <t>### Describe the bug
Sometimes when turn on screen, the system ui crash.
### Steps to reproduce
Maybe custom lockscreen clock?
### Expected behavior
### Device information
Device: Sony Xperia XZ3
OS: Lineage OS 20
App version: 5.0 dev #263
### Additional context
FATAL EXCEPTION: main</t>
  </si>
  <si>
    <t>aws-amplify-amplify-android-2263</t>
  </si>
  <si>
    <t>AWSDataStorePlugin failed to start and caused app crash</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</si>
  <si>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val amplifyVersion 1.37.11
### Environment information
### Please include any relevant guides or documentation you re referencing
### Describe the bug
could see the crash from Google Play console but it it is not able to reprod by normal testing.
Our AWS amplify client add AWSDatastorePlugin as the documentation. We use Functional auth when initiating.
The crash doesn show any line from our code base so guess it was failed when thread from AWSDataStorePlugin got error. The issue was not seen when we use 1.37.2 version.
### Reproduction steps (if applicable)
### Code Snippet
Put your code below this line.
### Log output
Put your logs below this line
Caused by: DataStoreException message Failed to start DataStore., cause DataStoreException message Timed out acquiring orchestrator lock., cause null, recoverySuggestion Retry your request. recoverySuggestion Retry.
... 25 more
Caused by: DataStoreException message Timed out acquiring orchestrator lock., cause null, recoverySuggestion Retry your request.</t>
  </si>
  <si>
    <t>nextcloud-android-11313</t>
  </si>
  <si>
    <t>nextcloud crashes at startup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</si>
  <si>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Install nextcloud-dev from f-droid, start app
### Expected behaviour
### Actual behaviour
### Cause of error
Exception in thread main Attempt to invoke virtual method long on null object reference
### App information
Build flavor: versionDev
### Device information
Product: zeus eea
### Android version
### Device brand and model
### Stock or custom OS?
### Nextcloud android app version
### Nextcloud server version</t>
  </si>
  <si>
    <t>2023-01-27</t>
  </si>
  <si>
    <t>prebid-prebid-mobile-android-572</t>
  </si>
  <si>
    <t>PrebidNativeAd.registerView() crash</t>
  </si>
  <si>
    <t>**Describe the bug**
When In-app Native ad doesn have impression trackers, this list isn initialized. So registerView() step causes crash.
FATAL EXCEPTION: main</t>
  </si>
  <si>
    <t>Anuken-Mindustry-8226</t>
  </si>
  <si>
    <t>tank refabricator image</t>
  </si>
  <si>
    <t>Tank refabricator images do not rotate correctly.
**Steps to reproduce**: *How you happened across the issue, and what exactly you did to make the bug happen.*
Place tank refabricators, each facing different direction. Play game of spot the difference with the top bottom and left right ones.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</si>
  <si>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patzly-grocy-android-643</t>
  </si>
  <si>
    <t>Force close at start</t>
  </si>
  <si>
    <t>After update to 3.0 on Google Store, can not start the app any more, it crashed every time. ve filled report send comment</t>
  </si>
  <si>
    <t>2023-01-26</t>
  </si>
  <si>
    <t>Igalia-wolvic-448</t>
  </si>
  <si>
    <t>[Pico] Swapchain limit hit when entering/leaving fullscreen videos</t>
  </si>
  <si>
    <t>&lt;!---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Open windows
2. Open the aviation 360 video from the top of the start page in fullscreen
3. Exit fullscreen
4. Repeat the Enter Exit fullscreen 3-4 times
## Current Behavior
&lt;!--- If describing bug, tell us what happens instead of the expected behavior. --&gt;
&lt;!--- If suggesting change improvement, explain the difference from current behavior. --&gt;
Wolvic crashes due to surpassing the maximum of 16 swapchains
## Expected Behavior
&lt;!--- If you re describing bug, tell us what should happen. --&gt;
&lt;!--- If you re suggesting change improvement, tell us how it should work. --&gt;</t>
  </si>
  <si>
    <t>VinylMusicPlayer-VinylMusicPlayer-644</t>
  </si>
  <si>
    <t>upstream-contrib: Fix start service crash</t>
  </si>
  <si>
    <t>Upgrade tools fix crash Not allowed to start service Intent...
Cumulative changes from https: github.com vinyl2-team vinyl2 pull and https: github.com vinyl2-team vinyl2 pull</t>
  </si>
  <si>
    <t>Anuken-Mindustry-8221</t>
  </si>
  <si>
    <t>Unable to update Erekir Workshop maps, only upload new</t>
  </si>
  <si>
    <t>Steam Build 141.3
When in the game editor of map that you ve already uploaded to steam, clicking Update Item will result in an error of Error publishing item: FileNotFound
**Steps to reproduce**: *How you happened across the issue, and what exactly you did to make the bug happen.*
uploaded my Erekir map to the Steam Workshop. It worked perfectly. Then when made changes to the map and attempted to upload the changes from the editor, it attempts to update it, but fails with an error message. The only way can get it to work is to delete the map entirely and upload it new every time.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SCREENSHOT OF ISSUE
SCREENSHOTS OF OTHER PEOPLE HAVING SAME ISSUE:</t>
  </si>
  <si>
    <t>nextcloud-android-11292</t>
  </si>
  <si>
    <t>Crash when uploading file and share doesn't existe anymore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</si>
  <si>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Remove previously shared folder with another user
2. Use Android gallery and share one picture with nexcloud. When nextcloud IS launched, it shows latest shared folder. If this folder is not anymore shared, going black producer crash.
3. It was impossible to sync to new shared folder even If it was refreshed into nexcloud client.
4. All accounts have the same errors. It was impossible to use Android sharing from gallery.
5. Uninstalling and reconfiguring nextcloud account do not solve the problem.
### Expected behaviour
When sharing picture from gallery, and shared with nextcloud, client must refresh directory structure and allow to navigate through shared if previously shared folder doesn exist anymore, allow to go to to main file directory without crashing.
### Actual behaviour
Nextcloud crash when previously shared folder doesn exist anymore. Unable to go black to main folder home file.
### Android version
Android 10 11 12
### Device brand and model
Realme narzo 50a prime Poco M3 Xiaomi redmi
### Stock or custom OS?</t>
  </si>
  <si>
    <t>2023-01-25</t>
  </si>
  <si>
    <t>NordicSemiconductor-Android-DFU-Library-373</t>
  </si>
  <si>
    <t>context.startForegroundService(intent) from DfuServiceInitiator generates a runtime exception</t>
  </si>
  <si>
    <t>develop feature for legacy app written in Java:
Android compileSdkVersion 33
Android buildToolsVersion 33.0.0
Android minSdkVersion 23 Version code: Android 6.0 (Marshmallow)
Android targetSdkVersion 33 Version code: Tiramisu Android 13 (Tiramisu)
### DFU Bootloader version:
nRF5 SDK version: 17.1.0
Are you using bonding: no
DFU Library version: 2.3.0
### Device information:
Devices: Huawei Y5 2019 and Samsung Galaxy A13
OS: Android (Huawei) and Adroid 13 (Samsung)
### Your question
The app crashes when execute the following:
INT Build.VERSION CODES.O)
final DfuServiceInitiator starter new
The logs that get for the Huawei device is:
It doesn provide much information. Fortunately the Samsung device provides more information:
--------- beginning of crash
if (Build.VERSION.SDK INT Build.VERSION CODES.O &amp;&amp;</t>
  </si>
  <si>
    <t>AndroidIDEOfficial-AndroidIDE-759</t>
  </si>
  <si>
    <t>[Bug]:in Android 13 when i click open the app after installation it crashed</t>
  </si>
  <si>
    <t>### What happened?
Crash in Android 13
### What the expected behavior?
When try to click open the app it crashed
### What version of AndroidIDE you re using?
v2.2.0 (debug builds)
### Relevant log output
AndroidIDE crash report
SDK version: 33
### Duplicate issues
This issue has not been reported yet.
### Code of Conduct
agree to follow this project Code of Conduct</t>
  </si>
  <si>
    <t>2023-01-24</t>
  </si>
  <si>
    <t>Anuken-Mindustry-8218</t>
  </si>
  <si>
    <t>Toggling battery saver on Android closes Mindustry</t>
  </si>
  <si>
    <t>**Steps to reproduce**:
1. Open Mindustry
2. Turn on Battery Saver
**Link(s) to mod(s) used**: None
**(Crash) logs**: Does not produce crash log
**I have updated to the latest release (https: github.com Anuken Mindustry releases) to make sure my issue has not been fixed.**
**I have searched the closed and open issues to make sure that this problem has not already been reported.**</t>
  </si>
  <si>
    <t>Anuken-Mindustry-8217</t>
  </si>
  <si>
    <t>Map editor toolbar flickers when Discord Streaming is active</t>
  </si>
  <si>
    <t>**Steps to reproduce**: Open the map editor on Mindustry and screenshare the game on Discord
(it video of the issue)
**Link(s) to mod(s) used**: https: github.com sk7725 timecontrol https: github.com meepoffaith https: github.com sharlottes informatis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(i saw it happened before, but it was in build 127.1 so don think it the same problem at all)</t>
  </si>
  <si>
    <t>google-ExoPlayer-10942</t>
  </si>
  <si>
    <t>ServerSideAdInsertionMediaSource.SharedMediaPeriod sometimes crashes on seek.</t>
  </si>
  <si>
    <t>### ExoPlayer Version
### Devices that reproduce the issue
Probably any device. used Samsung Galaxy S10 (Android 12) and Google TV HD (Android 11) for development.
### Devices that do not reproduce the issue
### Reproducible in the demo app?
### Reproduction steps
have multi-period DASH asset which maps the ad periods using
1. start the stream
2. wait for the initial periods marked as ads to play
3. seek forward to hit the next ad break
The issue does not reproduce in 100% of cases, but hopping between start and position after mid-rolls will eventually crash the player.
### Expected result
The player doesn crash. The active ad before the seek target is playing and once complete the content playback continues from the target seek position.
### Actual result
The player crashes with:
playerFailed eventTime 132.00, mediaPos 0.00, window 0, period 3, adGroup 0, ad 0, errorCode ERROR CODE UNSPECIFIED
Caused by: length index
The fix might be as simple as adding the condition to the if statement in
MediaPeriodImpl, MediaLoadData) so that the operation doesn execute if the length is invalid. Though this might be only healing the symptoms.
if (streamIndex C.INDEX UNSET &amp;&amp; streamIndex)</t>
  </si>
  <si>
    <t>AndroidIDEOfficial-AndroidIDE-758</t>
  </si>
  <si>
    <t>Bug Editor</t>
  </si>
  <si>
    <t>### What happened?
Type in Editor and This bug type to Close bracket
### What the expected behavior?
Type in Editor and This bug type to Close bracket
### What version of AndroidIDE you re using?
v2.2.0 (debug builds)
### Relevant log output
AndroidIDE crash report
SDK version: 31
### Duplicate issues
This issue has not been reported yet.
### Code of Conduct
agree to follow this project Code of Conduct</t>
  </si>
  <si>
    <t>AndroidIDEOfficial-AndroidIDE-755</t>
  </si>
  <si>
    <t>App crashed when i clicked redo text in editor</t>
  </si>
  <si>
    <t>### What happened?
Application closed when clicked the undo function
### What the expected behavior?
Application restarted after error
### What version of AndroidIDE you re using?
### Relevant log output
### Duplicate issues
This issue has not been reported yet.
### Code of Conduct
agree to follow this project Code of Conduct</t>
  </si>
  <si>
    <t>material-components-material-components-android-3185</t>
  </si>
  <si>
    <t>[SearchBar] Binary XML file line #23 in com.example.myapplication:layout/fragment_first: Binary XML file line #23 in com.example.myapplication:layout/fragment_first: Error inflating class com.google.android.material.search.SearchBar</t>
  </si>
  <si>
    <t>trying to implement new SearchBar and getting error.
1) create new empty project in Electric Eel studio version.
2) add dependency:
3) in first fragment XML layout change views to presented in:
4) in FirstFragment class remove button click
5) run the app. After that it crashing.
What doing wrong? :(</t>
  </si>
  <si>
    <t>2023-01-23</t>
  </si>
  <si>
    <t>androidx-media-245</t>
  </si>
  <si>
    <t>`CastPlayer` produces `ForegroundServiceStartNotAllowedException` on media item transition</t>
  </si>
  <si>
    <t>### Media3 Version
### Devices that reproduce the issue
Various devices running android 12 and android 13
### Devices that do not reproduce the issue
### Reproducible in the demo app?
### Reproduction steps
Wasn able to reproduce it myself but still reporting this because it was mentioned in #111 that we should report it if it happens on Android 13. According to crashlytics this happens 100% in background. By the logs see various scenarios how this happens but most common one is when player is auto transitioning to next item.
Some additional info that might help indicate the problem:
We are releasing MediaController when user goes to background
On media item transition we are saving current item to DB, if it was listened before we are seeking to it last listened position and adjusting playWhenReady if user has turned off on autoplay. (But doubt this is causing any issues since crashes happen not only when item is transitioning)
onTaskRemoved we are doing stopSelf if true
We do not override but we are setting custom
can provide any additional info or logs if needed
### Expected result
Not getting and successfully continuing playback in background.
### Actual result
### Bug Report
You will email the zip file produced by adb bugreport to dev.exoplayer gmail.com after filing this issue.</t>
  </si>
  <si>
    <t>PojavLauncherTeam-PojavLauncher-3868</t>
  </si>
  <si>
    <t>[BUG] crashes immediately</t>
  </si>
  <si>
    <t>### Describe the bug
press play on any version and black screen appears for all of millisecond before everything crashes. This only started happening after updated the launcher on google play to the latest version.
### The log file and images videos
There were no logs.
### Steps To Reproduce
1. Open the latest version of pojavlauncer
2. Log in
3. Press play
4. Cry for bit
### Expected Behavior
Game should actually start up
Device model: Galaxy A12
Android version: Android 11
PojavLauncher version: latest
### Anything else?</t>
  </si>
  <si>
    <t>Finalshare90-kogaplanet-launcher-10</t>
  </si>
  <si>
    <t>Commenting inside of 3ml files</t>
  </si>
  <si>
    <t>Its not possible to comment inside of tags.
*the 3ml will assign the comment to the value required inside the tag, and crash the game with simple comment*
in other words, something that the interpreter is supposed to ignore, its not being ignored.</t>
  </si>
  <si>
    <t>2023-01-22</t>
  </si>
  <si>
    <t>Anuken-Mindustry-8208</t>
  </si>
  <si>
    <t>Units error</t>
  </si>
  <si>
    <t>Anuken-Mindustry-8207</t>
  </si>
  <si>
    <t>OpenSeizureDetector-Android_Pebble_SD-74</t>
  </si>
  <si>
    <t>Crash of V4.1.x if Google Play Services not available</t>
  </si>
  <si>
    <t>If Google Play Services is not available (I think!), then the TensorFlowLight interpreter will be null, which creates crash when we try to call method from it.
Temporary work around implemented in V4.1.4b (Commit 3477c9c) which just sets the seizure probability to zero.
We really need to implement better way of notifying the user that the CNN algorithm is not available though.</t>
  </si>
  <si>
    <t>OpenSeizureDetector-Android_Pebble_SD-73</t>
  </si>
  <si>
    <t>Crash on Kindle Fire when Alarm Generated</t>
  </si>
  <si>
    <t>The Kindle Fire generates crash report when it raises an alarm.
This has been traced to being an issue with bringing the MainActivity to the front.
Work around implemented in branch V4.1.x (commit 3477c9c) which just avoids trying to bring MainActivity to the front.
We could really do with fixing this properly though.</t>
  </si>
  <si>
    <t>VinylMusicPlayer-VinylMusicPlayer-638</t>
  </si>
  <si>
    <t>Crashes on Android 13, possibly linked to the use of widget</t>
  </si>
  <si>
    <t>**Describe the bug**
Just updated my Pixel to Android 13 and can open the app anymore because it crashes instantly. can start the music from android media controls though.
1. update to Android 13
2. open the app
Device: Google Pixel
Android Version: 13
Vinyl Music Player Version: 1.3.0</t>
  </si>
  <si>
    <t>Rapsssito-react-native-tcp-socket-167</t>
  </si>
  <si>
    <t>java.lang.IllegalArgumentException Tcp Sockets: No socket with id</t>
  </si>
  <si>
    <t>Sometimes when the connection gets interrupted while writing data the app will crash with No socket with id error. suspect that this might be due to the write method not catching the errors that is thrown by getTcpClient method.
## Steps to reproduce
Steps to reproduce the behavior:
1. Write on the socket while it simultaneously gets disconnected.
## Current behavior
App crashes with error
## Expected behavior
Connection can close but app should not crash.
## Relevant information</t>
  </si>
  <si>
    <t>PojavLauncherTeam-PojavLauncher-3867</t>
  </si>
  <si>
    <t>[BUG] login crash</t>
  </si>
  <si>
    <t>### Describe the bug
when login,pojav crash
### The log file and images videos
MSA Error: 404: Not Found, error stream:
path minecraft profile
error NOT FOUND
errorMessage Not Found
### Steps To Reproduce
2.login my microsoft account
### Expected Behavior
want to login
Device model: redmi 10
CPU architecture: helio g85
Android version: 12
PojavLauncher version: 3.3.1.1
### Anything else?</t>
  </si>
  <si>
    <t>microg-GmsCore-1872</t>
  </si>
  <si>
    <t>Webauthn with NFC/USB Security Key doesn't work</t>
  </si>
  <si>
    <t>### Describe the bug
ve got Nitrokey 3A NFC (https: shop.nitrokey.com shop product and Yubico Security Key NFC (https: www.yubico.com products security-key with **FIDO2 Webauthn** fucntionality.
Then tried webauthn.io (webauthn.io) and couldn **register authenticate** my key either with USB or NFC on any browser (Bromite, Chromium, Brave, Firefox).
Then noticed when downloaded the ** (https: play.google.com store apps details?id that some pats work, some don via different methods.
**FIDO2 WEBAUTHN** with PIN somehow works via USB Register and Authenticate
**FIDO2 WEBAUTHN** with PIN via NFC Register works but Authenticate times out
Both USB and NFC don work with option Force U2F the app crashes
**U2F** works via both methods (NFC and USB) Register and Authenticate
**Webauthn** on https: (https: via USB Register works Authenticate doesn error message appears Internal error: Error when parsing CBOR. (code 0x12)
**Webauthn** on https: (https: via NFC doesn Register or Authenticate
### To Reproduce
Steps to reproduce the behavior:
1. Open browser, any will do (tested on Brave, Chromium, Bromite, FIDO Browser and Firefox)
2. Go to webauthn.io (webauthn.io) and try to register username (make some username up)
3. Pop up will appear asking you which method you prefer, select NFC or USB
4. Put security key to the NFC spot (it starts to vibrate with sound que) or insert your security key to the USB port
5. If you chose USB, after insertion pop up appears, let the security key access the USB port
6. When Registering Authenticating you should be asked to TAP the device, but it probably won light up the LED like it should
7. Wait with the till it times out
### Expected behavior</t>
  </si>
  <si>
    <t>2023-01-21</t>
  </si>
  <si>
    <t>square-retrofit-3804</t>
  </si>
  <si>
    <t>UndeclaredThrowableException when using single instance of Retrofit with non-IOException in custom CallAdapter</t>
  </si>
  <si>
    <t>Retrofit crashes with when single instance of Retrofit is used with custom adapter which returns non- IOException
Simple code to reproduce. The code inside while loop will eventually fail.
private val service by lazy
val retrofit Retrofit.Builder()
println( KOKO $e
GET( search repositories
suspend fun searchRepos()
sealed class val cause: Throwable? null): Throwable(cause)
data class val cause: Throwable? null):
In custom adapter, instead of returning IOException return non- IOException in onFailure method.
override fun get(
if (typeCall Call::class.java)
val responseType returnType as ParameterizedType)
private val responseType: Type,
private val responseTypeClass: Class&lt;T&gt;
override fun responseType(): Type responseType
private fun Class&lt;T&gt; responseTypeClass
override fun adapt(call: Call&lt;T&gt;): BodyCall&lt;T&gt; BodyCall(call,
private val delegate: Call&lt;T&gt;,
private val responseClass: Class&lt;T&gt;</t>
  </si>
  <si>
    <t>Anuken-Mindustry-8200</t>
  </si>
  <si>
    <t>Multi items Surge Router lock/stuck</t>
  </si>
  <si>
    <t>Surge Router lock (https: 2516773
**Steps to reproduce**:
1. add Surge Conveyor line with at least items types input in it (i had in my case)
2. add Surge Router with Surge Conveyor output an nothing in the output.
If an odd number of stack of one kind of item going through the Surge Router, then stack of another item come, it stuck.
There are half stacks on each output waiting to be completed, but the input items are not the same, so it never completes.
Behavior fix suggested Instead of dividing stack in individual item to send them in each output, it should act like Reinforced Payload Router show well alternate the destination of the stack and not of individual item. If there is hybrid output (some Surge and some not), it should act like if there was on surge Conveyor before the no-Surge output, so the stack go on the router output and only then is divided, but other output aren lock.
Actual Workaround Not using Surge Router, instead use Reinforced Container or Vault, as router with as many filtering Duct Unloaders as needed, outputting on Surge Conveyor. This way can filter, load balance, and having big bandwidth (Duct Unloader number 15)
**Link(s) to mod(s) used**: *no mod used*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There are other issue about Surge Router, but not about the same bug misbehavior. #7223 is the nearest</t>
  </si>
  <si>
    <t>2023-01-20</t>
  </si>
  <si>
    <t>itsdrnoob-DataMonitor-122</t>
  </si>
  <si>
    <t>Crash: IndexOutOfBoundsException</t>
  </si>
  <si>
    <t>----------Start of crash----------
Build type: release
Version code: 13
Thread name: main
Thread stacktrace: Method),
Crash message: setSpan (-1 ... 4) starts before
Device Manufacturer: INFINIX MOBILITY LIMITED
Device Brand: Infinix
Device Model: Infinix X612B
Device Codename: X612B-GL
Android version: 10, 29</t>
  </si>
  <si>
    <t>2023-01-19</t>
  </si>
  <si>
    <t>Rapsssito-react-native-tcp-socket-165</t>
  </si>
  <si>
    <t>[ios]App crash when a error occurs during server connection</t>
  </si>
  <si>
    <t>found my App will crash when error occurs during server connection. immediately looked up our crash report:
&lt;img width 797 alt image src https: 111419070
&lt;img width 527 alt image src https: 111419070
maybe socket localPort or socket connectedPort is nil when onConnect callback function is called.
## Relevant information</t>
  </si>
  <si>
    <t>2023-01-18</t>
  </si>
  <si>
    <t>Anuken-Mindustry-8194</t>
  </si>
  <si>
    <t>Modding AttributeCrafter ignores itemCapacity</t>
  </si>
  <si>
    <t>**Steps to reproduce**: add block of AttributeCrafter type and wait for it to craft stuff
**Link(s) to mod(s) used**: Aeyama: The New World (https: github.com FredyJabe aeyama)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</si>
  <si>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PojavLauncherTeam-PojavLauncher-3856</t>
  </si>
  <si>
    <t>crashes on launching game code -1</t>
  </si>
  <si>
    <t>### Describe the bug
when ever try to launch the game 1.19.2 forge 43.2.3 it crashes with mods it also wont work without mods
logs and screenshot attached
### The log file and images videos
### Steps To Reproduce
start the app
startes to load(black screen)
### Expected Behavior
to rund modded minecraft
Device model: ROG phone
CPU architecture: ARM Cortex-X2
Android version: android 13
PojavLauncher version: openjdk
### Anything else?</t>
  </si>
  <si>
    <t>LawnchairLauncher-lawnchair-3258</t>
  </si>
  <si>
    <t>[BUG] java.lang.NullPointerException: Attempt to invoke virtual method 'android.content.Context android.view.ViewGroup.getContext()' on a null object reference</t>
  </si>
  <si>
    <t>### Describe the bug
shortcut encounter crash
### Steps to reproduce
Steps to reproduce the behavior:
1. Go to ...
2. Click on ....
3. Scroll down to ....
4. See error
### Expected behavior
Should not crash for Shortcut, seem like the ViewGroup return null
&lt;img width 1209 alt Screenshot 2023-01-18 at 49 38 PM src https: 111726325
### Device information
Device: Readme RE549C
OS: Android 11, SDK 30
App version: 12.1.0 Alpha
### Additional context</t>
  </si>
  <si>
    <t>Igalia-wolvic-430</t>
  </si>
  <si>
    <t>Crash when downloading blob: URIs</t>
  </si>
  <si>
    <t>We recently added support to download blob: URIs. However the patch that landed has bug that makes Wolvic crash when we notify the download manager about the downloaded URI.
This is the crash:</t>
  </si>
  <si>
    <t>2023-01-17</t>
  </si>
  <si>
    <t>krisisurf-Hyperlapse-Robot-69</t>
  </si>
  <si>
    <t>Connection loading screen bug</t>
  </si>
  <si>
    <t>When you try to apply the connection configuration after the connection is tested, the program crashes.</t>
  </si>
  <si>
    <t>dariuszseweryn-RxAndroidBle-818</t>
  </si>
  <si>
    <t>ERROR: com.polidea.rxandroidble.internal.operations.ScanOperation.protectedRun</t>
  </si>
  <si>
    <t>Getting the following crash for Android 12 and above when trying to scan for Bluetooth devices in Flutter.
Exception Fatal Exception thrown on Scheduler.Worker thread.
Caused by k.n.e: Error occurred when trying to propagate error to Observer.onError
Caused by k.n.a: exceptions occurred.
Caused by k.n.a$a: Chain of Causes for CompositeException In Order Received
Caused by c.f.c.k0.n:</t>
  </si>
  <si>
    <t>Anuken-Mindustry-8188</t>
  </si>
  <si>
    <t>Ground Zero impossible</t>
  </si>
  <si>
    <t>**Steps to reproduce**: Launch to Ground Zero. That is it. No map objectives appear, rendering advancement impossible.
**Link(s) to mod(s) used**: Scheme Size, Time Control, Extended UI v7. Tested without, too.
**Save file**: (https: github.com Anuken Mindustry files 10430010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</si>
  <si>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2023-01-16</t>
  </si>
  <si>
    <t>jMonkeyEngine-jmonkeyengine-1919</t>
  </si>
  <si>
    <t>MikktspaceTangentGenerator should ignore meshes without triangles</t>
  </si>
  <si>
    <t>The experimental tangent generator in jme3-core assumes that all meshes are composed of triangles. If you feed it mesh whose mode is Mesh.Mode.Points or Mesh.Mode.Lines it will usually crash with
mesh composed entirely of lines or points doesn need tangents. Since processes models containing multiple geometries, it should quietly skip any geometries without triangles.</t>
  </si>
  <si>
    <t>itsdrnoob-DataMonitor-120</t>
  </si>
  <si>
    <t>Crash: NumberFormatException</t>
  </si>
  <si>
    <t>----------Start of crash----------
Build type: release
Version code: 13
Thread name: Timer-0
Thread stacktrace: Method),
Crash message: For input string:
Device Manufacturer: INFINIX MOBILITY LIMITED
Device Brand: Infinix
Device Model: Infinix X650C
Device Codename: H626
Android version: 9, 28</t>
  </si>
  <si>
    <t>TeamNewPipe-NewPipe-9692</t>
  </si>
  <si>
    <t>[Nightly] Crash on Importing Database</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</si>
  <si>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0.24.2 (nightly 30)
### Steps to reproduce the bug
1. Export db in NewPipe 0.24.1
2. Open NewPipe nightly and open video the video detail fragment
3. minimize player and Import db in current nightly
### Expected behavior
### Actual behavior
NewPipe finished the import and crashes afterwards.</t>
  </si>
  <si>
    <t>AndroidIDEOfficial-AndroidIDE-747</t>
  </si>
  <si>
    <t>[Bug]: App Crashes when closing a file</t>
  </si>
  <si>
    <t>### What happened?
The title described it all.
### What the expected behavior?
App crashes when closing file.
### What version of AndroidIDE you re using?
v2.2.0 (debug builds)
### Relevant log output
### Duplicate issues
This issue has not been reported yet.
### Code of Conduct
agree to follow this project Code of Conduct</t>
  </si>
  <si>
    <t>2023-01-15</t>
  </si>
  <si>
    <t>jMonkeyEngine-jmonkeyengine-1917</t>
  </si>
  <si>
    <t>RendererException in ScreenshotAppState: Attempting to upload empty buffer (remaining = 0)</t>
  </si>
  <si>
    <t>Taking one screenshot works but the second time it crashes the app with:
The code to reproduce the error:
public class ScreenshotDemo extends SimpleApplication
public static void main(String args)
super(new test- ))
public void simpleInitApp()
ScreenShot new F12))</t>
  </si>
  <si>
    <t>PojavLauncherTeam-PojavLauncher-3852</t>
  </si>
  <si>
    <t>My pojav keeps crashing on a specific server[BUG] &lt;Short description&gt;</t>
  </si>
  <si>
    <t>### Describe the bug
every time log in my friends server the log always says the begining of crash
### The log file and images videos
### Steps To Reproduce
1. Load modded server or somethin
2. Watch as the log file is insanely confusing
### Expected Behavior
expected it to work just fine and not show black void
Device model: CPH1853
CPU architecture: 8x ARM Cortex-A53 1.80
Android version: 8.1.0
PojavLauncher version: Version openjdk
### Anything else?
If you can fix this will be very gratefull!!</t>
  </si>
  <si>
    <t>AndroidIDEOfficial-AndroidIDE-746</t>
  </si>
  <si>
    <t>[Bug]: Closing when using the code editor</t>
  </si>
  <si>
    <t>### What happened?
just gave space and the app crashed.
Ps. also wanted to say that the application many times when the code is being written and gives errors, in Java the autocompletion is lost, it did not happen in versions that had tried before, pity because in addition to compiling its autocompletion is important.
### What the expected behavior?
expected the app not to close
### What version of AndroidIDE you re using?
v2.2.0 (debug builds)
### Relevant log output
AndroidIDE crash report
SDK version: 31
### Duplicate issues
This issue has not been reported yet.
### Code of Conduct
agree to follow this project Code of Conduct</t>
  </si>
  <si>
    <t>jellyfin-jellyfin-androidtv-2421</t>
  </si>
  <si>
    <t>Crash with NullPointerException direct playing video</t>
  </si>
  <si>
    <t>### Describe the bug
number of web videos that downloaded using yt-dlp crashes the Jellyfin Android TV app on playback. The first second or so of audio will continue playing while the Jellyfin has crashed toast appears and Jellyfin shuts down.
--------- beginning of crash
### App information
***App version***: 0.15.2 150299
### Device information
***Android version***: 12
***Device brand***: google
***Device product***: sabrina prod stable
***Device model***: Chromecast
### Crash information
### FFmpeg logs
### Media info of the file
Input #0, mpegts, from ....mp4
service name HLS
Stream #0:0 0x100 Video: h264 (High) 27 0x001B), yuv420p(tv, bt709, progressive), 1920x1080, 23.98 fps, 23.98 tbr, 90k tbn, 48k tbc
Stream #0:1 0x101 Audio: aac (LC) 15 0x000F), 48000 Hz, stereo, fltp, 255 kb
### Application version
### Device information
Google Chromecast with Google TV</t>
  </si>
  <si>
    <t>Aliucord-Aliucord-295</t>
  </si>
  <si>
    <t>When I open the app then it's crashed.</t>
  </si>
  <si>
    <t>### Discord Account
### What happens when the bug or crash occurs?
When open the app then it shown Aliucord isn responding.
### What is the expected behaviour?
This so bad thing.
Please quickly fix this thing, it freaking me.
### How do you recreate this bug or crash?
This no main question.
### Request Agreement
did indeed check to make sure the bug or crash report is applicable!</t>
  </si>
  <si>
    <t>Anuken-Mindustry-8180</t>
  </si>
  <si>
    <t>Main menu gpu leak(?)</t>
  </si>
  <si>
    <t>Replication (Dont know if its replicatible or off): Leave the game on the main menu for an extended period of time.
No save, main menu
No crash, no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</si>
  <si>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2023-01-14</t>
  </si>
  <si>
    <t>jellyfin-jellyfin-androidtv-2418</t>
  </si>
  <si>
    <t>(four) 0.15.1 crashes</t>
  </si>
  <si>
    <t>### Describe the bug
This hang behaviour (https: github.com jellyfin jellyfin-androidtv issues 2189) seems more consistent in 0.15.x than 0.14.x. And it manifesting more often. The most recent logs indicate sockets are to blame.
Caused by: Socket timeout has expired url http: 192.168.19.2:8096 Users Items socket timeout 10000 ms
Caused by: timeout
Caused by: Socket closed
... 20 more
### App information
***App version***: 0.15.1 150199
### Device information
***Android version***: 10
***Device brand***: Sony
***Device product***: BRAVIA VH2 EU
***Device model***: BRAVIA 4K VH2
### Crash information
Caused by: Socket timeout has expired url http: 192.168.19.2:8096 Users Items socket timeout 10000 ms
Caused by: timeout
Caused by: Socket closed
... 20 more
### App information
***App version***: 0.15.1 150199</t>
  </si>
  <si>
    <t>cgeo-cgeo-13863</t>
  </si>
  <si>
    <t>crash when recalculating route</t>
  </si>
  <si>
    <t>### Describe your problem!
On one Test-AVD got this crash when changing routing parameter:
### How to reproduce?
had before tested some routing things, but in this situation the routing symbol was not active.
In the log is to read:
Opend Quick settings
Routing: Changed to no routing
### Actual result after these steps?
### Expected result after these steps?
Catch this problem.
### c:geo Version
dev build from current master
### System information
### Additional Information
## System information
Device type: sdk gphone x86 64 arm64 (sdk gphone x86 64 arm64, google)
Android version: 11
Android build: sdk gphone x86 64 arm64-userdebug 11 RSR1.210722.013 7800151 dev-keys
Screen resolution: 1080x2072px (392x750dp)
Pixel density: 2.75</t>
  </si>
  <si>
    <t>Anuken-Mindustry-8178</t>
  </si>
  <si>
    <t>Serpulo and Erekir broken maps</t>
  </si>
  <si>
    <t>**Steps to reproduce**: run 141 load the world and black borders. Updated to 141.2 does not fix black borders.
**Link(s) to mod(s) used**: No mods. Vanilla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</si>
  <si>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androidx-media-241</t>
  </si>
  <si>
    <t>`IndexOutOfBoundsException`  is occasionally raised in `MediaControllerImplLegacy.initializeLegacyPlaylist()`</t>
  </si>
  <si>
    <t>### Media3 Version
### Devices that reproduce the issue
from Crashlytics error reports:
OPPO Reno7 5G running Android 13
Galaxy A13 running Android 12
moto g(9) power running Android 11
Redmi Note 8T running Android 10
moto e6 play running Android
### Devices that do not reproduce the issue
think this issue is not device-specific.
### Reproducible in the demo app?
### Reproduction steps
Sorry, have not been able to reproduce it myself. can see crash reports on the Crashlytics dashboard for this issue.
1. Create MediaController that is connected to the **other** app like YouTube, Spotify, etc...
3. Sometimes it gets
### Expected result
The should not raise an
### Actual result
Gets on sometimes.
Caused by index (0) must be less than size (0)</t>
  </si>
  <si>
    <t>nextcloud-android-11252</t>
  </si>
  <si>
    <t>Offline file creation crash next loud app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</si>
  <si>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0. Be offline (airplane mode)
1. Open next loud app
2. Create new file (+ icon create new document)
3. Get the crash with following stack trace
### Cause of error
### App information
Build flavor: gplay
### Device information
Model: ONEPLUS A5000
### Expected behaviour
Be able to create text file offline
Be able to edit new document with rich text decoration offline.
### Actual behaviour
The offline creation is impossible.</t>
  </si>
  <si>
    <t>Anuken-Mindustry-8173</t>
  </si>
  <si>
    <t>Erekir campaign completely unplayable (Lake, Aegis, Stronghold, Marsh, Origin, and Siege are all broken)</t>
  </si>
  <si>
    <t>**Steps to reproduce**: Launching to any of the issue titles listed sectors.
**Link(s) to mod(s) used**: Scheme Size, Time Control (Both available in mod browser. Also tested without.)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</si>
  <si>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2023-01-13</t>
  </si>
  <si>
    <t>AndroidIDEOfficial-AndroidIDE-744</t>
  </si>
  <si>
    <t>Please fix bug</t>
  </si>
  <si>
    <t>### What happened?
AndroidIDE crash report
SDK version: 31
### What the expected behavior?
AndroidIDE crash report
SDK version: 31
### What version of AndroidIDE you re using?
v2.2.0 (debug builds)
### Relevant log output
AndroidIDE crash report
SDK version: 31
### Duplicate issues
This issue has not been reported yet.
### Code of Conduct
agree to follow this project Code of Conduct</t>
  </si>
  <si>
    <t>jMonkeyEngine-jmonkeyengine-1908</t>
  </si>
  <si>
    <t>missing LWJGL v2 natives</t>
  </si>
  <si>
    <t>(This is technically an issue with the lwjgl2 repo, but since it affects JMonkeyEngine v3.6, think we should track it here.)
Recent master builds of jme3-lwjgl reference the LWJGL v2.9.4 release, which works great for Linux but is missing natives for Windows. The resulting crash looks like this:
Git Hash: b0e6ce7
Build Date: 2023-01-12
Exception in thread jME3 Main no lwjgl64 in java.library.path: C: Program Files Eclipse Adoptium bin C: WINDOWS Sun Java bin C: WINDOWS system32 C: WINDOWS C: Program Files Eclipse Adoptium bin C: Program Files (x86) Common Files Oracle Java javapath C: windows system32 C: windows C: windows System32 Wbem C: windows System32 WindowsPowerShell v1.0 C: windows System32 OpenSSH C: Program Files (x86) NVIDIA Corporation PhysX Common C: Program Files NVIDIA Corporation NVIDIA NvDLISR C: ProgramData chocolatey bin C: ProgramData nvm C: Program Files nodejs C: Program Files nodejs C: WINDOWS system32 C: WINDOWS C: WINDOWS System32 Wbem C: WINDOWS System32 WindowsPowerShell v1.0 C: WINDOWS System32 OpenSSH C: Users sgold AppData Local Microsoft WindowsApps C: Users sgold AppData Roaming npm</t>
  </si>
  <si>
    <t>Anuken-Mindustry-8168</t>
  </si>
  <si>
    <t>Electric Heater Info Text?</t>
  </si>
  <si>
    <t>**Steps to reproduce**: Play on Erekir, unlock Electric Heater, and click on the to view the info panel.
**Link(s) to mod(s) used**: No mods used.
**Save file**: bugreport mindustrysave electric heater text error.zip (https: github.com Anuken Mindustry files 10406240 bugreport mindustrysave electric heater text error.zip)
**(Crash) logs**: did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</si>
  <si>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2023-01-12</t>
  </si>
  <si>
    <t>Anuken-Mindustry-8166</t>
  </si>
  <si>
    <t>Wrong many text colors</t>
  </si>
  <si>
    <t>**Steps to reproduce**: Join any multiplayer server.
tried restart game but still wrong colors.
**Link(s) to mod(s) used**: No mods.
**(Crash) logs**: No crash bug.
It orignal colors.
*Place an (no spaces) between the brackets to confirm that you have read the line below.*
**I have updated to the latest release (https: github.com Anuken Mindustry releases) to make sure my issue has not been fixed.**
** have searched the closed and open issues to make sure that this problem has not already been reported. **</t>
  </si>
  <si>
    <t>Anuken-Mindustry-8164</t>
  </si>
  <si>
    <t>Cannot complete sector lake on erekir due to map bug</t>
  </si>
  <si>
    <t>**Steps to reproduce**: Launched lake from the campaign menu, after unlocking tech upgrades from the tech screen prior to launching lake. Not sure if reproducible but added save file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No crash encountered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</si>
  <si>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Anuken-Mindustry-8162</t>
  </si>
  <si>
    <t>Game crash when multiplayer server joined</t>
  </si>
  <si>
    <t>**Steps to reproduce**: Join server and wait minute.
**Link(s) to mod(s) used**: No mods.
Mindustry has crashed. How unfortunate.
Report this at https: github.com Anuken Mindustry issues new?labels bug&amp;template bug report.md
Runtime Available Memory: 16368mb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</si>
  <si>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Anuken-Mindustry-8161</t>
  </si>
  <si>
    <t>Game crash when enter multiplayer server list</t>
  </si>
  <si>
    <t>**Steps to reproduce**: Turn on game -&gt; Join game -&gt; crash
**Link(s) to mod(s) used**: No mods.
Mindustry has crashed. How unfortunate.
Report this at https: github.com Anuken Mindustry issues new?labels bug&amp;template bug report.md
Runtime Available Memory: 16368mb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</si>
  <si>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PojavLauncherTeam-PojavLauncher-3844</t>
  </si>
  <si>
    <t>[BUG] Visual Item and Settings problems</t>
  </si>
  <si>
    <t>### Describe the bug
Unable to scroll by clicking certain areas of the bar in settings and the inventory, clicking on an item in the inventory doesn work properly, will not move with cursor. It acts like the cursor isn there, as nothing shows up when hovering over items or buttons in the gui. This is all in the latest GPlay release.
### The log file and images videos
No crash happens
### Steps To Reproduce
Start Pojavlauncher, then load world and play.
### Expected Behavior
You should be able to click on the bars and items and see movement.
Device model: HP Chromebook 11a na-0010nr
CPU architecture: MediaTek MT8183
PojavLauncher version: Latest GPlay
### Anything else?</t>
  </si>
  <si>
    <t>jellyfin-jellyfin-androidtv-2409</t>
  </si>
  <si>
    <t>Crashes when marking season watched</t>
  </si>
  <si>
    <t>### Describe the bug
1. Go to TV show season
2. Mark as watched
4. Go back in, and it looks like it did mark as watched even though it crashed.
### Application version
### Where did you install the app from?
### Device information
Nvidia shield 2017
### Android version
### Jellyfin server version</t>
  </si>
  <si>
    <t>Anuken-Mindustry-8153</t>
  </si>
  <si>
    <t>UnitRadar always return @unit</t>
  </si>
  <si>
    <t>**Steps to reproduce**:
**Link(s) to mod(s) used**: None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</si>
  <si>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2023-01-11</t>
  </si>
  <si>
    <t>PojavLauncherTeam-PojavLauncher-3839</t>
  </si>
  <si>
    <t>[BUG] Crash On Every Version and While Installing Optfine.Jar</t>
  </si>
  <si>
    <t>### Describe the bug
just downloaded pojavlauncher, changed some settings, installed 1.16.5 then tried to open the game it crashed and showed this message
tried to install optfine selected optfine.jar and the same happened.
### The log file and images videos
### Steps To Reproduce
1. Start Pojav launcher
2. Select any version
3. Launch it
4. Game Crashes
### Expected Behavior
expected game to launch and show MOJANG screen
Device model: Samsung Galaxy J7 NXT (7 years old)
CPU architecture: armv8l
PojavLauncher version: Latest (Playstore)
### Anything else?</t>
  </si>
  <si>
    <t>Igalia-wolvic-408</t>
  </si>
  <si>
    <t>Some types of &lt;input&gt; cause a crash</t>
  </si>
  <si>
    <t>## Steps to Reproduce
1. Visit the test page at https: people.igalia.com femorandeira input
2. Click on the different &lt;input&gt; elements under Input fields
## Expected Behavior
The user is able to enter value via custom UI element or, if that is not available, simple text field.
## Current Behavior
Clicking on the following elements causes crash:
&lt;input type color
&lt;input type date
&lt;input type datetime-local
&lt;input type month
&lt;input type time
&lt;input type week
Calls to Navigator.share() (https: en-US docs Web API Navigator share) also cause crash.</t>
  </si>
  <si>
    <t>TeamNewPipe-NewPipe-9653</t>
  </si>
  <si>
    <t>Ask for permission when enqueuing in a popup</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</si>
  <si>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Asks for permission when long clicking Popup to enqueue in popup on channels and playlists.
Prevents crash when there are no videos already in the queue.
#### Before After Screenshots Screen Record
&lt;!-- If your PR changes the app UI in any way, please include screenshots or video showing exactly what changed, so that developers and users can pinpoint it easily. Delete this if it doesn apply to your PR.--&gt;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</si>
  <si>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2023-01-10</t>
  </si>
  <si>
    <t>osmandapp-osmand-api-demo-60</t>
  </si>
  <si>
    <t>App crash: on navigation</t>
  </si>
  <si>
    <t>Root access: No
The OsmAnd-map-sample app crashes in full map activity on starting navigation for the desired destination.</t>
  </si>
  <si>
    <t>LawnchairLauncher-lawnchair-3238</t>
  </si>
  <si>
    <t>[BUG] OutOfMemory error</t>
  </si>
  <si>
    <t>### Describe the bug
was switching to the home screen and lawnchair crashed. That it. That the bug.
### Steps to reproduce
mean like. Go to the home screen? don know.
### Expected behavior
...to see the home screen.
### Device information
Lawnchair bug report Jan 9, 2023 9:05:15 PM
### Additional context
have crash report and the team seems to know their way around, so just gonna put this here. me if there any more questions.</t>
  </si>
  <si>
    <t>nextcloud-android-11240</t>
  </si>
  <si>
    <t>App crash when entering first letter of new spreadsheet name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</si>
  <si>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Server configured with onlyoffice for handling office documents. Nextcloud android app v3.23.1 running on Android 10.
2. On the app in one of the folders hit the button to show the create new document folder menu. Select add spreadsheet
3. dialog opens asking for the name of the new .ods document. When entering the first letter of the name the app hardcrashes going straight to the following log
### Expected behaviour
Let me enter the name and then create and open said document.
### Actual behaviour
Cfr steps to reproduce
Note that opening document that already exists works without problem.
### Android version
### Device brand and model
Xiaomi 9T pro
### Stock or custom OS?
### Nextcloud android app version
### Nextcloud server version</t>
  </si>
  <si>
    <t>2023-01-09</t>
  </si>
  <si>
    <t>nextcloud-android-11239</t>
  </si>
  <si>
    <t>crash report from app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</si>
  <si>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 Cause of error
Exception in thread Thread-14 Failed to allocate 24 byte allocation with 1897472 free bytes and 1853KB until OOM, target footprint 268435456, growth limit 268435456 giving up on allocation because &lt;1% of heap free after GC.
### App information
Build flavor: versionDev
### Device information
### Expected behaviour
### Actual behaviour
### Android version
### Device brand and model
### Stock or custom OS?
Custom (explain in additional information
### Nextcloud android app version
### Nextcloud server version
### Using reverse proxy?</t>
  </si>
  <si>
    <t>jellyfin-jellyfin-androidtv-2396</t>
  </si>
  <si>
    <t>Fails to play TrueHD audio media</t>
  </si>
  <si>
    <t>### Describe the bug
When attempting to play and media with TrueHD audio tracks on the 0.15.1 client on Nvidia Shield Pro it fails to play the media and falls back to the previous screen after multiple retries.
This was not an issue prior to the 0.15.1 update.
Verified the files can be played on any other client, including web and direct file access.
Verified every media file with TrueHD audio tracks fails to play on the Nvidia Shield Pro with the 0.15.1 version of the app.
Since the app never actually crashes, it does not appear any app logs were uploaded to the server. The app just gracefully falls back to the previous screen.
### FFmpeg logs
videos hls1 main 0.ts
ffmpeg version 5.1.2-Jellyfin Copyright (c) 2000-2022 the FFmpeg developers
built with gcc 10 (Debian 10.2.1-6)
libavutil 57. 28.100 57. 28.100
libavcodec 59. 37.100 59. 37.100
libavformat 59. 27.100 59. 27.100
libavdevice 59. 7.100 59. 7.100
libavfilter 8. 44.100 8. 44.100
libswscale 6. 7.100 6. 7.100
libswresample 4. 7.100 4. 7.100
libpostproc 56. 6.100 56. 6.100
matroska,webm 0x55745de99980 Could not find codec parameters for stream (Subtitle: hdmv pgs subtitle (pgssub)): unspecified size
matroska,webm 0x55745de99980 Could not find codec parameters for stream (Subtitle: hdmv pgs subtitle (pgssub)): unspecified size</t>
  </si>
  <si>
    <t>MuntashirAkon-AppManager-970</t>
  </si>
  <si>
    <t>Vanadium Browser crashes AppManager</t>
  </si>
  <si>
    <t>On Graphene OS using Vanadium browser which is System app by default.
Caused by: Attempt to invoke virtual method boolean on null object reference
App version: 3.0.4
App version code: 416
Android build version: 2022122900
Android release version: 12
Android SDK version: 32
Android build ID:
Device brand: google
Device manufacturer: Google
Device name: blueline
Device model: Pixel
Device product name: blueline
Device hardware name: blueline
ABIs (32bit): armeabi-v7a, armeabi
ABIs (64bit): arm64-v8a
System language: en-US
In-App Language: auto
Inferred Mode: no root
### Android Crash Report</t>
  </si>
  <si>
    <t>PojavLauncherTeam-PojavLauncher-3829</t>
  </si>
  <si>
    <t>[BUG] [RENDERER] Virglrenderer crashing</t>
  </si>
  <si>
    <t>### Describe the bug
when do virgl renderer it crashes, but theres no option for opengl 3.0 for shaders my tablet dosnt support opengl 3.0+ so can you bring back the opengl 3.0 renderer or fix the problem of virgl compatibility
### The log file and images videos
cant upload it said
somthing whet really wrong
### Steps To Reproduce
1. start pojav
2. do virgl
3. lunch any version of minceraft
### Expected Behavior
GET TO PLAY SHADER
Device model: galaxy tab
CPU architecture: arm8vl or something
Android version: 11
PojavLauncher version: goooooooooooogle play
### Anything else?</t>
  </si>
  <si>
    <t>2023-01-08</t>
  </si>
  <si>
    <t>Anuken-Mindustry-8131</t>
  </si>
  <si>
    <t>Objective Screen Crash</t>
  </si>
  <si>
    <t>**Steps to reproduce**: Open the objective menu.
**Link(s) to mod(s) used**: None are used.
**Save file**: Figured both were necessary in this situation since not sure what kind of issue it may be.
**(Crash) logs**: didn get any the first time, but the second time got them. The crash message pops up instantly right when the game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</si>
  <si>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jellyfin-jellyfin-androidtv-2393</t>
  </si>
  <si>
    <t xml:space="preserve">Jellyfin crashes when loading </t>
  </si>
  <si>
    <t>### Describe the bug
1. Open Jellyfin
2. Top navigation loads then crashes
Caused by: Socket timeout has expired url http: 216.158.67.18:8097 Users Views?includeHidden false, socket timeout 10000 ms
Caused by: timeout
Caused by: Socket closed
... 20 more
### App information
***App version***: 0.15.0 150099
### Device information
***Android version***: 11
***Device brand***: Xiaomi
***Device product***: soul
***Device model***: MiTV-AYFR0
### Crash information
### Application version
### Where did you install the app from?
### Device information
Xiaomi Mi TV Stick 4K Ultra HD Streaming Device
### Android version</t>
  </si>
  <si>
    <t>jellyfin-jellyfin-androidtv-2389</t>
  </si>
  <si>
    <t>Player crashes with external subtitles</t>
  </si>
  <si>
    <t>### Describe the bug
1. Play random video with external subtitles (Chinese in my case).
2. Keep saying playback error occurred. Please try again.
Then it crashes after few repetitions.
Too many errors occurred. give up
If use built-in subtitles or no subtitles, it just fine.
### FFmpeg logs
videos hls1 main 0.ts
ffmpeg version 4.4.3-47 Copyright (c) 2000-2022 the FFmpeg developers
built with gcc 7.5.0 (GCC)
libavutil 56. 70.100 56. 70.100
libavcodec 58.134.100 58.134.100
libavformat 58. 76.100 58. 76.100
libavdevice 58. 13.100 58. 13.100
libavfilter 7.110.100 7.110.100
libavresample 4. 0. 4. 0.
libswscale 5. 9.100 5. 9.100
libswresample 3. 9.100 3. 9.100
libpostproc 55. 9.100 55. 9.100
major brand isom</t>
  </si>
  <si>
    <t>2023-01-07</t>
  </si>
  <si>
    <t>AndroidIDEOfficial-AndroidIDE-731</t>
  </si>
  <si>
    <t xml:space="preserve">IndexOutOfBoundsException in TextLayoutHelper.getCurPosLeft </t>
  </si>
  <si>
    <t>### What happened?
### What the expected behavior?
### What version of AndroidIDE you re using?
### Relevant log output
AndroidIDE crash report
SDK version: 30
### Duplicate issues
This issue has not been reported yet.
### Code of Conduct
agree to follow this project Code of Conduct</t>
  </si>
  <si>
    <t>patzly-grocy-android-624</t>
  </si>
  <si>
    <t>Crash: Add product to recipe</t>
  </si>
  <si>
    <t>With the latest nightly get immediatly crash when add product to recipe.
The log keeps empty.</t>
  </si>
  <si>
    <t>2023-01-06</t>
  </si>
  <si>
    <t>AndroidIDEOfficial-AndroidIDE-725</t>
  </si>
  <si>
    <t>[Bug]:  Unexpected closing of the app in version 2.1.4-beta (214)</t>
  </si>
  <si>
    <t>### What happened?
When changing from dark theme to light theme the app was closed..
Ps. Please update the Android IDE version on Github when opening report, it only shows version 2.1.3 debug builds
### What the expected behavior?
Change the subject without suffering shutdown
### What version of AndroidIDE you re using?
v2.1.3 (debug builds)
### Relevant log output
AndroidIDE crash report
SDK version: 31
### Duplicate issues
This issue has not been reported yet.
### Code of Conduct
agree to follow this project Code of Conduct</t>
  </si>
  <si>
    <t>itsdrnoob-DataMonitor-115</t>
  </si>
  <si>
    <t>Crash: Unable to start receiver</t>
  </si>
  <si>
    <t>----------Start of crash----------
Build type: release
Version code: 13
Thread name: main
Thread stacktrace: Method),
Caused by: Attempt to invoke interface method int on null object reference
Device Manufacturer: samsung
Device Brand: samsung
Device Model: SM-E625F
Device Codename: f62ins
Android version: 13, 33</t>
  </si>
  <si>
    <t>2023-01-05</t>
  </si>
  <si>
    <t>Aliucord-Aliucord-292</t>
  </si>
  <si>
    <t>The app crashed when I opened it</t>
  </si>
  <si>
    <t>### Discord Account
### What happens when the bug or crash occurs?
am having an issue with the app crashing when open it. The app crashes immediately after open it and am unable to use it
### What is the expected behaviour?
The app should open without crashing.
### How do you recreate this bug or crash?
1. Open the app.
2. The app crashes.
Version Name: 126.21 Stable
Version Code: 126021
*** *** *** *** *** *** *** *** *** *** *** *** *** *** *** ***
Havoc-OS Version: 4.16
Build fingerprint: xiaomi cactus cactus:9 PPR1.180610.011 release-keys
signal (SIGILL), code (ILL ILLOPC), fault addr 0xaeaec10c (*pc 0x9d6a77e1)
r0 9e091134 r1 9d66fb9d r2 aff3602d r3 00000000
r4 abfc0e10 r5 9e091134 r6 00000000 r7 beb6ee98
r8 aea6b6f7 r9 aeebfaf4 r10 beb6eea0 r11 af5d5124
ip 9d62fd1c sp beb6ee78 lr aee640f3 pc aeaec10c
#01 pc 00040e0e anon:scudo:primary
### Request Agreement</t>
  </si>
  <si>
    <t>RoboTutorLLC-RTFace_Login-41</t>
  </si>
  <si>
    <t>CRASH:  launchIntent.putExtras(sessionBundle); -- attempt to invoke on null object reference launchIntent</t>
  </si>
  <si>
    <t>Intent launchIntent PACKAGE ADDRESS)
Bundle sessionBundle new Bundle()
Log.e( uniqueUserID uniqueUserID)
ID VAR, uniqueUserID)
ID VAR, newSessId)
l. 774 -- attempt to invoke on null object reference
Intent launchIntent PACKAGE ADDRESS)
public static final String ROBOTUTOR PACKAGE ADDRESS
Evidently returns null. WHY?
What to do about this crash?
Ignore it and hope it goes away.
See if it occurs in newer branch not yet merged into development branch. --&gt; just notice if it does
Look at recent commits to see if they might have fixed it. didn find
Understand the crash see notes above</t>
  </si>
  <si>
    <t>2023-01-04</t>
  </si>
  <si>
    <t>cgeo-cgeo-13816</t>
  </si>
  <si>
    <t>Nightly crashing on startup</t>
  </si>
  <si>
    <t>### Describe your problem!
Several users report, that nightly 2023.01.03 is crashing on startup.
can reproduce on my device.
Seems to be permission issue for existing installations.
### How to reproduce?
Start c:geo after upgrading to 2023.01.03 nightly.
### Actual result after these steps?
### Expected result after these steps?
### c:geo Version
### System information
### Additional Information</t>
  </si>
  <si>
    <t>2023-01-03</t>
  </si>
  <si>
    <t>jMonkeyEngine-jmonkeyengine-1890</t>
  </si>
  <si>
    <t>v3.6 crashes attempting to run example apps in fullscreen with LWJGL v2</t>
  </si>
  <si>
    <t>Investigating possible regression in JME v3.6.0-alpha1, tried to run some of the apps in jme3-examples in fullscreen mode ... for example (though ran into identical behavior with other example apps). Here what happens:
The display settings dialog appears with Fullscreen not checked and Refresh Rate blank.
check the box for Fullscreen
The Screen Resolution changes to1920x1080 and the Refresh Rate changes to 55 Hz. Unfortunately, 55 Hz isn valid refresh rate for my display adapter. believe the valid rates are 24, 30, and 60 Hz.
When try to select different refresh rate, there are only available options: 50 Hz, 51 Hz, 52 Hz, 53 Hz, 54 Hz, and 55 Hz. None of these are valid rates.
After click the Continue button, get two Error in Application dialogs and the app crashes.
The console output is:
Git Hash: 5b9fc87
Build Date: 2023-01-03
Excerpt from glxinfo (to document my graphics configuration):
OpenGL vendor string: NVIDIA Corporation
OpenGL renderer string: GeForce GT 545 PCIe SSE2
OpenGL core profile version string: 4.6.0 NVIDIA 390.157
OpenGL core profile shading language version string: 4.60 NVIDIA
This was with jme3-lwjgl (LWJGL v2, which is currently the default jme3-examples build). Here what happened when switched the build to use jme3-lwjgl3 (LWJGL v3):
The display settings dialog appears with Fullscreen not checked and Refresh Rate blank.
check the box for Fullscreen
The Screen Resolution changes to1920x1080 and the Refresh Rate changes to 55 Hz.
When try to select different refresh rate, there are only available options: 50 Hz, 51 Hz, 52 Hz, 53 Hz, 54 Hz, and 55 Hz.
After click the Continue button, the application runs fullscreen.</t>
  </si>
  <si>
    <t>PojavLauncherTeam-PojavLauncher-3816</t>
  </si>
  <si>
    <t>My game stile like that and sometimes the game crash or he code 1</t>
  </si>
  <si>
    <t>### Describe the bug
Application exited with code
### The log file and images videos
### Steps To Reproduce
### Expected Behavior
### Anything else?</t>
  </si>
  <si>
    <t>patzly-grocy-android-616</t>
  </si>
  <si>
    <t>ML Kit Barcode scanner not functional on Pixel 6 Pro</t>
  </si>
  <si>
    <t>On my Pixel Pro, the ZXing barcode scanner works just fine. bought the Play Store unlock key and enabled the ML Kit scanner because wanted to support the devs and try out the better scanner. Unfortunately it doesn work on my Pixel Pro, possibly because of the multiple hardware cameras? The little window that normally shows camera image data is just black and the grocy app doesn exactly crash but it behaves very sluggishly until you back out of the screen with the scanner visible. happy to send debug data if helpful as it very easy to reproduce the problem. Thanks!</t>
  </si>
  <si>
    <t>jellyfin-jellyfin-androidtv-2382</t>
  </si>
  <si>
    <t>java.lang.IndexOutOfBoundsException</t>
  </si>
  <si>
    <t>### Describe the bug
Episode crashes the app, but video does play about three seconds first. Episode works fine in jellyfin-web client.
--------- beginning of crash
### App information
***App version***: 0.15.0 150099
### Device information
***Android version***: 11
***Device brand***: NVIDIA
***Device product***: sif
***Device model***: SHIELD Android TV
### Crash information
### FFmpeg logs
No ffmpeg logs produced
### Media info of the file
ffprobe version https: johnvansickle.com ffmpeg Copyright (c) 2007-2022 the FFmpeg developers
built with gcc (Debian 8.3.0-6)
libavutil 57. 36.101 57. 36.101
libavcodec 59. 42.104 59. 42.104
libavformat 59. 30.101 59. 30.101
libavdevice 59. 8.101 59. 8.101</t>
  </si>
  <si>
    <t>2023-01-02</t>
  </si>
  <si>
    <t>Anuken-Mindustry-8114</t>
  </si>
  <si>
    <t xml:space="preserve"> Mindustry has crashed. How unfortunate.</t>
  </si>
  <si>
    <t>Runtime Available Memory: 622mb
Caused by: Couldn load dependencies of asset: sprites sprites.png
Caused by: Error loading pixmap from image data: Out of memory (sprites sprites.png)
Caused by: Error loading pixmap from image data: Out of memory (sprites sprites.png)</t>
  </si>
  <si>
    <t>Visco01-MyLocalBooking-IS2022-21</t>
  </si>
  <si>
    <t>Various bugfixes</t>
  </si>
  <si>
    <t>Fixed possible infinite loop bug on parcelization of slots and blueprints
Fixed various JSON to db model parsing bugs
Fixed issue that could cause the slider in the ManualSlot creation dialog to crash</t>
  </si>
  <si>
    <t>PojavLauncherTeam-PojavLauncher-3815</t>
  </si>
  <si>
    <t xml:space="preserve">I have a black screen and after second the game crashed </t>
  </si>
  <si>
    <t>### Describe the bug
have black screen and after second the game crached
### The log file and images videos
### Steps To Reproduce
### Expected Behavior
### Anything else?</t>
  </si>
  <si>
    <t>AndroidIDEOfficial-AndroidIDE-717</t>
  </si>
  <si>
    <t>[Bug]: Deleting a text fragment causes a crash</t>
  </si>
  <si>
    <t>### What happened?
Select piece of text, click on the soft keyboard to delete, the program crashes, and it will reappear every time.
### What the expected behavior?
What should do to delete piece of text
### What version of AndroidIDE you re using?
### Relevant log output
AndroidIDE crash report
SDK version: 33
### Duplicate issues
This issue has not been reported yet.
### Code of Conduct
agree to follow this project Code of Conduct</t>
  </si>
  <si>
    <t>PojavLauncherTeam-PojavLauncher-3813</t>
  </si>
  <si>
    <t>[BUG] crashes when given more than 1000mb of ram</t>
  </si>
  <si>
    <t>### Describe the bug
it will crash with code if you locate more
### The log file and images videos
### Steps To Reproduce
go to settings
give pojavlauncher more than 1000mb
### Expected Behavior
expected the game to launch
Device model: huawei y6s
CPU architecture: MTK MT6765
PojavLauncher version: version o...
### Anything else?
cant play mods without more ram</t>
  </si>
  <si>
    <t>2023-01-01</t>
  </si>
  <si>
    <t>PojavLauncherTeam-PojavLauncher-3812</t>
  </si>
  <si>
    <t>Can't play any version below 1.16.5</t>
  </si>
  <si>
    <t>### Describe the bug
application game exited with code
can play versions below 1.16.5 and 1.16.5 it crashes instantly when click play
### The log file and images videos
### Steps To Reproduce
1. Start Pojav launcher
2. Choose any version below 1.16.5
### Expected Behavior
expect the game not to crash and can play any version
Device model: vivo 1820
CPU architecture: 64aarch
Android version: 8.1.0
PojavLauncher version: latest available in playstore
### Anything else?
Please tell me solution,here the latest log</t>
  </si>
  <si>
    <t>Anuken-Mindustry-8104</t>
  </si>
  <si>
    <t>Serious bug: Clients and server crashes</t>
  </si>
  <si>
    <t>**Steps to reproduce**: Here (https: github.com Anuken Mindustry pull 8089)*
**Link(s) to mod(s) used**: *N A*
**Save file**: *I run clean server in sandbox mode on the Maze map.*
If you remove the line above without reading it properly and understanding what it means, will reap your soul. Even if you re playing on someone server, you can still save the game to slot.
*Client (Windows)*: crash logs.txt (https: github.com Anuken Mindustry files 10325456 crash logs.txt)
*Server (Ubuntu)*: logs 0.txt (https: github.com Anuken Mindustry files 10325472 logs 0.txt)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This problem has been shouted about for long time:
Pull #8089 (https: github.com Anuken Mindustry pull 8089)
Issues #8098 (https: github.com Anuken Mindustry issues 8098)
Issues #8092 (https: github.com Anuken Mindustry issues 8092)</t>
  </si>
  <si>
    <t>2022-12-30</t>
  </si>
  <si>
    <t>Anuken-Mindustry-8100</t>
  </si>
  <si>
    <t>Android it's on the latest and aren't you on the Discord server so you can see the bug for yourself</t>
  </si>
  <si>
    <t>PojavLauncherTeam-PojavLauncher-3807</t>
  </si>
  <si>
    <t>Game crash after login</t>
  </si>
  <si>
    <t>### Describe the bug
The game crash after login with Microsoft account
### The log file and images videos
Screenshot net kdt pojavlaunch (https: 78776810
### Steps To Reproduce
1. Start Pojav launcher
2. Login with Microsoft account
3. Game crash
### Expected Behavior
want the game start normally
Device model: Mi 11T 5G
Android version: 12
PojavLauncher version: openjdk
### Anything else?</t>
  </si>
  <si>
    <t>Anuken-Mindustry-8095</t>
  </si>
  <si>
    <t>[Steam] minor issue: "Roboticist" achievement affected by addition of Erekir units in 7.0</t>
  </si>
  <si>
    <t>figure either the text of the achievement might be changed to say Build 30 types of unit. in order to match the current functionality, or, probably better, it could say Build every type of unit on Serpulo and Erekir units would have to be disabled from counting toward it. This would match nicely with the current icon, since it shows only Serpulo units. Perhaps in that case another achievement could be added down the line, the same thing but for only Erekir units.
Obviously this is very minor and doesn cause any practical problems, so not much worried about it. would like to add that am having an incredible amount of fun playing the Erekir campaign. It challenging, the graphics are beautiful, the map design is great, the gameplay feels balanced. feel like got the sequel to an already great game for free Merry Christmas to me. just wanted my little nitpicks to be cast in that light it only because love this game that am in here noticing couple minor details to complain about.
**Steps to reproduce**: Play both Serpulo and Erekir campaigns, and build 30 types of unit, using some from each planet.
**Link(s) to mod(s) used**: No mods used.
**Save file**: 2022 12 29 mindustrysave bugreport (https: github.com Anuken Mindustry files 10320964 2022 12 29 mindustrysave bugreport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</si>
  <si>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2022-12-29</t>
  </si>
  <si>
    <t>Anuken-Mindustry-8094</t>
  </si>
  <si>
    <t>How to make flag be true when objective ends in editor? (Question, written as bug because cant use discord)</t>
  </si>
  <si>
    <t>**Steps to reproduce**: *Impossible to reproduce, because its question. questions cannot be reproduced.*
**Link(s) to mod(s) used**: *Fading revelations*
**Save file**: *This is question, questions cannot be saved into file..*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</si>
  <si>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jellyfin-jellyfin-androidtv-2373</t>
  </si>
  <si>
    <t>Fix crash when opening menu for AlbumArtist</t>
  </si>
  <si>
    <t>isFolder() returned null which caused NPE
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Fix crash when opening menu for AlbumArtist
&lt;!-- Describe your changes here in 1-5 sentences. --&gt;
&lt;!-- Tag any issues that this PR solves here.
ex. Fixes --&gt;</t>
  </si>
  <si>
    <t>LawnchairLauncher-lawnchair-3218</t>
  </si>
  <si>
    <t>[BUG] Conversion = 'End of String'</t>
  </si>
  <si>
    <t>## Heads up
**I not fluent in English, apologise if my English is not easily understandable to most people.**
### Describe the bug
experiencing lag and crashes after upgrading to debug build Lawnchair V12.1 Dev (#1485) upgraded from Lawnchair V12.1 Dev (#1240 ish) (very old).
### Steps to reproduce
Steps to reproduce the behaviour:
1. Build Lawnchair 12.1-dev latest commit or download Lawnchair latest debug version (https: github.com LawnchairLauncher lawnchair actions workflows build debug apk.yml)
2. Go to Settings, then At Glance section
3. Observe the issue (Lawnchair lagged)
4. Now, go back and go to the home screen section
5. Observe the issue (Lawnchair crashed Conversion End of String
### Expected behaviour
Lawnchair shouldn be lagging out when you open Settings and Lawnchair shouldn be crashing when you open subsetting.
### Device information
Device: Samsung M23 5G (SM-M236B)
App version: 12.1.0 Dev (#1485)
### Additional context</t>
  </si>
  <si>
    <t>nextcloud-android-11208</t>
  </si>
  <si>
    <t>drive.shadow.tech acc created, nextcloud on andro7 crashs and drain battery</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</si>
  <si>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was bit surprised, since last month shadow tech website offers 20GB on drive.shadow.tech, for free
added an account
here it is
here it is
added the account to nextcloud
it impossible to use the app with internet, then it crash
updated nextcloud app to latest version the same
in addition, each time there is bug report screen, where it let me use browser, lets go on firefox, to report on bug tracker connect with my gitsomething account, then error 400 (or 500)
cant do anything on the nextcloud app, everything is blocked when internet works
nextcloud is 16% battery consumption, where the 2nd one is only 8% of an entire day. It makes the phone warm lot, dont know why.
it happens only since the shadow account has been validated
please notice that the backup of pictures works anyway in background
cant upload any file, my voldown and power buttons are dead since the overheat made false short circuit on the buttons (power is very very hard, couldnt get sound down when testing for hours.. only volup works)
will try to record this later, with another phone (poor video quality, 2012 device)</t>
  </si>
  <si>
    <t>2022-12-28</t>
  </si>
  <si>
    <t>LSPosed-LSPatch-154</t>
  </si>
  <si>
    <t>[Bug] App "com.miraeasset.global" crashes with LSPatch</t>
  </si>
  <si>
    <t>### Steps to reproduce
1. Install latest LSPatch Debug from github actions (https: github.com LSPosed LSPatch actions runs 3729882158)
1. Patch using LSPatch
1. Open the installed app. The app freezes and finally crashes
This is banking app, think some extra security features of the app are causing issues, by detecting that it is modified apk.
### Expected behaviour
The app runs
### Actual behaviour
The app freezes on open at blank screen and crashes
### Xposed Module List Xposed
Modules enabled None
Module installed but not enabled in module scope AllTrans (https: github.com akhilkedia AllTrans) (a non-public build)
### LSPatch version LSPatch
### Android version Android
11 (API 30) Samsung
### Shizuku version Shizuku
### Version requirement
am using latest debug CI version of LSPatch and enable verbose log CI
### Apk file Apk
have uploaded logcat between me opening the app, and when the app first exits</t>
  </si>
  <si>
    <t>SORMAS-Foundation-SORMAS-Project-11262</t>
  </si>
  <si>
    <t>Invalid automatic epi week selection in mSERS screen at the end of the year</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</si>
  <si>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&lt;!-- Mandatory: Describe the actual behaviour or situation --&gt;
Whenever you try to sync from the mSERS module, the mobile app crashes
#### Steps to Reproduce
&lt;!-- Optional please add more steps if necessary --&gt;
1. Go to mSERS module and tap on sync button
&lt;!-- Optional --&gt;
#### System Details
&lt;!-- Mandatory you only have to specify the Server URL if the error appeared on publicly available test server --&gt;
&lt;!-- Mandatory you only have to specify the Server URL if the error appeared on publicly available test server --&gt;
Device: SAMSUMG Glaxy TAB A8
SORMAS version: 1.78.0
Android version: 1.78.0
Android Version: 11
User Role: Contact and surveillance officer
### Expected Behavior
&lt;!-- Optional --&gt;
### Additional Information
&lt;!-- Optional --&gt;</t>
  </si>
  <si>
    <t>PojavLauncherTeam-PojavLauncher-3804</t>
  </si>
  <si>
    <t>Error[BUG] &lt;Short description&gt;</t>
  </si>
  <si>
    <t>### Describe the bug
the game no longer installs .jar files, like optifine, it does not run the installation and closes with code
### The log file and images videos
### Steps To Reproduce
1.Open the pojavlauncher
2.Click on install .jar
3.Select the .jar file
4.The app crash
### Expected Behavior
hope can install optfine again
### Anything else?</t>
  </si>
  <si>
    <t>2022-12-27</t>
  </si>
  <si>
    <t>Anuken-Mindustry-8092</t>
  </si>
  <si>
    <t>Mindustry has crashed | NullPointerException</t>
  </si>
  <si>
    <t>&gt;Mindustry has crashed. How unfortunate.
Report this at https: github.com Anuken Mindustry issues new?labels bug&amp;template bug report.md
Runtime Available Memory: 900mb</t>
  </si>
  <si>
    <t>PojavLauncherTeam-PojavLauncher-3803</t>
  </si>
  <si>
    <t>[BUG] &lt;Game Crashes after some time when running compact claustrophobia&gt;</t>
  </si>
  <si>
    <t>### Describe the bug
Game Crashes after some time with the code 1.
version is forge 1.12.2
modpack is compact claustrophobia latest release
### The log file and images videos
### Steps To Reproduce
1. launch game
2. game loads and is running fine (for about seconds)
3. game crashes with the report code
### Expected Behavior
1. game launches
2. load world
Device model: Realme X3 SuperZoom 256 12
CPU architecture: aarch64
Android version: 12
PojavLauncher version: Google play: openjdk
### Anything else?
removed **foamfix** because:
Do not report to Forge! (If you haven disabled the FoamFix coremod, try disabling it in the config! Note that this bit of text will still appear.) (1).jar)
original crash report:</t>
  </si>
  <si>
    <t>Fox2Code-FoxMagiskModuleManager-265</t>
  </si>
  <si>
    <t>[BUG] After using this app, modules cannot be installed from magisk (magisk crash)</t>
  </si>
  <si>
    <t>**Describe the bug**
After using this app, modules cannot be installed from magisk anymore (magisk crash)
1. Install this app from F-droid
2. Open it and allow root
3. Back to magisk and install module
4. Magisk crash
**Device info(please complete the following information):**
Device: Zte 7530n
OS: Android 11
App Version v0.6.7
Magisk Version 25.2</t>
  </si>
  <si>
    <t>Anuken-Mindustry-8091</t>
  </si>
  <si>
    <t>Canʼt build anything on ancient caldera map when planet is set to Erekir</t>
  </si>
  <si>
    <t>Steps to reproduce: Create new singleplayer game and select map ancient caldera, then in rules select planet erekir. then you will see text Unit can build
**Link(s) to mod(s) used**: *This is just vanilla mindustry*
**Save file**: *i have not soo many space for inserting save file*
**(Crash) logs**: *Mindustry not crashed*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</si>
  <si>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2022-12-26</t>
  </si>
  <si>
    <t>nextcloud-android-11203</t>
  </si>
  <si>
    <t>Media view error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</si>
  <si>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Enter media view
### Expected behaviour
View all media
### Actual behaviour
Nextcloud stucked then crash
### Android version
### Device brand and model
Xiaomi redmi note pro joyeuse
### Stock or custom OS?
Custom (explain in additional information
### Nextcloud android app version
### Nextcloud server version
### Using reverse proxy?
### Android logs</t>
  </si>
  <si>
    <t>Anuken-Mindustry-8086</t>
  </si>
  <si>
    <t>Invalid Character in Editor &gt; World Processor &gt; Cutscene</t>
  </si>
  <si>
    <t>Steam Build 140.4
There is an invalid character in the default value of the Cutscene option in the World Processor (For the speed setting).
**Steps to reproduce**: *How you happened across the issue, and what exactly you did to make the bug happen.*
Click ESC and select Edit In-Game
Place World Processor
Open World Processor and add Cutscene
Take note that the speed is 0.06 (There space at the beginning of the number)
(Required) Before exiting the menu, change ONLY the speed number to so it reads 0.08
Exit out of the World Processor, then go back into it again.
The value of the Cutscene is now 0.08 which fails to work in the game due to the invalid character.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No save file, this happens in the editor. If you realllllyyyyyyyyyy need save file, let me know. It really easy to reproduce this bug.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</si>
  <si>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patzly-grocy-android-607</t>
  </si>
  <si>
    <t>Crash: Searching recipe</t>
  </si>
  <si>
    <t>With the current nightly build get crash when execute recipe search and enter the second letter.
Here ist the log:
--------- beginning of crash
--------- beginning of main</t>
  </si>
  <si>
    <t>2022-12-25</t>
  </si>
  <si>
    <t>Anuken-Mindustry-8084</t>
  </si>
  <si>
    <t>Heat routers don't update surrounding blocks immediately when rotated if outputs are reflected back</t>
  </si>
  <si>
    <t>**Steps to reproduce**:
1. Place heat router with heat source feeding it
2. Place redirector router on any side facing into the router
3. Place another redirector router on different side also feeding into it
4. Rotate one of the redirectors with scroll wheel
The router should update to new heat value since it now being fed heat from the router, but it does not
It does update once you remove all reflecting routers redirectors from the other sides, or given enough time it will on its own as well
This issue isn by any means critical, but just noticed it while messing around so thought might as well note it down here
**Link(s) to mod(s) used**: None. Vanilla
was experimenting around with the neoplasm reactor just left of the center in Karst when found the bug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</si>
  <si>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PojavLauncherTeam-PojavLauncher-3797</t>
  </si>
  <si>
    <t>[BUG] Could not find or load main class (probably in all MC versions)</t>
  </si>
  <si>
    <t>### Describe the bug
Black screen with HUD appears, then crashes with message Application ended with code
latestlog.txt contains Error: Could not find or load main class
This happens in MC versions 1.16.5, 1.12.2, 1.19.3 (assuming all versions because error is the same).
Deleting the .jar file of version doesn solve the issue.
### The log file and images videos
--------- beginning with launcher debug
--------- beginning of main
Added custom env: TMPDIR data user net.kdt.pojavlaunch cache
Added custom env: AWTSTUB WIDTH 1280
Added custom env: REGAL GL VERSION 4.5
Added custom env: REGAL GL VENDOR Android
Added custom env: LIBGL MIPMAP
Added custom env: allow higher compat version true
Added custom env: MESA GLSL CACHE DIR data user net.kdt.pojavlaunch cache
Added custom env: HOME storage emulated games PojavLauncher .minecraft
Added custom env: PATH data user net.kdt.pojavlaunch runtimes Internal bin: sbin: vendor bin: system sbin: system bin: system xbin
Added custom env: LIBGL NOINTOVLHACK
Added custom env: force glsl extensions warn true
Added custom env: LIBGL NORMALIZE</t>
  </si>
  <si>
    <t>2022-12-24</t>
  </si>
  <si>
    <t>AndroidIDEOfficial-AndroidIDE-682</t>
  </si>
  <si>
    <t>IDE Crash</t>
  </si>
  <si>
    <t>### What happened?
AndroidIDE crash report
SDK version: 31
### What the expected behavior?
IDE stuck when you close project, then its crash and ropens project
### What version of AndroidIDE you re using?
v2.1.3 (debug builds)
### Relevant log output
### Duplicate issues
This issue has not been reported yet.
### Code of Conduct
agree to follow this project Code of Conduct</t>
  </si>
  <si>
    <t>AndroidIDEOfficial-AndroidIDE-681</t>
  </si>
  <si>
    <t>[Bug]: StringIndexOutOfBoundsException</t>
  </si>
  <si>
    <t>### What happened?
Closing the application when opening project.
have seen that there is similar error open but with version lower than 2.1.3 so decided to open the error again.
### What the expected behavior?
Open the project.
### What version of AndroidIDE you re using?
v2.1.3 (debug builds)
### Relevant log output
AndroidIDE crash report
SDK version: 31
### Duplicate issues
This issue has not been reported yet.
### Code of Conduct
agree to follow this project Code of Conduct</t>
  </si>
  <si>
    <t>patzly-grocy-android-603</t>
  </si>
  <si>
    <t>Crash when editing a recipe</t>
  </si>
  <si>
    <t>The App crashes immediatly when click on preparation in the edit recipe screen.</t>
  </si>
  <si>
    <t>2022-12-22</t>
  </si>
  <si>
    <t>AndroidIDEOfficial-AndroidIDE-676</t>
  </si>
  <si>
    <t>[Bug]: Fine Word Crashed</t>
  </si>
  <si>
    <t>### What happened?
AndroidIDE crash report
SDK version: 31
### What the expected behavior?
### What version of AndroidIDE you re using?
v2.1.3 (debug builds)
### Relevant log output
### Duplicate issues
This issue has not been reported yet.
### Code of Conduct
agree to follow this project Code of Conduct</t>
  </si>
  <si>
    <t>nextcloud-android-11191</t>
  </si>
  <si>
    <t>Test your release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</si>
  <si>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It been long time since your app actually did what it is supposed to do...
Basically none of your last 3-4 versions has been usable.
previous version of the app crashed immediately when opened on Android 13
current version auto upload is just stuck on continuous listing of files and does not actually sync anything. While this is going the phone can barely be used for anything else (it reporting 18k files needed to sync which seems completely wrong.
### Expected behaviour
### Actual behaviour
### Android version
### Device brand and model
### Stock or custom OS?
### Nextcloud android app version
### Nextcloud server version
Latest snap version
### Using reverse proxy?
### Android logs</t>
  </si>
  <si>
    <t>2022-12-21</t>
  </si>
  <si>
    <t>PojavLauncherTeam-PojavLauncher-3793</t>
  </si>
  <si>
    <t xml:space="preserve">[BUG] VirGL on adreno does not work correctly with shaders. </t>
  </si>
  <si>
    <t>### Describe the bug
Shaders on VirGL do not display correctly and it happens that minecraft crashes. About zink in general am silent, there is nothing running at all.
### The log file and images videos
Here an example of bsl shaders on low.
Screenshot 20221221 205622 net kdt pojavlaunch debug (https: 75908293
Screenshot 20221221 205631 net kdt pojavlaunch debug (https: 75908293
### Steps To Reproduce
1. Launched PojavLauncher
2. Chose renderer VirGL
3. chose minecraft version 1.16.5 optifine
4. Launched minecraft
5. Chose bsl shaders v8.0
6. Here the picture
7. Tried to run shaders seus ptgi e12 but crashed minecraft
### Expected Behavior
expected shaders to work fine at least with low fps
Device model: huawei nova se
CPU architecture: aarch64 snapdragon 680 (adreno 610)
Android version: emui 12
PojavLauncher version: latest release from actions</t>
  </si>
  <si>
    <t>PojavLauncherTeam-PojavLauncher-3791</t>
  </si>
  <si>
    <t>[BUG] &lt;Short description&gt; Application exited with code 1 when i try to install optifine 1.19.2</t>
  </si>
  <si>
    <t>### Describe the bug
Sir, have been trying for long time to install jar file clients like Optifine and Fabric in my Pojav Launcher but it crashes when tab to my installer.jar. in pojavlauncher my everything is working fine but install any file by using jar it crashed
### The log file and images videos
Added custom env: TMPDIR data user cache
Added custom env: AWTSTUB WIDTH 2400
Added custom env: POJAV NATIVEDIR data app lTz0agYPz8-9O87uQ lib arm64
Added custom env: REGAL GL VERSION 4.5
Added custom env: REGAL GL VENDOR Android
Added custom env: LIBGL MIPMAP
Added custom env: allow higher compat version true
Added custom env: MESA GLSL CACHE DIR data user cache
Added custom env: LIBGL NOINTOVLHACK
Added custom env: force glsl extensions warn true
Added custom env: LIBGL NORMALIZE
Added custom env: LD LIBRARY PATH data user runtimes Internal lib aarch64 jli: data user runtimes Internal lib aarch64: system lib64: vendor lib64: vendor lib64 hw: data app lTz0agYPz8-9O87uQ lib arm64
Added custom env: LIBGL ES null
Added custom env: VTEST SOCKET NAME data user cache .virgl test
Added custom env: MESA LOADER DRIVER OVERRIDE zink
Added custom env: JAVA HOME data user runtimes Internal
Added custom env: allow glsl extension directive midshader true</t>
  </si>
  <si>
    <t>AP-Atul-music_player_lite-23</t>
  </si>
  <si>
    <t>CRASH when play music</t>
  </si>
  <si>
    <t>this is log when crashed:
Version Name: 0.12
Version Code: 12</t>
  </si>
  <si>
    <t>2022-12-20</t>
  </si>
  <si>
    <t>facebook-react-native-35689</t>
  </si>
  <si>
    <t>Null Exception Handling | Input Validation - RCTAlertController - RCTDevLoadingView</t>
  </si>
  <si>
    <t>&lt;!-- Thanks for submitting pull request! We appreciate you spending the time to work on these changes. Please provide enough information so that others can review your pull request. The three fields below are mandatory. --&gt;
&lt;!-- Explain the **motivation** for making this change. What existing problem does the pull request solve? --&gt;
Enhancing native iOS modules and preventing crashes inside the RCTAlertController
iOS Fixed Handle properly nil keyWindows in the AlertController
&lt;!-- Help reviewers and the release process by writing your own changelog entry.
Pick one each for the category and type tags:
IOS SECURITY Message
For more details, see:
## Test Plan
&lt;!-- Demonstrate the code is solid. Example: The exact commands you ran and their output, screenshots videos if the pull request changes the user interface. --&gt;</t>
  </si>
  <si>
    <t>Anuken-Mindustry-8075</t>
  </si>
  <si>
    <t>High Tier tanks dealing damage not based on unit damage.</t>
  </si>
  <si>
    <t>Steam version, PC
The high tier tanks that are able to damage and destroy buildings by rolling into or over them will still deal damage to buildings even when unit damage is set to 0.
was running some experiments with AI when decided to control Conquer The player faction unit damage was set to 0, and controlled my tank when, to my surprise, one of the cores ran into turned into my own. (Core capture was on, player building health was maxed out.
No mods were used.
The above save is in separate sandbox world where unit damage is set to 0. The bug was replicated there and can still be.
The game did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</si>
  <si>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PojavLauncherTeam-PojavLauncher-3788</t>
  </si>
  <si>
    <t>Gamepad with wrong keys ONLY in POJAV[BUG] &lt;Short description&gt;</t>
  </si>
  <si>
    <t>### Describe the bug
Hello, would like to talk about an annoying error that is happening to me and many other people (many indeed) am using translator to write all this here, because live in Brazil, well,The bug come to talk about here is about the keys being completely wrong on gamepads (pojavlauncher reads the gamepad as keyboard, but it admits that it is gamepad) this bug is annoying me lot, apart from this bug, as human days go by, pojavlauncher starts to crash, become very slow My phone is POCO X3 PRO (128 GB GB RAM)
### The log file and images videos
There is no image, it only has video, tried to get in touch through discord and Instagram, was totally ignored
### Steps To Reproduce
Turn on the Bluetooth, connect the gamepad, enter the pojavlauncher, and then enter any version of Minecraft java, and tadammmn, the bug is there, that annoying one
### Expected Behavior
expected pojavlauncher to work with gamepad like in the past
Device model: POCO X3 PRO
CPU architecture: ADRENO 64 BITS
Android version: 12
PojavLauncher version: most recent from Playstore (I wrote this on the 19th of December 2022)
### Anything else?
Very annoying bug, add Configure Controls option</t>
  </si>
  <si>
    <t>2022-12-19</t>
  </si>
  <si>
    <t>Fox2Code-FoxMagiskModuleManager-262</t>
  </si>
  <si>
    <t>[BUG] 1.x.x versions crash on launch</t>
  </si>
  <si>
    <t>**Describe the bug**
The app briefly displays it splash screen and then crashes exits. The ui and all functionally is inaccessible.
Steps to reproduce the behavior:
1. Open app
4. See app crash
**Device info(please complete the following information):**
Device: OnePlus 8t
OS: OOS 13
App Version: 1.x.x tried it on both. 0.67 works fine.
magisk version: latest canary build</t>
  </si>
  <si>
    <t>AndroidIDEOfficial-AndroidIDE-672</t>
  </si>
  <si>
    <t>[Bug]: Unexpected exit when using XML in preview layout</t>
  </si>
  <si>
    <t>### What happened?
Using the preview layout and pressing XML closed the app
### What the expected behavior?
show the xml code
### What version of AndroidIDE you re using?
v2.1.3 (debug builds)
### Relevant log output
AndroidIDE crash report
SDK version: 31
### Duplicate issues
This issue has not been reported yet.
### Code of Conduct
agree to follow this project Code of Conduct</t>
  </si>
  <si>
    <t>carvalho28-UBITouch-71</t>
  </si>
  <si>
    <t>Scroll feed and profile crashing</t>
  </si>
  <si>
    <t>2022-12-18</t>
  </si>
  <si>
    <t>Fox2Code-FoxMagiskModuleManager-260</t>
  </si>
  <si>
    <t>Fdroid builds may crash</t>
  </si>
  <si>
    <t>On android 11 fox mmm 1.0.2 crashes immediately. ve tried clearing storage and cache of the fox mmm app to no avail. ended up reverting to 0.6.7</t>
  </si>
  <si>
    <t>cgeo-cgeo-13763</t>
  </si>
  <si>
    <t>c:geo crashing on multiple dots in formulas</t>
  </si>
  <si>
    <t>User reports this on support: (ticket #793938):
Hier zuerst die kurze Version, wie ich einen Absturz von c:geo provozieren kann:
48 21.1A 009 40.456
Die Nordkoordinate bzw. den zweiten Punkt kann c:geo nicht mehr richtig interpretieren und st rzt reproduzierbar ab.
Die modifizierte Formeln 48 21.1A2 und 48 21.A hren jeweils zu keinem Absturz.
Der Vollst ndigkeit halber hier auch noch die lange Version am Beispiel eines konkreten Multi-Caches.
In Vorbereitung einer Tour habe ich beim Multi GC22QAT u.a. ein paar Variablen und die Finalformal eingetragen.
Das sieht dann in der pers nlichen Notiz wie folgt aus:
Finale (F) CC 48 21.EGC 009 40.C(I+B)H
$A sub($ABCB 1) $B sub($ABCB 1) $C sub($ABCB 1)
$D sub($ADEF 1) $E sub($ADEF 1) $F sub($ADEF 1) $G $H
$I $ADEF 1790 #? $ABCB 1...
Diese Daten hren reproduzierbar zu einem Absturz von c:geo.
Durch Tests habe ich herausgefunden, dass der Inhalt der Variablen und entscheidend sind.
Es sind zwei Jahreszahlen gesucht. Daf lege ich zwei Variablen an (mit unvollst ndigen Daten):
ADEF 1790 #?
Die Werte der Einzelvariablen A-F hole ich mit der Funktion sub() aus diesen Variablen:
Au erdem habe ich Vorabwissen und setze 2.
Dadurch, dass ich die Jahreszahl $ABCB noch nicht kenne und als Platzhalter den nicht-numerischen Wert 1... eingetragen habe, ist nun gesetzt. Dies hrt in Kombination mit dem (beliebigen) Wert von dazu, dass c:geo mit der Formel der Nordkoordinaten Probleme hat. Die Ostkoordinate spielt keine Rolle, obwohl hier auch vorkommt.
Mit zweiten Punkt kann c:geo wohl nicht umgehen.</t>
  </si>
  <si>
    <t>DiegoPassa-Bookito-26</t>
  </si>
  <si>
    <t>Fix bug</t>
  </si>
  <si>
    <t>Fix app crashing if user accept reject request and there is no more request.
Fix search by name fragment. Filter isn working anymore.
We have to manage close request. Shouls both user close the request (close with success, not deleting it) or only the receiver should do it? What about for trade?</t>
  </si>
  <si>
    <t>Anuken-Mindustry-8069</t>
  </si>
  <si>
    <t>Bug with stores and tank</t>
  </si>
  <si>
    <t>the next in this branch is tank in the characteristics of which we see that it stores 2700 units and in its description it is written: stores SMALL number of natives.
**Steps to reproduce**: was just playing Mindustry and researching new technologies
**Link(s) to mod(s) used**: dont use mods
If you remove the line above without reading it properly and understanding what it means, will reap your soul. Even if you re playing on someone server, you can still save the game to slot.
**(Crash) logs**: its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</si>
  <si>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tinode-tindroid-139</t>
  </si>
  <si>
    <t>when voice is too long, fragement will crash</t>
  </si>
  <si>
    <t>**If you are not reporting bug, please post to https: groups.google.com forum tinode instead.**
**Describe the bug**
clear and concise description of what the bug is.
Steps to reproduce the behavior:
1. Go to chat with somebody
2. Click on button of mac phone
3. Scroll down to speak for or longer seconds
4. See error: fragment will crash
sure, it should be sent to peer,
If applicable, add screenshots to help explain your problem.
**Tindroid (please complete the following information):**</t>
  </si>
  <si>
    <t>2022-12-17</t>
  </si>
  <si>
    <t>skewyapp-skewyapp-12</t>
  </si>
  <si>
    <t>Index out of bounds 0</t>
  </si>
  <si>
    <t>**Describe the bug**
Crash after custom changing the signal detection settings. App crashes after applying signal length of 0.
Steps to reproduce the behavior:
1. Go to Signal Selection
2. Click on Apply (leave as is)
4. See error
Exception length 10 index -1</t>
  </si>
  <si>
    <t>TeamNewPipe-NewPipe-9556</t>
  </si>
  <si>
    <t xml:space="preserve">Crash when long click on "Popup" </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</si>
  <si>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any channel.
2. Long press on Popup below Subscribe
3. App crashes.
### Expected behavior
App should not crash.
### Actual behavior
### Screenshots Screen recordings
User Action: ui error
Request: ACRA report
Content Country: US
Content Language: en-US
App Language: en US</t>
  </si>
  <si>
    <t>team4099-HawkEye-6</t>
  </si>
  <si>
    <t>android switches don't instantiate properly and cause null pointer exception</t>
  </si>
  <si>
    <t>Should also rewrite to Kotlin so null pointer exceptions don crash the app.</t>
  </si>
  <si>
    <t>PojavLauncherTeam-PojavLauncher-3783</t>
  </si>
  <si>
    <t>[BUG] &lt;Render Region (Optifine) crashes the game when world is loaded&gt;</t>
  </si>
  <si>
    <t>### Describe the bug
Whenever try loading world or joining server, it will crash if Render Region is enabled in OptiFine.
### The log file and images videos
### Steps To Reproduce
1. Install 1.19.2 OptiFine HD H9
2. Run 1.19.2-OptiFine HD H9
3. Go to Options... Video Settings... Performance... Turn Render Regions to ON
4. Go to any world or server.
### Expected Behavior
When the world is finished loading, it crashes with code 6, followed by the log screen.
The game may become unresponsive.
Device model: iPad Pro 11-inch 4th Generation 256G (iPad14,3)
CPU architecture: aarch64
Android version: iOS 16.1.1
PojavLauncher version: 2.1-release (main ec106e2) (Unjailbroken)
### Anything else?</t>
  </si>
  <si>
    <t>2022-12-16</t>
  </si>
  <si>
    <t>PojavLauncherTeam-PojavLauncher-3781</t>
  </si>
  <si>
    <t>[CRASH HELP NEEDED] &lt;crashes on joining servers&gt;</t>
  </si>
  <si>
    <t>### Describe the bug
Crashed while joined Hypixel with Patches 1.5 (ig) for 1.8.9 forge.
Also crashes with DungeonsGuide mod (available on google)
### The log file and images videos
crash-2022-12-16 18.35.54-client.txt (https: github.com PojavLauncherTeam PojavLauncher files 10248478 crash-2022-12-16
### Steps To Reproduce
Just have common sense
### Expected Behavior
expected to launch and remove the lag struggling and fighting with but failed and cuz masteroogway will can beat me want to fix before he knows please help
Device model: Mi 10 64gb 4gb ram
CPU architecture: aarch65
Android version: 12
PojavLauncher version: Play store version
### Anything else?</t>
  </si>
  <si>
    <t>PojavLauncherTeam-PojavLauncher-3780</t>
  </si>
  <si>
    <t>[BUG] &lt;Game crashes on launch&gt;</t>
  </si>
  <si>
    <t>### Describe the bug
have Android 12 with 256 gb of storage and 12 gb of ram, when allocated 3010 mb to pojavlauncher, it worked for about days. Now when try to open the app it immediately crashes and boots me out.
Please help me fix this.
### The log file and images videos
### Steps To Reproduce
do not know how this bug is caused, so cannot provide instructions on how to reproduce it.
### Expected Behavior
do not know
Device model: Galaxy Note 10+
CPU architecture: Can find
Android version: 12
PojavLauncher version: Latest version
### Anything else?</t>
  </si>
  <si>
    <t>Anuken-Mindustry-8062</t>
  </si>
  <si>
    <t>Shielded wall doesnt accept power after being picked up and placed back down</t>
  </si>
  <si>
    <t>Steam build 140.4
after picking up shielded wall and putting it back down it no longer accepts power or makes shield
**Steps to reproduce**: *How you happened across the issue, and what exactly you did to make the bug happen.*
1. build shielded wall
2. give power to wall
3. wall makes shield
4. pick up wall
5. put down wall
6. give power to wall
7. wall no longer makes sheild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Happens on multiple different pcs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</si>
  <si>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Anuken-Mindustry-8061</t>
  </si>
  <si>
    <t>Need to build Payload Mass Driver but it's not unlocked yet!</t>
  </si>
  <si>
    <t>on Split on Erekir, and it asking me to build pair of Payload Mass Drivers. Except can because they re not unlocked yet. hope to god not just being an idiot and missed something. :pray:
**Steps to reproduce**: *How you happened across the issue, and what exactly you did to make the bug happen.*
Um, play the game normally? :sweat smile: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Judging from timestamps, Split must be erekir-19?
If it helps, here where ve been:
And my tech tree currently looks like this: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</si>
  <si>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AppLovin-AppLovin-MAX-React-Native-139</t>
  </si>
  <si>
    <t>Android NativeAd Crash -  AppLovinMAXNativeAdView.setIconView</t>
  </si>
  <si>
    <t>### MAX Module Version
### React Native Version
### Device Platform Info
### Current Behavior
Crashing in production environment
### Expected Behavior
### How to Reproduce
Some native ads appear without icons, and sometimes leads to crash.
### Additional Info</t>
  </si>
  <si>
    <t>2022-12-15</t>
  </si>
  <si>
    <t>CleverTap-clevertap-android-sdk-375</t>
  </si>
  <si>
    <t>[SDK-2486]/ InApp class cast exception</t>
  </si>
  <si>
    <t>Fixes crash ClassCastException in header footer InApp templates.</t>
  </si>
  <si>
    <t>Fox2Code-FoxMagiskModuleManager-244</t>
  </si>
  <si>
    <t>[BUG] v.1.0.1 crashes</t>
  </si>
  <si>
    <t>**Describe the bug**
Steps to reproduce the behavior:
1. Try to open app
2. See error
That the app opens correctly
**Device info(please complete the following information):**
Device: Xiaomi Mi
OS: MIUI Global 12.0.3
App Version 1.0.1 latest</t>
  </si>
  <si>
    <t>Aliucord-Aliucord-289</t>
  </si>
  <si>
    <t>Jump links do not open in Aliucord</t>
  </si>
  <si>
    <t>### Discord Account
### What happens when the bug or crash occurs?
Discord is opened and the jump link is processed there.
### What is the expected behaviour?
The jump link is processed in app, without relying on the standard Discord client.
### How do you recreate this bug or crash?
1) Create message link (any message will do)
2) Tap it in Aliucord
You should see that it opens Discord and navigates (or tries to, Discord inconsistency) to the message location as described from the jump link route parameters.
### Request Agreement
did indeed check to make sure the bug or crash report is applicable!</t>
  </si>
  <si>
    <t>jellyfin-jellyfin-androidtv-2349</t>
  </si>
  <si>
    <t>Crash when selecting favorites playlist in music library</t>
  </si>
  <si>
    <t>### Describe the bug
1. Go to music library
2. Click on Favorites playlist
don have any music favorited
--------- beginning of crash
### App information
***App version***: 0.15.0-beta.4 150004
### Device information
***Device brand***: NVIDIA
***Device product***: sif
***Device model***: SHIELD Android TV
### Crash information
### Application version
### Where did you install the app from?
### Device information
### Android version
### Jellyfin server version</t>
  </si>
  <si>
    <t>nextcloud-android-11168</t>
  </si>
  <si>
    <t>Crash Report: crash on start following reinstall</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</si>
  <si>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Not sure if it will reproduce every time.
1. Phone was factory reset by accident week ago
2. Reinstalled, no remote files shown (they are there, just not shown in the app)
3. Tried reinstalling from other app stores
4. Force stopped, cleared cache, cleared data, unistalled, reinstalled from play store
### Expected behaviour
Not to crash
### Actual behaviour
### Android version
### Device brand and model
### Stock or custom OS?
### Nextcloud android app version
can get to about screen, latest play store version as of 12 14 22
### Nextcloud server version</t>
  </si>
  <si>
    <t>2022-12-14</t>
  </si>
  <si>
    <t>maityamit-Sleepometer-Android-App-44</t>
  </si>
  <si>
    <t>[Bug]:  app crash in "stats Fragement"</t>
  </si>
  <si>
    <t>### Contact Details
### What happened?
When was switch between stats and Home fragement. The app was crashed.
### Relevant log output
### Code of Conduct
agree to follow this project Code of Conduct</t>
  </si>
  <si>
    <t>facebook-react-native-35640</t>
  </si>
  <si>
    <t>fix RCTNetworking contentType issue</t>
  </si>
  <si>
    <t>because contentType may be NSNull null
Here only check partContentType is not nil, This causes the custom type never used
more serious here, if dataContentType is NSNull null it will crash the application
NSNull hasPrefix: unrecognized selector sent to instance 0x7fff8004b700
iOS Fixed fix dataContentType may be NSNull null issue
## Test Plan</t>
  </si>
  <si>
    <t>LawnchairLauncher-lawnchair-3171</t>
  </si>
  <si>
    <t xml:space="preserve">When putting widgets on home it crashes  </t>
  </si>
  <si>
    <t>### Describe the bug
When you put widgets on home screen it crashes and restarts itself without the widget
### Steps to reproduce
Steps to reproduce the behavior:
1. Go to widgets
2. Click on any widgets that you like from stock aps.
5. Put it on home screen after doing it multiple times
6. See error
### Expected behavior
It crashes and restarts itself
Screenshot 20221213 192503 HTML Viewer (https: 68815953
### Device information
Device: Samsung Galaxy S22+ SM-S906E
OS: One Ui 5.00
App version: 12.1.0 Alpha
### Additional context</t>
  </si>
  <si>
    <t>AndroidIDEOfficial-AndroidIDE-666</t>
  </si>
  <si>
    <t>[Bug]: AndroidIDE crashes</t>
  </si>
  <si>
    <t>### What happened?
AndroidIDE crashed when was opening .gitmodules file in my project.
### What the expected behavior?
Crash should not happen.
### What version of AndroidIDE you re using?
v2.1.3 (debug builds)
### Relevant log output
AndroidIDE crash report
SDK version: 31
### Duplicate issues
This issue has not been reported yet.
### Code of Conduct
agree to follow this project Code of Conduct</t>
  </si>
  <si>
    <t>jellyfin-jellyfin-androidtv-2343</t>
  </si>
  <si>
    <t>Crash when returning from screensaver</t>
  </si>
  <si>
    <t>### Describe the bug
Seems bit random but mostly happens when the device has been idle for few minutes. Not specific to the beta afaik.
Only thing necessary to reproduce is to start the app, wait for the android screensaver to start and try to return to the app.
... 11 more
--------- beginning of crash
### App information
***App version***: 0.15.0-beta.4 150004
### Device information
***Android version***: 11
***Device brand***: NVIDIA
***Device product***: sif
***Device model***: SHIELD Android TV
### Crash information
### Application version
### Where did you install the app from?
### Device information
### Android version
### Jellyfin server version</t>
  </si>
  <si>
    <t>2022-12-13</t>
  </si>
  <si>
    <t>facebook-react-native-35628</t>
  </si>
  <si>
    <t>fix contentType issue</t>
  </si>
  <si>
    <t>because contentType may be NSNull null
Here only check partContentType is not nil, This causes the custom type never used, ex:
const form new FormData()
more serious here, if dataContentType is NSNull null this will crash the application
NSNull hasPrefix: unrecognized selector sent to instance 0x7fff8004b700
The request here only contains the uri attribute, which makes it impossible to obtain user-defined headers in For example (https: github.com blob master ios if the header can be passed here, it will be much more convenient to implement
am implementing interface myself, because of this reason some functions cannot be completed, also because of this that discovered these problems
iOS Fixed dataContentType may be NSNull null issue</t>
  </si>
  <si>
    <t>DiegoPassa-Bookito-25</t>
  </si>
  <si>
    <t>Application crash when accepting a request</t>
  </si>
  <si>
    <t>Sometimes happens an when accepting the first or the last request (usually when have only one)
it gives error on the instruction
we have to understand why and fix it :(</t>
  </si>
  <si>
    <t>jellyfin-jellyfin-androidtv-2341</t>
  </si>
  <si>
    <t>LibVLC playback is slow to start up compared to Exoplayer</t>
  </si>
  <si>
    <t>### Describe the bug
1. Select LibVLC as default player in settings
2. Try to play back any content (AVC, HEVC, 1080p, 4k, doesn matter)
3. Observe significantly delay (I measured 13 seconds on Shield TV Pro)
This is compared to Exoplayer playing back near instantaneously. not on the local network of my server. My latency to the server is about 65ms. However network throughput is excellent, and even on 80-90 Mbps files playback is fine with no buffering. This seems unrelated to latency or network throughput given the issue doesn exhibit itself with Exoplayer. This is direct playing, no transcoding. Persists on app reinstall fresh from the play store.
This isn crash and as far as cant tell there nothing in the server logs to indicate an issue there. Still, here are the time stamps that seem to be associated with the server processing the request. Removed info since not sure how much of this is sensitive. The last line is 20 seconds after the start, since didn observe that big of delay don believe it to be related to the issue.
### FFmpeg logs
File is direct playing and don have anything in my logs that from ffmpeg.
### Media info of the file
Aspect ratio: 16:9
Bit depth: bit
Video range: SDR
Video range type: SDR
Color space: bt709
Color transfer: bt709
Color primaries: bt709
Pixel format: yuv420p
Sample rate: 48000 Hz
### Application version
### Device information</t>
  </si>
  <si>
    <t>jellyfin-jellyfin-androidtv-2340</t>
  </si>
  <si>
    <t>EGREAT_A5_CN crash after login</t>
  </si>
  <si>
    <t>### Describe the bug
can login app after install app on EGREAT A5. But if reboot or shutdown device, try to login app, the app will crash.
use version 0.15.*, 0.14.*, The symptom is same.
### App information
***App version***: 0.15.0-beta.4 150004
### Device information
***Android version***: 7.0
***Device brand***: HiSTBAndroidV6
***Device product***: Hi3798CV200
***Device model***: EGREAT A5 CN
### Crash information
### Application version
### Where did you install the app from?
### Device information
EGREAT A5 CN
### Android version
### Jellyfin server version</t>
  </si>
  <si>
    <t>tinode-tindroid-137</t>
  </si>
  <si>
    <t>Tindroid crashes when playing long audios</t>
  </si>
  <si>
    <t>**Describe the bug**
Tindroid can not play long audios, it just crashes. Not sure if this is simply because the audio is large or because large files are not stored in the database.
Record long audio that will be stored not in the database but as file. Start to play audio. Tinode will crash.
**Tindroid (please complete the following information):**
Version: Tindroid Media (I updated it on December 12).
Device: Emulator or Pixel 3, telephone Samsung, Android version 13.
Tinode server version: 0.20.1
Server type: unmodified
Mimetypes of audio files in fileuploads table are saved as video mp4 don know if that how it should be.
Disconnected from the target VM, address: localhost:61623 transport: socket</t>
  </si>
  <si>
    <t>2022-12-12</t>
  </si>
  <si>
    <t>LawnchairLauncher-lawnchair-3167</t>
  </si>
  <si>
    <t>[BUG] Crash: VerifyErrorRejecting class com.android.quickstep.views.LauncherRecentsView</t>
  </si>
  <si>
    <t>### Describe the bug
### Steps to reproduce
1. git clone --recursive https: github.com LawnchairLauncher lawnchair.git
2. cd lawnchair
3. git checkout disable cc for r8
5. Install the apk from build outputs apk lawnWithQuickstep release on Android or devices.
6. Open the Lawnchair, and you ll see the crash.
### Expected behavior
### Device information
Device: Samsung S8
### Additional context</t>
  </si>
  <si>
    <t>jellyfin-jellyfin-androidtv-2338</t>
  </si>
  <si>
    <t>java.lang.OutOfMemoryError shortly after starting on AOSP 13</t>
  </si>
  <si>
    <t>### Describe the bug
1. Start Jellyfin on AOSP13 (Khadas VIM3 reference board)
2. Wait until Jellyfin crashes with
This happens with 0.15.0-beta.4 debug build. Also happened with 0.15.0-beta.3 release build.
Memory info before starting Jellyfin:
total used free shared buffers
buffers cache: 1995 1776
### App information
***App version***: 0.15.0-beta.4 150004
### Device information
***Android version***: 13
***Device brand***: Android
***Device product***: yukawa
***Device model***: ATV on yukawa
### Crash information
### Application version
### Where did you install the app from?
### Device information
### Android version
### Jellyfin server version</t>
  </si>
  <si>
    <t>2022-12-11</t>
  </si>
  <si>
    <t>Fox2Code-FoxMagiskModuleManager-237</t>
  </si>
  <si>
    <t>[BUG] 0.6.8 crashes all the time</t>
  </si>
  <si>
    <t>**Describe the bug**
The app crashes infallibly at about 75% when looking for updates from repositories
Steps to reproduce the behavior:
1. Go to ...
2. Click on ....
3. Scroll down to ....
4. See error
clear and concise description of what you expected to happen.
If applicable, add screenshots to help explain your problem.
**Device info(please complete the following information):**
Device: e.g. iPhone6
OS: ROM and version, ie Havoc-OS 4.12
App Version e.g. 22
Add any other context about the problem here.</t>
  </si>
  <si>
    <t>2022-12-10</t>
  </si>
  <si>
    <t>jellyfin-jellyfin-androidtv-2336</t>
  </si>
  <si>
    <t>Revert "Remember button focus on summary page"</t>
  </si>
  <si>
    <t>There are two issues with the PR:
1. The global listener isn removed when the view detaches, this is an easy fix. just store it in var and add remove in onAttachedToWindow
2. The call requestFocus() somehow crashes the app when viewing person opened via movie. have no clue why and tried to fix it for about hours after giving up. **This is the reason for the revert.**</t>
  </si>
  <si>
    <t>itsvks19-LayoutEditor-15</t>
  </si>
  <si>
    <t>[Bug]: App crashes when adding drawables</t>
  </si>
  <si>
    <t>### What happened?
the app crashed when tried to add PNG file to Drawable Manager.
### What the expected behavior?
No crash and successful import
### Relevant log output
App version: 0.5.0-alpha
### Code of Conduct
agree to follow this project Code of Conduct</t>
  </si>
  <si>
    <t>Anuken-Mindustry-8046</t>
  </si>
  <si>
    <t>What happen in sectors 229 ??? (playing on android)</t>
  </si>
  <si>
    <t>mollyim-mollyim-android-155</t>
  </si>
  <si>
    <t>Molly freezes when opening notification settings</t>
  </si>
  <si>
    <t>### Is there an existing issue for this?
have searched the existing issues
### Bug description
When trying to fine-tune notifications in the in-app notifications settings menu, the app will freeze and crash
am using GrapheneOS on Pixel
### Steps to reproduce
3.menu at top right Settings Notifications
4.app instantly freezes
5a.press circle button to close app
6a.after while, android sends prompt to quit the app or wait. waiting does not help and the prompt repeats. this is what consider crash.
5b.stay in the app. touch nothing. the notifications menu eventually opens after 40sec
6b. change settings as you like. each change takes another 40sec or so
### Molly version
### Android version
Android 13, Graphene OS (build TQ1A.221205.011)
### Link to debug log</t>
  </si>
  <si>
    <t>2022-12-09</t>
  </si>
  <si>
    <t>valterc-ki2-51</t>
  </si>
  <si>
    <t>ki2 crashing with Specialized Turbo Creo di2</t>
  </si>
  <si>
    <t>successfully paired ki2 to my Turbo Creo di2, but when start the ride the ki2 app immediately crashes, 100% repro. thinking perhaps this is because the bike has no front derailleur? (it gravel bike)
Everything works fine with my Specialized Aethos di2 setup (it does have front derailleur)
Anyway, it would be great if the issue could be fixed.
Please let me know if can help debug the issue.</t>
  </si>
  <si>
    <t>jellyfin-jellyfin-androidtv-2331</t>
  </si>
  <si>
    <t xml:space="preserve">Crash when navigating person bio in movies </t>
  </si>
  <si>
    <t>### Describe the bug
1. Select movie
2. Select person from cast crew
3. Once in the person bio info panel, navigating either down or right will lead to crash
In some instances, this action will not lead to crash. If it doesn going back and selecting different person and trying to navigate their bio will eventually lead to crash. It does not appear to happen in the Tv cast crew bios.
--------- beginning of crash
### App information
***App version***: 0.0.0-dev.1
### Device information
***Android version***: 10
***Device brand***: Sony
***Device product***: BRAVIA VH2 UC
***Device model***: BRAVIA 4K VH2
### Crash information
### Application version
(0.15.0-beta3+) build #2900
### Where did you install the app from?
### Device information
Sony Bravia 4k VH2
### Android version</t>
  </si>
  <si>
    <t>jellyfin-jellyfin-androidtv-2326</t>
  </si>
  <si>
    <t>Live Tv external app bug</t>
  </si>
  <si>
    <t>### Describe the bug
If set my preferred media player to External app for Live Tv, then select Live Tv channel, the program will just go to black screen. After few seconds the message Cannot play this video format pops up briefly, then goes away leaving only the black screen. The only option after this is to back out into the main menu, the system does not crash.
In my server transcode folder in the Jellyfin program data directory, will find that there is an ever-growing .ts file streaming the live tv channel. This will continue to increase in size until there is no more hard drive space left. Even if restart the Jellyfin AndoidTv app or Tv the server continues to stream to the .ts file. Only restarting the server stops the stream.
have tested this on the last stable build (.14.5) and this issue does not occur. If choose my preferred media as an external app for live tv, it will prompt me for an external app when select Live Tv channel as expected. Currently using build #2900 produces this. Posted relevant server logs.
### Application version
(0.15.0-beta3+) build #2900
### Where did you install the app from?
### Device information
Sony Bravia 4k VH2
### Android version
Android TV OS 10
### Jellyfin server version</t>
  </si>
  <si>
    <t>2022-12-08</t>
  </si>
  <si>
    <t>inaturalist-iNaturalistAndroid-1238</t>
  </si>
  <si>
    <t>Reordering sound causes crash</t>
  </si>
  <si>
    <t>1. Create or edit an observation that has at least two media files, at least one of which is sound.
2. Drag and drop the sound to re-order it.
3. As soon as it goes over the icon of another media item, the app either crashes or, if you just logged in, will attempt to upload the observation.
can currently get log files from either of my devices.</t>
  </si>
  <si>
    <t>TeamNewPipe-NewPipe-9518</t>
  </si>
  <si>
    <t>Crash when click "Add to playlist" while the current list is still loading</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</si>
  <si>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Go to Featured below Bandcamp
2. Click and go into one list
3. Click More Options and then click Add to playlist while the list still loading
Then the app crashed.
### Expected behavior
Hint like that the list has not finished loading, please wait.
Or nothing happen.
### Actual behavior
The app crashed.
### Screenshots Screen recordings
User Action: ui error
Request: ACRA report</t>
  </si>
  <si>
    <t>LawnchairLauncher-lawnchair-3155</t>
  </si>
  <si>
    <t>### Describe the bug
Can add google clock widget to home screen
### Steps to reproduce
Steps to reproduce the behavior:
1. Go to ...
2. Click on ....
3. Scroll down to ....
4. See error
### Expected behavior
When add Google clock widget to home screen it will crash.
### Device information
Device: Samsung A31
OS: One Ui 4.1
App version: 12.1.0
### Additional context</t>
  </si>
  <si>
    <t>2022-12-07</t>
  </si>
  <si>
    <t>google-ExoPlayer-10847</t>
  </si>
  <si>
    <t>IllegalStateException when drainToEndOfStream when in tunneling mode</t>
  </si>
  <si>
    <t>### ExoPlayer Version
### Devices that reproduce the issue
### Devices that do not reproduce the issue
Fire TV Stick (2nd Gen) running Fire OS 5.2.9.2 (Tunneling was not enabled for this media, tried other media with tunneling enabled but the issue was not present)
### Reproducible in the demo app?
### Reproduction steps
Turn on tunneling ie in PlayerActivity:
new context this)
As our media is over http you will need to allow clear text, so in an xml file in res xml:
And in the android manifest of the demo app &lt;application&gt; tag:
Play the video to the end, where the crash should occur.
### Expected result
The audio sink should be released successfully
### Actual result
The following exception is thown:
playerFailed eventTime 33.10, mediaPos 29.47, window 0, period 0, errorCode ERROR CODE FAILED RUNTIME CHECK
Media Url is sent via email
### Bug Report
You will email the zip file produced by adb bugreport to dev.exoplayer gmail.com after filing this issue.</t>
  </si>
  <si>
    <t>jellyfin-jellyfin-androidtv-2322</t>
  </si>
  <si>
    <t>[Chromecast] Random crash during playback</t>
  </si>
  <si>
    <t>### Describe the bug
1. Playing show
2. Randomly (feels like) crash
--------- beginning of main
--------- beginning of crash
### App information
***App version***: 0.14.5 140599
### Device information
***Android version***: 12
***Device brand***: google
***Device product***: sabrina prod stable
***Device model***: Chromecast
### Crash information
### FFmpeg logs
NA Direct Play
### Jellyfin Server Logs from around the crash timestamp
### Media info of the file
ffprobe version Copyright (c) 2007-2021 the FFmpeg developers
built with gcc 10 (Debian 10.2.1-6)
libavutil 56. 51.100 56. 51.100</t>
  </si>
  <si>
    <t>AndroidIDEOfficial-AndroidIDE-660</t>
  </si>
  <si>
    <t>[Bug]: 崩溃了</t>
  </si>
  <si>
    <t>### What happened?
AndroidIDE crash report
SDK version: 31
### What the expected behavior?
AndroidIDE crash report
SDK version: 31
### What version of AndroidIDE you re using?
v2.1.3 (debug builds)
### Relevant log output
AndroidIDE crash report
SDK version: 31
### Duplicate issues
This issue has not been reported yet.
### Code of Conduct
agree to follow this project Code of Conduct</t>
  </si>
  <si>
    <t>AndroidIDEOfficial-AndroidIDE-659</t>
  </si>
  <si>
    <t>bootstrap installation failed</t>
  </si>
  <si>
    <t>### What happened?
apparently it is not possible to create all the directories and files in the app directory, necessary for its use.
### What the expected behavior?
the app should be able to copy and create files in its app directory.
### What version of AndroidIDE you re using?
v2.1.3 (debug builds)
### Relevant log output
AndroidIDE crash report
SDK version: 29
### Duplicate issues
This issue has not been reported yet.
### Code of Conduct
agree to follow this project Code of Conduct</t>
  </si>
  <si>
    <t>2022-12-06</t>
  </si>
  <si>
    <t>MetaLabs-inc-react-native-vimeo-iframe-47</t>
  </si>
  <si>
    <t>vimeo player crashing the android app</t>
  </si>
  <si>
    <t>Hi, am having an issue with library called The problem is that when am rendering video in android the app got crashed am getting an error message in logcat of the android studio which is
API Levels: 23, 29, 30, 31, 32
Build Tools: 30.0.1, 30.0.2, 31.0.0, 32.0.0, 32.1.0, 33.0.0
System Images: android-30 Intel x86 Atom 64, android-30 Google APIs ARM 64 v8a, android-31 Intel x86 Atom 64, android-31 Google APIs ARM 64 v8a, android-31 Google APIs Intel x86 Atom 64, android-31 Google Play ARM 64 v8a, android-31 Google Play Intel x86 Atom 64
Android NDK: Not Found
Android Studio: 2021.1
On other hand the IOS working perfectly. am adding the code snippet which am using to render the video
&lt;View style flex:1
&lt;Vimeo style window ).width-100,
videoId idVideo here is the video id which am getting from the server</t>
  </si>
  <si>
    <t>Anuken-Mindustry-8028</t>
  </si>
  <si>
    <t>Surge alloy unlocked before (Nitrogen!?) in Erekir</t>
  </si>
  <si>
    <t>Release Build 140.4
As go through the Erekir sectors, when get to Ravine sector unlocked Surge Alloy and then unit cargo loader. But the cargo loader needs Nitrogen to activate. When look in the tech tree, There is locked item immediately before surge alloy which assume must be Nitrogen!? don know if unlocking Surge alloy before Nitrogen was intended. But skipping locked item to unlock something below it sure feels wrong and weird
didn do anything special to come to this assumed bug. Just went through the Erekir sectors in the unlocking order. This happens when reaching Ravine.
No mods were used
so sorry But can find how to upload zip file into this log from my android phone. Hope the bug description is clear enough.
Sorry if attached the wrong file. haven done this before from my phone. took this zip file from menu settings Game data Export data.
Game did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</si>
  <si>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MuntashirAkon-AppManager-951</t>
  </si>
  <si>
    <t>Crashing when opening app from main page</t>
  </si>
  <si>
    <t>### Please check before submitting an issue
know what my device, OS and App Manager versions are
know how to take logs
know how to reproduce the issue which may not be specific to my device
### Describe the bug
have installed this shady chinies app NP MANAGER (just bcz it connects to internet), provides functionalities which you see in MT Manager. This app seems highly obfuscated. can not open the NP manager app info in the AM Debug version. It crashes the AM Debug. am attaching logs below.
### To Reproduce
1. Open app manager
2. Tap on NP manager in app list.
3. It crashes.
### Expected behavior
Should open details page for NP manager.
Caused by: Attempt to invoke virtual method boolean on null object reference
App version: 3.1.0-alpha02-DEBUG
App version code: 415
Android build version: 1669133913
Android release version: 13
Android SDK version: 33
Android build ID: TD1A.221105.001
Device brand: Redmi</t>
  </si>
  <si>
    <t>COSC481W-2022Fall-capstone-project-vibe-104</t>
  </si>
  <si>
    <t>61 design</t>
  </si>
  <si>
    <t>Design changes including:
round profile pics
background set for all views
resizing of toolbars and contact cards
resizing of send button
Bug fixes including:
Logout crash caused by unsuccessful listeners</t>
  </si>
  <si>
    <t>2022-12-05</t>
  </si>
  <si>
    <t>material-components-material-components-android-3129</t>
  </si>
  <si>
    <t>[MaterialCardView] Generates NumberFormatException</t>
  </si>
  <si>
    <t>Caused by: For input string: ?2130969380
... 72 more
**Expected behavior:** should be able to display Card without crash. It works if downgrade to 1.7.0 version of the material library
**Source code:** Try to run the attached app in Android Studio Dolphin or Elec Eel.
**Android API version:** 29
**Material Library version:** 1.8.0-alpha03
To help us triage faster, please check to make sure you are using the latest version (https: github.com material-components releases) of the library.
We also happily accept pull requests (https: github.com material-components pulls).</t>
  </si>
  <si>
    <t>jellyfin-jellyfin-androidtv-2312</t>
  </si>
  <si>
    <t>Series recording in Live TV crash</t>
  </si>
  <si>
    <t>### Describe the bug
Opening up series recording in the Series menu from Live TV will lead to crash. This crash also occurred in the last stable build (.14.5).
--------- beginning of main
--------- beginning of crash
### App information
***App version***: 0.15.0-beta.3 150003
### Device information
***Android version***: 10
***Device brand***: Sony
***Device product***: BRAVIA VH2 UC
***Device model***: BRAVIA 4K VH2
### Crash information
### Application version
### Where did you install the app from?
### Device information
Sony Bravia 4k VH2
### Android version
Android TV OS 10
### Jellyfin server version</t>
  </si>
  <si>
    <t>Anuken-Mindustry-8026</t>
  </si>
  <si>
    <t>iOS word document from Files opens mindustry if installed</t>
  </si>
  <si>
    <t>**Steps to reproduce**: open word document in Files
**Link(s) to mod(s) used**: No mod
If you remove the line above without reading it properly and understanding what it means, will reap your soul. Even if you re playing on someone server, you can still save the game to slot.
**(Crash) logs**: no crash report on iOS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</si>
  <si>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Anuken-Mindustry-8025</t>
  </si>
  <si>
    <t>Logic code scrolls up on cancel editing value</t>
  </si>
  <si>
    <t>**Steps to reproduce**: Open mindustry on mobile(android), place logic with enough contents to scroll, scroll down, modify the last line to open the text box, tap cancel of text box.
**Link(s) to mod(s) used**: None.
**Save file**: None, read but it happens all the time (which is annoying that why opened this issue).
**(Crash) logs**: None, doesn cause any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</si>
  <si>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2022-12-04</t>
  </si>
  <si>
    <t>LSPosed-LSPosed-2271</t>
  </si>
  <si>
    <t>[Bug] System launcher crashes</t>
  </si>
  <si>
    <t>### Steps to reproduce
1. Install from magisk
2. Reboot phone
3. Pull down notification bar to add icon from lsposed manager (yes bcz lsposed won place icon after phone reboot)
4. After icon has been adden, then press and hold it
5. System launcher crashes as soon as pressed it
### Expected behaviour
It does not crashes
### Actual behaviour
### Xposed Module List Xposed
Hide my applist
### Magisk Module List Magisk
Universal SafetyNet Fix
### LSPosed version LSPosed
### Android version Android
CrDroid Official (Android 13)
### Magisk version Magisk
### Riru version Riru
### Version requirement
am using latest debug CI version of LSPosed and enable verbose log CI</t>
  </si>
  <si>
    <t>jellyfin-jellyfin-androidtv-2306</t>
  </si>
  <si>
    <t>### Describe the bug
Fast forward when playing video, app prompts crash, and crashes directly when opening app again to play video
... 11 more
### FFmpeg logs
### Media info of the file
### Application version
### Device information
***Device brand***: HONOR ***Device product***: LOK-360 ***Device model***: LOK-360
### Android version
***Android version***: 10
### Jellyfin server version</t>
  </si>
  <si>
    <t>itsvks19-LayoutEditor-10</t>
  </si>
  <si>
    <t>### What happened?
App crashed as deleted old projects
### What the expected behavior?
No crash :-)
### Relevant log output
App version: 0.4.0-alpha
### Code of Conduct
agree to follow this project Code of Conduct</t>
  </si>
  <si>
    <t>2022-12-03</t>
  </si>
  <si>
    <t>nextcloud-android-11133</t>
  </si>
  <si>
    <t>error when accessing media section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</si>
  <si>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Just trying to open media section in the Nextbook app
### Expected behaviour
The app should show picture thumbnail
### Actual behaviour
The app crashed
### Android version
### Device brand and model
### Stock or custom OS?
### Nextcloud android app version
### Nextcloud server version
### Using reverse proxy?
### Android logs
### Cause of error
Exception in thread main Fragment already added: 44311f6 tag data)</t>
  </si>
  <si>
    <t>AndroidIDEOfficial-AndroidIDE-654</t>
  </si>
  <si>
    <t>[Bug]: app close on swipe by my java code</t>
  </si>
  <si>
    <t>### What happened?
was looking for an error in my java code, while scrolling up, the app crashed
### What the expected behavior?
Slide through my code, see the error and fix it.
### What version of AndroidIDE you re using?
### Relevant log output
AndroidIDE crash report
SDK version: 31
### Duplicate issues
This issue has not been reported yet.
### Code of Conduct
agree to follow this project Code of Conduct</t>
  </si>
  <si>
    <t>PojavLauncherTeam-PojavLauncher-3750</t>
  </si>
  <si>
    <t>Can't put optifine</t>
  </si>
  <si>
    <t>### Describe the bug
### The log file and images videos
### Steps To Reproduce
When click optifine jar my game crash
### Expected Behavior
Device model: Galaxy A12
CPU architecture: Aarch64
Android version: 12
PojavLauncher version: openjdk
### Anything else?</t>
  </si>
  <si>
    <t>AndroidIDEOfficial-AndroidIDE-652</t>
  </si>
  <si>
    <t>### What happened?
AndroidIDE crash report
SDK version: 27
### What the expected behavior?
### What version of AndroidIDE you re using?
v2.1.3 (debug builds)
### Relevant log output
### Duplicate issues
This issue has not been reported yet.
### Code of Conduct
agree to follow this project Code of Conduct</t>
  </si>
  <si>
    <t>2022-12-02</t>
  </si>
  <si>
    <t>google-ExoPlayer-10828</t>
  </si>
  <si>
    <t>Getting app crash after updating to 2.18.2</t>
  </si>
  <si>
    <t>### ExoPlayer Version
### Devices that reproduce the issue
Android Tv and Fire TV
### Devices that do not reproduce the issue
### Reproducible in the demo app?
### Reproduction steps
Play any video
### Expected result
Vidoe should play
### Actual result
App is crashing
--------- beginning of crash
### Bug Report
You will email the zip file produced by adb bugreport to dev.exoplayer gmail.com after filing this issue.</t>
  </si>
  <si>
    <t>Anuken-Mindustry-8016</t>
  </si>
  <si>
    <t>Frequent Crashes on My Ancient Android</t>
  </si>
  <si>
    <t>**Steps to reproduce**: unsure but it happens seemingly every few mins, sometimes when the game is booting up. think it may be an issue RAM. The game sometimes loses progress after crashing, resulting in the loss of resources or even acting like abandoned sector (not even preserving phantom bldg when launch there again).
**Link(s) to mod(s) used**:
**Save file**: Please don reap my soul. IDK how to upload save am unsure it would help if this is indeed on my end.
**(Crash) logs**: was unable to find that but maybe this last log.txt will do:
GL Version: GLES 3.0.0 Qualcomm Adreno (TM) 308
GL Max texture size: 4096
GL Using OpenGL context.
ANDROID API level: 23
RAM Available: 192.0 MB
Mindustry Version: 140.4
Total time to load: 14546ms
Fetching community servers at https: Anuken Mindustry master servers v7.json
Fetched 27 community servers.
My phone model (ZTE Z833) allegedly has GB RAM but this .txt seems to think otherwise. Do need to update OpenGL?? If so, how?? Are there settings can adjust to improve performance??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</si>
  <si>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AndroidIDEOfficial-AndroidIDE-647</t>
  </si>
  <si>
    <t>[Bug]: crashed when long click item and move it in layout editor (layout designer)</t>
  </si>
  <si>
    <t>### What happened?
AndroidIDE crash report
SDK version: 28
### What the expected behavior?
fix the issue when possible
### What version of AndroidIDE you re using?
v2.1.3 (debug builds)
### Relevant log output
### Duplicate issues
This issue has not been reported yet.
### Code of Conduct
agree to follow this project Code of Conduct</t>
  </si>
  <si>
    <t>2022-12-01</t>
  </si>
  <si>
    <t>Anuken-Mindustry-8013</t>
  </si>
  <si>
    <t>oh no</t>
  </si>
  <si>
    <t>**Link(s)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</si>
  <si>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MonwF-customiuizer-75</t>
  </si>
  <si>
    <t>Round rect cc</t>
  </si>
  <si>
    <t>In the last update you added round rectangle control center style, but it not showing menu, and if try to open it via searching, customiuizer crashes.</t>
  </si>
  <si>
    <t>Anuken-Mindustry-8012</t>
  </si>
  <si>
    <t>Bug with poly/mega (RU)</t>
  </si>
  <si>
    <t>**Steps to reproduce**:
**Link(s) to mod(s) used**:
**Save file**: Here (https: drive.google.com file view?usp drivesdk)
Dont eat me pls)
**(Crash) logs**: Nope, its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</si>
  <si>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Anuken-Mindustry-8011</t>
  </si>
  <si>
    <t>Unexpected conduit bridge placement</t>
  </si>
  <si>
    <t>**Steps to reproduce**: Build conduit bridge by dragging conduit across another conduit and duct running perpendicularly. The conduit was dragged from the right to the left in the screenshots below.
**Link(s) to mod(s) used**: none
**Save file**: don know where to find the save file.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</si>
  <si>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2022-11-30</t>
  </si>
  <si>
    <t>ReVanced-revanced-integrations-229</t>
  </si>
  <si>
    <t>bug: Twitch crashes after patching</t>
  </si>
  <si>
    <t>### Bug description
just patched two stable versions of the Twitch and it won open.
### Steps to reproduce
1. Patch the latest stable version of Twitch (14.2.0) or 14.1.04
### Relevant log output
### Screenshots or videos
### Additional context</t>
  </si>
  <si>
    <t>DiegoPassa-Bookito-22</t>
  </si>
  <si>
    <t>BE CAREFUL MUST BE FIXED</t>
  </si>
  <si>
    <t>Sometime when user open request page, app crashes warning. The errore is Log.d( AOAOOAOAOA
Because it says UserModel is null reference, so it would crash anyway in next lines</t>
  </si>
  <si>
    <t>patzly-grocy-android-594</t>
  </si>
  <si>
    <t>Chore list crash</t>
  </si>
  <si>
    <t>When using latest docker image version from linuxserver grocy. Selecting chores in app crashes application with no user viewable error.
Server version 3.3.2, application version on Android of 2.3.0</t>
  </si>
  <si>
    <t>Anuken-Mindustry-8010</t>
  </si>
  <si>
    <t>Guardians Don't Show Up</t>
  </si>
  <si>
    <t>**Steps to reproduce**: Launch to some attack sectors (I ve found the bug on serpulo 24, 229, and one other that can remember). It might happen on all, haven checked. Play as normal, until the guardian is supposed to appear. When the wave with the guardian starts, observe that no units spawn and the timer for the next wave starts.
**Link(s) to mod(s) used**: have Time Control (https: github.com sk7725 TimeControl) and RTFM (https: github.com DeltaNedas rtfm) installed, but don think they are relevant here.
**(Crash) logs**: A,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</si>
  <si>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2022-11-29</t>
  </si>
  <si>
    <t>COSC481W-2022Fall-capstone-project-vibe-95</t>
  </si>
  <si>
    <t>90 conversation on physical device</t>
  </si>
  <si>
    <t>Feat: fixing bug
*changed lines that caused it to crash
*delete line from settings view</t>
  </si>
  <si>
    <t>PojavLauncherTeam-PojavLauncher-3741</t>
  </si>
  <si>
    <t>[BUG] crash when joining on WynnCraft server</t>
  </si>
  <si>
    <t>### Describe the bug
The game crashes every time interact with the npc there, it like taking quest
### The log file and images videos
### Steps To Reproduce
1. Start Pojavlauncher
2. Login with Microsoft
3. Play with 1.15.2
4. Join WynnCraft server
### Expected Behavior
please fix it because want to play on that server
Device model: Vivo 2007 32G
CPU architecture: aarch64
Android version: 11
PojavLauncher version: openjdk
### Anything else?
ve tried all versions and it still crashes</t>
  </si>
  <si>
    <t>Anuken-Mindustry-8007</t>
  </si>
  <si>
    <t>Multiplayer campaign Erekir - Repeated crashing, sometimes minutes apart</t>
  </si>
  <si>
    <t>**Steps to reproduce**: wish knew. May be related to destroying the final core, may be related to lots of map changes happening quickly.
**Link(s) to mod(s) used**: am not using mods.
**Save file**: Since there were multiple crashes, here the contents of my saves folder:
The most recent couple are from the Basin crashes.
**(Crash) logs**: No crash logs found. even looked in %appdata% Mindustry and all it has is last log.txt: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</si>
  <si>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michalchudziak-react-native-geolocation-225</t>
  </si>
  <si>
    <t>Fatal Exception: java.lang.ClassCastException: java.lang.Long cannot be cast to java.lang.Integer</t>
  </si>
  <si>
    <t>Hi michalchudziak. just deployed v3.0.4 to production yesterday and now seeing this crash in Crashlytics.
Fatal Exception: java.lang.Long cannot be cast to java.lang.Integer</t>
  </si>
  <si>
    <t>2022-11-28</t>
  </si>
  <si>
    <t>facebook-react-native-35492</t>
  </si>
  <si>
    <t>fix: codegen crash when parsing TS interfaces</t>
  </si>
  <si>
    <t>&lt;!-- Thanks for submitting pull request! We appreciate you spending the time to work on these changes. Please provide enough information so that others can review your pull request. The three fields below are mandatory. --&gt;
when defining turbomodule spec, tried to extract common parameter into an interface.
The error get is this:
Codegen &gt;&gt;&gt;&gt;&gt; Processing RNSimpleToastSpec
After the fix get this:
Codegen &gt;&gt;&gt;&gt;&gt; Processing RNSimpleToastSpec
Invariant Violation: Styles must resolve to Instead, it resolved to
Then know that should not be using an interface but type
Internal Fixed TS codegen crash when parsing interfaces
## Test Plan
let me know if you want an automated test</t>
  </si>
  <si>
    <t>2022-11-27</t>
  </si>
  <si>
    <t>LawnchairLauncher-lawnchair-3137</t>
  </si>
  <si>
    <t>[BUG] Launcher crash on Android 13</t>
  </si>
  <si>
    <t>### Describe the bug
Since couple of the latest dev builds, lawnchair crashes everytime try to go into the Icon Style section to change the icon pack. running the latest dev builds with the latest version of Android 13 with the October security update on Pixel pro.
### Steps to reproduce
Steps to reproduce the behavior:
1. Long press on the home screen
2. Click on Home Settings
3. Click on General
4. Click on Icon Style under Icons section
5. See error
### Expected behavior
When the Icon Style button is clicked, lawnchair crashes with crash report notification and massage saying lawnchair has stopped and and an option to close the app is provided.
### Device information
Device: Google Pixel Pro
OS: stock ROM Android version 13.0
App version: 12.1.0 Dev 1398
### Additional context</t>
  </si>
  <si>
    <t>VinylMusicPlayer-VinylMusicPlayer-628</t>
  </si>
  <si>
    <t>Crash when scrolling through a playlist</t>
  </si>
  <si>
    <t>**Describe the bug**
If you scroll, starting at the top of playlist, using the scroll bar, the app crashes.
Steps to reproduce the behavior:
1. Open playlist
2. Scroll down using the scroll bar
3. App crashes
**Smartphone (please complete the following information):**
Android Version: Android 13
Vinyl Music Player Version: 1.3.0
Crash only happens whe scrolling from the top of playlist and using the scroll bar.
FATAL EXCEPTION: main</t>
  </si>
  <si>
    <t>Anuken-Mindustry-8001</t>
  </si>
  <si>
    <t>Kanyon haritasına girilmiyor.atlas yerine göletçik haritasına bağlanıyor</t>
  </si>
  <si>
    <t>PojavLauncherTeam-PojavLauncher-3739</t>
  </si>
  <si>
    <t>PojavLauncher crashes when i try to load a server's terrain v1.19.2</t>
  </si>
  <si>
    <t>### Describe the bug
Probably my CPU is not powerful at all want to enable Vertex Buffer Objects but couldnt find it in my settings can you help
### The log file and images videos
### Steps To Reproduce
1.Start PojavLauncher 1.19.2
2.Click Multiplayer and join random server
3.Wait for the game to load
### Expected Behavior
expect the game to load the server.
Device model: General Mobile Gm22 Pro 128G
CPU architecture: Mediatek Helio G95 arm64
Android version: 11
PojavLauncher version: 3.3.1.1
### Anything else?
My GPU is</t>
  </si>
  <si>
    <t>emanuele-f-PCAPdroid-284</t>
  </si>
  <si>
    <t>APP crashes when importing huge .json file with blocked hosts.</t>
  </si>
  <si>
    <t>.json file generated with https: pcapdroid.org hosts.html
.json file used: https: usaupload.com 6OvM PCAPDROID BLOCK.json
raw blocked hosts: https: usaupload.com 6OvL raw blocked hosts.txt
Basically, after all that, when importing the file, the app will just crash.</t>
  </si>
  <si>
    <t>PojavLauncherTeam-PojavLauncher-3737</t>
  </si>
  <si>
    <t>[BUG] &lt;pojav launcher crashing with code 1  in chrome book&gt;</t>
  </si>
  <si>
    <t>### Describe the bug
When launch Minecraft in pojav launcher it crashes
### The log file and images videos
### Steps To Reproduce
start pojav launcher
launch 1.8.9 or any version you like
### Expected Behavior
Crashes with code or doesn even load or work goes to black screen with just controls and just does not launch the game basically
Device model: chrome 11 3180 P26T model dell
CPU architecture: broad ware architecture (intel Gen8)
Android version: chrome os 103.0.5060.132
PojavLauncher version: latest in play store
### Anything else?
Idk if supposed to use pojav in Chromebook if not sorry</t>
  </si>
  <si>
    <t>CMPUT301F22T15-Foodverse-81</t>
  </si>
  <si>
    <t>Added null value checks to shopping list to stop crashes.</t>
  </si>
  <si>
    <t>Anuken-Mindustry-7999</t>
  </si>
  <si>
    <t>OpenGL error when opening the game even with the latest available OpenGL update higher than 2.1</t>
  </si>
  <si>
    <t>** Try to update your graphics drivers. If this doesn work, your computer may not support Mindustry. **
** Full message: GLEW failed to initialize: Missing framebuffer object extension. **
Previously, this did not happen, it should be noted that before used Windows x64, and also used Linux Mint 20 x64, in both it did not give an error.
tried updating my graphics driver, but it didn work either when updating it or going back to previous versions.
Driver info (https: 74994780
tried different games to see if it would happen, but no, it only happens with Mindustry.
use Windows 10 22H2
**Steps to reproduce**: Open the game (xD)
**Link(s) to mod(s) used**: Not Applicable
**Save file**: Not Applicable (I can open the game)
**(Crash) logs**: Log in C: Users $USER$ AppData Roaming Mindustry crashes
**I have updated to the latest release (https: github.com Anuken Mindustry releases) to make sure my issue has not been fixed.**
**I have searched the closed and open issues to make sure that this problem has not already been reported.**</t>
  </si>
  <si>
    <t>Anuken-Mindustry-7998</t>
  </si>
  <si>
    <t>Erekir Campaign level "Intersect" — "Walk Around" Exploit with Merui mech units</t>
  </si>
  <si>
    <t>**Steps to reproduce**: Play Intersect in the Erekir campaign. Produce Merui units. Walk around the upper left side and destroy core without drawing any fire.
**Link(s) to mod(s) used**: Vanilla.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</si>
  <si>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2022-11-26</t>
  </si>
  <si>
    <t>Anuken-Mindustry-7997</t>
  </si>
  <si>
    <t>Enemy turrets have infinite ammo</t>
  </si>
  <si>
    <t>**Steps to reproduce**: In my replay you can see an example of that, shortly before the end. am at the northern side of the enemy base and trigger one of their anti-air turrets. You can see perfectly, that no ammo is used from the supply chain and the turret keeps shooting.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
est release (https: github.com Anuken Mindustry releases) to make sure my issue has not been fixed.**
**I have searched the closed and open issues to make sure that this problem has not already been reported.**</t>
  </si>
  <si>
    <t>PojavLauncherTeam-PojavLauncher-3735</t>
  </si>
  <si>
    <t>[BUG] Game crash due to mods</t>
  </si>
  <si>
    <t>### Describe the bug
Hi, can you please take closer look to the log file pleaae. My game crashed
### The log file and images videos
### Steps To Reproduce
Step 1. Download these mod (for the mods you need, go to anhthing else? For pictures)
Step 2. Launch the game on forge.
Step 3. Crash
### Expected Behavior
expected the game to launches
Device model: Samsung galaxy A32
CPU architecture: aarch64
Android version: 12
PojavLauncher version: openjdk
### Anything else?</t>
  </si>
  <si>
    <t>cgeo-cgeo-13731</t>
  </si>
  <si>
    <t xml:space="preserve"> Crash on 2022-11-24+ nightly build when trying to display About:cgeo menu</t>
  </si>
  <si>
    <t>### Describe your problem!
As mentioned in #13730 trying to display the About c:geo menu triggers crash.
### How to reproduce?
1. on cgeo Home menu
2. tap the three-dot menu
3. tap About c:geo
### Actual result after these steps?
The app crashes
### Expected result after these steps?
The menu is displayed without crash
### c:geo Version
### System information
Device type: Redmi Note (lineage mido, Xiaomi)
Android version: 7.1.2
Android build: lineage mido-userdebug 7.1.2 NJH47F 535058185f
Screen resolution: 1080x1920px (400x687dp)
Pixel density: 2.7
System font scale: 1.0 used scale: 1.0
Sailfish OS detected: false
Google Play services: enabled 22.44.17 (040408-488410709)</t>
  </si>
  <si>
    <t>cgeo-cgeo-13730</t>
  </si>
  <si>
    <t>Crash on 2022-11-24+ nightly build when downloading geocaches</t>
  </si>
  <si>
    <t>### Describe your problem!
Trying to load or refresh any GC.com geocache from the Internet with the nightly build results in crash (after at least Loading logs in the pop up).
This started after an upgrade to the 2022-11-24 nightly build.
### How to reproduce?
1. display locally downloaded geocache
2. pull to refresh
3. have it crash after Loading logs is displayed in the popup
This also occurs with cache never downloaded and background refresh (batch downloading list of geocaches).
### Actual result after these steps?
The app crashes after Loading logs is displayed in the popup
### Expected result after these steps?
No crash, the geocache would be properly downloaded
### c:geo Version
### System information
Copy and paste it from c:geo Menu -&gt; About c:geo -&gt; Swipe right to System
This triggers another crash, here the information from the Report as email menu
Device type: Redmi Note (lineage mido, Xiaomi)
Android version: 7.1.2
Android build: lineage mido-userdebug 7.1.2 NJH47F 535058185f
Screen resolution: 1080x1920px (400x687dp)</t>
  </si>
  <si>
    <t>nextcloud-android-11096</t>
  </si>
  <si>
    <t>Nextcloud crash on disabling Plane mode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</si>
  <si>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Enable plane mode
2. Wait some time
3. Disabled plane mode
### Expected behaviour
### Actual behaviour
Nextcloud shows up with an error log
### Android version
### Device brand and model
### Stock or custom OS?
### Nextcloud android app version
### Nextcloud server version
### Using reverse proxy?
### Android logs
### Cause of error</t>
  </si>
  <si>
    <t>LawnchairLauncher-lawnchair-3131</t>
  </si>
  <si>
    <t>[BUG]  Crash clicking on "icon style"</t>
  </si>
  <si>
    <t>### Describe the bug
Lawnchair crashes everytime tap on icon style
### Steps to reproduce
Steps to reproduce the behavior:
1. Go to General Settings
2. Click on Icon style
### Expected behavior
Should give me the chance to change icon style
### Device information
App version: 12.1.0 Dev (#1394)
### Additional context</t>
  </si>
  <si>
    <t>itsdrnoob-DataMonitor-83</t>
  </si>
  <si>
    <t>Crash due to NumberFormatException</t>
  </si>
  <si>
    <t>**Error 1:** Setup -&gt; Add data plan (Upon reaching the limit)
Crash Logs Do Not modify
----------Start of crash----------
Thread name: Timer-0
Thread stacktrace: Method),
crash message: For input string: 1,1
**Error 2:** Setup -&gt; Set up notifications
Crash Logs Do Not modify
----------Start of crash----------
Thread name: main
Thread stacktrace: Method),</t>
  </si>
  <si>
    <t>jellyfin-jellyfin-androidtv-2291</t>
  </si>
  <si>
    <t>AndroidTV crashing sometimes after stopping playback</t>
  </si>
  <si>
    <t>### Describe the bug
1. Start playing back video.
2. While video is playing press the back button on the nvidia shield remote.
3. App crashes
--------- beginning of main
--------- beginning of crash
### App information
***App version***: 0.14.5 140599
### Device information
***Android version***: 11
***Device brand***: NVIDIA
***Device product***: mdarcy
***Device model***: SHIELD Android TV
### Crash information
### Application version
### Where did you install the app from?
### Device information
### Android version
### Jellyfin server version</t>
  </si>
  <si>
    <t>2022-11-25</t>
  </si>
  <si>
    <t>Anuken-Mindustry-7996</t>
  </si>
  <si>
    <t>Launch Pad menu icon and build texture don't match the new Launch Pad texture</t>
  </si>
  <si>
    <t>Happens in every sector at all times but save file linked below just in case, don want to get my soul reaped.
No mods, no crashes.
**Save file**: (https: github.com Anuken Mindustry files 10094704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</si>
  <si>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Anuken-Mindustry-7995</t>
  </si>
  <si>
    <t>Game crashes on steam instantly on start up</t>
  </si>
  <si>
    <t>press the play button on steam to launch mindustry black app window that has an smaller error window pop up that the game has crashed.
**Steps to reproduce**: *How you happened across the issue, and what exactly you did to make the bug happen.*
Just pressed play on steam account to lunch mindustry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</si>
  <si>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Anuken-Mindustry-7994</t>
  </si>
  <si>
    <t>Can't update on map</t>
  </si>
  <si>
    <t>PC Windows 11
Steam build 140.4
have steam workshop map that made when V7 was still in beta, and recently made some changes to it. am now trying to update it.
**Steps to reproduce**: *How you happened across the issue, and what exactly you did to make the bug happen.*
-Make V7 Map during beta
-V7 releases as complete version
-Add liquid pools to the map
-Press open in workshop, askes me if want to update it.
-Try to update it, write changelog and all
Error publishing item: FileNotFound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Capture cran 2022-11-25 174116 (https: 118306463</t>
  </si>
  <si>
    <t>trungdunghoang125-Alpha-Radio-6</t>
  </si>
  <si>
    <t>When first install, if click on play button on mini player, app will crash.
Because of at the first time, there is no data value in the shared preferences (Null)</t>
  </si>
  <si>
    <t>CMPUT301F22T02-well-fed-242</t>
  </si>
  <si>
    <t>Bug: App crash on RecipeBook Fragment</t>
  </si>
  <si>
    <t>Randomly get the below exception when open Recipe Fragment.
FATAL EXCEPTION: main</t>
  </si>
  <si>
    <t>AndroidIDEOfficial-AndroidIDE-628</t>
  </si>
  <si>
    <t>[Bug]: IDE Installation complete auto-focus</t>
  </si>
  <si>
    <t>### What happened?
See the video for more information...
It launches new activity then the new service binds to the current service then when opening file it crashes...
### What the expected behavior?
It should go back to the same activity
### What version of AndroidIDE you re using?
v2.1.2 (debug builds)
### Relevant log output
--------- beginning of crash
### Duplicate issues
This issue has not been reported yet.
### Code of Conduct
agree to follow this project Code of Conduct</t>
  </si>
  <si>
    <t>CMPUT301F22T02-well-fed-237</t>
  </si>
  <si>
    <t>Updating a mealplan by deleting a recipe and then deleting that recipe will crash the app</t>
  </si>
  <si>
    <t>Related to issue #225
After editing mealplan by deleting recipe you will be able to delete the recipe. However since the mealplan does not update, when the mealplan is viewed it crashes the app and will continuously crash.</t>
  </si>
  <si>
    <t>CMPUT301F22T02-well-fed-215</t>
  </si>
  <si>
    <t>Bug: Trying to edit recipe created by a MealPlan leads to a crash</t>
  </si>
  <si>
    <t>Steps to replicate:
1. Start creating new MealPlan
2. Add new recipe with new ingredient through the MealPlan
3. Click on the new recipe created in the Recipe Book
4. Click the edit button on this recipe
5. App crash occurs</t>
  </si>
  <si>
    <t>2022-11-24</t>
  </si>
  <si>
    <t>CMPUT301F22T02-well-fed-212</t>
  </si>
  <si>
    <t>Bug: Pressing the FAB on Shopping cart causes the app to crash</t>
  </si>
  <si>
    <t>This FAB is not needed currently maybe we could just remove it here?
Steps to replicate:
1. Go to Shopping Cart
2. Press the FAB
&lt;img width 270 alt Screen Shot 2022-11-24 at 23 52 AM src https: 90803938</t>
  </si>
  <si>
    <t>CMPUT301F22T02-well-fed-210</t>
  </si>
  <si>
    <t>Bug: App crash on recipe edit</t>
  </si>
  <si>
    <t>Recipe crashes while editing, caused by Manpreet optimization. steventango</t>
  </si>
  <si>
    <t>tradle-react-native-udp-223</t>
  </si>
  <si>
    <t>Bind is crashing</t>
  </si>
  <si>
    <t>When bind throws an error with socket.bind(), the app will crash. The error is received but even though it is handled in the JS, the package still crashes an app.
It can be replicated by giving it bad port to bind to.
LOG socket-0 binding, address: badport port:
LOG socket-0 failed to bind message Unable to resolve host badport No address associated with hostname
LOG createUDPListener bind error: message Unable to resolve host badport No address associated with hostname
ERROR Error: Unhandled error. (Unable to resolve host badport No address associated with hostname), js engine: hermes
It is being passed function to receive the callback error, as seen on log line 3, which prints it out. Then the package seems to crash it anyway.
This is all wrapped in try-catch, so it is not trickling up and being caught.
const socket dgram.createSocket( ...
socket.bind(port, (error) ....
catch (error) ....
The project is on all the latest version of all packages.</t>
  </si>
  <si>
    <t>2022-11-23</t>
  </si>
  <si>
    <t>googleads-googleads-mobile-flutter-704</t>
  </si>
  <si>
    <t>[iOS] Crashed: com.apple.root.default-qos : GADInspectorExtras</t>
  </si>
  <si>
    <t>## Plugin Version
google mobile ads: ^2.3.0
## Steps to Reproduce
have unfortunately no way to reproduce this issue, it happens to my beta test users only in release mode.
am only using native ads in my app and the crash comes from GADInspectorExtras
**Expected results:** &lt;!-- what did you want to see? --&gt;
The app is crashing.
**Actual results:** &lt;!-- what did you see? --&gt;
The app should not crash
Crashlytics Stack trace
Version: 0.20.0 (1)
Session: DNE v2
libsystem kernel.dylib 0xb48 mach msg2 trap
libsystem kernel.dylib 0x13008 mach msg2 internal 80
libsystem kernel.dylib 0x13248 mach msg overwrite 388
libsystem kernel.dylib 0x108c mach msg 24
CoreFoundation 0x7ae00 160
CoreFoundation 0x7c044 CFRunLoopRun 1232
CoreFoundation 0x811e4 612
GraphicsServices 0x1368 GSEventRunModal 164</t>
  </si>
  <si>
    <t>org-SCAN-android-app-139</t>
  </si>
  <si>
    <t>[BUG]No cascade delete when deleting someone</t>
  </si>
  <si>
    <t>**Description of the bug**
When person is deleted, the associated relation aren deleted. The application crashes when clicking on Manage Relation
**Severity of the bug**
It kicks me, it annoying
**Appearance of the bug**
How this bug happened
1. Create relation between
3. Go to Manage Relation -&gt; Bug</t>
  </si>
  <si>
    <t>tstewart-Today-I-82</t>
  </si>
  <si>
    <t>Pre-2.0 Minor Bugs</t>
  </si>
  <si>
    <t>Gestures no longer work
Changing theme (e.g. light to dark) with Accomplishment dialog open crashes the application
Fix inconsistent light dark theming
Import from file shows toast too early
Export to file broken without proper permissions granted
Locking the application without password or biometrics causes the app to not be unlockable
Re-order settings to put higher priority settings first
Auto-lock triggers when selecting an image or backup
Inconsistent capitalisation in settings
Accomplishment images are too small
Accomplishment images sometimes don appear
Multiple calendar dialogs can be opened at once
Background ripple on some buttons doesn follow dynamic colours
Settings does not follow M3
Multiple instances of full screen image dialog can be opened at once</t>
  </si>
  <si>
    <t>Anuken-Mindustry-7986</t>
  </si>
  <si>
    <t>No Unit Cap Bug</t>
  </si>
  <si>
    <t>**Steps to reproduce**: Download the map here (https: cdn.discordapp.com attachments 661636805128486922 1043677587085459507
Host the map place unit factory and observe
**Link(s) to mod(s) used**:none
**Save file**: https: cdn.discordapp.com attachments 661636805128486922 1043677587085459507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</si>
  <si>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PojavLauncherTeam-PojavLauncher-3726</t>
  </si>
  <si>
    <t>[BUG] Fabric 1.16.5 failed to launch it says Applicaton/Game Exited</t>
  </si>
  <si>
    <t>### Describe the bug
It crashes when try to launch fabric,i dont know why is this happening everytime.I can run forge but it crashes on fabric.
### The log file and images videos
--------- beginning with launcher debug
--------- beginning of system
--------- beginning of main
Added custom env: TMPDIR data user net.kdt.pojavlaunch cache
Added custom env: AWTSTUB WIDTH 1280
Added custom env: REGAL GL VERSION 4.5
Added custom env: REGAL GL VENDOR Android
Added custom env: LIBGL MIPMAP
Added custom env: allow higher compat version true
Added custom env: MESA GLSL CACHE DIR data user net.kdt.pojavlaunch cache
Added custom env: HOME storage emulated games PojavLauncher .minecraft
Added custom env: PATH data user net.kdt.pojavlaunch runtimes bin: sbin: vendor bin: system sbin: system bin: system xbin
Added custom env: LIBGL NOINTOVLHACK
Added custom env: force glsl extensions warn true
Added custom env: LIBGL NORMALIZE
Added custom env: POJAV RENDERER opengles2
Added custom env: LIBGL ES</t>
  </si>
  <si>
    <t>cgeo-cgeo-13715</t>
  </si>
  <si>
    <t>Crash when trying to open filter menu while distance filter active</t>
  </si>
  <si>
    <t>### Describe your problem!
user on support mail applied distance filter on his stored caches and he can remove it.
As soon as he tries, the app crashes.
### How to reproduce?
According to user:
Setup distance filter for stored caches
Chosen setting according to user: think set the lower range to be equal to the max range because was trying to filter on the caches have that are more than 500 miles away.
Tap on filter to remove it
### Actual result after these steps?
### Expected result after these steps?
Filter menu opened to remove filter
### c:geo Version
### System information
## System information
Device type: SM-G965U (star2qltesq, samsung)
Android version: 10
Screen resolution: 1080x2094px (411x773dp)
Pixel density: 3.9375
System font scale: 1.5 used scale: 1.5
Sailfish OS detected: false</t>
  </si>
  <si>
    <t>2022-11-22</t>
  </si>
  <si>
    <t>CMPUT301F22T12-Mealr-106</t>
  </si>
  <si>
    <t>Added MealPlan functions (HELP FIND THE BUG)</t>
  </si>
  <si>
    <t>implemented add, edit, delete for meal plan
There is bug: help find pls
crashes when click add or listview item in Meal Plan, but there no logcat error
formerly it worked and let me add meal plans, but did not display the title or recipe list. added setText() for title and recipe list then it started crashing. think the issue might be in AddEditMealFragment</t>
  </si>
  <si>
    <t>CMPUT301F22T14-GetYourGroceries-90</t>
  </si>
  <si>
    <t>Recipe "add ingredient" crashes if Ok is pressed without inputting anything</t>
  </si>
  <si>
    <t>2022-11-21</t>
  </si>
  <si>
    <t>jellyfin-jellyfin-androidtv-2283</t>
  </si>
  <si>
    <t>Crash playing media</t>
  </si>
  <si>
    <t>### Describe the bug
1. Start Jellyfin, set the bitrate to 120Mbps to avoid transcoding
2. Attempting to play specific video file results in an app crash. This video file works fine with transcoding.
can post media info if it would help, but naively looking at the logs it looks like we re trying to call into VLC whilst Exoplayer is playing.
--------- beginning of main
--------- beginning of crash
### App information
***App version***: 0.15.0-beta.2 150002
### Device information
***Android version***: 11
***Device brand***: NVIDIA
***Device product***: mdarcy
***Device model***: SHIELD Android TV
### Crash information
### Application version
### Where did you install the app from?
### Device information
Nvidia Shield 2019 Pro
### Android version
### Jellyfin server version</t>
  </si>
  <si>
    <t>jellyfin-jellyfin-androidtv-2281</t>
  </si>
  <si>
    <t>Crash when LiveTv menu options are selected</t>
  </si>
  <si>
    <t>### Describe the bug
App crashes on .15b2 when Recorded TV, Schedule, or Series is selected from the LiveTV row. These items worked properly on the last stable build (.14.5)
--------- beginning of main
--------- beginning of crash
### App information
***App version***: 0.15.0-beta.2 150002
### Device information
***Android version***: 10
***Device brand***: Sony
***Device product***: BRAVIA VH2 UC
***Device model***: BRAVIA 4K VH2
### Crash information
### Application version
### Where did you install the app from?
### Device information
BRAVIA 4K VH2
### Android version
### Jellyfin server version</t>
  </si>
  <si>
    <t>nextcloud-android-11064</t>
  </si>
  <si>
    <t>Crash when clearing app data with settings menu open</t>
  </si>
  <si>
    <t>### Cause of error
You can cause crash by clearing the Nextcloud app data with the settings menu open.
Steps to reproduce:
1. Open settings menu in Nextcloud app
2. Open android settings menu
3. Navigate to android apps menu
4. Select Nextcloud app
5. Select Storage
6. Select Clear data
7. Return to Nextcloud app. The settings menu is still open.
8. Exit out of the settings menu. Crash.
#### Stack Trace
Exception in thread main
### App information
Build flavor: gplay
### Device information
Product: judyln lao com</t>
  </si>
  <si>
    <t>nextcloud-android-11063</t>
  </si>
  <si>
    <t>Nextcloud upload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</si>
  <si>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auto upload is setup so as to be completed when plugged in
this happens during upload
### Expected behaviour
Upload without crashing
### Actual behaviour
The app crashes continuously
### Android version
### Device brand and model
Samsung galaxy s22
### Stock or custom OS?
### Nextcloud android app version
### Nextcloud server version
### Using reverse proxy?
### Android logs</t>
  </si>
  <si>
    <t>cgeo-cgeo-13706</t>
  </si>
  <si>
    <t>Scoped storage problem for a certain user</t>
  </si>
  <si>
    <t>### Describe your problem!
user installed c:geo on his new device (Samsung A52, Android 12).
After installation we tried to restore database but kept having crashes while trying.
Further investigation showed, that he is able to define his base folder without problem, c:geo however fails to access files within this base folder.
We already tried
Change of base folder (several locations tested in internal and SD-card)
check on any antivirus or other tools
Check, that the normal file manager is used to approve access (looks exactly like on my device)
All permissions for c:geo granted
No encryption of file boxing like Samsung Knox active
Any clues or debugging ideas?
Please also note, that within the system information below there is one irregularity for the base folders:
It reports totalFileSize:0 B, free space: -1 B, files on device: -1 while on my device it shows the actual numbers
### How to reproduce?
Happens if the users triggers backup or restore, tries to export GPX, tries to export field notes.
### Actual result after these steps?
Example of GPX export try:
### Expected result after these steps?
Normal operation, no crash
### c:geo Version</t>
  </si>
  <si>
    <t>microg-GmsCore-1834</t>
  </si>
  <si>
    <t>MicroG not working properly on WSA</t>
  </si>
  <si>
    <t>**Describe the bug**
clear and concise description of what the bug is.
The bug facing is that microG isn properly working in apps that require Google Play Services, although microG reports that it is ready
However using an app that requires Google Play Services still fails
And using Youtube Music simply crashes
Steps to reproduce the behavior:
0. Make sure you have adb tools available
1. Download the fragment from https: github.com fillwithjoy1 WSA-Magisk actions runs 3514162624
2. Unzip all files and run Install.ps2 for Powershell
3. After installing Powershell, open WSA Settings Developer Developer Mode and connect to adb
4. Install GmsCore (https: github.com microg GmsCore releases tag v0.2.25.223616)and all other microG apps (https: microg.org download.html) using adb install
5. Install Riru (https: github.com RikkaApps Riru releases) and flash via Magisk and reboot via adb push
6. Install LSPosed module with Riru (https: github.com LSPosed LSPosed releases tag v1.8.5) and reboot via adb push
8. Make sure LSPosed manager is active, otherwise reboot
9. Install FakeGApps (https: github.com whew-inc FakeGApps) and reboot
10. Check microG app and see that signature spoofing is on and grant all permissions
12. Use app that requires Google Play Services
13. Die inside, realizing that it isn working and write report
clear and concise description of what you expected to happen.
If applicable, add screenshots to help explain your problem.</t>
  </si>
  <si>
    <t>itsdrnoob-DataMonitor-82</t>
  </si>
  <si>
    <t>Crash (Unable to start activity)</t>
  </si>
  <si>
    <t>----------Start of crash----------
Thread name: main
Thread stacktrace: Method),
Device Manufacturer: Xiaomi
Device Brand: Xiaomi
Device Model: M2007J3SG
Device Codename: apollopro global
Android version: 12, 31
SOC Model: SM8250</t>
  </si>
  <si>
    <t>naver-nam-sdk-android-21</t>
  </si>
  <si>
    <t>SmartChannel 사용시 crash 발생</t>
  </si>
  <si>
    <t>### Checklist before submitting bug report
ve updated to the latest released version of the SDK
ve searched for existing Github issues (https: github.com naver nam-sdk-android issues)
### AGP Version
### Android version
### Steps to Reproduce
### Expected Result
### Actual Result
FATAL EXCEPTION: main</t>
  </si>
  <si>
    <t>PojavLauncherTeam-PojavLauncher-3720</t>
  </si>
  <si>
    <t xml:space="preserve">[BUG] Game crashes when trying to load retro64 </t>
  </si>
  <si>
    <t>### Describe the bug
open minecraft wait awhile and it says game exited with code:1
not really much else
### The log file and images videos
--------- beginning with launcher debug
--------- beginning of main
--------- beginning of system
Added custom env: TMPDIR data user net.kdt.pojavlaunch cache
Added custom env: AWTSTUB WIDTH 1368
Added custom env: REGAL GL VERSION 4.5
Added custom env: REGAL GL VENDOR Android
Added custom env: LIBGL MIPMAP
Added custom env: allow higher compat version true
Added custom env: MESA GLSL CACHE DIR data user net.kdt.pojavlaunch cache
Added custom env: HOME storage emulated games PojavLauncher .minecraft
Added custom env: PATH data user net.kdt.pojavlaunch runtimes Internal-17 bin: sbin: system sbin: system bin: system xbin: odm bin: vendor bin: vendor xbin
Added custom env: LIBGL NOINTOVLHACK
Added custom env: force glsl extensions warn true
Added custom env: LIBGL NORMALIZE
Added custom env: POJAV RENDERER opengles2</t>
  </si>
  <si>
    <t>iiordanov-remote-desktop-clients-395</t>
  </si>
  <si>
    <t>IPad app crashes when opening a .vv file</t>
  </si>
  <si>
    <t>exported my SPICE file from proxmox and when opening it from Files, the app crashes.
cannot get an error or crash log.</t>
  </si>
  <si>
    <t>2022-11-20</t>
  </si>
  <si>
    <t>PojavLauncherTeam-PojavLauncher-3718</t>
  </si>
  <si>
    <t xml:space="preserve">Mrcryfish gun mod 1.19+ crash when shot ones on angles render </t>
  </si>
  <si>
    <t>### Describe the bug
Crash when shot ones the gun in 1.19+ angles render
### The log file and images videos
### Steps To Reproduce
1. Start pojavlauncher
2. Start game
3. Pick the gun
4. Shot ones and crashing on angles render
### Expected Behavior
Not crashing when shot
Device model: umidigi bison 128
CPU architecture: 64
Android version: 10
PojavLauncher version: latest on GitHub
### Anything else?</t>
  </si>
  <si>
    <t>PojavLauncherTeam-PojavLauncher-3717</t>
  </si>
  <si>
    <t>[BUG] &lt;When i open pojavlauncher, it immediately crash&gt;</t>
  </si>
  <si>
    <t>### Describe the bug
when try to open pojavlauncher, it automatically crash and show this crash message:
### The log file and images videos
### Steps To Reproduce
How do fix this
### Expected Behavior
Device model: POCO X3 Pro
Android version: 12 SKQ1.211006.001
PojavLauncher version: openjdk
### Anything else?
pls help me with it</t>
  </si>
  <si>
    <t>PojavLauncherTeam-PojavLauncher-3712</t>
  </si>
  <si>
    <t>Angle Renderer Not Working</t>
  </si>
  <si>
    <t>### Describe the bug
The bug is that when use shaders with Angle Renderer in version 1.17.1, the game crashes without reason. Some shaders just load and some directly crashes!! Can you tell me whether my device is compatible by reading the device details?
### The log file and images videos
### Steps To Reproduce
1. Open your launcher.
2. Play OptiFine 1.17.1
3. Enter world.
4. Select shader.
And then it continues it either crashes or black screen comes!
### Expected Behavior
It should have been played with the shader
Device model: Redmi note pro
CPU architecture: 64x
Android version: 12
PojavLauncher version: latest play store released 18 Nov, 2022.
GPU architechture: Adreno
### Anything else?
also had another question. In the new update it seems that the sensitivity of touch is slightly increased. Is there any way to reduce the sensitivity?</t>
  </si>
  <si>
    <t>PojavLauncherTeam-PojavLauncher-3709</t>
  </si>
  <si>
    <t>hi[BUG] &lt;Short description&gt;</t>
  </si>
  <si>
    <t>### Describe the bug
PojavLauncher crash report
Time: Nov 20, 2022 1:49:09 PM
Device: CPH2083 CPH2083
Crash stack trace:
Launcher version: openjdk
Caused by: Attempt to read from field java.util.Map on null object reference
... 36 more
### The log file and images videos
### Steps To Reproduce
3.In Downloading Crashed
4.Open Pojav Again Keep Crashing
### Expected Behavior
Device model: Oppo A12
CPU architecture: arm64
### Anything else?</t>
  </si>
  <si>
    <t>Anuken-Mindustry-7963</t>
  </si>
  <si>
    <t>Switching to Windows and back to the game brakes the game</t>
  </si>
  <si>
    <t>**Steps to reproduce**: Start the game under windows 11. Switch to Windows with Alt Tab. Go back to the game, it now broken
**Link(s) to mod(s) used**: No mod used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</si>
  <si>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Anuken-Mindustry-7962</t>
  </si>
  <si>
    <t>Cannot open the game</t>
  </si>
  <si>
    <t>crash has occured. It has been saved in:
key cannot be null.
**Steps to reproduce**: Just launched the game from steam.
**Link(s) to mod(s) used**: None
**Save file**: no saved game file since cannot open the game..
If you remove the line above without reading it properly and understanding what it means, will reap your soul. Even if you re playing on someone server, you can still save the game to slot.
**(Crash) logs**: Here is the crash log:
Mindustry has crashed. How unfortunate.
Report this at https: github.com Anuken Mindustry issues new?labels bug&amp;template bug report.md
Version: steam build 140.4
Runtime Available Memory: 4078mb
Couldn load dependencies of asset: Vars
Caused by: Couldn load dependencies of asset: Vars
Caused by: key cannot be null.
Caused by: key cannot be null.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</si>
  <si>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Anuken-Mindustry-7961</t>
  </si>
  <si>
    <t>Basin lower half bug</t>
  </si>
  <si>
    <t>to reproduce**: *Can use anything to explore the lower half of basin sector. Use stells, eludes, radars and bleach but fail.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(https: github.com Anuken Mindustry files 10048387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</si>
  <si>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Anuken-Mindustry-7958</t>
  </si>
  <si>
    <t>Ability to placed banned blocks on map</t>
  </si>
  <si>
    <t>**Steps to reproduce**:
Download map from here (https: cdn.discordapp.com attachments 661636805128486922 1043677587085459507
Host map either as client custom game or through headless server
attempt to place any banned block
bug reveals itself
**Link(s) to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Bug does not cause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</si>
  <si>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itsvks19-LayoutEditor-5</t>
  </si>
  <si>
    <t>[BUG]:  App crash</t>
  </si>
  <si>
    <t>**Describe the bug**
can open the project created just yesterday, the app crashes
If applicable, add screenshots to help explain your problem.
**Smartphone (please complete the following information):**
OS: android 11
Browser e.g. stock browser, safari
Caused by: Attempt to invoke virtual method java.lang.Object on null object reference
... 11 more</t>
  </si>
  <si>
    <t>2022-11-19</t>
  </si>
  <si>
    <t>Anuken-Mindustry-7955</t>
  </si>
  <si>
    <t>opening map bug and sector genrate crash</t>
  </si>
  <si>
    <t>**Steps to reproduce**: first issue: try to open map. Second Issue, go into editor, create new map (everything is black) and click sector generate, and click ok, it crashed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logs**:https: www.mediafire.com file gqav075f2j9tzjt crash-report-11 19 2022 09 05 22.txt file)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</si>
  <si>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PojavLauncherTeam-PojavLauncher-3704</t>
  </si>
  <si>
    <t>[BUG] &lt;Short description&gt;I log into forge with the Internet and go into the world, then it crashes and writes a failure with code 1 has occurred</t>
  </si>
  <si>
    <t>PojavLauncherTeam-PojavLauncher-3700</t>
  </si>
  <si>
    <t>[BUG] Angle crashing</t>
  </si>
  <si>
    <t>### Describe the bug
Pojav crashes when using angle
### The log file and images videos
### Steps To Reproduce
2.Change renderer to Angle
3.Start the game
### Expected Behavior
Game just crashed
Device model: CPH1901 Oppo A7
CPU architecture: arm64
Android version: 8.1.0
PojavLauncher version: openjdk
### Anything else?</t>
  </si>
  <si>
    <t>TeamNewPipe-NewPipe-9425</t>
  </si>
  <si>
    <t>Add boolean for BRAVIA_VH1 &amp; disable media tunneling support</t>
  </si>
  <si>
    <t>#### What is it?
Bugfix (user facing)
Feature (user facing)
Codebase improvement (dev facing)
Meta improvement to the project (dev facing)
#### Description of the changes in your PR
Restores the ability to go fullscreen on Sony Bravia HV1 smart TVs from 0.24.0+. Also fixes long standing issue that results in frequent crashes between videos.
#### Fixes the following issue(s)
Fixes #9023 (for Sony Bravia VH1 only)
#### APK testing
#### Due diligence
read the contribution guidelines (https: github.com TeamNewPipe NewPipe blob HEAD .github CONTRIBUTING.md).</t>
  </si>
  <si>
    <t>Anuken-Mindustry-7948</t>
  </si>
  <si>
    <t>missing "d" "Buildings Deconstructe" in the Sector Lost screen</t>
  </si>
  <si>
    <t>**Steps to reproduce**: (see image below) Previously secured attack sector on Serpulo (sector 124) that fully cleared of all crux derelict buildings, lost because of an attack due to neighboring attack sector. Seems to be due to the large number as testing on different (defense) sector where the number of buildings destroyed is the text appears fully.
Mindustry 18 11 2022 17 18 03 (https: 118554426
**Link(s) to mod(s) used**: vanilla, no mods used
**Save file**: (https: github.com Anuken Mindustry files 10043127 (bugged)
**(Crash) logs**: No crash logs found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</si>
  <si>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2022-11-18</t>
  </si>
  <si>
    <t>Igalia-wolvic-341</t>
  </si>
  <si>
    <t>Crash when opening the add-ons tab after AC upgrade to v75</t>
  </si>
  <si>
    <t>Wolvic crashes when opening the add-ons tab in the library dialog. This was caused by the recent upgrade of Android Components.
This is the backtrace</t>
  </si>
  <si>
    <t>Anuken-Mindustry-7944</t>
  </si>
  <si>
    <t>Map Area rule in custom game disables all buildings outside of the area</t>
  </si>
  <si>
    <t>When changing the Map Area rule with world processors, the newly revealed *non-Erekir* buildings that previously were hidden will be disabled. Unsure if its buildings from editor only, or if player buildings can be disabled this way too. They still can be enabled back with processors. The planet its on doesn seem to matter.
**Steps to reproduce**: *How you happened across the issue, and what exactly you did to make the bug happen.*
1. Place non-Erekir buildings outside of accessible Map Area.
2. Increase it with World Processor
3. The new buildings will not work and have fammiliar red cross over them, can be turned back on.
The latest save from custom game, four has this issue shown there is world processor that turned conveyor back on, and while some are enabled as they were never hidden, others are disabled after the map area increased.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</si>
  <si>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itsdrnoob-DataMonitor-79</t>
  </si>
  <si>
    <t>Crash due to live network meter</t>
  </si>
  <si>
    <t>After starting the network diagnostics over wifi and open my notifications to see the speed there as well the following crash happend.
----------Start of crash----------
Thread name: Timer-0
Thread stacktrace: Method),
crash message: For input string: 1,9
Device Manufacturer: samsung
Device Brand: samsung
Device Model: SM-G780F
Device Codename: r8seea
Android version: 12, 31
SOC Model: Exynos 990</t>
  </si>
  <si>
    <t>LSPosed-LSPosed-2234</t>
  </si>
  <si>
    <t>[Bug] Bluetooth will crash on 1.8.x</t>
  </si>
  <si>
    <t>### Steps to reproduce
1. Install LSPosed 1.8.x (I tested 1.8.1 1.8.5)
2. Restart Android.
### Expected behaviour
Bt should work correctly.
### Actual behaviour
Same as #2083
### Xposed Module List Xposed
disabled all modules but it changed nothing.
usually use Lucky Patcher and Hide USB Debugging
### Magisk Module List Magisk
disabled all modules same as LSPosed without LSPosed but it did too.
### LSPosed version LSPosed
LSPosed 1.8.x Zygisk
### Android version Android
### Magisk version Magisk
### Riru version Riru
### Version requirement
am using latest debug CI version of LSPosed and enable verbose log CI
Before upgrading Android 12 to Android 13, had used LSPosed 1.7.2 and worked correctly.</t>
  </si>
  <si>
    <t>itsvks19-LayoutEditor-3</t>
  </si>
  <si>
    <t>Bug: Crash</t>
  </si>
  <si>
    <t>When try to open project that was created before the app update crashed, using the latest app v0.4.0-alpha
... 11 more</t>
  </si>
  <si>
    <t>ReVanced-revanced-integrations-214</t>
  </si>
  <si>
    <t>bug(youtube): crash caused by memory leak</t>
  </si>
  <si>
    <t>### Bug description
After actively using the app for while, it starts to slow down, videos hang randomly and eventually the app crashes.
### Steps to reproduce
Repeatedly triggering litho patches (especially general-ads seem to cause this problem.
### Relevant log output
Caused by: Failed to allocate 232 byte allocation with 3174312 free bytes and 3099KB until OOM, target footprint 536870912, growth limit 536870912 giving up on allocation because &lt;1% of heap free after GC.
Caused by: Failed to allocate 232 byte allocation with 3174312 free bytes and 3099KB until OOM, target footprint 536870912, growth limit 536870912 giving up on allocation because &lt;1% of heap free after GC.
Caused by: Failed to allocate 232 byte allocation with 3174312 free bytes and 3099KB until OOM, target footprint 536870912, growth limit 536870912 giving up on allocation because &lt;1% of heap free after GC.
### Screenshots or videos
### Additional context</t>
  </si>
  <si>
    <t>2022-11-17</t>
  </si>
  <si>
    <t>nextcloud-android-11049</t>
  </si>
  <si>
    <t>Exception in thread "AsyncTask" on FileSortOrderByName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</si>
  <si>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Swap down on the folder view, to update the list.
Or switch from settings to list view.
### Expected behaviour
The app not break.
### Actual behaviour
The app crashes when updating the list of files.
### Android version
### Device brand and model
### Stock or custom OS?
Custom (explain in additional information
### Nextcloud android app version
### Nextcloud server version
### Using reverse proxy?
### Android logs</t>
  </si>
  <si>
    <t>PojavLauncherTeam-PojavLauncher-3691</t>
  </si>
  <si>
    <t>Forge 1.18 - 1.19+ latest using optifine crash on loading world</t>
  </si>
  <si>
    <t>### Describe the bug
Crash on loading world
### The log file and images videos
### Steps To Reproduce
1. Select version
2. Start game
3. Loading world crash
### Expected Behavior
Device model: umidigi bison
CPU architecture: 64
Android version: 10
PojavLauncher version: latest on GitHub
### Anything else?</t>
  </si>
  <si>
    <t>PojavLauncherTeam-PojavLauncher-3689</t>
  </si>
  <si>
    <t>The launcher crashes as soon as I enter it.</t>
  </si>
  <si>
    <t>### Describe the bug
When open the app, it instantly crashes. downloaded from Google Play, have purchased the game.
### The log file and images videos
PojavLauncher crash report
Device: aosp miatoll Redmi Note Pro
Android version: 12
Crash stack trace:
Launcher version: openjdk
... 29 more
### Steps To Reproduce
To be honest, don know.
### Expected Behavior
expect the launcher to launch normally.
Device model: Xiaomi Redmi Note Pro
CPU architecture: Qualcomm Snapdragon 620G
Android version: 12L
PojavLauncher version: openjdk
### Anything else?</t>
  </si>
  <si>
    <t>MuntashirAkon-AppManager-933</t>
  </si>
  <si>
    <t>Issue: Bug report</t>
  </si>
  <si>
    <t>### Please check before submitting an issue
know what my device, OS and App Manager versions are
know how to take logs
know how to reproduce the issue which may not be specific to my device
### Describe the bug
Hi.I installed an app and it crashed after opened it in appmanager.Thanks.
Caused by: Attempt to invoke virtual method boolean on null object reference
App version: 3.0.3
App version code: 414
Android build version: 2105290043
Android release version: 11
Android SDK version: 30
Device hardware name: qcom
ABIs (32bit): armeabi-v7a, armeabi
ABIs (64bit): arm64-v8a
In-App Language: auto
Inferred Mode: root
### To Reproduce
### Expected behavior
### Device info</t>
  </si>
  <si>
    <t>material-components-material-components-android-3086</t>
  </si>
  <si>
    <t>[MaterialButton] German letter 'ß' causes a crash from 1.7.0</t>
  </si>
  <si>
    <t>adding string with the letter to the material button icon attributes results in crash. Can be even observed in the Android studio editor view. Will add an xml snipset whit minimal attributes that cause the issue. The snipset produces an error inside Android studio editor, but its the same error that we are seeing on our app.
From my experience if don specify the icon gravity it works fine or if use textAllCaps or if you donth specify the icon at all, it works correctly.
This started happening after updating the library version 1.6.1 -&gt; 1.7.0
The error trace
Fatal Exception: begin 0, end 11, length 10
**Expected behavior:** The app should not crash
**Android API version:** API level 33</t>
  </si>
  <si>
    <t>2022-11-16</t>
  </si>
  <si>
    <t>Anuken-Mindustry-7931</t>
  </si>
  <si>
    <t>Reconstruction can be deducted in the fog of war due to duct items showing as moving</t>
  </si>
  <si>
    <t>Ducts still show items moving inside them in the fog of war. That means that if they were broken, and the reconstructed, said reconstruction can be induced by the fact that the items are still moving.
**Steps to reproduce**:
Happened on map on Erekir, can remember and the power went out for the person who was hosting the server before could get the map name (we are playing on the same steam build btw).
**Link(s) to mod(s) used**: None
**Save file**: would, but server is dead for now. will upload it asap.
**(Crash) logs**: No crash
**I have updated to the latest release (https: github.com Anuken Mindustry releases) to make sure my issue has not been fixed.**
**I have searched the closed and open issues to make sure that this problem has not already been reported.**</t>
  </si>
  <si>
    <t>PojavLauncherTeam-PojavLauncher-3688</t>
  </si>
  <si>
    <t>[BUG] Game crashes on startup with code 1</t>
  </si>
  <si>
    <t>### Describe the bug
Game crashes on startup with code
There is no mods being used
Every thing is default settings
### The log file and images videos
### Steps To Reproduce
1. Create profile with 1.12.2 or lower
2. Launch it.
### Expected Behavior
expect the game to launch
Device model: Samsung Galaxy Tab A7 32G
CPU architecture: arm64
Android version: 12
PojavLauncher version: openjdk (latest auto build)
### Anything else?</t>
  </si>
  <si>
    <t>jellyfin-jellyfin-androidtv-2270</t>
  </si>
  <si>
    <t>4k hdr/dv content playback is wonky</t>
  </si>
  <si>
    <t>### Describe the bug
Having some problems with 4k hdr content on 0.15.0-beta1 that were not present on 0.14.5. Most common problems are crash on play, or crash when stopping playback (pressing back button). ll see if can test some more and be bit more specific.
Log is from crash on playback.
... 11 more
--------- beginning of main
--------- beginning of crash
### App information
***App version***: 0.15.0-beta.1 150001
### Device information
***Android version***: 11
***Device brand***: NVIDIA
***Device product***: sif
***Device model***: SHIELD Android TV
### Crash information
### Application version
### Where did you install the app from?
### Device information
### Android version
### Jellyfin server version</t>
  </si>
  <si>
    <t>jellyfin-jellyfin-androidtv-2269</t>
  </si>
  <si>
    <t>Crush when 'Pass Direct Path for external player' is enabled and starting a video with VLC</t>
  </si>
  <si>
    <t>### Describe the bug
Since the update to v15 whenever open media file get Ops something went wrong... error.
After some debugging found out, if turn off the **Preferences -&gt; Playback -&gt; Pass Direct Path for external player** the error goes away.
... 11 more
--------- beginning of main
--------- beginning of crash
### App information
***App version***: 0.15.0-beta.1 150001
### Device information
***Device brand***: Xiaomi
***Device product***: oneday
***Device model***: MIBOX4
### Crash information
### Application version
### Where did you install the app from?
### Device information
Xiaomi Mi Box
### Android version
### Jellyfin server version</t>
  </si>
  <si>
    <t>Anuken-Mindustry-7929</t>
  </si>
  <si>
    <t>Forbidden error when downloading mods</t>
  </si>
  <si>
    <t>**Steps to reproduce**: Open Mods tab in the main menu, go to any mod, (ive found the newest updated ones cause the issue) and download them
**Link(s) to mod(s) used**: no mods were used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</si>
  <si>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AndroidIDEOfficial-AndroidIDE-613</t>
  </si>
  <si>
    <t>[Bug]: StringIndexOutOfBoundsException in EditorInputConnection</t>
  </si>
  <si>
    <t>### What happened?
When select variable name and use backspace to delete the word(then type the new name), the ide crashed when pressed backspace.
Actually the app crash whenever type on selected word.
### What the expected behavior?
It didn happen on v2.1.1.
Please fix it as soon as possible.
### What version of AndroidIDE you re using?
v2.1.2 (debug builds)
### Relevant log output
AndroidIDE crash report
SDK version: 31
### Duplicate issues
This issue has not been reported yet.
### Code of Conduct
agree to follow this project Code of Conduct</t>
  </si>
  <si>
    <t>Catfriend1-syncthing-android-937</t>
  </si>
  <si>
    <t>Crash after duration of the sync cycle set to empty</t>
  </si>
  <si>
    <t>&lt;!-- If you have issues with this fork, feel free to post them. ll look into them if good reproducer or log is provided. --&gt;
### Description of the issue
App crash after duration of the sync cycle set to empty
### Reproduction Steps
Set duration of the sync cycle to empty
### Version Information
App Version: 1.21.0.3
Syncthing Version: v1.x.y
Android Version: Android x.y &lt;!-- LineAgeOS x.y ... --&gt;
Device manufacturer: &lt;!-- Huawei LG Samsung Xiaomi ... --&gt;
Device model: &lt;!-- I9100 H815 MI8 ... --&gt;</t>
  </si>
  <si>
    <t>jellyfin-jellyfin-androidtv-2267</t>
  </si>
  <si>
    <t>Live TV on chromecast with google tv device jellyfin for android TV 0.14.5</t>
  </si>
  <si>
    <t>### Describe the bug
After the update to 0.14.5 jellyfin for android TV attempting to watch any channel on live tv results in the jellyfin app crashing closing and going back to the google tv home screen with the error No playable items Occurs on every playback app option(exoplayer, libvlc, etc.)
This issue does not occur on my Nvidia Shield Pro..only chromecast with google tv.
--------- beginning of main
--------- beginning of crash
### App information
***App version***: 0.14.5 140599
### Device information
***Android version***: 12
***Device brand***: google
***Device product***: sabrina prod stable
***Device model***: Chromecast
### Crash information
### FFmpeg logs
### Media info of the file
### Application version
### Device information
Chromecast with Google TV
### Android version
### Jellyfin server version</t>
  </si>
  <si>
    <t>CMPUT301F22T05-LOOPs-167</t>
  </si>
  <si>
    <t>EditRecipeFormFragment: crashes when editing photo</t>
  </si>
  <si>
    <t>2022-11-15</t>
  </si>
  <si>
    <t>CMPUT301F22T05-LOOPs-166</t>
  </si>
  <si>
    <t>RecipeFormFragment: crashes when number of serving field is empty</t>
  </si>
  <si>
    <t>Anuken-Mindustry-7923</t>
  </si>
  <si>
    <t>140.4 exception crash</t>
  </si>
  <si>
    <t>**Steps to reproduce**: unknown
**Link(s) to mod(s) used**:
**Save file**: https: drive.google.com file view?usp sharing
**(Crash) logs**: https: drive.google.com file view?usp sharing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</si>
  <si>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COSC481W-2022Fall-capstone-project-vibe-90</t>
  </si>
  <si>
    <t>Conversation on physical device</t>
  </si>
  <si>
    <t>Troubleshooting why app crashes when trying to send message on physical device but not on emulator.
The app doesn crash on the motorola physical device.</t>
  </si>
  <si>
    <t>AppLovin-AppLovin-MAX-React-Native-124</t>
  </si>
  <si>
    <t>App crashes after adding AppLovin code</t>
  </si>
  <si>
    <t>### MAX Module Version
### React Native Version
### Device Platform Info
### Current Behavior
When add the code to my app after installing applovin sdk to my react native project it crashes without any error.
The code have placed in one of my screen which is react component.
SDK is initialized, start loading ads
const INTERSTITIAL AD UNIT ID Platform.select(
if AD UNIT ID))
AD UNIT ID)
AD UNIT ID)
const retryAttempt, setRetryAttempt useState(0)
Interstitial ad is ready to be shown. AD UNIT ID) will now return true
Reset retry attempt
Interstitial ad failed to load
We recommend retrying with exponentially higher delays up to maximum delay (in this case 64 seconds)
var retryDelay Math.pow(2, Math.min(6, retryAttempt))
Interstitial ad failed to load retrying in retryDelay
Load the first interstitial
### Expected Behavior</t>
  </si>
  <si>
    <t>PojavLauncherTeam-PojavLauncher-3678</t>
  </si>
  <si>
    <t>[BUG] Game crashes on start-up</t>
  </si>
  <si>
    <t>### Describe the bug
Upon launch, any version of Minecraft exits with code 1.
### The log file and images videos
### Steps To Reproduce
1. Start Pojavlauncher
2. Run any version of Minecraft
### Expected Behavior
expected the game to launch.
Device model: Samsung A13 128G
CPU architecture: armeabi-v7a
Android version: 12
PojavLauncher version: Action Build #4043
### Anything else?
checked the latestlog myself and it seems to be due to an .so file not initializing and an object heap failing or something?
assume this is probably problem with the Samsung version of Android 12, since ran this fine on Android 11 before, but who knows.</t>
  </si>
  <si>
    <t>Anuken-Mindustry-7922</t>
  </si>
  <si>
    <t>World message can be destroyed</t>
  </si>
  <si>
    <t>**Steps to reproduce**: *I tried to put Micro processors and other logic blocks on world message.*
**Link(s) to mod(s) used**: *Vanilla*
**Save file**: *Happens in every server.*
**(Crash) logs**: *Didn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</si>
  <si>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LawnchairLauncher-lawnchair-3111</t>
  </si>
  <si>
    <t>[BUG] NPE in PrefenceMananger2$Companion.getInstance</t>
  </si>
  <si>
    <t>### Describe the bug
Always return null pointer exception from getInstance
### Steps to reproduce
Steps to reproduce the behavior:
1. Go to ...
2. Click on ....
3. Scroll down to ....
4. See error
### Expected behavior
Should no have crash in getInstance
### Device information
Device: Motoral Kiev, Samsung A03su, Samsung A12s, Samsung A12u, Samsung A13x, Samsung A21s, Samsung b0q, Samsung d2s, Samsung r9q
OS: Android version 11,12,13
App version: 12.1
### Additional context</t>
  </si>
  <si>
    <t>jellyfin-jellyfin-androidtv-2262</t>
  </si>
  <si>
    <t xml:space="preserve">Crash when opening OTHER library </t>
  </si>
  <si>
    <t>### Describe the bug
Movies, TV Shows library open ok. All libraries marked as OTHERS causes crash out of app Google TV Chromecast
### Application version
### Where did you install the app from?
### Device information
Google TV Chromecast
### Android version
### Jellyfin server version</t>
  </si>
  <si>
    <t>jellyfin-jellyfin-androidtv-2261</t>
  </si>
  <si>
    <t>Themes not working</t>
  </si>
  <si>
    <t>### Describe the bug
Theme settings are saved in the menu, but not used by the app. (It always uses the Dark (Default) theme instead.)
### Steps to reproduce
1. Open Jellyfin AndroidTV
2. Go to Settings Customization App theme
3. Select either Classic Emerald or Muted Purple
4. Go back and fully close the app
5. Reopen Jellyfin AndroidTV
6. Notice the selected theme is not used. It uses Dark (Default) instead.
No crash log for this one. Sorry. noticed that the selected theme (Classic Emerald in my case) is still selected in the settings, but not being used by the app. Occasionally it appears to flash the theme during the splash screen, but is always gone when the splash screen disappears.
### Application version
### Where did you install the app from?
### Device information
### Android version
### Jellyfin server version</t>
  </si>
  <si>
    <t>jellyfin-jellyfin-androidtv-2260</t>
  </si>
  <si>
    <t>IndexOutOfBoundsException in music</t>
  </si>
  <si>
    <t>### Describe the bug
Crash happens when using the back button while scrolling an artist albums.
### Steps to reproduce
1. Open Jellyfin Android TV
2. In My Media select Music
3. At the bottom, go to Views Artists
4. Scroll past the first screen. have hundreds of artists and scroll to an artist in the middle of the alphabet. (This is important, as the artists on the first page of results won exhibit the bug.)
5. Press the back button. This causes the bug. Crash report attached.
--------- beginning of main
--------- beginning of crash
### App information
***App version***: 0.15.0-beta.1 150001
### Device information
***Android version***: 11
***Device brand***: NVIDIA
***Device product***: sif
***Device model***: SHIELD Android TV
### Crash information
### Application version
### Where did you install the app from?</t>
  </si>
  <si>
    <t>bumptech-glide-4952</t>
  </si>
  <si>
    <t>[Compose] Crash when height or width of GlideImage is &lt;= 0</t>
  </si>
  <si>
    <t>&lt;!-- What version of Glide you re running, for example: 3.7.1 3.8.0-SNAPSHOT 4.0.0-SNAPSHOT
It essentially the version number from your build.gradle: dependencies compile ...:x.y.z --&gt;
**Glide Version**: 1.0.0-alpha.1
&lt;!-- Do you use any integration library, like OkHttp3 or Volley? For example:
Fails to display with stock networking, but works with okhttp3-1.4.0 --&gt;
&lt;!-- What devices you managed to get the issue to come up on? For example:
fails on Galaxy S4 GT-I9500 4.4.2, works fine on Nexus 6P 5.1 and Genymotion Nexus 5.0.1 --&gt;
emulator pixel API 32
&lt;!-- Share the details of your issue in prose, detailing actual and expected behavior. It also helps if you give some info **why** you are trying to do something as opposed to **what** is not working. --&gt;
noticed this crash while trying out the sunflower (https: github.com android sunflower) sample app which recently switched over to use Glide from Coil. Sunflower implements collapasing toolbar wherein the image size changes are you scroll through UI. The image height eventually goes to due to the collapsing toolbar logic.
&lt;!-- How do you use Glide?
Make sure you include everything as is in your app code:
Changing single method parameter can yield totally different results.
Please clarify any magic variables that appear in the code, for example: this is Fragment
Notice the imageHeight argument that is provided into the composable PlantImage This is called further up the stack where the collapsable toolbar logic exists.
private fun PlantImage(
var isLoading by remember
TODO: Update this implementation once Glide releases version
that contains this feature: https: github.com bumptech glide pull 4934
override fun onLoadFailed(</t>
  </si>
  <si>
    <t>2022-11-14</t>
  </si>
  <si>
    <t>nextcloud-android-11032</t>
  </si>
  <si>
    <t>NC app crashes after enabling automatic upload for big folder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</si>
  <si>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Enable automatic upload for folder containing more than 1000 high res (16 MP) photos, enabling the option to Upload existing items
2. Wait for uploads to show in Uploads screen.
3. Wait 5-10 minutes for error to show up
### Expected behaviour
Photos should be uploaded without the app crashing
### Actual behaviour
App crashes after 5-10 minutes of starting folder upload
### Android version
### Device brand and model
### Stock or custom OS?
### Nextcloud android app version
### Nextcloud server version
### Using reverse proxy?
### Android logs</t>
  </si>
  <si>
    <t>microg-FakeStore-47</t>
  </si>
  <si>
    <t>[com.lingodeer] LingoDeer crashes at start - "Something went wrong"</t>
  </si>
  <si>
    <t>**Describe the bug**
Couple seconds after starting the app popup Something went wrong shows up with communicate to check if latest Google Play Store version is installed. App used to work, after one of recent updates it stopped.
Steps to reproduce the behavior:
1. Install app and run it.
After couple seconds Something went wrong popup should appear.
Android Version: 12
microG Core version: 0.2.25.223616-8 (2a19ef4) latest nightly
microG Self-Check results: All ticked</t>
  </si>
  <si>
    <t>PojavLauncherTeam-PojavLauncher-3673</t>
  </si>
  <si>
    <t xml:space="preserve">Angel render crash using shader Mali Mediatek Helio </t>
  </si>
  <si>
    <t>### Describe the bug
When using shader crashed
On Mali Mediatek Helio
### The log file and images videos
### Steps To Reproduce
Start the game
### Expected Behavior
Shader work on angles render Mali Mediatek Helio
Device model: umidigi bison
CPU architecture: 64
Android version: 10
PojavLauncher version: latest action
### Anything else?</t>
  </si>
  <si>
    <t>PojavLauncherTeam-PojavLauncher-3672</t>
  </si>
  <si>
    <t>[BUG] Can't Open Minecraft</t>
  </si>
  <si>
    <t>### Describe the bug
Game kinda Freezes for sec and crashes
### The log file and images videos
Nothing On Log
### Steps To Reproduce
1. Start PojavLauncher
2. Enter any version
### Expected Behavior
Expected to word as normal
Device model: Moto e7 plus 64GB
CPU architecture: aarch64
Android version: 10
PojavLauncher version: openjdk
### Anything else?</t>
  </si>
  <si>
    <t>TeamNewPipe-NewPipe-9396</t>
  </si>
  <si>
    <t>unable to launch fullscreen</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</si>
  <si>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any video
2. Tap fullscreen
3. Wait for loading screen (forever)
4. Press Back Button
### Expected behavior
play the video in fullscreen
### Actual behavior
loading video infinitely in fullscreen
pressing back crashs app
### Screenshots Screen recordings
User Action: ui error
Request: ACRA report</t>
  </si>
  <si>
    <t>nextcloud-android-11027</t>
  </si>
  <si>
    <t>Crash when viewing "Media" after changing "Media directory"</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</si>
  <si>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am unable to reproduce, partly because Media is extremely slow and am unable to open it without the app hanging crashing (https: github.com nextcloud android issues
Hopefully the backtrace makes this bug report somewhat useful
### Expected behaviour
### Actual behaviour
### Cause of error
Exception in thread main Couldn read row 694, col from CursorWindow. Make sure the Cursor is initialized correctly before accessing data from it.
### App information
Build flavor: generic
### Device information
Model: Pixel 3a
### Android version
### Device brand and model
### Stock or custom OS?
Custom (explain in additional information</t>
  </si>
  <si>
    <t>2022-11-13</t>
  </si>
  <si>
    <t>LawnchairLauncher-lawnchair-3109</t>
  </si>
  <si>
    <t>BUG in Home Screen Grid</t>
  </si>
  <si>
    <t>### Describe the bug
When try to change the **Home Screen Grid** it crashes.
### Steps to reproduce
Steps to reproduce the behavior:
1. Go to **Home Settings**
2. Go to **Home Screen**
3. Scroll down to **Layout** section
4. Tap on **Home Screen Grid**
### Expected behavior
It should allow me to change the grid layout.
### Device information
Device: Android 12 emulator, Oneplus 6T
OS: Android version 12.0 and 11
App version: 12.1.0 Dev (68fe426)
### Additional context
Caused by: Fragment QsbFragment c6caba not attached to Activity</t>
  </si>
  <si>
    <t>Anuken-Mindustry-7909</t>
  </si>
  <si>
    <t>game crashed</t>
  </si>
  <si>
    <t>CMPUT301F22T02-well-fed-139</t>
  </si>
  <si>
    <t>Bug: App crashes after trying to quit in the middle of editing an Ingredient</t>
  </si>
  <si>
    <t>Steps to reproduce:
1. Add new ingredient on the ingredients page
2. Click on the ingredient
3. Click on the edit button
4. Make changes to the ingredient
5. Click on the back button
6. Click Quit
7. Crash occurs</t>
  </si>
  <si>
    <t>2022-11-12</t>
  </si>
  <si>
    <t>Anuken-Mindustry-7902</t>
  </si>
  <si>
    <t>java.lang.ClassCastException from drop payload code</t>
  </si>
  <si>
    <t>Dedicated server, running v140.3
Noticed an exception on the terminal by the luck of checking before it scrolled too far past:
Nobody reported gameplay problem at the time, and the problem didn crash the server. not aware of any direct or indirect links between this code and something that my plugin touches.
don know if or where dedicated server leaves crash logs, is it just extracted from the regular logs or is there another mechanism?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</si>
  <si>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DiegoPassa-Bookito-3</t>
  </si>
  <si>
    <t>Deleting sent request Issue</t>
  </si>
  <si>
    <t>User2 delete request for user1
User1 at the same tame accept that request, it could cause crash of the app to the user2 (or to user1 to, depends which thread finish first). We should test and probably fix this --&gt; Check if requests exists again before doing stuff</t>
  </si>
  <si>
    <t>Anuken-Mindustry-7894</t>
  </si>
  <si>
    <t>Getting kicked from a server for spamming in chat when antispam is false and packetlimit is not exceeded (and pardon does not unban you)</t>
  </si>
  <si>
    <t>just for some extra information, my client is computer with an amd ryzen 3600 and gtx 1650 (overclocked), with 16 gigabytes of ddr4 3200mhz ram. the server is an oracle cloud infrastructure compute instance (vps) with 24 gigabytes of ram (i do not know the speed) threads of an Ampere Altra CPU and no graphics processor.
am also unable to un-kick the person using pardon, or unban. only full server restart can un-kick the person and allow them to join again. my main problem with this is that this is happening even when the server is set not to kick for spam. config antiSpam is clearly false and packet limit is set so high to test this and it still kicks me (packet limit in question have set to 1000000000.
**Steps to reproduce**: Spam in the chat quite fast. this is almost impossible to reproduce when normally chatting, but when using mod macro to run command or say something in chat it will kick you within seconds. (if you keep clicking the macro and spam several messages in chat in one go).
**Link(s) to mod(s) used**: There are no mods or plugins used in this case. have tested it with my normal server plugin and without any mods or plugins and the issue persists.
If you remove the line above without reading it properly and understanding what it means, will reap your soul. Even if you re playing on someone server, you can still save the game to slot.
**(Crash) logs**: Not applicable since neither my client, nor the server crashed during the entire time.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was using the mod scheme-size to spam js commands in the chat to reproduce this, and am able to reliably reproduce it.
it also works with regular messages if set up macro to spam anything in chat at 20cps or so.
the command(s) in question went along like this:
(Eradicator is my mindustry username)
The server in question is in the public server list as Eradicationdustry testing (i use this to test plugins and other stuff, people can come here to leave feedback about new plugins when im testing them)</t>
  </si>
  <si>
    <t>Anuken-Mindustry-7893</t>
  </si>
  <si>
    <t>Cannot invoke int) because facing is null
**Steps to reproduce**: *Idk, it just crashed.* BUT before it enabled experimental rule Units Update In Payloads
**Link(s) to mod(s) used**: *No mods.*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</si>
  <si>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Anuken-Mindustry-7892</t>
  </si>
  <si>
    <t>Android/ build 140.3
When I run the game it expects the loading screen and when I exit it and then open it again it tells me there was a problem because of the mods and the mods are disabled</t>
  </si>
  <si>
    <t>MuntashirAkon-AppManager-930</t>
  </si>
  <si>
    <t>Crash on clearing cache</t>
  </si>
  <si>
    <t>### Please check before submitting an issue
know what my device, OS and App Manager versions are
know how to take logs
know how to reproduce the issue which may not be specific to my device
### Describe the bug
During clearing cache of specific app, experienced this crash.
### To Reproduce
1. Go to that app page properties on AM Debug
2. Clear the cache
3. You ll get that crash
### Expected behavior
expected no crash at all.
### Device info
App version: 3.1.0-alpha01-DEBUG
App version code: 411
Android build version:
Android release version: 11
Android SDK version: 30
Android build ID: lineage satsuki-userdebug 11 RQ3A.211001.001 test-keys
Device brand: Sony</t>
  </si>
  <si>
    <t>Anuken-Mindustry-7886</t>
  </si>
  <si>
    <t>OBS causing Mindustry to crash.</t>
  </si>
  <si>
    <t>**Steps to reproduce**:
Add Game Capture to the recording sources and set it to Mindustry
Game will either crash instantly or within few seconds
**Link(s) to mod(s) used**: https: obsproject.com
**Save file**: A, occurs everywhere
**(Crash) logs**: Followed the instructions written here and it says No crash logs found. don know where the crash logs folder is either.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</si>
  <si>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Anuken-Mindustry-7884</t>
  </si>
  <si>
    <t>Erekir "The Onset" bug</t>
  </si>
  <si>
    <t>**Steps to reproduce**: *I came across it during normal playthrough, after destroying the cores setting up basic infrastructure*
**Link(s) to mod(s) used**: *No mods used*
If you remove the line above without reading it properly and understanding what it means, will reap your soul. Even if you re playing on someone server, you can still save the game to slot.
**(Crash) logs**: *No crash report necessary*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</si>
  <si>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2022-11-11</t>
  </si>
  <si>
    <t>PojavLauncherTeam-PojavLauncher-3655</t>
  </si>
  <si>
    <t>[BUG] ClassCastException when running Fabric 0.14.10 on 1.19.2</t>
  </si>
  <si>
    <t>### Describe the bug
Game crashes on startup with
... 10 more
### The log file and images videos
No log is generated.
Device Info: Samsung SM-G965U, Android 10
Game version: 1.19.2
Fabric version: 0.14.10
Modpack: Fabulously Optimized *(irrelevant?)*
### Steps To Reproduce
0. Prerequisites: Fabric Mod Loader, Fabulously Optimized, Android 10
1. Start Pojav
2. Log in
3. Install Fabric and F.O.
4. Run the Fabric installation
### Expected Behavior
The game launches (maybe with issues) but it ll at least *run*
Device model: Samsung G965U (Galaxy S9+ 64GB)
CPU architecture: aarch64 rev12
Android version: 10</t>
  </si>
  <si>
    <t>deltachat-deltachat-android-2420</t>
  </si>
  <si>
    <t>App stops (crashes) on Jolla phone running Sailfish OS 3.4.0.24</t>
  </si>
  <si>
    <t>the latest version of DeltaChat (1.34.3) stops working on my Jolla phone (Sailfish OS version 3.4.0.24, Android 4.1 support) when choosing communication partner, or when sending photos, etc.
The previous versions (e. g. 1.32) did not show this problem.
Sailfish OS uses the Alien Dalvik layer for Android app support.
Attached is the log:
device unknown Jolla (alien jolla bionic)
android 4.1.2 JZO54K)
memory 32M (2.42% free, 256M max)
app Delta Chat 1.34.3-fat
lang en GB
configured mvbox folder DeltaChat
configured sentbox folder Sent
database encrypted false
database version 92
delete device after
delete server after
deltachat core version v1.98.0
display name blackened out
entered account settings blackened out automatic:AUTH NORMAL automatic:AUTH NORMAL
fetch existing msgs
fetched existing msgs true</t>
  </si>
  <si>
    <t>Igalia-wolvic-331</t>
  </si>
  <si>
    <t>OpenXR: Enable XR_EXT_hand_tracking and XR_FB_hand_tracking_aim</t>
  </si>
  <si>
    <t>These extensions have to be added when creating the OpenXR instance.
These should have been enabled as part of 5fe399, but the hunk slipped by mistake.
Without enabling these extensions, loading the function prototypes results in crash.</t>
  </si>
  <si>
    <t>NordicSemiconductor-Android-nRF-Mesh-Library-544</t>
  </si>
  <si>
    <t>Crash in nRF Mesh app version 3.2.4</t>
  </si>
  <si>
    <t>**Describe the bug**
The app started suddenly crashing when trying to add new node. Neither force stop, nor data clear didn work. Had to reboot the phone.
Steps to reproduce the behavior:
1. Open the app
2. Press on ADD NODE
3. See error
Usually, when pressing ADD NODE you can see CAN SEE YOUR NODE text until devices start appearing. But when crash occurred, it was blank frame for second or two, then this text appeared and then crash happened.
Device: Realme GT Master Edition
OS: Android 12
Library Version: nRF Mesh app 3.2.4
--------- beginning of crash</t>
  </si>
  <si>
    <t>PojavLauncherTeam-PojavLauncher-3654</t>
  </si>
  <si>
    <t>[BUG] Forge Crash when launching the game game</t>
  </si>
  <si>
    <t>### Describe the bug
... 10 more
### The log file and images videos
### Steps To Reproduce
1. Open Pojav Launcher
2. use forge client
3. And it doesn launch and it crashes
### Expected Behavior
expected it could open with clean installation but it doesn
Device model: Realme Narzo 20 64GB
CPU architecture: aarch64
Android version: 11
PojavLauncher version: actions #3997
### Anything else?
am using #3997 and didn use chrome for downloading forge dunno why am getting this and reinstalled the #3997 action but the same thing happens</t>
  </si>
  <si>
    <t>AndroidIDEOfficial-AndroidIDE-605</t>
  </si>
  <si>
    <t>[Bug]: NPE when appending log lines</t>
  </si>
  <si>
    <t>### What happened?
AndroidIde has been crashed on moving to background
### What the expected behavior?
### What version of AndroidIDE you re using?
v2.1.2 (debug builds)
### Relevant log output
AndroidIDE crash report
SDK version: 30
### Duplicate issues
This issue has not been reported yet.
### Code of Conduct
agree to follow this project Code of Conduct</t>
  </si>
  <si>
    <t>Anuken-Mindustry-7866</t>
  </si>
  <si>
    <t>IOS Mindustry sounds stop when game is interrupted by a call or timer</t>
  </si>
  <si>
    <t>**Steps to reproduce**: Play mindustry on IOS, interrupt your game by calling yourself or setting timer, notice that all sounds are gone until game is restarted
**Link(s) to mod(s) used**: sounds still stop regardless of mods
save-Maze Nov 10 11:10.zip (https: github.com Anuken Mindustry files 9986961
To be clear, am 99.9% sure that this is **not** related to save, it does this regardless of map, just launched quick game and set short timer, it is very likley that the sounds on this save will work until you interrupt the game too, just putting save in just in case, dont reap my soul kind of need it rn
**(Crash) logs**: No crash.
*Place an (no spaces) between the brackets to confirm that you have read the line below.*
testflight v140.2, this is the latest version can get sorry **I have updated to the latest release (https: github.com Anuken Mindustry releases) to make sure my issue has not been fixed.**
**I have searched the closed and open issues to make sure that this problem has not already been reported.**</t>
  </si>
  <si>
    <t>AndroidIDEOfficial-AndroidIDE-603</t>
  </si>
  <si>
    <t xml:space="preserve">[Bug]: App crashed </t>
  </si>
  <si>
    <t>### What happened?
### What the expected behavior?
AndroidIDE crash report
SDK version: 30
### What version of AndroidIDE you re using?
v2.1.2 (debug builds)
### Relevant log output
AndroidIDE crash report
SDK version: 30
### Duplicate issues
This issue has not been reported yet.
### Code of Conduct
agree to follow this project Code of Conduct</t>
  </si>
  <si>
    <t>2022-11-10</t>
  </si>
  <si>
    <t>Sorabhkumar-dev-food-odering-app-4</t>
  </si>
  <si>
    <t>App crashing on login screen as well as unable to login into app.</t>
  </si>
  <si>
    <t>when log-out from the app then try to login into app but unable to login</t>
  </si>
  <si>
    <t>michalchudziak-react-native-geolocation-217</t>
  </si>
  <si>
    <t>Fatal Exception: java.lang.NullPointerException: Activity must not be null</t>
  </si>
  <si>
    <t>Hi michalchudziak. just released v3.0.3 within my app last night and starting to see some crashes in Crashlytics related to this module. not able to reproduce the crash myself and it doesn appear to be everyone, but the crash count is starting to climb. also not seeing any similarities between the devices (device type, OS, etc).
just curious if this may be related to the other issue since it is similar Fatal Exception: error related to NULL value. The way this module is implemented within the app has not changed in over year, so the only change in this release was the module upgrade (upgraded from v2.1.0) and have not seen this error before.
Do you happen to know what may be causing this error or how can help track down the root cause to provide you additional info? If get any additional info, will pass it along. Thank you!
Fatal Exception: Activity must not be null</t>
  </si>
  <si>
    <t>sspanak-tt9-110</t>
  </si>
  <si>
    <t>Fixed crashing when trying to add a new word but the input connection is closed</t>
  </si>
  <si>
    <t>AndroidIDEOfficial-AndroidIDE-601</t>
  </si>
  <si>
    <t>IDE terminal crash. Didn't even completed setup</t>
  </si>
  <si>
    <t>AndroidIDE crash report
SDK version: 31</t>
  </si>
  <si>
    <t>microg-GmsCore-1821</t>
  </si>
  <si>
    <t>[FIDO] Fido doesn't seem to work anywhere</t>
  </si>
  <si>
    <t>**Describe the bug**
Whenever try to use the new FIDO functionality via USB on v0.2.25.223616 or 2a19ef4 (https: github.com microg GmsCore commit the transport handler crashes when indicating presence on the FIDO device. In the Android UI, nothing graphical can be seen, but the results of logcat show what is happening. The ultimate result is that FIDO doesn work in any context. The system UI will allow me to attempt to add keys in Firefox or Chromium, but will not do anything when press the key.
Steps to reproduce the behavior:
1. Open Firefox Chromium
2. Go to webauthn.io
3. Try to register username
4. Observe that Firefox Chromium will prompt you for your key
5. Observe that tapping the FIDO key when asked results in no activity and no progress being made
expect tapping the FIDO key to do something, but it does nothing.
Android Version: 12
Custom ROM: LineageOS 19.1
am using Yubikey NFC, and NFC USB. NFC does not work either.
**More Logcat that proves data is being sent back from the Yubikey and being handled**</t>
  </si>
  <si>
    <t>PojavLauncherTeam-PojavLauncher-3651</t>
  </si>
  <si>
    <t>[BUG] GAME CRASHA AS SOON AS I START OPTIFINE, FABRIC</t>
  </si>
  <si>
    <t>### Describe the bug
the Bug is the following, put my account, install the desired version, start OPTIFINE and crash
### The log file and images videos
Screenshot net kdt pojavlaunch debug (https: 94086290
### Steps To Reproduce
game does not enter
### Expected Behavior
Nothing to say, just sort it out
Device model: Redmi Note 11
CPU architecture: Snapdragon 680
Android version: 12
PojavLauncher version: Experimental ui
### Anything else?</t>
  </si>
  <si>
    <t>deltachat-deltachat-android-2417</t>
  </si>
  <si>
    <t>some crashes reported in gplay backend wrt notifications</t>
  </si>
  <si>
    <t>checking some of the crash reports in the gplay backend, came over the following one that happens relatively often:
it seems to be known issue and only happens on some android versions:
might be relate to some sound file that could not be found or so, solution could be to just wrap to try catch block and log an error.</t>
  </si>
  <si>
    <t>2022-11-09</t>
  </si>
  <si>
    <t>PojavLauncherTeam-PojavLauncher-3649</t>
  </si>
  <si>
    <t>[BUG] Game not launching</t>
  </si>
  <si>
    <t>### Describe the bug
As start launcher login my acc it fine when click on Olay on 1.16.5 it is fine but when it time for the game to start it crashes plsss tell me it been like year of me using it can live without it :( pleaseeee really want to play games back it is started to happen with me from today only and while selecting acc it doesn even show from to
### The log file and images videos
### Steps To Reproduce
start launcher and it crashes
### Expected Behavior
expect game to start but it doesn
### Anything else?
Wase fix it :( beg</t>
  </si>
  <si>
    <t>2022-11-08</t>
  </si>
  <si>
    <t>hauke96-GeoNotes-94</t>
  </si>
  <si>
    <t>GeoNotes crash on start</t>
  </si>
  <si>
    <t>Launch version 1.5.1, it crashes without showing itself. Version 1.4.5 did not crash. am using the F-droid version on Android 7.1.
FATAL EXCEPTION: main
Error Code 2062 (SQLITE CANTOPEN EMFILE)
Caused By Application has opened two many files. Maximum of available file descriptors in one process is 1024 in default.
(unable to open database file (code 2062))
Error Code 2062 (SQLITE CANTOPEN EMFILE)
Caused By Application has opened two many files. Maximum of available file descriptors in one process is 1024 in default.
(unable to open database file (code 2062))</t>
  </si>
  <si>
    <t>launchdarkly-react-native-client-sdk-161</t>
  </si>
  <si>
    <t>await client.identify never return. App crash when I remove await</t>
  </si>
  <si>
    <t>**Describe the bug**
call await client.identify( key: userId, name: userName code and it never return back. The app will crash after removed await, just run client.identify( key: userId, name: userName
The full code as below:
import environmentConfig from app config apiConfig
import LDClient from
import React, useContext, useEffect, useState from react
import Subject from rxjs
const client new LDClient()
const config mobileKey:
const flagChangedSubject new Subject&lt;string &gt;()
export const React.memo(( children children: JSX.Element
const isInitilized, setIsInitilized useState(false)
key: Anonymous ).then(()
anonymousListener (flagKeys: string
return value isInitilized client null children
export const useLaunchDarklyFlag (flagName: string): boolean null
const flagValue, setFlagValue useState&lt;boolean null&gt;(null)
const handler string
console.info( flagName, value)
const identifyUser async (userId: string, userName: string)</t>
  </si>
  <si>
    <t>cgeo-cgeo-13622</t>
  </si>
  <si>
    <t>Image gallery crashing on "open with c:geo"</t>
  </si>
  <si>
    <t>### Describe your problem!
Reported by user on support:
(Happens only, if new experimental gallery is NOT active.)
### How to reproduce?
1. open (stored?) cache
2. swipe to the images page
3. tap any image
4. select open with cgeo
### Actual result after these steps?
### Expected result after these steps?
display image in zoomable image viewer
### c:geo Version
### System information
System info is in the related ticket, but it reproducible in emulator as well. Just make sure that the experimental new gallery is DISABLED.
### Additional Information</t>
  </si>
  <si>
    <t>2022-11-07</t>
  </si>
  <si>
    <t>org-SCAN-android-app-121</t>
  </si>
  <si>
    <t>[BUG] At Start = If no best_descriptive_value the app crashes</t>
  </si>
  <si>
    <t>**Description of the bug**
Blocking at the start if not BDV ask the admin to add BDV</t>
  </si>
  <si>
    <t>androidx-media-205</t>
  </si>
  <si>
    <t>[demo-session app] ForegroundServiceDidNotStartInTimeException is thrown when trying to play from notification</t>
  </si>
  <si>
    <t>### Media3 Version
### Devices that reproduce the issue
Pixel (Android 13)
### Devices that do not reproduce the issue
### Reproducible in the demo app?
### Reproduction steps
1. Build demo-session app (main branch)
2. Play any media item
3. Pause playback (either from player screen or notification)
4. Kill the app (remove from recent screens)
5. Notification is still visible
6. Press play in notification
### Expected result
App should start playback or at least not crash if playback is not possible
### Actual result
any media in demo app
### Bug Report
You will email the zip file produced by adb bugreport to dev.exoplayer gmail.com after filing this issue.</t>
  </si>
  <si>
    <t>Anuken-Mindustry-7839</t>
  </si>
  <si>
    <t>Serpulo Coastline bug</t>
  </si>
  <si>
    <t>**Steps to reproduce**: During normal campagin game, after capturing the Storm archipelago, new content was opened and apparently at that moment the Coastline got bugged. Resetting research and campaign data didn help, the bug is repeated after the capture of the Storm archipelago.
**Link(s) to mod(s) used**: No mods used.
**(Crash) logs**: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</si>
  <si>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MuntashirAkon-AppManager-921</t>
  </si>
  <si>
    <t>App list not showing any application</t>
  </si>
  <si>
    <t>### Please check before submitting an issue
know what my device, OS and App Manager versions are
know how to take logs
know how to reproduce the issue which may not be specific to my device
### Describe the bug
When connected to wireless debugging, then tried press on any app in the app list it crashed, after restarting the app manager, the list doesn pop up any application including in the running apps menu
### To Reproduce
1. Connect wireless debugging
2. Open any application menu in the app list
3. Restart the app manager as it just crashed
4. Doesn pop up any app in the application list
### Expected behavior
app manager crashed
### Device info
Device: Realme GT Master Edition
OS Version: RMX3363 11 C.11
App Manager Version: 3.0.3
### Additional context</t>
  </si>
  <si>
    <t>LawnchairLauncher-lawnchair-3092</t>
  </si>
  <si>
    <t>[BUG] Can't create WhatsApp Widget</t>
  </si>
  <si>
    <t>### Describe the bug
When try to add WhatsApp Widget it just crashed
### Steps to reproduce
Steps to reproduce the behavior:
1. Long click on the launcher
2. Click on Widgets
3. Scroll down to Whatsapp
4. Click on the first one
5. Drag it anywhere(main screen, second screen, create new screen...)
6. It just crashes
### Expected behavior
Create WhatsApp widget
### Device information
Device: Galaxy S21 5G
OS: One UI 5.0 Android 13
App version: 12.1.0 Alpha
### Additional context</t>
  </si>
  <si>
    <t>AndroidIDEOfficial-AndroidIDE-592</t>
  </si>
  <si>
    <t>Ide Crashed</t>
  </si>
  <si>
    <t>### What happened?
### What the expected behavior?
Fix this please as soon as possible
### What version of AndroidIDE you re using?
v2.1.2 (debug builds)
### Relevant log output
AndroidIDE crash report
SDK version: 30
### Duplicate issues
This issue has not been reported yet.
### Code of Conduct
agree to follow this project Code of Conduct</t>
  </si>
  <si>
    <t>PojavLauncherTeam-PojavLauncher-3647</t>
  </si>
  <si>
    <t>### Describe the bug
When games lauch means minecraft launches its crash and throw to the home screen
### The log file and images videos
It crash plz solve it
### Steps To Reproduce
### Expected Behavior
The game lauch and it crash
Device model: RealmeC25y
CPU architecture: 2x ARM Cortex-A75 1.82 GHz 6x ARM Cortex-A55 1.82 GHz
Android version: 11
PojavLauncher version: openjdk
### Anything else?</t>
  </si>
  <si>
    <t>AndroidIDEOfficial-AndroidIDE-590</t>
  </si>
  <si>
    <t>[Bug]: AndroidIDE Crash</t>
  </si>
  <si>
    <t>### What happened?
AndroidIDE Crash when syncing project
### What the expected behavior?
### What version of AndroidIDE you re using?
v2.1.2 (debug builds)
### Relevant log output
AndroidIDE crash report
SDK version: 31
### Duplicate issues
This issue has not been reported yet.
### Code of Conduct
agree to follow this project Code of Conduct</t>
  </si>
  <si>
    <t>Anuken-Mindustry-7836</t>
  </si>
  <si>
    <t>Server command `admin add &lt;uuid&gt;` does not work for offline players</t>
  </si>
  <si>
    <t>trying to initialized server from scratch inside container and like to make myself admin right from the start. The admin add ... command suggests, that admins can be added offline using the UUID, but the code doesn look like it supports this. Not sure if this is feature request or bug.
**Steps to reproduce**:
1. start fresh server
2. run admin add &lt;uuid&gt; with &lt;uuid&gt; set to your UUID
**Link(s) to mod(s) used**: no mods
**Save file**: it not in-game.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</si>
  <si>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2022-11-06</t>
  </si>
  <si>
    <t>PojavLauncherTeam-PojavLauncher-3644</t>
  </si>
  <si>
    <t>[BUG] Null pointer exception after signing in with a Microsoft account</t>
  </si>
  <si>
    <t>### Describe the bug
Crashes after signing in with Microsoft account on fresh Pojav install.
### The log file and images videos
### Steps To Reproduce
1. Start PojavLauncher
2. Sign in with Microsoft account
3. It might crash with roughly 50% chance
### Expected Behavior
No crash after signing in. BTW, it annoying that it doesn remember that signed in and need to insert e-mail and password every time.
Device model: Moto Z2 Play
CPU architecture: don know, but guess arm64?
PojavLauncher version: Download from here: https: github.com PojavLauncherTeam PojavLauncher actions runs 3401065597
### Anything else?</t>
  </si>
  <si>
    <t>nextcloud-android-10994</t>
  </si>
  <si>
    <t>Too Many Queued jobs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</si>
  <si>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The bug occurred with Nextcloud instance running on my personal network, after being away, and connecting to hotel network with the same network CIDR as my home network, but the nextcloud server being unreachable.
After reconnecting to my home network the error started appearing.
The error occurs again when the app is opened and instant upload of images is triggered again manually.
### Expected behaviour
The nextcloud app runs in the background
### Actual behaviour
Android notifies the user of an app crash with the attached logs
### Android version
### Device brand and model
### Stock or custom OS?
Custom (explain in additional information
### Nextcloud android app version
### Nextcloud server version
### Using reverse proxy?</t>
  </si>
  <si>
    <t>PojavLauncherTeam-PojavLauncher-3639</t>
  </si>
  <si>
    <t>Minecraft doesn't start in new update.</t>
  </si>
  <si>
    <t>### Describe the bug
After the last update on 10 28 2022, no version of the game starts, tried almost everything, including Fabric, Forge and OptiFine. When click Play it just takes me to the login page. Tried all versions of Jam and virtualization, there is license of the game purchased from the official site.
### The log file and images videos
There are no any errors, it just takes me to the login page.
### Steps To Reproduce
Maybe it has something to do with poorly installed runtime. Perhaps separate virtualization partition should be added.
### Expected Behavior
expect the game to run normally without crashes.
Device model: Xiaomi Redmi Note Pro
CPU architecture: Qualcomm Snapdragon 720G
Android version: 12L
PojavLauncher version: openjdk
### Anything else?</t>
  </si>
  <si>
    <t>2022-11-05</t>
  </si>
  <si>
    <t>PojavLauncherTeam-PojavLauncher-3638</t>
  </si>
  <si>
    <t>BUG pojav crash i lost my worlds forever</t>
  </si>
  <si>
    <t>### Describe the bug
click play and it crashed
### The log file and images videos
cant, deleted the app with keep data and reinstall and nothing was there, so deleted it again
### Steps To Reproduce
1. start pojav
2. select account
3. click play
4. YOU CRASHED
### Expected Behavior
expected it to run and my friend and me would play on server
Device model: Samsung A7 Lite tablet
CPU architecture: aarch64
Android version: 12
PojavLauncher version: Newest Playstore Nov 2022
### Anything else?
im depressed now that lost every mod, world, shader, resource pack, everything</t>
  </si>
  <si>
    <t>jellyfin-jellyfin-androidtv-2241</t>
  </si>
  <si>
    <t>Fix app crash when playing trailers</t>
  </si>
  <si>
    <t>The app crashed because gotoSeries() was called when it shouldn due to
missing return statement.
Add missing return statement in FullDetailsFragment
&lt;!-- Tag any issues that this PR solves here.
ex. Fixes --&gt;</t>
  </si>
  <si>
    <t>2022-11-04</t>
  </si>
  <si>
    <t>Anuken-Mindustry-7821</t>
  </si>
  <si>
    <t>Crashes when I try to join sector</t>
  </si>
  <si>
    <t>**Steps to reproduce**: Join damn sector. BTW, it doesn crash if the game is paused the time you join (minimized window), it does it only after you unpause.
**Link(s) to mod(s) used**: All of them are listed in crash log.
Mindustry has crashed. How unfortunate.
Runtime Available Memory: 2458mb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</si>
  <si>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CMPUT301F22T02-well-fed-117</t>
  </si>
  <si>
    <t>Bug: app crashes on fab / back button</t>
  </si>
  <si>
    <t>PojavLauncherTeam-PojavLauncher-3636</t>
  </si>
  <si>
    <t>App crashes, latestlog.txt is empty</t>
  </si>
  <si>
    <t>### Describe the bug
After hitting play and after progress bar finishes, app returns to login screen, sometimes android tells me the app is not responding when this happens.
### The log file and images videos
latestlog.txt has no text and is completely empty
### Steps To Reproduce
1. Start pojavlauncher
2. Log in select account
3. Select version (i tested 1.7.10, 1.12.2, 1.17.1)
### Expected Behavior
Game should launch
Device model: chromebook acer c722 n20q9
CPU architecture: arm64
PojavLauncher version: latest one on google play, believe it Dhalia play update
### Anything else?
ve tried allocating more less ram, changing java within pojavlauncher, and have tried both available renderers. An older version from about year ago worked as long as you select different renderer than default, with the latest version both renderers do not work, and older renderers have been removed. Also can download older versions due to my chromebook being managed by an organization.</t>
  </si>
  <si>
    <t>PojavLauncherTeam-PojavLauncher-3635</t>
  </si>
  <si>
    <t>Angle render crashing</t>
  </si>
  <si>
    <t>### Describe the bug
The angle render is crashing
### The log file and images videos
### Steps To Reproduce
Select angle render
### Expected Behavior
expect you solve this
Device model: Redmi activ
CPU architecture: 32bit
Android version: 10
### Anything else?
Pls solve this</t>
  </si>
  <si>
    <t>PojavLauncherTeam-PojavLauncher-3634</t>
  </si>
  <si>
    <t>[BUG] Pojav Launcher crashing</t>
  </si>
  <si>
    <t>### Describe the bug
After launching 1.19.2 instance the complete app is crashing when loading has finished.
### The log file and images videos
Log from Logcat:
### Steps To Reproduce
1. Start PojavLauncher
2. Launch 1.19.2 Instance
### Expected Behavior
Instance start normally
Device model: Samsung S20 FE 5G
CPU architecture: arm64
Android version: 12
PojavLauncher version: Latest Release from Play Store
### Anything else?</t>
  </si>
  <si>
    <t>patzly-grocy-android-589</t>
  </si>
  <si>
    <t xml:space="preserve">Application crashes when attempting to edit description of a product </t>
  </si>
  <si>
    <t>Model name: Samsung Galaxy Note10+
Model number: SM-N9750
Security Patch: August 2022
Please let me know if can attach logs somehow</t>
  </si>
  <si>
    <t>CMPUT301F22T02-well-fed-113</t>
  </si>
  <si>
    <t>Bug: RecipeIngredient constructor allows initialization without all the required fields.</t>
  </si>
  <si>
    <t>Some of the fields which are must have are missing in the constructor giving false assumptions to the user of the class. leads to db classes silently crashing
Potential fix: Remove constructor with partial variables</t>
  </si>
  <si>
    <t>PojavLauncherTeam-PojavLauncher-3632</t>
  </si>
  <si>
    <t>Fix virgl render crashing</t>
  </si>
  <si>
    <t>### Describe the bug
The virgl render is crashing tried in all versions but it crashing
### The log file and images videos
### Steps To Reproduce
Select virgl render
After few seconds
Crashed in to the login screen
### Expected Behavior
expect you solve this
Device model: Redmi activ
CPU architecture: 32bit
Android version: 10
PojavLauncher version: in all versions
### Anything else?
Pls solve this</t>
  </si>
  <si>
    <t>Anuken-Mindustry-7811</t>
  </si>
  <si>
    <t>Serpulo Completion achievement failing to function</t>
  </si>
  <si>
    <t>**Steps to reproduce**:
Have an older save that already had the Planetary Launch Terminal captured, go to Campaign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</si>
  <si>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2022-11-03</t>
  </si>
  <si>
    <t>PojavLauncherTeam-PojavLauncher-3631</t>
  </si>
  <si>
    <t>Zink crashing</t>
  </si>
  <si>
    <t>### Describe the bug
### The log file and images videos
### Steps To Reproduce
Select Zink render
### Expected Behavior
expect you solve this
Device model: Redmi activ
Android version: 10
### Anything else?
Pls solve this problem</t>
  </si>
  <si>
    <t>AndroidIDEOfficial-AndroidIDE-588</t>
  </si>
  <si>
    <t>[Bug]: The app is crashing when I am using regex.</t>
  </si>
  <si>
    <t>### What happened?
The app is crashing when am using regex.
### What the expected behavior?
### What version of AndroidIDE you re using?
v2.1.2 (debug builds)
### Relevant log output
AndroidIDE crash report
SDK version: 31
### Duplicate issues
This issue has not been reported yet.
### Code of Conduct
agree to follow this project Code of Conduct</t>
  </si>
  <si>
    <t>nextcloud-android-10979</t>
  </si>
  <si>
    <t>Nextcloud android app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</si>
  <si>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nextcloud android app
3. Auto upload
### Expected behaviour
Be able to initiate Auto Upload of photos from my android phone. This will be uploaded to my self-hosted local nextcloud server.
### Actual behaviour
Nextcloud app crashes.
### Android version
### Device brand and model
Samsung galaxy s22
### Stock or custom OS?
### Nextcloud android app version
### Nextcloud server version
### Using reverse proxy?
### Android logs</t>
  </si>
  <si>
    <t>Beldex-Coin-bchat-android-7</t>
  </si>
  <si>
    <t>Bchat crashes when you hit the button "feedback" in settings menu.</t>
  </si>
  <si>
    <t>Bchat crashes when you hit the button feedback in settings menu.
Phone oppo a96
App version 1.2.1</t>
  </si>
  <si>
    <t>Beldex-Coin-bchat-android-6</t>
  </si>
  <si>
    <t>Bchat crashes when you hit the button "help" in settings menu.</t>
  </si>
  <si>
    <t>Bchat crashes when you hit the button help in settings menu.
Phone oppo a96
App version 1.2.1</t>
  </si>
  <si>
    <t>Anuken-Mindustry-7805</t>
  </si>
  <si>
    <t>crash on main memu</t>
  </si>
  <si>
    <t>Steps to reproduce:
Link(s) to mod(s) used:
Save file: can save crash on main memu
(Crash) logs: index can be size:</t>
  </si>
  <si>
    <t>AndroidIDEOfficial-AndroidIDE-582</t>
  </si>
  <si>
    <t>[Bug]: When commenting some java codes in code editor</t>
  </si>
  <si>
    <t>### What happened?
AndroidIDE crash report
SDK version: 28
### What the expected behavior?
need to be fixed
### What version of AndroidIDE you re using?
v2.1.2 (debug builds)
### Relevant log output
### Duplicate issues
This issue has not been reported yet.
### Code of Conduct
agree to follow this project Code of Conduct</t>
  </si>
  <si>
    <t>LawnchairLauncher-lawnchair-3085</t>
  </si>
  <si>
    <t>Irritating Bug</t>
  </si>
  <si>
    <t>### Describe the bug
Just look at the widgets... everytime close apps, slight touch to recent bar ..cause this irritating blinking issue..I tried almost every dev builds and Alpha still this issue exist....
### Steps to reproduce
Steps to reproduce the behavior:
1. Go to You know very well.
2. Click on Just fix this issue
3. Scroll down to Please.
4. See error
Please fix this issue.
### Expected behavior
Why Lawnchair team working too slow....Even after 8-10 months..when we try to add widgets it crashes...and those widgets are placed perfectly cause this blinking...
Uploading vidma recorder 02112022 011922.mp4
### Device information
Device: Samsung F22
OS: One UI 4.1
App version: Latest 12.1.0 dev build #1251
### Additional context
Do something please.</t>
  </si>
  <si>
    <t>2022-11-02</t>
  </si>
  <si>
    <t>microg-GmsCore-1813</t>
  </si>
  <si>
    <t>microG crash when cancelling ReCAPTCHA test</t>
  </si>
  <si>
    <t>**Describe the bug**
Steps to reproduce the behavior:
1. Go to Google SafetyNet
2. Click on Test ReCAPTCHA
3. Press back button while it still loading
4. See error
Android Version: 11
Custom ROM: LineageOS 18.1
Also reproducible if pressing back while it asks you to select images</t>
  </si>
  <si>
    <t>AndroidIDEOfficial-AndroidIDE-579</t>
  </si>
  <si>
    <t>[Bug]: Crash when typing</t>
  </si>
  <si>
    <t>### What happened?
Crash when typing in resources .xml
Exactly in strings.xml
### What the expected behavior?
### What version of AndroidIDE you re using?
v2.1.2 (debug builds)
### Relevant log output
AndroidIDE crash report
SDK version: 30
### Duplicate issues
This issue has not been reported yet.
### Code of Conduct
agree to follow this project Code of Conduct</t>
  </si>
  <si>
    <t>Anuken-Mindustry-7801</t>
  </si>
  <si>
    <t>Can't become Hackerman</t>
  </si>
  <si>
    <t>**Steps to reproduce**:
Enable the console, if disabled.
Open the console (by pressing f8, obviously).
(Optional) Type in couple scripts of your choice.
**Link(s) to mod(s) used**: None
**Save file**: Reproduceable in main menu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</si>
  <si>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org-SCAN-android-app-112</t>
  </si>
  <si>
    <t>[BUG] AVD crash when scrolling down</t>
  </si>
  <si>
    <t>**Description of the bug**
Crash when sliding up (in the emulator)
Is happening very often (like everytime use the app
should test with the apk</t>
  </si>
  <si>
    <t>nextcloud-android-10972</t>
  </si>
  <si>
    <t>java.lang.IllegalArgumentException when signing in with WebAuthn over USB</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</si>
  <si>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Initiate login flow.
2. Enter username and password.
3. Select WebAuthn device for second factor.
4. Insert YubiKey that is registered with the account to USB port.
5. Click Use Webauthn device button. The app crashed when the button was pressed, at the same time the WebAuthn popup UI was briefly visible (for fraction of second).
### Expected behaviour
App does not crash.
### Actual behaviour
App displays the following error
### Cause of error
Strongly consider using FLAG IMMUTABLE, only use FLAG MUTABLE if some functionality depends on the PendingIntent being mutable, e.g. if it needs to be used with inline replies or bubbles.
### App information
Build flavor: gplay
### Device information</t>
  </si>
  <si>
    <t>2022-11-01</t>
  </si>
  <si>
    <t>nextcloud-android-10971</t>
  </si>
  <si>
    <t>Nextcloud App crashes on Photoview in other folder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</si>
  <si>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Go to the media tab
2. Change the media folder (i changed to my folder named SMB this is external files smb integration.
3. opend picture (view, not download or other) and then the NC App crashes
### Expected behaviour
View the picture in this folder
### Actual behaviour
The NC app crashes from time to time.
Probably when loading searching the folder.
have 20 30 thousand pictures in it
### Android version
See Additional information
### Device brand and model
See Additional information
### Stock or custom OS?</t>
  </si>
  <si>
    <t>jellyfin-jellyfin-androidtv-2233</t>
  </si>
  <si>
    <t>Crash when returning from external player</t>
  </si>
  <si>
    <t>### Describe the bug
1. on android TV player 14.4
2. view video on external player (eg Vimu selected from external player, or youtube trailer)
3. exit from playing video using stop button
4. app crashes saying Oops something went wrong
--------- beginning of crash
--------- beginning of main
### App information
***App version***: 0.14.4 140499
### Device information
***Android version***: 11
***Device brand***: Philips
***Device product***: PH1M EA 9970A
***Device model***: 2021 22 Philips UHD Android TV
### Crash information
### FFmpeg logs
### Media info of the file
Any video used by external player
### Application version
### Device information</t>
  </si>
  <si>
    <t>AndroidIDEOfficial-AndroidIDE-576</t>
  </si>
  <si>
    <t>App FC</t>
  </si>
  <si>
    <t>### What happened?
Fc while editing file
### What the expected behavior?
### What version of AndroidIDE you re using?
v2.1.2 (debug builds)
### Relevant log output
AndroidIDE crash report
SDK version: 29
### Duplicate issues
This issue has not been reported yet.
### Code of Conduct
agree to follow this project Code of Conduct</t>
  </si>
  <si>
    <t>AndroidIDEOfficial-AndroidIDE-575</t>
  </si>
  <si>
    <t>[Bug]: app crashed when click on closed project</t>
  </si>
  <si>
    <t>### What happened?
When was building my project then wanted to close my project so when clicked on close this project then app crashed
### What the expected behavior?
### What version of AndroidIDE you re using?
v2.1.2 (debug builds)
### Relevant log output
AndroidIDE crash report
SDK version: 28
### Duplicate issues
This issue has not been reported yet.
### Code of Conduct
agree to follow this project Code of Conduct</t>
  </si>
  <si>
    <t>Anuken-Mindustry-7792</t>
  </si>
  <si>
    <t>Upgrading server to v140 Network I/O error when client joins.</t>
  </si>
  <si>
    <t>dedicated servers run on an ubuntu 22.04 LTS, the java is 17.01
client use is v140 binary just downloaded from itch to windows machine
starting with v139 servers and client that worked fine.
Rebuilt servers with gradlew server:dist -Pbuildversion 140
No errors or warnings with rebuild, restarted servers and from the server perspective everything looks good
Connect with my v140 client, can get the map and initial welcome dialog, then it crashes out with Connection error: Network error.
don see any other v140 servers yet, so can check my client against that.
have crash log ll post it in second comment shortly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</si>
  <si>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Anuken-Mindustry-7791</t>
  </si>
  <si>
    <t>assembler drone get stuck at border</t>
  </si>
  <si>
    <t>As picture shows, the first three ship assembler only have 50% efficiency because of their drones are stuck at border.
To make it clearer, removed the wall shadow
**Steps to reproduce**: As pictures indicated.
**Save file**: Anyone could reproduce this problem easily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</si>
  <si>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Igalia-wolvic-315</t>
  </si>
  <si>
    <t>Crash when switching between Library and Private Mode</t>
  </si>
  <si>
    <t>Upstream Wolvic as of 2022 11 01
## Steps to Reproduce
1. Open Wolvic on website, for example the default Start page
2. Click the Library button on the tray (**1**)
3. Click the Enter Private Browsing button on the tray (**2**)
4. Click the Exit Private Browsing button on the tray (**3**)
## Current Behavior
After one or two seconds, Wolvic crashes.
## Error Logs and Stack Traces
These are some of the error messages when the crash happens:</t>
  </si>
  <si>
    <t>bircni-CurrencyConverter-1</t>
  </si>
  <si>
    <t>Convert-button causing crashes</t>
  </si>
  <si>
    <t>**Describe the bug**
When pressing the convert -button and no amount is given app is crashing
Steps to reproduce the behavior:
1. open the app
2. do not insert any amount
3. press convert
4. app crashes see logical</t>
  </si>
  <si>
    <t>2022-10-31</t>
  </si>
  <si>
    <t>AndroidIDEOfficial-AndroidIDE-569</t>
  </si>
  <si>
    <t>[Bug]: App crashing when typing</t>
  </si>
  <si>
    <t>### What happened?
The IDE is crashing out of nowhere when typing.
### What the expected behavior?
That it doesn crash when typing.
### What version of AndroidIDE you re using?
v2.1.2 (debug builds)
### Relevant log output
AndroidIDE crash report
SDK version: 31
### Duplicate issues
This issue has not been reported yet.
### Code of Conduct
agree to follow this project Code of Conduct</t>
  </si>
  <si>
    <t>2022-10-30</t>
  </si>
  <si>
    <t>skewyapp-skewyapp-11</t>
  </si>
  <si>
    <t>Signal detection buffer Index out of bounds lager than 1</t>
  </si>
  <si>
    <t>**Describe the bug**
Index of out of bounds
App will crash
Unable to reproduce
Probably happens when user tries to change signal length
No crash, array size is limited through input filters
**Smartphone (please complete the following information):**
App release 7.0
Exception Index: 85, Size: 85</t>
  </si>
  <si>
    <t>skewyapp-skewyapp-10</t>
  </si>
  <si>
    <t>Stop recoding runtime exception</t>
  </si>
  <si>
    <t>**Describe the bug**
Runtime exception when trying to call stop record
Mostly happens in background, however foreground crashes also present
Unable to reproduce so far
Recorder to stop and not crash throw exception
**Smartphone (please complete the following information):**
All OS DevicesVersion
App release 7.0
Caused by stop() called on an uninitialized AudioRecord.</t>
  </si>
  <si>
    <t>PojavLauncherTeam-PojavLauncher-3620</t>
  </si>
  <si>
    <t>Pojavlauncher crashes when installing .jar files</t>
  </si>
  <si>
    <t>### Describe the bug
When try to install forge fabric or optifine the pojavlauncher app crashes
### The log file and images videos
### Steps To Reproduce
1. Open pojave launcher
2. Select account
3. Click install .jar
4. Choose fabric or forge installer
### Expected Behavior
expect the game to start the fabric installer or forge installer
Device model:Moto Stylus 5G (XT2131-1)
CPU architecture: arm64
Android version: 12
PojavLauncher version: latest from action builds
### Anything else?
And did use Firefox and turned autorotate on</t>
  </si>
  <si>
    <t>2022-10-29</t>
  </si>
  <si>
    <t>AndroidIDEOfficial-AndroidIDE-560</t>
  </si>
  <si>
    <t>[Bug]: AndroidIde crashes on override method superclass</t>
  </si>
  <si>
    <t>### What happened?
AndroidIDE crash report
SDK version: 29
### What the expected behavior?
It was to create the class methods
### What version of AndroidIDE you re using?
v2.1.2 (debug builds)
### Relevant log output
### Duplicate issues
This issue has not been reported yet.
### Code of Conduct
agree to follow this project Code of Conduct</t>
  </si>
  <si>
    <t>XiangRongLin-NewPipe-preuinified-31</t>
  </si>
  <si>
    <t>Crashing on not being able to get like counts</t>
  </si>
  <si>
    <t>Oh no, bug! It happens. Thanks for reporting an issue with NewPipe. If this is your first bug report, read the following information before proceeding:
Please note, we only support the latest version of NewPipe. In order to check your app version, open the left drawer and click on About If you don have the latest version, upgrade to it and reproduce the problem before opening the issue. The release page (https: github.com TeamNewPipe NewPipe releases latest) is where you can get it.
To make it easier for us to help you please enter detailed information in the template we have provided below. If section isn relevant, just delete it, though it would be helpful to still provide as much detail as possible.
&lt;!-- The comments between these brackets won show up in the submitted issue (as you can see in the preview). --&gt;
&lt;!-- Which version are you using? Hopefully the latest! We just told you that above! --&gt;
### Steps to reproduce the bug
1. Play any video with hidden like counts
&lt;!-- If you can cause the bug to show up again reliably (and hence don have proper set of steps to give us), please still try to give as many details as possible on how you think you encountered the bug. --&gt;
### Expected behavior
&lt;!-- Tell us what you expect to happen. --&gt;
The video would play okay
### Actual behaviour
&lt;!-- Tell us what happens instead. --&gt;
Audio works fine, but opening video or popup fails with unable to play.
### Screenshots Screen recordings
&lt;!-- If applicable, add screenshots or screen recording to help explain your problem. GitHub supports uploading them directly in the issue text box. If your file is too big for Github to accept, feel free to paste link from an image video hoster here instead. --&gt;
&lt;!-- If your bug includes crash (where you re shown the Error Report page with bunch of info), copy it to the clipboard (there is share button for this), head over to our bug report to markdown converter at https: and paste it. Copy the converted text (it is MUCH easier to read this way) from there and paste it here: --&gt;
User Action: requested stream
Request: https: www.youtube.com watch?v ai-dCrJ3SnY
Content Language: en-CA</t>
  </si>
  <si>
    <t>LawnchairLauncher-lawnchair-3063</t>
  </si>
  <si>
    <t>[BUG] NullPointerException when moving an icon in app drawer</t>
  </si>
  <si>
    <t>### Describe the bug
Lawnchair crashes with after attempting to move it (to remove or uninstall it).
### Steps to reproduce
Steps to reproduce the behavior:
1. Swipe up to open app drawer
2. Press and hold an icon to move it
3. Move the icon around
### Expected behavior
The app should be free to move around when you drag.
### Device information
Device: Samsung Galaxy S22 Ultra
OS: Android 12 One UI 4.1
App version: 12.1.0 Alpha
### Additional context</t>
  </si>
  <si>
    <t>2022-10-28</t>
  </si>
  <si>
    <t>LawnchairLauncher-lawnchair-3062</t>
  </si>
  <si>
    <t>### Describe the bug
Lawnchair crashes when attempting to reorganize the app drawer by dragging and dropping an app.
### Steps to reproduce
Steps to reproduce the behavior:
1. Swipe up to the app drawer
2. Press and hold an app icon
3. Move the icon around
### Expected behavior
The app should drag when you press and hold and move it around.
### Device information
Device: Samsung Galaxy S22 Ultra
OS: Android 12, One UI 4.1
App version: 12.1.0 Alpha
### Additional context</t>
  </si>
  <si>
    <t>WSU-4110-Veggie-Garden-32</t>
  </si>
  <si>
    <t>Bug-State Version, crashes with RecyclerView</t>
  </si>
  <si>
    <t>Crashing on Settings page, check Bug-State branch to edit view this. Not active on any other branches currently.
Issue caused by new Recycler View pages and additions no errors shown. Should be some sort of declaration issues, maybe have to do with the Image being used.</t>
  </si>
  <si>
    <t>xfarrow-locatemydevice-3</t>
  </si>
  <si>
    <t>App crashes when trying to chose whitlisted contacts</t>
  </si>
  <si>
    <t>Steps to reproduce setup password then add whitelisted contacts app crashes.
Tested on Android v12
App version 1.0.2
refer crash logs (https: cloud.disroot.org WQq5kGzRNb5MyXR)</t>
  </si>
  <si>
    <t>LawnchairLauncher-lawnchair-3061</t>
  </si>
  <si>
    <t>### Describe the bug
it always crashes when you try to put some widgets
### Steps to reproduce
Steps to reproduce the behavior:
1. Add widgets
### Expected behavior
did not think crashasse with widgets
### Device information
Device: Samsung A40
OS: Android 11
App version: 12.1 Alpha
### Additional context</t>
  </si>
  <si>
    <t>facebook-react-native-35121</t>
  </si>
  <si>
    <t>Android App crashes when we assign "Object" to disabled property in TouchableOpacity (React Native Version 0.70+).</t>
  </si>
  <si>
    <t>&lt;!-- Thanks for submitting pull request! We appreciate you spending the time to work on these changes. Please provide enough information so that others can review your pull request. The three fields below are mandatory. --&gt;
Android App crashes when we assign Object to disabled property in TouchableOpacity (React Native Version 0.70+).
disabled it will show error
disabled false true it won show error
Error Value for disabled cannot be cast from ReadableNativeMap to Boolean
&lt;!-- Explain the **motivation** for making this change. What existing problem does the pull request solve? --&gt;
Added double negation.
const accessibilityState this.props.disabled null
&lt;!-- Help reviewers and the release process by writing your own changelog entry. For an example, see:
Android Fixed Android bug fixed Now Android App will not crash on passing Object to disabled property in TouchableOpacity (React Native Version 0.70+).
## Test Plan
Now Android App will not crash on passing Object to disabled property in TouchableOpacity (React Native Version 0.70+).
&lt;!-- Demonstrate the code is solid. Example: The exact commands you ran and their output, screenshots videos if the pull request changes the user interface. --&gt;</t>
  </si>
  <si>
    <t>nextcloud-android-10956</t>
  </si>
  <si>
    <t>Nextcloud crashes on 'android.widget.LinearLayout com.owncloud.android.databinding.SslUntrustedCertLayoutBinding.getRoot()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</si>
  <si>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 Expected behaviour
### Actual behaviour
### Cause of error
### App information
Build flavor: generic
### Device information
### Android version
### Device brand and model
Samsung galaxy tab s6 lite
### Stock or custom OS?
### Nextcloud android app version
### Nextcloud server version
### Using reverse proxy?
### Android logs</t>
  </si>
  <si>
    <t>VinylMusicPlayer-VinylMusicPlayer-620</t>
  </si>
  <si>
    <t>App crashes when going to the next track</t>
  </si>
  <si>
    <t>**Describe the bug**
When playing an album, sometimes the app will crash few seconds after going to the next track.
Steps to reproduce the behavior:
1. Play an album
2. Wait for few tracks
3. See if it happens, try maybe going to another app or locking the device
The track should continue playing just fine.
**Smartphone (please complete the following information):**
Device: Google Pixel 6a
Android Version: 13 (TP1A.221005.003)
always use my Google Pixel Buds A-Series with the app, although don think it affects its functionality at all.</t>
  </si>
  <si>
    <t>nextcloud-android-10944</t>
  </si>
  <si>
    <t>App crash when displaying Medias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</si>
  <si>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 Cause of error
Exception in thread main Couldn read row 663, col from CursorWindow. Make sure the Cursor is initialized correctly before accessing data from it.
### App information
Build flavor: generic
### Device information
### Expected behaviour
It should open my media to display pictures and videos
### Actual behaviour
But it crashed
### Android version
### Device brand and model
One plus nord 5G
### Stock or custom OS?
### Nextcloud android app version</t>
  </si>
  <si>
    <t>2022-10-27</t>
  </si>
  <si>
    <t>Anuken-Mindustry-7772</t>
  </si>
  <si>
    <t>Game Crash on Poly Repair Action</t>
  </si>
  <si>
    <t>crash has occured. It has been
Users Library Application
Support Mindustry crashes crash-
report-10 27 2022 13 05 25.txt
team is null, and cannot be reopened without restarting*
**Steps to reproduce**: *sector 219 Between waves 13 and 14 -- repair large copper wall with some polys, Game Crashes*
**Link(s) to mod(s) used**: *https: github.com sk7725 TimeControl*
(I pretty sure this is what you re referring to. If not, please tell me and ll find it)
If you remove the line above without reading it properly and understanding what it means, will reap your soul. Even if you re playing on someone server, you can still save the game to slot.
(3 Uploaded to demonstrate that this happens every time open the sector, not just the initial time triggered the glitch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</si>
  <si>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itsdrnoob-DataMonitor-54</t>
  </si>
  <si>
    <t>App crashes when clicked on a non system app</t>
  </si>
  <si>
    <t>**Describe the bug**
App crashes when clicked on non system app for info about data sent and data received
Steps to reproduce the behavior:
1. Open the app
2. Click on mobile data denoted by red antenna icon
3. Scroll down to any non system app
4. Click on app for more info
5. App crashes after 2-3sec
App should show more info about data sent and received by the selected app
For step and
just before crashing
**Smartphone (please complete the following information):**
Device: Oppo Real me CPH1861 Non rooted
OS: Color OS v6.0
App Version 2.0.0
Add any other context about the problem here.</t>
  </si>
  <si>
    <t>2022-10-26</t>
  </si>
  <si>
    <t>nextcloud-android-10942</t>
  </si>
  <si>
    <t>Untrusted certificate causes application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</si>
  <si>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Use the Android client to connect to server which is using self-signed certificate.
### Expected behaviour
It should not crash.
### Actual behaviour
### Android version
### Device brand and model
### Stock or custom OS?
Custom (explain in additional information
### Nextcloud android app version
### Nextcloud server version
### Using reverse proxy?
### Android logs
### Cause of error
### Server error logs</t>
  </si>
  <si>
    <t>facebook-react-native-35093</t>
  </si>
  <si>
    <t>RNGP - Do the .so cleanup using pickFirst and exclude</t>
  </si>
  <si>
    <t>It turns out that using the Artifacts API to manipulate the APK to remove
.so has unintended side effects and is causing the installDebug and installRelease
commands to fail.
ve resorted to register packaging option for each variant to make sure we include only
the correct artifacts we want.
This should fix the current startup crash that is experienced on main.
Android Fixed RNGP Do the .so cleanup using pickFirst and exclude
Differential Revision: D40722285</t>
  </si>
  <si>
    <t>nextcloud-android-10940</t>
  </si>
  <si>
    <t>App Crashes when trying to view Auto-Upload settings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</si>
  <si>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Go to Settings
2. Tap Auto Upload
### Expected behaviour
Auto Upload settings should be viewable editable
### Actual behaviour
The app crashes immediately
### Cause of error
Exception in thread Method addObserver must be called on the main thread
### App information
Build flavor: gplay
### Device information
Model: Pixel Pro
### Android version
### Device brand and model</t>
  </si>
  <si>
    <t>AndroidIDEOfficial-AndroidIDE-554</t>
  </si>
  <si>
    <t xml:space="preserve">[Bug]: Whole code has error line and after some time ide crash. </t>
  </si>
  <si>
    <t>### What happened?
Ide crashed after sometime while fixing errors.
### What the expected behavior?
### What version of AndroidIDE you re using?
v2.1.2 (debug builds)
### Relevant log output
AndroidIDE crash report
SDK version: 31
### Duplicate issues
This issue has not been reported yet.
### Code of Conduct
agree to follow this project Code of Conduct</t>
  </si>
  <si>
    <t>Lohni-Musicplayer-36</t>
  </si>
  <si>
    <t>Fix crashes on first app startup</t>
  </si>
  <si>
    <t>MainActivity: on null object reference</t>
  </si>
  <si>
    <t>Anuken-Mindustry-7768</t>
  </si>
  <si>
    <t>Enemy units stay alive in factories after sector capture</t>
  </si>
  <si>
    <t>Bleeding Edge build 23455
After capturing sector enemy units that are fully constructed and inside of factory wont die and they can be released.
**Steps to reproduce**: *How you happened across the issue, and what exactly you did to make the bug happen.*
Capture sector -&gt; remove refabricator infront of factory that has fully constructed unit inside it.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</si>
  <si>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2022-10-25</t>
  </si>
  <si>
    <t>nextcloud-android-10929</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</si>
  <si>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just run the photo sincronization, the app is unstable, and try to load all the photo tougher (more than 1000)
### Expected behaviour
think the upload of the photo is not really optimized
Should be better if he create set of photo and then try (creating compressed archive to save traffic?)
### Actual behaviour
When the app is background the upload some time crash, when restart the application and go to in uploading section see more than 1000 upload failed, and he try to upload it again.
Seems like the app copy the photo inside to perform the upload, but any error of free space are visible (cause the space is not full).
give to the app all the permission to run with no save energy setting and the ability to run in background
### Android version
### Device brand and model
Xiaomi 10t pro
### Stock or custom OS?
### Nextcloud android app version
### Nextcloud server version</t>
  </si>
  <si>
    <t>nextcloud-android-10927</t>
  </si>
  <si>
    <t>App crashes on GraphineOS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</si>
  <si>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the App
### Expected behaviour
App to open
### Actual behaviour
As soon as open the App, it crashes. When first got.the app was able to use it. tried to sync contact info and now it crashes every time after open it.
### Android version
### Device brand and model
### Stock or custom OS?
Custom (explain in additional information
### Nextcloud android app version
### Nextcloud server version
### Using reverse proxy?
### Android logs
### Server error logs</t>
  </si>
  <si>
    <t>AndroidIDEOfficial-AndroidIDE-550</t>
  </si>
  <si>
    <t>[Bug]: Bad</t>
  </si>
  <si>
    <t>### What happened?
AndroidIDE crash report
SDK version: 29
### What the expected behavior?
AndroidIDE crash report
SDK version: 29
### What version of AndroidIDE you re using?
v2.1.2 (debug builds)
### Relevant log output
AndroidIDE crash report
SDK version: 29
Pls help thank you new user
### Duplicate issues
This issue has not been reported yet.
### Code of Conduct
agree to follow this project Code of Conduct</t>
  </si>
  <si>
    <t>Anuken-Mindustry-7760</t>
  </si>
  <si>
    <t>crushDamage doesn't work on the server</t>
  </si>
  <si>
    <t>**Steps to reproduce**: drive t4 or t5 tank crush into an enemy building on any server
**Link(s) to mod(s) used**: no mod used
**(Crash) logs**: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</si>
  <si>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2022-10-24</t>
  </si>
  <si>
    <t>nextcloud-android-10908</t>
  </si>
  <si>
    <t xml:space="preserve">Can Not Connect top nextcloud Server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</si>
  <si>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Connect to nextcloud Not possible App crashed
### Expected behaviour
### Cause of error
### App information
Build flavor: gplay
### Device information
### Actual behaviour
Can Not Connect top cextcloudserver
### Android version
### Device brand and model
Samsung Note 20
### Stock or custom OS?
### Nextcloud android app version
### Nextcloud server version</t>
  </si>
  <si>
    <t>nextcloud-android-10906</t>
  </si>
  <si>
    <t>Server certificate not trustworthy - app crash when opened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</si>
  <si>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Notification: upload failed, due to certificate
2. Open App,
3. wait few seconds looking at your top level directory,
### Expected behaviour
### Actual behaviour
Failed upload and crash when opened app
### Android version
### Device brand and model
### Stock or custom OS?
### Nextcloud android app version
3.22.1 (October 20, 2022)
### Nextcloud server version
### Using reverse proxy?
### Android logs</t>
  </si>
  <si>
    <t>nextcloud-android-10905</t>
  </si>
  <si>
    <t>Nextcloud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</si>
  <si>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App crash insertinf credentials on Xiaomi MI 12 pro 12 256
### Expected behaviour
App crash and lot of errors
### Actual behaviour
### Cause of error
### App information
Build flavor: gplay
### Device information
Product: zeus eea
### Android version
### Device brand and model
Xiaomi mi 12 pro
### Stock or custom OS?
Custom (explain in additional information</t>
  </si>
  <si>
    <t>Anuken-Mindustry-7758</t>
  </si>
  <si>
    <t>Issues related to Serpulo T4 Air Support Unit (Quad)</t>
  </si>
  <si>
    <t>beta build 139
bleeding-edge build 23443
Quad status effect(s) are hidden behind the unit itself. They can only be seen when the Quad is moving.
Normally, most status effects (such as burning, freezing, melting, etc.) are visible on units whether they are idling or moving.
Quad do not have the appearance effect (the white color) when it is spawned. (tested by using world-processor, not payload source)
**Steps to reproduce**:
Apply status(es) to the Quad, whether using in-game mechanics or world-processors.
**Link(s) to mod(s) used**:
Vanilla, no mod is used.
bleeding-edge build 23443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</si>
  <si>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AndroidIDEOfficial-AndroidIDE-549</t>
  </si>
  <si>
    <t>[Bug]: Sora Editor Crashes</t>
  </si>
  <si>
    <t>### What happened?
If there are errors in your code like Red Lines... The app will crash if you scroll it. Duplicate issue guess but it been days since this bug existed.
### What the expected behavior?
This hasn happen before. Strange after updates
### What version of AndroidIDE you re using?
v2.1.2 (debug builds)
### Relevant log output
### Duplicate issues
This issue has not been reported yet.
### Code of Conduct
agree to follow this project Code of Conduct</t>
  </si>
  <si>
    <t>2022-10-23</t>
  </si>
  <si>
    <t>Anuken-Mindustry-7757</t>
  </si>
  <si>
    <t>a mod crashes my game and i cant delete the mod</t>
  </si>
  <si>
    <t>steam build 139
my game crashes
downloaded mods, ui lib unit factory and time control restarted the game and it crashes when enter to the game after the loading screen, cant delete the mods, tried opening the mods folder but theres nothing
dont have the links, names: ui lib, unit factory, time control.
all mods are in the mod browser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</si>
  <si>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nextcloud-android-10897</t>
  </si>
  <si>
    <t>app crashes when trying to add account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</si>
  <si>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Insert server address
### Expected behaviour
Show log in or information about authorizing app
### Actual behaviour
### Android version
### Device brand and model
### Stock or custom OS?
### Nextcloud android app version
### Nextcloud server version
### Using reverse proxy?
### Android logs
### Cause of error
### Server error logs
### Additional information</t>
  </si>
  <si>
    <t>nextcloud-android-10896</t>
  </si>
  <si>
    <t>Android app crash on log in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</si>
  <si>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Input server IP address
### Expected behaviour
Putting server IP into login would result in getting username prompt
### Actual behaviour
App immediately crashes instead
### Android version
### Device brand and model
### Stock or custom OS?
### Nextcloud android app version
### Nextcloud server version
Nextdoor hub II
### Using reverse proxy?
### Android logs
### Cause of error</t>
  </si>
  <si>
    <t>Anuken-Mindustry-7755</t>
  </si>
  <si>
    <t>Issue related to Serpulo T4 Naval Support Unit (Aegires)</t>
  </si>
  <si>
    <t>beta build 139
Aegires reduces its targets to **other teams blocks or units** when **blocks or units of the same group** are closer.
For example, An Aegires is spawned in pool with enemy blocks more that 25 (all in range). Normally, the Aegires would attack 25 of them at the same time. However, if player (1 alpha, beta, or gamma) is positioned as the closest object to the Aegires, it will attack only 24 blocks at the same time. If the Aegires is surrounded by the player, 10 other units and 10 blocks of the same group (all closer to the Aegires than the enemy blocks), it will attack only blocks at the same time. If the Aegires is surrounded by equal or more than 25 blocks of the same group (all closer to the Aegires than the enemy blocks), it will not attack the enemy blocks.
Experiments have shown that only **Aegires Energy Field** ability is affected by the closer blocks or units of the same group. The ** segment like weapons** of the Aegires are not affected.
**Steps to reproduce**:
Created map with only small water pool (for the Aegires being spawned by payload source).
Surround the Aegires with some blocks of the same team (Edit In-Game) (units can be tested in sandbox mode)
Then surround the whole stuff with blocks of other teams (Edit In-Game) (units can be tested by placing payload source with unit in Edit In-Game)
Perform the experiment: Observe the change of targets to enemy blocks and units by adding or deleting blocks units of the player team (can be done by pausing at the right moment)
**Link(s) to mod(s) used**:
Vanilla, no mod is used.
No crash logs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</si>
  <si>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Anuken-Mindustry-7752</t>
  </si>
  <si>
    <t>Null Pointer crash on windswept islands map.  Occurs when enemy aircraft engage my base</t>
  </si>
  <si>
    <t>**Steps to reproduce**: From my save file it happens on every wave. Uncertain exactly how to reproduce, however
**Link(s) to mod(s) used**: No mods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</si>
  <si>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commons-app-apps-android-commons-5088</t>
  </si>
  <si>
    <t>[Bug]: App crashes and won't open again after signing in</t>
  </si>
  <si>
    <t>Downloaded the app (version 2.6.0) from the F-Droid store. Opened the app and logged into the app with my Commons account. App crashes and won open again, even after closing it repeatedly. The only thing that *does* help is uninstalling the app and re-installing it again, but even after that the app only works until you log in.
### Steps to reproduce
1. Download version 2.6.0 from the F-Droid store
2. Open the app and log in with Commons account
### Expected behaviour
The app should work not crash be able to be opened again
### Actual behaviour
The app crashes can be opened
### Device name
Nokia (HMD) 3.4
### Android version
Android 12 (stock version, but with Lawnchair launcher installed and in use)
### Commons app version
2.6.0 (newest one)
### Device logs
Screenshot text translates roughly to Commons is being closed repeatedly. buttons are Warren wait and App schlie en close app
### Would you like to work on the issue?</t>
  </si>
  <si>
    <t>2022-10-22</t>
  </si>
  <si>
    <t>Aliucord-Aliucord-283</t>
  </si>
  <si>
    <t>Aliucord isn't responding.</t>
  </si>
  <si>
    <t>### Discord Account
### Device information
Huawei EMUI Version: 12.0.0
### What happens when the bug or crash occurs?
The bug appears when start Aliucord.
### What is the expected behaviour?
expect Aliucord to start normally without any problems.
### How do you recreate this bug or crash?
1. Install the latest Aliucord Installer (https: github.com Aliucord Aliucord releases).
2. Install Aliucord via Aliucord Installer (https: github.com Aliucord Aliucord releases).
3. Start Aliucord.
&lt;img src https: 81165187 height 400 width 200
**Aliucord** doesn create any Crash Logs for me.
Crash Logs folder doesn exist in Aliucord dir.
### Request Agreement
did indeed check to make sure the bug or crash report is applicable!</t>
  </si>
  <si>
    <t>nextcloud-android-10892</t>
  </si>
  <si>
    <t>SSL dialog crashing the Android app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</si>
  <si>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Setup local server without letsencrypt
Try to connect
### Expected behaviour
The SSL dialog appears
### Actual behaviour
### Cause of error
### App information
Build flavor: gplay
### Device information
Model: Pixel Pro
### Android version
### Device brand and model
Google Pixel pro
### Stock or custom OS?</t>
  </si>
  <si>
    <t>Anuken-Mindustry-7749</t>
  </si>
  <si>
    <t>Potential Bug found-Research related</t>
  </si>
  <si>
    <t>Steam Build 139 the V7 Beta mentioned in your last post.
must capture Marsh to unlock Revine and Peaks next. but stuck on the research Oxidation chamber.
**Steps to reproduce**: played all maps in order as they were unlocked from lowest threat to highest, and researched all research as it became available, when Basin was the last map to beat, had all research done, once it was captured then went directly into Marsh and was unable to progress because could not see the research for Oxidation chamber-the requirement to progress further. explored Marsh, and built up base bit, but nothing changed.
**Link(s) to mod(s) used**: no mods used
If you remove the line above without reading it properly and understanding what it means, will reap your soul. Even if you re playing on someone server, you can still save the game to slot.
**(Crash) logs**: not crash issue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</si>
  <si>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nextcloud-android-10888</t>
  </si>
  <si>
    <t>Instant app crash after entering local IP into server address field (self-signed cert)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</si>
  <si>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Fresh TrueNAS 12 install, immediately upgraded to TrueNAS-13.0-U2 (bare metal)
2. Nextcloud auto-install via TrueNAS Jails web GUI (Nextcloud 24.0.6)
3. Install NextCloud 3.22.1 app via Play Store on Android 10, Samsung Note SM-N960U
4. All devices connected to LAN (WLAN)
5. Launch app, Tap Login button
6. Type 192.168.0.7:8283 into server address field and press enter.
Alternatively, scan QR code from Nextcloud web interface: Settings (Personal) Security Devices sessions.
8. With either method, instant crash. could kinda make out very momentary message (appearing right below server address field before crash) about Could not verify identity of SSL server or something like that, right before crash screen. Had to repeat many times to work it out, and still not 100% if that the exact message.
### Expected behaviour
already know running self-signed certificate (the default TrueNAS Nextcloud one(s), so far ve changed very little of any defaults). But most SSL help guides online are about exposing your Nextcloud to the internet, and getting cert from real CA. only trying to connect the app to the server via the local ip address with SSL, from the LAN.
was hoping to get warning dialog telling me this server uses self-signed cert, and asking if want to accept the risks and proceed with caution. And from what can make out from the error text, it kinda seems like the app tried to do that?
Instead, instant crash, everytime. was kinda expecting some SSL trouble with the whole self-signed part, and would be willing to try setting up my own CA if necessary, but this error makes it sound more like java error, idk.
FYI, the same local address https: 192.168.0.7:8283 for the web interface also works fine from the Android Firefox app, on same Samsung device. (Warns you to proceed with caution first). The Nextcloud file app just seems really cool, love to get it working with proper encryption, even if it just on my local network.
### Actual behaviour</t>
  </si>
  <si>
    <t>googleads-googleads-mobile-flutter-675</t>
  </si>
  <si>
    <t>type 'Null' is not a subtype of type 'String' when errors happens</t>
  </si>
  <si>
    <t>&lt;!-- Thank you for using Google Mobile Ads for Flutter!
If you have found bug or if our documentation doesn have an answer
to what you re looking for, then fill out the template below. Please read
the Flutter team guide to filing bug first: https: flutter.dev docs resources bug-reports
## Plugin Version
## Steps to Reproduce
the error happens when we try to load InterstitialAd
get also the same error from firebase crashlytics
also if using test id the error does not happens
think this error related to Frequency capping
as test it with fresh install and ad id with ad limit each 5min
and it load the first time correctly but the second time the error happens
and test with other id that does not have limit but with the app has limit of ads show each 30 min and only first four ads loaded correctly
import package:flutter material.dart
import package:google mobile ads google mobile ads.dart
import package:learn service ads ads config.dart
void main(List&lt;String&gt; args) async
class MyWidget extends StatelessWidget
const MyWidget( super.key
Widget build(BuildContext context)</t>
  </si>
  <si>
    <t>2022-10-21</t>
  </si>
  <si>
    <t>nextcloud-android-10879</t>
  </si>
  <si>
    <t>NC 3.22.1 crashes on Pixel 6 Pro running Android 13 after entering login URL</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</si>
  <si>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install 3.22.1 on pixel pro 256GB running Android 13 (update from 3.20 happened yesterday)
2. start app and enter login url https: site:port and press enter
3. screen appears with Loading... and crash traceback
did not happen running 3.20 on same phone and os.
### Expected behaviour
### Actual behaviour
1. install 3.22.1 on pixel pro 256GB running Android 13 (update from 3.20 happened yesterday)
2. start app and enter login url https: site:port and press enter
3. screen appears with Loading... and crash traceback
### Android version
### Device brand and model
### Stock or custom OS?
### Nextcloud android app version
### Nextcloud server version</t>
  </si>
  <si>
    <t>PojavLauncherTeam-PojavLauncher-3613</t>
  </si>
  <si>
    <t>[BUG] My Gamecrashed</t>
  </si>
  <si>
    <t>### Describe the bug
### The log file and images videos
Plz help my game crashed
### Steps To Reproduce
Start pojav launcher
Version 1.19 fabric
using OFTIFABRIC mod
### Expected Behavior
My OFTIFABRIC mod was not worked plz help me
CPU architecture: 64
Android version: 11
PojavLauncher version: 1.19
### Anything else?
Help bro OFTIFABRIC was not worked and crashed</t>
  </si>
  <si>
    <t>nextcloud-android-10875</t>
  </si>
  <si>
    <t>Media Tab Crashes App when loading media</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</si>
  <si>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nextcloud android app
Select Media Tab
Attempted to scroll and it crashed the app while media attempted to load.
### Expected behaviour
Should load and display videos and pictures
### Actual behaviour
Crashes after trying to load all my media
### Android version
### Device brand and model
### Stock or custom OS?
### Nextcloud android app version
### Nextcloud server version
### Using reverse proxy?
### Android logs</t>
  </si>
  <si>
    <t>nextcloud-android-10872</t>
  </si>
  <si>
    <t>Conflicts and crash after Android upgrade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</si>
  <si>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Synchronize several GB of photos
2. Upgrade Android and NC app
### Expected behaviour
### Actual behaviour
All the GB of photos start to be uploaded again, with conflict on each. The app crashes lot.
This is not manageable. Even after disabling synchronization in settings, it continues.
know there is lot of existing bug reports around synchronization issues but was not able to find one similar to this one.
### Android version
### Device brand and model
### Stock or custom OS?
### Nextcloud android app version
### Nextcloud server version
### Using reverse proxy?
### Android logs</t>
  </si>
  <si>
    <t>2022-10-20</t>
  </si>
  <si>
    <t>nextcloud-android-10869</t>
  </si>
  <si>
    <t>android app crash when viewing folder of pics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</si>
  <si>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Navigate folders of instant upload pictures
Ex. Instant uploads 2022 10
3. Try to open current month folder
### Expected behaviour
Display list of pictures
### Actual behaviour
Crash log as shown below.
### Android version
### Device brand and model
### Stock or custom OS?
### Nextcloud android app version
### Nextcloud server version
### Using reverse proxy?
### Android logs</t>
  </si>
  <si>
    <t>nextcloud-android-10868</t>
  </si>
  <si>
    <t>App crashes on entering ip address.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</si>
  <si>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Install the app.
Open the app.
Type in the IP address of local server.
The app crashes.
### Expected behaviour
The app should take you to the login page.
### Actual behaviour
The app crashes and unable to login to the server. This problem is seen in version 3.22.0 and the latest 3.22.1
### Android version
### Device brand and model
### Stock or custom OS?
### Nextcloud android app version
### Nextcloud server version
### Using reverse proxy?</t>
  </si>
  <si>
    <t>nextcloud-android-10867</t>
  </si>
  <si>
    <t>Nextcloud crashes when opening folder after generating previews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</si>
  <si>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Install preview-generator app
2. Run occ on server
3. When preview generation is complete, open Nextcloud Android app and navigate to folder with images.
### Expected behaviour
Image gallery view should appear.
### Actual behaviour
App crashes with error pasted into android logs
### Android version
### Device brand and model
### Stock or custom OS?
### Nextcloud android app version
### Nextcloud server version
### Using reverse proxy?
### Android logs</t>
  </si>
  <si>
    <t>OTTAA-Project-OTTAAProject-147</t>
  </si>
  <si>
    <t>[Bug]: Load Drawable principal bug</t>
  </si>
  <si>
    <t>### Contact Details
### What happened?
The App crashed because doesn find an Image resource.
GlideAttatcher attatcher new
### Where are you seeing the problem on?
### Relevant log output
### Code of Conduct
agree to follow this project Code of Conduct</t>
  </si>
  <si>
    <t>getodk-collect-5317</t>
  </si>
  <si>
    <t>Prevent filled form from being edited if sending is canceled or crashes</t>
  </si>
  <si>
    <t>Some users have been reporting that they are seeing failures to send submissions because the server has already received different submission with the same instanceID. Error message from Central:
submission already exists with this ID, but with different XML. Resubmissions to attach additional multimedia must resubmit an identical xml submission file.
See this report (https: forum.getodk.org 33596 5?u ln).
In https: github.com getodk collect issues 4589, we greatly improved the situation by not allowing edits of failed submissions. believe that users are now seeing this issue when they have long uploads that they manually cancel or experience crashes during sending.
We can probably do something like change the send status to failed as soon as the XML of the submission is sent. That way, if the user cancels or gets crash then, they aren in an inconsistent state.</t>
  </si>
  <si>
    <t>OTTAA-Project-OTTAAProject-145</t>
  </si>
  <si>
    <t>[Bug]: Unable to stop activity principal</t>
  </si>
  <si>
    <t>### Contact Details
### What happened?
The application crash
### Where are you seeing the problem on?
### Relevant log output
### Code of Conduct
agree to follow this project Code of Conduct</t>
  </si>
  <si>
    <t>nextcloud-android-10864</t>
  </si>
  <si>
    <t>Grid view in instant upload from phone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</si>
  <si>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When activating grid view get crash, which so far cannot get rid of, except by reinstalling app.
The option to go back to list view disappears.
### Expected behaviour
Gris view should show pictures in grid.
### Actual behaviour
There is no Gris view, just long bug report. The entire interface disappears.
haven been able to get it back. Not when clear cash or anything.
### Android version
### Device brand and model
### Stock or custom OS?
### Nextcloud android app version
### Nextcloud server version
### Using reverse proxy?
### Android logs</t>
  </si>
  <si>
    <t>Anuken-Mindustry-7743</t>
  </si>
  <si>
    <t>**Steps to reproduce**: have no idea what did, it just started happening
**Link(s) to mod(s) used**: none
**(Crash) logs**: Mindustry has crashed. How unfortunate.
Runtime Available Memory: 8176mb
Caused by: index can be size:
... 26 more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</si>
  <si>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nextcloud-android-10863</t>
  </si>
  <si>
    <t>[CRASH] Java.Lang.NullPointerException, on ActivityTaskManagerService.reportAssistContextExtras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</si>
  <si>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We are using sentry and apocenter to monitor our app issues. and We found out that we have many crashes
With this name:
### Expected behaviour
The app not lunching, and crashing.
### Actual behaviour
According to the traces that have the app crashes when it get started:
Check this link: https: sentry.io share issue (url)
All the users that faces this crash are using **android 10**, **no other version**
### Android version
### Device brand and model
SM-A405FN, SM-A202F, SM-A750FN, Redmi Note Pro, Redmi Note 8, Mi Note 10, Core-X4, 5002H EEA
### Stock or custom OS?
### Nextcloud android app version
### Nextcloud server version</t>
  </si>
  <si>
    <t>nextcloud-android-10856</t>
  </si>
  <si>
    <t>3.22.0 Broken/Crashing and unusable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</si>
  <si>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Install or upgrade Nextcloud 3.22.0 from Google Play
2. Launch Nextcloud app
3. Connect account if not already connected
4. Nextcloud will then start crashing when launched.
am using Google Pixel which has been running the Nextcloud app without issue up until this update.
### Expected behaviour
Not crashing normal operation
### Actual behaviour
App crashes immediately upon launching and or causes black screen that flickers for moment when try to force close.
### Android version
### Device brand and model
### Stock or custom OS?
### Nextcloud android app version
### Nextcloud server version</t>
  </si>
  <si>
    <t>nextcloud-android-10852</t>
  </si>
  <si>
    <t>App consistently crashes on opening - com.owncloud.android.ui.adapter.OCFileListGridImageViewHolder cannot be cast to com.owncloud.android.ui.adapter.ListGridImageViewHolder</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</si>
  <si>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Samsung Galaxy A52 running Android 12 build
App is up to date, version 3.22.0 (October 19, 2022)
Previous flawless operation
Load is small 42 items, 425 MB, mostly very little change
Now (since last update) crashes whenever app is opened
Rebooting phone fails to change problem
### Cause of error
### App information
Build flavor: gplay
### Device information
### Expected behaviour
App should open and display directory being synced
App should sync with server last sync appears to be October 14, 2022
### Actual behaviour</t>
  </si>
  <si>
    <t>zoho-SalesIQ-Mobilisten-ReactNative-56</t>
  </si>
  <si>
    <t>java.lang.NullPointerException (com.facebook.react.bridge.CallbackImpl.invoke)</t>
  </si>
  <si>
    <t>We got this stack trace on firebase crashlytics
&lt;img width 1108 alt Screenshot 2022-10-20 at 11 00 23 AM src https: 28749866
And stack trace for the same issue from play store console
Exception Illegal callback invocation from native module. This callback type only permits single invocation from native code.
Happening on Android
React Native version 0.66.4
SDK Version 4.2.10</t>
  </si>
  <si>
    <t>zoho-SalesIQ-Mobilisten-ReactNative-55</t>
  </si>
  <si>
    <t>java.lang.NullPointerException (com.zoho.livechat.android.ui.fragments.ArticleInfoFragment.updateView)</t>
  </si>
  <si>
    <t>We got this stack trace on firebase crashlytics
&lt;img width 971 alt Screenshot 2022-10-20 at 10 52 57 AM src https: 28749866
And stack trace for the same issue from play store console
Happening on Android
React Native version 0.66.4
SDK Version 4.2.10</t>
  </si>
  <si>
    <t>LSPosed-LSPosed-2186</t>
  </si>
  <si>
    <t>[Bug] Manager crash (Both)</t>
  </si>
  <si>
    <t>### Steps to reproduce
Open latest version of the manager
### Expected behaviour
### Actual behaviour
Manager crashes without GUI for both the regular and parasitic manager, even after uninstalling and reinstalling. LSPosed framework seems to run normally though
### Xposed Module List Xposed
aospmods, lucky patcher, snapmod, disableflagsecure, hidemyapplist, pixelify gphotos
### Magisk Module List Magisk
adreno gpu driver, aospmods, app data isolation, audio modification library, builtin busybox, cloudflare dns, fullscreen gestures, hide userdebug, lesseraudioswitch, oh my font, pixelify, quickswitch, riru, riru lsposed, modified riru momohider, modified universal safetynet fix, revanced
### LSPosed version LSPosed
v1.8.4 build 6631
### Android version Android
### Magisk version Magisk
### Riru version Riru
### Version requirement
am using latest debug CI version of LSPosed and enable verbose log CI
with regular manager: https: bin.kv2.dev
with parasitic manager: https: bin.kv2.dev</t>
  </si>
  <si>
    <t>2022-10-19</t>
  </si>
  <si>
    <t>nextcloud-android-10838</t>
  </si>
  <si>
    <t xml:space="preserve">App crash for folder with grid view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</si>
  <si>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Nextcloud Android app.
Choose folder and change the view from list to grid.
### Expected behaviour
The view is changed to grid.
### Actual behaviour
The app crashes and the following error is displayed.
### Cause of error
### App information
Build flavor: gplay
### Device information
Model: ONEPLUS A6003
### Android version
### Device brand and model
### Stock or custom OS?</t>
  </si>
  <si>
    <t>nextcloud-android-10830</t>
  </si>
  <si>
    <t xml:space="preserve">Crashed when on media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</si>
  <si>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Clicked on media tab
Took forever to load crashed
### Expected behaviour
Should not be slow and should not lagg
### Actual behaviour
Low and crash
### Android version
### Device brand and model
### Stock or custom OS?
### Nextcloud android app version
### Nextcloud server version
### Using reverse proxy?
### Android logs
### Cause of error</t>
  </si>
  <si>
    <t>PojavLauncherTeam-PojavLauncher-3610</t>
  </si>
  <si>
    <t>[BUG] Minecraft 22w42a crashes on start</t>
  </si>
  <si>
    <t>### Describe the bug
Application exited with code -1 before loading screen appeared
### The log file and images videos
### Steps To Reproduce
1. Start Pojavlauncher
2. Create new profile for snapshot 22w42a
3. Play the snapshot
4. The game then crashes before the loading screen appears
### Expected Behavior
The game would loads
Device model: Samsung Galaxy A53 5G
CPU architecture: x64
Android version: 12
PojavLauncher version: 3.3.1
### Anything else?
If this is just an issue on my end would like to know how to fix it.</t>
  </si>
  <si>
    <t>AndroidIDEOfficial-AndroidIDE-542</t>
  </si>
  <si>
    <t>[Bug]: Scrolling Always Crash</t>
  </si>
  <si>
    <t>### What happened?
If add variable it always crashes when scroll...
### What the expected behavior?
Uploading Screenshot ()
### What version of AndroidIDE you re using?
v2.1.2 (debug builds)
### Relevant log output
AndroidIDE crash report
SDK version: 31
### Duplicate issues
This issue has not been reported yet.
### Code of Conduct
agree to follow this project Code of Conduct</t>
  </si>
  <si>
    <t>AndroidIDEOfficial-AndroidIDE-541</t>
  </si>
  <si>
    <t>[Bug]: IDE Crashed on BUILD SUCCESSFUL</t>
  </si>
  <si>
    <t>### What happened?
### What the expected behavior?
The ide crashed when finished my build.
### What version of AndroidIDE you re using?
v2.1.2 (debug builds)
### Relevant log output
AndroidIDE crash report
SDK version: 31
### Duplicate issues
This issue has not been reported yet.
agree to follow this project Code of Conduct
### Code of Conduct</t>
  </si>
  <si>
    <t>nextcloud-android-10825</t>
  </si>
  <si>
    <t>Version 3.22 crashes when activating Grid View</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</si>
  <si>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Opening 3.22 App
Switching vom List-View to Grid
### Expected behaviour
Grid should be displayed
### Actual behaviour
### Android version
### Device brand and model
Samsung Note 10+
### Stock or custom OS?
Custom (explain in additional information
### Nextcloud android app version
Dr. Ketan ROM
### Nextcloud server version
### Using reverse proxy?</t>
  </si>
  <si>
    <t>AndroidIDEOfficial-AndroidIDE-540</t>
  </si>
  <si>
    <t>[Bug]: Crash on clearing logs</t>
  </si>
  <si>
    <t>### What happened?
The IDE crashes when try to clear logs during gradle build
### What the expected behavior?
Should clear the build logs without errors. It might be bug in sora-editor idk
### What version of AndroidIDE you re using?
v2.1.2 (debug builds)
### Relevant log output
AndroidIDE crash report
SDK version: 28
### Duplicate issues
This issue has not been reported yet.
### Code of Conduct
agree to follow this project Code of Conduct</t>
  </si>
  <si>
    <t>2022-10-18</t>
  </si>
  <si>
    <t>MuntashirAkon-CaptivePortalController-1</t>
  </si>
  <si>
    <t>[Android 11] [Crash] When user leaves captive_portal_https_url field blank and taps on save button</t>
  </si>
  <si>
    <t>The app get crashed, when the user leaves
*Captive Portal HTTPS URL* field blank and then taps on Save button.</t>
  </si>
  <si>
    <t>jellyfin-jellyfin-androidtv-2188</t>
  </si>
  <si>
    <t>consistent crash when choosing subs before playback commence</t>
  </si>
  <si>
    <t>### Describe the bug
Go to play any media
playback screen loads
play not yet commenced
user changes subtitles (if it matters, the subs are external to the stream)
playback would normally commence here, but... we re dead.
This bug seems rooted in delay my NAS CPU isn the most powerful so playback does not commence immediately.
--------- beginning of main
--------- beginning of crash
### App information
***App version***: 0.14.4 140499
### Device information
***Android version***: 10
***Device brand***: Sony
***Device product***: BRAVIA VH2 EU
***Device model***: BRAVIA 4K VH2
### Crash information
### FFmpeg logs
### Media info of the file
### Application version</t>
  </si>
  <si>
    <t>material-components-material-components-android-3032</t>
  </si>
  <si>
    <t xml:space="preserve">[SwitchMaterial] Crash Resources$NotFoundException in Nexus 5X with Android 8.1.0 </t>
  </si>
  <si>
    <t>have been reported several issues in Crashlytics after integrating an app with Material 1.6.1
There is no crash
**Minimal sample app repro:**
Just add the previous code to any layout.
**Android API version:**
**Material Library version:**
Only happens in Nexus 5X, probably caused after Google Play distribution method with cuts resources for the different devices.</t>
  </si>
  <si>
    <t>AndroidIDEOfficial-AndroidIDE-537</t>
  </si>
  <si>
    <t>[Bug]:  Editor crashes on scroll</t>
  </si>
  <si>
    <t>### What happened?
### What the expected behavior?
Crash when change the variable array
### What version of AndroidIDE you re using?
v2.1.2 (debug builds)
### Relevant log output
AndroidIDE crash report
SDK version: 31
### Duplicate issues
This issue has not been reported yet.
### Code of Conduct
agree to follow this project Code of Conduct</t>
  </si>
  <si>
    <t>jellyfin-jellyfin-androidtv-2187</t>
  </si>
  <si>
    <t>[Issue]: Firestick app crashes when opening library of iphone videos</t>
  </si>
  <si>
    <t>### Please describe your bug
have imported all of my iphone videos to library. When open this library the app crashes right away. It does not attempt to list the videos in the library. All my other libraries (movies, shows, etc...) open and work correctly.
### Jellyfin Version
### if other:
OS: debian bullseye
Virtualization: docker jellyfin jellyfin:latest
Clients: Firestick 4K
### Jellyfin logs
--------- beginning of main
### App information
***App version***: 0.14.3 140399
### Device information
***Android version***: 7.1.2
***Device brand***: Amazon
***Device product***: mantis
***Device model***: AFTMM
### Crash information
### FFmpeg logs
### Please attach any browser or client logs here
### Please attach any screenshots here</t>
  </si>
  <si>
    <t>LenociFabrizio-SviluppoMobileSoftware-31</t>
  </si>
  <si>
    <t>Risolvere bug in "dashboardActivity" - (QuizGame)</t>
  </si>
  <si>
    <t>Dopo aver risposto tutte le domande, applicazione crasha invece di visualizzare risultati.</t>
  </si>
  <si>
    <t>2022-10-17</t>
  </si>
  <si>
    <t>MuntashirAkon-AppManager-894</t>
  </si>
  <si>
    <t xml:space="preserve">AppManager crash </t>
  </si>
  <si>
    <t>### Please check before submitting an issue
know what my device, OS and App Manager versions are
know how to take logs
know how to reproduce the issue which may not be specific to my device
### Describe the bug
AppManager crashes unexpectedly during startup.
### To Reproduce
### Expected behavior
### Device info
Device: Redmi Note 10
OS Version: Android 12 MIUI13 13.0.10.0
App Manager Version: 3.1.0 Alpha 01
Mode: Root Magisk
### Additional context</t>
  </si>
  <si>
    <t>TeamNewPipe-NewPipe-9143</t>
  </si>
  <si>
    <t>Fix crash when the user clicks download then quits the history fragment</t>
  </si>
  <si>
    <t>#### What is it?
Bugfix (user facing)
Feature (user facing)
Codebase improvement (dev facing)
Meta improvement to the project (dev facing)
#### Description of the changes in your PR
&lt;!-- While bullet points are the norm in this section, feel free to write free-form text instead of list --&gt;
Add condition to detect if the user quits the current fragment. If the user clicked Download in the history fragment and then quit the history fragment, DownloadDialog will not show and not crash the program.
#### Before After Screenshots Screen Record
&lt;!-- If your PR changes the app UI in any way, please include screenshots or video showing exactly what changed, so that developers and users can pinpoint it easily. Delete this if it doesn apply to your PR.--&gt;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</si>
  <si>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NordicSemiconductor-Android-nRF-Mesh-Library-540</t>
  </si>
  <si>
    <t>Crash while setting subscribe</t>
  </si>
  <si>
    <t>**Describe the bug**
Crash while doing subscribe to group on node.
m, not exactly sure how to reproduce. But seems like it happens after loaded another mesh (or the same) into my meshManagerApi. Basically call, then when using mesh and receiving back configuration message get this internal crash.
The message is successfully sent away and will see the change applied to the mesh, but the parsing of the status returned seems to fail.
Device: Pixel Pro
Library Version (or Commit): 3.2.4
Crash is on this line because of message being null: https: github.com NordicSemiconductor blob mesh src main java no nordicsemi android mesh transport</t>
  </si>
  <si>
    <t>OTTAA-Project-OTTAAProject-139</t>
  </si>
  <si>
    <t>Custom Toast</t>
  </si>
  <si>
    <t>**Describe the bug**
Only the original thread that created view hierarchy can touch its views.
The system shouldn crash
**Smartphone (please complete the following information):**
OS android 11</t>
  </si>
  <si>
    <t>nextcloud-android-10808</t>
  </si>
  <si>
    <t>App crashes after deleting photo (detail view)</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</si>
  <si>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Thumbnails are enabled.
2. The detailed view of photo is called up.
3. The file is deleted.
### Expected behaviour
The deletion process is carried out properly.
### Actual behaviour
1. The deletion process is carried out.
2. The app then crashes.
### Android version
### Device brand and model
Samsung Galaxy A13 5G (SM-A136B DSN)
### Stock or custom OS?
### Nextcloud android app version
### Nextcloud server version</t>
  </si>
  <si>
    <t>nextcloud-android-10807</t>
  </si>
  <si>
    <t>1500 photos/videos (40gb) fail to upload on S22+ 512Gb</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</si>
  <si>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have collected 1500 photos videos for the past month with failed uploads. Now fixed DNS and the photos began uploading. Every 5-10 mins the app crashes.
### Expected behaviour
The media should upload flowlessly.
### Actual behaviour
### Android version
### Device brand and model
Samsung S22+ 512Gb
### Stock or custom OS?
### Nextcloud android app version
### Nextcloud server version
### Using reverse proxy?
### Android logs
### Cause of error
Exception in thread OkHttp TaskRunner Failed to allocate 32 byte allocation with 5237544 free bytes and 5114KB until OOM, target footprint 536870912, growth limit 536870912 giving up on allocation because &lt;1% of heap free after GC.</t>
  </si>
  <si>
    <t>nextcloud-android-10804</t>
  </si>
  <si>
    <t>NextCloud android app crashes when deleting picture which is open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</si>
  <si>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In NextCloud Android app, open picture in folder of pictures.
2. Open the menu from the three dots. Tap Delete. Confirm Delete.
### Expected behaviour
Picture is deleted. Screen either moves to one of the neighbouring pictures, or back out to the folder view.
### Actual behaviour
Picture is deleted. App then encounters error and exits after displaying stack trace. This is consistent behaviour, not intermittent.
### Cause of error
### App information
Build flavor: generic
### Device information
### Android version
### Device brand and model
Samsung Galaxy S22 Ultra
### Stock or custom OS?</t>
  </si>
  <si>
    <t>2022-10-16</t>
  </si>
  <si>
    <t>jellyfin-jellyfin-androidtv-2182</t>
  </si>
  <si>
    <t>Cant open movie libary on FireTv Stick</t>
  </si>
  <si>
    <t>### Describe the bug
1. Open Jellyfin App on FireTv Stick
2. Open my movie libary
3. Get informed what the crash report was saved
4. Jellyfin app automaticly closed
--------- beginning of main
### App information
***App version***: 0.14.3 140399
### Device information
***Android version***: 7.1.2
***Device brand***: Amazon
***Device product***: mantis
***Device model***: AFTMM
### Crash information
### Application version
### Where did you install the app from?
### Device information
Amazon Fire Tv Stick 4k Ultra HD with Alexa
### Android version
### Jellyfin server version</t>
  </si>
  <si>
    <t>2022-10-15</t>
  </si>
  <si>
    <t>Anuken-Mindustry-7723</t>
  </si>
  <si>
    <t>Trouble opening v139</t>
  </si>
  <si>
    <t>download new horizons, it crashes, not big deal. delete it, start mindustry, but crashes
**Steps to reproduce**: *How you happened across the issue, and what exactly you did to make the bug happen.*
Probably new horizons
**Link(s) to mod(s) used**: *The mod repositories or zip files that are related to the issue, if applicable.*
All of the mods used are in the crash report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Crashes on startup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</si>
  <si>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Anuken-Mindustry-7722</t>
  </si>
  <si>
    <t>Sector Generate doesn't show cliffs properly</t>
  </si>
  <si>
    <t>Sector Generate option in editor mode does not work with cliffs properly. Even though the cliffs themselves do generate, you cannot see them for whatever reason.
Here how it looks like from Sector Generate:
And here screenshot from campaign mode for comparison.
**Steps to reproduce**:
Open the editor and press Sector Generate in the menu.
Pick any planet that uses cliffs in its generator (here used our own asteroids.)
Even though the cliffs did generate, you cannot see them neither in-editor nor in-game.
**Link(s) to mod(s) used**: https: github.com TeamOct tree 1.1
**Save file**: https: drive.google.com file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</si>
  <si>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TeamNewPipe-NewPipe-9132</t>
  </si>
  <si>
    <t>App crash when pressing back while the Ui is frozen trying to start a video.</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</si>
  <si>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App crash when pressing back while the Ui is frozen trying to start video.
should mention no video is able to on my phone, for an unknown reason.
User Action: ui error
Request: ACRA report
Content Country: GB
Content Language: en-GB
App Language: en GB
OS: Linux Android 12 31
### Expected behavior
### Actual behavior
### Screenshots Screen recordings
### Affected Android Custom ROM version</t>
  </si>
  <si>
    <t>Anuken-Mindustry-7720</t>
  </si>
  <si>
    <t xml:space="preserve">I was modding and made 2 items and sprites and when I loaded the mod it was always crashing even after there was only 1 content file after deleting stuff it was still crashing I am in 139 beta build and I'm on android
</t>
  </si>
  <si>
    <t>AndroidIDEOfficial-AndroidIDE-535</t>
  </si>
  <si>
    <t xml:space="preserve">[Bug]: Crash on building app. </t>
  </si>
  <si>
    <t>### What happened?
When clicked on sync project ide crashed.
### What the expected behavior?
Should not crash and sync should be successful.
### What version of AndroidIDE you re using?
v2.1.2 (debug builds)
### Relevant log output
AndroidIDE crash report
SDK version: 31
### Duplicate issues
This issue has not been reported yet.
### Code of Conduct
agree to follow this project Code of Conduct</t>
  </si>
  <si>
    <t>AndroidIDEOfficial-AndroidIDE-534</t>
  </si>
  <si>
    <t>[Bug]: IDE Crashed while adding 'throws' from action menu</t>
  </si>
  <si>
    <t>### What happened?
### What the expected behavior?
IDE Crashed while adding throws from action menu
### What version of AndroidIDE you re using?
v2.1.2 (debug builds)
### Relevant log output
AndroidIDE crash report
SDK version: 31
### Duplicate issues
This issue has not been reported yet.
### Code of Conduct
agree to follow this project Code of Conduct</t>
  </si>
  <si>
    <t>COSC310-Team12-ToDoList-4</t>
  </si>
  <si>
    <t>Bug when submitting to-do</t>
  </si>
  <si>
    <t>When submitting todo using the checkmark symbol on the emulator keyboard, the program crashes with fatal exception.</t>
  </si>
  <si>
    <t>2022-10-14</t>
  </si>
  <si>
    <t>AndroidIDEOfficial-AndroidIDE-532</t>
  </si>
  <si>
    <t>AndroidIde crashed</t>
  </si>
  <si>
    <t>### What happened
### What the expected behavior?
Uploading Screenshot 20221014-183738 AndroidIDE.jpg ()
### What version of AndroidIDE you re using?
v2.1.2 (debug builds)
### Relevant log output
AndroidIDE crash report
SDK version: 31
### Duplicate issues
This issue has not been reported yet.
### Code of Conduct
agree to follow this project Code of Conduct</t>
  </si>
  <si>
    <t>Anuken-Mindustry-7713</t>
  </si>
  <si>
    <t>meshes can only be parsed as parts of planets</t>
  </si>
  <si>
    <t>**Steps to reproduce**: *download exotic from the 0.8 branch and uncomment the mesh object in planets maltranas.hjson
**Link(s) to mod(s) used**: *https: github.com BlueWolf3682 Exotic-Mod*
**Save file**: *a*
If you remove the line above without reading it properly and understanding what it means, will reap your soul. Even if you re playing on someone server, you can still save the game to slot.
spet (are you just not intended to use mesh here? feel like you are intended to) also, orbitSpacing doesnt actually work for maltranas from what can see
**(Crash) logs**: fec (https: github.com Anuken Mindustry files 9787814 crash-report-09 12 2022 00 24 13.txt)*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</si>
  <si>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moberwasserlechner-capacitor-filesharer-42</t>
  </si>
  <si>
    <t>Android: app crash after sharing</t>
  </si>
  <si>
    <t>When sharing screen appears:
Share to ex Whatsapp, it opens whatsapp, after getting back to app it restarts crash)
ionic 6, latest Capacitor
use Base64 Data. with small PDF file it seems to work OK. 50 kb. But larger get these error:
Shutting down VM</t>
  </si>
  <si>
    <t>nextcloud-android-10802</t>
  </si>
  <si>
    <t>Nextcloud crash when auto upload big folder on android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</si>
  <si>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It crashes when try to auto upload photo folder about 18gb.
Tried to clear cache and restart phone but still not work.
Samsung note 10.
### Expected behaviour
It should auto upload
### Actual behaviour
Freeze and crash
### Android version
### Device brand and model
Samsung note 10
### Stock or custom OS?
### Nextcloud android app version
### Nextcloud server version
### Using reverse proxy?</t>
  </si>
  <si>
    <t>react-native-share-react-native-share-1291</t>
  </si>
  <si>
    <t>Android Only: closing share bottom sheet causes app crash</t>
  </si>
  <si>
    <t>### Steps to reproduce
1. Trigger Share.open() call on an Android device.
2. Close the bottom sheet that appears without sharing or tapping anything on it
3. The android app will crash and close
### Expected behaviour
The app should not crash.
### Actual behaviour
The app crashes.
**React Native version**: 0.67.2
**React Native platform platform version**: iOS 9.0, Android 5.0, etc 0.67.2 Android 10-13 (at least that have tested, maybe more android versions are affected by this)
**Typescript version** (if using typescript): 3.8+ required, what version is in your environment? 4.4.3
### Link to repo (highly encouraged)
could put this together but would need time. Good evidence that this is still bug is shown in https: github.com react-native-share react-native-share issues 1024 but was marked eventually as stale
Wish could provide more info, but don get any logs from react native, just the immediate crash. Also as mentioned we have tested this on numerous iOS and Android devices and it seems to effect only Android (both emulator and physical devices)</t>
  </si>
  <si>
    <t>2022-10-13</t>
  </si>
  <si>
    <t>TeamNewPipe-NewPipe-9120</t>
  </si>
  <si>
    <t>NewPipe crashes when importing YouTube subscription CSV</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</si>
  <si>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Follow the instructions to import YouTube subscription file.
When tapping on the .csv, NewPipe just terminates.
### Expected behavior
That the subscriptions are imported.
### Actual behavior
NewPipe terminates immediately.
### Screenshots Screen recordings
### Affected Android Custom ROM version
### Affected device model
### Additional information</t>
  </si>
  <si>
    <t>LawnchairLauncher-lawnchair-3020</t>
  </si>
  <si>
    <t>[BUG] Duplicate shortcuts when dragging into a folder</t>
  </si>
  <si>
    <t>### Describe the bug
When dragging an app from the app drawer into docked folder as shortcut, duplicate shortcut is dumped on the main home screen. Removing one or the other will cause both to disappear, but they otherwise coexist (and can both be moved independently in and out of folders). If the app is dragged from the drawer to an empty space on the dock first, it doesn duplicate.
ve encountered this before with past installation of Lawnchair, though can no longer reproduce day and reboot later, nor can reproduce it on clean install, so not entirely sure what conditions are required to trigger it.
### Steps to reproduce
1. Create folder in the dock.
2. Drag an app from the drawer into the folder.
### Expected behavior
The new app shortcut ends up in the folder. (It does, but second shortcut appears on the current home screen, positioned roughly where the app was originally dragged from.)
did also manage to trigger crash interacting with one of these duplicate shortcuts (log at the end of this post) -- after Lawnchair restarted, both copies of the misbehaving shortcut were absent, presumably as the state was last saved before its addition.
### Device information
Device: OnePlus Nord CE
OS: OxygenOS 12.1 (Android 12)
App version: 12.1.0 Alpha
### Additional context
&lt;summary&gt;Log file&lt; summary&gt;</t>
  </si>
  <si>
    <t>2022-10-12</t>
  </si>
  <si>
    <t>jellyfin-jellyfin-androidtv-2167</t>
  </si>
  <si>
    <t>crash log</t>
  </si>
  <si>
    <t>### Describe the bug
Do not recall exactly what was doing to trigger this crash.
--------- beginning of main
--------- beginning of crash
### App information
***App version***: 0.14.4 140499
### Device information
***Android version***: 10
***Device brand***: Sony
***Device product***: BRAVIA VH2 EU
***Device model***: BRAVIA 4K VH2
### Crash information
### FFmpeg logs
### Media info of the file
think this is the responsible media.
Input #0, matroska,webm, from x.mkv
encoder libebml v1.4.2 libmatroska v1.6.4
Stream #0:0: Video: hevc (Main 10), yuv420p10le(tv, bt709), 3840x1608, SAR 1:1 DAR 160:67, 24 fps, 24 tbr, 1k tbn (default)
NUMBER OF BYTES 1807187351
Stream #0:1(eng): Audio: eac3, 48000 Hz, 5.1(side), fltp, 768 kb</t>
  </si>
  <si>
    <t>AndroidIDEOfficial-AndroidIDE-521</t>
  </si>
  <si>
    <t>[Bug]: XML Formatter Options</t>
  </si>
  <si>
    <t>### What happened?
XML formatter options crashs
### What the expected behavior?
After enabling some options in the xml formatter, this Exception is thrown.
### What version of AndroidIDE you re using?
v2.1.2 (debug builds)
### Relevant log output
AndroidIDE crash report
SDK version: 31
### Duplicate issues
This issue has not been reported yet.
### Code of Conduct
agree to follow this project Code of Conduct</t>
  </si>
  <si>
    <t>Anuken-Mindustry-7699</t>
  </si>
  <si>
    <t>game crashes in ingame editor</t>
  </si>
  <si>
    <t>**Steps to reproduce**: Editor -&gt; open any map -&gt; remove all core -&gt; open ingame editor -&gt; select anything in power tab
**Link(s) to mod(s) used**: Nothing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</si>
  <si>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gsantner-markor-1894</t>
  </si>
  <si>
    <t>Files.toPath() crash on older Android versions</t>
  </si>
  <si>
    <t>### This issue respects the following points:
This is **bug**. Not question or feature request (https: github.com gsantner markor issues new choose).
The topic is **not** already reported at Issues (https: github.com gsantner markor issues?q #js-issues-search). (I ve searched it)
The bug is still present in the latest development version (git master). (Please download (https: nightly.link gsantner markor workflows master) and try the test version of Markor, named **Mordor**. Don worry Markor and Mordor appear as completely separate applications. You can install both side-by-side, and Markor settings are not touched. In case the issue is resolved there, you don need to create bug report. The change will be part of the next Markor update.)
### Steps to reproduce
Android version: 7.1.2
App Version: 2.10.5
### Format File type
### Additional info Log</t>
  </si>
  <si>
    <t>Anuken-Mindustry-7696</t>
  </si>
  <si>
    <t>Game crashed while was trying to launch to sector 124.I thought,it happened because of my schematic for core,but game crashed again when launched only with core foundation
play without mods.
Mindustry has crashed. How unfortunate.
Report this at https: github.com Anuken Mindustry issues new?labels bug&amp;template bug report.md
Android API level: 29
Runtime Available Memory: 192mb
OutOfMemoryError: OutOfMemoryError thrown while trying to throw an exception no stack trace available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</si>
  <si>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2022-10-11</t>
  </si>
  <si>
    <t>jellyfin-jellyfin-androidtv-2163</t>
  </si>
  <si>
    <t>Crash when using jellyfin-plugin-intros and starting a movie</t>
  </si>
  <si>
    <t>### Describe the bug
1. Install the https: github.com dkanada plugin
2. Play movie
The Android TV app immediately crashes.
Playing TV Show does not trigger intros (another bug?, but the crasher is more important).
--------- beginning of main
--------- beginning of crash
### App information
***App version***: 0.14.4 140499
### Device information
***Android version***: 10
***Device brand***: google
***Device product***: sabrina prod stable
***Device model***: Chromecast
### Crash information
### Application version
### Where did you install the app from?
### Device information
Chromecast Google TV 4K
### Android version</t>
  </si>
  <si>
    <t>gluonhq-substrate-1180</t>
  </si>
  <si>
    <t>[Android] WebView can't be reused</t>
  </si>
  <si>
    <t>&lt;!--- Provide brief summary of the issue --&gt;
### Expected Behavior
&lt;!--- Tell us what should happen --&gt;
### Current Behavior
&lt;!--- Tell us what happens instead of the expected behavior --&gt;
Once the WebView is removed from the scene, the Android WebView doesn get added back, and
fails with an exception that makes the app crash.
### Steps to Reproduce
&lt;!--- Steps to reproduce this bug --&gt;
### Your Environment
&lt;!--- Include as many relevant details about the environment you experienced the bug in --&gt;</t>
  </si>
  <si>
    <t>PojavLauncherTeam-PojavLauncher-3598</t>
  </si>
  <si>
    <t>[BUG] Crash with sodium in Minecraft 1.19.2</t>
  </si>
  <si>
    <t>### Describe the bug
Hello my game crash with sodium 1.19.2
### The log file and images videos
### Steps To Reproduce
am dev ,sorry.
### Expected Behavior
want to go server or maps with sodium for more fps but don t.
Device model: V2109
CPU architecture: PD2147GF EX 36.18.2
Android version: 12
PojavLauncher version: version openjdk
### Anything else?</t>
  </si>
  <si>
    <t>2022-10-10</t>
  </si>
  <si>
    <t>Anuken-Mindustry-7677</t>
  </si>
  <si>
    <t>Selecting blocks in ingame editor crashes the game</t>
  </si>
  <si>
    <t>23332 and 23318
Game crashed when selected some blocks in the editor. This only worked for specific teams with specific blocks.
**Steps to reproduce**: *How you happened across the issue, and what exactly you did to make the bug happen.*
In editor edit ingame and go to team sharded and select afflict or go to team malis and select the large shield projector.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</si>
  <si>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2022-10-08</t>
  </si>
  <si>
    <t>TeamNewPipe-NewPipe-9086</t>
  </si>
  <si>
    <t>NewPipe Crashed After Clicking Next on Shorts video</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</si>
  <si>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NewPipe
2. Make video queue consisting of any amount of shorts normal video (idk if this affects normal shorts. tested this with shorts, normal video).
3. Play it
4. Make the player fullscreen
5. Click next video
6. The device will rotate, and when it rotates, NewPipe crashed.
### Expected behavior
It should continue to next video even when the screen is rotated
### Actual behavior
Nope, literally crashed...
### Screenshots Screen recordings
User Action: ui error</t>
  </si>
  <si>
    <t>nextcloud-android-10786</t>
  </si>
  <si>
    <t>App crash while opening folder with thousands of files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</si>
  <si>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Create folder with 7000 files with thumbnails like photos or videos
2. Go to this folder through android client
3. The app will freeze and then crash
### Expected behaviour
Normal display of files and their thumbnails
### Actual behaviour
### Android version
### Device brand and model
Realme pro Google Pixel
### Stock or custom OS?
### Nextcloud android app version
### Nextcloud server version
### Using reverse proxy?
### Android logs</t>
  </si>
  <si>
    <t>AndroidIDEOfficial-AndroidIDE-511</t>
  </si>
  <si>
    <t>[Bug]: The ide crashed while using split screen.</t>
  </si>
  <si>
    <t>### What happened?
### What the expected behavior?
When put the ide in split screen mode, the ide crashed.
### What version of AndroidIDE you re using?
v2.1.2 (debug builds)
### Relevant log output
AndroidIDE crash report
SDK version: 31
### Duplicate issues
This issue has not been reported yet.
### Code of Conduct
agree to follow this project Code of Conduct</t>
  </si>
  <si>
    <t>jellyfin-jellyfin-androidtv-2154</t>
  </si>
  <si>
    <t>jellyfin TV crashed problems</t>
  </si>
  <si>
    <t>### Describe the bug
When try to play movie, the app crashes and exit
--------- beginning of crash
### Application version
### Where did you install the app from?
### Device information
Sony BRAVIA 4K UR3
### Android version
### Jellyfin server version</t>
  </si>
  <si>
    <t>jellyfin-jellyfin-androidtv-2149</t>
  </si>
  <si>
    <t>Add PictureViewerFragment as destination</t>
  </si>
  <si>
    <t>Ensure your title is short, descriptive, and in the imperative mood (Fix X, Change Y, instead of Fixed X, Changed Y).
For good inspiration of what to write in commit messages and PRs please review https: chris.beams.io posts git-commit and our https: docs.jellyfin.org general contributing issues.html page.
Add as destination
Move feature flag check for to ItemLauncher
Fix crash when trying to view photo (for both old and new UI)
&lt;!-- Tag any issues that this PR solves here.
ex. Fixes --&gt;</t>
  </si>
  <si>
    <t>2022-10-07</t>
  </si>
  <si>
    <t>google-ExoPlayer-10678</t>
  </si>
  <si>
    <t>Argument check in ImaUtil#updateAdDurationInAdGroup infrequently fails when using IMA extension</t>
  </si>
  <si>
    <t>### ExoPlayer Version
### Devices that reproduce the issue
The issue occurs infrequent on some devices based on Crashlytics logs. We were able to trigger it on two devices (marked with an asterisk). All other test devices played the same stream with the same ad insertion without any issues. Also, the crash doesn happen on every ad insertion and right now we can identify pattern or reproduce it reliable.
Samsung Galaxy S21 5G (*)
Pixel Emulator with API 28 image (*)
Samsung Galaxy S21s
Samsung Galaxy Tab A7
Samsung Galaxy Tab S4
Xiaomi Redmi Note 8T
Xiaomi Mi 11
Xiaomi POCO X3 NFC
HUAWEI MediaPad M5 lite
HUAWEI smart 2019
Lenovo Tab M10 FHD Plus
Lenovo Tab P10
### Devices that do not reproduce the issue
Multiple device from different manufacturer like Samsung, Xiaomi and Huawei
### Reproducible in the demo app?
### Reproduction steps
Implementation of the server-side ad insertion using the IMA extension as described in the documentation (https: exoplayer.dev</t>
  </si>
  <si>
    <t>2022-10-06</t>
  </si>
  <si>
    <t>TeamNewPipe-NewPipe-9079</t>
  </si>
  <si>
    <t>Fix `DownloadDialog` crash on screen rotation</t>
  </si>
  <si>
    <t>&lt;!-- Hey there. Thank you so much for improving NewPipe, and filling out the details. Having roughly the same layout helps everyone considerably :)--&gt;
#### What is it?
Bugfix (user facing)
Feature (user facing)
Codebase improvement (dev facing)
Meta improvement to the project (dev facing)
&lt;!-- #### Description of the changes in your PR --&gt;
&lt;!-- While bullet points are the norm in this section, feel free to write free-form text instead of list --&gt;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</si>
  <si>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PojavLauncherTeam-PojavLauncher-3592</t>
  </si>
  <si>
    <t>[BUG] forge 1.8.9 installation keeps crashing</t>
  </si>
  <si>
    <t>### Describe the bug
Read the title
### The log file and images videos
### Steps To Reproduce
1. Install forge 1.8.9
### Expected Behavior
Forge installer launch
Device model: cph1920
CPU architecture: arm64
Android version: 8.1
PojavLauncher version: latest Google Play version
### Anything else?
have tried almost and every pojav version including the latest build</t>
  </si>
  <si>
    <t>nextcloud-android-10781</t>
  </si>
  <si>
    <t>App crashes when deleting a photo from the photos tab</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</si>
  <si>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photos tab
2. Click on photo
3. Click on delete
4. App crashes
### Expected behaviour
Should delete photo without crashing
### Actual behaviour
Deletes the photo but app crashes
### Android version
### Device brand and model
### Stock or custom OS?
### Nextcloud android app version
### Nextcloud server version
### Using reverse proxy?</t>
  </si>
  <si>
    <t>Anuken-Mindustry-7665</t>
  </si>
  <si>
    <t>mindustry b139 crashes on startup</t>
  </si>
  <si>
    <t>Crash upon startup
**Steps to reproduce**: *How you happened across the issue, and what exactly you did to make the bug happen.*
Open mindustry. Game crashes with IndexOutOfBounds index can be size: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</si>
  <si>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2022-10-05</t>
  </si>
  <si>
    <t>Keidan-HexViewer-229</t>
  </si>
  <si>
    <t>LineEdit crash</t>
  </si>
  <si>
    <t>The application crashes if the user clicks on the trash icon in the line edit view, when the open file was empty.</t>
  </si>
  <si>
    <t>hauke96-GeoNotes-84</t>
  </si>
  <si>
    <t>Note deletion strange when selected via note list</t>
  </si>
  <si>
    <t>1. Go to the note list
2. Select note (tap on one) map opens (note doesn have the selection style until #74 is fixed) and the text field shows the text of the note
3. Delete the note
When selecting the note via the map (after the steps above), the app crashes.</t>
  </si>
  <si>
    <t>nextcloud-android-10779</t>
  </si>
  <si>
    <t>out of memery</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</si>
  <si>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installed the app on new phone with lots of existing photos (also on the server)
the app tries to sync with the server but then crashes after some time
looks like it always starts from scratch and does not continue from where it crahses
### Expected behaviour
does not complete the sync to server
### Actual behaviour
crash (see above)
### Android version
### Device brand and model
### Stock or custom OS?
### Nextcloud android app version
### Nextcloud server version
nextcloud hub (does not show version number)
### Using reverse proxy?</t>
  </si>
  <si>
    <t>jellyfin-jellyfin-androidtv-2140</t>
  </si>
  <si>
    <t>Jellyfin crashed problems</t>
  </si>
  <si>
    <t>### Describe the bug
when use collection, app will crash.
--------- beginning of main
--------- beginning of crash
### Application version
### Where did you install the app from?
amazon app store
### Device information
fire tv 4k stick max
### Android version
### Jellyfin server version</t>
  </si>
  <si>
    <t>Anuken-Mindustry-7660</t>
  </si>
  <si>
    <t>some mods have ui that crashes the game
please fix in 139.1</t>
  </si>
  <si>
    <t>Catfriend1-syncthing-android-921</t>
  </si>
  <si>
    <t>Crash 1.21.0.2</t>
  </si>
  <si>
    <t>&lt;!-- If you have issues with this fork, feel free to post them. ll look into them if good reproducer or log is provided. --&gt;
### Description of the issue
It crashes after update to this version in F-Droid.
### Reproduction Steps
### Version Information
App Version: 1.21.0.2
Syncthing Version: v1.x.y
Android Version: Lineage OS 19.1 &lt;!-- LineAgeOS x.y ... --&gt;
Device manufacturer: &lt;!-- Huawei LG Samsung Xiaomi ... --&gt;
Device model: &lt;!-- I9100 H815 MI8 ... --&gt;
### Device platform info
&lt;!-- adb shell getprop grep ro.product --&gt;
### Android Log
&lt;!-- output of
or MatLog (search on GitHub) --&gt;
FATAL EXCEPTION: main</t>
  </si>
  <si>
    <t>2022-10-04</t>
  </si>
  <si>
    <t>jellyfin-jellyfin-androidtv-2136</t>
  </si>
  <si>
    <t>Crash on viewing overview of episode with Forced Subtitles</t>
  </si>
  <si>
    <t>### Describe the bug
1. Go to first Season.
2. Select first episode.
3. Experience the crash
--------- beginning of main
--------- beginning of crash
### App information
***App version***: 0.14.3 140399
### Device information
***Device brand***: Changhong
***Device product***: FFDVB93
***Device model***: AI PONT PLUS
### Crash information
### Application version
### Where did you install the app from?
### Device information
Changhong AI POINT PLUS
### Android version
### Jellyfin server version</t>
  </si>
  <si>
    <t>FazziCLAY-OpenToday-1</t>
  </si>
  <si>
    <t xml:space="preserve">App crashes instantly </t>
  </si>
  <si>
    <t>Hi, found your app on fdroid and wanted to give it try. Sadly it crashes every time open it.
Clearing cashe or force stopping doesn change anything.
VERSION BUILD: 52
VERSION NAME: 0.9.3 (build 52)
DEBUG TICK NOTIFICATION: false
DEBUG MAIN ACTIVITY START SLEEP:
DEBUG APP START SLEEP:
DEBUG MAIN ACTIVITY: null
DEBUG TEST EXCEPTION ONCREATE MAINACTIVITY: false
SDK INT: 32
Strongly consider using FLAG IMMUTABLE, only use FLAG MUTABLE if some functionality depends on the PendingIntent being mutable, e.g. if it needs to be used with inline replies or bubbles.
Caused by: Targeting S+ (version 31 and above) requires that one of FLAG IMMUTABLE or FLAG MUTABLE be specified when creating PendingIntent.
Strongly consider using FLAG IMMUTABLE, only use FLAG MUTABLE if some functionality depends on the PendingIntent being mutable, e.g. if it needs to be used with inline replies or bubbles.
... 12 more
--- OpenToday Crash ---</t>
  </si>
  <si>
    <t>2022-10-03</t>
  </si>
  <si>
    <t>mit-cml-appinventor-sources-2756</t>
  </si>
  <si>
    <t>List of custom colors crashes app in ChartData2D</t>
  </si>
  <si>
    <t>**Describe the bug**
From the forum (https: 66717?u ewpatton): Passing list of custom colors created with the make color block to ChartData2D Colors property causes the app to crash.
Other... (please describe)
The app should not crash when using custom colors.
**Steps to reproduce**
An example app is provided.</t>
  </si>
  <si>
    <t>Anuken-Mindustry-7655</t>
  </si>
  <si>
    <t>Units get stuck on blast doors</t>
  </si>
  <si>
    <t>&lt;img width 335 alt image src https: 12717798
**Steps to reproduce**: Select units and tell them to move somewhere that requires moving through blast door.
**Link(s) to mod(s) used**: None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</si>
  <si>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patzly-grocy-android-582</t>
  </si>
  <si>
    <t>Crash when adding to shopping list</t>
  </si>
  <si>
    <t>Tried to add product to the shopping list and it crashed
--------- beginning of main
--------- beginning of crash</t>
  </si>
  <si>
    <t>Anuken-Mindustry-7651</t>
  </si>
  <si>
    <t>Game crashes on editing editor objectives</t>
  </si>
  <si>
    <t>**Steps to reproduce**: Editor -&gt; select any map -&gt; objectives -&gt; add anything has text (timer, flag etc) -&gt; write string containing or -&gt; play -&gt; game crashes when loading error when
**Link(s) to mod(s) used**: Nothing
**Save file**: cannot open crashed map so can upload it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</si>
  <si>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PojavLauncherTeam-PojavLauncher-3590</t>
  </si>
  <si>
    <t>Can't install fabric</t>
  </si>
  <si>
    <t>### Describe the bug
Application Game exited with code
### The log file and images videos
### Steps To Reproduce
1. Start pojav launcher
2. Click install.jar
3. Choose fabric installer 0.11.1
4. It will crash with code
### Expected Behavior
expect the game not to crash so that can download fabric
Device model: vivo y91i
CPU architecture: aarch64
Android version: 8.1
PojavLauncher version: latest on playstore
### Anything else?
Please tell me the solution and here the latest log</t>
  </si>
  <si>
    <t>TeamNewPipe-NewPipe-9053</t>
  </si>
  <si>
    <t>Media player crash [0.24.0]</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</si>
  <si>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This ambiguous because happened unexpectedly
How this happen?
When video end minimized and get back to media player it not responding and accident crashed like this
### Expected behavior
### Actual behavior
### Screenshots Screen recordings
User Action: ui error
Request: ACRA report
Content Country: ID
Content Language: id
App Language: en
OS: Linux realme RMX2030 RMX2030:10 QKQ1.200209.002 1605146661:user release-keys 10 29</t>
  </si>
  <si>
    <t>2022-10-02</t>
  </si>
  <si>
    <t>LawnchairLauncher-lawnchair-2993</t>
  </si>
  <si>
    <t>[BUG] App crashes when trying to delete website shortcut</t>
  </si>
  <si>
    <t>### Describe the bug
### Steps to reproduce
1. Go to desktop
2. Hold on the website shortcut
3. Click Delete button
4. App crashes
### Expected behavior
wanted to remove the site shortcut from the desktop
### Device information
Device: Redmi Note Pro
OS: MIUI 12.5.7 RGGEUXM Android 11
App version: 12.1.0 Dev #23 from
### Additional context</t>
  </si>
  <si>
    <t>AndroidIDEOfficial-AndroidIDE-492</t>
  </si>
  <si>
    <t>[Bug]: Crash on overriding superclass methods</t>
  </si>
  <si>
    <t>### What happened?
### What the expected behavior?
### What version of AndroidIDE you re using?
v2.1.2 (debug builds)
### Relevant log output
AndroidIDE crash report
SDK version: 31
### Duplicate issues
This issue has not been reported yet.
### Code of Conduct
agree to follow this project Code of Conduct</t>
  </si>
  <si>
    <t>gsantner-markor-1870</t>
  </si>
  <si>
    <t>Fix undo-redo crash on toolbar click, by @gsantner</t>
  </si>
  <si>
    <t>(Except the usual OutOfMemory errors) this undo-redo crash is the other most notable issue crashing Markor v2.10.4.
The issue is that the undo redo buttons enabled state is currently only updated when the undoRedoHelper is not null. However there can seemingly be case where the helper is still null, but the toolbar buttons remain clickable.
This PR properly updates the undo redo toolbar buttons and adds null check to the button execution code as well enable state code.</t>
  </si>
  <si>
    <t>gsantner-markor-1869</t>
  </si>
  <si>
    <t>Post action to fragment, fixes FAB crash</t>
  </si>
  <si>
    <t>Pre-merge the fragment posting change from #1839 as that fixes the biggest issue can currently spot in Google Play dashboard.</t>
  </si>
  <si>
    <t>LSPosed-LSPosed-2152</t>
  </si>
  <si>
    <t>### Steps to reproduce
lsp 1.8.3 6552 zygisk 1.8.4
lsp manager crashed
### Expected behaviour
### Actual behaviour
lsp manager crashed
### Xposed Module List Xposed
### Magisk Module List Magisk
### LSPosed version LSPosed
### Android version Android
### Magisk version Magisk
### Riru version Riru
### Version requirement
am using latest debug CI version of LSPosed and enable verbose log CI
... 11 more</t>
  </si>
  <si>
    <t>PojavLauncherTeam-PojavLauncher-3589</t>
  </si>
  <si>
    <t xml:space="preserve">Can't load 1.18 fabric </t>
  </si>
  <si>
    <t>### Describe the bug
Application Game exited with code
### The log file and images videos
### Steps To Reproduce
1. Start PojavLauncher
2. Install fabric 1.18 0.13.3
3. Click on play
4. It will crash in few seconds
### Expected Behavior
expect the game not to crash
Device model: Vivo y91i
CPU architecture: aarch64
Android version: 8.1
PojavLauncher version: latest on playstore
### Anything else?
Please tell me solution and if want latest log the here it is</t>
  </si>
  <si>
    <t>jellyfin-jellyfin-androidtv-2134</t>
  </si>
  <si>
    <t>Crash when opening a media folder that contains RTP/MP4S-01 streaming codecs videos.</t>
  </si>
  <si>
    <t>### Describe the bug
Jellyfin will crash when you attempt to open media folder if it contains any videos with RTP or MP4S-01 codecs. not familiar with these codecs, they show up under mediainfo as Other like the following. ve seen them listed as Type: Scene descriptions and Hints with both RTP and MP4S-01 listed as codecs. Removing the videos or Re-encoding with FFMPEG to just copy the Video Audio streams resolves the problem. ve had some of these videos for years and only recently have noticed the issue which would lead to me suspect recent change to the app may be at the root of the cause. Unfortunately don have video to share having re-encoded them but thought make you aware hoping you re familiar with these codecs.
With MP4 videos:
Type Object description
Codec ID mp4s-01
Type Scene description
Format System Core
Codec ID mp4s-02
Codec ID rtp
Duration 15 ms
Codec ID rtp
Duration 15 168 ms
Bit rate mode Variable
With WMV videos Time code listed under Others in MediaInfo can cause the crash.
Type Time code
Format WM TC
### Application version
### Where did you install the app from?
### Device information
### Android version</t>
  </si>
  <si>
    <t>nextcloud-android-10772</t>
  </si>
  <si>
    <t>Unable to upload files to server. Crashes app instead.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</si>
  <si>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Load app
2. Wait couple of seconds for uploads to be recognised and to start uploading
3. Crashes after starting to upload.
### Expected behaviour
It should be able to upload the files without it crashing
### Actual behaviour
When try to upload my photos to my server, the app crashes straight after it starts to upload files.
### Android version
### Device brand and model
Huawei P30 Pro
### Stock or custom OS?
### Nextcloud android app version
### Nextcloud server version
### Using reverse proxy?</t>
  </si>
  <si>
    <t>2022-10-01</t>
  </si>
  <si>
    <t>jellyfin-jellyfin-androidtv-2129</t>
  </si>
  <si>
    <t>crash on TMALL_magicBox</t>
  </si>
  <si>
    <t>### Describe the bug
1. open jellyfin client on TMALL magicBox.
2. go to any film.
3. click the play.
### FFmpeg logs
### Media info of the file
### Application version
### Device information
TMALL magicBOX M13
### Android version
TMALL magicBOX M13 6.1.0
### Jellyfin server version</t>
  </si>
  <si>
    <t>AndroidIDEOfficial-AndroidIDE-488</t>
  </si>
  <si>
    <t xml:space="preserve">[Bug]:  Error in Project initialisation, Cannot develop app in ide. </t>
  </si>
  <si>
    <t>### What happened?
When am writing in my XML ide crash randomly and then restart it project initialisation error occurred.
Here is build-output.txt
Help cannot develop my app further. Because this error happened.
### What the expected behavior?
No error should occur.
### What version of AndroidIDE you re using?
v2.1.2 (debug builds)
### Relevant log output
Creating Idea project model...
IdeaProject model created...
Project MyApp is not an AndroidProject
Fetching Android project model...
Building AndroidModule for project: app
Fetching debug dependencies
Building IdeGradleProject model for project: :app
CONFIGURE SUCCESSFUL in 8s
### Duplicate issues
This issue has not been reported yet.
### Code of Conduct</t>
  </si>
  <si>
    <t>Anuken-Mindustry-7643</t>
  </si>
  <si>
    <t>No Waves on Intersect Campaign Map</t>
  </si>
  <si>
    <t>**Steps to reproduce**: Start the Intersect campaign map, wait for the wave timer to count down. No enemies appear.
**Link(s) to mod(s) used**:
**Save file**: (https: github.com Anuken Mindustry files 9687614
**(Crash) logs**: crash-logs23267.txt (https: github.com Anuken Mindustry files 9687616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</si>
  <si>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2022-09-30</t>
  </si>
  <si>
    <t>LawnchairLauncher-lawnchair-2988</t>
  </si>
  <si>
    <t>[BUG] "Search for more apps" crashes lawnchair</t>
  </si>
  <si>
    <t>### Describe the bug
Clicking on search for more apps crashes the launcher.
### Steps to reproduce
Steps to reproduce the behavior:
1. Go to drawer
2. Click in search field
3. Type text that is not the name of an app (or make typo)
4. Click on Search for more apps
5. See error
### Expected behavior
Don know, open store or something?
### Device information
Device: Xiaomi Mi 9T Pro
OS: Lineageos Android version 12.0
App version: 12.1.0 Alpha
### Additional context</t>
  </si>
  <si>
    <t>MuntashirAkon-AppManager-884</t>
  </si>
  <si>
    <t>AppManager crashes when wireless debugging mode when selecting apps</t>
  </si>
  <si>
    <t>### Please check before submitting an issue
know what my device, OS and App Manager versions are
know how to take logs
know how to reproduce the issue which may not be specific to my device
### Describe the bug
Installed AppManager from F-Droid, was trying to disable or uninstall apps using this tool through wireless debugging but it crashes when tap specific app to perform operations. However if normal mode was used then was able to see app details without crashes.
### To Reproduce
1. Open AppManager
2. Change the mode of operation to Wireless debugging in settings
3. Select any app after connection
4. Possible crash may happen
### Expected behavior
It shouldn crash and should get into app details
Some video recording:
Additional logs reported by the app:
Caused by: Cannot create an instance of class
App version: 3.0.2
App version code: 413
Android build version: 1656498236709
Android release version: 11</t>
  </si>
  <si>
    <t>JoshMkhari-Carte-3</t>
  </si>
  <si>
    <t>NavController</t>
  </si>
  <si>
    <t>Current problem with setting navhost fragment within (bottom sheet menu layout)
Upon clicking Download Map button on (bottom sheet menu layout) immedite app crash
Need to figure out where the navcontroller is??</t>
  </si>
  <si>
    <t>Cosmic-Ide-Cosmic-IDE-216</t>
  </si>
  <si>
    <t>bug: app crash when opening settings</t>
  </si>
  <si>
    <t>**Describe the bug**
When click on the settings button in the main activity toolbar, it just crashes.
Steps to reproduce the behavior:
1. In the main activity, click on settings icon.
SmartSelect 20220930 105215 Cosmic IDE (https: 81700082
**Mobile phone (please complete the following information):**
Device: Samsung S10 plus
OS: Android 12</t>
  </si>
  <si>
    <t>Anuken-Mindustry-7638</t>
  </si>
  <si>
    <t>Factories Not Producing Resources</t>
  </si>
  <si>
    <t>**Steps to reproduce**: Start new custom sandbox game, setup any factory (I used silicon smelter and arc furnace) using any method of resource and power input. Add output to core (or any other location), and no resources are output.
**Link(s) to mod(s) used**:
**(Crash) logs**: crash-logs.txt (https: github.com Anuken Mindustry files 9679786 crash-logs.txt)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</si>
  <si>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jellyfin-jellyfin-androidtv-2125</t>
  </si>
  <si>
    <t>Crash results from recently added media if .mp4 video files have embedded chapters</t>
  </si>
  <si>
    <t>### Describe the bug
When adding new media to movie library in the form of an .mp4 video file with embedded menu stream timed text chapters, it results in an Android TV app crash when that item is selected from the Latest Movies row... and also when the movie library itself is selected from the My Media row. The former action results in the movie backdrop being displayed but remains stuck with nothing else loading except the user avatar and the clock on the top right corner. From here the user can only use the back button and the app then crashes. The latter action of selecting the movie library from the My Media row results in an immediate crash.
This behavior does not occur in the web app or native app, the media is fully navigable, viewable, and playable, and embedded chapters of aforementioned .mp4 video file are fully seekable.
(On Android TV app) am able to resolve this issue by re-adding the media item as either an .mp4 file with embedded chapters **removed**, or by an re-adding it as an .mkv file with those very same embedded chapters. When doing either of these two things, the crash ceases to occur. Alternatively, the problematic media item can simply be removed entirely without replacement, and then selecting movie library from the My Media row will no longer result in crash, instead it loads normally again.
should note that this issue only began occurring after recent server update to v10.8.5
And it seems to only affect new media additions. Previously added .mp4 video files with embedded chapters are unaffected somehow. Those media items can be selected, viewed, and played back normally, with no crashes and no issues.
Mediainfo of problematic video file is as follows
Format profile Base Media
Codec ID isom (isom iso2 avc1 mp41)
File size 2.04 GiB
Duration 31 min
Overall bit rate 206 kb
Movie name The Willies
Writing application Lavf58.29.100
Format Info Advanced Video Codec
Format profile High L4
Format settings CABAC 16 Ref Frames
Format settings, CABAC Yes
Format settings, Reference frames 16 frames
Codec ID avc1</t>
  </si>
  <si>
    <t>2022-09-29</t>
  </si>
  <si>
    <t>patzly-grocy-android-579</t>
  </si>
  <si>
    <t>Crash when editing an ingredient of a recipe</t>
  </si>
  <si>
    <t>Steps to reproduce:
Go to ingredients
Open an ingredient
Set amount to
The name field will be emptied
Re-enter the name and the amount
The app crashes</t>
  </si>
  <si>
    <t>Anuken-Mindustry-7637</t>
  </si>
  <si>
    <t>Electrolyzers stop producing one liquid when another fills up.</t>
  </si>
  <si>
    <t>**Steps to reproduce**: Place an Electrolyzer. Fill it with water. Supply it with power. Allow hydrogen to fill. See how ozone stops being produced.
**Link(s) to mod(s) used**: None.
**Save file**: Not needed. It happens everywhere.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</si>
  <si>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mollyim-mollyim-android-131</t>
  </si>
  <si>
    <t>Molly-foss will crash after using a few days</t>
  </si>
  <si>
    <t>### Is there an existing issue for this?
have searched the existing issues
### Bug description
After using few days of Molly, would keep getting message from Android that Molly has crashed.
have reinstalled it, it has worked after few days however it still crashes.
imported from Signal backup. will now attempt to use it without using Signal backup.
### Steps to reproduce
### Molly version
### Android version
Samsung galaxy S8
### Link to debug log</t>
  </si>
  <si>
    <t>2022-09-28</t>
  </si>
  <si>
    <t>Anuken-Mindustry-7632</t>
  </si>
  <si>
    <t>Melter input</t>
  </si>
  <si>
    <t>even if you used only slag from melter, it still uses instead of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Screenshot 2022-09-27 201132 (https: 71761686</t>
  </si>
  <si>
    <t>2022-09-27</t>
  </si>
  <si>
    <t>facebook-react-native-34797</t>
  </si>
  <si>
    <t>Fix crash on release versions after AGP 7.3 bump</t>
  </si>
  <si>
    <t>Release versions are currently broken on main This happened once we bumped the AGP version to 7.3. It seems like that the path we used to use for assets has changed.
The app build successfully but it fails to start as it can load the bundle.
This is also causing the hermes e2e test to fail: https: github.com facebook hermes pull 821
Android Fixed Fix crash on release versions after AGP 7.3 bump
## Test Plan
Tested this locally and it works fine with RN Tester (can run release version of it).
Plus, inspecting the zip:</t>
  </si>
  <si>
    <t>MuntashirAkon-AppManager-880</t>
  </si>
  <si>
    <t>Interceptor crashes on Motorola devices</t>
  </si>
  <si>
    <t>### Please check before submitting an issue
know what my device, OS and App Manager versions are
know how to take logs
know how to reproduce the issue which may not be specific to my device
### Describe the bug
The interceptor crashes on some devices due to an unknown and apparently weird behaviour. lot of users have sent me the crash reports via E-Mail, but nobody seems to be willing to help me figure out the issue. require two information:
1. How to reproduce this crash, that is, what tasks have you performed that caused this crashed?
### To Reproduce
### Expected behavior
Example crashlog from the latest version of App Manager:
Caused by: For input string: 83000000
### Device info
App version: 3.0.2
App version code: 413
Android build version: dfc01
Android release version: 11
Android SDK version: 30
Android build ID: RRV31.Q3-15-3-2
Device brand: motorola
Device manufacturer: motorola</t>
  </si>
  <si>
    <t>gsantner-markor-1860</t>
  </si>
  <si>
    <t>(git master) crash at QuickNote/ToDo selection setting</t>
  </si>
  <si>
    <t>### This issue respects the following points:
This is **bug**. Not question or feature request (https: github.com gsantner markor issues new choose).
The topic is **not** already reported at Issues (https: github.com gsantner markor issues?q #js-issues-search). (I ve searched it)
Is the bug still present in the latest code version (git master)? Please download (https: nightly.link gsantner markor workflows master) and try the test version of Markor, named **Mordor**. No worries Markor and Mordor appear as completely separate applications, you can install both side-by-side and Markor settings are not touched. In case the issue is resolved there, you don need to create bug report the change will be part of the next Markor update.
can setup the notes folder, this works fine.
Normaly don change the Quicknote file, because it is located fine in the notes folder.
But always change the todo file, which is located in subfolder: todo
do this not so often, because try to use backups of settings. On the Mordor don want to use backup but want to keep as much as possible default.
It is not possible to change the todo file. First time when tried could select the folder and the file. But this did not select the file for settings, but opened it.
And starting with next attempt to set the file, Mordor crashes. always.
The same happens when try to change quicknote location
### Steps to reproduce
Android version: 12
would be fine to allow copy and paste from the settings. Something like hint (and implementation)
Long press to copy version (and maybe other required information Android version, device and so on)
instead of manually entering it here
git master branch
### Format File type
### Additional info Log</t>
  </si>
  <si>
    <t>LawnchairLauncher-lawnchair-2984</t>
  </si>
  <si>
    <t>Fix crash when clicking Lens icon</t>
  </si>
  <si>
    <t>## Type of change
&lt;!-- Replace :x: with :white check mark: to check the specified bullet --&gt;</t>
  </si>
  <si>
    <t>TeamNewPipe-NewPipe-9031</t>
  </si>
  <si>
    <t>App Crash II</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</si>
  <si>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Try to rotate the phone can cause crash. It appears to be not responding caused by commit error.
### Expected behavior
Expect no lags for rotating the phone to not having lags.
### Actual behavior
This caused to having lags and made unresponsive for rotation. Their commit made memory dumps and will not run on this stock OS memory. Stypox must be fixed their unresponsive rotating error.
### Screenshots Screen recordings
See crash logs.
User Action: ui error
Request: ACRA report
Content Country: PH
Content Language: en-PH
App Language: en PH</t>
  </si>
  <si>
    <t>mit-cml-appinventor-sources-2746</t>
  </si>
  <si>
    <t>Work around scatter rendering crash in MPAndroidChart</t>
  </si>
  <si>
    <t>Anuken-Mindustry-7630</t>
  </si>
  <si>
    <t>Horizon does not automatically attack blocks or units</t>
  </si>
  <si>
    <t>**Steps to reproduce**: *Spawn horizon. Place enemy blocks. Spawn ground enemies. Horizon does not attack.*
**Link(s) to mod(s) used**: *Testing Utilities, Time Control*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</si>
  <si>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LawnchairLauncher-lawnchair-2983</t>
  </si>
  <si>
    <t>Lawnchair crashes when clicking "+" button in TickTick Widget</t>
  </si>
  <si>
    <t>### Describe the bug
By clicking the button of TickTick widget and it will crash.
Lawnchair also crashes in Youtube Music widget whether clicking next previous play button itself as well as clicking the widget itself (the expected behavior is that it will open YouTube Music)
Pardon my English
### Steps to reproduce
Steps to reproduce the behavior:
1. Go to the page where to specified widget. In this case, TickTick Widget
2. Click on button
3. See error
### Expected behavior
expect it to open the TickTick app for creating new task since clicked the button in the TickTick Widget
### Device information
Device: Redmi Note Pro
OS: CrDroid 8.9 Android 12 Bootloader Unlocked with root
App version: 12.1.0 Alpha
### Additional context
Lawnchair bug report Sep 26, 2022 7:38:50 PM</t>
  </si>
  <si>
    <t>2022-09-26</t>
  </si>
  <si>
    <t>PojavLauncherTeam-PojavLauncher-3583</t>
  </si>
  <si>
    <t>[BUG] Sodium 1.19.2 crashing on joining world</t>
  </si>
  <si>
    <t>### Describe the bug
It said Application Game exited with code -1
### The log file and images videos
### Steps To Reproduce
start game with sodium
disabled fog occlusion and can find compact vertex so can disable it
join world server
### Expected Behavior
expect it to not crash guess
Device model: POCO X4 Pro 5G
CPU architecture: aarch64
Android version: 11
PojavLauncher version: Latest Action (dahlia-63-
### Anything else?</t>
  </si>
  <si>
    <t>Anuken-Mindustry-7626</t>
  </si>
  <si>
    <t>Averts can not fly over cliffs, they burn in slag, drown in arkycite, and are not targeted by anti-air</t>
  </si>
  <si>
    <t>**Steps to reproduce**: Build an Avert. Instruct it using command mode (shift) to fly over wall, cliff, or otherwise, such as those in Peaks.
**Link(s) to mod(s) used**: None.
**Save file**: None needed. Tested in campaign and custom maps.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</si>
  <si>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2022-09-25</t>
  </si>
  <si>
    <t>AndroidIDEOfficial-AndroidIDE-468</t>
  </si>
  <si>
    <t>### What happened?
### What the expected behavior?
IDE crashed when was creating Java Class named 3DView
### What version of AndroidIDE you re using?
v2.1.2 (debug builds)
### Relevant log output
AndroidIDE crash report
### Duplicate issues
This issue has not been reported yet.
### Code of Conduct
agree to follow this project Code of Conduct</t>
  </si>
  <si>
    <t>AndroidIDEOfficial-AndroidIDE-467</t>
  </si>
  <si>
    <t>[Bug]: Crash when navigating to a file that has errors</t>
  </si>
  <si>
    <t>### What happened?
Navigating to file that contains errors.
### What the expected behavior?
### What version of AndroidIDE you re using?
### Relevant log output
AndroidIDE crash report
### Duplicate issues
This issue has not been reported yet.
### Code of Conduct
agree to follow this project Code of Conduct</t>
  </si>
  <si>
    <t>2022-09-24</t>
  </si>
  <si>
    <t>TeamNewPipe-NewPipe-9019</t>
  </si>
  <si>
    <t>Floating window error</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</si>
  <si>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newpipe and any video
2. Then try to move the video player few time
3. App crash
### Expected behavior
It shouldn crash
### Actual behavior
### Screenshots Screen recordings
### Affected Android Custom ROM version
Android 10 Realme UI 1.0
### Affected device model
Realme 5i RMX 2030
### Additional information</t>
  </si>
  <si>
    <t>cgeo-cgeo-13434</t>
  </si>
  <si>
    <t>Connection pool closed on getAllCachesCount</t>
  </si>
  <si>
    <t>This is the most frequent error currently in our active release (2022.09.04), about 15% of all crashes:
Exception Cannot perform this operation because the connection pool has been closed.</t>
  </si>
  <si>
    <t>mit-cml-appinventor-sources-2735</t>
  </si>
  <si>
    <t xml:space="preserve">Chart component Scatter type is crashing companion and apk. </t>
  </si>
  <si>
    <t>**Describe the bug**
Chart component Scatter type is crashing companion and apk.
Describe the bug in sufficient detail so that we can understand the issue. You should also describe the steps to reproduce the issue (below) so that we ideally can confirm it.
Please check off the part of the system that is affected by the bug.
Like all other Chart types the Scatter type shouldn crash the companion of apk.
Please describe what you expected to happen before you encountered the bug.
**Steps to reproduce**
Use these blocks with the scatter type of the Chart component
Please describe the steps needed to reproduce the bug. If possible, please include minimal example project that demonstrates the issue.</t>
  </si>
  <si>
    <t>SORMAS-Foundation-SORMAS-Project-10436</t>
  </si>
  <si>
    <t>[Event Tasks] The mobile app crashes when a Surveillance Officer tries to open the 'Tasks' tab of an event</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</si>
  <si>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&lt;!-- Mandatory --&gt;
If Surveillance Officer tries to open the Tasks tab of an event in the mobile app, the app crashes either it changes its language to German and then crashes, or it immediately crashes and logs out the user.
### Steps to Reproduce
&lt;!-- Optional please add more steps if necessary --&gt;
1. Log into the android app with Surveillance Officer
2. Open an existing event and click on the Event tasks tab.
### Actual Behavior
&lt;!-- Optional --&gt;
The behavior varies: the user is either kept logged in but the language switches to German or the app crashes and the user is directly logged out.
### Expected Behavior
&lt;!-- Optional --&gt;
The Surveillance Officer should be able to access the tasks tab of events.
&lt;!-- Optional --&gt;
GIF of the behavior:
Tasks SurvOff (https: 96909231
### System Details
&lt;!-- Mandatory you only have to specify the Server URL if the error appeared on publicly available test server --&gt;
Device: Android Studio Emulator Pixel (android-app)</t>
  </si>
  <si>
    <t>2022-09-23</t>
  </si>
  <si>
    <t>AppLovin-AppLovin-MAX-React-Native-111</t>
  </si>
  <si>
    <t>Some crash logs from firebase console</t>
  </si>
  <si>
    <t>### MAX Module Version
### React Native Version
### Device Platform Info
### Current Behavior
### Expected Behavior
### How to Reproduce
From online users behaviors, we don know how to repro.
### Additional Info
AppLovin Quality Service Plug-in for Gradle and Android Studio Version 4.5.14
Copyright (c) 2022 AppLovin Ltd. All rights reserved.</t>
  </si>
  <si>
    <t>nextcloud-android-10757</t>
  </si>
  <si>
    <t>Crash on displayed picture deletion</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</si>
  <si>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Display any picture
2. Select delete from the menu
3. Application deletes the picture succesfully but it crashes
Screenshot com nextcloud client (https: 69112899
Screenshot com nextcloud client (https: 69112899
Screenshot com nextcloud client (https: 69112899
Screenshot com nextcloud client (https: 69112899
### Expected behaviour
Picture should be deleted, next picture in the row should be displayed or if there is no more pictures, it should return to the folder content view.
### Actual behaviour
Picture is deleted, application crashes.
### Android version
### Device brand and model
Xiaomi Mi SE</t>
  </si>
  <si>
    <t>Anuken-Mindustry-7608</t>
  </si>
  <si>
    <t>add back command center</t>
  </si>
  <si>
    <t>**Steps to reproduce**: you search for command center, but its not there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</si>
  <si>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2022-09-22</t>
  </si>
  <si>
    <t>AndroidIDEOfficial-AndroidIDE-457</t>
  </si>
  <si>
    <t>[Bug]: App crashed after sometime of quick run</t>
  </si>
  <si>
    <t>### What happened?
After clicking quick build IDE crashes after sometime.
### What the expected behavior?
### What version of AndroidIDE you re using?
v2.1.2 (debug builds)
### Relevant log output
AndroidIDE crash report
### Duplicate issues
This issue has not been reported yet.
### Code of Conduct
agree to follow this project Code of Conduct</t>
  </si>
  <si>
    <t>PojavLauncherTeam-PojavLauncher-3575</t>
  </si>
  <si>
    <t>[BUG] PojavLauncher suddenly crashing when joining worlds after removing shaders</t>
  </si>
  <si>
    <t>### Describe the bug
pls fix it dont want to use fucking shaders anymore
### The log file and images videos
### Steps To Reproduce
1. start pojav
2. load world with forge and some mods
### Expected Behavior
expect it to load
Device model: Samsung A7 Lite
Android version: 12
PojavLauncher version: newest
### Anything else?
no just fix it</t>
  </si>
  <si>
    <t>Yerionimous2-JulyTimer-20</t>
  </si>
  <si>
    <t>App crashes on opening on some Devices</t>
  </si>
  <si>
    <t>2022-09-21</t>
  </si>
  <si>
    <t>sspanak-tt9-64</t>
  </si>
  <si>
    <t>Accepting "простотия" causes a crash</t>
  </si>
  <si>
    <t>GoogleCloudPlatform-fda-mystudies-4976</t>
  </si>
  <si>
    <t>[Android] App is crashing in a scenario for the 'Text choice' responce type</t>
  </si>
  <si>
    <t>1. Sign up or sign in to the mobile app
2. Enroll to the study
3. Click on text choice question with other option
4. Select the Other option for text choice response type
5. Click on Next button
6. Click on the Back button and observe</t>
  </si>
  <si>
    <t>dariuszseweryn-RxAndroidBle-811</t>
  </si>
  <si>
    <t>Production build crash for RxBleLog</t>
  </si>
  <si>
    <t>&lt;!-- Production build crash for RxBleLog--&gt;
## :bomb: Steps to reproduce
1. Add custom log in
2. Enable proguard in gradle build for production It works well with debug build type
3. When try some BLE operation am getting error **Synthetic stacktrace didn have enough elements: are you using proguard?** Please check report from Firebase.</t>
  </si>
  <si>
    <t>PojavLauncherTeam-PojavLauncher-3573</t>
  </si>
  <si>
    <t>## Describe the bug
lot of squares appear on the screen and then it crashes
Same as create mod
### Steps To Reproduce
launch 1.18.2(forge) with terrafirmacraft
### Expected Behavior
Same thing happens with Create mod
Device model: arm64 chromebook
CPU architecture: arm64(aarch64)
PojavLauncher version: latest
### Anything else?
From Google Translate (i am Japanese)</t>
  </si>
  <si>
    <t>forrestguice-SuntimesWidget-623</t>
  </si>
  <si>
    <t>Crash when location is set</t>
  </si>
  <si>
    <t>**Describe the bug**
The app crashes when my location is set, either manually or using GPS.
Steps to reproduce the behavior:
1. Tap the Location icon
2. Change the mode to Current (Last known)
3. Tap the crosshair button
4. See error
App Version: 0.14.5, 0.14.6, 0.14.7 (all that currently see in the F-Droid repositories)
Android Version: 13 (also crashes with Android 10 on another device)
Device Model: Pixel (also crashes on Huawei P20 Pro)
will also see the crash if define the location manually, without using GPS.
If keep the location to the default (which is several hundred miles kilometers away) the app doesn crash.</t>
  </si>
  <si>
    <t>2022-09-20</t>
  </si>
  <si>
    <t>LawnchairLauncher-lawnchair-2972</t>
  </si>
  <si>
    <t>[BUG] Widgets not functioning properly on my OnePlus 9 Pro.</t>
  </si>
  <si>
    <t>### Describe the bug
Lawnchair always crashes when putting widget on my OnePlus Pro.
### Steps to reproduce
Steps to reproduce the behavior:
1. Long press on home page
2. Click on Widgets
3. Scroll down to Google (for example)
4. Click on At glance
5. See error
### Expected behavior
expect the widget to remain on my home screen with no problems at all.
### Device information
Device: OnePlus Pro
OS: Stock ROM Android version 12.0
App version: 12.1.0 Alpha
### Additional context</t>
  </si>
  <si>
    <t>LawnchairLauncher-lawnchair-2971</t>
  </si>
  <si>
    <t>Widgets not functioning properly on my OnePlus 9 Pro.</t>
  </si>
  <si>
    <t>### Describe the bug
Lawnchair always crashes when putting widget on my OnePlus Pro.
### Steps to reproduce
Steps to reproduce the behavior:
1. Long press on home page
2. Click on Widgets
3. Scroll down to Google (for example)
4. Click on At glance
4. See error
### Expected behavior
expect the widget to remain on my home screen with no problems at all.
### Device information
Device: OnePlus Pro
OS: Stock ROM Android version 12.0
App version: 12.1.0 Alpha
### Additional context</t>
  </si>
  <si>
    <t>LawnchairLauncher-lawnchair-2970</t>
  </si>
  <si>
    <t>[BUG]app.lawnchair.BlankActivity$Companion$start$2$resultReceiver$1.invoke</t>
  </si>
  <si>
    <t>### Describe the bug
### Steps to reproduce
Steps to reproduce the behavior:
1. Go to ...
2. Click on ....
3. Scroll down to ....
4. See error
### Expected behavior
Should not have crash in blankActivity
### Device information
OS: Android 12, Android 11
App version: 12.1.0 Alpha
### Additional context
Exception Already resumed</t>
  </si>
  <si>
    <t>LawnchairLauncher-lawnchair-2969</t>
  </si>
  <si>
    <t>### Describe the bug
### Steps to reproduce
Steps to reproduce the behavior:
1. Go to ...
2. Click on ....
3. Scroll down to ....
4. See error
### Expected behavior
Should not crash.
### Device information
Device: Orbic RC545L
OS: SDK 29
App version: 12.1.0 Alpha
### Additional context</t>
  </si>
  <si>
    <t>Aliucord-Aliucord-269</t>
  </si>
  <si>
    <t>INSTALL_FAILED_DEXOPT on 5th Generation Kindle Fire HD 8</t>
  </si>
  <si>
    <t>### Discord Account
### What happens when the bug or crash occurs?
When building Aliucord from the installer on my Kindle Fire, get App Not Installed error trying to install the built app. When copied the APK to my PC and tried installing it through APK, get an error that says Failure INSTALL FAILED DEXOPT
### What is the expected behaviour?
expect Aliucord to install
### How do you recreate this bug or crash?
1. Build Aliucord from the installer
2. Attempt to install it via ADB on 5th generation Kindle Fire HD
Replace this text with your crash-log.
### Request Agreement
did indeed check to make sure the bug or crash report is applicable!</t>
  </si>
  <si>
    <t>2022-09-19</t>
  </si>
  <si>
    <t>jellyfin-jellyfin-androidtv-2079</t>
  </si>
  <si>
    <t>Fix crash when selecting or clicking items in grid view</t>
  </si>
  <si>
    <t>Fix regression of #2078
Add proper nullability notation
&lt;!-- Tag any issues that this PR solves here.
ex. Fixes --&gt;</t>
  </si>
  <si>
    <t>Picovoice-flutter-voice-processor-9</t>
  </si>
  <si>
    <t>SwiftFlutterVoiceProcessorPlugin Found Nil</t>
  </si>
  <si>
    <t>Attempting to use picovoice flutter package results in crash on iOS when attempting to listen for commands. Steps to reproduce:
1. Launch app and start PicovoiceManager
2. Attempt speaking command (nothing is recognized- no wakeword or inference)
3. Relaunch app
4. App crashes with flutter voice processor Fatal error: Unexpectedly found nil while unwrapping an Optional value
Reproducible using boilerplate Flutter app. Only need to add sample Picovoice code to the incrementCounter function:
class MyHomePageState extends State&lt;MyHomePage&gt;
bool managerListening false
Future&lt;void&gt; incrementCounter() async
assets picovoice picovoice wake word.ppn
() log( HEARD WAKE WORD ),
assets picovoice picovoice play card.rhn
(inference) log( HEARD INFERENCE: $inference
log( START LISTENING
log( ALREADY LISTENING
This call to setState tells the Flutter framework that something has
changed in this State, which causes it to rerun the build method below
so that the display can reflect the updated values. If we changed
counter without calling setState(), then the build method would not be
called again, and so nothing would appear to happen.</t>
  </si>
  <si>
    <t>LawnchairLauncher-lawnchair-2966</t>
  </si>
  <si>
    <t>[BUG] Crash when adding app to new homescreen page</t>
  </si>
  <si>
    <t>### Describe the bug
When adding an app to brand-new homescreen page, Lawnchair consistently crashes.
### Steps to reproduce
Steps to reproduce the behavior:
1. Go to the app drawer
2. Long press an app
3. Drag it to the right and wait until you re about to add it to new, empty homescreen page
5. Lawnchair crashes (the app is in the right place when Lawnchair relaunches)
### Expected behavior
Lawnchair should be able to create new homescreen page and add the app to it without crashing.
### Device information
Device: e.g. Google Pixel
OS: e.g. stock ROM Android version 12.0
App version: e.g. 12.1.0 Alpha
### Additional context
Lawnchair bug report Sep 19, 2022 9:07:01 AM</t>
  </si>
  <si>
    <t>nextcloud-android-10747</t>
  </si>
  <si>
    <t xml:space="preserve">Media panel crashes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</si>
  <si>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media view
Only thumb nail placeholders showing
### Expected behaviour
Media to be shown
### Actual behaviour
### Android version
### Device brand and model
### Stock or custom OS?
### Nextcloud android app version
### Nextcloud server version
### Using reverse proxy?
### Android logs
### Cause of error
Exception in thread main Couldn read row 729, col from CursorWindow. Make sure the Cursor is initialized correctly before accessing data from it.</t>
  </si>
  <si>
    <t>2022-09-18</t>
  </si>
  <si>
    <t>PojavLauncherTeam-PojavLauncher-3567</t>
  </si>
  <si>
    <t>[BUG] Editing controls while on alpha 1.2.6 crashes my phone</t>
  </si>
  <si>
    <t>### Describe the bug
wanted to play alpha 1.2.6 when was editing my controls, then it started lagging trying to find the escape key, it freezed, then restart, then my phone went extinct, now cant use it.
### The log file and images videos
cant because it was just frozen
### Steps To Reproduce
1. start pojav
2. play alpha 1.2.6
3. load world
4. edit controls
5. it starts to freeze
### Expected Behavior
expect it to work normally
Device model: Samsung A12 phone
CPU architecture: cant check cause its on the black screen on death
Android version: 11
PojavLauncher version: newest
### Anything else?</t>
  </si>
  <si>
    <t>MuntashirAkon-AppManager-871</t>
  </si>
  <si>
    <t>ADB serverity</t>
  </si>
  <si>
    <t>Your issue will be closed without warning if you don check at least two items.
know what my device, OS and App Manager versions are
know how to take logs
know how to reproduce the issue which may not be specific to my device
**Describe the bug**
ADB over TCP is causing app manager stuck in initializing or app list forever
Steps to reproduce the behaviour:
1. Download and install latest app manager (3.0.1)
2. Grant ADB over TCP and change operation mode to ADB instead of auto or non root
3. App will stuck in initializing or loading app list forever
It should work :-
This isn crash log but just general log from app manager itself
Device: Realne 5i
OS Version: Android 10
App Manager Version: 3.0 stable
All general tips such as clearing caches or data or both and rebooting is done but app are still stuck forever</t>
  </si>
  <si>
    <t>jellyfin-jellyfin-androidtv-2071</t>
  </si>
  <si>
    <t>Fix two crashes when trying to view a person</t>
  </si>
  <si>
    <t>Fix crash when opening person via ItemLauncher, id was not converted to string
Fix crash when trying to display birthdate (premieredate) or date of death (enddate) using wrong date type for the data format utility.
&lt;!-- Tag any issues that this PR solves here.
ex. Fixes --&gt;</t>
  </si>
  <si>
    <t>2022-09-17</t>
  </si>
  <si>
    <t>PojavLauncherTeam-PojavLauncher-3562</t>
  </si>
  <si>
    <t>[BUG] pojave crashes when I install optifine</t>
  </si>
  <si>
    <t>### Describe the bug
Pojave just crashes when try to install optifine or fabric does not exit with error code
### The log file and images videos
### Steps To Reproduce
1. open pojave launcher
2. Click install .jar then click on optifine 1.19
### Expected Behavior
expect it to open the optifine install screen
Device model: moto stylus 5G
CPU architecture: arm64
Android version: 12
PojavLauncher version: version openjdk
### Anything else?</t>
  </si>
  <si>
    <t>2022-09-16</t>
  </si>
  <si>
    <t>GoogleCloudPlatform-fda-mystudies-4964</t>
  </si>
  <si>
    <t>[Android] App is crashing when navigated to 'Dashboard' screen</t>
  </si>
  <si>
    <t>1. Sign in Sign up
2. Enroll to the study
3. Navigate to Dashboard and Verify</t>
  </si>
  <si>
    <t>Anuken-Mindustry-7584</t>
  </si>
  <si>
    <t xml:space="preserve">Game Freeze When Destroying Building </t>
  </si>
  <si>
    <t>**Steps to reproduce**: *The bug can be fixed, the only thing that can be done is exit the game and back in, ve tried to disable the mod, but it the same, the game keeps crashing and freezing*
**Link(s) to mod(s) used**: *Since ve tried without the mod and it still fails too, so not listing it*
**Save file**: BackUp Save Game (https: drive.google.com file view?usp drivesdk)
If you remove the line above without reading it properly and understanding what it means, will reap your soul. Even if you re playing on someone server, you can still save the game to slot.
**(Crash) logs**: Crash Log (https: drive.google.com file view?usp drivesdk)
Sorry for my English, use translate.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</si>
  <si>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MuntashirAkon-AppManager-869</t>
  </si>
  <si>
    <t xml:space="preserve">App 3.0.1 regularly crashes on Android 11, oneplus3, msm-xtended custom ROM </t>
  </si>
  <si>
    <t>Your issue will be closed without warning if you don check at least two items.
know what my device, OS and App Manager versions are
know how to take logs
know how to reproduce the issue which may not be specific to my device
**Describe the bug**
App version: 3.0.1
App version code: 412
Android build version: 3339
Android release version: 11
Android SDK version: 30
Android build ID: RQ3A.211001.001
Device brand: OnePlus
Device manufacturer: OnePlus
Device name: OnePlus3T
Device model: ONEPLUS A3003
Device product name: xtended oneplus3
Device hardware name: qcom
ABIs (32bit): armeabi-v7a, armeabi
ABIs (64bit): arm64-v8a
System language: de-DE</t>
  </si>
  <si>
    <t>MuntashirAkon-AppManager-868</t>
  </si>
  <si>
    <t>AppManager crashes when uninstalling system app</t>
  </si>
  <si>
    <t>know what my device, OS and App Manager versions are
know how to take logs
know how to reproduce the issue which may not be specific to my device
**Describe the bug**
Every time uninstall system app, AppManager crashes (have run out of those wish to uninstall on this device, though :) ).
Steps to reproduce the behaviour:
1. Select any system app.
2. Click on Uninstall.
3. AppManager crashes (it does remove data before the crash, though).
Uninstall the app, and keep running.
&lt;&lt;&lt; log count 240 &gt;&gt;&gt;
Start proc u0a97 for activity
Switching to real app window: Window 139229 u0
Calling main entry
START u0 cmp .main.MainActivity from uid 10097 on display
Displayed .main.MainActivity: +285ms
BinderProxy is being destroyed but the application did not call unlinkToDeath to unlink all of its death recipients beforehand. Releasing leaked death recipient:
skipping 203 additional messages identical to the ones immediately above and below (except for timestamps), all of which occurred within approximately 0.7 seconds
BinderProxy is being destroyed but the application did not call unlinkToDeath to unlink all of its death recipients beforehand. Releasing leaked death recipient:
START u0 cmp (has extras) from uid 10097 on display</t>
  </si>
  <si>
    <t>nextcloud-android-10739</t>
  </si>
  <si>
    <t>Media screen crashed on refresh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</si>
  <si>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 media page
Not all thumbnails loaded
Refresh and crashes
### Expected behaviour
### Actual behaviour
### Android version
### Device brand and model
### Stock or custom OS?
### Nextcloud android app version
### Nextcloud server version
### Using reverse proxy?
### Android logs
### Cause of error
Exception in thread main Couldn read row 733, col from CursorWindow. Make sure the Cursor is initialized correctly before accessing data from it.</t>
  </si>
  <si>
    <t>2022-09-15</t>
  </si>
  <si>
    <t>nextcloud-android-10738</t>
  </si>
  <si>
    <t>Crash when deleting photo</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</si>
  <si>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Go to Activity
2. Select recently uploaded photo
3. Delete that photo
### Expected behaviour
The photo is deleted and return to Activity
### Actual behaviour
The app crashes
### Android version
### Device brand and model
### Stock or custom OS?
### Nextcloud android app version
### Nextcloud server version
### Using reverse proxy?
### Android logs</t>
  </si>
  <si>
    <t>LawnchairLauncher-lawnchair-2945</t>
  </si>
  <si>
    <t xml:space="preserve">[BUG] Can't turn off work apps section </t>
  </si>
  <si>
    <t>### Describe the bug
wanted to turn off the work apps section. In the work apps section there is button to turn it off but as soon as click it lawnchair crashes. tried several times but it was of no use.
### Steps to reproduce
Steps to reproduce the behavior:
1. Go to App drawer
2. Click on work
3. Click on turn off work apps
4. Lawnchair crashes.
### Expected behavior
The button should simply turn the work apps section off... As simple as it sounds but it wasn t. tried uninstalling and reinstalling lawnchair, clearing lawnchair app cache and data etc but nothing changed. Below is the crash log.
Lawnchair bug report Sep 15, 2022 5:57:12 PM
### Device information
Device: Samsung Galaxy A52s 5G
OS: Android 12 with OneUI 4.1 (not rooted)
App version: 12.1.0 Alpha
### Additional context</t>
  </si>
  <si>
    <t>LawnchairLauncher-lawnchair-2944</t>
  </si>
  <si>
    <t>### Describe the bug
On my device it automatically created work apps section which didn want. Opening work apps section there is button to turn it off but when pressed, lawnchair crashes. tried several times but it was of no use.
### Steps to reproduce
1. Go to app drawer.
2. Click on Work app section.
3. Click the Turn off work apps button.
4. Lawnchair crashes.
### Expected behavior
To turn off work apps section.
Lawnchair bug report Sep 15, 2022 5:57:12 PM
### Device information
Device: Samsung Galaxy A52s 5G
OS: Android 12 with OneUI 4.1 (not rooted)
App version: 12.1.0 Alpha
### Additional context</t>
  </si>
  <si>
    <t>Anuken-Mindustry-7576</t>
  </si>
  <si>
    <t xml:space="preserve">Pipes issue </t>
  </si>
  <si>
    <t>**Android v5.0**: *The type of device you were playing on Android iOS Mac Windows Linux* All is NOT platform!)
**138.2 alpha(same with v6) **: *The build number under the title in the main menu. Required. LATEST IS NOT VERSION, NEED THE EXACT BUILD NUMBER OF YOUR GAME.*
**pipes liquid transfer rates are limited to 270 for me(170 at v6) and speed booster does not affect it, there is too slow for t5 reconstructor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</si>
  <si>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wordpress-mobile-WordPress-Login-Flow-Android-95</t>
  </si>
  <si>
    <t>Fix a LoginEmailFragment crash</t>
  </si>
  <si>
    <t>This PR fixes common crash in woocommerce It adds null check, so that when Runnable is executed after the view is destroyed, the app doesn crash.
wasn able to replicate the crash so don have any testing instructions but there is no valid app state where the view could be null so this fix should do it.</t>
  </si>
  <si>
    <t>LSPosed-LSPosed-2127</t>
  </si>
  <si>
    <t>[Bug] LSPosed crashes after setting wallpaper color</t>
  </si>
  <si>
    <t>### Steps to reproduce
### Expected behaviour
### Actual behaviour
### Xposed Module List Xposed
### Magisk Module List Magisk
### LSPosed version LSPosed
### Android version Android
### Magisk version Magisk
### Riru version Riru
### Version requirement
am using latest debug CI version of LSPosed and enable verbose log CI</t>
  </si>
  <si>
    <t>PojavLauncherTeam-PojavLauncher-3559</t>
  </si>
  <si>
    <t>1.17.1 Crash[F-Req] &lt;Short description&gt;</t>
  </si>
  <si>
    <t>### Is this request related to bug?
am open my pojav launcher and use Java 17 arch64 but my game is crash so what is this problem you tell me plz
### Describe the request.
am open my pojav launcher and use Java 17 arch64 but my game is crash so what is this problem you tell me plz
### Anything else?
am open my pojav launcher and use Java 17 arch64 but my game is crash so what is this problem you tell me plz</t>
  </si>
  <si>
    <t>AndroidIDEOfficial-AndroidIDE-434</t>
  </si>
  <si>
    <t>[Bug]: crash</t>
  </si>
  <si>
    <t>### What happened?
AndroidIDE crash report
### What the expected behavior?
### What version of AndroidIDE you re using?
### Relevant log output
AndroidIDE crash report
### Duplicate issues
This issue has not been reported yet.
### Code of Conduct
agree to follow this project Code of Conduct</t>
  </si>
  <si>
    <t>nextcloud-android-10736</t>
  </si>
  <si>
    <t>Refreshed media page and crashed app</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</si>
  <si>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Go to media page
Pull down to refresh
### Expected behaviour
Media to refresh and thumbnails to update
### Actual behaviour
Crashed app and no thumbnails
### Android version
### Device brand and model
### Stock or custom OS?
### Nextcloud android app version
### Nextcloud server version
### Using reverse proxy?
### Android logs
### Cause of error</t>
  </si>
  <si>
    <t>2022-09-14</t>
  </si>
  <si>
    <t>jellyfin-jellyfin-androidtv-2060</t>
  </si>
  <si>
    <t>App crashes on FireTV</t>
  </si>
  <si>
    <t>### Describe the bug
Since the update to 0.14, the app crashes very often, no matter if play new file or if resume an already played file.
It seems similiar to #2057, but the attached log is slightly different, so opened new ticket.
The crash happened after stopped movie, that played over an hour without problems. Then after 5min break clicked on the resume playback at ... button, not on the restart from beginning button and the app crashed and the watch state of the movie was reseted to unseen and the playback progress was deleted.
don know why the log shows some VLC entries, because ve forced all playback to ExoPlayer and ExoPlayer should be able to handle the file, because it played the movie one hour without
--------- beginning of main
--------- beginning of crash
### App information
***App version***: 0.14.3 140399
### Device information
***Device brand***: Amazon
***Device product***: raven
***Device model***: AFTR
### Crash information
### FFmpeg logs
### Media info of the file
Gr e: 5166 MB
Aufl sung: 1920x1080
Seitenverh ltnis: 16:9
Video range type: SDR</t>
  </si>
  <si>
    <t>PojavLauncherTeam-PojavLauncher-3555</t>
  </si>
  <si>
    <t>Pojav launcher crash on using fabric</t>
  </si>
  <si>
    <t>### Describe the bug
Application exited with exit code please check latestlog
### The log file and images videos
### Steps To Reproduce
Please check my log file given below
### Expected Behavior
am using 1.19.2 fabric with sodium and iris shaders
Device model: iqoo neo
CPU architecture: 64
Android version: 12
PojavLauncher version: latest
### Anything else?
Here is log file please tell me solution</t>
  </si>
  <si>
    <t>cgeo-cgeo-13413</t>
  </si>
  <si>
    <t>Crash on changing routing method</t>
  </si>
  <si>
    <t>### Describe your problem!
User reports on support mail, that c:geo crashes each time he changes the routing mode e.g. from Car to Bike or Walk
### How to reproduce?
### Actual result after these steps?
### Expected result after these steps?
### c:geo Version
### System information
## System information
Device type: ELE-L29 (ELE-L29EEA, HUAWEI)
Android version: 10
Android build: ELE-L29
Screen resolution: 1080x2139px (360x713dp)
Pixel density: 3.0
System font scale: 1.0 used scale: 1.0
Sailfish OS detected: false
Google Play services: enabled 22.26.15 (100408-461192076)
Sensor and location:
Low power mode: inactive
Compass capabilities: yes
Rotation vector sensor: present</t>
  </si>
  <si>
    <t>2022-09-13</t>
  </si>
  <si>
    <t>jellyfin-jellyfin-androidtv-2057</t>
  </si>
  <si>
    <t>Fire tv app crashing when attempting to play video</t>
  </si>
  <si>
    <t>### Describe the bug
1. Start the app on fite tv
2. Go to movies
3. Play any video
4. Error is displayed oops something went wrong and the app restarts
... 11 more
--------- beginning of main
--------- beginning of crash
### App information
***App version***: 0.14.3 140399
### Device information
***Device brand***: Amazon
***Device product***: kara
***Device model***: AFTKA
### Application version
### Where did you install the app from?
### Device information
Amazon fire tv 4k stick
### Android version
Fire tv os</t>
  </si>
  <si>
    <t>sspanak-tt9-59</t>
  </si>
  <si>
    <t>Crash when switching IMEs</t>
  </si>
  <si>
    <t>1. Choose Predictive mode
2. Select another IME as the default one
3. Close any open applications
4. Open an application where you can type
5. Go to text field to make the other IME appear
6. Switch to TT9
7. Try typing something
This causes an unknown error and crash. When Android resurrects TT9, try typing again and it will crash again.
This is regression caused by #18.</t>
  </si>
  <si>
    <t>nextcloud-android-10733</t>
  </si>
  <si>
    <t xml:space="preserve">Refreshed media page as icons hadn't loaded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</si>
  <si>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Go to media page
Some 15 or so images had no thumbnails
### Expected behaviour
Page to refresh and display thumbnails
### Actual behaviour
App crashed and no thumbnails
### Android version
### Device brand and model
### Stock or custom OS?
### Nextcloud android app version
### Nextcloud server version
### Using reverse proxy?
### Android logs
### Server error logs</t>
  </si>
  <si>
    <t>Anuken-Mindustry-7558</t>
  </si>
  <si>
    <t xml:space="preserve">Crash and corruption </t>
  </si>
  <si>
    <t>**Steps to reproduce**: haven got the slightest clue. All ve done is import shit ton of building resources and build up everything as needed. And that when the crash and corruption happened
**Link(s) to mod(s) used**: (I haven actually placed any of the items in any of these mods so they might not be very useful as to finding this annoying problems source. But hey coding is weird so it might anyway)
vanilla extended: v1.82
Production mod: vA4.4.1
Opore mod: v69 (nice)
Unit turrets: v0.5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AM UNABLE TO SEND ANY SAVES BECAUSE AM PLAYING ON IOS. Apple is cunt. would if were able to)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</si>
  <si>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Yerionimous2-JulyTimer-9</t>
  </si>
  <si>
    <t>The App crashes when you try to commit a empty time of starting or ending of the darkmode</t>
  </si>
  <si>
    <t>material-components-material-components-android-2968</t>
  </si>
  <si>
    <t>[TabLayout] ResourcesNotFoundException "res/layout/design_layout_tab_icon.xml" when setting ViewPager adapter</t>
  </si>
  <si>
    <t>We exprienced crashe in production related to TabLayout when setting ViewPager adapter from Motorola running Android 11. wonder if you re aware of the issue and if there any fix.
**Android API version:** Android 11
**Material Library version:** 1.3.0</t>
  </si>
  <si>
    <t>2022-09-12</t>
  </si>
  <si>
    <t>usabilla-usabilla-u4a-react-native-181</t>
  </si>
  <si>
    <t>Fatal Exception: java.lang.IllegalStateException: No definition found for a</t>
  </si>
  <si>
    <t>We ve been getting hundreds of crashes with the following stack trace:
Fatal Exception: No definition found for
Looks like the issue is related to:
The proposed solution on https: github.com usabilla issues 294 of waiting for is not possible since the react native implementation is not exposing the callback. We are rolling fix by patching the package, but would be good to know if you are also planning on exposing this functionality.</t>
  </si>
  <si>
    <t>AndroidIDEOfficial-AndroidIDE-432</t>
  </si>
  <si>
    <t>### What happened?
AndroidIDE crash report
### What the expected behavior?
### What version of AndroidIDE you re using?
v2.1.2 (debug builds)
### Relevant log output
### Duplicate issues
This issue has not been reported yet.
### Code of Conduct
agree to follow this project Code of Conduct</t>
  </si>
  <si>
    <t>jellyfin-jellyfin-androidtv-2049</t>
  </si>
  <si>
    <t>Crash on app resume</t>
  </si>
  <si>
    <t>### Describe the bug
1. Start app
2. Choose Account
3. Return to home screen
4. Resume the app
This only happens when returning to the Jellyfin homescreen after resuming the app. When in the Detail Screen it doesn instantly crash but it crashes when returning to the Jellyfin homescreen. This happens everytime the app resumed.
--------- beginning of main
--------- beginning of crash
### App information
***App version***: 0.14.3 140399
### Device information
***Device brand***: Xiaomi
***Device product***: machuca
***Device model***: MiTV-MSSP3
### Crash information
### Application version
### Where did you install the app from?
### Device information
### Android version
### Jellyfin server version</t>
  </si>
  <si>
    <t>2022-09-11</t>
  </si>
  <si>
    <t>PojavLauncherTeam-PojavLauncher-3548</t>
  </si>
  <si>
    <t>[BUG] &lt;não é possível jogar com mods na 1.7.10</t>
  </si>
  <si>
    <t>### Describe the bug
Quando eu coloquei um modpack (https: www.mediafire.com file bcw39cq9urow0ju mods.rar file) de 40+ mods no forge 1.7.10 crasha
### The log file and images videos
### Steps To Reproduce
1coloque modpack citado cima na pasta .minecraft mods
baixe forge 1.7.10
entre no minecraft
### Expected Behavior
Quero jogar com mods na 1.7.10
Device model: Samsung A21s 64
CPU architecture: aarch64
Android version: 11
PojavLauncher version: openjdk
### Anything else?</t>
  </si>
  <si>
    <t>LawnchairLauncher-lawnchair-2927</t>
  </si>
  <si>
    <t>Picture in picture mode not working properly</t>
  </si>
  <si>
    <t>### Describe the bug
Picture in picture mode seems to make the launcher crash or at least not get displayed (aka only wallpaper, status bar and video).
### Steps to reproduce
Steps to reproduce the behavior:
1. Go to browser (used Opera)
2. Play video (used YouTube)
3. Put it in full screen
4. Swipe up to the home screen (depending on the orientation of the video)
5. See error
### Expected behavior
We should see the home icons and be able to interact with them.
### Device information
Device: Google Pixel
OS: lastest stock ROM Android version 13
App version: 12.1.0 Alpha
### Additional context</t>
  </si>
  <si>
    <t>2022-09-10</t>
  </si>
  <si>
    <t>xSynergyx-internal-ticketing-63</t>
  </si>
  <si>
    <t>Added Microsoft Authentication. Fixed an issue where the app crashes …</t>
  </si>
  <si>
    <t>when trying to change the counter while it displays error</t>
  </si>
  <si>
    <t>Anuken-Mindustry-7539</t>
  </si>
  <si>
    <t>erekir ships dont pathfinding over tar</t>
  </si>
  <si>
    <t>**Steps to reproduce**: 1. Create map with tar floor 2. Place enemy spawn over the tar 3. Add erekir ships in wave list 4. Test out this map
**Link(s) to mod(s) used**: No mods
**Save file**: This bug happens on every map you can play on
If you remove the line above without reading it properly and understanding what it means, will reap your soul. Even if you re playing on someone server, you can still save the game to slot.
**(Crash) logs**: No crashes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</si>
  <si>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Anuken-Mindustry-7538</t>
  </si>
  <si>
    <t>MapIO.generatePreview() crashes the server</t>
  </si>
  <si>
    <t>**Steps to reproduce**: Launch server, host it on any map, then call for some of the attached maps.
**Link(s) to mod(s) used**: *&lt;none, only JS script which tries to invoke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</si>
  <si>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Anuken-Mindustry-7534</t>
  </si>
  <si>
    <t>2022-09-09</t>
  </si>
  <si>
    <t>nextcloud-android-10726</t>
  </si>
  <si>
    <t>Crash on deleting photo from media</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</si>
  <si>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Go to Media
2. Delete one of the sample pictures Nextcloud comes with (e.g. the frog)
3. Crash happens (see stack trace in additional information)
### Expected behaviour
### Actual behaviour
App crashes with supplied stack trace. Photo is deleted though.
### Android version
### Device brand and model
### Stock or custom OS?
Custom (explain in additional information
### Nextcloud android app version
### Nextcloud server version
### Using reverse proxy?
### Android logs</t>
  </si>
  <si>
    <t>PojavLauncherTeam-PojavLauncher-3543</t>
  </si>
  <si>
    <t>### Describe the bug
Eye mod crashes it when use fabric can fix it and also fix sodium pls
### The log file and images videos
Don have one
### Steps To Reproduce
Insert the mod into the mods folder and try to play it With Fabric and it crashes
### Expected Behavior
expect it to launch it work
Device model: Samsung a20
CPU architecture: arm64...
Android version: 11
PojavLauncher version: latest
### Anything else?</t>
  </si>
  <si>
    <t>2022-09-08</t>
  </si>
  <si>
    <t>Anuken-Mindustry-7531</t>
  </si>
  <si>
    <t>Level "Marsh" is locked, but has no requirement to unlock</t>
  </si>
  <si>
    <t>Linux Ubuntu 22.04
Mindustry 7, 138
Level Marsh is locked, but there is no requirement to unlock it. When clicked on, it says Complete: and Enemy Base but nothing else.
**Steps to reproduce**: *How you happened across the issue, and what exactly you did to make the bug happen.*
completed all of the available Erikir levels with release 136. When downloaded 138, Marsh is locked.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</si>
  <si>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smartdevicelink-sdl_java_suite-1829</t>
  </si>
  <si>
    <t>ForegroundServiceStartNotAllowedException in SdlRouterStatusProvider</t>
  </si>
  <si>
    <t>### Bug Summary
This is something coming in from Crashlytics that we have been unable to reproduce so far. After upgrading our app to target API 31, we received numerous crashes including this one. Very similar to issue #1815 but distinct from it. This crash is coming from line 139 in when is called. Likely needs fix similar to #1823.
### Reproduction Steps
Unfortunately unable to reproduce at the moment. This crash came from our Crashlytics logs and was observed after targeting API 31 and moving to SDL 5.4.0.
### Which projects have you seen this bug on?
### Android Version(s)
### Android Device(s)
Mostly Samsung, but also across the full range of Google devices which support Android 12+, numerous OnePlus devices
### sdl java suite Version
### Testing Environment(s)
### Relevant log output</t>
  </si>
  <si>
    <t>aws-amplify-aws-sdk-android-3001</t>
  </si>
  <si>
    <t>Null Pointer Exception when Creating a Notification in Pinpoint</t>
  </si>
  <si>
    <t>**Describe the bug**
In my Crashes ANR section of my app in the Google Play Store, have noticed an uptick in crashes caused by AWS Pinpoint. began to notice this uptick after updating my packages to version 2.47.0 and they still remain after updating to version 2.51.0 My current imports are as follows:
The stacktrace is as follows:
Exception Attempt to invoke virtual method java.lang.Object on null object reference
**Which AWS service(s) are affected?**
Pinpoint SDK for Android
**Environment Information (please complete the following information):**
AWS Android SDK Version: 2.51.0
Android Version: 10, 11, and 12
Specific to simulators: No</t>
  </si>
  <si>
    <t>nextcloud-android-10724</t>
  </si>
  <si>
    <t>App crashed when trying to refresh the Media Page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</si>
  <si>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app
2. Go to media
3. Swipe down to refresh media screen
### Expected behaviour
Media to refresh
### Actual behaviour
### Android version
### Device brand and model
### Stock or custom OS?
### Nextcloud android app version
### Nextcloud server version
### Using reverse proxy?
### Android logs
### Cause of error</t>
  </si>
  <si>
    <t>LawnchairLauncher-lawnchair-2919</t>
  </si>
  <si>
    <t>[BUG] crash when adding widgets</t>
  </si>
  <si>
    <t>### Describe the bug
Trying to add samsung widgets makes lawnchair to crash.
### Steps to reproduce
Steps to reproduce the behavior:
1. Click and hold on initial screen
2. Click on widgets
3. Scroll down to Samsung Notes
4.try to add Note shortcut
5. See error
### Expected behavior
Open the widget settings menu then wen it done go back to the initial screen ann nothing wrong happen
### Device information
Device: Samsung A75 5G SM-A736B DS
OS: stock ROM Android version 12.0
App version: 12.1.0 Alpha
### Additional context</t>
  </si>
  <si>
    <t>nextcloud-android-10722</t>
  </si>
  <si>
    <t xml:space="preserve">Crash on low free ROM memory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</si>
  <si>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After opening the nextcloud app stays unresponsive and crashes after while. This happens when there is low disk (ROM) memory available.
### Expected behaviour
Open the app and stay open without issues.
### Actual behaviour
### Android version
### Device brand and model
Huawei P30 pro
### Stock or custom OS?
### Nextcloud android app version
### Nextcloud server version
### Using reverse proxy?
### Android logs
### Server error logs
### Additional information</t>
  </si>
  <si>
    <t>facebook-react-native-34622</t>
  </si>
  <si>
    <t>[android][bugfix] Move destroyed callback to onDestroyView()</t>
  </si>
  <si>
    <t>Currently, when navigating back to ReactFragment instance that is on the fragment backstack, we trigger an from within
Cannot loadApp while app is already running.
ReactFragment calls from onCreateView()
ReactFragment calls from onDestroy()
This is mismatch onCreateView() can be called multiple times before onDestroy() is called.
For example, consider the case where:
The ReactFragment is shown on screen. onCreateView() is called.
The fragment is replaced (with call) and added to the fragment backstack. is called
The user navigates back. will be called again.
onDestroyView() here is the lifecycle method that matches onCreateView() so it more appropriate to do this teardown here, given the setup is done in onCreateView()
&lt;!-- Help reviewers and the release process by writing your own changelog entry. For an example, see:
Android Fixed Fix crash when navigating back to ReactFragment in the backstack
## Test Plan
Open ReactFragment instance
Replace original ReactFragment using
Press system back button
Observe no more crash</t>
  </si>
  <si>
    <t>2022-09-07</t>
  </si>
  <si>
    <t>Kareem100-Kidzenia-app-10</t>
  </si>
  <si>
    <t>bug: Solving the app crashing on clicking on Arabic letters/numbers buttons</t>
  </si>
  <si>
    <t>Closes issue #3</t>
  </si>
  <si>
    <t>ReVanced-revanced-integrations-136</t>
  </si>
  <si>
    <t>bug: `List.stream()` does not exist in older SDKs</t>
  </si>
  <si>
    <t>Error at runtime
### Bug description
Vanced MicroG v0.2.24.220220 (https: github.com TeamVanced VancedMicroG releases tag
&gt;&gt; openjdk 18.0.2 2022-07-19
&gt;&gt;OpenJDK Runtime Environment (build 18.0.2+0)
&gt;&gt;OpenJDK 64-Bit Server VM (build 18.0.2+0, mixed mode)
**Used Command to patch the app**
**Problem Description :**
Revanced keep crashing on every launch. Also observed from hint (https: www.reddit.com revancedapp comments w2olca comment ihnekf0 ?utm source share&amp;utm medium web2x&amp;context 3)) App is not crashing when there is no internet on the device. Means can launch the app without internet connection and can do everything staying offline. on relavant section putting an log for that.
### Steps to reproduce
Step 1: On android 6.0.1 samsung J200G build the app and install
Step 2: Try to launch the app
Step 3: you can reproduce now, the app is crashed.
Step 1: Now turn off Cellular data and wifi
Step 2: Launch the app
Step 3: you can see the app is not crashing anymore
### Relevant log output
Steps followed for taking logs:
Step adb logcat -b all -c for flushing all buffers which are irrelevant
Step adb logcat -b all tee &lt;output file&gt; taking out all logs from all buffers</t>
  </si>
  <si>
    <t>a7medev-react-native-ml-kit-12</t>
  </si>
  <si>
    <t>App crash after installing the package in android</t>
  </si>
  <si>
    <t>### What happened?
insalled the package using npm like this
npm install react-native-ml-kit image-labeling --save
It is making the app crash. The tried to link the main branch directly to package,json like this
react-native-ml-kit image-labeling https: github.com a7med-mahmoud react-native-ml-kit tree main image-labeling#main
That doesn event install
### Which ML Kit packages do you use?
### What platforms are you seeing this issue on?
### System Information
Android SDK: Not Found
Windows SDK: Not Found
Android Studio: Version 2021.1.0.0
Visual Studio: Not Found
### Steps to Reproduce
Install the package using npm install react-native-ml-kit image-labeling --save
Try run the project using npm run android</t>
  </si>
  <si>
    <t>LawnchairLauncher-lawnchair-2914</t>
  </si>
  <si>
    <t>[BUG] App Crashes when trying to change icons.</t>
  </si>
  <si>
    <t>### Describe the bug
Lawnchair crashes when trying to use custom icons.
### Steps to reproduce
Long Press Icon, tap the pencil, tap the icon to change to custom icon and Lawnchair crashes.
### Expected behavior
expected pop up to appear to select downloaded icon pack and to be able to select custom icon.
### Device information
Device: Google Pixel 4a
OS: Graphene OS Android 13
App version: e.g. 12.1.0 Alpha
Secondary User Profile
### Additional context</t>
  </si>
  <si>
    <t>jellyfin-jellyfin-androidtv-2041</t>
  </si>
  <si>
    <t>LiveTV Audio delay when using LibVLC</t>
  </si>
  <si>
    <t>### Describe the bug
experiencing weird bug with liveTV using the player VLClib.
When playing the stream, can notice an audio delay with the video. To correct it, have to set the sound delay to -300 to have the audio matching the video. This does not happen when using exoplayer.
The weird thing is that it happens only on my TCL TV with Android and does not happen on my other android TV such as Phillips TV with Android and Mi Stick with Android 11.
would gladly include the logs but don know how to get it from the android TV app since there was no crash
### Application version
### Where did you install the app from?
### Device information
### Android version
### Jellyfin server version</t>
  </si>
  <si>
    <t>LSPosed-LSPosed-2102</t>
  </si>
  <si>
    <t>[Bug] App freezes when viewing the details of certain modules</t>
  </si>
  <si>
    <t>### Steps to reproduce
1. Open LSPosed manager
2. Click the Repository tab
3. Click on the Disable FLAG SECURE or module
5. App freezes crashes after few seconds, or when switching to the Releases tab
### Expected behaviour
The app shouldn crash or freeze
### Actual behaviour
The app crashes
### Xposed Module List Xposed
### Magisk Module List Magisk
Universal SafetyNet Fix
### LSPosed version LSPosed
### Android version Android
### Magisk version Magisk
### Riru version Riru
### Version requirement
am using latest debug CI version of LSPosed and enable verbose log CI</t>
  </si>
  <si>
    <t>2022-09-06</t>
  </si>
  <si>
    <t>Kareem100-Kidzenia-app-3</t>
  </si>
  <si>
    <t>[bug] the app crashes on clicking Arabic buttons</t>
  </si>
  <si>
    <t>the app crashes on clicking on Arabic Letters or Arabic Numbers buttons on the MainActivity.</t>
  </si>
  <si>
    <t>PojavLauncherTeam-PojavLauncher-3539</t>
  </si>
  <si>
    <t>[BUG] Crash on launch</t>
  </si>
  <si>
    <t>### Describe the bug
crash on launch of 1.12.2 vanilla on newly installed pojav launcher (downloaded from playstore)
### The log file and images videos
--------- beggining with launcher debug
Added custom env: TMPDIR data user net.kdt.pojavlaunch cache
Added custom env: AWTSTUB WIDTH 1482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POJAV RENDERER opengles2
Added custom env: LIBGL ES
Added custom env: VTEST SOCKET NAME data user net.kdt.pojavlaunch cache .virgl test
Added custom env: MESA LOADER DRIVER OVERRIDE zink
Added custom env: MESA GLSL VERSION OVERRIDE 460
Added custom env: JAVA HOME data user net.kdt.pojavlaunch runtimes Internal</t>
  </si>
  <si>
    <t>2022-09-05</t>
  </si>
  <si>
    <t>GoogleCloudPlatform-fda-mystudies-4892</t>
  </si>
  <si>
    <t>[iOS] Consent &gt; App crashes clicking on 'Cancel' button in try again screen after failing comprehension test</t>
  </si>
  <si>
    <t>Login and enroll into study
Update the consent from SB and publish
Navigate to study activities and click on Review in pop-up
Fail the comprehension test questions
Click on Cancel on top right and observe app crashes
Issue not observed in enrollment flow</t>
  </si>
  <si>
    <t>google-ExoPlayer-10580</t>
  </si>
  <si>
    <t xml:space="preserve"> Attempt to invoke virtual method 'java.lang.Object java.lang.ref.WeakReference.get()' on a null object reference</t>
  </si>
  <si>
    <t>### ExoPlayer Version
### Devices that reproduce the issue
Lenovo Tab P10
### Devices that do not reproduce the issue
Unable to reproduce the issue
### Reproducible in the demo app?
### Reproduction steps
Unable to reproduce the crash
### Expected result
Media Play Successful without crash
### Actual result
Fatal Exception: Bad stream type -1
### Bug Report
You will email the zip file produced by adb bugreport to dev.exoplayer gmail.com after filing this issue.</t>
  </si>
  <si>
    <t>PojavLauncherTeam-PojavLauncher-3537</t>
  </si>
  <si>
    <t>[Minecraft Forge 1.7.10] &lt;Problem with Gliby's Voice Chat&gt;</t>
  </si>
  <si>
    <t>### Describe the bug
The game starts normally with no audio, after few minutes it just appears The application game has closed with error -1
This error is replicated on multiple mobile devices, but do not fully understand the problem that causes this situation
### The log file and images videos
### Steps To Reproduce
1. Start PojavLauncher
2. Load the game with version 1.7.10 forge 1614 And only Gliby Voice Chat mod.
3. The game starts completely until the main menu is displayed but there is no Audio.
4. About minute goes by and the game just crashes, even without entering world.
### Expected Behavior
expected the game to work properly
Device model: LG V40 ThinQ 64G
CPU architecture: aarch64
### Anything else?</t>
  </si>
  <si>
    <t>PojavLauncherTeam-PojavLauncher-3536</t>
  </si>
  <si>
    <t>### Describe the bug
Due to MIUI13, all message records were lost before the background was killed.I was in bad mood and sent it again.Updated from 20220513 to 0914vulkanmod,The crash log is shown below:
--------- beginning with launcher debug
Added custom env: TMPDIR data user cache
Added custom env: AWTSTUB WIDTH 2400
Added custom env: POJAV NATIVEDIR data app ReWmtxEp05E 2TpDgVOtEA KJxqdSTw-LuB3LibehA lib arm64
Added custom env: REGAL GL VERSION 4.5
Added custom env: REGAL GL VENDOR Android
Added custom env: LIBGL MIPMAP
Added custom env: allow higher compat version true
Added custom env: MESA GLSL CACHE DIR data user cache
Added custom env: LIBGL NOINTOVLHACK
Added custom env: force glsl extensions warn true
Added custom env: LIBGL NORMALIZE
Added custom env: LD LIBRARY PATH data user runtimes lib jli: data user runtimes lib: system lib64: vendor lib64: vendor lib64 hw: data app ReWmtxEp05E 2TpDgVOtEA KJxqdSTw-LuB3LibehA lib arm64
Added custom env: POJAV RENDERER opengles2
Added custom env: LIBGL ES
Added custom env: VTEST SOCKET NAME data user cache .virgl test
Added custom env: MESA LOADER DRIVER OVERRIDE zink
Added custom env: MESA GLSL VERSION OVERRIDE 460</t>
  </si>
  <si>
    <t>LawnchairLauncher-lawnchair-2906</t>
  </si>
  <si>
    <t>[BUG] SD Maid app Crash</t>
  </si>
  <si>
    <t>### Describe the bug
SD Maid app crashes when using the Launcher
### Steps to reproduce
Steps to reproduce the behavior:
1. Use Lawnchair
2. Open app drawer
### Expected behavior
Getting to use the launcher
### Device information
Device: Sony Xperia XZ2
OS: Stock Rom Android version 9.0
App version: e.g. 12.1.0 Alpha
### Additional context</t>
  </si>
  <si>
    <t>jellyfin-jellyfin-androidtv-2026</t>
  </si>
  <si>
    <t>Subtitles crash playback</t>
  </si>
  <si>
    <t>### Describe the bug
1. Start playback on 4k file and you get subtitle loading while playback starts
2. Select PGS (builtin) subtitle
3. black screen Player crashes saying something like too many errors
4. Start playback again, this time subtitles load automatically without user intervention
Using default configuration of jellyfin client.
### FFmpeg logs
### Media info of the file
### Application version
### Device information
### Android version
Android 11, 9.1.0
### Jellyfin server version</t>
  </si>
  <si>
    <t>2022-09-03</t>
  </si>
  <si>
    <t>nextcloud-android-10709</t>
  </si>
  <si>
    <t xml:space="preserve">App crashes when moving lots of files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</si>
  <si>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Select files in one folder (mine had very many files in it, around 2000)
2. Choose move files from menu
3. Select destination folder
4. App crashes (see stack trace below)
### Expected behaviour
Files should be moved instead of crash
### Actual behaviour
App crashes and shows:
### Cause of error
Exception in thread Thread-31 Couldn read row 710, col from CursorWindow. Make sure the Cursor is initialized correctly before accessing data from it.
### App information
Build flavor: generic
### Device information
Product: cupid eea</t>
  </si>
  <si>
    <t>itsdrnoob-DataMonitor-41</t>
  </si>
  <si>
    <t>Crash on "App data usage" view</t>
  </si>
  <si>
    <t>**Describe the bug**
clear and concise description of what the bug is.
Steps to reproduce the behavior:
1. Go to Network Diagnostics
2. Click on Settings
4. Open App data usage
5. App crashes
FATAL EXCEPTION: main
Device: Lenovo Tab4 plus
OS: Android 8.1.0
App version: **v2.0.0 (7)**</t>
  </si>
  <si>
    <t>Anuken-Mindustry-7506</t>
  </si>
  <si>
    <t>mindustry Stand in the game when breaking a few or more blocks at the same time I feel very uncomfortable because this error makes me have to exit the game and re-enter the game many times, hope you fix it quickly!</t>
  </si>
  <si>
    <t>Anuken-Mindustry-7505</t>
  </si>
  <si>
    <t>mindustry is stuck in the game when breaking a few or more blocks at the same time I feel very uncomfortable because this error makes me have to exit the game and re-enter the game many times, hope you fix it quickly!</t>
  </si>
  <si>
    <t>Igalia-wolvic-253</t>
  </si>
  <si>
    <t>Triggering a file input crashes Wolvic</t>
  </si>
  <si>
    <t>&lt;!--- State the version number and build ID affected. --&gt;
&lt;!--- The build ID is obtained by clicking on the build date in settings. --&gt;
Wolvic version: 46
Wolvic build ID: 2974e751 (ac63.0.0)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Visit https: en-US docs Web HTML Element input file
2. Click the Choose File button on the right in the demo
## Current Behavior
&lt;!--- If describing bug, tell us what happens instead of the expected behavior. --&gt;
&lt;!--- If suggesting change improvement, explain the difference from current behavior. --&gt;
Complete browser crash back to lobby
## Expected Behavior
&lt;!--- If you re describing bug, tell us what should happen. --&gt;
&lt;!--- If you re suggesting change improvement, tell us how it should work. --&gt;
The Quest browser prompts for permission to access files, and then shows screenshots ve taken.
## Possible Solution</t>
  </si>
  <si>
    <t>2022-09-02</t>
  </si>
  <si>
    <t>nextcloud-android-10707</t>
  </si>
  <si>
    <t>Nextcloud client crashes while active in background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</si>
  <si>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Leave Nextcloud client alone and wait while...
2. Wait while working on other things
### Expected behaviour
Nextcloud Client will sit in background and maybe upload images if new ones are available etc.
### Actual behaviour
Every one or two minutes (if no other app is in foreground, but sometimes even then), an error message pops up saying Nextcloud crashed
### Android version
### Device brand and model
Umidigi Z2 Pro
### Stock or custom OS?
### Nextcloud android app version
30210190 or 3.21.1
### Nextcloud server version
### Using reverse proxy?</t>
  </si>
  <si>
    <t>nextcloud-android-10704</t>
  </si>
  <si>
    <t>nextcloud crashing with stacktrace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</si>
  <si>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Explore files for while
### Expected behaviour
### Actual behaviour
### Android version
### Device brand and model
### Stock or custom OS?
### Nextcloud android app version
### Nextcloud server version
### Using reverse proxy?
### Android logs
### Cause of error
### App information
Build flavor: generic
### Device information</t>
  </si>
  <si>
    <t>nextcloud-android-10700</t>
  </si>
  <si>
    <t>App crashes when deleting an image while viewing it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</si>
  <si>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view an image in the app
2. Tap the three vertical dot menu in the top right
3. Select delete
### Expected behaviour
File is deleted.
### Actual behaviour
### Android version
### Device brand and model
### Stock or custom OS?
### Nextcloud android app version
### Nextcloud server version
### Using reverse proxy?
### Android logs
### Cause of error</t>
  </si>
  <si>
    <t>2022-09-01</t>
  </si>
  <si>
    <t>nextcloud-android-10699</t>
  </si>
  <si>
    <t>I deleted a photo in my Nextcloud. Nextcloud app crashed. 100% replicable.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</si>
  <si>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Go into my Nextcloud dashboard.
2. Select photo file to delete on Android app.
3. Preview the photo.
4. Select ... then Delete.
5. Confirm the deletion with Delete
6. Report prompt pop-up immediately.
### Expected behaviour
Deleting photo in NextCloud does NOT crash the app.
### Actual behaviour
Deleting photo in NextCloud **Crashed** the app immediately.
### Android version
### Device brand and model
### Stock or custom OS?
### Nextcloud android app version</t>
  </si>
  <si>
    <t>nextcloud-android-10695</t>
  </si>
  <si>
    <t>Crashing in background 1 h after uploading some data from mobile</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</si>
  <si>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Uploaded some data
Wait for about
Got crash screen
### Expected behaviour
### Actual behaviour
### Android version
### Device brand and model
Google Pixel XL
### Stock or custom OS?
### Nextcloud android app version
### Nextcloud server version
### Using reverse proxy?
### Android logs
### Cause of error</t>
  </si>
  <si>
    <t>LawnchairLauncher-lawnchair-2899</t>
  </si>
  <si>
    <t>[BUG] Error inflating class com.android.quickstep.views.TaskView</t>
  </si>
  <si>
    <t>### Describe the bug
suspect cannot be resolve
### Steps to reproduce
Steps to reproduce the behavior:
1. Go to ...
2. Click on ....
3. Scroll down to ....
4. See error
### Expected behavior
Should not be crash in window corner radius
Uploading Screenshot 2022-09-01 at 3.10.31 PM.png ()
### Device information
OS: Android 12
App version: 12.1.0 Alpha
### Additional context
... 12 more</t>
  </si>
  <si>
    <t>PojavLauncherTeam-PojavLauncher-3526</t>
  </si>
  <si>
    <t>[BUG] &lt;Game crashes when joining server with OptiFine 1.19.2&gt;</t>
  </si>
  <si>
    <t>### Describe the bug
After installing OptiFine went into the video settings and made the changes wanted to then went back to the title screen clicked on multiplayer, hovered The marse cursor over the server and clicked on the play button and then after like seconds the game crashes
### The log file and images videos
### Steps To Reproduce
1. Install OptiFine for 1.19.2
2. Change video settings
3. Go back to the title screen
4. Click on multiplaye
5. Hover mouse cursor over server and click on the play button
### Expected Behavior
expect to be able to join the server.
Device model: Samsung Galaxy Note 10+
CPU architecture: aarch64
Android version: 12
PojavLauncher version: Latest Release openjdk
### Anything else?</t>
  </si>
  <si>
    <t>gsantner-markor-1833</t>
  </si>
  <si>
    <t>onViewStateRestored: 2.10.3+ nightly build crashes on startup</t>
  </si>
  <si>
    <t>### This issue respects the following points:
This is **bug**. Not question (https: github.com gsantner markor issues 95) or feature request (https: github.com gsantner markor issues new choose).
The topic is **not** already reported at Issues (https: github.com gsantner markor issues?q #js-issues-search). (I ve searched it)
Is the bug still present in the latest code version (git master)? Please download (https: nightly.link gsantner markor workflows master) and try the test version of Markor, named **Mordor**. No worries Markor and Mordor appear as completely separate applications, you can install both side-by-side and Markor settings are not touched. In case the issue is resolved there, you don need to create bug report the change will be part of the next Markor update.
After the first-launch tour and the prompt for storage access permissions, and upon every launch thereafter, the Mordor nightly build crashes.
### Steps to reproduce
1. Download the latest nightly APK from the link in this issue template
2. Extract the .zip, and install the APK to the phone with adb install
3. Launch the Mordor app
4. The first-launch tour appears tap the next button repeatedly to get to the end
5. dialog appears, saying Need permission for storage to save documents
6. Within second or so, whether or not you try to tap OK or Cancel on the dialog, the app closes
7. Try to launch the app again, it vanishes again, and after enough attempts you get the Android Mordor keeps stopping App info Close app dialog
Android version: 10
App Version: 2.10.3-2156
Something else (-&gt; Additional info)
### Format File type
### Additional info Log
adb logcat -b crash</t>
  </si>
  <si>
    <t>mkulesh-microMathematics-121</t>
  </si>
  <si>
    <t>Android 11/12: app crashes when tooltip is activated or back button is pressed</t>
  </si>
  <si>
    <t>2022-08-31</t>
  </si>
  <si>
    <t>nextcloud-android-10692</t>
  </si>
  <si>
    <t>3.21.1 crashes on background uploads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</si>
  <si>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Having the phone on....
### Expected behaviour
It should not throw traceback errors.
### Actual behaviour
### Cause of error
### App information
Build flavor: gplay
### Device information
### Android version
12 and 13 both
### Device brand and model
Google pixel 5,. Pixel
### Stock or custom OS?
### Nextcloud android app version</t>
  </si>
  <si>
    <t>gsantner-markor-1831</t>
  </si>
  <si>
    <t>Unreadable text &amp; background color combination since v2.10.3</t>
  </si>
  <si>
    <t>### This issue respects the following points:
This is **bug**. Not question (https: github.com gsantner markor issues 95) or feature request (https: github.com gsantner markor issues new choose).
The topic is **not** already reported at Issues (https: github.com gsantner markor issues?q #js-issues-search). (I ve searched it)
Is the bug still present in the latest code version (git master)? Please download (https: nightly.link gsantner markor workflows master) and try the test version of Markor, named **Mordor**. No worries Markor and Mordor appear as completely separate applications, you can install both side-by-side and Markor settings are not touched. In case the issue is resolved there, you don need to create bug report the change will be part of the next Markor update.
Since last updates (at least 2.10.3, maybe before?), the text in todo editor is grey on dark grey background, which is barely readable. The text is correctly readable in quicknote or other files, for which the color did not change. For some reason, the text color only changed for todo and is bad.
couldn check in mordor if the bug is present, mordor crashes shortly after starting.
### Steps to reproduce
1. use dark mode
2. open todo.txt file
App Version: 2.10.3
### Format File type
### Additional info Log</t>
  </si>
  <si>
    <t>RoboTutorLLC-RoboTutor_2020-103</t>
  </si>
  <si>
    <t>Bug report:  CRASH if launch without assets.</t>
  </si>
  <si>
    <t>**Describe the bug**
clear and concise description of what the bug is.
Crash during first launch.
Steps to reproduce the behavior:
1. Run 6-27 .apk
2. Install RoboTutor (after uninstalling previous RoboTutor if any) with no assets.
3. Launch RoboTutor.
4. While loading glyphs.zip, it crashes.
clear and concise description of what you expected to happen.
clear and concise description of how the code performed w.r.t expectations.
If applicable, add screenshots to help explain your problem.
Crashing without assets isn big deal in and of itself, but interferes with replicating the HANG bug.</t>
  </si>
  <si>
    <t>Anuken-Mindustry-7485</t>
  </si>
  <si>
    <t>(SOFTLOCK) Alpha 138</t>
  </si>
  <si>
    <t>Softlocking on the campaign new planet, you can only make one cliff driller, but the game doesn think in the possibility of the cliff driller being destroyed by the player, and the game doesn allow you to make new driller, having one is the map or not. EDIT:Closing the game and entering back cures the state of the game, allowing to put cliff drillers if you don have any
On the first sector of the new planet, continue with the tasks the game gives to you, after making cliff driller, delete the block.
*No mods were used*
Please don look at me scematics and maps (beside the campain map)
If you remove the line above without reading it properly and understanding what it means, will reap your soul. Even if you re playing on someone server, you can still save the game to slot.
*Not reporting crash or bug*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</si>
  <si>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Anuken-Mindustry-7484</t>
  </si>
  <si>
    <t>Pathfinding issues</t>
  </si>
  <si>
    <t>Steam build 138.1
Units don even try to go to the point they re commanded to go to if there not clear direct path to get there or getting there would require breaking an enemy building.
and as for the first one (https: 85383565
As sidenote, they ll also not even try if the pathfinding is too complicated.
there is path (https: 85383565
so stop complaining (https: 85383565
**Steps to reproduce**: *How you happened across the issue, and what exactly you did to make the bug happen.*
This .zip file isn game data save, it just contains .msav file of map that can consistently recreate the complicated pathfinding not working bug on. Import the map, open custom game on the map in any compatible gamemode as the Sharded, and command the Maces, Crawler, or any Serpulo ground unit of your choice that can fly or step over walls, to attack the Blue core on the other side of the map. The reason ve uploaded this in .zip file is because Github doesn accept direct .msav file uploads.
For the other one, look in the **Save file** section, open it up, go to The Onset on Erekir, and look at the Malis Stells that ve just straight up not even tried to go towards my core like they re supposed to due to me having blocked them off using walls before they spawned.
**Link(s) to mod(s) used**: *The mod repositories or zip files that are related to the issue, if applicable.*
The only mod used was this mod here (https: github.com xzxADIxzx Scheme-Size), but this bug has been happening since before installed that mod so doubt that it affecting anything. had bunch of other mods downloaded, but they weren enabled. Turning Darkness off in the Render Settings menu of that mod allows you to see the bug more clearly with the tanks not... well, moving. At all.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This is the save file use Import Data to open this one, and go to The Onset on Erekir. They aren visible through the black part, but if you turn Darkness off, you can see that the three tanks are just... sat there.
**(Crash) logs**: *Either crash reports from the crash folder, or the file you get when you go into Settings -&gt; Game Data -&gt; Export Crash logs. REQUIRED if you are reporting crash.*
Also, regarding the bottom checkbox of the checklist thingo at the bottom, did see someone reporting similar issue (https: github.com Anuken Mindustry issues 5260), but it isn quite the same one and is also from an older version.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</si>
  <si>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2022-08-30</t>
  </si>
  <si>
    <t>jellyfin-jellyfin-androidtv-2020</t>
  </si>
  <si>
    <t>Fix crash when opening favorites and video queue</t>
  </si>
  <si>
    <t>The code abuses item id to open custom screens. It horrible.
Fix crash when opening favorites and video queue
&lt;!-- Tag any issues that this PR solves here.
ex. Fixes --&gt;</t>
  </si>
  <si>
    <t>mit-cml-appinventor-sources-2722</t>
  </si>
  <si>
    <t>Fix crash when File.MoveFile target exists</t>
  </si>
  <si>
    <t>xSynergyx-internal-ticketing-62</t>
  </si>
  <si>
    <t>When the counter displays error, clicking on the increment buttons causes the app to crash</t>
  </si>
  <si>
    <t>mI-PIV-app-389</t>
  </si>
  <si>
    <t>Calibration Pixel crash</t>
  </si>
  <si>
    <t>Test the calibration process with Pixel emulator</t>
  </si>
  <si>
    <t>mit-cml-appinventor-sources-2721</t>
  </si>
  <si>
    <t>MoveFile crashes when destination exists</t>
  </si>
  <si>
    <t>**Describe the bug**
Describe the bug in sufficient detail so that we can understand the issue. You should also describe the steps to reproduce the issue (below) so that we ideally can confirm it.
From the forum (https: 64659?u ewpatton): Moving file when the destination already exists causes the app to crash.
Please check off the part of the system that is affected by the bug.
Other... (please describe)
Please describe what you expected to happen before you encountered the bug.
The app should not crash when moving file. The method should return false instead to indicate that the process did not complete.
**Steps to reproduce**
Please describe the steps needed to reproduce the bug. If possible, please include minimal example project that demonstrates the issue.
An example is provided in the forum post.</t>
  </si>
  <si>
    <t>XBigTK13X-snowgloo-63</t>
  </si>
  <si>
    <t>Queuing up certain artists can cause a null crash</t>
  </si>
  <si>
    <t>Happens when adding the Daniel Tiger albums from the Kids category.
int on null object reference Attempt to invoke virtual method int on null object reference</t>
  </si>
  <si>
    <t>Anuken-Mindustry-7477</t>
  </si>
  <si>
    <t>sand boulders spawning accross map</t>
  </si>
  <si>
    <t>build version 138
Sand boulders spawn accross the map, even on water, on overgrowth and windswept islands
**Steps to reproduce**: *How you happened across the issue, and what exactly you did to make the bug happen.*
was just playing some campaign (with electric turrets only) but when launched into windswept and overgrowth there were tons of sand boulders spawned accross the map
**Link(s) to mod(s) used**: *The mod repositories or zip files that are related to the issue, if applicable.*
none are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</si>
  <si>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2022-08-29</t>
  </si>
  <si>
    <t>AndroidIDEOfficial-AndroidIDE-418</t>
  </si>
  <si>
    <t>[Bug]: Editor unexpectedly closes when closing angle brackets (&lt;&gt;)</t>
  </si>
  <si>
    <t>### What happened?
was working on project, editing the strings.xml files in the latest build version in AndroidIDE, but when about to close the angle brackets (&gt;), unexpectedly get the error below:
Screenshot com itsaky androidide (https: 89700288
### What the expected behavior?
When closing angle brackets in strings.xml the editor does not close
### What version of AndroidIDE you re using?
v2.1.2 (debug builds)
### Relevant log output
AndroidIDE crash report
### Duplicate issues
This issue has not been reported yet.
### Code of Conduct
agree to follow this project Code of Conduct</t>
  </si>
  <si>
    <t>nextcloud-android-10690</t>
  </si>
  <si>
    <t>Crash after deleting a photo</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</si>
  <si>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Sort photos newest first
Delete first photo
### Expected behaviour
Photo is deleted and application will not crash
### Actual behaviour
Photo will be deleted but app is also crashing
### Android version
### Device brand and model
### Stock or custom OS?
### Nextcloud android app version
### Nextcloud server version
Nextcloud AIO installed days ago using latest image
### Using reverse proxy?
### Android logs</t>
  </si>
  <si>
    <t>Sesu8642-FeudalTactics-13</t>
  </si>
  <si>
    <t>Game Crashes with exception</t>
  </si>
  <si>
    <t>after ending my turn the game crashed with the following call stack (including bit of context leading up to the crash):
85436 savings: 12, Content: null with stored unit KNIGHT
conquering tile Position: (-18.0,13.0) Color: 00ff00ff, Kingdom: 70685436 savings: 12, Content: null with stored unit BARON
acquiring new unit
conquering tile Position: (-19.0,14.0) Color: ffaaaaff, Kingdom: 4b0a9690 savings: 0, Content: with stored unit SPEARMAN
acquiring new unit
selling previously bought castles again
picking up all available units
defending most important tiles
protecting the kingdom with leftover units
Exception in thread main
--&gt; 87% EXECUTING 1h 42m 16s
Autosafe worked, so no progress was lost.
am running with gradlew desktop:run on commit in linux. don have android SDK installed but don think this should be related. usually the game just fails to start first try and complains about the missing SDK and the second try works flawlessly.</t>
  </si>
  <si>
    <t>LawnchairLauncher-lawnchair-2895</t>
  </si>
  <si>
    <t>### Describe the bug
When put third-party widget its crashes not kwgt widgets, it happens only in the third-party apps widgets
### Steps to reproduce
Steps to reproduce the behavior:
1. Go to ...
2. Click on ....
3. Scroll down to ....
4. See error
### Expected behavior
When put third-party widget its crashes not kwgt widgets, it happens only in the third-party apps widgets
It don have screen shot
### Device information
Device: e.g. Google Pixel
OS: e.g. stock ROM Android version 12.0
App version: e.g. 12.1.0 Alpha
Device redmi note
OS miui 12.5
App version latest bulid 12.1.0 alpha
### Additional context</t>
  </si>
  <si>
    <t>devgianlu-Timeless-108</t>
  </si>
  <si>
    <t xml:space="preserve">Application is crashing since Android 13 update </t>
  </si>
  <si>
    <t>have been using it since 2019. Thanks lot for making this excellent application.
After the last update 2.4.6 (19th July 2022) the application was crashing lot and after updated my device to Android 13, the application doesn launch even and directly crashes.
have tried reinstalling it. Please let me know if can help with debugging this.</t>
  </si>
  <si>
    <t>nextcloud-android-10689</t>
  </si>
  <si>
    <t>App crashes after deleting picture in full screen view</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</si>
  <si>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folder with many pictures
2. select picture to open full screen view
3. Delete image
### Expected behaviour
App does not crash
### Actual behaviour
App crashes after deleting picture
### Android version
### Device brand and model
Poco X3 NFC
### Stock or custom OS?
Custom (explain in additional information
### Nextcloud android app version
### Nextcloud server version</t>
  </si>
  <si>
    <t>react-native-share-react-native-share-1272</t>
  </si>
  <si>
    <t xml:space="preserve">APP is crashing when ever i click the share button </t>
  </si>
  <si>
    <t>### Steps to reproduce
### Expected behaviour
Tell us what should happen
### Actual behaviour
Tell us what happens instead
### Link to repo (highly encouraged)</t>
  </si>
  <si>
    <t>Anuken-Mindustry-7472</t>
  </si>
  <si>
    <t xml:space="preserve">Unable to build in mindustry </t>
  </si>
  <si>
    <t>LawnchairLauncher-lawnchair-2894</t>
  </si>
  <si>
    <t>[BUG] Lawnchair just crash</t>
  </si>
  <si>
    <t>### Describe the bug
Lawnchair just crash without notice
### Steps to reproduce
Steps to reproduce the behavior:
Cant tell because discovered it when lawnchair nofi me when just get out of the bed (seriously)
### Expected behavior
It crash so see the crash log below
### Device information
Device: Samsung A50s
OS: stock ROM Android version 11
App version: 12.1.0 Alpha
### Additional context</t>
  </si>
  <si>
    <t>Anuken-Mindustry-7468</t>
  </si>
  <si>
    <t>Mindustry refuses to provide a crash log.... ever</t>
  </si>
  <si>
    <t>**Steps to reproduce**: Be on linux, do something to make the game crash (Mod error, bad settings)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Save file is irrelevant tested crashes occur *without save.*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The entire issue here is that can get crash log in any way.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(similar to Mindustry crashes in SQL QUIT() with Korean IME except haven changed the IME??? Also don get java crash log either)</t>
  </si>
  <si>
    <t>2022-08-28</t>
  </si>
  <si>
    <t>Anuken-Mindustry-7465</t>
  </si>
  <si>
    <t>Playtest In Editor</t>
  </si>
  <si>
    <t>Screenshot 20220828-190259 Mindustry BE (https: 77824588
When you press playtest in the editor, the map runs but the map setup screen does not disappear.
**Steps to reproduce**: *How you happened across the issue, and what exactly you did to make the bug happen.*
It always repeated when do playtest.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</si>
  <si>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PojavLauncherTeam-PojavLauncher-3522</t>
  </si>
  <si>
    <t>My game crash when i pick fabric - forge - optifine</t>
  </si>
  <si>
    <t>### Describe the bug
Nothing pop up
### The log file and images videos
Uploading XRecorder 28082022 170348.mp4
### Steps To Reproduce
### Expected Behavior
know when click it, it will not gonna do that
Device model: Galaxy A12 Samsung
CPU architecture: Aarch64
Android version: 12
### Anything else?</t>
  </si>
  <si>
    <t>LSPosed-LSPosed-2094</t>
  </si>
  <si>
    <t>Unusual Bug</t>
  </si>
  <si>
    <t>### Steps to reproduce
Okey, installed this module on an Arrow OS system running Android 13 and device name in Beryllium Poco F1 all good with the installation process.
### Expected behaviour
expect to open the info for those module
### Actual behaviour
It just crashes every time clicking to see info or install
### Xposed Module List Xposed
### Magisk Module List Magisk
Revolutionary Android Optimizer
This module was created by Emoji Replacer!
Blah blah blah...
### LSPosed version LSPosed
### Android version Android
### Magisk version Magisk
### Riru version Riru
### Version requirement
am using latest debug CI version of LSPosed and enable verbose log CI
Idk how to do it there zip file</t>
  </si>
  <si>
    <t>TeamNewPipe-NewPipe-8887</t>
  </si>
  <si>
    <t>Crashed when tapping-and-holding "PIP" button with video currently playing</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</si>
  <si>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read the FAQ (https: newpipe.net FAQ and my problem isn listed.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NewPipe.
2. Make playlist and put video on it.
3. Open any video, and play it.
4. Go to previously made playlist.
5. Hold Popup and toast Added appears.
6. Now go back to the video player UI, and rotate your phone (or just click the fullscreen button in bottom-right corner if device rotation is disabled).
### Expected behavior
Not crashing after rotating the phone.
### Actual behavior
Crashed after rotating the phone.
### Screenshots Screen recordings
User Action: ui error</t>
  </si>
  <si>
    <t>2022-08-27</t>
  </si>
  <si>
    <t>MuntashirAkon-AppManager-852</t>
  </si>
  <si>
    <t>Your issue will be closed without warning if you don check at least two items.
know what my device, OS and App Manager versions are
know how to take logs
know how to reproduce the issue which may not be specific to my device
**Describe the bug**
App manager crash upon starting or initializing
Steps to reproduce the behaviour:
1. make sure app not running yet
2. launch the app manager
3. app crash
App shouldn crash
If applicable, add screenshots to help explain your problem.
App version: 3.0.0
App version code: 410
Android build version: 1608537052
Android release version: 10
Android SDK version: 29
Android build ID: RMX2030EX 11 C.67
Device brand: realme
Device manufacturer: realme</t>
  </si>
  <si>
    <t>Aliucord-Aliucord-262</t>
  </si>
  <si>
    <t>Aliucord crashes when I try to verify captcha.</t>
  </si>
  <si>
    <t>### Discord Account
### What happens when the bug or crash occurs?
The crash always happens when try to login then verify by hcaptcha. Instead it just says check setting for crash logs, but can access setting since can login.
### What is the expected behaviour?
expected aliucord to open the captcha page and verify and get me into discord. But instead of that it just says unrecoverable crash occured, check crash logs in settings
### How do you recreate this bug or crash?
1.Try to login
2.Click verify button on hcaptcha
... 40 more
Caused by: pv: errorCode
... 42 more
Caused by: dlopen failed: library not found
... 47 more
### Request Agreement
did indeed check to make sure the bug or crash report is applicable!</t>
  </si>
  <si>
    <t>oliexdev-openScale-877</t>
  </si>
  <si>
    <t>Crash when trying to connect to scale</t>
  </si>
  <si>
    <t>**Describe the bug**
The crash happens during the initial setup when trying to connect to scale
Steps to reproduce the behavior:
1. Install on new device (or remove the app data).
2. Setup users.
3. Connect to scale Crash!
The app should request required permissions and show the list of found scales.
Realme 8i (Android 11)
Bluetooth is enabled
Build version: 2.4.6
OS version: Android 11 (SDK 30)
Caused by: app does not have ACCESS FINE LOCATION permission, cannot start scan
... 11 more</t>
  </si>
  <si>
    <t>2022-08-26</t>
  </si>
  <si>
    <t>SegFault03-Maatran-44</t>
  </si>
  <si>
    <t>App crashes when attempting to sign in without mail id or password</t>
  </si>
  <si>
    <t>RoboTutorLLC-RoboTutor_2020-100</t>
  </si>
  <si>
    <t>Bug report:   RoboTutor-screenrecording-rohit-2022-06-27-v3.5.0.1.apk HANG while loading assets</t>
  </si>
  <si>
    <t>**Describe the bug**
clear and concise description of what the bug is.
Was it not needed in the past?
Steps to reproduce the behavior:
1. Install and launch (https: github.com RoboTutorLLC RoboTutor 2020 commit
clear and concise description of what you expected to happen.
Install assets and start RoboTutor itself.
clear and concise description of how the code performed w.r.t expectations.
Asset loading got stuck with request to load glyphs.zip.
Subsequent attempts to launch just hung.
But Assets are still downloading, so maybe launch was premature.
If applicable, add screenshots to help explain your problem.
DriveSync had not finished downloading RoboTutor, so the installation was incomplete.
What to do?
a. List and log contents of local Download folder to see if it was completely downloaded and up to date.
b. Upload DriveSync log to see if it completed.
c. Check at launch time if all assets are present and up to date. If not, display error message and crash or wait.
d. Compute checksum of robotutor assets to compare to expected value.</t>
  </si>
  <si>
    <t>nextcloud-android-10680</t>
  </si>
  <si>
    <t>Crash after clearing cache and storage with active nextcloud file conflict notifications</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</si>
  <si>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Modify exif data of any photo which has already been uploaded to nextcloud.
2. Upload only on wifi charging option probably has to be set.
3. Reconnect to wifi or charger to trigger auto sync
4. Leave android notifications about conflicting files active in notification drawer.
5. Erase app data and cache.
6. Reopen app from app drawer.
### Expected behaviour
App should not crash.
### Actual behaviour
App crashed and asked me if like to submit bug report.
### Android version
### Device brand and model
Samsung galaxy fold
### Stock or custom OS?</t>
  </si>
  <si>
    <t>2022-08-25</t>
  </si>
  <si>
    <t>SkyTubeTeam-SkyTube-1116</t>
  </si>
  <si>
    <t>New version 2.983 seems to be broken now in android 4.4.4</t>
  </si>
  <si>
    <t>No feed loading, no search results, no video playback loading comments crashes app. Is android KitKat support dropped?</t>
  </si>
  <si>
    <t>Anuken-Mindustry-7444</t>
  </si>
  <si>
    <t>Game crashes after 2 minutes in main menu</t>
  </si>
  <si>
    <t>**Steps to reproduce**: don know how it happen tried deleted all data, reinstalling the game but its seem to be my windows, then completely reinstall it, still error
**Link(s) to mod(s) used**: nope
**Save file**: not in game
If you remove the line above without reading it properly and understanding what it means, will reap your soul. Even if you re playing on someone server, you can still save the game to slot.
**(Crash) logs**: There different errors at the same time for some reason
Github said something went wrong so ll upload in the comment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</si>
  <si>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nextcloud-android-10676</t>
  </si>
  <si>
    <t xml:space="preserve">App crash during media display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</si>
  <si>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 Cause of error
Exception in thread main Couldn read row 729, col from CursorWindow. Make sure the Cursor is initialized correctly before accessing data from it.
### App information
Build flavor: gplay
### Device information
Product: OnePlus8Pro EEA
### Expected behaviour
### Actual behaviour
Above message appears
### Android version
### Device brand and model
### Stock or custom OS?
### Nextcloud android app version
### Nextcloud server version</t>
  </si>
  <si>
    <t>Mini-Ware-Quoting-Words-1</t>
  </si>
  <si>
    <t>Optimise image loading</t>
  </si>
  <si>
    <t>App crashes on phones with lower memory</t>
  </si>
  <si>
    <t>TrianguloY-UrlChecker-72</t>
  </si>
  <si>
    <t>UrlChecker crashes when opening app</t>
  </si>
  <si>
    <t>**Describe the bug**
UrlChecker crashes when opening link to firefox focus two consecutive times
Steps to reproduce the behavior:
1. Click on any link, the one from the main dialog of UrlChecker works
2. Open it in firefox focus
3. Close firefox focus and go back to the previous app
4. Click on any link
5. Open it in firefox focus
6. UrlChecker crashes
Firefox focus opens correctly
Url Checker version: commit (https: github.com TrianguloY UrlChecker commit (previous one work as expected)
Browser: Firefox focus
The app crashes because of this method (https: github.com TrianguloY UrlChecker commit Being more specific, in this line (https: github.com TrianguloY UrlChecker commit
have been able to reproduce this opening Youtube links too.</t>
  </si>
  <si>
    <t>2022-08-24</t>
  </si>
  <si>
    <t>LawnchairLauncher-lawnchair-2872</t>
  </si>
  <si>
    <t>[BUG] com.android.launcher3.hybridhotseat.HotseatPredictionController.hasPredictions()' on a null object reference</t>
  </si>
  <si>
    <t>### Describe the bug
Seem like Animation no working in quickstep?
### Steps to reproduce
See Additional context
### Expected behavior
Should not be crash.
### Device information
OS: Android version 11.0, Android version 12.0
App version: 12.1.0 Alpha
### Additional context</t>
  </si>
  <si>
    <t>facebook-react-native-34483</t>
  </si>
  <si>
    <t>fix: Crash if WebView is disabled</t>
  </si>
  <si>
    <t>&lt;!-- Thanks for submitting pull request! We appreciate you spending the time to work on these changes. Please provide enough information so that others can review your pull request. The three fields below are mandatory. --&gt;
&lt;!-- Explain the **motivation** for making this change. What existing problem does the pull request solve? --&gt;
When the webview is updated by play store, all apps that has loaded webview gets killed. For background see https: issues 228611949?pli
We have long-running app and don want this to happen and while we are not using webview anywhere, we are using websockets that loads it for reading cookies, however we are not using cookies to authenticate the websocket and thus want to disable the webview to avoid loading it unnecessarily and then getting killed unnecessarily.
&lt;!-- Help reviewers and the release process by writing your own changelog entry. For an example, see:
Android Fixed Avoid crash in if webview is disabled
## Test Plan
&lt;!-- Demonstrate the code is solid. Example: The exact commands you ran and their output, screenshots videos if the pull request changes the user interface. --&gt;
Add as the first line in</t>
  </si>
  <si>
    <t>2022-08-23</t>
  </si>
  <si>
    <t>nextcloud-android-10668</t>
  </si>
  <si>
    <t>Crash when creating a new document</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</si>
  <si>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Opened nextcloud after writing md note
### Expected behaviour
Didn expect crash
### Actual behaviour
### Android version
### Device brand and model
### Stock or custom OS?
### Nextcloud android app version
### Nextcloud server version
### Using reverse proxy?
### Android logs
### Cause of error
### App information
Build flavor: gplay</t>
  </si>
  <si>
    <t>gsantner-markor-1815</t>
  </si>
  <si>
    <t>Action Order crash, v2.10.3</t>
  </si>
  <si>
    <t>### This issue respects the following points:
This is **bug**. Not question (https: github.com gsantner markor issues 95) or feature request (https: github.com gsantner markor issues new choose).
The topic is **not** already reported at Issues (https: github.com gsantner markor issues?q #js-issues-search). (I ve searched it)
Is the bug still present in the latest code version (git master)? Please download (https: nightly.link gsantner markor workflows master) and try the test version of Markor, named **Mordor**. No worries Markor and Mordor appear as completely separate applications, you can install both side-by-side and Markor settings are not touched. In case the issue is resolved there, you don need to create bug report the change will be part of the next Markor update.
In Settings, by tapping Action order in all subsets Markdown, todo.txt Zim Wiki, Plain Text The app will crash.
### Steps to reproduce
2. Format--&gt; Markdown
3. Tap Action order
Android version: 7.1.2 arm64
App Version: 2.10.3
### Format File type
### Additional info Log</t>
  </si>
  <si>
    <t>jMonkeyEngine-sdk-369</t>
  </si>
  <si>
    <t>Code editor broken in SDK 3.4</t>
  </si>
  <si>
    <t>Code editor broken in SDK 3.4. Damn, how could have missed this. When one starts typing, it just crashes.
... 55 more
... 57 more
Earlier in boot logs:</t>
  </si>
  <si>
    <t>nextcloud-android-10664</t>
  </si>
  <si>
    <t>Nextcloud for Android Crash with Error: Host parameter is null</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</si>
  <si>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Set up nextcloud instance
2. Proxy it behind reverse proxy (specifically boringproxy in my case)
3. Connect using the android app
### Expected behaviour
App loads and allows access to files
### Actual behaviour
App crashes with error:
### Cause of error
Exception in thread Thread-3 host parameter is null
### App information
Build flavor: gplay
### Device information
Product: ginna retail
### Android version</t>
  </si>
  <si>
    <t>2022-08-22</t>
  </si>
  <si>
    <t>gsantner-markor-1814</t>
  </si>
  <si>
    <t>Sharing from a web page doesn't work anymore</t>
  </si>
  <si>
    <t>### This issue respects the following points:
This is **bug**. Not question or feature request.
The issue is **not** already reported at Issues (https: github.com gsantner markor issues?q or discussions (https: github.com gsantner markor ). (I ve searched it)
The very useful option to share web link to markor (in markdown file with markdown syntax) isn working anymore. When share web page link Markor crashes immediately. am runing Android 12 latest stable GrapheneOS.
### Steps to reproduce
1. Share web link to Markor
Android version: 12 GrapheneOS
### Format File type
### Additional info Log</t>
  </si>
  <si>
    <t>Anuken-Mindustry-7419</t>
  </si>
  <si>
    <t>shield texture</t>
  </si>
  <si>
    <t>**Steps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build is be 23050
video shows the issue
only mod im using is testing utilies
save is this</t>
  </si>
  <si>
    <t>Anuken-Mindustry-7412</t>
  </si>
  <si>
    <t>Game crashes in main menu with noSuchFieldError</t>
  </si>
  <si>
    <t>**Steps to reproduce**: don know how it happen it just work fine then days ago this happen
**Link(s) to mod(s) used**: *The mod repositories or zip files that are related to the issue, if applicable.*
**Save file**: Not in save or multiplayer
If you remove the line above without reading it properly and understanding what it means, will reap your soul. Even if you re playing on someone server, you can still save the game to slot.
**(Crash) logs**: image (https: 42496449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</si>
  <si>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SecUSo-privacy-friendly-weather-198</t>
  </si>
  <si>
    <t>Add missing flag to PendingIntent</t>
  </si>
  <si>
    <t>This should fix most crashes related to widgets in v3.1.0.</t>
  </si>
  <si>
    <t>gsantner-markor-1813</t>
  </si>
  <si>
    <t>[jolla] Markor v2.10.2 crashes on Android 4.4 (MultiDex)</t>
  </si>
  <si>
    <t>### This issue respects the following points:
This is **bug**. Not question or feature request.
The issue is **not** already reported at Issues (https: github.com gsantner markor issues?q or discussions (https: github.com gsantner markor ). (I ve searched it)
It crashes on startup
### Steps to reproduce
1. Update the app in F-Droid
2. Launch it
Android version: 4.4 (AlienDalvik)
OS version: SailfishOS 4.4
App Version: 2.10.2 (only)
### Format File type
### Additional info Log
Lother writeily model WrMarkorSingleton .getInstance ()Lother
riteily model WrMarkorSingleton
referenced from method ne
er writeily ui in Lnet
gsantner opoc ui
referenced from method net.gsantner.opo
Lother writeily ui WrRenameDialog .newInstance (Ljava io File
net gsantner opoc util Callback$a1 )Lother writeily ui WrRename</t>
  </si>
  <si>
    <t>LawnchairLauncher-lawnchair-2861</t>
  </si>
  <si>
    <t>[BUG] Crash, Surface Duo</t>
  </si>
  <si>
    <t>### Describe the bug
Open app drawer, app crash.
### Steps to reproduce
Open app drawer
### Expected behavior
Open App drawer
### Device information
Device: Surface Duo
OS: Stock A11
App version Latest Alpha as of this ticket
### Additional context
Lawnchair bug report Aug 22, 2022 1:07:55 AM</t>
  </si>
  <si>
    <t>cgeo-cgeo-13343</t>
  </si>
  <si>
    <t>Crash when trying to log a maintenance log (beta version)</t>
  </si>
  <si>
    <t>### Describe your problem!
User with beta version 2022.08.08 on support mail reports, that every time he tries to log need maintenance for GC4JR1B the app crashes. Did not try to reproduce yet.
The log contains the crash pasted below.
### How to reproduce?
Log GC4JR1B with Needs maintenance
### Actual result after these steps?
### Expected result after these steps?
### c:geo Version
### System information
## System information
Device type: moto g(30) (caprip retailen, motorola)
Android version: 12
Android build: S0RCS32.41-10-9-2-4
Screen resolution: 720x1473px (376x764dp)
Pixel density: 1.9125
System font scale: 1.0 used scale: 1.0
Sailfish OS detected: false
Google Play services: enabled 22.26.15 (190400-461192076)
Sensor and location:
Low power mode: inactive</t>
  </si>
  <si>
    <t>2022-08-21</t>
  </si>
  <si>
    <t>mI-PIV-app-372</t>
  </si>
  <si>
    <t>Whole Set Processing Crashes</t>
  </si>
  <si>
    <t>Whole set processing crashes at view results. Processing time is &lt;1 second indicating it isn happening.</t>
  </si>
  <si>
    <t>2022-08-20</t>
  </si>
  <si>
    <t>PojavLauncherTeam-PojavLauncher-3513</t>
  </si>
  <si>
    <t>Cannot play fabric 1.18 with litematica mod</t>
  </si>
  <si>
    <t>### Describe the bug
Application Game exited with code
### The log file and images videos
### Steps To Reproduce
1. Start pojav launcher
2. Load fabric 1.18 with litematica mod
3. Instant crash
### Expected Behavior
expect the game to not crash
Device model: Vivo y91i
CPU architecture: aarch64
Android version: 8.1
PojavLauncher version: latest on playstore
### Anything else?
Please fix it</t>
  </si>
  <si>
    <t>jellyfin-jellyfin-androidtv-2000</t>
  </si>
  <si>
    <t>Fix crash when trying to start a picture slideshow</t>
  </si>
  <si>
    <t>Check for both the media adapter items and the video queue instead of video queue only in MediaManager
Regression from #1951</t>
  </si>
  <si>
    <t>Anuken-Mindustry-7404</t>
  </si>
  <si>
    <t>vSync Issue [Linux]</t>
  </si>
  <si>
    <t>**Steps to reproduce**: Turn off VSYNC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Umm, can t, as can even open settings after turning off VSYNC (a setting reset might help 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</si>
  <si>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PojavLauncherTeam-PojavLauncher-3512</t>
  </si>
  <si>
    <t>[BUG] Minecraft 1.18.2 - Fabric 0.14.9 - "Exit code 1" - "FORTIFY: FD_SET: file descriptor 1246 &gt;= FD_SETSIZE 1024"</t>
  </si>
  <si>
    <t>### Describe the bug
trying to play the modpack All of Fabric (https: www.curseforge.com minecraft modpacks all-of-fabric-5), version 1.5.1, using PojavLauncher.
However, after launching the game and waiting at black screen for about minute, it crashes with exit code
believe the relevant error in the log is FORTIFY: FD SET: file descriptor 1246 FD SETSIZE 1024
### The log file and images videos
(I on mobile, so can attach the log directly)
### Steps To Reproduce
1. Install Fabric 0.14.9 for Minecraft 1.18.2 in new profile
2. Install All of Fabric version 1.5.1 via the CurseForge launcher on desktop computer (or equivalent)
3. Copy the contents of the .minecraft folder from the CurseForge launcher to to the newly created PojavLauncher profile
4. Attempt to launch the game
5. Crash with exit code
### Expected Behavior
expected the game to launch to the loading screen, show the main menu, allow joining world or server, etc.
Device model: Google Pixel Pro
CPU architecture: aarch64
Android version: Android 13 beta
PojavLauncher version: openjdk
### Anything else?</t>
  </si>
  <si>
    <t>2022-08-19</t>
  </si>
  <si>
    <t>GoogleCloudPlatform-fda-mystudies-4840</t>
  </si>
  <si>
    <t>[iOS] Study activities &gt; App crashes clicking on 'Done' in below scenario for branching source questionnaire</t>
  </si>
  <si>
    <t>1. Configure source questionnaire from SB
2. Add some question steps for the above questionnaire
3. Apply branching to those questions
4. Now configure date response type question and enable Use response as anchor date
5. Configure branching in such way that atleast option chosen by participant skips the above date response type.
6. Configure target questioonaire and Publish
7. Open the iOS mobile app
8. Open the source questionnaire
9. Submit options so that date response type is skipped
10. Click on Done and observe app crashes
Issue not observed if date response type is not skipped
Issue not observed if Use response as anchor date is disabled for date response type
Study details to test:
1. Study Name and Study ID: iosupdate1
2. App ID: GCPMOB001
3. Activity name: source with branching
In 1st option select or
In 2nd option select No and click on Done</t>
  </si>
  <si>
    <t>facebook-react-native-34456</t>
  </si>
  <si>
    <t>fix: handle webview provider missing exception</t>
  </si>
  <si>
    <t>&lt;!-- Thanks for submitting pull request! We appreciate you spending the time to work on these changes. Please provide enough information so that others can review your pull request. The three fields below are mandatory. --&gt;
The existing fix (https: github.com facebook react-native blob ReactAndroid src main java com facebook react modules network to handle missing WebView provider uses string comparison based checks to handle the exception gracefully, or otherwise simply throw the exception. This ends up crashing the app for the end user.
&lt;img width 1319 alt Screenshot 2022-08-19 at 33 31 PM src https: 933314
Fatal exceptions are bad in any case and not good user experience, we can gracefully handle this by returning (https: github.com facebook react-native compare null for all cases when WebView provider is not found.
&lt;!-- Help reviewers and the release process by writing your own changelog entry. For an example, see:
Android Fixed Gracefully handle crash if no WebView provider is found on the device
## Test Plan
IMO no testing is required as we were already returning null in certain cases after handling the exception message, also is already marked Nullable so we are safe there.
&lt;!-- Demonstrate the code is solid. Example: The exact commands you ran and their output, screenshots videos if the pull request changes the user interface. --&gt;</t>
  </si>
  <si>
    <t>Anuken-Mindustry-7393</t>
  </si>
  <si>
    <t>Sublimates do not attack Beam Nodes</t>
  </si>
  <si>
    <t>**Steps to reproduce**: Place sublimate. Supply it with ozone or cyanogen. Place beam node within range. The Sublimate will attack for frame and then cease.
**Link(s) to mod(s) used**: None.
**Save file**: Can not convert to ZIP file. Played on the map Project Manhattan on the server io, with the first accessible northwest sublimate being the culprit.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</si>
  <si>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2022-08-18</t>
  </si>
  <si>
    <t>nextcloud-android-10642</t>
  </si>
  <si>
    <t>File delete causes app crash</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</si>
  <si>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Select an image file under folder that is synced with Android photos
Delete the file
File has been deleted
### Expected behaviour
Filed deleted with no crush
### Actual behaviour
Crushes but file is delete
### Android version
### Device brand and model
Xiaomi Poco phone
### Stock or custom OS?
### Nextcloud android app version
### Nextcloud server version
### Using reverse proxy?</t>
  </si>
  <si>
    <t>lukassobotik-Quotes-12</t>
  </si>
  <si>
    <t>When you try to delete the first Quote in a Collection, application crashes</t>
  </si>
  <si>
    <t>mollyim-mollyim-android-120</t>
  </si>
  <si>
    <t>Molly sometimes crashes when selecting a gif</t>
  </si>
  <si>
    <t>### Is there an existing issue for this?
have searched the existing issues
### Bug description
Since the second or third to last update experienced the following few times. Molly has been running database unlocked for while. search for gif. After selecting gif, i.e. when trying to return with the gif into the chat, Molly freezes. After while, that GrapheneOS dialogue The UI is not responding. Wait or Close app? appears. No matter what choose in the end have to manually terminate Molly (the swiping up from the phone bottom and closing an app way). When start Molly again, database is locked.
Note that this just happened again today after updated Molly to the most recent version.
### Steps to reproduce
This cannot be reliably reproduced.
1. Have Molly running database unlocked for while (my database lock timer is set to 2hrs).
2. In chat, search for gif.
3. Select gif.
4. Try to send the gif.
Molly crashes, gets database locked and needs to be restarted and unlocked.
Return to chat to send the gif.
### Molly version
### Android version
Android 12, GrapheneOS
Google Pixel 4a
### Link to debug log</t>
  </si>
  <si>
    <t>2022-08-17</t>
  </si>
  <si>
    <t>Anuken-Mindustry-7382</t>
  </si>
  <si>
    <t>Logic Processors allow units to build blocks even if they are not currently researched in campaign</t>
  </si>
  <si>
    <t>**Steps to reproduce**: reset mindustry campaign save, research the logic processor and switch, place logic processor and switch down, link the switch to the processor and paste the following into the processor.
sensor x2 unit shootX
sensor y2 unit shootY
sensor unit shooting
jump equal false
sensor switch1 enabled
jump equal false
ucontrol build x2 y2
afterwards spawn in nova unit, go into an alpha unit, and shoot at the place you want the block to be placed.
the unit will place block (Tetrative reconstructor with the above logic) at the tile you shot at.
**Link(s) to mod(s) used**: NewConsole was used to speed up testing process.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hopefully uploaded it right
this is whole game save file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Search keywords Logic research, logic campaign</t>
  </si>
  <si>
    <t>mapbox-mapbox-gestures-android-100</t>
  </si>
  <si>
    <t>Crash in onFling gesture with NonNull motionEvent</t>
  </si>
  <si>
    <t>As reported in https: github.com mapbox mapbox-maps-android issues 1019, crash with the following stacktrace may happen
However in our gestures library we add this annotation https: github.com mapbox blob library src main java com mapbox android gestures that leads to this weird crashes in some rare occasions.</t>
  </si>
  <si>
    <t>OpenTracksApp-OpenTracks-1354</t>
  </si>
  <si>
    <t>Crash when stopping non-started recording using Public API</t>
  </si>
  <si>
    <t>**Describe the bug**
If recording is stopped without any recording being active, OpenTracks will crash.
Gadgetbridge will sometimes perform these calls on Huami devices will look into keeping better track of whether recording was started or not in Gadgetbridge, but this was not an issue back when added them some time ago (recent SDK bump on OpenTracks?)
Stopping an ongoing recording works without issues
1. Attempt to stop recording, without any ongoing recording
adb shell am start -n
2. The application will crash with the stack trace below
### App information
Version: 4993 v4.0.6-debug
### Device information
Model: POCO F1</t>
  </si>
  <si>
    <t>patzly-doodle-android-65</t>
  </si>
  <si>
    <t>Tilt effect crashes when enabled</t>
  </si>
  <si>
    <t>Everytime when tilt effect is turned on the app starts to freeze or crashes.
Device: Google Pixel Pro
OS: Pixel Experience Plus
Version Android 12L
can access this phone anymore so sorry for lack of information</t>
  </si>
  <si>
    <t>RoboTutorLLC-RTFace_Login-20</t>
  </si>
  <si>
    <t>BUG:  RTFacelogin.sw.1.8.1.1 crashes</t>
  </si>
  <si>
    <t>Jatin (or whoever)
installed (https: streaklinks.com on Google Pixel tablet and it crashes.( FaceLogin has stopped as soon as tap the screen, whether before or after the initial prompt Hii ni RoboTutor. is still playing. Can you install it on an Android tablet, find the bug, and fix it?
It doesn leave crash log, even though manually created RoboTutor folder with subfolders facelogin crashlogs and facelogin logs, in case that was the issue.
However, in the RTFaceLogin folder, it writes RTSuiteHome 1.7.5.6... and PERF RTSuiteHome 1.7.5.6., which puzzles me because 1.7.5.6 was the previous version number, which makes me think that 1.8.1.1 is still writing the old version number to its log files.
For now, uninstalled 1.8.1.1 and reverted to 1.7.5.6. prefer to deploy 1.8.1.1 on the new tablets if this crash is fixed, because 1.7.5.6 crashed rather frequently, according to facelogin crashes combined (https: docs.google.com spreadsheets FEkiKmUdedzbDduCl2k edit#gid 937595504).</t>
  </si>
  <si>
    <t>nextcloud-android-10630</t>
  </si>
  <si>
    <t xml:space="preserve">Media View crashes constanly (Filelist prob...) </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</si>
  <si>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Open Android app
2. Open Media view
3. App Crashes ON DIFFERENT DEVICES but same NC instance with:
### Cause of error
Exception in thread main Couldn read row 824, col from CursorWindow. Make sure the Cursor is initialized correctly before accessing data from it.
### App information
Build flavor: gplay
### Device information
### Expected behaviour
Media view uasable.
### Actual behaviour
Since we have many thousand pictures it always crashes in media view
### Android version
12 and 11 (different devices)</t>
  </si>
  <si>
    <t>2022-08-16</t>
  </si>
  <si>
    <t>TeamNewPipe-NewPipe-8814</t>
  </si>
  <si>
    <t>App/UI crash when trying to download video</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</si>
  <si>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go to video
2. Press download
3. Press ok
4. The app crashes
### Expected behavior
expect to be able to download video.
### Actual behavior
The app crashes when try to download video.
### Screenshots Screen recordings
User Action: ui error
Request: ACRA report
Content Country: AU
Content Language: en-AU</t>
  </si>
  <si>
    <t>inaturalist-iNaturalistAndroid-1216</t>
  </si>
  <si>
    <t>Crash when viewing a particular taxon</t>
  </si>
  <si>
    <t>1. Find any observation of genus Cyperus (https: www.inaturalist.org taxa 52734-Cyperus) in the app, go to obs detail, and tap the taxon to go to taxon detail
2. The app appears to crash but gets stuck on black screen of death
can replicate this and see this in the log:
It seems like memory issue, but https: api.inaturalist.org v1 taxa 52734 doesn seem like particularly large response, so not sure why that would cause crash.</t>
  </si>
  <si>
    <t>2022-08-15</t>
  </si>
  <si>
    <t>Anuken-Mindustry-7374</t>
  </si>
  <si>
    <t>help me pls</t>
  </si>
  <si>
    <t>Anuken-Mindustry-7373</t>
  </si>
  <si>
    <t>Can't load saves after updating Mindustry</t>
  </si>
  <si>
    <t>**Steps to reproduce**: See above
**Link(s) to mod(s) used**: None
**Save file**: doubt it will help much as they were working previously, but uploaded zip of all of the contents of .local share Mindustry
**(Crash) logs**: It didn crash, but here the output anyway java -Xmx8G -jar Mindustry.jar Desktop mindustry-log.txt ):
Initialized Discord rich presence.
Audio Initialized SoLoud 202002 using MiniAudio at 44100hz 128 samples channels
GL Version: OpenGL 4.6.0 NVIDIA Corporation NVIDIA GeForce GTX 960 PCIe SSE2
GL Max texture size: 16384
GL Using OpenGL context.
JAVA Version: 18.0.2
Total time to load: 2560ms
Fetching community servers at https: Anuken Mindustry master servers v6.json
Fetched 37 community servers.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</si>
  <si>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patzly-grocy-android-565</t>
  </si>
  <si>
    <t>Crash when loading recipes with NaN recipe_pos</t>
  </si>
  <si>
    <t>have crash when the app is trying to load my recipes. Apparently, have recipes with an ingredient with the amount NaN not sure how that happened, but the app can handle it.
This is probably something that should be fixed in Grocy. But Grocy seems to handle it just fine by displaying in the web UI for the ingredient amount.
Grocy version: 3.3.1
App version: 2.3.0 (compiled from commit 03939f0).
One of the recipe positions causing this error:
The stacktrace from the crash:
Disconnected from the target VM, address: localhost:34943 transport: socket
not familiar enough with rxjava to propose proper fix, but this fixed the issue in my case:
IDEA additional info:
diff --git app src main java xyz zedler patrick grocy helper DownloadHelper.java app src main java xyz zedler patrick grocy helper DownloadHelper.java
--- app src main java xyz zedler patrick grocy helper DownloadHelper.java (revision
+++ app src main java xyz zedler patrick grocy helper DownloadHelper.java (date 1660580115733)
Log.i(tag, download RecipePositions: recipePositions)
for (int i++)</t>
  </si>
  <si>
    <t>MuntashirAkon-AppManager-847</t>
  </si>
  <si>
    <t>App Manager shows improper behavior on Android SDK 33</t>
  </si>
  <si>
    <t>Your issue will be closed without warning if you don check at least two items.
YES know what my device, OS and App Manager versions are
YES know how to take logs
LIKELY NOT know how to reproduce the issue which may not be specific to my device
**Describe the bug**
The app list is: blank (v2.6) shows only App Manager(v3). No permissions for app list are requested.
Doing OTA from Android 12 SDK 31 to SDK 33 will make the app crash shortly after launch. The crash is detected by ThirdKit (testing-logging system app) and crash log is given.
Steps to reproduce the behaviour:
Do OTA from ColorOS C.66 to F.02.
App list shows up, no errors about backup volumes.
Device: OnePlus LE2110
OS Version: Android 13 alpha ColorOS F.02 log
App Manager Version: v2.6.5.1 and v3 stable
Clearing app list DB does not fix this issue. Storage Framework says that storage emulated is not usable as it is not private enough.</t>
  </si>
  <si>
    <t>SORMAS-Foundation-SORMAS-Project-10132</t>
  </si>
  <si>
    <t>Mobile app crashes when try to change the language before logging in</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</si>
  <si>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&lt;!-- Mandatory --&gt;
When try to change the language, the mobile app crashes.
### Steps to Reproduce
&lt;!-- Optional please add more steps if necessary --&gt;
1. Install the new apk, and during the initial setup, try to change the language.
### Expected Behavior
&lt;!-- Optional --&gt;
It should change the mobile app language.
&lt;!-- Optional --&gt;
### System Details
&lt;!-- Mandatory you only have to specify the Server URL if the error appeared on publicly available test server --&gt;
Device: SAMSUMG Glaxy TAB A8
SORMAS version: 1.74.1
Android version: 1.74.1
Android Version: 11
User Role: Hospital Informant
Server URL: https: sormas-rest
### Additional Information</t>
  </si>
  <si>
    <t>patzly-grocy-android-564</t>
  </si>
  <si>
    <t>Chores reschedule bug</t>
  </si>
  <si>
    <t>am using app version 2.3.0 receiving beta releases
Android 12, Pixel 4a 5g
After tried to reschedule chore it crashed at the moment pressed the round cloud icon button to submit.
Now when just enter the chores page it crashes right away every time.
ll be glad to provide any additional information if needed. Thanks</t>
  </si>
  <si>
    <t>cgeo-cgeo-13335</t>
  </si>
  <si>
    <t>crash adding caches from list to GC bookmark list if debug logging is enabled</t>
  </si>
  <si>
    <t>### Describe your problem!
Adding caches to bookmark lists crashs c:geo but only if debug logging is enabled. The caches are not added in this case. Without debug logging all is good.
Caused by: Aborting on Log.e()
--------- beginning of crash
Caused by: Aborting on Log.e()
### How to reproduce?
1. Enable debug log in settings
2. open list with some caches
3. menu manage caches add to bookmark list
4. select list
doesn matter which list or caches are added
### Actual result after these steps?
### Expected result after these steps?
### c:geo Version
### System information
### Additional Information</t>
  </si>
  <si>
    <t>2022-08-14</t>
  </si>
  <si>
    <t>jellyfin-jellyfin-androidtv-1979</t>
  </si>
  <si>
    <t>Misc crash fixes</t>
  </si>
  <si>
    <t>Migrating code to the SDK can cause some issues
Fix Live TV guide crashing
Fix movie items crashing
&lt;!-- Tag any issues that this PR solves here.
ex. Fixes --&gt;</t>
  </si>
  <si>
    <t>Anuken-Mindustry-7363</t>
  </si>
  <si>
    <t>Binding keys ignore "Mouse Back" inputs on macOS</t>
  </si>
  <si>
    <t>**Steps to reproduce**:
3. Follow Mouse Rebind
4. Click any of the side buttons of the mouse
5. No response
6. Left click the mouse (as comparison)
7. The key bind is set
1. Open chrome
2. Google whatever keywords
3. Click one of the side buttons of the mouse
4. It goes back to the home page
**Link(s) to mod(s) used**: none
**Save file**: unrelated to key binding but more of system-specific issue
**(Crash) logs**: no crashes
**I have updated to the latest release (https: github.com Anuken Mindustry releases) to make sure my issue has not been fixed.**
**I have searched the closed and open issues to make sure that this problem has not already been reported.**</t>
  </si>
  <si>
    <t>Anuken-Mindustry-7362</t>
  </si>
  <si>
    <t>crash while loading (Couldn't load dependencies of asset: sprites/sprites.png)</t>
  </si>
  <si>
    <t>Steps to reproduce: totaly nothing
Link(s) to mod(s): used no mods
Caused by: Couldn load dependencies of asset: sprites sprites.png
Caused by: Couldn load file: sprites sprites.png
Caused by: Couldn load file: sprites sprites.png
Caused by: Error loading pixmap: Out of memory
Caused by: Couldn load dependencies of asset: sprites sprites.png
Caused by: Couldn load file: sprites sprites.png
Caused by: Couldn load file: sprites sprites.png
Caused by: Error loading pixmap: Out of memory
Caused by: Couldn load dependencies of asset: sprites sprites.png
Caused by: Couldn load file: sprites sprites.png
Caused by: Couldn load file: sprites sprites.png
Caused by: Error loading pixmap: Out of memory
GL Version: OpenGL 4.5.1 ATI Technologies Inc. AMD Mobility Radeon HD 5000 Series
GL Max texture size: 16384
GL Using OpenGL context.
JAVA Version: 1.8.0 201-1-ojdkbuild
Couldn load dependencies of asset: sprites sprites.png
Caused by: Couldn load dependencies of asset: sprites sprites.png</t>
  </si>
  <si>
    <t>LSPosed-LSPosed-2074</t>
  </si>
  <si>
    <t>[Bug] Lsposed manager crashes 'shell' on reopen</t>
  </si>
  <si>
    <t>### Steps to reproduce
### Expected behaviour
### Actual behaviour
### Xposed Module List Xposed
### Magisk Module List Magisk
Automatic brick rescue hidemyapplist
WorkSettingPro zygisk lsposed
bootloop save key zygisk shamiko
### LSPosed version LSPosed
### Android version Android
### Magisk version Magisk
### Riru version Riru
### Version requirement
am using latest debug CI version of LSPosed and enable verbose log CI</t>
  </si>
  <si>
    <t>BarbodH-mad-grid-3</t>
  </si>
  <si>
    <t>Home Button Malfunction during the Game</t>
  </si>
  <si>
    <t>Pressing the Home button during the game crashes the app when the music is disabled.</t>
  </si>
  <si>
    <t>Anuken-Mindustry-7359</t>
  </si>
  <si>
    <t>Game crash (null pointer exception) when launching to Impact 078</t>
  </si>
  <si>
    <t>**Steps to reproduce**: Load the attached game data export. Launch to Impact 078. BOOM!!!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</si>
  <si>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2022-08-13</t>
  </si>
  <si>
    <t>LawnchairLauncher-lawnchair-2836</t>
  </si>
  <si>
    <t>Split screen bug</t>
  </si>
  <si>
    <t>### Describe the bug
When have two split apps then close them and in recent apps swipe down to open the split apps, lawnchair crashes. It doesn happens when you tap on it to open. Another bug is that swipe down split apps is slower than single apps
### Steps to reproduce
Steps to reproduce the behavior:
1. Split two apps
2. Close them
3. Open recents
3. Scroll down to open split apps
### Expected behavior
### Device information
Device: Redmi 9t
OS: Aosp 12.1
App version 12.1.0 alpha
### Additional context
Lawnchair bug report Aug 13, 2022 4:53:27 PM</t>
  </si>
  <si>
    <t>Anuken-Mindustry-7357</t>
  </si>
  <si>
    <t>unitCount counts player as 2 units when returning to core</t>
  </si>
  <si>
    <t>**Steps to reproduce**: Load the code below into world processor. Start new game and spam the respawn button (must be sharded)
fetch unitCount ucount sharded conveyor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twas in playtest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</si>
  <si>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deltachat-deltachat-android-2363</t>
  </si>
  <si>
    <t>Crash when notification sound is unavailabe</t>
  </si>
  <si>
    <t>This is bug report tracker. New features are discussed in the forum: https: support.delta.chat
Please fill out as much of this form as you can (leaving out stuff that is not applicable is ok).
Android version: 12
Delta Chat version: 1.30.3
Expected behavior: ignore or error message
Actual behavior: crash on every incoming message
Steps to reproduce the problem: deinstall previously used sounds package where the current sound was picked from
Logs: UID 10139 does not have permission to content: media external primary audio media 26320?title
Debug logs can be copied from within the Delta Chat app with
Settings menu -&gt; Advanced -&gt; View log
Alternatively from the Android system log:
adb logcat -v time -s DeltaChat
Logs may contain private data
which shall be removed or anonymised prior to posting.</t>
  </si>
  <si>
    <t>TeamNewPipe-NewPipe-8770</t>
  </si>
  <si>
    <t>Fix possible crash if square thumbnails are enabled.</t>
  </si>
  <si>
    <t>&lt;!-- Hey there. Thank you so much for improving NewPipe, and filling out the details. Having roughly the same layout helps everyone considerably :)--&gt;
#### What is it?
Bugfix (user facing)
Feature (user facing)
Codebase improvement (dev facing)
Meta improvement to the project (dev facing)
#### Description of the changes in your PR
&lt;!-- While bullet points are the norm in this section, feel free to write free-form text instead of list --&gt;
Fixes crash that can happen on opening video if square thumbnails are enabled.
#### Fixes the following issue(s)
&lt;!-- Prefix issues with Fixes so that GitHub closes them when the PR is merged (note that each Fixes should be in its own item). Also add any other relevant links. --&gt;
#### APK testing
&lt;!-- Use new, meaningfully named branch. The name is used as suffix for the app ID to allow installing and testing multiple versions of NewPipe, e.g. commentfix if your PR implements bugfix for comments. (No names like patch-0 and feature-1 .) --&gt;
&lt;!-- Remove the following line if you directly link the APK created by the CI pipeline. Directly linking is preferred if you need to let users test.--&gt;
The APK can be found by going to the Checks tab below the title. On the left pane, click on CI scroll down to artifacts and click app to download the zip file which contains the debug APK of this PR.
#### Due diligence
read the contribution guidelines (https: github.com TeamNewPipe NewPipe blob HEAD .github CONTRIBUTING.md).</t>
  </si>
  <si>
    <t>jellyfin-jellyfin-androidtv-1964</t>
  </si>
  <si>
    <t>Catch decoding exception in AuthenticationStore</t>
  </si>
  <si>
    <t>Fixes corrupt JSON causing the app to crash
Catch decoding exception in AuthenticationStore</t>
  </si>
  <si>
    <t>jellyfin-jellyfin-androidtv-1963</t>
  </si>
  <si>
    <t>Android TV App error on launch on Sony TV</t>
  </si>
  <si>
    <t>### Describe the bug
Attempting to launch the app on my Sony X90H results in an application crash and close. message toast pops up saying an error occurred and was reported to the server (see logs below).
Currently using beta version of the app, 0.14.1, but this issue did not occur until recently. suspect it may have been related to an Android TV update that was pushed to the TV and chose to install the other day. didn test it before and after, but that the only thing that has changed since the last time the app worked.
TV running Android 10 Kernel 4.19.75 OS Build in logs
Server using official jellyfin jellyfin:stable docker container.
--------- beginning of main
### App information
***App version***: 0.14.1 140199
### Device information
***Android version***: 10
***Device brand***: Sony
***Device product***: BRAVIA VH1 UC
***Device model***: BRAVIA VH1
### Crash information
### Application version
### Where did you install the app from?
### Device information
Sony Bravia X900h XBR75X900H
### Android version
### Jellyfin server version</t>
  </si>
  <si>
    <t>Agontuk-react-native-geolocation-service-369</t>
  </si>
  <si>
    <t>iOS Crash in getCurrentPosition - Unexpectedly found nil while unwrapping an Optional value</t>
  </si>
  <si>
    <t>Android SDK: Not Found
Android Studio: 2021.1
Please add the used versions branches
Arbitrary crash in production from swift code.
## Reproducible Demo
Regular use as documented:
OS Version: iOS 12.5.5
Exception Type: EXC BREAKPOINT
Exception Subtype: KERN INVALID ADDRESS
zinspector3 Swift runtime failure: Unexpectedly found nil while unwrapping an Optional value
CoreFoundation NSInvocation invoke
CoreFoundation NSInvocation invokeWithTarget:
## Expected Results
Agontuk any ideas? We ve got user that keeps getting this every time location access is attempted. Any nil checks missing?</t>
  </si>
  <si>
    <t>ccnnde-react-native-simple-openvpn-33</t>
  </si>
  <si>
    <t>App crashes on expo with bare workflow</t>
  </si>
  <si>
    <t>When building the app with expo cli and bare workflow, the connection fails with app crashing. Tried linking the file and using contents of file in ovpnString but the result is still the same.
Setup react native with Expo CLI and then expo eject in it to switch over to bare workflow. Add the connection on pressing of button
The connection should set up with the notification displayed.
OS version: 10
react-native version: 0.68.2</t>
  </si>
  <si>
    <t>2022-08-12</t>
  </si>
  <si>
    <t>PojavLauncherTeam-PojavLauncher-3495</t>
  </si>
  <si>
    <t>Java Previews</t>
  </si>
  <si>
    <t>### Describe the bug
want to launch the game with custom built jar (jre17 preview which has class version of 61.5535 normal jre17 has class version of 61.0).
First ran my game normally and it crashed with Preview features are not enabled for net minecraft client Minecraft (class file version 61.65535). Try running with --enable-preview
So tried to run with --enable-preview jvm argument. But it couldn recognize it.
### The log file and images videos
--------- beggining with launcher debug
Added custom env: TMPDIR data user net.kdt.pojavlaunch cache
Added custom env: AWTSTUB WIDTH 2160
Added custom env: REGAL GL VERSION 4.5
Added custom env: REGAL GL VENDOR Android
Added custom env: LIBGL MIPMAP
Added custom env: allow higher compat version true
Added custom env: MESA GLSL CACHE DIR data user net.kdt.pojavlaunch cache
Added custom env: HOME storage emulated games PojavLauncher .minecraft
Added custom env: PATH data user net.kdt.pojavlaunch runtimes bin: sbin: system sbin: system bin: system xbin: vendor bin: vendor xbin
Added custom env: LIBGL NOINTOVLHACK
Added custom env: force glsl extensions warn true
Added custom env: LIBGL NORMALIZE
Added custom env: POJAV RENDERER opengles2
Added custom env: LIBGL ES</t>
  </si>
  <si>
    <t>PojavLauncherTeam-PojavLauncher-3492</t>
  </si>
  <si>
    <t>1.19.2 [Crash]</t>
  </si>
  <si>
    <t>### Describe the bug
It loaded bit then crashed
Application exited with code -1.
### The log file and images videos
### Steps To Reproduce
downloaded 1.19.2 from old pojav launcher then updated it,instaled runtime,etc.
### Expected Behavior
Always worked even on forge 1.18.2(even if laggy). But all 1.19 versions crash for me.
Device model: Samsung Galaxy A32
CPU architecture:Linux (aarch64)
Android version: 12
PojavLauncher version: openjdk
### Anything else?</t>
  </si>
  <si>
    <t>LSPosed-LSPosed-2070</t>
  </si>
  <si>
    <t>[Bug] Zygisk crashed when hooking `android.content.Intent`</t>
  </si>
  <si>
    <t>### Steps to reproduce
just write some code which hooks Intent.
LogUtil. d( createChooser
val target param.args as Intent
### Expected behaviour
The hooker would be work well, and magisk too.
### Actual behaviour
Zygisk crashed and LSPosed not working.
&lt;img width 552 alt image src https: 32504382
### Xposed Module List Xposed
Tarnhelm (where the problem occurs)
### Magisk Module List Magisk
### LSPosed version LSPosed
### Android version Android
### Magisk version Magisk
### Riru version Riru
### Version requirement
am using latest debug CI version of LSPosed and enable verbose log CI</t>
  </si>
  <si>
    <t>PojavLauncherTeam-PojavLauncher-3488</t>
  </si>
  <si>
    <t>[BUG] Crash with code -1</t>
  </si>
  <si>
    <t>### Describe the bug
It crashes in the starting of the game and say crashes with code -1
### The log file and images videos
### Steps To Reproduce
1. Start pojavlauncher
2. Use forge with neu cowlection, optifine and skyclient updater mod in 1.8.9
### Expected Behavior
Game to launch
Device model: Vivo v23
CPU architecture: aarch64
Android version: 12
PojavLauncher version: lastest version in the Google playstore
### Anything else?</t>
  </si>
  <si>
    <t>2022-08-11</t>
  </si>
  <si>
    <t>Igalia-wolvic-235</t>
  </si>
  <si>
    <t>Youtube straight up crashing when playing 8K video</t>
  </si>
  <si>
    <t>&lt;!--- State the version number and build ID affected. --&gt;
&lt;!--- The build ID is obtained by clicking on the build date in settings. --&gt;
Wolvic version: 1.0.1
Wolvic build ID: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1. Open Wolvic and navigate to https: www.youtube.com watch?v w1ABOYXXGzY (https: www.youtube.com watch?v w1ABOYXXGzY)
2. Set the video quality to 8K(2360p) turn to full screen and plays it.
## Current Behavior
&lt;!--- If describing bug, tell us what happens instead of the expected behavior. --&gt;
&lt;!--- If suggesting change improvement, explain the difference from current behavior. --&gt;
The video plays with only sound and static view in low quality, and crashes after 30 seconds.
## Expected Behavior
&lt;!--- If you re describing bug, tell us what should happen. --&gt;
&lt;!--- If you re suggesting change improvement, tell us how it should work. --&gt;
Video plays normally.
## Possible Solution</t>
  </si>
  <si>
    <t>2022-08-10</t>
  </si>
  <si>
    <t>Anuken-Mindustry-7344</t>
  </si>
  <si>
    <t>Coal and titanium not social distancing properly</t>
  </si>
  <si>
    <t>Upon opening the menu for an airblast drill, coal and titanium text photos are right next to each other while other resources are spaced apart.
**Steps to reproduce**: *How you happened across the issue, and what exactly you did to make the bug happen.*
Hop into map with coal and titanium
Open the airblast drill ui
&lt;img width 1792 alt Screen Shot 2022-08-10 at 06 28 PM src https: 88537252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</si>
  <si>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PhenoApps-Field-Book-487</t>
  </si>
  <si>
    <t>[BUG] Problems with barcode scanning and data collection</t>
  </si>
  <si>
    <t>**Describe the bug**
transferred data (Field Book apps, files) from Galaxy Tab A7 Lite to another via Smart Switch (I ve done it before with other tablets and everything works). When tried to use the new A7 it crashes every time try to scan barcode it shuts down, after that can collect any more data, every time go to collect it closes instantly.
Steps to reproduce the behavior:
1. Go to Collect
2. Field book closes
Be able to scan the barcode and go directly to the desired plot and collect data
If applicable, add screenshots to help explain your problem.
**Device Info (please complete the following information):**
Model: Galaxy Tab A7 Lite
Field Book Version 5.2.5
Add any other context about the problem here.</t>
  </si>
  <si>
    <t>prebid-prebid-mobile-android-485</t>
  </si>
  <si>
    <t xml:space="preserve">Crash when checking UserConsentManager in Requester </t>
  </si>
  <si>
    <t>After updating Prebid SDK from 1.12.1 to 2.0.2 see this crash for my live users in Crashlytics
am probably doing something wrong in the SDK initialisation, would be very thankful for any support
BannerAdUnit bannerAdUnit new
How to reproduce
Unclear, it seems to happen when resuming an activity, but cannot reprroduce it locally, not even in release build with Proguard obfuscation enabled
can also not definitively say that Prebid 2.x is to blame, since cannot reproduce the crash, can also not verify that it does **not** crash on SDK 2.x
Tried so far
have checked the code for the Requester.java and see that the ManagersResolver declares the getUserManager() as Nullable so ok, that is the immediate reason for the crash. But it probably not matter of just if-casing this. The question is why it null at this moment
The line that is crashing was changed during this commit (https: github.com prebid commit but it seems to me it would have been in danger of an NPE also before that, so don think this change is to blame
Broad variety of devices crashes in Crashlytics, Samsung, Huawei, Sony etc.
Android 10 and up currently visible in Crashlytics, though suspect all versions are affected
Prebid SDK 2.0.2</t>
  </si>
  <si>
    <t>jellyfin-jellyfin-androidtv-1950</t>
  </si>
  <si>
    <t>Android TV (Shield) - Crash to OS Home when stopping media playback</t>
  </si>
  <si>
    <t>### Describe the bug
1. Select media to play, in this case from the Next Up thumbnail
2. Watch as per normal
3. Show has come to an end, before the video has finished hit back
4. TV negotiates frame-rate switch
5. Crashes back to Android Home page
Playback set to use ExoPlayer within the Android TV App
This happens approx 80% of the time.
--------- beginning of main
--------- beginning of crash
### App information
***App version***: 0.14.0 140099
### Device information
***Android version***: 11
***Device brand***: NVIDIA
***Device product***: mdarcy
***Device model***: SHIELD Android TV
### Crash information
### FFmpeg logs
built with gcc 10 (Debian 10.2.1-6)</t>
  </si>
  <si>
    <t>material-components-material-components-android-2901</t>
  </si>
  <si>
    <t>MaterialDatePicker crashing due to calling show() with tag</t>
  </si>
  <si>
    <t>Sometimes when the dialog is bit slow to show and accidentally you call tag) twice, it crashes with the following log.
FATAL EXCEPTION: main
Where datePickerFrom and datePickerTo is the actual dialog from
**Minimal sample app repro:**
**Android API version:** 31
**Material Library version:** 1.7.0-alpha03</t>
  </si>
  <si>
    <t>2022-08-09</t>
  </si>
  <si>
    <t>MuntashirAkon-AppManager-833</t>
  </si>
  <si>
    <t>App Manager doesn't launch with Internet permission revoked</t>
  </si>
  <si>
    <t>Your issue will be closed without warning if you don check at least two items.
know what my device, OS and App Manager versions are
know how to take logs
know how to reproduce the issue which may not be specific to my device
**Describe the bug**
When the Internet permission is revoked for the App Manager app, it fails to launch. If it has been set up previously, you will see blank screen. If this is new installation, the app will hang on the Initializing screen.
Steps to reproduce the behaviour:
1. Install App Manager
2. Revoke App Manager Internet permission
3. Launch App Manager
4. Observe that App Manager hangs on the Initializing screen
1. Install App Manager
2. Launch App Manager
3. Observe that App Manager functions normally
4. Revoke App Manager Internet permission
5. Observe App Manager launching to blank screen
expect that App Manager basic functionality will work whether or not the app has Internet permission granted to it. understand that there is some functionality that will require App Manager to be granted the Internet permission, but the features not requiring this should continue to function without it.
If somebody could provide instructions on how to collect crash logs, be more than happy to gather and share them here.
Device: Google Pixel 5a
OS Version: Android 12</t>
  </si>
  <si>
    <t>itsdrnoob-DataMonitor-32</t>
  </si>
  <si>
    <t>Data Monitor crashes upon giving usage access</t>
  </si>
  <si>
    <t>**Describe the bug**
After installing this app and giving it usage access, it crashes everytime open it.
Steps to reproduce the behavior:
1. Install the app from the GitHub releases page
2. Turn off battery optimisation
3. Give usage access
4. App crashes
App to work normally
**Smartphone (please complete the following information):**
Device: Oppo A31
OS: ColorOS V6.1.2, Android
App version: 1.6.9
### Important additional context
used Universal Android Debloater (https: github.com 0x192 to remove from the user system apps such as Google Play Services, Google Play Store etc. without root via ADB.
Here is full list of uninstalled apps: https: pastebin.com RTGUE5ZZ
And here is the description for it: https: 0x192 main resources assets uad lists.json</t>
  </si>
  <si>
    <t>Anuken-Mindustry-7331</t>
  </si>
  <si>
    <t>Info button not available in tech tree, unless opened through main UI first.</t>
  </si>
  <si>
    <t>The info button won show up on (erekir) tech tree screen after unlocking new content. The button does seems to show up only after opening the info screen through main UI.
**Steps to reproduce**: *How you happened across the issue, and what exactly you did to make the bug happen.*
Unlock new content.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</si>
  <si>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TeamNewPipe-NewPipe-8752</t>
  </si>
  <si>
    <t>Shows "something is wrong" error when searching any video &amp; playing it, sometimes crashes right after</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</si>
  <si>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1)Search for anything in the search bar.
2)Wait for few seconds.
3) Something is wrong message shows up.
4)Same message shows up while playing video as well.
### Expected behavior
The error message should not appear at all.
### Actual behavior
Error message appears right after searching something in the search bar also while playing video.
### Screenshots Screen recordings
This is the search bar error log
User Action: get suggestions
Request: indexed gdrive
Content Country: US</t>
  </si>
  <si>
    <t>CMU-CREATE-Lab-preK-emotions-app-118</t>
  </si>
  <si>
    <t>app crashes when trying to open camera on the A7 tablet</t>
  </si>
  <si>
    <t>When creating new student or editing student, clicking on the photo area or the re-take photo link causes crash. The screen returns to the class screen and my student is not created.
After multiple times, it told me MindfulNest keeps stopping in an error popup message (with options for App info and Close app).
A7 tablet (it doesn crash on the kindle)</t>
  </si>
  <si>
    <t>2022-08-08</t>
  </si>
  <si>
    <t>AndroidIDEOfficial-AndroidIDE-353</t>
  </si>
  <si>
    <t>Error when closing the project</t>
  </si>
  <si>
    <t>Error when closing the project
AndroidIDE crash report
## Steps to reproduce
Open the project, close it immediately using the button in the Navigation Drawer.</t>
  </si>
  <si>
    <t>cgeo-cgeo-13324</t>
  </si>
  <si>
    <t>Map crashes instantly after upgrade to 2022.08.06 beta</t>
  </si>
  <si>
    <t>### Describe your problem!
user on support mail reports, that he is unable to use the map after the recent update to 2022.08.06
Seems to be related to individual routes:
### How to reproduce?
Unclear, it crashes when he tries to open the map.
### Actual result after these steps?
### Expected result after these steps?
### c:geo Version
### System information
## System information
Device type: M2102J20SG (vayu eea, POCO)
Android version: 11
Android build: RKQ1.200826.002 test-keys
Screen resolution: 1080x2179px (392x792dp)
Pixel density: 3.6575
System font scale: 1.33 used scale: 1.33
Sailfish OS detected: false
Google Play services: enabled 22.26.15 (150400-461192076)
Sensor and location:
Low power mode: inactive</t>
  </si>
  <si>
    <t>TeamNewPipe-NewPipe-8748</t>
  </si>
  <si>
    <t>Crash loop when starting a download</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</si>
  <si>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Navigate to YT video
2. Click download
3. Click OK on name quality popup.
### Expected behavior
### Actual behavior
byte file is created in configured (via SAF) download location, and then NewPipe goes into crash loop.
### Screenshots Screen recordings
Initial crash is:
FATAL EXCEPTION: main
followed by loop of NewPipe restarting and crashing:
FATAL EXCEPTION: main
### Affected Android Custom ROM version
### Affected device model</t>
  </si>
  <si>
    <t>gsantner-markor-1786</t>
  </si>
  <si>
    <t>Double click on a word when editing crash the app.</t>
  </si>
  <si>
    <t>### This issue respects the following points:
This is **bug**. Not question or feature request.
The issue is **not** already reported at Issues (https: github.com gsantner markor issues?q or discussions (https: github.com gsantner markor ). (I ve searched it)
When double clicking on the word while being in edit mode, the app crash. The expected behaviour should be that the word should be selected.
(In view mode, the app do not crash but the word isn selected either.)
### Steps to reproduce
1. Double click on word.
Android version: 5.1.1
App Version: 2.10.0
### Format File type
### Additional info Log</t>
  </si>
  <si>
    <t>2022-08-07</t>
  </si>
  <si>
    <t>Anuken-Mindustry-7306</t>
  </si>
  <si>
    <t>Objectives not available on mobile</t>
  </si>
  <si>
    <t>Screenshot 20220806-102822 Mindustry BE (https: 77824588
If add something from objectives, can see anything. Like the picture.
can add someting. Next, All can do is cancel and back.
(Check or yes... something) is not pressed.
**Steps to reproduce**: *How you happened across the issue, and what exactly you did to make the bug happen.*
There was the same problem with BE, which came out few weeks ago. This is pretty old problem.
And this problem will only happen on mobile. In the past, it was confirmed that it can be seen normally on the PC screen.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</si>
  <si>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2022-08-06</t>
  </si>
  <si>
    <t>OpenSeizureDetector-Android_Pebble_SD-61</t>
  </si>
  <si>
    <t>Crash when closing data log manager</t>
  </si>
  <si>
    <t>User reported crash report:
Returning to main screen from data log manager
***** UCE HANDLER Library***** by Rohit Surwase
***** DEVICE INFO
***** APP INFO
***** ERROR LOG
***** END OF LOG *****</t>
  </si>
  <si>
    <t>2022-08-05</t>
  </si>
  <si>
    <t>Anuken-Mindustry-7299</t>
  </si>
  <si>
    <t>Where is a heat?</t>
  </si>
  <si>
    <t>Be android 22950.afk
Screenshot 20220805-202331 Mindustry BE (https: 77824588
**Steps to reproduce**: *How you happened across the issue, and what exactly you did to make the bug happen.*
Maybe you missed it. It need... heat.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</si>
  <si>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Anuken-Mindustry-7298</t>
  </si>
  <si>
    <t>Duct bridges wont automatically getting placed when its on a reinforced conduit or bridge sometimes</t>
  </si>
  <si>
    <t>**Steps to reproduce**: just played some erekir and it happend wich annoyed me
**Link(s) to mod(s) used**: sheme size
**Save file**: https: drive.google.com file 1sEdd7S3Ijyzsg0gzw mprOATHbdGI7-a view?usp drivesdk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</si>
  <si>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mixpanel-mixpanel-android-797</t>
  </si>
  <si>
    <t>Fix the crash in DevX tracking in debugging mode</t>
  </si>
  <si>
    <t>2022-08-04</t>
  </si>
  <si>
    <t>okta-okta-oidc-android-332</t>
  </si>
  <si>
    <t>sessionClient.refreshToken returning generic 400 bad request error</t>
  </si>
  <si>
    <t>### Describe the bug?
is returning generic 400 bad request error for some or our users. have been unable to reproduce this locally, but in our crash reporting we see the following error:
with exception: type :0, code :0, errorDescription Invalid status code 400 Bad Request
My *guess* is that the refresh tokens have expired for these users, however, the error does not indicate that this is the problem.
see that there have been reports in the past for ambiguous error codes (#274) and am wondering if this is somewhat related.
### What is expected to happen?
If this was in fact valid refresh token expiry, according to this ticket (#274) would expect an error along the lines of:
### What is the actual behavior?
am being given the error:
which is not very descriptive about what the actual problem is.
### Reproduction Steps?
Unable to reproduce this locally am guessing have to wait the refresh token expiry on device. have device sitting right now, but there is still awhile on the expiry before can test this out.
But we have bunch of Sentry reports that indicate the same error is being returned to numerous users and that this is not simply one off case.
### Additional Information?
People have been commenting in https: github.com okta okta-oidc-android issues 165 with similar issues, but since that ticket is closed am unsure it is getting visibility.
### SDK Version
### Build Information</t>
  </si>
  <si>
    <t>mollyim-mollyim-android-116</t>
  </si>
  <si>
    <t>Crash at startup after v5.44.3: could not decrypt 'pref_unidentified_access_certificate_rotation_time'</t>
  </si>
  <si>
    <t>### Is there an existing issue for this?
have searched the existing issues
### Bug description
After upgrading to 5.44.3-1 August 3, 2022, molly doesn open anymore and Android shows that Molly keeps stopping. All is seen is the purple splash screen for few seconds, then it crashes.
The primary reason seems to be:
Could not decrypt pref unidentified access certificate rotation time value. MAC doesen match.
logcat shows this stack trace:
Could not decrypt pref unidentified access certificate rotation time value. MAC doesen match.
### Steps to reproduce
1. Upgrade to 5.44.3-1 from version 5.42.8-2
2. Run Molly (or reboot phone since Molly runs at startup)
### Molly version
### Android version
Android 12, GrapheneOS
### Link to debug log</t>
  </si>
  <si>
    <t>PojavLauncherTeam-PojavLauncher-3477</t>
  </si>
  <si>
    <t>[BUG] Crashes in middle of the game</t>
  </si>
  <si>
    <t>### Describe the bug
Pojavlauncher is crashing in the middle of the game while am playing and it don even say game exited code like nothing the game crashes
### The log file and images videos
All of my logs just in case
### Steps To Reproduce
1. Download forge in the pojav launcher
2. Use Neu collection and optifine
3. Play for while
### Expected Behavior
expect for the game to run without crashing so can enjoy
Device model: Vivo v2130
CPU architecture: arm64-v8a 8th generation AArch64
Android version: 12
PojavLauncher version: openjdk
### Anything else?</t>
  </si>
  <si>
    <t>ZeusWPI-hydra-android-628</t>
  </si>
  <si>
    <t>Pressing Ufora-app crashes the app</t>
  </si>
  <si>
    <t>Unfortunately found in the review for f-droid at https: gitlab.com fdroid fdroiddata merge requests 11103#note 1049739031
FATAL EXCEPTION: main</t>
  </si>
  <si>
    <t>react-native-share-react-native-share-1256</t>
  </si>
  <si>
    <t>shareSingle not working when sharing story to Instagram [Android]</t>
  </si>
  <si>
    <t>### Steps to reproduce
1. Use share Share.shareSingle
### Expected behaviour
This was working before for me. Some users started reporting that they couldn use the share. The normal flow is the app leaving the current screen and to open instragram with the story.
### Actual behaviour
Instead of going to Instagram, it opens white screen and after while either goes back to the app or crashes.
imagine that this is something on Instagram side, since it was working for me and my code didn change. Works on some devices tho
**React Native version**: 0.68.1
**React Native platform platform version**: was able to replicate in Android 10. Target sdk verion: 31
**Typescript version** (if using typescript): 3.8+ required, what version is in your environment? 4.4.4</t>
  </si>
  <si>
    <t>2022-08-03</t>
  </si>
  <si>
    <t>mI-PIV-app-351</t>
  </si>
  <si>
    <t>Information Selection Crash (only when loading an experiment)</t>
  </si>
  <si>
    <t>Upon creating an experiment, when user goes through the whole process and gets all the way to the Results page, there is no issue when tapping on the graph. However, when user loads an experiment, when tapping on the graph in the results page, the app crashes. The error message is the following:
The error occurs (on line 805 of because multipass is null and tries to call Again, this happens only when loading an experiment.</t>
  </si>
  <si>
    <t>jellyfin-jellyfin-androidtv-1929</t>
  </si>
  <si>
    <t>Crash after returning from external video player</t>
  </si>
  <si>
    <t>### Describe the bug
Launching any video with an external player (eg VLC or YouTube in the new 14.0) works great until you return to the Jellyfin UI which almost immediately crashes.
ve tried it with and without Always ask for credentials checked and it happened with about every version since 11.3.
### Application version
### Where did you install the app from?
### Device information
Sony Bravia 4K 2015
### Android version
Android TV 8.0
### Jellyfin server version</t>
  </si>
  <si>
    <t>naver-nam-sdk-android-12</t>
  </si>
  <si>
    <t>4.3.5 적용 이후 crash 발생</t>
  </si>
  <si>
    <t>### Checklist before submitting bug report
ve updated to the latest released version of the SDK
ve searched for existing Github issues (https: github.com naver nam-sdk-android issues)
### AGP Version
### Android version
### Steps to Reproduce
### Expected Result
### Actual Result</t>
  </si>
  <si>
    <t>Anuken-Mindustry-7274</t>
  </si>
  <si>
    <t>Sublimate</t>
  </si>
  <si>
    <t>2022-08-02</t>
  </si>
  <si>
    <t>jellyfin-jellyfin-androidtv-1925</t>
  </si>
  <si>
    <t>HTTP 500 for Live TV causes crash on startup</t>
  </si>
  <si>
    <t>### Describe the bug
Since pulling the latest server the app no longer starts. Skimming the logs it looks like HTTP 500 for live TV is not caught so the main thread terminates.
suspect this has been fixed upstream (I waiting for the linuxserver.io image to pull recent commits into the nightly), but the app should also catch unexpected HTTP exceptions too:
--------- beginning of main
### App information
***App version***: 0.14.0-beta.3 140003
### Device information
***Android version***: 11
***Device brand***: NVIDIA
***Device product***: mdarcy
***Device model***: SHIELD Android TV
### Crash information
### Application version
### Where did you install the app from?
### Device information
Nvidia Shield 2019
### Android version
### Jellyfin server version</t>
  </si>
  <si>
    <t>mI-PIV-app-344</t>
  </si>
  <si>
    <t>Load Experiment Crash</t>
  </si>
  <si>
    <t>When trying to load an experiment, the app crashes with the following error message:
The error occurs on line 104 in We get the error because is null, but tries to call the .isReplace() function. This is happening on my Google Pixel phone.</t>
  </si>
  <si>
    <t>aws-amplify-amplify-android-1868</t>
  </si>
  <si>
    <t>TransferService causes ForegroundServiceDidNotStartInTimeException</t>
  </si>
  <si>
    <t>### Before opening, please confirm:
have searched for duplicate or closed issues (https: github.com aws-amplify amplify-android issues?q is%3Aissue+) and discussions (https: github.com aws-amplify amplify-android discussions).
### Language and Async Model
### Amplify Categories
### Gradle script dependencies
### Environment information
### Please include any relevant guides or documentation you re referencing
### Describe the bug
ActivityThread.java line 2147
We ve observed the crash on Android 9, 11, 12.
And the following list of devices at the moment:
Galaxy S20+ 5G
Galaxy A13 5G
Lenovo Tab M10 (FHD)
We ve reverted back to one the previous versions for now, so actually there might be more of them. The data is obtained from Firebase crash reports.
### Reproduction steps (if applicable)
Use amplifyframework v1.36.4
### Code Snippet
Initialization in Application class
Uploading, somewhere in the app</t>
  </si>
  <si>
    <t>PojavLauncherTeam-PojavLauncher-3473</t>
  </si>
  <si>
    <t xml:space="preserve">[BUG] Crashes randomly </t>
  </si>
  <si>
    <t>### Describe the bug
From somedays whenever am playing pojav launcher crashes randomly in the middle of the game
And am irritated with it as play hypixel skyblock
### The log file and images videos
### Steps To Reproduce
1. Install Pojavlauncher
2. Download forge jar of 1.8.9
3. And download neu and collection
5. Play and it will randomly crash
### Expected Behavior
expect the game runs properly without crashing
Device model: Vivo v2130
CPU architecture: arm64-v8a 8th generation AArch64
Android version: 12
PojavLauncher version: openjdk
### Anything else?
Nah just help me to fix this</t>
  </si>
  <si>
    <t>jellyfin-jellyfin-androidtv-1920</t>
  </si>
  <si>
    <t>0.14 branch crashes on server selection</t>
  </si>
  <si>
    <t>### Describe the bug
build from current 0.14 branch
fresh install the app
select server from the discovery tab
The root cause is https: github.com jellyfin jellyfin-androidtv commit
So reverting this commit, avoids the crash.
Caused by: SSL handshake aborted: ssl 0x941ce4c8: Failure in SSL library, usually protocol error
... 20 more
### Application version
### Where did you install the app from?
### Device information
### Android version
### Jellyfin server version</t>
  </si>
  <si>
    <t>ZeusWPI-hydra-android-627</t>
  </si>
  <si>
    <t>Cammie mode crashes with NoSuchFieldException</t>
  </si>
  <si>
    <t>On the open variant, obviously.</t>
  </si>
  <si>
    <t>jellyfin-jellyfin-androidtv-1919</t>
  </si>
  <si>
    <t>libVLC player crashing when start to play a video</t>
  </si>
  <si>
    <t>### Describe the bug
App will crash when click and playback video
--------- beginning of main
--------- beginning of crash
### App information
***App version***: 0.14.0-beta.3 140003
### Device information
***Android version***: 10
***Device brand***: google
***Device product***: sabrina prod stable
***Device model***: Chromecast
### Crash information
### Application version
### Where did you install the app from?
### Device information
Google Chromecast (4th Generation) with Google TV
### Android version
### Jellyfin server version</t>
  </si>
  <si>
    <t>2022-08-01</t>
  </si>
  <si>
    <t>aws-amplify-aws-sdk-android-2963</t>
  </si>
  <si>
    <t xml:space="preserve">Crash due to InternalCallback: Duplicate call to execute code. </t>
  </si>
  <si>
    <t>**Describe the bug**
When ever am trying to run below code am getting crash. till now we have total 3.2k crashes recorded.
Init AWS SDK before login as per document https: docs.amplify.aws sdk auth getting-started platform android
override fun UserStateDetails)
Log.i( INIT onResult:
if (userStateDetails null &amp;&amp; UserState.SIGNED IN)
override fun onError(e:
Log.e( INIT Initialization error. e)
**Which AWS service(s) are affected?**
App should not crash
&lt;img width 1329 alt Screenshot 2022-08-02 at 12 25 47 AM src https: 110421612
**Environment Information (please complete the following information):**</t>
  </si>
  <si>
    <t>nextcloud-android-10580</t>
  </si>
  <si>
    <t>3.21.0 RC1 - App crashes, when a maximized picture will be deleted</t>
  </si>
  <si>
    <t>### Before posting
This is **bug**, not question or an enhancement.
ve searched for similar issues (https: github.com nextcloud android issues) and didn find duplicate.
ve written clear and descriptive title for this issue, not just Bug or Crash
agree to follow Nextcloud Code of Conduct (https: nextcloud.com contribute code-of-conduct ).
### Steps to reproduce
1. Look for your pic, you want to delete
2. maximise the pic
4. -&gt; Crash
### Expected behaviour
Pic should be deleted
### Actual behaviour
### Cause of error
### App information
Build flavor: gplay
### Device information
### Android version
### Device brand and model
Samsung Note 10
### Stock or custom OS?</t>
  </si>
  <si>
    <t>dropbox-dropbox-sdk-java-406</t>
  </si>
  <si>
    <t>Dropbox login crash on Android 13 with targetSdk 33</t>
  </si>
  <si>
    <t>ve lifted my app to targetSdk 33. The Dropbox login flow crashes on my Android 13 device when pressing Allow in the grant access dialog in the Dropbox app (i.e. throwing ActivityNotFound when trying to call back to my app). Very likely root cause: Intent filters block non-matching intents change introduced with Android 13 SDK 33. It works fine when reverting my app to targetSdk 31.
Are you aware of this issue? assume this needs patch on your side (?)</t>
  </si>
  <si>
    <t>commons-app-apps-android-commons-5021</t>
  </si>
  <si>
    <t>[Bug]: App won't launch after signing in for first time</t>
  </si>
  <si>
    <t>Launching the app for the first time, it was able to open the login screen. After logged in, the app crashed and now refuses to open.
### Steps to reproduce
1. attempt to open the app
### Expected behaviour
the app should launch
### Actual behaviour
The app refuses to launch
### Device name
### Android version
### Commons app version
### Device logs
### Would you like to work on the issue?</t>
  </si>
  <si>
    <t>Anuken-Mindustry-7268</t>
  </si>
  <si>
    <t>Scathe shooting both ground and air units</t>
  </si>
  <si>
    <t>**Steps to reproduce**: *Had power source next to it, two item sources one with Tungsten and the other with Carbide and two liquid sources, both with water. On custom map made in the editor.*
**Link(s) to mod(s) used**: *No mods*
**Save file**: *Sorry don understand what should do here.*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</si>
  <si>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2022-07-31</t>
  </si>
  <si>
    <t>Anuken-Mindustry-7257</t>
  </si>
  <si>
    <t>Game freezes when Poly try help me</t>
  </si>
  <si>
    <t>upd. The bug seems to require special situation, now can reproduce it...
upd 2. https: youtu.be TQ6S15mFlxc (sounds not captured, but they looped)*
**Steps to reproduce**: *Start dismantle something in Serpulo 47 sector and wait before Poly try help.*
**Link(s) to mod(s) used**: *Developer Mode (https: github.com deltanedas dev-mode), Informatis (https: github.com Sharlottes Informatis), Time Control (https: github.com sk7725 TimeControl), UI Lib (https: github.com deltanedas ui-lib)*
**Save file**: *https: drive.google.com file view?usp sharing*
**(Crash) logs**: *Freeze not create crash log*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***(But problem ignored)***</t>
  </si>
  <si>
    <t>2022-07-30</t>
  </si>
  <si>
    <t>jellyfin-jellyfin-androidtv-1909</t>
  </si>
  <si>
    <t>Jellyfin crashes when it jumps to the next episode</t>
  </si>
  <si>
    <t>### Describe the bug
On some shows when the episode jumps from to another, jellyfin android tv app crashes. have tried clearing cache, clearing data. ve tried on different devices. But same issue.
This did not occur in v0.13.7 or below
Once an episode finishes playing, either press next wait until next episode loads on its own and it crashes
Caused by: Job was cancelled
--------- beginning of main
### App information
***App version***: 0.14.0-beta.2 140002
### Device information
***Device brand***: Dhiraagu
***Device product***: JOYBOX
***Device model***: DV8535
### Crash information
### Application version
0.14.0-beta2 (happens on beta as well)
### Where did you install the app from?
### Device information
### Android version
### Jellyfin server version</t>
  </si>
  <si>
    <t>2022-07-29</t>
  </si>
  <si>
    <t>LawnchairLauncher-lawnchair-2804</t>
  </si>
  <si>
    <t>[BUG] Lawnchair Crashes when interacting with widgets</t>
  </si>
  <si>
    <t>### Describe the bug
When interacting with widgets that have dedicated buttons for doing some actions, lawnchair crashes. for example using next, previous and play pause buttons on music app widget. clicking on the widget itself opens the application with no errors.
here the crash log url: https: bin.kv2.dev
N.B. this issue only happens if the phone is rooted, otherwise everything works fine.
### Steps to reproduce
Steps to reproduce the behavior:
1. Add widget with buttons on homescreen (e.g. music app widget)
2. Tap on any button on the widget (e.g. play pause on music app widget)
3. See error
### Expected behavior
Buttons work on widgets
### Device information
Device: OnePlus 6T
OS: AwakenOS 2.9 custom ROM build 15072022 Android 12.1
App version: 12.0.0 Alpha
### Additional context
only on rooted phones, whether the app is given SU permissions or not.</t>
  </si>
  <si>
    <t>PojavLauncherTeam-PojavLauncher-3465</t>
  </si>
  <si>
    <t>[BUG] &lt;Error code 1&gt;</t>
  </si>
  <si>
    <t>### Describe the bug
Minecraft 1.19 Optifine, when creating world, an error with code pops up
### The log file and images videos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This means that either the device shut down, logd crashed, or this instance of logcat was unable to read log
messages as quickly as they were being produced.
If you have enabled significant logging, look into using the -G option to increase log buffer sizes.
FATAL ERROR in native method: Thread Render thread,10,main No context is current or function that is not available in the current context was called. The JVM will abort execution.
process killed with signal code 0xffffffff addr 0x297e000029bd
### Steps To Reproduce
2.I choose the world and go into it
3.The world is loading after 100% an error pops up
### Expected Behavior
Waiting for the game to launch
Device model: redmi note pro 64</t>
  </si>
  <si>
    <t>2022-07-28</t>
  </si>
  <si>
    <t>jellyfin-jellyfin-androidtv-1903</t>
  </si>
  <si>
    <t>App crash when resuming</t>
  </si>
  <si>
    <t>### Describe the bug
Not referring to resuming playback, just normal browsing in the app.
Maybe dupe of #1859
Not sure exactly how much idle time is necessary, but the crash is easily recreated like this. think it did this before beta2 as well, but never bothered to get the crash logs. Very helpful that the app is now logging to the server!
... 11 more
### Application version
### Where did you install the app from?
### Device information
### Android version
Not sure. Can check later
### Jellyfin server version</t>
  </si>
  <si>
    <t>Anuken-Mindustry-7246</t>
  </si>
  <si>
    <t>[MacOS] Random crash multiplayer 126.2</t>
  </si>
  <si>
    <t>**Steps to reproduce**: *Playing multiplayer with friend and crashed.*
**Link(s) to mod(s) used**: *Im not linking all but was using pictologic:1.5.8, simplistic:0.8.1, testmod:1, time-control:0.2, ui-lib:2.16.6, pictocanvas:2.5.8, goldmod:2.0 alpha b19, hackforall:0.1, moardustry:0.10, revision:12.5 (Only testmod, pictologic, ui-lib and simplistic were activated at the time. testmod is something my friend made).*
If you remove the line above without reading it properly and understanding what it means, will reap your soul. Even if you re playing on someone server, you can still save the game to slot. (noted)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*(I think)***
Sorry if something is wrong my end or waste your time new to GitHub reporting</t>
  </si>
  <si>
    <t>fabienli-DokuwikiAndroid-67</t>
  </si>
  <si>
    <t>Android 12.1 crash on sync</t>
  </si>
  <si>
    <t>If try to sync app crash.
App version: 0.31 from f-droid
Mobile: Poco F3
Log from logcat:</t>
  </si>
  <si>
    <t>2022-07-27</t>
  </si>
  <si>
    <t>ReVanced-revanced-integrations-102</t>
  </si>
  <si>
    <t>bug: Missing Intent functionality?</t>
  </si>
  <si>
    <t>### Bug description
Using Reddit Sync and opening post that links to Youtube causes Revanced Youtube to crash, Bogdan on Discord says this was cause of missing Intent.
### Steps to reproduce
1. Download Reddit Sync (There probably other apps that cause this too)
2. Search for post that links to Youtube
3. click it and see the crash popup
### Relevant log output
### Screenshots or videos
Make it not crash?
The subtext of this field says If applicable but it non optional therefore have to write something here.
### Additional context
It works fine if uninstall ReVanced and use the normal Youtube app.</t>
  </si>
  <si>
    <t>Anuken-Mindustry-7245</t>
  </si>
  <si>
    <t xml:space="preserve">Multiplayer error in android </t>
  </si>
  <si>
    <t>**Steps to reproduce**: *i exited the game, opened google, opened the game again and join
ed the nydus server then loading failed then the error occured.*
**Link(s) to mod(s) used**: *none.*
**Save file**: *None.*
**(Crash) logs**: *The error did not crash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</si>
  <si>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material-components-material-components-android-2867</t>
  </si>
  <si>
    <t>Unable to save settings: Failed to save settings. Please restart Android Studio</t>
  </si>
  <si>
    <t>do get this on versions of Android Studio, **BUT** in no other project
Unable to save settings: Failed to save settings. Please restart Android Studio
have checked if indeed it is Android Studio by opening many other apps and never seen this in them.
to produce just have to open the project, it even crashes way and need to re-open it
It will also happen when do explicitly open settings and close it etc..
## Versions tested
Android Studio Dolphin 2021.3.1 Beta
Build built on June 28, 2022
Runtime version: amd64
Android Studio Chipmunk 2021.2.1 Patch
Build built on May 18, 2022
Runtime version: 11.0.12+7-b1504.27 amd64</t>
  </si>
  <si>
    <t>bk138-droidVNC-NG-94</t>
  </si>
  <si>
    <t>Crash: rect too big</t>
  </si>
  <si>
    <t>If you like to put out an incentive for fixing this bug, you can do so at https: issuehunt.io bk138 droidVNC-NG
**Describe the bug**
After connected to my Android phone using vncviewer, the connection will crash every 5-15 minutes.
&lt;!-- Steps to reproduce the behavior:
1. start droidvnc
2. grant all priviledges
3. connect to it using vncviewer
4. do some actions for 5-15mins
&lt;!-- clear and concise description of what you expected to happen. --&gt;
&lt;!-- If applicable, add log output and or debugger backtraces to help explain your problem. --&gt;
**Your environment (please complete the following information):**
droidVNC-NG version: fdroid latest
Android version: 11
Client-side OS and version: fedora35 kernel 5.17.7
VNC client and version: vncviewer v1.12.0
&lt;!-- Add any other context about the problem here. --&gt;
have no background in VNC, but if you can point me the problem, may fix it myself.</t>
  </si>
  <si>
    <t>PojavLauncherTeam-PojavLauncher-3462</t>
  </si>
  <si>
    <t>[BUG] fabric 1.17.1+performance mods crashing</t>
  </si>
  <si>
    <t>### Describe the bug
It crashing after launch the game ve already downloaded full libraries!
### The log file and images videos
### Steps To Reproduce
1. Start fabric
2. Put any performance mods
### Expected Behavior
Device model: Vivo y50
CPU architecture: Aarch64
Android version: 10
PojavLauncher version: github build
### Anything else?</t>
  </si>
  <si>
    <t>VinylMusicPlayer-VinylMusicPlayer-609</t>
  </si>
  <si>
    <t xml:space="preserve">Android 12 : crash on foreground services call </t>
  </si>
  <si>
    <t>**Describe the bug**
Android 12 crash on foreground services call only happening on android 12 and greater</t>
  </si>
  <si>
    <t>2022-07-26</t>
  </si>
  <si>
    <t>PojavLauncherTeam-PojavLauncher-3458</t>
  </si>
  <si>
    <t>### Describe the bug
application exited with code one
When load up 1.18 the game crashes
### The log file and images videos
--------- beggining with launcher debug
--------- beginning of system
--------- beginning of main
Added custom env: TMPDIR data user net.kdt.pojavlaunch cache
Added custom env: AWTSTUB WIDTH 1368
Added custom env: POJAV NATIVEDIR data app lib x86 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lib jli: data user net.kdt.pojavlaunch runtimes lib: system lib64: vendor lib64: vendor lib64 hw: data app lib x86 64
Added custom env: POJAV RENDERER opengles3</t>
  </si>
  <si>
    <t>Anuken-Mindustry-7238</t>
  </si>
  <si>
    <t>Erekir liquid tank bug</t>
  </si>
  <si>
    <t>**Steps to reproduce**: *just pick up the smaller of the liquid tanks and place it down, bam you now have 2*
**Link(s) to mod(s) used**: *i did have the time control mod on but doubt thats culprit*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</si>
  <si>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2022-07-25</t>
  </si>
  <si>
    <t>jellyfin-jellyfin-androidtv-1889</t>
  </si>
  <si>
    <t>AndroidTV client crashes immediately upon login</t>
  </si>
  <si>
    <t>### Describe the bug
1. input id pw, pressing login in client
2. client crashes in few sec.
3. see nothing
have tested the client v0.12.0 0.12.3 0.13.0 0.13.7 0.14.0 beta1 beta2. they all crash.
the jellyfin server is from here https: www.qnapclub.eu en qpkg 693. if it necessary, can send you copy.
--------- beginning of main
### App information
***App version***: 0.14.0-beta.2 140002
### Device information
***Device brand***: MagicBox 30
***Device product***: MagicBox 30
***Device model***: MagicBox 30
### Crash information
### Application version
### Where did you install the app from?
### Device information
Tmall magic box M13
### Android version
### Jellyfin server version</t>
  </si>
  <si>
    <t>2022-07-24</t>
  </si>
  <si>
    <t>LSPosed-LSPosed-2049</t>
  </si>
  <si>
    <t>[Bug] LSposed 1.8.0 and Onwards not working Properly on Galaxy A8 2018 running Latest Stock Rom (Android 9.0)</t>
  </si>
  <si>
    <t>### Steps to reproduce
Install the module normally by uninstalling the previous one first and installing new one or update from the previous version, doesn matter.
### Expected behaviour
Manager should show LSposed installed and enabled modules should be working after enabling them in the modules tab of manager and rebooting.
### Actual behaviour
After installation and rebooting
1) For LSposed versions 1.8.0 to 1.8.2, the manager app does not detect lsposed zygisk module installation (don know about riru since use zygisk) even after rebooting.
2) For LSposed 1.8.3, the manager app detects the zygisk module installation but enabling the LSposed modules and after rebooting, the modules do not get activated and LSposed manager crashes when try to save logs.
3) Parasitic manager does not work on version 1.8.0 onwards.
**THE LAST WORKING VERSION FOR MY DEVICE UP TO DATE IS 1.7.2-6379 (STILL WORKS WITH MAGISK 25.2 WITH NO ISSUES)**
### Xposed Module List Xposed
Firefds kit Pie v9.1.0.7 stable 17
Hide My Applist v2.3.2
Sim Number Setter v1.0
### Magisk Module List Magisk
Bluetooth Library Patcher v2.4.1
BusyBox for Android NDK v1.34.1
Enhance My Applist v1.0
MagiskHide Props Config v6.1.2
Smali Patcher 0.0.7.4</t>
  </si>
  <si>
    <t>Anuken-Mindustry-7234</t>
  </si>
  <si>
    <t>[136.1] Fail to join a server with "Unknown Network Error"</t>
  </si>
  <si>
    <t>&lt;img width 748 alt image src https: 40715044
&lt;img width 733 alt image src https: 40715044
**Steps to reproduce**: Play -&gt; Join Game -&gt; Click server -&gt; Loading Map -&gt; Unknown Network Error
**Link(s) to mod(s) used**: have disabled every mod have installed and the issue persists.
**Save file**: have gone to Settings -&gt; Clear Game Data... -&gt; Try joining the server again, no luck. So no.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</si>
  <si>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Anuken-Mindustry-7233</t>
  </si>
  <si>
    <t xml:space="preserve">Having mono being freeze </t>
  </si>
  <si>
    <t>**Steps to reproduce**: just having many poly and destroy some block being freeze (for building don tested yet)
**(Crash) logs**: don have it it freeze not crash</t>
  </si>
  <si>
    <t>anirudhmalik-xhunter-41</t>
  </si>
  <si>
    <t>Some bugs</t>
  </si>
  <si>
    <t>sometimes the app force close when try to access whatsapp. The always crash when try to access any mobile on whatsapp loot.</t>
  </si>
  <si>
    <t>2022-07-23</t>
  </si>
  <si>
    <t>PojavLauncherTeam-PojavLauncher-3453</t>
  </si>
  <si>
    <t>[BUG] Forge crashes, same for Vanilla</t>
  </si>
  <si>
    <t>### Describe the bug
He also tried to use Vanilla 1.16.5, but the play button was gray.
We spent hours trying to fix this issue.
### The log file and images videos
### Steps To Reproduce
Install OpenJDK 17 for arm from here (https: github.com PojavLauncherTeam releases tag jre17-ec28559)
Install Forge 1.16.5 36.2.39 through Install .JAR button
Install Optifine 1.16.5 HD G8, OpenLoader 1.16.5 9.0.2, OfflineSkins 1.16.5 v1a, Team Core 1.16.5 3.2.1.195, TrajectoryPreview 3.0.2 1.16.4 and Aim Assistance 1.4.0 MC1.16.x (CurseForge versions) by copying into sdcard games PojavLauncher .minecraft mods
Launch the game through automatically generated forge profile.
### Expected Behavior
The game launches with all of those mods working
Device model: LG M320
CPU architecture: ARM64 v8 (running 32-bit Android, PojavLauncher and OpenJDK (arm32))
Android version: 7.0
PojavLauncher version: openjdk
### Anything else?
The Play button is not grayed out for Vanilla now, but it fails to load the main class (see later comments).</t>
  </si>
  <si>
    <t>vladiH-flutter_vision-5</t>
  </si>
  <si>
    <t>The application shows a crash message, but if you wait, it continues to work.</t>
  </si>
  <si>
    <t>How to reproduce the bug: Make photo of image with many text</t>
  </si>
  <si>
    <t>jellyfin-jellyfin-androidtv-1883</t>
  </si>
  <si>
    <t>Movie backdrop causes app crash</t>
  </si>
  <si>
    <t>### Describe the bug
Enabling Show backdrops causes app to hard crash when attempting to view movie. Does not impact TV shows.
Have tried different movies to see if crash was specific to single backdrop file but appears to be the same behaviour across all.
Steps to replicate:
My Media Select Movie Library -&gt; Select Movie -&gt; App hangs for while before crashing
Preference -&gt; Customisation -&gt; Show backdrops -&gt; Disabled
Can replicate behaviour across multiple different client devices so doesn appear to be specific to the device. Exception below is however only visible on Sony Bravia, Chromecast Google TV crashes with no exceptions in logs.
### Application version
### Where did you install the app from?
### Device information
Sony Bravia 4K 2015, Chromecast Google TV
### Android version
Android 8.0.0, Android 10
### Jellyfin server version</t>
  </si>
  <si>
    <t>Anuken-Mindustry-7228</t>
  </si>
  <si>
    <t>Hidden building in the onset campaign</t>
  </si>
  <si>
    <t>**Steps to reproduce**: just deconstructing and the hidden buildings on the other side got viewed
**Link(s) to mod(s) used**: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</si>
  <si>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LawnchairLauncher-lawnchair-2788</t>
  </si>
  <si>
    <t>[BUG] Lawnchair crashes on adding widgets in Samsung A52</t>
  </si>
  <si>
    <t>### Describe the bug
In my Samsung A52, Android 12, whenever try adding any widgets on homescreen Lawnchair crashes
am using the latest lawnchair app
### Steps to reproduce
Steps to reproduce the behavior:
1. Long press on home scree select widgets
2. Long press on any widgets place it to home screen
3. Lawnchair app crashes
### Expected behavior
The app should not crash the widgets should be added to home screen successfully
### Device information
Device: Samsung A52
OS: Android 12
App version: 12.1.0 Alpha
### Additional context</t>
  </si>
  <si>
    <t>AndroidIDEOfficial-AndroidIDE-328</t>
  </si>
  <si>
    <t>Bug on android 10</t>
  </si>
  <si>
    <t>MuntashirAkon-AppManager-811</t>
  </si>
  <si>
    <t>App list crash on Android 13 beta 4</t>
  </si>
  <si>
    <t>**Describe the bug**
The initial app list screen in App Manager is unable to populate the list of applications on Android 13 beta 4, and after few seconds, the app crashes.
Steps to reproduce the behaviour:
1. Open AppManager
2. Wait for AppManager to attempt to populate the app list
3. Notice that it takes longer than usual, and crashes after few seconds
App list is populated and populated and the application does not crash
App version: 2.6.5.1
App version code: 397
Android build version: 8812298
Android release version: 13
Android SDK version: 33
Android build ID: TPB4.220624.005
Device brand: google
Device manufacturer: Google
Device name: raven
Device model: Pixel Pro
Device product name: raven
Device hardware name: raven
ABIs (32bit): armeabi-v7a, armeabi</t>
  </si>
  <si>
    <t>Anuken-Mindustry-7224</t>
  </si>
  <si>
    <t>JS errors in ContentInitEvent crash the game</t>
  </si>
  <si>
    <t>**Steps to reproduce**: *Simply start game with mod loaded that generates ECMAError in function registered for ContentInitEvent (not invalid syntax, as that simply prevents the mod from loading). Example:* not valid function ()
**Link(s) to mod(s) used**: *Private mod which has since been lost to time*
**Save file**: *not applicable here*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(using BE)**
**I have searched the closed and open issues to make sure that this problem has not already been reported.**</t>
  </si>
  <si>
    <t>2022-07-22</t>
  </si>
  <si>
    <t>LSPosed-LSPosed-2043</t>
  </si>
  <si>
    <t>[Bug] Logd may be crashed in vivo/IQOO device</t>
  </si>
  <si>
    <t>### Steps to reproduce
### Expected behaviour
normal print log
### Actual behaviour
### Xposed Module List Xposed
### Magisk Module List Magisk
### LSPosed version LSPosed
### Android version Android
### Magisk version Magisk
### Riru version Riru
### Version requirement
am using latest debug CI version of LSPosed and enable verbose log CI</t>
  </si>
  <si>
    <t>Anuken-Mindustry-7219</t>
  </si>
  <si>
    <t>All power nodes, bridges, and conveyors disconnected after losing sector</t>
  </si>
  <si>
    <t>**Steps to reproduce**: Lose sector, then return to it
**Link(s) to mod(s) used**: No mods
**Save file**: serpulo-70.zip (https: github.com Anuken Mindustry files 9163218 serpulo-70.zip)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</si>
  <si>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2022-07-21</t>
  </si>
  <si>
    <t>Anuken-Mindustry-7216</t>
  </si>
  <si>
    <t>#7215 **Platform**: *Android iOS Mac Windows Linux*
**The game would crash when trying to update can update**: *Explain your issue in detail.*
**After downloading the update files, it ll crash(not responding in background). would need to close the game(not even alt f4 will work) and then open again to play. **: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</si>
  <si>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Anuken-Mindustry-7215</t>
  </si>
  <si>
    <t>GoogleCloudPlatform-fda-mystudies-4731</t>
  </si>
  <si>
    <t>[iOS] [Consent API] Gateway app &gt; App is is crashing in the below scenario</t>
  </si>
  <si>
    <t>1. Install the app
2. Create the account
3. Enter valid verification code
4. Create passcode
5. Click on Next
6. Select any value displayed on the notification settings pop up</t>
  </si>
  <si>
    <t>Anuken-Mindustry-7212</t>
  </si>
  <si>
    <t>区块波次出现问题</t>
  </si>
  <si>
    <t>**Steps to reproduce**: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</si>
  <si>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material-components-material-components-android-2845</t>
  </si>
  <si>
    <t>[Slider] Null pointer exception on visibility changed</t>
  </si>
  <si>
    <t>**Source code:** have not changed anything and everything was working fine before this code was added to the BaseSlider
protected void NonNull View changedView, int visibility)
When the visibility is set to VISIBLE, onDraw() is called again which adds or removes labels
according to the setting.
if (visibility VISIBLE)
for (TooltipDrawable label labels)
**Minimal sample app repro:** am using it in my library (https: github.com pranavpandey dynamic-support) via custom slider (https: github.com pranavpandey dynamic-support blob master dynamic-support src main java com pranavpandey android dynamic support widget DynamicSlider.java) to display color picker (https: github.com pranavpandey dynamic-support blob master dynamic-support src main java com pranavpandey android dynamic support picker color inside dialog (https: github.com pranavpandey dynamic-support blob master dynamic-support src main java com pranavpandey android dynamic support picker color dialog fragment. It dynamically sets the visibility of various sliders based on user preference. It was working fine with the previous version (1.7.0-alpha02).
1. Clone dynamic-support (https: github.com pranavpandey dynamic-support) repository.
2. Change Material version (https: github.com pranavpandey dynamic-support blob build.gradle#L29) to 1.7.0-alpha03 in build.gradle file.
3. Run the sample app go to Settings.
4. Select any color preference to crash.
**Android API version:** API 16, working fine on API 19.
**Material Library version:** 1.7.0-alpha03</t>
  </si>
  <si>
    <t>PojavLauncherTeam-PojavLauncher-3447</t>
  </si>
  <si>
    <t>Earthack crash</t>
  </si>
  <si>
    <t>### Describe the bug
Game exited with code
### The log file and images videos
--------- beggining with launcher debug
Added custom env: TMPDIR data user net.kdt.pojavlaunch cache
Added custom env: AWTSTUB WIDTH 1562
Added custom env: POJAV NATIVEDIR data app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 lib aarch64 jli: data user net.kdt.pojavlaunch runtimes Internal lib aarch64: system lib64: vendor lib64: vendor lib64 hw: data app lib arm64
Added custom env: POJAV RENDERER opengles2
Added custom env: LIBGL ES
Added custom env: VTEST SOCKET NAME data user net.kdt.pojavlaunch cache .virgl test
Added custom env: MESA LOADER DRIVER OVERRIDE zink</t>
  </si>
  <si>
    <t>jellyfin-jellyfin-androidtv-1873</t>
  </si>
  <si>
    <t>Crash at the end of an episode</t>
  </si>
  <si>
    <t>### Describe the bug
1. Play TV show with next episode queued up
2. Watch until the end of the first episode
The next episode prompt pops up.
Most of the times, playback cannot be continued with the next episode. It starts stuttering and ultimately crashes.
Note that this also occurred with the latest stable release, not only the beta currently using.
--------- beginning of main
--------- beginning of crash
### App information
***App version***: 0.14.0-beta.1 140001
### Device information
***Android version***: 11
***Device brand***: NVIDIA
***Device product***: sif
***Device model***: SHIELD Android TV
### Crash information
### FFmpeg logs
### Media info of the file
ffprobe version 5.0.1-Jellyfin Copyright (c) 2007-2022 the FFmpeg developers
built with gcc (Debian 8.3.0-6)</t>
  </si>
  <si>
    <t>2022-07-20</t>
  </si>
  <si>
    <t>jellyfin-jellyfin-androidtv-1872</t>
  </si>
  <si>
    <t>Crash on same user, different servers.</t>
  </si>
  <si>
    <t>### Describe the bug
Just handing this down from user report, he reports crashes if he setup identical server and than tries to use it or switch.
Good news found the issue: In Authentication Automatic Sign In if set as user to auto login and the same user exists for other server, this causes this crash issue
### Application version
### Where did you install the app from?
### Device information
### Android version
### Jellyfin server version</t>
  </si>
  <si>
    <t>LawnchairLauncher-lawnchair-2783</t>
  </si>
  <si>
    <t>[BUG] App crash using DEV build - Included crash report</t>
  </si>
  <si>
    <t>### Describe the bug
App crashes sometimes when going back to the Launcher
### Steps to reproduce
1- Go to launcher from any app.
2- see briefly lawnchair asking for root
3- App crashes, and restarts fine.
### Expected behavior
### Device information
Device: Samsung S8
OS: LineageOS 12.1
App version 12.1.0 Dev (#989)
### Additional context
am rooted with Magisk
Crash report https: katb.in eqaxihenora</t>
  </si>
  <si>
    <t>google-ExoPlayer-10458</t>
  </si>
  <si>
    <t>DownloadManager task sync creates too many concurrently-running threads for moderate amounts of STATE_RESTARTING or STATE_REMOVING downloads in index</t>
  </si>
  <si>
    <t>### ExoPlayer Version
### Devices that reproduce the issue
Pixel emulator API 31
TCL 10 SE TCL UI 3.0.7.K2V (API 30)
### Devices that do not reproduce the issue
### Reproducible in the demo app?
### Reproduction steps
1. Check out https: github.com stoyicker tree It is an empty app using exoplayer 2.18.0 set up to create downloadmanager with an index that will get problematic downloads.
2. Choose an appropriate number of downloads with problematic state to add to the index. For this setup, my emulator would crash with 1.5k and my device with 2k. Using values too low for your setup will result in the expected result.
3. Run the app.
4. When the app shows the black screen stating it ready, tap it. This will start adding downloads with one of the states mentioned in the title to the index to simulate the problematic situation, and when it done it ll change the screen color to red and proceed to create DownloadManager with this index.
Demo app setup:
1. Check out https: github.com stoyicker ExoPlayer tree to recreate scenario. It is the tag for 2.18.0 with customized download index that will get problematic downloads added.
2. Choose an appropriate number of downloads with problematic state to add to the index. For this setup, my emulator would crash with 4k (although noticed that smaller amounts would print the exception as log instead of crashing, but couldn pinpoint from where) and haven tested my device. Using values too low for your setup will result in the expected result.
3. Run the app.
4. Wait for the list of demos to render, which will mean that the index has been filled with the requested amount of downloads.
5. Wait few seconds after the list of demos renders. Less than 30s should do.
Make sure you always uninstall the app or clear its data when trying anew to avoid picking up the old index. Also note that this applies not only on initialization, but on any calls that trigger call to syncTasks with the appropriate amount of downloads in the problematic states.
### Expected result
When the DownloadManager is initialized (as in, the activeTask map filled because of the syncTasks call in initialize has been emptied, not when the callback has been invoked), the screen will change to blue, so it is expected that after few seconds this happens.</t>
  </si>
  <si>
    <t>GoogleCloudPlatform-fda-mystudies-4721</t>
  </si>
  <si>
    <t>[Android] App is crashing in the following scenario</t>
  </si>
  <si>
    <t>1. Install the mobile app
2. Sign in Sign up
3. Enroll to the study
4. Kill the app after navigating to study activities screen
5. Now, Go back to SB
6. Select Enforce e-consent flow again for enrolled participants in the SB and Publish the study
7. Open the mobile app and submit the updated consent flow and Verify</t>
  </si>
  <si>
    <t>Anuken-Mindustry-7207</t>
  </si>
  <si>
    <t>Pulsars can't damage conveyors</t>
  </si>
  <si>
    <t>**Steps to reproduce**: put pulsar near enemy conveyor
**Link(s) to mod(s) used**:
**Save file**: https: 109595655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</si>
  <si>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mI-PIV-app-331</t>
  </si>
  <si>
    <t>App Crash in Processing</t>
  </si>
  <si>
    <t>The only difference between normal processing and here is that selected view background when generated the frames. am not entering anything aside from defaults in the advanced parameters section (meaning the background subtraction shouldn be running). This leads to crash during processing.</t>
  </si>
  <si>
    <t>2022-07-19</t>
  </si>
  <si>
    <t>therealsujitk-android-vtop-chennai-48</t>
  </si>
  <si>
    <t>App crash while clicking a subject in the Home Tab</t>
  </si>
  <si>
    <t>## Bug Report
When go to the home tab of the app click on any time table unit to view the class room number other data the app crashes.
**Steps to Reproduce**
1.Go to the Home Tab
2.Under any day choose any subject at any time
3.When clicked app crash
The data about that period must be visible like room number etc
WhatsApp Image 2022-07-19 at 54 15 PM (https: 73524123
Android version:Android 10
Device make model:Mi A2</t>
  </si>
  <si>
    <t>facebook-react-native-34221</t>
  </si>
  <si>
    <t>[fix] Hermes pod: change logic to use the hermes tag to set the pod source correctly</t>
  </si>
  <si>
    <t>&lt;!-- Thanks for submitting pull request! We appreciate you spending the time to work on these changes. Please provide enough information so that others can review your pull request. The three fields below are mandatory. --&gt;
This fix is necessarly to ensure that when working on the codebase in the 0.XX-stable branches (ex. when you are working on release) the Hermes podfile is correctly set against the right commit for that branch, and not latest commit from main branch of Hermes repo.
didn add check to verify that the file .hermesversion exists because think it safe to assume that the file and the tag correctly exists when this step (doing pod install on the 0.XX-stable branch).
Once this is merged, we need to cherry pick it on both the 0.69 and 0.70 branches
iOS Fixed Hermes pod: change logic to use the hermes tag to set the pod source correctly
## Test Plan
&lt;!-- Demonstrate the code is solid. Example: The exact commands you ran and their output, screenshots videos if the pull request changes the user interface. --&gt;
git clone the repo
checkout 0.69-stable branch
follow https: reactnative.dev contributing release-testing
without this commit, when testing RNTester iOS Hermes the app will insta-crash on opening
with it, the app gets build successfully</t>
  </si>
  <si>
    <t>Anuken-Mindustry-7201</t>
  </si>
  <si>
    <t>shard duping</t>
  </si>
  <si>
    <t>**Stes to reproduce**:
1. choose the shard core, go to resources fill in copper 1000, lead 800 (or just press max, it could be any value but less than one shard)
2. launch to any sector
3. go back to planet map and launch to another sector, but this time, press max exactly times to create the error
go back to planet map and launch to another sector, press max twice from now on to dupe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</si>
  <si>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Anuken-Mindustry-7199</t>
  </si>
  <si>
    <t>The game sometimes stuck for a long period of time</t>
  </si>
  <si>
    <t>**Steps to reproduce**: *How you happened across the issue, and what exactly you did to make the bug happen.*
Just deconstruct building using pulsar or deconstruct with the help of poly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</si>
  <si>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norkator-apcupsd-monitor-127</t>
  </si>
  <si>
    <t>Every time add nut server the app crashes and wont open. After cleaning the cahes am able to access the app again.</t>
  </si>
  <si>
    <t>GoogleCloudPlatform-fda-mystudies-4715</t>
  </si>
  <si>
    <t>1. Sign in and complete the passcode process
2. Click on any enrolled study
3. Click on Home icon
4. Click on Hamburger menu
5. Sign out
6. Click on Sign in and Verify</t>
  </si>
  <si>
    <t>Anuken-Mindustry-7196</t>
  </si>
  <si>
    <t>Horizons are no longer able to carry resources/have no inventory</t>
  </si>
  <si>
    <t>Starting with 136, horizon no longer have an inventory and cannot carry resources materials
Steps to reproduce: How you happened across the issue, and what exactly you did to make the bug happen.
Try to pickup resource with horizon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(Steam) **I have updated to the latest release (https: github.com Anuken Mindustry releases) to make sure my issue has not been fixed.**
**I have searched the closed and open issues to make sure that this problem has not already been reported.**</t>
  </si>
  <si>
    <t>Anuken-Mindustry-7195</t>
  </si>
  <si>
    <t>Core schematics do not show on launch screen</t>
  </si>
  <si>
    <t>Starting with 136, after Steam updated the game, my core schematics no longer show up under launch.
**Steps to reproduce**: *How you happened across the issue, and what exactly you did to make the bug happen.*
launch the game and click on launch from the planetary map.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(Steam) **I have updated to the latest release (https: github.com Anuken Mindustry releases) to make sure my issue has not been fixed.**
**I have searched the closed and open issues to make sure that this problem has not already been reported.**</t>
  </si>
  <si>
    <t>therealsujitk-android-vtop-chennai-47</t>
  </si>
  <si>
    <t>App crashes when tapping on a subject in timetable</t>
  </si>
  <si>
    <t>## Bug Report
When you tap on subject to open up pane that tells you where the class is, the app immediately crashes
**Steps to Reproduce**
1. Go to home page
2. Click on any subject
3. See app crash
App shows me location of class
Android version: &lt;!-- Android 12, OneUI Core Version 4.1 --&gt;
Device make model: &lt;!-- Samsung M21 --&gt;</t>
  </si>
  <si>
    <t>AndroidIDEOfficial-AndroidIDE-323</t>
  </si>
  <si>
    <t>After clicking implement abstract method (s) in Code editor</t>
  </si>
  <si>
    <t>FYI. class which is extends by
AndroidIDE crash report</t>
  </si>
  <si>
    <t>2022-07-18</t>
  </si>
  <si>
    <t>PojavLauncherTeam-PojavLauncher-3443</t>
  </si>
  <si>
    <t xml:space="preserve">[BUG] Crash </t>
  </si>
  <si>
    <t>### Describe the bug
Application exited with code
And the game crashes when ever use mod require essential like skytils or scrollable tooltips
### The log file and images videos
### Steps To Reproduce
1. Install pojav launcher
2. Install forge 1.8.9
3. Download skytils or scrollable tooltips mod
4. Put the skytils or tooltips in mods folder
5. Launch pojavlauncher and select forge
6. Click on play
7. Continue if doesn crash go on multiplayer and join hypixel or any server
### Expected Behavior
Expected behaviour To launch and play without crash
Device model: Vivo v2130
CPU architecture: arm64-v8a 8th generation AArch64
Android version: 12
PojavLauncher version: openjdk
### Anything else?</t>
  </si>
  <si>
    <t>jellyfin-jellyfin-androidtv-1859</t>
  </si>
  <si>
    <t>Crash when navigating the homescreen</t>
  </si>
  <si>
    <t>### Describe the bug
1. Update app
2. Log in to existing user
3. Scroll around
.. not super helpful but it the app shield completely froze and upon unfreezing the Jellyfin app crashed
... 11 more
--------- beginning of main
--------- beginning of crash
### App information
***App version***: 0.14.0-beta.1 140001
### Device information
***Device brand***: NVIDIA
***Device product***: sif
***Device model***: SHIELD Android TV
### Crash information
### Application version
### Where did you install the app from?
### Device information
### Android version
### Jellyfin server version</t>
  </si>
  <si>
    <t>Anuken-Mindustry-7193</t>
  </si>
  <si>
    <t>Vela's heal weapon visual bug</t>
  </si>
  <si>
    <t>**Steps to reproduce**: Have any damaged unit get close with vela and start boosting and face any other direction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</si>
  <si>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Igalia-wolvic-204</t>
  </si>
  <si>
    <t>Prevent a crash due to incompatible logins databases</t>
  </si>
  <si>
    <t>Users with old versions of Wolvic installed who are migrating to 1.0 are experiencing crash due to incompatible Logins database. This service is provided by Mozilla component which may have changed to use different database format.
This patch serves as temporary fix to avoid the crash, by clearing saved logins database if an incompatibility is found.</t>
  </si>
  <si>
    <t>therealsujitk-android-vtop-chennai-45</t>
  </si>
  <si>
    <t>App crashes when opening timetable item bottom sheet</t>
  </si>
  <si>
    <t>## Bug Report
For new semester when the timetable item bottom sheet is opened, the app crashes.
**Steps to Reproduce**
1. Sync data for new semester with no attendance
2. Go to home and click on any timetable item
The bottom sheet should appear with the attendance showing NA
Android version: Android 12
Device make model: Moto G40 Fusion
This is possibly due to the being null therefore null check should be applied before accessing in (https: github.com therealsujitk blob master app src main java tk therealsuji vtopchennai adapters</t>
  </si>
  <si>
    <t>jellyfin-jellyfin-androidtv-1855</t>
  </si>
  <si>
    <t>Crash when exiting playback, v0.14.0-beta1, exoplayer</t>
  </si>
  <si>
    <t>### Describe the bug
can seem to reproduce this reliably, but the crash seems to happen most often when stopping playback of video.
1. Start playback
2. Change audio tracks maybe? Or skip around in the video?
3. Exit video playback
The video from the attached crash log had the following characteristics:
Global Bit Rate: 82.1mb
Overall Size: 56.9 GiB
Aspect Ratio: 16:9
Frame Rate: 23.976 (24000 1001) FPS
Bit Rate: 78.4mb
HDR Format: SMPTE ST 2094 App 4, Version 1, HDR10+ Profile compatible
Color Primaries: BT.2020
Transfer Characteristics: PQ
English MLP FBA 5.1ch 1227kb Discrete Surround Upmix Dolby TrueHD Audio 5.1 48 kHz 1227 kbps 16-bit
English AC-3 5.1ch 640kb Compatibility Track Dolby Digital Audio 5.1-EX 48 kHz 640 kbps DN -27dB
English FLAC 2.0ch 1184kb Dolby SVA 35mm FLAC Audio Lt Rt 48 kHz 1184 kbps 24-bit
English AC-3 2.0ch 640kb Commentary
have also noticed that when seek, especially right after just beginning to play video, sometimes the app will hang for around 30 seconds, and sometimes will see toast notification that the player encountered an error and had to be reloaded. Also, seeking seems to often cause the player to reload the audio video (I can tell it being reloaded because with my setup initializing the audio can cause *pop* from my speakers). not sure if any of that is related to this issue though.
--------- beginning of main</t>
  </si>
  <si>
    <t>2022-07-17</t>
  </si>
  <si>
    <t>Anuken-Mindustry-7188</t>
  </si>
  <si>
    <t>Ah, you forget to stop controls from working if escape menu is open.</t>
  </si>
  <si>
    <t>jellyfin-jellyfin-androidtv-1853</t>
  </si>
  <si>
    <t>Intro skipper plugin incompatible with the API (plugin issue)</t>
  </si>
  <si>
    <t>### Describe the bug
Item starts playing then the app crashes
item is AVI
--------- beginning of main
### App information
***App version***: 0.14.0-beta.1 140001
### Device information
***Android version***: 11
***Device brand***: NVIDIA
***Device product***: sif
***Device model***: SHIELD Android TV
### Crash information
### Application version
### Where did you install the app from?
### Device information
SHIELD Android TV
### Android version
### Jellyfin server version</t>
  </si>
  <si>
    <t>AndroidIDEOfficial-AndroidIDE-318</t>
  </si>
  <si>
    <t>Error `Tooling API server is already started` when reopening AndroidIDE</t>
  </si>
  <si>
    <t>AndroidIDE crash report
Steps to reproduce
The same as in #264.</t>
  </si>
  <si>
    <t>Anuken-Mindustry-7184</t>
  </si>
  <si>
    <t>Entering a turret another player is inside of crashes the game</t>
  </si>
  <si>
    <t>**Steps to reproduce**:
Enter block by control clicking
Get another player to control click on the same block
**Link(s) to mod(s) used**: *None*
**Save file**: mindustry save 07162022.zip (https: github.com Anuken Mindustry files 9126408 mindustry save 07162022.zip)
**(Crash) logs**: crash-report-07 16 2022 14 53 16.txt (https: github.com Anuken Mindustry files 9126411 crash-report-07 16 2022 14 53 16.txt)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</si>
  <si>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2022-07-16</t>
  </si>
  <si>
    <t>TeamNewPipe-NewPipe-8639</t>
  </si>
  <si>
    <t>UI Crash in Download UI on screen rotation</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</si>
  <si>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Click on any video
2. Click download
3. Turn Rotate phone 90 degrees
4. The UI Crashes
### Expected behavior
### Actual behavior
### Screenshots Screen recordings
&lt;img alt Download UI src https: 102857306 height 600
Screenshot to help you identify what meant by Download UI.
That screen crashes when rotation phone screen.
User Action: ui error
Request: ACRA report
Content Country: DE</t>
  </si>
  <si>
    <t>PojavLauncherTeam-PojavLauncher-3440</t>
  </si>
  <si>
    <t>[BUG] Game crashed when using internal shader on Optifine</t>
  </si>
  <si>
    <t>### Describe the bug
All good when opening Minecraft but when join world, it crashed with code when using internal shader on Optifine. Turning it off doesn crash my game
### The log file and images videos
### Steps To Reproduce
1. Start PojavLauncher
2. Start Minecraft 1.18.2 1.19 with holy gl4es
3. Go to Options Video Settings Shaders (Internal)
4. Go to any world
### Expected Behavior
expected to play the game normally
Device model: Redmi
CPU architecture: aarch64
Android version: 10
PojavLauncher version: Latest Release
### Anything else?
Also occurs to Redmi 9C with CPU architecture aarch64 on 32-bit mode</t>
  </si>
  <si>
    <t>forrestguice-SuntimesWidget-612</t>
  </si>
  <si>
    <t>app crash when exporting alarms</t>
  </si>
  <si>
    <t>AndroidIDEOfficial-AndroidIDE-293</t>
  </si>
  <si>
    <t>Unexpected screen rotation error in editor</t>
  </si>
  <si>
    <t>was entering the application to test the use of Keyboard and mouse adapter on the device, so far so good. to use the keyboard needed to leave the device screen rotation horizontally for better experience, selected one of my projects and opened it, after that did some tests and everything was ok, as the interface was made to be used by the cell phone, it ends up making it little difficult to adapt to the keyboard, but that doesn come to the fact, so went to the terminal (through the editor) then went back to the editor, and when went back this error was displayed.
**Here below is the error occurred:**
AndroidIDE crash report
**Steps for the error to happen**:
1. Open project and go to the editor
2. Open any other screen (Activity), as an example opened the terminal.
3. After that go back to the editor
3. error appears. (with the screen rotated horizontally)</t>
  </si>
  <si>
    <t>Anuken-Mindustry-7176</t>
  </si>
  <si>
    <t>Objectives UI Map update Bug.</t>
  </si>
  <si>
    <t>**Steps to reproduce**:
1. *Make map with an older version that didnt have the new Objectives UI that also uses it,*
2. *Save the map*
3. *Go to newest version and try to load map*
**Link(s) to mod(s) used**: *None*
**Save file**: *Singleplayer (not needed)*
**(Crash) logs**: crash-report-07 15 2022 21 56 27.txt (https: github.com Anuken Mindustry files 9123660 crash-report-07 15 2022 21 56 27.txt)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</si>
  <si>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2022-07-15</t>
  </si>
  <si>
    <t>Fox2Code-FoxMagiskModuleManager-176</t>
  </si>
  <si>
    <t>[BUG] App crash</t>
  </si>
  <si>
    <t>**Describe the bug**
App chashes when trying to get module description by pressing Description button
Steps to reproduce the behavior:
1. Open app
2. Click on Description button on any module (local or repo)
4. Expect crash
The app should give me description of module guess
If applicable, add screenshots to help explain your problem.
**Device info(please complete the following information):**
Device: POCO X3 Pro
OS: ArrowOs 12.1 2022.06.29
App Version: 0.5.5
Log (i guess it is)</t>
  </si>
  <si>
    <t>Fox2Code-FoxMagiskModuleManager-175</t>
  </si>
  <si>
    <t xml:space="preserve">[BUG] App crashing when clikcing install module for some(may be all) apps </t>
  </si>
  <si>
    <t>**Describe the bug**
the app is crashing when trying to install module
Steps to reproduce the behavior:
1. open app
2. let the repos load
3. go to Mixplorer and download module
4. then on Mixplorer click install module.
The app should install Mixplorer module.
**Device info(please complete the following information):**
Device: e.g. iPhone6
OS: ROM and version, ie Havoc-OS 4.12
App Version e.g. 22</t>
  </si>
  <si>
    <t>Azure-azure-iot-sdk-java-1575</t>
  </si>
  <si>
    <t>[Bug Report] MQTT layer encounters NullPointerException</t>
  </si>
  <si>
    <t>My application reported the highest crashing issue with following bug could you please tell me the exact cause of the issue</t>
  </si>
  <si>
    <t>nextcloud-android-10527</t>
  </si>
  <si>
    <t>Keep crashing every time app is open</t>
  </si>
  <si>
    <t>2022-07-14</t>
  </si>
  <si>
    <t>Igalia-wolvic-201</t>
  </si>
  <si>
    <t>Wolvic crashes when closing all tabs in the Tabs view</t>
  </si>
  <si>
    <t>Wolvic version: 1.0
Wolvic build ID: d7b28877 (ac 63.0.0)
## Steps to Reproduce
1. Open Wolvic and click on the Tabs view (in front panel, 2nd button from the left)
2. Close each and all tabs using the button in the corner of each tile.
## Current Behavior
Wolvic crashes when the last tab is deleted.
## Expected Behavior
Wolvic should either disallow deleting the last tab, or recreate it after been closed.
This is the relevant part of the log:</t>
  </si>
  <si>
    <t>commons-app-apps-android-commons-5014</t>
  </si>
  <si>
    <t>v4.0 crash report - SQLiteException: no such table: worktag</t>
  </si>
  <si>
    <t>From google groups forum. Not sure if this is related to #5006 it is different table.
USER COMMENT tried to upload file
APP VERSION CODE 1027
APP VERSION NAME 4.0.1
ANDROID VERSION 12
PHONE MODEL SM-A515F</t>
  </si>
  <si>
    <t>opensrp-opensrp-client-chw-2087</t>
  </si>
  <si>
    <t>Boresha Afya Fixes: Crash Following FP Initiation</t>
  </si>
  <si>
    <t>BA CHW APP
When female is initiated to family planning, the process goes through successfully but end with an App crash.
Steps to Follow:
Initiate woman to family planning
Fill in all the details and hit the save button
Attempt to select the completed record or navigate the App
The App crashes</t>
  </si>
  <si>
    <t>2022-07-13</t>
  </si>
  <si>
    <t>Anuken-Mindustry-7166</t>
  </si>
  <si>
    <t>Crash with packet error in multiplayer when putting down logic schematics</t>
  </si>
  <si>
    <t>**Steps to reproduce**: *join Ranked 1v1 server, play against someone, put down any schematic with logic in it. It intermittent though, can put down the same schematic five times and then it will fail on the sixth.*
**Link(s) to mod(s) used**: *no mods installed*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</si>
  <si>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2022-07-12</t>
  </si>
  <si>
    <t>GoogleCloudPlatform-fda-mystudies-4688</t>
  </si>
  <si>
    <t>[Android] [Offline Indicator] App is crashing in the following scenario</t>
  </si>
  <si>
    <t>1. Sign in and complete the passcode process
2. When navigated to Study list screen, Turn off the internet mobile data
3. Click on Hamburger icon and Click on ok button in the offline indicator popup message
4. Then Click on the enrolled study and Verify</t>
  </si>
  <si>
    <t>aws-amplify-amplify-android-1818</t>
  </si>
  <si>
    <t>Fatal Exception: com.amazonaws.AmazonClientException: Failed to get credentials from Cognito Identity</t>
  </si>
  <si>
    <t>### Before opening, please confirm:
have searched for duplicate or closed issues (https: github.com aws-amplify amplify-android issues?q is%3Aissue+) and discussions (https: github.com aws-amplify amplify-android discussions).
### Language and Async Model
### Amplify Categories
Authentication, REST API
### Gradle script dependencies
Put output below this line
### Environment information
Put output below this line
### Please include any relevant guides or documentation you re referencing
### Describe the bug
got the crash when send request with an unavailable network. The rest api authorizationType is AWS IAM.
How to handle this exception? the try catch is not work
the code like this:
val request xxxx ).build()
val response xxxx
the crash log:
### Reproduction steps (if applicable)
### Code Snippet
Put your code below this line.</t>
  </si>
  <si>
    <t>GoogleCloudPlatform-fda-mystudies-4681</t>
  </si>
  <si>
    <t>[iOS] [Offline indicator] App is getting crashed in the following scenarios</t>
  </si>
  <si>
    <t>The app is getting crashed where ever app is navigating to other screens (for eg. refer to the below scenario)
1. Sign in to the app
2. Click on the enrolled study
3. Turn off the data
4. Click on the Activity
5. Turn on the data
6. Enter the passcode
The issue should be fixed on all the screen
1. When the participant clicks on SIgnou or signout later screen with the above scenarios
2. When participants click on consent with the above scenarios etc.</t>
  </si>
  <si>
    <t>2022-07-11</t>
  </si>
  <si>
    <t>AndroidIDEOfficial-AndroidIDE-276</t>
  </si>
  <si>
    <t>NullPointerException during search in project.</t>
  </si>
  <si>
    <t>AndroidIDE crash report
Steps to reproduce
Open several files (in my case 2), select the Search in project option, enter the text for the search and extension, click Find
If the files are not open or only one file is open, the error does not appear.
Unfortunately, the screenshots are in the Russian locale.</t>
  </si>
  <si>
    <t>Anuken-Mindustry-7161</t>
  </si>
  <si>
    <t>1 enemy core remaining but I destroyed all the cores?</t>
  </si>
  <si>
    <t>**Steps to reproduce**: *I don even know how managed to do this, just destroyed turrets and somehow managed to destroy the core from above. (lake sector)*
**Link(s) to mod(s) used**: *No mods.*
**Save file**: *I can seem to be able to upload it*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</si>
  <si>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2022-07-10</t>
  </si>
  <si>
    <t>AndroidIDEOfficial-AndroidIDE-273</t>
  </si>
  <si>
    <t>Error when clicking back on Crash Report Activity</t>
  </si>
  <si>
    <t>AndroidIDE crash report
Steps to reproduce
On the Crash Report Activity, click the **back** button several times.
The latest build from GitHub Actions is used.</t>
  </si>
  <si>
    <t>jellyfin-jellyfin-androidtv-1833</t>
  </si>
  <si>
    <t>[Issue]: FireTV client - after selecting Vertical (Experimental) for a particular show, that show page always crashes on opening.</t>
  </si>
  <si>
    <t>### Please describe your bug
have the most recent version of the FireTV client on FireTV 4K.
While logged in as regular (non-admin) user on particular show page in mixed media library, selected the Vertical (Experimental) display option. The client immediately crashed. On re-opening that show page, it immediately crashes (so can view that show, or get in far enough to change it back). Behaviour persists after restarting the FireTV. All other shows work fine, and that show works fine on other clients.
### Jellyfin Version
### if other:
OS: Windows 10
Clients: Multiple in environment Chrome, FireTV, Android. FireTV client version is jellyfin-androidtv 0.13.6
FFmpeg Version: Whatever was in on 23 22
Playback Method: Direct over wired gigabit local network
Hardware Acceleration: AMD AMF
Plugins: AudioDB, Bookshelf, Cover Art Archive, Fanart, MusicBrainz, OMDB, Open SUbtitles, SkinManager (but no skinning used at present, using default), Studio Images, TMDB, TheTVDB
Reverse Proxy: None
Base URL: 192.168.x.xx:8096
Networking: Wired for this client through shared Nighthawk router
Storage: Two 5TB USB SSDs
### Jellyfin logs
Nothing relevant found. Activity shows username has disconnected from FireTV device name
### FFmpeg logs
### Please attach any browser or client logs here
Couldn work out where to get these, sorry</t>
  </si>
  <si>
    <t>Anuken-Mindustry-7153</t>
  </si>
  <si>
    <t>Payload Loader can't load multiple items</t>
  </si>
  <si>
    <t>Payload Loader can only load container with one kind of item
**Steps to reproduce**: *How you happened across the issue, and what exactly you did to make the bug happen.*
1. place payload loader continiously
2. load each of them with different items
3. place container in
4. the second loader will be ignored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</si>
  <si>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2022-07-09</t>
  </si>
  <si>
    <t>VinylMusicPlayer-VinylMusicPlayer-607</t>
  </si>
  <si>
    <t>App crashes on start up</t>
  </si>
  <si>
    <t>**Opening the app after new install and giving it permission to read local storage makes it crash**
Steps to reproduce the behavior:
1. Click app icon onboarding and tapping to give app permission to read storage crashes it
2. The app and android version used is the same and was working perfectly before.
3. Hiding music folder by renaming makes the app work.
4. The problem persists after reinstalls.
It should start scanning media. Instead it crashes.
Android security patch level
April 5, 2022
Google play system update
**Smartphone (please complete the following information):**
Device: Infinix X657C
Android Version: Android 10 go edition
Vinyl Music Player Version: 1.3.0
Worked flawless. probably music files makes it crash. but that shouldn happen.</t>
  </si>
  <si>
    <t>DHBWorld-DHBWorld-9</t>
  </si>
  <si>
    <t>App crashes after login into Dualis</t>
  </si>
  <si>
    <t>Steps to reproduce
In dualis Tab wechseln
Biometrie und Login Daten speichern
Klick auf Login button
Kurz wird die dualis Ansicht mit den drei Tabs bersicht, Kurse, Dokumente) ohne Inhalt gezeigt (unter Sekunde)
dann schlie sich die App
Exportiertes Debugging log aus den Einstellungen ist leer
Dualis Noten werden angezeigt
App version 1.5 from Google play store
android version 11
Allerdings funktioniert DHBW Dualis Notifier an meinem Handy</t>
  </si>
  <si>
    <t>2022-07-08</t>
  </si>
  <si>
    <t>PojavLauncherTeam-PojavLauncher-3424</t>
  </si>
  <si>
    <t>[BUG] &lt;Fabric 1.17 crashes when logging into Minecraft&gt;</t>
  </si>
  <si>
    <t>### Describe the bug
trying Ares Client for Fabric, suddenly crashes when entering minecraft, is there problem with Ares Client or something else?
initially used Fire Fabric, Sodium, and Ares Client. But it didn work, removed the sodium still still. Actually haven tried to play Fabric 1.17 without that client
That why ask, is this because the client has problem or bug?
from latest.log attaching something is wrong with the font, whether it is correct or not.
### The log file and images videos
### Steps To Reproduce
1. Open Pojav Launcher.
2. chose Fabric version 1.17.1.
3. press the play button and wait for it to finish loading.
4. As result, the game crashes out with code 1.
### Expected Behavior
hope there can be solution or fix as soon as possible.
Device model: Realme C12
CPU architecture: aarch64
Android version: 11
PojavLauncher version: Latest Version openjdk
### Anything else?
not only that.</t>
  </si>
  <si>
    <t>androidx-media-112</t>
  </si>
  <si>
    <t>Crash because of the foreground service did not start in time</t>
  </si>
  <si>
    <t>### Media3 Version
### Devices that reproduce the issue
Google Pixel 6, Android 13
Samsung Galaxy A32 5G, Android 12
Samsung Galaxy A13 5G, Android 12
Xiaomi POCO X3 Pro, Android 12
Samsung Galaxy A12, Android 11
Samsung Galaxy A10s, Android 11
### Devices that do not reproduce the issue
Can reproduce manually, got those stats from Crashlytics. Not sure how we can deal with this crash, do you have any idea why this crash may happen?
### Reproducible in the demo app?
### Reproduction steps
We extended our playback service by your MediaSessionService the crash happened approximately 70% in the background (stats in Crashlytics), we can manage to reproduce it in any way.
### Expected result
### Actual result
There are several types of exception grouped by the Android OS, but the reason looks exactly the same
Nothing particular, just normal audio streaming
### Bug Report
You will email the zip file produced by adb bugreport to dev.exoplayer gmail.com after filing this issue.</t>
  </si>
  <si>
    <t>jellyfin-jellyfin-androidtv-1824</t>
  </si>
  <si>
    <t>Jellyfin Debug build crashes with java.lang.IllegalStateException: KoinApplication has not been started</t>
  </si>
  <si>
    <t>### Describe the bug
Main Jellyfin app works fine. trying to build the Jellyfin Debug app to make some modifications (and hopefully pull requests!). trying to start by just building and launching but it crashes:
1. Pull and build (no local changes):
export ANDROID SDK ROOT $HOME Android Sdk
export PATH $ANDROID SDK ROOT:$ANDROID SDK ROOT platform-tools :$ PATH
git rev-parse HEAD
BUILD SUCCESSFUL in 4m 56s
2. Start logcat in one window:
adb logcat -v time
3. Install debug build onto FireTV in another window (finished around 07-07 13:47):
adb install -r app build outputs apk debug
--------- beginning of crash
Output was too large for this field so attached it as firetvcrash.txt in the description above.
### Application version
### Where did you install the app from?
### Device information
Amazon Fire TV, Fire OS 5.2.7.4
### Android version
adb shell getprop
### Jellyfin server version</t>
  </si>
  <si>
    <t>2022-07-07</t>
  </si>
  <si>
    <t>OpenTracksApp-OpenTracks-1321</t>
  </si>
  <si>
    <t>add mark. add photo. rotate camera 90 degrees. take photo. ok with photo (return from camera). crash</t>
  </si>
  <si>
    <t>### App information
Version: 4951 v4.0.3
### Device information
### Cause of error
... 11 more
... 12 more</t>
  </si>
  <si>
    <t>PojavLauncherTeam-PojavLauncher-3422</t>
  </si>
  <si>
    <t>[BUG] modpack crash</t>
  </si>
  <si>
    <t>### Describe the bug
Application exited with code
### The log file and images videos
### Steps To Reproduce
### Expected Behavior
The game launched
Device model: oppo a71
CPU architecture: arm64
Android version: 7.1.1
PojavLauncher version: Lastest
### Anything else?
dunno, just wanna play.</t>
  </si>
  <si>
    <t>nextcloud-android-10488</t>
  </si>
  <si>
    <t>Dialog crashes while switching dark mode</t>
  </si>
  <si>
    <t>### Steps to reproduce
1. open dialog (tested with
2. toggle dark light mode in system settings (via notification area), so that app is still in foreground
3. see crashes
### Expected behaviour</t>
  </si>
  <si>
    <t>Anuken-Mindustry-7141</t>
  </si>
  <si>
    <t>Cannot change language to Indonesia on Android</t>
  </si>
  <si>
    <t>**Steps to reproduce**:
1. Get fresh installation of Bleeding Edge version for Android and install as usual.
2. Open up the game and change the language to in ID
3. Restart the game.
4. Language stays in English while the setting is set to in ID
**Link(s) to mod(s) used**: *No mod was used.*
**Save file**: *It happens even with fresh install but in case: https: drive.google.com file view?usp sharing*
**(Crash) logs**: *There no crash but ll leave this just in case too: https: pastebin.com rHk67ttR*
GL Version: GLES 3.2.0 Qualcomm Adreno (TM) 505
GL Max texture size: 16384
GL Using OpenGL context.
RAM Available: 192.0 MB
Mindustry Version: 22789
Total time to load: 9003ms
Fetching community servers at https: Anuken Mindustry master servers be.json
Fetched community servers.
**I have updated to the latest release (https: github.com Anuken Mindustry releases) to make sure my issue has not been fixed.**
**I have searched the closed and open issues to make sure that this problem has not already been reported.**</t>
  </si>
  <si>
    <t>Anuken-Mindustry-7139</t>
  </si>
  <si>
    <t xml:space="preserve">Mindustry crashes when switching to system dark mode and vice versa </t>
  </si>
  <si>
    <t>**Steps to reproduce**: step 1) enter into the game. Step 2) switch to dark white mode and game will crash
**Link(s) to mod(s) used**: was playing with ExoGenesis mod (https: github.com AureusStratus ExoGenesis) while found this bug.
**Save file**: First found this problem while was in menu, so, it is happening everywhere
**(Crash) logs**: were somehow lost, ve just tired to export crash logs and they re empty, bytes long.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</si>
  <si>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2022-07-06</t>
  </si>
  <si>
    <t>AndroidIDEOfficial-AndroidIDE-265</t>
  </si>
  <si>
    <t>NPE in CachedIndexer.afterInsert</t>
  </si>
  <si>
    <t>AndroidIDEOfficial-AndroidIDE-264</t>
  </si>
  <si>
    <t>Error when reopening AndroidIDE during build.</t>
  </si>
  <si>
    <t>AndroidIDE crash report
Steps to reproduce
Run the project build, go to the terminal, click on the notification in the curtain and open the project.
The second way to reproduce the problem: open ANY project, click on the AndroidIDE build service notification, open ANY project again.
The latest build from GitHub Actions is used.</t>
  </si>
  <si>
    <t>Anuken-Mindustry-7133</t>
  </si>
  <si>
    <t>QUAD RTS AI bug</t>
  </si>
  <si>
    <t>JW75LIY6%J5N PE 9RO (https: 55009845
**Steps to reproduce**: unknown exactly, might be caused by spawing quad in attack mode while the enemy has RTS AI and large rtsminsquadsize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</si>
  <si>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mI-PIV-app-316</t>
  </si>
  <si>
    <t>Vorticity Display Crash</t>
  </si>
  <si>
    <t>Selecting vorticity display in the results page on Samsung A51 crashes the app.</t>
  </si>
  <si>
    <t>2022-07-05</t>
  </si>
  <si>
    <t>ReVanced-revanced-integrations-52</t>
  </si>
  <si>
    <t>fix: youtube keeps crashing when trying to play videos on third party apps</t>
  </si>
  <si>
    <t>See https: github.com revanced revanced-cli issues 82 for further information.</t>
  </si>
  <si>
    <t>opensrp-opensrp-client-chw-2079</t>
  </si>
  <si>
    <t>Boresha Afya Fixes: App crashes when a user clicks on a ANC profile's View house location</t>
  </si>
  <si>
    <t>APK Kituoni (HF)
When one clicks on an ANC Profile to View House Location the App crashes. See the following logs.</t>
  </si>
  <si>
    <t>therealsujitk-android-vtop-chennai-44</t>
  </si>
  <si>
    <t>Sync data fails while downloading attendance</t>
  </si>
  <si>
    <t>App crashes while loading attendance when sync
Screenshot 20220704-223050 VIT Student (https: 66474087</t>
  </si>
  <si>
    <t>2022-07-04</t>
  </si>
  <si>
    <t>PojavLauncherTeam-PojavLauncher-3419</t>
  </si>
  <si>
    <t>[BUG] App crash when trying to install new java runtime.</t>
  </si>
  <si>
    <t>### Describe the bug
When going to Runtime Manager and tapping Add New app will crash due to intent-related failure.
### The log file and images videos
### Steps To Reproduce
1. Start PojavLaumcher and login into an account.
2. Go to settings Java Tweaks Runtime Manager.
3. Tap on Add New button.
### Expected Behavior
expect to be able to select Java Runtime.
Device model: Oppo A5S (CPH1909)
CPU architecture: ARM
Android version: 8.1.0
PojavLauncher version: openjdk, 3.3.1.1 rel 20210125
### Anything else?
The reason might be because uninstalled some system apps (not critical ones), but dont know which.</t>
  </si>
  <si>
    <t>rudderlabs-rudder-sdk-android-126</t>
  </si>
  <si>
    <t>Fix/multi process crash rowid</t>
  </si>
  <si>
    <t>## Description of the change
Fix crash regarding to row id
## Type of change
Bug fix (non-breaking change that fixes an issue)
New feature (non-breaking change that adds functionality)
Breaking change (fix or feature that would cause existing functionality to not work as expected)
## Related issues
Fix #1 ()
Lint rules pass locally
The code changed added as part of this pull request has been covered with tests
All tests related to the changed code pass in development
### Code review
This pull request has descriptive title and information useful to reviewer. There may be screenshot or screencast attached
Ready for review label attached to the PR and reviewers mentioned in comment
Changes have been reviewed by at least one other engineer
Issue from task tracker has link to this pull request
&lt;!-- Reviewable:start --&gt;
This change is &lt;img src https: reviewable.io review button.svg height 34 align absmiddle alt Reviewable (https: reviewable.io reviews rudderlabs rudder-sdk-android 126)
&lt;!-- Reviewable:end --&gt;</t>
  </si>
  <si>
    <t>AndroidIDEOfficial-AndroidIDE-260</t>
  </si>
  <si>
    <t>2022-07-03</t>
  </si>
  <si>
    <t>TeamNewPipe-NewPipe-8570</t>
  </si>
  <si>
    <t>NPE while opening video</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</si>
  <si>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any video
### Expected behavior
1. See video
### Actual behavior
1. App crashes and show guru meditation error
### Screenshots Screen recordings
User Action: ui error
Request: ACRA report
Content Country: RU
Content Language: ru-RU
App Language: ru RU
OS: Linux Android 12 32
log b&gt;&lt; summary&gt;&lt;p&gt;</t>
  </si>
  <si>
    <t>Anuken-Mindustry-7115</t>
  </si>
  <si>
    <t>Erekir T5 Constructor resets progress when offscreen</t>
  </si>
  <si>
    <t>**Steps to reproduce**: placed T5 Schem for erekir units by hyphae and even after 30 minutes it didnt produced single unit. Behaviour is present in other saves such as sandbox.
**Link(s) to mod(s) used**: No mods used.
If you remove the line above without reading it properly and understanding what it means, will reap your soul. Even if you re playing on someone server, you can still save the game to slot.
**(Crash) logs**: No crashing involved.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</si>
  <si>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AndroidIDEOfficial-AndroidIDE-257</t>
  </si>
  <si>
    <t>Unable to sync Libgdx project</t>
  </si>
  <si>
    <t>was unable to sync Libgdx project
AndroidIDE crash report</t>
  </si>
  <si>
    <t>nextcloud-android-10469</t>
  </si>
  <si>
    <t>nextcloud-android-10467</t>
  </si>
  <si>
    <t>Android 12 crash</t>
  </si>
  <si>
    <t>2022-07-02</t>
  </si>
  <si>
    <t>PojavLauncherTeam-PojavLauncher-3414</t>
  </si>
  <si>
    <t>[BUG] Can't install .jar files</t>
  </si>
  <si>
    <t>### Describe the bug
When trying to install jar like forge 1.16.5, It will fail and crash.
### The log file and images videos
### Steps To Reproduce
1. Start Pojav Launcher
2. Install jar
3. Loads and crashes
### Expected Behavior
Expected to work properly and install forge 1.16.5.
Device model: Vivo V23e
CPU architecture: Mediatek MT6762 Helio P22
Android version: 12
PojavLauncher version: (latest zink build by khanhduytran)
### Anything else?
Probably all of the jar files such as fabric, forge, clients, just crashes. Old versions of pojav too does the same issue.</t>
  </si>
  <si>
    <t>XBigTK13X-snowgloo-62</t>
  </si>
  <si>
    <t>Music stops playing after 15 minutes</t>
  </si>
  <si>
    <t>When playing looooong media file, it can crash after 15 minutes. This happened on mobile connection over Wireguard VPN.
Possibly related SO posts</t>
  </si>
  <si>
    <t>nextcloud-android-10466</t>
  </si>
  <si>
    <t>Creating a new document on satellite internet results in a crash</t>
  </si>
  <si>
    <t>### Steps to reproduce
1. Launch nc
2. Select create new dic
### Expected behaviour
new doc created
### Actual behaviour
### Can you reproduce this problem on https: try.nextcloud.com?
Please create test demo account and see if this still happens there.
If yes, please open up bug report
If not, please verify server setup and ask for help on forum
### Environment data
Stock or customized system:stock
Nextcloud app version:
Nextcloud server version:
#### Web server error log
Insert your webserver log here
#### Nextcloud log (data nextcloud.log)
Insert your Nextcloud log here</t>
  </si>
  <si>
    <t>martinmimigames-little-music-player-10</t>
  </si>
  <si>
    <t>crash when close from open audio</t>
  </si>
  <si>
    <t>AndroidIDEOfficial-AndroidIDE-255</t>
  </si>
  <si>
    <t>Unable to open Project</t>
  </si>
  <si>
    <t>kongzue-DialogX-213</t>
  </si>
  <si>
    <t>【BUG反馈】MessageDialog crash</t>
  </si>
  <si>
    <t>android 12 miui wiki MessageDialog.show( crash
Caused by: Attempt to invoke virtual method java.lang.Object on null object reference</t>
  </si>
  <si>
    <t>Marmo-debitum-111</t>
  </si>
  <si>
    <t>When I repaid money pressing the three dots in the initial transaction, the app crash.</t>
  </si>
  <si>
    <t>Steps to reproduce
1. Open Debitum
2. Go to money section
3. Long press the inicial transaction
4. Press the three dots and press the repaid button
5. App crash.
My device is Poco X3 pro. It has Android 12.
Date format: dd-mm-yy</t>
  </si>
  <si>
    <t>2022-07-01</t>
  </si>
  <si>
    <t>Anuken-Mindustry-7100</t>
  </si>
  <si>
    <t xml:space="preserve">World Processor can't Flush print clipboard </t>
  </si>
  <si>
    <t>World processor can flush print clipboard to message block that are on different team
**Steps to reproduce**: *How you happened across the issue, and what exactly you did to make the bug happen.*
1. place message block with different team than the world processor
2. procced to flush print into the different team message block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</si>
  <si>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2022-06-30</t>
  </si>
  <si>
    <t>react-native-share-react-native-share-1240</t>
  </si>
  <si>
    <t>Android app crashes with error: null is not an object (evaluating '_reactNative.NativeModules.RNShare.FACEBOOK')</t>
  </si>
  <si>
    <t>### Steps to reproduce
1. npm install react-native-share --save
2. import Share and add code
3. run on Android
### Expected behaviour
App should run on Android without crashing due to above error
### Actual behaviour
App crashes on Android phone with above error
**React Native version**: 0.64.0
**React Native platform platform version**: Samsung Galaxy S8 Android Version
**Typescript version** (if using typescript): 3.8+ required, what version is in your environment? 4.2.3
App runs correctly on iOS. Tried all of the suggestions online about this issue nothing resolves it.</t>
  </si>
  <si>
    <t>TeamNewPipe-NewPipe-8562</t>
  </si>
  <si>
    <t>Video crashes with java.lang.ArrayIndexOutOfBoundsException</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</si>
  <si>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Try to play this video (https: www.youtube.com watch?v z1zuk-jCHas), at time 1h1 59 crashes.
### Expected behavior
### Actual behavior
### Screenshots Screen recordings
User Action: play stream
Request: Player error type ERROR CODE IO UNSPECIFIED occurred while playing https: www.youtube.com watch?v z1zuk-jCHas
Content Country: GB
Content Language: en-GB
App Language: en GB
OS: Linux Android 10 29
log b&gt;&lt; summary&gt;&lt;p&gt;
Caused by: src.length 65536 srcPos -1854894023 dst.length 65536 dstPos length 1854894023
### Affected Android Custom ROM version</t>
  </si>
  <si>
    <t>MuntashirAkon-AppManager-792</t>
  </si>
  <si>
    <t>AM crashes when left idle in the background and re opened again</t>
  </si>
  <si>
    <t>Your issue will be closed without warning if you don check at least two items.
know what my device, OS and App Manager versions are
know how to take logs
know how to reproduce the issue which may not be specific to my device
**Describe the bug**
AM crashes whenever re open it after being left in the background for too long or maybe if there no enough ram.
Steps to reproduce the behaviour:
1. Open it for the first time.
2. Go home and leave it running in the backgrounmfd or do something that overloads the ram.s (app must be on background not killed)
3. Re open the app again.
4. Get notified that AM had crashed.
Will work again if you force stop the app.
**Crash logs, Device info and Additional context**
App version: 3.0.0-rc02-DEBUG
App version code: 404
Android build version: 1651659096
Android release version: 12
Android SDK version: 32
Android build ID: aosp mi439-userdebug 12 SP2A.220405.004 1651659096 release-keys
Device brand: Xiaomi</t>
  </si>
  <si>
    <t>2022-06-29</t>
  </si>
  <si>
    <t>4Q-s-r-o-ota_update-81</t>
  </si>
  <si>
    <t>No Activity found to handle Intent</t>
  </si>
  <si>
    <t>Download is complete then crash</t>
  </si>
  <si>
    <t>getActivity-EasyHttp-126</t>
  </si>
  <si>
    <t>crash：Expected URL scheme 'http' or 'https' but no colon was found okhttp3.HttpUrl$Builder.parse()</t>
  </si>
  <si>
    <t>service http get crash Lifecycle LifecycleService new CRASH okhttp issue</t>
  </si>
  <si>
    <t>AndroidIDEOfficial-AndroidIDE-240</t>
  </si>
  <si>
    <t>NPE when trying to access ILanguageServer with ILanguageServerRegistry</t>
  </si>
  <si>
    <t>When close project and open another one
In lastest version
AndroidIDE crash report</t>
  </si>
  <si>
    <t>2022-06-28</t>
  </si>
  <si>
    <t>Anuken-Mindustry-7087</t>
  </si>
  <si>
    <t>Issue connecting to server</t>
  </si>
  <si>
    <t>**Steps to reproduce**: *Load the attached save file on server. Connect to that server. Does not appear to cause issues when you import the save in the game and load it that way.*
**Link(s) to mod(s) used**: *None*
**Save file**: fire-bug.zip (https: github.com Anuken Mindustry files 8999540 fire-bug.zip)
**(Crash) logs**: *not crash but heres the error*
Cannot invoke because fire.tile is null
*Place an (no spaces) between the brackets to confirm that you have read the line below.*
**I have updated to the latest release (https: github.com Anuken MindustryBuilds releases) to make sure my issue has not been fixed.**
**I have searched the closed and open issues to make sure that this problem has not already been reported.**</t>
  </si>
  <si>
    <t>OpenTracksApp-OpenTracks-1301</t>
  </si>
  <si>
    <t>Android12?: Crash when workout triggered through Gadgetbridge</t>
  </si>
  <si>
    <t>**Describe the bug**
When Gadgetbridge tries to trigger workout, OpenTracks crashes. When unlock the phone, find crash report waiting for me. Seems like the app is missing permission? It does not have any denied permissions tho.
Public API and Automatic data transfer are enabled in the settings.
Gadgetbridge 0.67.1 is connected to Fossil HR Collider, with activitiy recognition set to ask for biking. The watch doesn ask, but that likely GB issue.
Both apps were installed via F-Droid.
1. Set up environment as above
2. Work out bike until the watch recognizes the activity (there will be no indication of it tho)
3. Unlock phone
4. Find crash report
### App information
Version: 4926 v4.0.1
### Device information
### Cause of error
Exception in thread main Unable to start activity ComponentInfo Not allowed to start service Intent cmp app is in background uid UidRecord eea9098 u0a206 TPSL idle change:idle cached procs:1 seq(0,0,0)
Caused by: Not allowed to start service Intent cmp app is in background uid UidRecord eea9098 u0a206 TPSL idle change:idle cached procs:1 seq(0,0,0)
... 11 more
OS: LineageOS 17.1
OpenTracks version: 4.0.2 (F-Droid)</t>
  </si>
  <si>
    <t>AndroidIDEOfficial-AndroidIDE-235</t>
  </si>
  <si>
    <t>NPE when initializing language servers</t>
  </si>
  <si>
    <t>2022-06-27</t>
  </si>
  <si>
    <t>TeamNewPipe-NewPipe-8553</t>
  </si>
  <si>
    <t>Crash when clicking channel</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</si>
  <si>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1.play random music in the background
2.search for random video
3.click the random video(dont play it)
4.click channel it crash
After repeating for 3-4 times may fine
### Expected behavior
See random clicked channel
### Actual behavior
Crash switch to another app
### Screenshots Screen recordings
User Action: ui error
Request: ACRA report
Content Country: US</t>
  </si>
  <si>
    <t>2022-06-26</t>
  </si>
  <si>
    <t>AndroidIDEOfficial-AndroidIDE-228</t>
  </si>
  <si>
    <t>AndroidIDE crash</t>
  </si>
  <si>
    <t>2022-06-25</t>
  </si>
  <si>
    <t>react-native-video-react-native-video-2743</t>
  </si>
  <si>
    <t>Added missing NSError initialization params on seek early return</t>
  </si>
  <si>
    <t>#### Describe the changes
Added the domain, code and userInfo to NSError initialization to prevent crash when reject is called</t>
  </si>
  <si>
    <t>2022-06-24</t>
  </si>
  <si>
    <t>SensorApps-Sensors2OSC-39</t>
  </si>
  <si>
    <t xml:space="preserve"> 0.4.0 is crashing on Android 12</t>
  </si>
  <si>
    <t>App crashes when trying to edit settings for host or port on Android 12.</t>
  </si>
  <si>
    <t>SensorApps-Sensors2OSC-38</t>
  </si>
  <si>
    <t>0.4.0 is crashing on Android 12</t>
  </si>
  <si>
    <t>Bug report via email:
had it working really nicely and then got notification to update it (via droid) and now after the update, everytime try to turn the send data button on the app crashes. Tried restarting my phone and reinstalling the app, and still the same.
have pixel 6, android 12.</t>
  </si>
  <si>
    <t>PojavLauncherTeam-PojavLauncher-3404</t>
  </si>
  <si>
    <t>The game crashes when joining a world while sodium is installed on fabric 1.19</t>
  </si>
  <si>
    <t>### Describe the bug
get error code -1. Probs due to sodium being incompatible with the renderer using, holy 4gles.
### The log file and images videos
### Steps To Reproduce
1. Start the game with fabric installed and sodium, or its forge port guess as well. Make sure your using the holy gl4es renderer.
2.create new world or load up existing one.
The crash should occur
### Expected Behavior
The world should load (with better performance might add)
Device model: lenovo flex (chromebook) and Samsung s22 ultra (phone, could be the version with Samsung cpu as it US device)
CPU architecture: x86 64 (chromebook) and aarch64 (phone)
Android version: not sure about the chromebook (v102 of chromeOS) but the phone is Android 12
PojavLauncher version: dahalia-8(some random text)-v3-openjdk. (I not going to try to type all of that random text on my phone... But did install the app the day submitted this)
Note that tested devices thinking it was architecture issue.
### Anything else?
Haven tried the forge port of sodium yet, nor canvas</t>
  </si>
  <si>
    <t>Anuken-Mindustry-7069</t>
  </si>
  <si>
    <t>can't find public server and mods</t>
  </si>
  <si>
    <t>**Steps to reproduce**: don know why it happened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</si>
  <si>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AndroidIDEOfficial-AndroidIDE-227</t>
  </si>
  <si>
    <t xml:space="preserve">Can't create LibGDX game project </t>
  </si>
  <si>
    <t>Encountered error as soon as clicked create project
AndroidIDE crash report</t>
  </si>
  <si>
    <t>PojavLauncherTeam-PojavLauncher-3403</t>
  </si>
  <si>
    <t>[BUG] Vics Modern Warfare Mod Crash</t>
  </si>
  <si>
    <t>### Describe the bug
im trying to play Vics Modern Warfare mod but its keep crashing idk why
### The log file and images videos
### Steps To Reproduce
1. Start Pojavlauncher
2.Launch 1.12.2 Forge
3. It crashes
### Expected Behavior
expect the game to launch just like before now its crashing
Device model: Oppo A12
CPU architecture: aarch64
PojavLauncher version: Latest from Github
### Anything else?</t>
  </si>
  <si>
    <t>MuntashirAkon-AppManager-787</t>
  </si>
  <si>
    <t>Fails to read PKCS12 keystore format; JKS is able to be read</t>
  </si>
  <si>
    <t>Your issue will be closed without warning if you don check at least two items.
know what my device, OS and App Manager versions are
know how to take logs
know how to reproduce the issue which may not be specific to my device
**Describe the bug**
Reading PKCS12 format keystore within Settings&gt;APK Signing fails with Could not read the KeyStore despite the password being correct. Other keystore formats appear to work, including JKS format keystore.
Steps to reproduce the behaviour:
1. Download the provided demo.keystore (password is password or generate new PKCS12 format keystore with Java Keytool.
2. Verify that the keystore is of PKCS12 format and that it is able to be read by keytool with keytool -list -keystore demo.keystore
3. Go to the APK signing option within App Manager, and click Signing key. Import by selecting PKCS 12 as the keystore format and use the password (that has been shown to be correct with keytool -list)
4. The error should occur.
As other tools, such as the Java Keytool, is able to read the PKCS12 format keystore, would have expected App Manager to be able to read and import the keystore as well.
ve also verified that the example keystore provided is able to be used to sign an APK with uber-apk-signer (https: github.com patrickfav uber-apk-signer)
*Screenshot shows the command used to generate the example keystore provided in this issue. It also verified that it is able to be read and that it is PKCS12 format by keytool -list -keystore demo.keystore -alias client
Screenshot 20220624-133411 App Manager (https: 93066841
*The same keystore fails to be imported in App Manager, despite the correct password and keystore format PKCS 12 being selected.*
*Able to use uber-apk-signer to sign the APK with provided example PKCS12 keystore.*
If applicable, add crash logs to help us figure out the problem.
Device: Samsung Note 20 Ultra
OS Version: Android 12, One UI 4.1 on May 2022</t>
  </si>
  <si>
    <t>MuntashirAkon-AppManager-786</t>
  </si>
  <si>
    <t>Crash when going back from log screen</t>
  </si>
  <si>
    <t>Your issue will be closed without warning if you don check at least two items.
know what my device, OS and App Manager versions are
know how to take logs
know how to reproduce the issue which may not be specific to my device
**Describe the bug**
There is an option for view log in Running Apps section to view each running app log. AM Crashes when we go back from the log viewer screen.
Steps to reproduce the behaviour:
1. Long press on any running process app
2. Select view log
3. You will see the log screen with process number filter.
4. Just press swipe back, application will crash.
Shouldn crash and go back to running app screen.
App version: 3.0.0-rc03-DEBUG
App version code: 405
Android build version: 1655886293
Android release version: 12
Android SDK version: 32
Android build ID: SQ3A.220605.009.B1
Device brand: Redmi
Device manufacturer: Xiaomi</t>
  </si>
  <si>
    <t>2022-06-23</t>
  </si>
  <si>
    <t>Anuken-Mindustry-7064</t>
  </si>
  <si>
    <t>bug report</t>
  </si>
  <si>
    <t>**Steps to reproduce**: the game crashed when my unit attack enemy defense turret. it say defense tutter 274 cannot cast
**Link(s) to mod(s) used**: no issue with mod
**Save file**: don know lol
**(Crash) logs**: crash-report-06 23 2022 09 09 24.txt (https: github.com Anuken Mindustry files 8963055 crash-report-06 23 2022 09 09 24.txt)
**I have updated to the latest release (https: github.com Anuken Mindustry releases) to make sure my issue has not been fixed.**
**I have searched the closed and open issues to make sure that this problem has not already been reported.**</t>
  </si>
  <si>
    <t>PojavLauncherTeam-PojavLauncher-3400</t>
  </si>
  <si>
    <t>[BUG] game crashed when i join world</t>
  </si>
  <si>
    <t>### Describe the bug
This is the last log which is shown .please help me when join world it crash.
### The log file and images videos
### Steps To Reproduce
Start PojavLauncher then when join world it crash
### Expected Behavior
It crash when try to join
-PojavLauncher version:3.3.1 rel 20210117
### Anything else?</t>
  </si>
  <si>
    <t>PojavLauncherTeam-PojavLauncher-3398</t>
  </si>
  <si>
    <t xml:space="preserve">bug 1.16.5 fabric keeps crashing </t>
  </si>
  <si>
    <t>### Describe the bug
pojavlanucher from playstore when try to launch sodium or any mod in 1.16.5 join any world or server its crash use java and holy render 1.19
### The log file and images videos
fabric-api-base 0.3.0+f74f7c7d7d via fabric
1.3.0+f74f7c7d7d via fabric
fabric-biome-api-v1 3.1.11+f74f7c7d7d via fabric
1.1.5+ca58154a7d via fabric
1.1.2+f74f7c7d7d via fabric
fabric-commands-v0 0.2.2+ca58154a7d via fabric
0.1.11+9354966b7d via fabric
0.2.4+f74f7c7d7d via fabric
0.1.3+ca58154a7d via fabric
2.0.6+f74f7c7d7d via fabric
1.2.3+77df1b337d via fabric
0.4.4+35ff49a47d via fabric
0.2.1+ca58154a7d via fabric
1.0.6+f74f7c7d7d via fabric
fabric-item-api-v1 1.2.1+ca58154a7d via fabric
0.2.7+2868a2287d via fabric
1.0.4+f74f7c7d7d via fabric</t>
  </si>
  <si>
    <t>2022-06-22</t>
  </si>
  <si>
    <t>Igalia-wolvic-152</t>
  </si>
  <si>
    <t>Crash when handling onSlowScript event</t>
  </si>
  <si>
    <t>&lt;!--- State the version number and build ID affected. --&gt;
&lt;!--- The build ID is obtained by clicking on the build date in settings. --&gt;
Wolvic version: 0.9.6
Wolvic build ID: 33
&lt;!--- Include the name and version of the hardware VR headset you experienced the bug in. --&gt;
## Steps to Reproduce
Similar to issue #65, it requires some extensions to be enabled at the same time.
## Current Behavior
## Expected Behavior
Wolvic should not crash
## Error Logs and Stack Traces
&lt;!--- Optional --&gt;
&lt;!--- These are very useful for quickly identifying the causes for bug fixes. --&gt;
&lt;!--- In Developer Mode, run adb logcat to capture potentially useful logs. --&gt;
&lt;!--- DO NOT REMOVE THIS LINE. --&gt;
&lt;!--- DO NOT REMOVE THIS LINE. --&gt;</t>
  </si>
  <si>
    <t>Anuken-Mindustry-7057</t>
  </si>
  <si>
    <t>BE crash in multiplayer</t>
  </si>
  <si>
    <t>**Steps to reproduce**: playing on server (.pl attack), unsure about singleplayer
**Link(s) to mod(s) used**: no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</si>
  <si>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NordicSemiconductor-Android-BLE-Library-402</t>
  </si>
  <si>
    <t>AbstractMethodError thrown in BleManagerHandler.onServicesInvalidated()</t>
  </si>
  <si>
    <t>An IoT device controller library uses this library to communicate with device. After send the settings, the device resets itself, disconnects and triggers the callback method. Inside, there this method called which calls an abstract method called
That method always throws an AbstractMethodError and crashes my app.
cannot do anything about it. As it triggered event, can wrap it in try-catch block so may ignore the error and prevent the crash.
What would cause this and is there any way that can just ignore it some way?
Stack trace is as follows:</t>
  </si>
  <si>
    <t>nextcloud-android-10422</t>
  </si>
  <si>
    <t>App crashed after account deleted</t>
  </si>
  <si>
    <t>### Cause of error
Exception in thread main
### App information
Build flavor: gplay
### Device information</t>
  </si>
  <si>
    <t>2022-06-21</t>
  </si>
  <si>
    <t>SORMAS-Foundation-SORMAS-Project-9558</t>
  </si>
  <si>
    <t>android-app does not work on Android 12</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</si>
  <si>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The mobile app (v1.72.1) crashes when opened. Sometimes it displays message to clear the cache because it has bug but still crashes afterwards. Sometimes it displays the message that the app has bug.
### Steps to Reproduce
1. Download latest release ZIP file for 1.72.1
2. Install APK (from either release or debug folders in ZIP file) on mobile phone
3. Open app
### Expected Behavior
&lt;!-- Optional --&gt;
&lt;!-- Optional --&gt;
### System Details
&lt;!-- Mandatory you only have to specify the Server URL if the error appeared on publicly available test server --&gt;
Device: Samsung Galaxy A52
SORMAS version: 1.72.1
Android version: 12
### Additional Information
&lt;!-- Optional --&gt;</t>
  </si>
  <si>
    <t>2022-06-20</t>
  </si>
  <si>
    <t>smartdevicelink-sdl_java_suite-1815</t>
  </si>
  <si>
    <t xml:space="preserve">android.app.ForegroundServiceStartNotAllowedException: </t>
  </si>
  <si>
    <t>### Bug Summary
Most issue traces are in below two places:
see from the code that it just catch the SecurityException only. it should also catch for android 12 or above.
### Reproduction Steps
1. Integartion with SDL in the app with latest version(5.4.0) to support the target 31
Should work as normal
lot of crash were found in google play consle after app upgrade to support target 31
### Which projects have you seen this bug on?
### Android Version(s)
Android 12 and above
### Android Device(s)
### sdl java suite Version
### Testing Environment(s)
It seems happend just at the starting service of SDL when BT connect. Not real connect the Head Unit.
### Relevant log output</t>
  </si>
  <si>
    <t>ably-ably-java-802</t>
  </si>
  <si>
    <t>NoSuchMethodError in ably-android for API lower than 24</t>
  </si>
  <si>
    <t>After upgrading the Java-WebSocket library to version 1.5.3 we ve noticed SDK crashes on Android 21. After investigation, it turned out that the library version 1.5.x is no longer compatible with Android below 24 due to this known issue (https: github.com TooTallNate Java-WebSocket wiki Luckily, there also workaround (https: github.com TooTallNate Java-WebSocket wiki that we should implement to fix this problem.
Issue is synchronized with this Jira Bug (https: ably.atlassian.net browse SDK-2075) by Unito (https: www.unito.io)</t>
  </si>
  <si>
    <t>nextcloud-android-10415</t>
  </si>
  <si>
    <t>App crashing on media view</t>
  </si>
  <si>
    <t>When open media menu app stuck for while, load some preview and crashes with this stack trace.
### Cause of error
Exception in thread main Couldn read row 719, col from CursorWindow. Make sure the Cursor is initialized correctly before accessing data from it.
### App information
Build flavor: gplay
### Device information
Product: aosp kebab</t>
  </si>
  <si>
    <t>MuntashirAkon-AppManager-783</t>
  </si>
  <si>
    <t>App Manager database exception</t>
  </si>
  <si>
    <t>Your issue will be closed without warning if you don check at least two items.
know what my device, OS and App Manager versions are
know how to take logs
know how to reproduce the issue which may not be specific to my device
**Describe the bug**
App crashed when simply opened 1st time* after giving adb permission. time crash.
App version: 3.0.0-rc03
App version code: 405
Android build version: 8704X S001025 190606 ROW
Android release version: 8.1.0
Android SDK version: 27
Android build ID: TB-8704X S001025 190606 ROW
Device brand: Lenovo
Device manufacturer: LENOVO
Device name: TB-8704X
Device model: Lenovo TB-8704X
Device product name: TB-8704X
Device hardware name: qcom
ABIs (32bit): armeabi-v7a, armeabi
ABIs (64bit): arm64-v8a</t>
  </si>
  <si>
    <t>PojavLauncherTeam-PojavLauncher-3396</t>
  </si>
  <si>
    <t>### Describe the bug
so deleted everything in the game folder and opened up new one in the android folder without copying and the game wouldnt let me enter it just keep crashin up new one in the android folder without copying and the game wouldnt let me enter it just keepg.
### The log file and images videos
Screenshot 2022-06-20 13 22 02 (https: 105903249
Screenshot 2022-06-20 13 06 48 (https: 105903249
### Steps To Reproduce
### Expected Behavior
expected the game to launch
Device model: Chromebook
CPU architecture: aarch64
PojavLauncher version: Lastest
### Anything else?</t>
  </si>
  <si>
    <t>too-da-loo-toodaloo-53</t>
  </si>
  <si>
    <t>Disable creating random markers when tapping on map</t>
  </si>
  <si>
    <t>When user taps on the map that isn point of interest, marker is created that simply displays the coordinates of the marker. When the info window of the marker is tapped, app crashes because it trying to send an intent with null data.</t>
  </si>
  <si>
    <t>2022-06-19</t>
  </si>
  <si>
    <t>PojavLauncherTeam-PojavLauncher-3395</t>
  </si>
  <si>
    <t>[BUG] crashed when i go to my world on fabric (with mod sodium, lithium and phosphor) and i have lincense</t>
  </si>
  <si>
    <t>### Describe the bug
exited with error code -1
### The log file and images videos
### Steps To Reproduce
1. Start PojLaunc.
2. Log in
3. press button play
4. go to world
5. game crashed
### Expected Behavior
if delete the mods game is not crashed
Device model: Poco x3 pro
CPU architecture: Arm
Android version: 11
PojavLauncher version: latest from playmarket
### Anything else?
if delete the mods game not crashed
use gl4es but if choose virglrenderer then have no text, but it starts with mods</t>
  </si>
  <si>
    <t>PojavLauncherTeam-PojavLauncher-3394</t>
  </si>
  <si>
    <t>[BUG] crash open4es Shader 1.18</t>
  </si>
  <si>
    <t>### Describe the bug
It shows Application exited if try to load open4es Shader in 1.18
### The log file and images videos
### Steps To Reproduce
Load open4es Shader
### Expected Behavior
Device model: realme8s 5g
CPU architecture: 64
Android version: 11
PojavLauncher version: GitHub
### Anything else?</t>
  </si>
  <si>
    <t>PojavLauncherTeam-PojavLauncher-3393</t>
  </si>
  <si>
    <t>[BUG] &lt;Fabric Api Is Looping &amp; Crash&gt;</t>
  </si>
  <si>
    <t>### Describe the bug
everytime used fabric api it looping and crash need fabric api cause it required by mods using. using 1.18.2 version on game
### The log file and images videos
--------- beggining with launcher debug
Added custom env: TMPDIR data user cache
Added custom env: AWTSTUB WIDTH 1464
Added custom env: REGAL GL VERSION 4.5
Added custom env: REGAL GL VENDOR Android
Added custom env: LIBGL MIPMAP
Added custom env: allow higher compat version true
Added custom env: MESA GLSL CACHE DIR data user cache
Added custom env: HOME storage emulated games PojavLauncher .minecraft
Added custom env: PATH data user runtimes bin: sbin: system sbin: system bin: system xbin: odm bin: vendor bin: vendor xbin
Added custom env: LIBGL NOINTOVLHACK
Added custom env: force glsl extensions warn true
Added custom env: LIBGL NORMALIZE
Added custom env: POJAV RENDERER opengles3 virgl
Added custom env: LIBGL ES
Added custom env: VTEST SOCKET NAME data user cache .virgl test
Added custom env: MESA LOADER DRIVER OVERRIDE zink</t>
  </si>
  <si>
    <t>cgeo-cgeo-13166</t>
  </si>
  <si>
    <t>Fatal exception caused by java.lang.IllegalStateException</t>
  </si>
  <si>
    <t>### Describe your problem!
Latest master (https: github.com cgeo cgeo tree crashs on startup
Crash is caused by the changes in https: github.com cgeo cgeo pull 13142
### How to reproduce?
Caused by: Unable to instantiate fragment calling Fragment constructor caused an exception
... 32 more
Caused by: Can access the Fragment View LifecycleOwner when getView() is null i.e., before onCreateView() or after onDestroyView()
... 35 more
Caused by: Unable to instantiate fragment calling Fragment constructor caused an exception
... 32 more
Caused by: Can access the Fragment View LifecycleOwner when getView() is null i.e., before onCreateView() or after onDestroyView()
... 35 more
### Actual result after these steps?
### Expected result after these steps?
### c:geo Version
### System information
### Additional Information</t>
  </si>
  <si>
    <t>2022-06-18</t>
  </si>
  <si>
    <t>Anuken-Mindustry-7040</t>
  </si>
  <si>
    <t>Unit Limit of salt flats first time launch is bugged</t>
  </si>
  <si>
    <t>**Steps to reproduce**: make new campaign, beat tar fields, and launch to salt flats from tar fields
**Link(s) to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
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</si>
  <si>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PojavLauncherTeam-PojavLauncher-3391</t>
  </si>
  <si>
    <t>### Describe the bug
While playing the game simply crashes and thats it. The launcher stays open
No crash log is available either for some reason
### The log file and images videos
--------- beggining with launcher debug
--------- beginning of system
--------- beginning of main
Added custom env: TMPDIR data user net.kdt.pojavlaunch cache
Added custom env: AWTSTUB WIDTH 1366
Added custom env: REGAL GL VERSION 4.5
Added custom env: REGAL GL VENDOR Android
Added custom env: LIBGL MIPMAP
Added custom env: allow higher compat version true
Added custom env: MESA GLSL CACHE DIR data user net.kdt.pojavlaunch cache
Added custom env: force glsl extensions warn true
Added custom env: LIBGL NORMALIZE
Added custom env: LD LIBRARY PATH data user net.kdt.pojavlaunch runtimes jre17-x86 lib jli: data user net.kdt.pojavlaunch runtimes jre17-x86 lib: system lib64: vendor lib64: vendor lib64 hw: data app lib x86 64
Added custom env: POJAV RENDERER opengles3
Added custom env: LIBGL ES
Added custom env: MESA LOADER DRIVER OVERRIDE zink</t>
  </si>
  <si>
    <t>Anuken-Mindustry-7039</t>
  </si>
  <si>
    <t>Silicon Smelter Building Crash</t>
  </si>
  <si>
    <t>**Steps to reproduce**: *Build the Silicon Smelter (also works in sandbox mode)*
**Link(s) to mod(s) used**:
**-NEWHORIZON MOD:** *https: github.com yuria-shikibe newhorizonmod*
**-UNLIMITED ARMAMENT WORKS:** *https: github.com eschatologue
**-Pixel Texturepack Mindustry:** *https: github.com xeloboyo factoriodustry*
First Crash Appear in **Camping The Craters** and ve try in other map and it keep crashing after the build progress started.
If you remove the line above without reading it properly and understanding what it means, will reap your soul. Even if you re playing on someone server, you can still save the game to slot.
**(Crash) logs**: crash-report-06 18 2022 14 22 40.txt (https: github.com Anuken Mindustry files 8933186 crash-report-06 18 2022 14 22 40.txt)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</si>
  <si>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microg-GmsCore-1740</t>
  </si>
  <si>
    <t>Intent filter verification service / com.android.statementservice regularly crashing on LineageOS for microg</t>
  </si>
  <si>
    <t>am aware this is very unclear specification of bug.
It is not clear who and what is responsible for this can be also Android12 (LOS).
But it seems to be that the combination of LOS and microG causes most of problems from what found in net.
**Describe the bug**
This message pops up from time to time. It seems not to harm anything, but is of course annoying.
Try to identify anything in log, but it all very unclear to me.
Right now don find way to trigger it reliably.
It should not pop up this message
Los 19 for microG, S10e (Android 12)
found some bug reports in telegram support channel for my ROM too, while maintainer means this is not device specific (which the above link confirms).</t>
  </si>
  <si>
    <t>2022-06-17</t>
  </si>
  <si>
    <t>Anuken-Mindustry-7035</t>
  </si>
  <si>
    <t>Game crashing with local server</t>
  </si>
  <si>
    <t>**Steps to reproduce**: Joined local server.
**Link(s) to mod(s) used**: No mods used.
**Save file**: *Im sorry, but dont have any save file, no file was created.*
**(Crash) logs**: *Attached file*</t>
  </si>
  <si>
    <t>Igalia-wolvic-147</t>
  </si>
  <si>
    <t>Crash in `libmozglue.so`</t>
  </si>
  <si>
    <t>&lt;!--- State the version number and build ID affected. --&gt;
&lt;!--- The build ID is obtained by clicking on the build date in settings. --&gt;
Wolvic versions: 0.9.6, 0.9.5
&lt;!--- Include the name and version of the hardware VR headset you experienced the bug in. --&gt;
## Steps to Reproduce
## Current Behavior
## Expected Behavior
Wolvic not crashing.
## Error Logs and Stack Traces
### Uploaded Symbolication
0x78fc7951bc bionic linker linker soinfo.cpp:353 (call function(char const*, void (*)(int, char**, char**), char const*))
0x78fc794f2c bionic linker linker soinfo.cpp:387 (void call array&lt;void (*)(int, char**, char**)&gt;(char const*, void (**)(int, char**, char**), unsigned long, bool, char const*))
0x78fc7950fc bionic linker linker soinfo.cpp:431 (soinfo::call constructors())
0x78f7a2960c system core libnativeloader native loader.cpp:936
0x78f7a29440 system core libnativeloader native loader.cpp:856
0x787639b3a8 art runtime jni java vm ext.cc:1005 JNIEnv*, std:: 1::basic string&lt;char, std:: 1::char traits&lt;char&gt;, std:: 1::allocator&lt;char&gt; const&amp;, jobject*, jclass*, std:: 1::basic string&lt;char, std:: 1::char traits&lt;char&gt;, std:: 1::allocator&lt;char&gt; &gt;*))
0x786c0ea700 libcore ojluni src main native Runtime.c:73 (Runtime nativeExit)
0x78765c06f8 art runtime entrypoints quick quick jni entrypoints.cc:0 jobject*, unsigned int, art::Thread*))
0x78f7f93a94 external jemalloc new src arena.c:1572 (je arena dalloc small)
0x787615d870 art runtime art method.cc:361 unsigned int*, unsigned int, art::JValue*, char const*))</t>
  </si>
  <si>
    <t>nextcloud-android-10406</t>
  </si>
  <si>
    <t>App crash only by login in my account</t>
  </si>
  <si>
    <t>### Steps to reproduce
1. Login in nextcloud
2. You mast have this picture.
have no idea why, but this image causes the app to crash.
You have to reset everything if it exists.
The picture was joke because buddy said look like that and wanted to prank him.
It is coincidence that exactly this picture causes problems. :D
can no longer reproduce it.
Deleting it definitely helped.
also deleted and restored the upload folders.
But actually only the deletion of this picture helped.
can no longer reproduce it either, the error is suddenly gone, the RAM consumption is normal.
### Expected behaviour
It should start normally after login.
### Actual behaviour
It freezes and crashes.
ve already reset the app.
After login the same.
It only happens when log into my account.
So it must be related to the files.</t>
  </si>
  <si>
    <t>Anuken-Mindustry-7030</t>
  </si>
  <si>
    <t>Progress loss</t>
  </si>
  <si>
    <t>2022-06-16 (2) (https: 107653477
2022-06-16 (3) (https: 107653477
**Steps to reproduce**: *I opened the game. Before saved all my progress properly. Nothing out of the ordinary.*
**Link(s) to mod(s) used**: *None.*
**Save file**: *this are the ones that have prof that had all that progress legitly. The file is on the drive*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</si>
  <si>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2022-06-16</t>
  </si>
  <si>
    <t>google-ExoPlayer-10348</t>
  </si>
  <si>
    <t>Playback error: UnrecognizedInputFormatException</t>
  </si>
  <si>
    <t>### ExoPlayer Version
### Devices that reproduce the issue
Android TV emulator running Android
Custom STB Box
### Devices that do not reproduce the issue
### Reproducible in the demo app?
### Reproduction steps
1. Play the attached media file
### Expected result
The media plays successfully
### Actual result
Playback crashes with this following stack trace:
will email dev.exoplayer gmail.com gmail.com) after filling this issue.
### Bug Report
You will email the zip file produced by adb bugreport to dev.exoplayer gmail.com after filing this issue.</t>
  </si>
  <si>
    <t>Fox2Code-FoxMagiskModuleManager-167</t>
  </si>
  <si>
    <t>Can not install any modules</t>
  </si>
  <si>
    <t>Since version 0.5.0 it seems like installation from local memory is not possible.
When selecting the package, Fox MM crashes with the following log:
FATAL EXCEPTION: main
Magisk version: latest stable as of today.
Android version: 12</t>
  </si>
  <si>
    <t>PojavLauncherTeam-PojavLauncher-3384</t>
  </si>
  <si>
    <t>[BUG] &lt;Crash Forge 1.7.10&gt;</t>
  </si>
  <si>
    <t>### Describe the bug
Forge 1.7.10 Crashes
### The log file and images videos
forge 1.7.10 crash in mods
### Steps To Reproduce
Start Forge 1.7.10 In Mods
Crashing It Black Screen
### Expected Behavior
Device model:Honor 8S
### Anything else?
Forge Crash 1.7.10 it black screen</t>
  </si>
  <si>
    <t>PojavLauncherTeam-PojavLauncher-3383</t>
  </si>
  <si>
    <t>### Describe the bug
Forge 1.7.10 crashes
### The log file and images videos
### Steps To Reproduce
Start Forge 1.7.10
Crash in black screen
### Expected Behavior
expect that crash forge
Device model:Honor 8S 32G
PojavLauncher version:Latest Release openjdk
### Anything else?
Forge 1.7.10 start it crash</t>
  </si>
  <si>
    <t>google-ExoPlayer-10345</t>
  </si>
  <si>
    <t>Incorrect profile/level info reported in MediaCodecInfo</t>
  </si>
  <si>
    <t>### ExoPlayer Version
### Devices that reproduce the issue
Pixel running Android 10, running 2.12.3
### Devices that do not reproduce the issue
### Reproducible in the demo app?
### Reproduction steps
Attempt to play the manifest linked below in exoplayer.
### Expected result
The media plays successfully, i.e chooses the AVC variant
### Actual result
The renderer crashes with when attempting to play the HEVC variant.
After some internal searching, we ve found that the profileLevels array generated by includes the constant HEVCProfileMain10 even though the device does not support 10 bit HEVC as confirmed in https: github.com google ExoPlayer issues 3537.
This seems to be bug in the support check.
Try playing the manifest given by: https: api.svt.se ditto api v1 web?manifestUrl hvc&amp;excludeCodecs ac-3
### Bug Report
You will email the zip file produced by adb bugreport to dev.exoplayer gmail.com after filing this issue.</t>
  </si>
  <si>
    <t>TeamNewPipe-NewPipe-8517</t>
  </si>
  <si>
    <t>App keeps crashing when you play a song with screen off</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</si>
  <si>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Play song in background
2. Then turn off screen while playing in background
3. Music will stop playing aftee so long
### Expected behavior
### Actual behavior
### Screenshots Screen recordings
### Affected Android Custom ROM version
### Affected device model
Motorola one 5G ace
### Additional information</t>
  </si>
  <si>
    <t>TeamNewPipe-NewPipe-8516</t>
  </si>
  <si>
    <t>App insta crashes when trying to import subs csv</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</si>
  <si>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Open app
2. Have subscriptions csv from YouTube
3. Follow steps on app to import subscriptions
4. app crashes as soon as accept the network intensive-ness
### Expected behavior
App should import subs
### Actual behavior
### Screenshots Screen recordings
User Action: ui error
Request: ACRA report
Content Country: US
Content Language: en-US
App Language: en US</t>
  </si>
  <si>
    <t>2022-06-15</t>
  </si>
  <si>
    <t>Anuken-Mindustry-7025</t>
  </si>
  <si>
    <t>game crash on launch</t>
  </si>
  <si>
    <t>how to repeat: launch the game
mods used: none
save file: think it isn related to any save files because the glitch happens while loading the game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</si>
  <si>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Anuken-Mindustry-7022</t>
  </si>
  <si>
    <t>Undo in map editor causes crash</t>
  </si>
  <si>
    <t>**Steps to reproduce**:
*1. Start the game
2. Open the map editor and create new map
3. Edit at the edge of the map
5. Game crashes*
**Link(s) to mod(s) used**: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The bug appears again **I have searched the closed and open issues to make sure that this problem has not already been reported.**</t>
  </si>
  <si>
    <t>PojavLauncherTeam-PojavLauncher-3374</t>
  </si>
  <si>
    <t>[BUG] Sodium doesnt work in 1.17,1.18,1.19</t>
  </si>
  <si>
    <t>### Describe the bug
Application Exited with code
here is latest log of crash
### The log file and images videos
### Steps To Reproduce
Runtime is default to 17
renderer holy gl4es
in mods fabric api and 1.19 sodium
game sucessful launched
stuck at joining world
and then crashed with application game exited with code
### Expected Behavior
used premium account to launch the game and fabric loader 0.14.7 of 1.19
Device model: Samsung Galaxy Tab A7
CPU architecture: aarch64
Android version: 11
PojavLauncher version: latest playstore version
Renderer: holy gl4es
### Anything else?</t>
  </si>
  <si>
    <t>openid-AppAuth-Android-842</t>
  </si>
  <si>
    <t>IdTokenException uncaught by the AuthorizationService.TokenRequestTask</t>
  </si>
  <si>
    <t>&lt;!-- Thank your for your input! Before you submit your issue, please make sure you followed our checklist and check the appropriate boxes by putting an in the --&gt;
am using the latest release
searched for existing GitHub issues (https: github.com openid AppAuth-Android issues)
verified the client configuration matches the information in the identity provider (or am using dynamic client registration)
can reproduce the issue in the demo app (optional)
Integration: (native(Java Kotlin))
Identity provider: (Okta)
### Issue Description
App crashes if there an exception when verifying the id token.
Our crash crash analytics tool is spitting out the following stack traces:
Caused by Issued at time is more than 10 minutes before or after the current time
Caused by ID Token expired
Looks like the culprit is the following code:
Since IdTokenException is not subtype of it is not caught.
Therefore onPostExecute rethrows the exception.
solution to this would be to handle it in similar fashion as the parsing of the id token just few lines above:
catch (IdTokenException JSONException ex)
GeneralErrors.ID TOKEN PARSING ERROR,</t>
  </si>
  <si>
    <t>2022-06-14</t>
  </si>
  <si>
    <t>nextcloud-android-10387</t>
  </si>
  <si>
    <t>app crashed while opening picture from media view</t>
  </si>
  <si>
    <t>### Steps to reproduce
1. Browse in the media view
2. Open pictures. In my case it was local oicture, i.e. which was moved some hours before to the nextcloud folder after being uploaded
### Cause of error
Exception in thread main Couldn read row 705, col from CursorWindow. Make sure the Cursor is initialized correctly before accessing data from it.
### App information
Build flavor: gplay
### Device information</t>
  </si>
  <si>
    <t>nextcloud-android-10383</t>
  </si>
  <si>
    <t>crash after switching back from detail to media view</t>
  </si>
  <si>
    <t>### Steps to reproduce
1. Open the media view
2. Open some picture, turn phone to get into landscape mode (not sure the latter makes difference)
3. Tap on the app back button
### Expected behaviour
the media view should be shown again
### Actual behaviour
long wait then crash
### Cause of error
### App information
Build flavor: gplay
### Device information</t>
  </si>
  <si>
    <t>2022-06-13</t>
  </si>
  <si>
    <t>Anuken-Mindustry-7011</t>
  </si>
  <si>
    <t>Turrets using infinite ammo when already storing a different one</t>
  </si>
  <si>
    <t>When you load f.E. Breach with Tungsten and its not completely full (let it shoot once) and then try to fill it with an other
type of ammo f.E. Beryllium, it will just consume it all without changing anything.
**Steps to reproduce**:
1. Build breach
2. Fill it with Beryllium (but not completely full (it is easy when you fill it and then shoot it once))
3. Use duct to insert Tungsten into it.
Video demonstrating it:
**Link(s) to mod(s) used**: Also works in vanilla so it should not be mod related. (no mods used)
**(Crash) logs**: no crash
**I have updated to the latest release (https: github.com Anuken Mindustry releases) to make sure my issue has not been fixed.**
**I have searched the closed and open issues to make sure that this problem has not already been reported.**</t>
  </si>
  <si>
    <t>PojavLauncherTeam-PojavLauncher-3369</t>
  </si>
  <si>
    <t>[BUG] 1.18.2 Optifine Crash</t>
  </si>
  <si>
    <t>### Describe the bug
For some reason, in optifine 1.18.2 joining an world or an server will crash. But it fine with vanilla 1.18.2
### The log file and images videos
### Steps To Reproduce
1. Start Pojavlauncher
3. Chose 1.18.2 optifine
4. Join an world server
5. It crashed
### Expected Behavior
expected optifine to launch like vanilla
Device model: Samsung A30
CPU architecture: Aarch64
Android version: 10
PojavLauncher version: Latest playstore release
### Anything else?</t>
  </si>
  <si>
    <t>2022-06-12</t>
  </si>
  <si>
    <t>BresciaFrancesco-TourExperience-61</t>
  </si>
  <si>
    <t>WelcomeActivity va in crash</t>
  </si>
  <si>
    <t>Quando WelcomeActivity entra in modalit landscape applicazione va in crash</t>
  </si>
  <si>
    <t>K-Konstantinidis-Basketball-League-46</t>
  </si>
  <si>
    <t>Mobile App: Most of pages will be empty or won't work</t>
  </si>
  <si>
    <t>Most of the pages will be empty or will not work making the app crash.
That because in the last MobileApp branch commit added wherever we needed the recyclerView but did not create adapters
for each class.
The issue will be solved when we create all the adapters.
This issue has to do with the pull request #45</t>
  </si>
  <si>
    <t>Anuken-Mindustry-7007</t>
  </si>
  <si>
    <t>Lost a sector (not vulnerable) when relogging?</t>
  </si>
  <si>
    <t>After Ground Zero, took sector 174, then 41, then continued with the campaign. Last time played, was working in sector 174. might have force-shut-down my computer because it was getting too laggy to properly close. Now that relog, this sector, and only this one, seems to have been reset. don own it anymore, and when click on it in the planetary view, it doesn tell me what resources it has, as if never even been in it. It not adjacent to any enemy base, either.
No mods used, pure vanilla.
Save file: Attached.
No crash log, because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</si>
  <si>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PojavLauncherTeam-PojavLauncher-3366</t>
  </si>
  <si>
    <t>[BUG] &lt;1.19 crashed with error code -1 &gt;</t>
  </si>
  <si>
    <t>### Describe the bug
Hello The first time report bug, do not have much information because of it. In the latest official version of Minecraft Launcher, downloaded 1.19 and it gives error -1 when run it.
### The log file and images videos
### Steps To Reproduce
1.I start the launcher
2.i start the Minecraft 1.19
3.game crashed and give me -1 error
### Expected Behavior
expected Minecraft 1.19 to run in the new launcher
Device model: Redmi note pro 128g
CPU architecture: aarch64
Android version: 11
PojavLauncher version: The latest official version of the Play Store
### Anything else?</t>
  </si>
  <si>
    <t>PojavLauncherTeam-PojavLauncher-3361</t>
  </si>
  <si>
    <t>[BUG] &lt;1.19 crashed&gt;</t>
  </si>
  <si>
    <t>### Describe the bug
have the latest official version of pojavluncher. downloaded the 1.19 but when run it 1.19 crashed with error code -1 use the java 17 runtime and holy renderer
### The log file and images videos
### Steps To Reproduce
1. go to pojavluncher
2. run 1.19
3- pojavluncher crashed with error code -1
### Expected Behavior
expected 1.19 in the new version pojavluncher Run but this did not happen
Device model: Redmi note pro 128G
CPU architecture: aarch64
Android version: 11
PojavLauncher version: The latest version of the Play Store
### Anything else?</t>
  </si>
  <si>
    <t>2022-06-11</t>
  </si>
  <si>
    <t>PojavLauncherTeam-PojavLauncher-3360</t>
  </si>
  <si>
    <t>lots of bugs forge not working controls broken</t>
  </si>
  <si>
    <t>### Describe the bug
cant play the game properly because cant shift click items when in inventory and if am in inventory when click esc it doesnt work have to click it multiple times.forge doesnt work when try to load it it says application exited with code this only happened after the new update cant change my F5 to
### The log file and images videos
cant record cus the copmuter gets too laggy to do antthing
### Steps To Reproduce
launch world than try to shift click and also try to esc first try,try to change F5 to
### Expected Behavior
the gamewill crash if you use forge
Device model:lenovo chromebook
CPU architecture: 86 64
Android version:dont know how to check
PojavLauncher version: the latest
### Anything else?
was using optifine</t>
  </si>
  <si>
    <t>AndroidIDEOfficial-AndroidIDE-214</t>
  </si>
  <si>
    <t>Crash After close preview xml layout</t>
  </si>
  <si>
    <t>**Describe the bug**
when closing preview for xml layout got crash
Steps to reproduce the behavior:
open project -&gt; open layout.xml, click three dots on right side then preview xml layout then press back on phone
should be going back to xml layout editor
&lt;!-- If applicable, add screenshots to help explain your problem. --&gt;
**Details (please complete the following information):**
Device: Redmi Note pro
OS: Android 10
AndroidIDE Version 202
&lt;!-- Add any other context about the problem here. --&gt;
AndroidIDE crash report</t>
  </si>
  <si>
    <t>nextcloud-news-android-1096</t>
  </si>
  <si>
    <t>Crash when clicking relative link</t>
  </si>
  <si>
    <t>An item in one of my feeds contains relative link. Specifically it Reddit atom feed, containing link with href MsMarvelShow When click the link, the app crashes with the following:
Feeds are of course recommended not to do this, but maybe the app can use the host from the &lt;link&gt; element to figure out what the link is supposed to lead, or xml:base if present (though the Reddit feed doesn seem to have that). But it should at least not crash.</t>
  </si>
  <si>
    <t>2022-06-10</t>
  </si>
  <si>
    <t>PojavLauncherTeam-PojavLauncher-3357</t>
  </si>
  <si>
    <t>VirGL Renderer conflict with optifine</t>
  </si>
  <si>
    <t>### Describe the bug
Fast render with VirGL renderer isnt support if use fast render with virgl the menu panorama will just be grey and if click on buttons such as singleplayer, multiplayer it it will freeze
### The log file and images videos
No logs it dosent crash it just freezes
### Steps To Reproduce
1. Use optifine
2. enable fast render
3. Use virgl
4. And yeah
### Expected Behavior
Be compatible with fast render
Device model: Oppo A94
CPU architecture: aarch64
Android version: 11
PojavLauncher version: Latest
### Anything else?
Plz Fix UwU</t>
  </si>
  <si>
    <t>PojavLauncherTeam-PojavLauncher-3356</t>
  </si>
  <si>
    <t>[BUG] App crashed, application code 1</t>
  </si>
  <si>
    <t>### Describe the bug
Application exited with code 1.
### The log file and images videos
b) Add the JAR that contains the shared library to the classpath.
### Steps To Reproduce
Download Minecraft, use JRE17
### Expected Behavior
expect the game to launch
Device model: Redmi10
CPU architecture: aarch64 (arm64)
Android version: 12
PojavLauncher version: Latest automatic build
### Anything else?
Btw, the text in this build is upside down.</t>
  </si>
  <si>
    <t>MuntashirAkon-AppManager-777</t>
  </si>
  <si>
    <t>Log viewer | Export crash</t>
  </si>
  <si>
    <t>Your issue will be closed without warning if you don check at least two items.
know what my device, OS and App Manager versions are
know how to take logs
know how to reproduce the issue which may not be specific to my device
Steps to reproduce the behaviour:
1. Go to Log viewer
2. Click on Export OK
3. See error
App version: 3.0.0-rc02-DEBUG
App version code: 404
Android build version: 8704X S001025 190606 ROW
Android release version: 8.1.0
Android SDK version: 27
Android build ID: TB-8704X S001025 190606 ROW
Device brand: Lenovo
Device manufacturer: LENOVO
Device name: TB-8704X
Device model: Lenovo TB-8704X
Device product name: TB-8704X
Device hardware name: qcom</t>
  </si>
  <si>
    <t>PojavLauncherTeam-PojavLauncher-3353</t>
  </si>
  <si>
    <t xml:space="preserve">[BUG] LabyMod 1.8.9 pwease fix the crash effect when its 75% of the game loading its will crash </t>
  </si>
  <si>
    <t>### Describe the bug
Start Labymod 1.8.9 when load ing is 75% it will crash
But labymod 1.12.2 is not crashing but dont like 1.12.2
### The log file and images videos
LabyMod 1.8.9 bug
### Steps To Reproduce
1. Start pojav launcher
Then install labymod 1.8.9
Then play labymod 1.8.9
Then it will crash at 75%
### Expected Behavior
want this labymod 1.8.9 work now
Device model: Itel P36
CPU architecture: arm aarch32
Android version: 9.0
PojavLauncher version: latest
### Anything else?</t>
  </si>
  <si>
    <t>PojavLauncherTeam-PojavLauncher-3351</t>
  </si>
  <si>
    <t xml:space="preserve">[BUG] No Mods work at all in 1.16.5 </t>
  </si>
  <si>
    <t>### Describe the bug
when attempting to load the game with any mod, it will go to minecraft error screen, then pojav itself will crash with error code 1.
### The log file and images videos
--------- beggining with launcher debug
Added custom env: TMPDIR data user net.kdt.pojavlaunch cache
Added custom env: AWTSTUB WIDTH 2320
Added custom env: POJAV NATIVEDIR data app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 lib aarch64 jli: data user net.kdt.pojavlaunch runtimes Internal lib aarch64: system lib64: vendor lib64: vendor lib64 hw: data app lib arm64
Added custom env: POJAV RENDERER opengles2
Added custom env: LIBGL ES
Added custom env: VTEST SOCKET NAME data user net.kdt.pojavlaunch cache .virgl test
Added custom env: MESA LOADER DRIVER OVERRIDE zink</t>
  </si>
  <si>
    <t>2022-06-09</t>
  </si>
  <si>
    <t>PojavLauncherTeam-PojavLauncher-3350</t>
  </si>
  <si>
    <t>Bug Double account</t>
  </si>
  <si>
    <t>### Describe the bug
When you Login To Your xbox account you can see there double account
### The log file and images videos
### Steps To Reproduce
1.Start Pojav Launcher
2.login Into your xbox account
3.after login and enter the launcher click the icon your account
4.you can see there double account
5.click the account
And there game crashes
### Expected Behavior
Device model:Samsung Galaxy Note 10 Lite
### Anything else?</t>
  </si>
  <si>
    <t>TeamNewPipe-NewPipe-8494</t>
  </si>
  <si>
    <t>Crash when opening Newpipe from Android taskbar (?) when video was opened from the share &gt; background player menu</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</si>
  <si>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Open video on YouTube app
Select share Newpipe Newpipe background player
Wait for the background player to start playing
Open Newpipe from Android taskbar (?)
--&gt; Newpipe crashes
### Expected behavior
Newpipe not crashing
### Actual behavior
### Screenshots Screen recordings
User Action: ui error
Request: ACRA report
Content Country: CA
Content Language: fr-CA</t>
  </si>
  <si>
    <t>cgeo-cgeo-13112</t>
  </si>
  <si>
    <t>NPE in CheckerUtils</t>
  </si>
  <si>
    <t>### Describe your problem!
Found in crash report on Google Play and reported as new for production build 2022.06.06:
### How to reproduce?
### Actual result after these steps?
### Expected result after these steps?
### c:geo Version
### System information
Android Android 12
### Additional Information</t>
  </si>
  <si>
    <t>nextcloud-android-10366</t>
  </si>
  <si>
    <t>App crash at logon</t>
  </si>
  <si>
    <t>1. Enter server URL.
2. Accept prompt for login as new device.
3. Enter username and password.
4. Application crash.</t>
  </si>
  <si>
    <t>commons-app-apps-android-commons-4992</t>
  </si>
  <si>
    <t>v4.0 crash report - NPE at LocationPickerActivity.java:158</t>
  </si>
  <si>
    <t>From the google groups crash forum:
APP VERSION CODE 1026
APP VERSION NAME 4.0.0
ANDROID VERSION 10
PHONE MODEL ONEPLUS A5010
Caused by: Attempt to invoke virtual method boolean on null object reference
... 13 more
IS SILENT false</t>
  </si>
  <si>
    <t>dyjcow-SzWeather-1</t>
  </si>
  <si>
    <t>移除所有城市导致crash</t>
  </si>
  <si>
    <t>Anuken-Mindustry-6997</t>
  </si>
  <si>
    <t>RTS AI crashes game when attempting to make naval units go to the nearest core.</t>
  </si>
  <si>
    <t>Game crashes whenever there are sufficient units to attack the core. (RTS AI exclusive)
**Steps to reproduce**: *How you happened across the issue, and what exactly you did to make the bug happen.*
Activate RTS AI
Do that on replica of Planetary Launch Terminal
Use naval map with naval factories if you re far too lazy to consult the source code and locate the following:
Planetary Launch Terminal
Wait for bit
**Link(s) to mod(s) used**: *The mod repositories or zip files that are related to the issue, if applicable.*
Testing Utilities. That it. use it to mess with stuff.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chill dude, just try to replicate the bug and voil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</si>
  <si>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K-Konstantinidis-Basketball-League-38</t>
  </si>
  <si>
    <t>Mobile Application: Log-in as a stats manager causes app crash</t>
  </si>
  <si>
    <t>Igalia-wolvic-139</t>
  </si>
  <si>
    <t>Java exception in CrashReporterService</t>
  </si>
  <si>
    <t>&lt;!--- State the version number and build ID affected. --&gt;
&lt;!--- The build ID is obtained by clicking on the build date in settings. --&gt;
Wolvic version: 0.9.6
&lt;!--- Include the name and version of the hardware VR headset you experienced the bug in. --&gt;
## Steps to Reproduce
&lt;!--- For bugs, please provide link to live web site, test page, or rough set of --&gt;
&lt;!--- steps to reproduce this bug. If relevant, include code to reproduce. --&gt;
&lt;!--- Feel free to attach images and GIFs of screen captures. --&gt;
It difficult to reproduce, it happens sometimes after mixing local builds and installations from the Oculus Store
## Current Behavior
Wolvic crashes at startup
## Expected Behavior
No crash :smile:
## Error Logs and Stack Traces
This is the stack trace
&lt;!--- DO NOT REMOVE THIS LINE. --&gt;
&lt;!--- DO NOT REMOVE THIS LINE. --&gt;</t>
  </si>
  <si>
    <t>PojavLauncherTeam-PojavLauncher-3348</t>
  </si>
  <si>
    <t xml:space="preserve">[BUG] 1.19 crashing </t>
  </si>
  <si>
    <t>### Describe the bug
1.19 crashes application exited code
### The log file and images videos
### Steps To Reproduce
Select Jr 17,holy renderer
Game crashes with code
### Expected Behavior
Device model: realme 8s 5g
CPU architecture: 64
Android version: 11
PojavLauncher version: play Store latest
### Anything else?</t>
  </si>
  <si>
    <t>rezolved-rezolve_sdk_sampleapp_android-16</t>
  </si>
  <si>
    <t>RR-10724 Fix the geofences crash for sdk 3.2.0 version</t>
  </si>
  <si>
    <t>2022-06-08</t>
  </si>
  <si>
    <t>Anuken-Mindustry-6993</t>
  </si>
  <si>
    <t>Bug in editor/map making</t>
  </si>
  <si>
    <t>**Steps to reproduce**: Just open editorlmap making and Resize the map ist like that
**Save file**: content: storage emulated DCIM Screenshots Screenshot
IDK to send screenshoot to web so use zachiver and make to link for Zip or the unzip file)
**(Crash) logs**: no have crash log</t>
  </si>
  <si>
    <t>PojavLauncherTeam-PojavLauncher-3344</t>
  </si>
  <si>
    <t>[BUG] Latest version Running on pojavlauncher latest version comes out with code 1</t>
  </si>
  <si>
    <t>### Describe the bug
don know why, after installed minecraft 1.19 in the latest pojavlauncher it always crashes with code even though already using premium account, please fix it
### The log file and images videos
### Steps To Reproduce
2.select 1.19 version
### Expected Behavior
Launch the pojavlauncher
Device model: Vivo Y12 32
CPU architecture: AARCH 64
PojavLauncher version: dahlia-v3-openjdk
### Anything else?</t>
  </si>
  <si>
    <t>Anuken-Mindustry-6987</t>
  </si>
  <si>
    <t>Itch 135.2 will not launch</t>
  </si>
  <si>
    <t>**Steps to reproduce**:
*1. Download UNSTABLE ALPHA Windows-64bit Mindustry.zip from Mindustry itch.io page*
*2. Extract the zip file into new folder*
*3. Open the folder and launch the game*
*4. Open task manager*
*5. Wait for nothing to happen*
**Link(s) to mod(s) used**: *None*
**Save file**: *None*
**(Crash) logs**: *Surprisingly, none. can find crash folder anywhere.*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Add comment: This (https: github.com Anuken Mindustry issues 6533) issue is the most relevant previously closed issue could find. read that the issue was upstream and that an update to Mindustry had conclusively fixed the problem nevertheless have the same issue.
The same thing happens when try to download the v7 beta through Steam.</t>
  </si>
  <si>
    <t>2022-06-07</t>
  </si>
  <si>
    <t>BresciaFrancesco-TourExperience-55</t>
  </si>
  <si>
    <t>Nei dispositivi con Android inferiore a S non funziona il bt</t>
  </si>
  <si>
    <t>Nei dispotivi con una versione di Android inferiore (12), il bluetooth non funziona alla chiusura del fragment della stanza, crasha activity. Il problema sembra essere causato dalla mancanza del permesso BLUETOOTH ADMIN.</t>
  </si>
  <si>
    <t>Anuken-Mindustry-6984</t>
  </si>
  <si>
    <t>Disabled conveyor belts still moving materials</t>
  </si>
  <si>
    <t>**Steps to reproduce**: It occurred first in tar fields, but after testing in some custom matches, it seems to happen anywhere pulling any materials from anything. was able to replicate the bug by having conveyor belt pull from an item source be disabled via micro processor.
**Save file**: Main Campaign.zip (https: github.com Anuken Mindustry files 8848885 Main Campaign.zip)
**(Crash) logs**: No crash resulted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</si>
  <si>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2022-06-06</t>
  </si>
  <si>
    <t>Anuken-Mindustry-6983</t>
  </si>
  <si>
    <t>Network Error upon joining Open Game</t>
  </si>
  <si>
    <t>**Steps to reproduce**: Join an Open Game on the Steam version. For reference here is the game tried to join, though doubt this information will be very useful:
**Link(s) to mod(s) used**: had no client mods, but don know about the host.
**Save file**: (couldn even join)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</si>
  <si>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Anuken-Mindustry-6979</t>
  </si>
  <si>
    <t>iOS needs a new beta</t>
  </si>
  <si>
    <t>**Steps to reproduce**: open testfligt and look at Mindustry
**Link(s) to mod(s) used**: NA
**Save file**: *Null*
**(Crash) logs**: *No crash*
*Place an (no spaces) between the brackets to confirm that you have read the line below.*
**I have updated to the latest release (https: github.com Anuken Mindustry releases) to make sure my issue has not been fixed.**
This is kinda my issue
**I have searched the closed and open issues to make sure that this problem has not already been reported.**</t>
  </si>
  <si>
    <t>woesss-JL-Mod-50</t>
  </si>
  <si>
    <t>Real Boxing 3D - crash</t>
  </si>
  <si>
    <t>**Description of the issue:**
When play game immediately crash.</t>
  </si>
  <si>
    <t>nextcloud-android-10344</t>
  </si>
  <si>
    <t>Android client stable or preview won't list files, crashes on gallery view</t>
  </si>
  <si>
    <t>noticed that new files weren appearing in the mobile app, so tried clearing the app storage. was able to successfully log back in, but the all files listing showed no files, despite the storage indicator at the bottom of the hamburger menu showing that storage was used. When selected gallery from the hamburger menu, the application crashed, generating the trace back below. The server is running the latest stable release and works fine in web browser.
am using reverse proxy to route traffic from the public internet to the internal server that is actually hosting Nextcloud. Is there some URL that would impact the mobile app, but not the web version?
### Cause of error
Exception in thread AsyncTask #2 An error occurred while executing doInBackground()
Caused by: Exception in thread AsyncTask #2 Accessing result data after operation failed!
### App information
Build flavor: gplay
### Device information</t>
  </si>
  <si>
    <t>PojavLauncherTeam-PojavLauncher-3336</t>
  </si>
  <si>
    <t>No optifine</t>
  </si>
  <si>
    <t>### Describe the bug
On version 1.16.5, optifine does not work with forge
### The log file and images videos
Screenshot net kdt pojavlaunch (https: 105164782
### Steps To Reproduce
1. Start pojav launcher
2. Press play
3. 30 seconds later: error
### Expected Behavior
Game was crashed
Device model: Poco X3 pro
CPU architecture: aarch64
Android version: 12
PojavLauncher version: dahlia
### Anything else?</t>
  </si>
  <si>
    <t>2022-06-05</t>
  </si>
  <si>
    <t>Anuken-Mindustry-6976</t>
  </si>
  <si>
    <t>version changing partial progress reset</t>
  </si>
  <si>
    <t>**Steps to reproduce**: download Mindustry from the App Store, then download the test flight version over it, then re-download Mindustry from the App Store. Any campaign progress done during either the original App Store download, or test flight version, will be partially reset
**Link(s) to mod(s) used**: Turtle zooooooooom:1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</si>
  <si>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AndroidIDEOfficial-AndroidIDE-213</t>
  </si>
  <si>
    <t>It seems like AndroidIDE doesn't supports SplitScreen</t>
  </si>
  <si>
    <t>**Describe the bug**
After opening AndroidIDE, when start Split Screen mode the following error occurs and AndroidIDE says to report it
AndroidIDE crash report
Steps to reproduce the behavior:
Open AndroidIDE and press the shortcut key for SplitScreen Mode.
AndroidIDE doesn crash.
**Details (please complete the following information):**
OS: Android 10
AndroidIDE Version: Latest from GitHub Actions.</t>
  </si>
  <si>
    <t>PojavLauncherTeam-PojavLauncher-3333</t>
  </si>
  <si>
    <t>[BUG] Crash when Open Recent apps</t>
  </si>
  <si>
    <t>### Describe the bug
Pressing the home recent apps button while playing while the game is loading gives error:
-Application game exited with code
### The log file and images videos
No log produced
### Steps To Reproduce
1. Start pojavlauncher
2. Play any version
3. Press recent apps button
4. Click pojavlauncher tab
-Starts loading then crashes
### Expected Behavior
expect the game to continue normally
Device model: Samsung a10s a10
CPU architecture: architecture 32
Android version: 11
### Anything else?
Only started happens in latest versions
Older versions run just fine</t>
  </si>
  <si>
    <t>PojavLauncherTeam-PojavLauncher-3329</t>
  </si>
  <si>
    <t>[BUG] Unable to add window -- token (forge)</t>
  </si>
  <si>
    <t>### Describe the bug
When join to server app crashes without anything hoa and on login screen
### The log file and images videos
PojavLauncher crash report
Android version: 11
Crash stack trace:
Launcher version: dahlia-v3 openjdk
### Steps To Reproduce
1. Start 1.18.2 forge
2. join server
### Expected Behavior
Joined to server without problems
Device model: realme Pro
CPU architecture: armv8
Android version: 11
PojavLauncher version: v3
### Anything else?</t>
  </si>
  <si>
    <t>PojavLauncherTeam-PojavLauncher-3327</t>
  </si>
  <si>
    <t>[BUG] Game Crashing on Startup</t>
  </si>
  <si>
    <t>### Describe the bug
Whenever try to launch game with my device it crashes dosent even loads up the MOJANG screen even with Online Account Offline Account....
### The log file and images videos
Screenshot 20220605-131547 PojavLauncher (Minecraft Java Edition for Android) (https: 106491296
### Steps To Reproduce
2.Login Into your account
3.Launch Any client or Version
### Expected Behavior
Expected Game to launch
Device model Samsung J7 NxT
CPU architecture: aarch32
PojavLauncher version: latest
### Anything else?
#3287 is still not fixed
My Game details :-
Client Name CmpackClient 1.8.8</t>
  </si>
  <si>
    <t>AndroidIDEOfficial-AndroidIDE-208</t>
  </si>
  <si>
    <t>Crash while typing code</t>
  </si>
  <si>
    <t>2022-06-04</t>
  </si>
  <si>
    <t>PojavLauncherTeam-PojavLauncher-3323</t>
  </si>
  <si>
    <t>[BUG] &lt;crash on 1.7.10 with code 1&gt;</t>
  </si>
  <si>
    <t>### Describe the bug
Application exited with code
### The log file and images videos
--------- beggining with launcher debug
--------- beginning of system
--------- beginning of main
Added custom env: TMPDIR data user net.kdt.pojavlaunch cache
Added custom env: AWTSTUB WIDTH 1546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POJAV RENDERER opengles2
Added custom env: LIBGL ES
Added custom env: VTEST SOCKET NAME data user net.kdt.pojavlaunch cache .virgl test
Added custom env: MESA LOADER DRIVER OVERRIDE zink</t>
  </si>
  <si>
    <t>PojavLauncherTeam-PojavLauncher-3319</t>
  </si>
  <si>
    <t>[BUG] game closed/crashes when loading  1.12.2 or below</t>
  </si>
  <si>
    <t>### Describe the bug
There is no crash pop up or log.
### The log file and images videos
### Steps To Reproduce
1. Start pojav launcher and load up forge version 1.12.2 (14.23.5.2859) with or without mods. 1.7.10 version does the same.
Game will close before or on the main menu screen. Relaunching will NOT provide crashlog. have switched the renderer and the jre and it does not work.
### Expected Behavior
expect to be able to play the game normally and have it launch.
Device model:Chromebook (Version 101.0.4951.72 (Official Build) (32-bit))
PojavLauncher version: latest
### Anything else?</t>
  </si>
  <si>
    <t>2022-06-03</t>
  </si>
  <si>
    <t>PojavLauncherTeam-PojavLauncher-3317</t>
  </si>
  <si>
    <t>[BUG] 1.12.2 crash with mods</t>
  </si>
  <si>
    <t>### Describe the bug
when attempting to launch with these three mods (controllable, phosphor, and pixelmon. there are likely more mods, but these are the only ones have tested) (both together and or separately) the game attempts to load, then an error message shows up saying game exited with error code 1.
### The log file and images videos
--------- beggining with launcher debug
Added custom env: TMPDIR data user net.kdt.pojavlaunch cache
Added custom env: AWTSTUB WIDTH 2320
Added custom env: POJAV NATIVEDIR data app -4CSad4Kyv7Ow lib arm64
Added custom env: REGAL GL VERSION 4.5
Added custom env: REGAL GL VENDOR Android
Added custom env: LIBGL MIPMAP
Added custom env: allow higher compat version true
Added custom env: MESA GLSL CACHE DIR data user net.kdt.pojavlaunch cache
Added custom env: LIBGL NOINTOVLHACK
Added custom env: force glsl extensions warn true
Added custom env: LIBGL NORMALIZE
Added custom env: LD LIBRARY PATH data user net.kdt.pojavlaunch runtimes Internal lib aarch64 jli: data user net.kdt.pojavlaunch runtimes Internal lib aarch64: system lib64: vendor lib64: vendor lib64 hw: data app -4CSad4Kyv7Ow lib arm64
Added custom env: POJAV RENDERER opengles2
Added custom env: LIBGL ES
Added custom env: VTEST SOCKET NAME data user net.kdt.pojavlaunch cache .virgl test
Added custom env: MESA LOADER DRIVER OVERRIDE zink</t>
  </si>
  <si>
    <t>2022-06-02</t>
  </si>
  <si>
    <t>PojavLauncherTeam-PojavLauncher-3315</t>
  </si>
  <si>
    <t>### Describe the bug
Game exited with code
### The log file and images videos
Screenshot net kdt pojavlaunch (https: 95852675
--------- beggining with launcher debug
--------- beginning of system
--------- beginning of crash
Added custom env: TMPDIR data user net.kdt.pojavlaunch cache
Added custom env: AWTSTUB WIDTH 2240
Added custom env: POJAV NATIVEDIR data app lib arm64
Added custom env: REGAL GL VERSION 4.5
Added custom env: REGAL GL VENDOR Android
Added custom env: LIBGL MIPMAP
Added custom env: allow higher compat version true
Added custom env: MESA GLSL CACHE DIR data user net.kdt.pojavlaunch cache
--------- beginning of main
Added custom env: LIBGL NOINTOVLHACK
Added custom env: force glsl extensions warn true
Added custom env: LIBGL NORMALIZE
Added custom env: LD LIBRARY PATH data user net.kdt.pojavlaunch runtimes Internal lib aarch64 jli: data user net.kdt.pojavlaunch runtimes Internal lib aarch64: system lib64: vendor lib64: vendor lib64 hw: data app lib arm64</t>
  </si>
  <si>
    <t>nextcloud-android-10320</t>
  </si>
  <si>
    <t>Android app crashed when opening media</t>
  </si>
  <si>
    <t>Anuken-Mindustry-6958</t>
  </si>
  <si>
    <t>Textures for erekir blocks are missing</t>
  </si>
  <si>
    <t>SEE END OF ISSUE
After updating from some version (?) before the erekir branch was merged to after the merge, when went to the new planet, many of the textures were broken. this presisted even in new worlds. textures of the erkir terrain, ores, and blocks were replaced with the Oh No texture, (as well as some things like the Impulse pump).
**Steps to reproduce**:
not shure exactly, but open the game in pre-erekir version, create save, close the game, update the version (with git pull), open the game, and voila, the issue should appear
**Link(s) to mod(s) used**: *no mods were used*
If you remove the line above without reading it properly and understanding what it means, will reap your soul. Even if you re playing on someone server, you can still save the game to slot.
**(Crash) logs**: *not crash report*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This issue was mostly created to warn others of the same problem, and so it can be referenced if it happens again
this problem was solved by creating new clean install (git clone) and running that, because (i *think*) it rebuilt the textures (or something related)</t>
  </si>
  <si>
    <t>AndroidIDEOfficial-AndroidIDE-199</t>
  </si>
  <si>
    <t>Got the following after exiting.</t>
  </si>
  <si>
    <t>2022-06-01</t>
  </si>
  <si>
    <t>PojavLauncherTeam-PojavLauncher-3312</t>
  </si>
  <si>
    <t>Versions and OptiFine installation &lt;Short description&gt;</t>
  </si>
  <si>
    <t>### Describe the bug
So when try to go onto another update instead of the main update 1.18.2 it will crash and when was on the latest version it was lagging really bad so tried to install OptiFine but it will keeps saying something about latest.log when talking about the versions like 1.8 or 1.12 or any of them it will crash saying something about latest log as well so please fix that would rather go on be downgraded version
### The log file and images videos
It says latestlog.txt
Idk what rest said.
### Steps To Reproduce
When start the app then it was updated when had my other tablet when was updated it wasn really well so didn want to update and it still updated anyways that when it started
### Expected Behavior
just want the game to launch and it won
Device model:Samsung Tab
PojavLauncher version: latest version
### Anything else?
Fix offline account</t>
  </si>
  <si>
    <t>Rapsssito-react-native-tcp-socket-153</t>
  </si>
  <si>
    <t>Android Client crashes when connected Server crashes.</t>
  </si>
  <si>
    <t>When server crashes the client is connected to the app will shutdown with fatal error.
## Steps to reproduce
Steps to reproduce the behavior:
1. Create connection to Server
2. Let Server ungracefully destroy it self. Or shut down the machine it is running on.
3. Android app will crash
const currentClient new net.Socket()
let client: ClientConnection undefined
client.on( connect ()
client.on( data (data)
if (typeof data string
client.on( drain ()
client.on( error (error)
client.on( close (error)
Client Connection call:
## Current behavior
Android App crashes when server is unexpectedly shutting down
## Expected behavior
The android app should get an error somewhere that will allow handeling and not crash the entire app.
Error caught on the client phone after Server crashes (https: imgur.com QLD9RNT)</t>
  </si>
  <si>
    <t>wultra-powerauth-mobile-sdk-435</t>
  </si>
  <si>
    <t>Crash when HTTP operation is canceled</t>
  </si>
  <si>
    <t>By accident found crash in our PA2AsyncOperation when the operation wraps HTTP request and is canceled immediately after the operation creation:
thread #8, queue PA2HttpClient Concurrent (QOS: UNSPECIFIED) stop reason EXC BAD ACCESS (code EXC I386 GPFLT)
frame #0: 0x00007fff207df668 Foundation NSOQSchedule 347
frame #1: 0x00007fff207df29b Foundation 1839
frame #2: 0x00007fff207a9fe9 Foundation 103
frame #3: 0x00007fff207ad7f8 Foundation NSKeyValueDidChange 421
frame #4: 0x00007fff207a9604 Foundation 146
frame #5: 0x000000010d861a8e PowerAuth2 PA2AsyncOperation setIsFinished: (self class name PA2AsyncOperation, cmd setIsFinished: value YES) at
frame #6: 0x000000010d861787 PowerAuth2 PA2AsyncOperation (self class name PA2AsyncOperation, cmd result 0x0000000000000000, error 0x0000000000000000) at
frame #7: 0x000000010d86428a PowerAuth2 54- PA2HttpClient block invoke.63(.block descriptor 0x0000600000608000, data 0x0000600003751fe0, urlResponse 0x0000600001305f60, error 0x0000000000000000) at
For example, here the code that can lead to the crash:
let op1 SomePassword err in
let op2 SomePassword err in
It important to create two operations that are serialized in the internal serial queue. The problem seems to be related to that once the operation is finished (see setIsFinished then the operation is removed from the queue and nobody holds the reference to the operation object. So self is no longer referenced and the object is destroyed in the middle of the completion routine.
There are multiple possible solutions:
Keep all HTTP operations in separate array and release them in some delayed queue.
Try to find why the HTTP request has been started if it was canceled before its start.
ll fix the problem for the develop branch (e.g. for upcoming 1.7.x release), but we should also back-port the fix to 1.6.x release branch.</t>
  </si>
  <si>
    <t>google-ExoPlayer-10310</t>
  </si>
  <si>
    <t>OkHttp extension ships with a ProGuard rule that breaks newer versions of OkHttp</t>
  </si>
  <si>
    <t>### ExoPlayer Version
### Devices that reproduce the issue
### Devices that do not reproduce the issue
### Reproducible in the demo app?
### Reproduction steps
1. Add the following to your build.gradle file:
2. Add the following code somewhere:
3. Compile release version of the app with minifyEnabled true
### Expected result
should return example.com
### Actual result
crashes with the following exception:
This happens because of this consumer rule that ships with the OkHttp extension: https: github.com google ExoPlayer blob extensions okhttp
It probably stopped working due to this change in OkHttp: https: github.com square okhttp pull 6974
### Bug Report
You will email the zip file produced by adb bugreport to dev.exoplayer gmail.com after filing this issue.</t>
  </si>
  <si>
    <t>Anuken-Mindustry-6952</t>
  </si>
  <si>
    <t>impossible to load cryofluid in Disperse</t>
  </si>
  <si>
    <t>**Steps to reproduce**: ve tryed to speed up disperse using cryo, placed liquid source near the Disperce and it received no cryofluid at all
**Link(s) to mod(s) used**: No mods were used
**Save file**: bugcryofluid.zip (https: github.com Anuken Mindustry files 8805357 bugcryofluid.zip)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</si>
  <si>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2022-05-31</t>
  </si>
  <si>
    <t>PojavLauncherTeam-PojavLauncher-3302</t>
  </si>
  <si>
    <t>[BUG] &lt;mouse glitching&gt;</t>
  </si>
  <si>
    <t>### Describe the bug
when try to start the game or join server the game just chrases
very few times it happens while am in the game
only made it into the server times but then it chrashes after like 5sec.
use optifine with al the fast setting on
### Steps To Reproduce
1. start pojav (crash)
2. joining world (crash)
### Expected Behavior
expect it to not keep crashing
Device model: chromebook
PojavLauncher version: newest
### Anything else?
it isn really an error chrash it just closes the game and goes back to the login screen</t>
  </si>
  <si>
    <t>KonstantinosVasilopoulos-dryer_ui-29</t>
  </si>
  <si>
    <t>SelectionSteps and Overview crashes after changing language</t>
  </si>
  <si>
    <t>This bug is caused because every time settings are invoked and preferences got changed, new intent to the Activity that invoked settings is created. SelectionStep Activites and ProgramOverview expect the routine name to continue.Thus, not getting it, causes them to crash.
This issue is about to get resolved later that day!</t>
  </si>
  <si>
    <t>PojavLauncherTeam-PojavLauncher-3301</t>
  </si>
  <si>
    <t>[BUG] GUI doesn't work</t>
  </si>
  <si>
    <t>### Describe the bug
The GUI shows up, but if click on anything (with or without the mouse), it just doesn do anything. This is with both vanilla 1.8.9 and Optifine 1.8.9 HD U5.
Also, completely unrelated, but LabyMod crashes on loading screen.
### The log file and images videos
### Steps To Reproduce
1. Start Pojav
2. Select 1.8.9 or download Optifine 1.8.9 and select that one
3. Launch Minecraft
4. Go on any server or singleplayer world
5. Try to select anything from any GUI (such as Hypixel server selector)
### Expected Behavior
The GUI should work, but it doesn t.
Device model: Xiaomi POCO X3 Pro
CPU architecture: Snapdragon 865 SoC
Android version: 12, with MIUI 13.0.1 Global Stable
PojavLauncher version: dahlia-v3 openjdk
### Anything else?</t>
  </si>
  <si>
    <t>Anuken-Mindustry-6949</t>
  </si>
  <si>
    <t>rts causes the game to shit itself when there's a tractor beam + unknown spawning issue</t>
  </si>
  <si>
    <t>spawning issue removed, just forgot how air units spawn.
*The selected enemy team is on rts. when the parallax is present on different team than the selected enemy team the game crashes. when remove the tractor beams from play the units no longer attack on my 1st testing map.*
**Steps to reproduce**: make sure selected enemy team has rts ai, place parallax or and the game dies*
**Link(s) to mod(s) used**: *no mods pure be build*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**Save file** (https: github.com Anuken Mindustry files 8799044
hope everything works here haven the slightest clue how to use github.</t>
  </si>
  <si>
    <t>2022-05-30</t>
  </si>
  <si>
    <t>BresciaFrancesco-TourExperience-46</t>
  </si>
  <si>
    <t>Gestione del tasto back in MainActivity</t>
  </si>
  <si>
    <t>Spostandosi tra fragment della MainActivity, il backstack non viene gestito correttamente quando si preme il pulsante back nel fragment app va in crash.</t>
  </si>
  <si>
    <t>nextcloud-android-10303</t>
  </si>
  <si>
    <t>Media browsing crash on MIUI 13,12.6</t>
  </si>
  <si>
    <t>### Steps to reproduce
1. open app on android
2. open Media from left.
3. wait and bug happens
### Expected behaviour
Load photos and can browse, but not due to bug.
### Actual behaviour
### Cause of error
Exception in thread main Couldn read row 746, col from CursorWindow. Make sure the Cursor is initialized correctly before accessing data from it.
### App information
Build flavor: gplay
### Device information
Model: POCO F2 Pro
affected MIUI 13, miui 12.6</t>
  </si>
  <si>
    <t>PojavLauncherTeam-PojavLauncher-3290</t>
  </si>
  <si>
    <t>Idk of it's just for m but anytime I try and run any version it crashes any idea how to fix it</t>
  </si>
  <si>
    <t>### Describe the bug
It always says game exited with code see latestlog.txt for more detail
### The log file and images videos
### Steps To Reproduce
2)select my account
3)run any version
4)wait for to load
### Expected Behavior
Happens everytime try to play
CPU architecture: no idea how to check
PojavLauncher version: latest
### Anything else?</t>
  </si>
  <si>
    <t>DIT113-V22-group-04-69</t>
  </si>
  <si>
    <t>Fix crash with DrawControl</t>
  </si>
  <si>
    <t>Fixes bug with an that resulted in crash with the DrawControl part of the app.
&lt;!-- Leave blank as dod checker provides checklist once pull request is created --&gt;
### :ballot box with check: Definition of Done checklist
Meaningful title and valuable description in pull request
Documentation updated to cover the changes implemented (including changes to the wiki)
Code change tested manually if not covered by automated tests
Specified any additions, alterations or removals of dependencies
Followed the code style present in the project
Pull request linked to one or more issues stories
Acceptance criteria of the linked stories satisfied
Code change comprehended by those who approved it
State of target branch maintained or improved after the code change</t>
  </si>
  <si>
    <t>2022-05-29</t>
  </si>
  <si>
    <t>DIT113-V22-group-04-68</t>
  </si>
  <si>
    <t>Fix Crash with DrawControl</t>
  </si>
  <si>
    <t>There is bug that needs to be fixed as it ended up crashing DrawControl
Given that the draw control screen is clicked to open,
When the car is running,
Then the application crashes resulting failure of the operation.
The app does not crash anymore
The operation runs successfully
Remember to link the issue to relevant milestone, add it to the Drawer project, and label it properly.</t>
  </si>
  <si>
    <t>popcorn-official-popcorn-android-799</t>
  </si>
  <si>
    <t xml:space="preserve">Trending keeps reloading and crashing </t>
  </si>
  <si>
    <t>## Describe the bug
Trending tab on android keeps reloading and crashing the app. This app crash issue have existed for so long. Please fix it
## To Reproduce
Steps to reproduce the behavior:
1. Go to Trending tab
2. Click on App with auto close I.E. CRASH
3. Go to preferences and in 5-10 seconds app will crash you and bring you to trending tab
## Expected behavior
clear and concise description of what you expected to happen.
If applicable, add screenshots to help explain your problem.
## Smartphone (please complete the following information):
Device: e.g. OnePlus Pro
OS: e.g. Android 12
Browser e.g. Firefox focus
## Additional context
Add any other context about the problem here.</t>
  </si>
  <si>
    <t>LSPosed-LSPosed-1967</t>
  </si>
  <si>
    <t>[Bug] Crashes after first run</t>
  </si>
  <si>
    <t>### Steps to reproduce
1. Boot your device
2. Run LSPosed
3. Close LSPosed
4. Try to run it again
### Expected behaviour
Everything work fine
### Actual behaviour
Application shell crashes
### Xposed Module List Xposed
LP (Lucky Patcher) disabled
### Magisk Module List Magisk
Dialer Framework for Google Phone
Minimal microG Pack NoGoolag Edition
Universal SafetyNet Fix
### LSPosed version LSPosed
### Android version Android
### Magisk version Magisk
### Riru version Riru
### Version requirement</t>
  </si>
  <si>
    <t>PojavLauncherTeam-PojavLauncher-3278</t>
  </si>
  <si>
    <t>[BUG] 1.8.9 forge crashes with the new renderer.</t>
  </si>
  <si>
    <t>### Describe the bug
1.8.9 and 1.18.2 forge crashes with the new *renderer*
### The log file and images videos
### Steps To Reproduce
1. Open PojavLauncher
3. Launch 1.8.9 or 1.18.2 forge
### Expected Behavior
it dose not shows any behavior thing
Device model: Galaxy S21 Ultra 128G
CPU architecture: aarch64
Android version: 12
PojavLauncher version: Latest Release
### Anything else?</t>
  </si>
  <si>
    <t>material-components-material-components-android-2725</t>
  </si>
  <si>
    <t>[MaterialSwitch] Crashes with empty text</t>
  </si>
  <si>
    <t>**Expected behavior:** No crash
**Minimal sample app repro:** Can start with this and then update and add MaterialSwitch. https: github.com Mygod VPNHotspot tree
**Android API version:** Android 12
**Material Library version:** 1.7.0-alpha02
To help us triage faster, please check to make sure you are using the latest version (https: github.com material-components releases) of the library.
We also happily accept pull requests (https: github.com material-components pulls).</t>
  </si>
  <si>
    <t>PojavLauncherTeam-PojavLauncher-3277</t>
  </si>
  <si>
    <t>### Describe the bug
hello. When playing in my world with those mods:
Thaumcraft 6, twilight Forest, custom npc, deco craft, journey map, optifine, better fps, biblio craft, mo bends, hunger strike, improved back packs, nashorn, phosphor, quark, varied comoditions. got crush without crash log but in lastlog write another error, not mine. So when deleted optifine this error is gone, what need do? Cuz need optifine cuz optifine block shaders from thaumcraft effects
### The log file and images videos
Screenshot com mi android globalFileexplorer (https: 106449627
Screenshot com mi android globalFileexplorer (https: 106449627
Screenshot com mi android globalFileexplorer (https: 106449627
### Steps To Reproduce
just go into my world
gone some times
crush without crush log
### Expected Behavior
Im had waiting what my world will be stable
### Anything else?</t>
  </si>
  <si>
    <t>2022-05-28</t>
  </si>
  <si>
    <t>popcorn-official-popcorn-android-797</t>
  </si>
  <si>
    <t>Popcorn keeps crashing on Xiaomi Mi SmartTV P1 43"</t>
  </si>
  <si>
    <t>Operating System Version:
Xiaomi TV Android 9.0
Popcorn Time Version:
20 05 2022
Play movies and series on TV
It let me install but when open start to select any content it crashs not giving any information</t>
  </si>
  <si>
    <t>PojavLauncherTeam-PojavLauncher-3275</t>
  </si>
  <si>
    <t>[BUG] Crash when joining servers on 1.18.1 with fabric and mods</t>
  </si>
  <si>
    <t>### Describe the bug
was playing on server and when joining world it crashing no log just crash with code
Mods di used:
### The log file and images videos
### Steps To Reproduce
1. Start Pojav launcher
2. Select 1.18.1 fabric and mods
3. Loading up the game
4. Join server
5. Crash with code
### Expected Behavior
It crashing when join server
Device model: Vivo y50
CPU architecture: Aarch64
Android version: 10
PojavLauncher version: github build
### Anything else?</t>
  </si>
  <si>
    <t>MuntashirAkon-AppManager-766</t>
  </si>
  <si>
    <t>crash when clicking setting</t>
  </si>
  <si>
    <t>Your issue will be closed without warning if you don check at least two items.
know what my device, OS and App Manager versions are
know how to take logs
know how to reproduce the issue which may not be specific to my device
just opening settings from 3-dot-menu.
Device: crDroid A12 Begonia
App Manager Version: Debug 1815 (https: github.com MuntashirAkon AppManager actions runs 2396217383)</t>
  </si>
  <si>
    <t>PojavLauncherTeam-PojavLauncher-3274</t>
  </si>
  <si>
    <t>[BUG] crash on 1.19 pre1/2/3</t>
  </si>
  <si>
    <t>### Describe the bug
---- Minecraft Crash Report ----
Who set us up the TNT?
detailed walkthrough of the error, its code path and all known details is as follows:
-- Head --
-- Initialization --
-- System Details --
Minecraft Version: 1.19 Pre-release
Minecraft Version ID: 1.19-pre3
Operating System: Linux (aarch64) version Android-12
Processor Vendor: 0x51
Processor Name: AArch64 Processor rev (aarch64)
Frequency (GHz): -0,00
Number of physical packages:
Number of physical CPUs:
Number of logical CPUs:
Graphics card #0 name: unknown
Graphics card #0 vendor: unknown
Graphics card #0 VRAM (MB): 0,00
Graphics card #0 deviceId: unknown</t>
  </si>
  <si>
    <t>MuntashirAkon-AppManager-765</t>
  </si>
  <si>
    <t xml:space="preserve">manager crash while grabbing logs </t>
  </si>
  <si>
    <t>Your issue will be closed without warning if you don check at least two items.
know what my device, OS and App Manager versions are
know how to take logs
know how to reproduce the issue which may not be specific to my device
**Describe the bug**
app manager crash whe grabbing logs for an specific app from running applications page
Steps to reproduce the behaviour:
1. Go to running applications
2. try to get log for an app
3. manager crash
get the logs for the selected app
Screenshot 20220527-082949 App Manager.png (https: 64289536
manager crash while grabbing logs from here
App version: 3.0.0-rc02
App version code: 404
Android build version: 1645012324
Android release version: 12
Android SDK version: 31
Android build ID: SQ1D.220205.003
Device brand: Xiaomi</t>
  </si>
  <si>
    <t>2022-05-27</t>
  </si>
  <si>
    <t>commons-app-apps-android-commons-4978</t>
  </si>
  <si>
    <t>[Bug]: App crashed after after edit multiple caption several time</t>
  </si>
  <si>
    <t>try to add multiple caption and description of different language to picture. First, add some caption and description to it. And delete some of them, then the app crashed.
### Steps to reproduce
1.choose one picture and open it.
2.push edit button near the caption.
3.add three new caption and description
4.Delete them from top to bottom.
5.And add two new caption and description, then the app crashed.
### Expected behaviour
New title and description added
### Actual behaviour
The app crashed. The error code is
APP VERSION CODE 1025
APP VERSION NAME 3.1.1-debug-master
ANDROID VERSION 11
PHONE MODEL Nokia 8.3 5G
IS SILENT false
### Device name
Nokia 8.3 5G
### Android version
### Commons app version</t>
  </si>
  <si>
    <t>SORMAS-Foundation-SORMAS-Project-9352</t>
  </si>
  <si>
    <t>Different errors are thrown when an Admin tries to link or create an Event Group</t>
  </si>
  <si>
    <t>Please read the Contributing guidelines (https: github.com hzi-braunschweig SORMAS-Project blob development docs CONTRIBUTING.md) before submitting an issue. You don have to remove this comment or any other comment from this issue as they will automatically be hidden.
### Bug Description
&lt;!-- Mandatory --&gt;
Depending on the jurisdiction of the event, when an Admin tries to link or create an event group, there are different error messages that are displayed. For the second scenario, the error is also registered in the local machine logs, as the app seems to crash.
### Steps to Reproduce
&lt;!-- Optional please add more steps if necessary --&gt;
1. Logged in with user that has only Admin as user right, create an event with the location: Country Deutschland, Region Baden-W rttemberg, District LK Alb-Donau-Kreis
2. On the event page, click on the Link event Group from the Event Group Card
**Actual Behavior:** An error message is displayed and the user can not link an event group.
1. Logged in with user that has only Admin as user right, create an event with the location: Country Afghanistan (no region and no district)
2. Open the event page and click on the Link Event Group from the Event Group Card
3. In the Create new event group pop-up, fill in the mandatory information and click Save
**Actual behavior:** An error message is displayed and the logs show an error.
Logs from the local machine:
### Expected Behavior
&lt;!-- Optional --&gt;
As the Admin has EVENTGROUP CREATE, EVENTGROUP EDIT and EVENTGROUP LINK rights, they should be able to successfully link and create event groups, at least to events that were also created by them.
&lt;!-- Optional --&gt;
### System Details
&lt;!-- Mandatory you only have to specify the Server URL if the error appeared on publicly available test server --&gt;</t>
  </si>
  <si>
    <t>google-ExoPlayer-10300</t>
  </si>
  <si>
    <t>ExoPlayer FFmpeg extension error</t>
  </si>
  <si>
    <t>### ExoPlayer Version
### Devices that reproduce the issue
### Devices that do not reproduce the issue
### Reproducible in the demo app?
### Reproduction steps
### Expected result
ExoPlayer is not able to play some audio formats although the video is working fine without audio.
So tried to build an ExoPlayer extension with FFmpeg. After building and putting it inside my app as .aar the app gets crashed and below is the error that is related to ffmpegLib.
### Actual result
Not willing to share it here...
### Bug Report
You will email the zip file produced by adb bugreport to dev.exoplayer gmail.com after filing this issue.</t>
  </si>
  <si>
    <t>House-Organizer-House-Organizer-315</t>
  </si>
  <si>
    <t>Leaving with no house</t>
  </si>
  <si>
    <t>When opening the app with no house, we can still go to the menu and press leave which causes crash</t>
  </si>
  <si>
    <t>2022-05-26</t>
  </si>
  <si>
    <t>patzly-grocy-android-550</t>
  </si>
  <si>
    <t>App Stürtzt ab</t>
  </si>
  <si>
    <t>App St rtzt nach verbindug mit eigenem Server (Windows App Windows 11) ab.
Ger t: Huawei P30 pro mit EMUI-Version 12.0.0
Anderes Ger funktioniert einwandfrei.
--------- beginning of crash
--------- beginning of main</t>
  </si>
  <si>
    <t>PojavLauncherTeam-PojavLauncher-3264</t>
  </si>
  <si>
    <t>[BUG] &lt;Game closes when trying to open Forge. error 1 &gt;</t>
  </si>
  <si>
    <t>### Describe the bug
Application exited with error
### The log file and images videos
Screenshot 2022-05-26 14 38 49 (https: 106318449
### Steps To Reproduce
1. start pojavlauncher
2. select forge
3. starts like usual black screen with the GUI)
4. the game crashes
### Expected Behavior
expect it to work
Device model: chromebook
CPU architecture: idk
Android version: above 10 bcs can use pojavlauncher
PojavLauncher version: probbably the newest
### Anything else?</t>
  </si>
  <si>
    <t>SE2Organization-Wizard-48</t>
  </si>
  <si>
    <t>Game crashes when going back from Login window</t>
  </si>
  <si>
    <t>LSPosed-LSPosed-1962</t>
  </si>
  <si>
    <t>[Bug] SystemUI crash loop</t>
  </si>
  <si>
    <t>### Steps to reproduce
1. install cherishOS rom on phone (redmi note pro global)
2. install lsposed
### Expected behaviour
phone boots normally
### Actual behaviour
SystemUI crash loop until forced into rescue party
### Xposed Module List Xposed
### Magisk Module List Magisk
### LSPosed version LSPosed
### Android version Android
### Magisk version Magisk
### Riru version Riru
### Version requirement
am using latest debug CI version of LSPosed and enable verbose log CI</t>
  </si>
  <si>
    <t>PojavLauncherTeam-PojavLauncher-3262</t>
  </si>
  <si>
    <t>[BUG] Fragment not attached to an activity</t>
  </si>
  <si>
    <t>### Describe the bug
crash after switch to background and back to this application
### The log file and images videos
### Steps To Reproduce
1. start this application
3. switch to recent activity
### Expected Behavior
Device model: some usual device with aosp 11 like system
CPU architecture: arm64
Android version: 11
PojavLauncher version: ed65bb0
### Anything else?</t>
  </si>
  <si>
    <t>2022-05-25</t>
  </si>
  <si>
    <t>facebook-react-native-33910</t>
  </si>
  <si>
    <t>Fix NPE on RN-Tester due to null mFabricViewStateManager</t>
  </si>
  <si>
    <t>RN-Tester is currently crashing at startup time due to an NPE.
This PR fixes it.
Android Fixed Fix NPE on ReactEditText due to null
## Test Plan
Tested locally that RN Tester runs both in Debug and in Release</t>
  </si>
  <si>
    <t>PojavLauncherTeam-PojavLauncher-3260</t>
  </si>
  <si>
    <t>1.18 crash (please  help)</t>
  </si>
  <si>
    <t>### Describe the bug
After entering world for 10 seconds the game crashes it then returns me to the launcher homescreen have tried this many times but there is no solution.
### The log file and images videos
### Steps To Reproduce
### Expected Behavior
expect game to launch
Device model: Samsung a71
CPU architecture: aarch64
Android version: 12
PojavLauncher version: Version crocus-v3 openjdk
### Anything else?
have placed the assets file in the resource packs folder and have set the runtime manager to Jre 17 and my renderer is gl4es 1.15 opengl es3
Although have tried all the renderers they all have the same problem.</t>
  </si>
  <si>
    <t>BresciaFrancesco-TourExperience-40</t>
  </si>
  <si>
    <t>Il tasto back fa crashare l'activity del percorso</t>
  </si>
  <si>
    <t>Quando dopo aver visto un opera si torna indietro due volte, viene sollevata un eccezione che fa crashare activity del percorso. eccezione riguarda il service non registrato.</t>
  </si>
  <si>
    <t>beekama-NutritionApp-23</t>
  </si>
  <si>
    <t>Journal  crashes when backing from newly created, empty FoodGroup</t>
  </si>
  <si>
    <t>If you do:
Delete the food you just added, meaning you now have an empty foodlist group again
Go back to Journal via backarrow
...the App crashes</t>
  </si>
  <si>
    <t>beekama-NutritionApp-20</t>
  </si>
  <si>
    <t>Detect bad cache states for Nutrition Information</t>
  </si>
  <si>
    <t>If the nutrition calculation for Food fails for whatever reason it will never be updated again.
This is the root cause of various problems relating to missing nutrition information, esspecially in databases that are used for development or who Apps have crashed in the past.</t>
  </si>
  <si>
    <t>2022-05-24</t>
  </si>
  <si>
    <t>KonstantinosVasilopoulos-dryer_ui-17</t>
  </si>
  <si>
    <t>Crash when using the selection bar in routine preview activity</t>
  </si>
  <si>
    <t>The application crashes unexpectedly when the user is in the and the selection bar is used to navigate backwards. The most possible explanation is that the user has altered the routine name and the is being fed non-existing routine.</t>
  </si>
  <si>
    <t>nextcloud-android-10284</t>
  </si>
  <si>
    <t>### Steps to reproduce
1. Enter large-ish directory (869 files, most are pictures), grid display mode
2. Scroll down
3. Enjoy your crash
### Cause of error
### App information
Build flavor: generic
### Device information
Product: lineage starlte</t>
  </si>
  <si>
    <t>googleads-googleads-mobile-flutter-572</t>
  </si>
  <si>
    <t>GADInvalidInitializationException crash even when we don't use package</t>
  </si>
  <si>
    <t>## Plugin Version
## Steps to Reproduce
1. Run flutter create bug
2. Add this package to dependencies
3. Run app without adding any ID or code, just add package and run
4. Oops, crash
reason: The Google Mobile Ads SDK was initialized without an application ID. Google AdMob publishers, follow instructions at https: to set valid application ID. Google Ad Manager publishers, follow instructions at https:
Im expect the application to run without crash. Because just add the package, **didnt write any initialize code yet .**
If was using this initialize code, crash is ok by the way.
For now, want to use this package into my core package, some projects can use admob, but some projects may will never use admob.
Run your application with flutter run --verbose and attach all the
log output below between the lines with the backticks. If there is an
exception, please see if the error message includes enough information
to explain how to solve the issue.
+1 ms Application launched on the device. Waiting for observatory url.
+3 ms 8.11.0 Firebase Core I-COR000005 No app has been configured yet.
+15 ms 8.11.0 Firebase Analytics I-ACS025028 AdMob and Firebase are in use in this app, but are not linked. For analytics data consistency and integrity, it is highly recommended that you link your AdMob app to the
corresponding Firebase app and re-download the file. See https: support.google.com admob answer 6383165 for more information.
+142 ms 8.11.0 Firebase Analytics I-ACS023007 Analytics v.8.11.0 started
8.11.0 Firebase Analytics I-ACS023008 To enable debug logging set the following application argument: (see http: goo.gl RfcP7r)</t>
  </si>
  <si>
    <t>react-native-video-react-native-video-2689</t>
  </si>
  <si>
    <t>Crunchyroll Android Improvements</t>
  </si>
  <si>
    <t>This is collection of improvements we ve done for the Crunchyroll Android app:
Support disabling buffering
Fix AudioFocus bug that could cause the player to stop responding to play pause in some instances.
Fix player crashing when it is being cleared.
Add support for customising back buffer duration and handle network errors gracefully to prevent releasing the player when network is lost.
Allow player to be init before source is provided, and later update once source is provided.
Adds handling for providing empty source in order to stop playback and clear out any existing content
Add support for onBufferProgress prop on Android to get buffer data even when the player is paused.
Add support for detecting if format is supported and exclude unsupported resolutions from auto quality selection and video track info in RN.
Improve error handling
Add support for L1 to L3 Widevine fallback if playback fails initially.
Reduce buffer size based on available heap
Force garbage collection when there is no available memory
Improve memory usage
Support disabling screen recording
Improved error capturing
Fix DRM init crashes
Improve progress reporting
Fix progress loss when network connection is regained
Either use the test apps in this project or link your own project to this PR and test everything related to playback.</t>
  </si>
  <si>
    <t>2022-05-23</t>
  </si>
  <si>
    <t>Anuken-Mindustry-6926</t>
  </si>
  <si>
    <t>Can't sensor sand using processor</t>
  </si>
  <si>
    <t>**Steps to reproduce**:
1.place processor, message and container with sand
2.link the processor to container and message
3.import this code
sensor Sand container1 sand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</si>
  <si>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LSPosed-LSPosed-1956</t>
  </si>
  <si>
    <t>[Bug] elf_util.cpp mmap extra libart.so segement cause bangcle crash</t>
  </si>
  <si>
    <t>### Steps to reproduce
1. build lspatch
2. lspatch apk
3. run the patched apk
### Expected behaviour
app run normally
### Actual behaviour
### Xposed Module List Xposed
### Magisk Module List Magisk
### LSPosed version LSPosed
lspatch master lsposed master b36c170
### Android version Android
### Magisk version Magisk
### Riru version Riru
### Version requirement
am using latest debug CI version of LSPosed and enable verbose log CI
have dig into the code of LsPosed, and found the ElfImg mmap ed an extra segment.
guess the segment cause bangcle mis detect the start address of libart.so.
here is my patch, it is not good, but works.
line 55 of elf util.cpp</t>
  </si>
  <si>
    <t>GrapheneOS-Camera-233</t>
  </si>
  <si>
    <t>gallery activity crash in secure mode from deleting all images</t>
  </si>
  <si>
    <t>2022-05-22</t>
  </si>
  <si>
    <t>Anuken-Mindustry-6923</t>
  </si>
  <si>
    <t>Game freezes when updating from BE 22563 to BE 22564</t>
  </si>
  <si>
    <t>**Steps to reproduce**: *A pop-up appeared and let it download the update automatically.*
**Link(s) to mod(s) used**: *No mods are activated and they were for V6 anyway*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was not playing anything, was trying to let the pop up update automatically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No crashes, it just froze
*Place an (no spaces) between the brackets to confirm that you have read the line below.*
**I have updated to the latest release (https: github.com Anuken Mindustry releases) to make sure my issue has not been fixed.** This is an BE version, am trying to automatically update
**I have searched the closed and open issues to make sure that this problem has not already been reported.**</t>
  </si>
  <si>
    <t>Anuken-Mindustry-6921</t>
  </si>
  <si>
    <t>Exploit: Reign can be distracted and destroyed without even firing a bullet</t>
  </si>
  <si>
    <t>**Steps to reproduce**:
1. Load my sandbox save file.
2. Call the next wave.
3. Fly around the Reign.
4. Notice it won even attack if you fly around.
**Link(s) to mod(s) used**: trying to access null pointer to mods used
**(Crash) logs**: trying to access nonexistent field crash-log of ExploitRequest
(Too big to attach directly)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</si>
  <si>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Fox2Code-FoxMagiskModuleManager-152</t>
  </si>
  <si>
    <t>[BUG] Fox App keeps Crashing upon opening the app.</t>
  </si>
  <si>
    <t>**Describe the bug**
So decided to update the app and some modules today, as it been while. But ever since ve done so and rebooted my device, the Fox app keeps crashing. Using the app v0.4.5.
don mind using logcat, but have no idea how can use it to filter it.
Rebooting in safe mode and back into normal boot makes the app work normally again. So it seems to be an issue with one of the modules. The only new module installed was Magic FlashTool (Terminal Emulator).
For the app to open without crashing
Sorry for the large image.. no idea what the format is to resize an image uploaded to github.
This is the last thing it shows every time before the app crashes.
Device: Oneplus Pro
OS: Oxygen OS (Android 12)
App LE2123 11 C.47</t>
  </si>
  <si>
    <t>patzly-grocy-android-544</t>
  </si>
  <si>
    <t>Crash when pressing volume buttons on startup</t>
  </si>
  <si>
    <t>If press any of my volume buttons while the app is starting up (when only the icon is visible on the screen), it crashes</t>
  </si>
  <si>
    <t>2022-05-21</t>
  </si>
  <si>
    <t>Anuken-Mindustry-6917</t>
  </si>
  <si>
    <t>Can't place radar in edit in-game</t>
  </si>
  <si>
    <t>Window 10 (sad)
In edit in-game, radar doesn appear on the build menu, but it does in editor
**Steps to reproduce**: *How you happened across the issue, and what exactly you did to make the bug happen.*
1. open editor
2. go to edit in-game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</si>
  <si>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OpenTracksApp-OpenTracks-1242</t>
  </si>
  <si>
    <t>Bugfix: resume functionality was not starting recording.</t>
  </si>
  <si>
    <t>guess that would make us ready for another release.
PS v3.28.0 was not build by F-Droid as tagged the wrong commit.
So, only nightly PlayStore users were affected by the preference issues crashes.</t>
  </si>
  <si>
    <t>jpbandroid-jpbMusicV2-2</t>
  </si>
  <si>
    <t>jpb Music v4.2.0 crashes on app start</t>
  </si>
  <si>
    <t>This needs to be fixed for the app to play music!</t>
  </si>
  <si>
    <t>material-components-material-components-android-2711</t>
  </si>
  <si>
    <t>[BadgeUtils.java] App crash - Fatal Exception: IllegalArgumentException: badgeDrawable cannot be null</t>
  </si>
  <si>
    <t>Witnessing crashes recently with the below stack trace and the number of crashes seems to increase over time. Haven been able to reproduce this issue
Fatal Exception: badgeDrawable cannot be null
The crash is entirely random and cannot be reproduced at will.
Android API version: Android API version 29+ (All occurred crashes occur on API level 29 and above very less data on crashes with API level below 29)
Pixel (Android 12)
Motorola One 5G (Android 11)
Samsung S21 (Android 12)</t>
  </si>
  <si>
    <t>2022-05-20</t>
  </si>
  <si>
    <t>Anuken-Mindustry-6912</t>
  </si>
  <si>
    <t>Other types of parts in mindustry.entities.part (except RegionPart) cannot be used in JSON</t>
  </si>
  <si>
    <t>All (tried on: Android)
Other types of parts in (except RegionPart) cannot be used in JSON.
If attempted to do so, an error gets thrown saying that &lt;part type&gt; cannot be casted to RegionPart
**Steps to reproduce**: *How you happened across the issue, and what exactly you did to make the bug happen.*
1. Create block unit that has field that accepts draw parts in JSON
2. Use any part type (eg. FlarePart ShapePart etc)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Happens right at client load.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</si>
  <si>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cgeo-cgeo-13030</t>
  </si>
  <si>
    <t>Image gallery not working for trackables</t>
  </si>
  <si>
    <t>### Describe your problem!
Single image view cannot open for trackables...
### How to reproduce?
### Actual result after these steps?
### Expected result after these steps?
cgeo should not crash
optional: the image on the details page should open inside cgeo instead of the browser
### c:geo Version</t>
  </si>
  <si>
    <t>PojavLauncherTeam-PojavLauncher-3246</t>
  </si>
  <si>
    <t>[BUG] Logging in to an already logged in account, then switching accounts causing crash</t>
  </si>
  <si>
    <t>### Describe the bug
Crashing when switching accounts to the same account being already used
### The log file and images videos
### Steps To Reproduce
Be already logged in to Microsoft account
Log in using the Microsoft Login button
Switch accounts to the same account
### Expected Behavior
Realize it the same account and merge them in the UI
Device model: ROG Phone II
CPU architecture: aarch64
Android version: 11
PojavLauncher version: latest release on the playstore
### Anything else?</t>
  </si>
  <si>
    <t>cgeo-cgeo-13027</t>
  </si>
  <si>
    <t>Crash on delete calculated waypoint which is saved in note</t>
  </si>
  <si>
    <t>### Describe your problem!
Crash on deleting waypoint with calculated coordinates (new calculator), which was exported to the PN.
### How to reproduce?
Create waypoint with calculated coordinates (using variables)
enter values for the variables, so the coordinates are calculated (didn checked, if it also crashs with not full calculated coordinates)
Export it to note
Goto variables tab
Delete all variables
Goto waypoint tab
### Actual result after these steps?
crash in recyclerView reinitializePage
### Expected result after these steps?
Waypoint should be recreated correctly from the PN
### c:geo Version
### System information
### Additional Information</t>
  </si>
  <si>
    <t>2022-05-19</t>
  </si>
  <si>
    <t>GoogleCloudPlatform-fda-mystudies-4598</t>
  </si>
  <si>
    <t>Android &gt; App is crashing in the below scenario</t>
  </si>
  <si>
    <t>1. Install the app
2. Sign in and complete the passcode process
3. Minimize Lock the app once after study list screen is loaded
4. Open the app and Click on Sign in again in passcode screen
5. Click on Ok button
6. Click on back button in Sign in screen
7. Click on Get started button and Verify</t>
  </si>
  <si>
    <t>commons-app-apps-android-commons-4959</t>
  </si>
  <si>
    <t>[Bug]: Crash on clicking edit button on description</t>
  </si>
  <si>
    <t>Crash on clicking the edit button in the descriptions.
This caused due to incorrect previous db version in https: github.com commons-app pull 4880
### Steps to reproduce
Go to an Upload Media.
Click on Pencil Icon next to In all languages in the description
### Expected behaviour
Should not crash
### Actual behaviour
Crash on button click
### Device name
### Android version
### Commons app version
### Device logs
### Would you like to work on the issue?</t>
  </si>
  <si>
    <t>AndroidIDEOfficial-AndroidIDE-195</t>
  </si>
  <si>
    <t>When we search in project then select any result</t>
  </si>
  <si>
    <t>Marmo-debitum-99</t>
  </si>
  <si>
    <t>Debitum crashes when entering "," as the amount lent.</t>
  </si>
  <si>
    <t>2022-05-18</t>
  </si>
  <si>
    <t>TacoTheDank-Scoop-57</t>
  </si>
  <si>
    <t>Crashes of blacklisted apps are still being saved</t>
  </si>
  <si>
    <t>Crashes of blacklisted apps are secretly caught and saved in the background, and they are simply hidden from view.
If you blacklist an app, crash it, and un-blacklist it, you will see that the crash was still caught and saved.
Blacklisted apps should be getting ignored altogether.</t>
  </si>
  <si>
    <t>PojavLauncherTeam-PojavLauncher-3243</t>
  </si>
  <si>
    <t>[BUG] &lt; 1.12.2 forge have problem &gt;</t>
  </si>
  <si>
    <t>### Describe the bug
When run the 1.12.2 forge 14.23.5.2860 version) try to run mod pack that name is SevTech Ages 3.2.3 forge 1.12.2 give me error and can play in know mod pack in really heavy for pojavluncher but play it in server and in past play better Minecraft version 1.16.5 with my phone in server and in run and have lag but that working But can run 1.12.2 forge with this mod and not show me loading screen and it crash with error code
My phone have GB ram and android 11 and give pojavluncher 2.7 GB ram
### The log file and images videos
Screenshot net kdt pojavlaunch (https: 105789863
Screenshot net kdt pojavlaunch (https: 105789863
Screenshot net kdt pojavlaunch (https: 105789863
Screenshot net kdt pojavlaunch (https: 105789863
### Steps To Reproduce
1. am running Forge 1.12.2, but when the loading page does not appear, Exit Game comes, but there is nothing in the crash report.
### Expected Behavior
expect the game to run because have already run heavier modpacks with version 1.16.5 and played on the server.
Device model: Redmi note pro 128GB
CPU architecture: Eight-core maximum 2.05 GHz
Android version: 11
PojavLauncher version:The latest version in the Play Store
### Anything else?</t>
  </si>
  <si>
    <t>Anuken-Mindustry-6903</t>
  </si>
  <si>
    <t>Updating causes game crash after restart</t>
  </si>
  <si>
    <t>**Steps to reproduce**: Either let it automatically detect or click Check for Updates and then let it download and restart. The game will lock up.
**Link(s) to mod(s) used**: *The mod repositories or zip files that are related to the issue, if applicable.*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</si>
  <si>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PojavLauncherTeam-PojavLauncher-3242</t>
  </si>
  <si>
    <t>[BUG] &lt; problem 1.12.2 forge&gt;</t>
  </si>
  <si>
    <t>### Describe the bug
When run the 1.12.2 forge 14.23.5.2860 version) try to run mod pack that name is SevTech Ages 3.2.3 forge 1.12.2 give me error and can play in know mod pack in really heavy for pojavluncher but play it in server and in past play better Minecraft version 1.16.5 with my phone in server and in run and have lag but that working But can run 1.12.2 forge with this mod and not show me loading screen and it crash with error code
My phone have GB ram and android 11 and give pojavluncher 2.7 GB ram
### The log file and images videos
Full description given
### Steps To Reproduce
1. run pojavluncher forge 1.12.2 mod SevTech Ages 3.2.3 and it crash and show me error code
### Expected Behavior
expected the game to run because had no problem with other heavier mod packs
Device model: Redmi not pro 128G
Android version: 11
PojavLauncher version: The latest version of the Play Store
### Anything else?</t>
  </si>
  <si>
    <t>Anuken-Mindustry-6901</t>
  </si>
  <si>
    <t>cant click bug</t>
  </si>
  <si>
    <t>**Steps to reproduce**: idk turned on pc then start mindustry and it happend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</si>
  <si>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TeamNewPipe-NewPipe-8411</t>
  </si>
  <si>
    <t>Downloader crashing</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</si>
  <si>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download 4-5 videos
2. go to download
3. press pause
### Expected behavior
### Actual behavior
### Screenshots Screen recordings
FATAL EXCEPTION: main
### Affected Android Custom ROM version
### Affected device model
Samsung galaxy m31
### Additional information</t>
  </si>
  <si>
    <t>2022-05-17</t>
  </si>
  <si>
    <t>BresciaFrancesco-TourExperience-32</t>
  </si>
  <si>
    <t>La modalità Landscape nel percorso manda in crash l'app</t>
  </si>
  <si>
    <t>cgeo-cgeo-13021</t>
  </si>
  <si>
    <t>Crash when launching mapsforge map</t>
  </si>
  <si>
    <t>### Describe your problem!
While using today nightly, the image gallery cgeo did crash again...
### c:geo Version
### System information
### Additional Information</t>
  </si>
  <si>
    <t>Anuken-Mindustry-6893</t>
  </si>
  <si>
    <t>Poly deconstructing freezes the game</t>
  </si>
  <si>
    <t>**Steps to reproduce**: *How you happened across the issue, and what exactly you did to make the bug happen.* told above.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</si>
  <si>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2022-05-16</t>
  </si>
  <si>
    <t>PojavLauncherTeam-PojavLauncher-3232</t>
  </si>
  <si>
    <t>[BUG] Crash in version 1.8.9 when starting the game</t>
  </si>
  <si>
    <t>### Describe the bug
crash while using version 1.8.9
### The log file and images videos
### Steps To Reproduce
1. Login to pojavlauncher
2. Choose version to 1.8.9
3. Start (One second after starting it immediately crashes)
### Expected Behavior
hope this is fixed soon because want to play on that version
Device model: VIVO Y12i 32G
CPU architecture: aarch64
Android version: 11
PojavLauncher version: openjdk
### Anything else?</t>
  </si>
  <si>
    <t>2022-05-15</t>
  </si>
  <si>
    <t>nextcloud-android-10250</t>
  </si>
  <si>
    <t>App can't reach server</t>
  </si>
  <si>
    <t>### Actual behaviour
App is crashing every few seconds producing the following error when connected to wifi
with mobile data get the info that the server is in maintenance mode (the server is working fine)
### Cause of error
### App information
Build flavor: gplay
### Device information
hosted Nextcloud at https: www.hosting.de</t>
  </si>
  <si>
    <t>Anuken-Mindustry-6887</t>
  </si>
  <si>
    <t>Erekir "Non-euclidean" blocks bug</t>
  </si>
  <si>
    <t>(also known as erekir)
Multiplayer desyncing instantly when anyone on the map builds something. Blocks build are different to what the server thinks am building, causing various issues. They may not cost what the game says it will cost, and only show what they actually are when syncing. This is completely preventing me from using blocks practically and forcing me to run sync constantly. Payload capacity mechanics are also highly unstable, attempting to pick up blocks either disconnects me from the server or produces game crash. The game also randomly disconnects me from time to time without even using payload mechanics, and then continuing to disconnect me as if had been temporarily banned throwing an error.
**Steps to reproduce**: *How you happened across the issue, and what exactly you did to make the bug happen.*
Join an erekir multiplayer server and wait while for others to build, or try to build.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this first one isn exactly crash or crash log but it appears to align with my issue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</si>
  <si>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LSPosed-LSPosed-1943</t>
  </si>
  <si>
    <t>[Bug] Shamiko crash apps</t>
  </si>
  <si>
    <t>### Steps to reproduce
1. Launch example app https: play.google.com store apps details?id ru.nspk.mirpay
### Expected behaviour
### Actual behaviour
Presumably occurs in the native protection part of libdexprotector.
### Xposed Module List Xposed
### Magisk Module List Magisk
### LSPosed version LSPosed
### Android version Android
### Magisk version Magisk
### Riru version Riru
### Version requirement
am using latest debug CI version of LSPosed and enable verbose log CI</t>
  </si>
  <si>
    <t>Anuken-Mindustry-6883</t>
  </si>
  <si>
    <t>Elude pathfinding attempting to go through the edge of the map when its actually impassable</t>
  </si>
  <si>
    <t>**Steps to reproduce**: made an elude go from the left side of the wall at the top of section on erekir to the right side.
**Link(s) to mod(s) used**: none
**Save file**: (https: github.com Anuken Mindustry files 8694675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</si>
  <si>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cgeo-cgeo-13014</t>
  </si>
  <si>
    <t>Crash when logging a trackable (related to gallery)</t>
  </si>
  <si>
    <t>### Describe your problem!
Several beta users report crash when trying to log trackables.
can reproduce this with 2022.05.13-RC and got the following log:
### How to reproduce?
Search for tracking code
Post discover log
### Actual result after these steps?
### Expected result after these steps?
### c:geo Version
### System information
### Additional Information</t>
  </si>
  <si>
    <t>nextcloud-android-10246</t>
  </si>
  <si>
    <t>Crash with null pointer exception</t>
  </si>
  <si>
    <t>### Steps to reproduce
1. open Nextcloud app
2. hamburger menu Shared
3. Nextcloud app crashes with null pointer exception
### Cause of error
### App information
Build flavor: generic
installed from F-Droid
### Device information</t>
  </si>
  <si>
    <t>2022-05-14</t>
  </si>
  <si>
    <t>BresciaFrancesco-TourExperience-30</t>
  </si>
  <si>
    <t>L'app crasha quando si torna indietro</t>
  </si>
  <si>
    <t>Ci sono due crash premendo il tasto indietro:
1. Il primo avviene quando si entra nel fragment MuseoFragment e, tornando indietro, app crasha sollevando una
2. Il secondo avviene nel fragment OverViewPercorso, sempre tornando indietro. Questa volta eccezione sollevata
Leggendo messaggio di errore, si nota come siano entrambi dovuti al controllo fatto nel metodo onBackPressed() in cui si cerca di recuperare ultimo fragment dal backstack.</t>
  </si>
  <si>
    <t>Anuken-Mindustry-6878</t>
  </si>
  <si>
    <t>Possible framebuffer issue</t>
  </si>
  <si>
    <t>Im not sure if this issue is reproduceable on other devices, Ive tried with different machine and the mod loaded without problem.
(Minimap ingame during wave)
**Steps to reproduce**:
Step 1: install the mod
Step 2(If applicable) enable the mod
Step 3: enjoy..?
**Link(s) to mod(s) used**:
**Save file**: Not an issue with the world itself
If you remove the line above without reading it properly and understanding what it means, will reap your soul. Even if you re playing on someone server, you can still save the game to slot.
**(Crash) logs**: No crashes caused as result of this visual glitch.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</si>
  <si>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LSPosed-LSPosed-1940</t>
  </si>
  <si>
    <t>[Bug] SystemUI crash</t>
  </si>
  <si>
    <t>### Steps to reproduce
1. Install new module or update module
2. Click on notification
### Expected behaviour
### Actual behaviour
SystemUI restart or crash
### Xposed Module List Xposed
### Magisk Module List Magisk
### LSPosed version LSPosed
### Android version Android
Oxygen OS 11
### Magisk version Magisk
### Riru version Riru
### Version requirement
am using latest debug CI version of LSPosed and enable verbose log CI</t>
  </si>
  <si>
    <t>nextcloud-android-10245</t>
  </si>
  <si>
    <t>### Cause of error
Exception in thread main Couldn read row 931, col from CursorWindow. Make sure the Cursor is initialized correctly before accessing data from it.
### App information
Build flavor: gplay
### Device information
Device: tissot sprout
Model: Mi A1</t>
  </si>
  <si>
    <t>material-components-material-components-android-2704</t>
  </si>
  <si>
    <t>Material3 CircularProgressIndicator not working in Mi11x Pro</t>
  </si>
  <si>
    <t>The progress indicator is not showing in mi 11x pro but it is working on other devices
the app does not show progress indicator
the app does not show any error or crash issue happens only mi 11 pro
**Source code:** The code snippet which is causing this issue
We also happily accept pull requests (https: github.com material-components pulls). (https: stackoverflow.com questions 72236725</t>
  </si>
  <si>
    <t>Anuken-Mindustry-6871</t>
  </si>
  <si>
    <t>World cell default value on some slots having issues</t>
  </si>
  <si>
    <t>**Steps to reproduce**: *How the bug works 101
Place this schem in malis team, the processor will spawn units in Citadel cores and without it, they will not spawn.
Kill the Disrupt and when you do, big explosion appears on its death dealing vast damage at large area.
Now, do the steps all over again but this time, the world processor schem is on the sharded team.
Kill the Distrupt again but this time, you won be able to experience high damaging explosion.
The reason is because the death explosion wasn triggered, the trigger is also linked to the world cell and it doesn work if the default value of the world cell is and not unlike the other teams. always thought that insides of the cells are all 0, but when took look at it in the world processor, it was 1. It happened in the 14th slot of the world cell which has 128 slots in total iirc.*
**Link(s) to mod(s) used**: *The mod repositories or zip files that are related to the issue, if applicable.*
**Save file**: 1h48qo 1f UFubbuO1UWHzW84oclp XCjPVx7+sjh5s WAafrB 9YTvPVoq fi2 UjJywnAf
This is the world processor schem that was making and encountering the bug from it.*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</si>
  <si>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2022-05-13</t>
  </si>
  <si>
    <t>nextcloud-android-10243</t>
  </si>
  <si>
    <t>Click "Media Files" will crash</t>
  </si>
  <si>
    <t>### Steps to reproduce
1. Open Nextcloud app
2. Click Media Files
### Expected behaviour
Tell us what should happen
It will show my media files in my cloud.
### Actual behaviour
Tell us what happens
It crashed and show Loading at the top
### Can you reproduce this problem on https: try.nextcloud.com?
Please create test demo account and see if this still happens there.
If yes, please open up bug report
If not, please verify server setup and ask for help on forum
Sorry, can t.
### Environment data
Android version: 12
Device model: Xiaomi Redmi K30 4G
Stock or customized system: MIUI
Nextcloud app version: The newest
Nextcloud server version: Filerun 20220202</t>
  </si>
  <si>
    <t>PojavLauncherTeam-PojavLauncher-3226</t>
  </si>
  <si>
    <t>[BUG] Origins Mod 1.16.5 Crashes Upon World Creation/Startup</t>
  </si>
  <si>
    <t>### Describe the bug
Launching into world crashes with origins mod (Other mods have been tested without and it doesnt crash)
### The log file and images videos
### Steps To Reproduce
1. Start Pojav
2. Install Fabric
3. Put Origins mod 1.16.5 In Mods folder
4. Launch Minecraft Fabric 1.16.5
5. Create or load new world
Enjoy your crash
### Expected Behavior
expected the game to launch into the world with the origins mod menu
Device model: Chromebook
CPU architecture: x86 64
Android version: Latest for chromebook
PojavLauncher version: Latest from play store
### Anything else?</t>
  </si>
  <si>
    <t>Anuken-Mindustry-6865</t>
  </si>
  <si>
    <t>Game crashes in map editor when using the undo button after placing a building.</t>
  </si>
  <si>
    <t>Android MIUI 12
**Steps to reproduce**:
Open editor, make map.
Place any building
**Link(s) to mod(s) used**:
No mods vanilla
*Place an (no spaces) between the brackets to confirm that you have read the line below.*
**I have updated to the latest release (https: github.com Anuken Mindustry releases) to make sure my issue has not been fixed.**
No **I have searched the closed and open issues to make sure that this problem has not already been reported.**</t>
  </si>
  <si>
    <t>cgeo-cgeo-13008</t>
  </si>
  <si>
    <t xml:space="preserve">[Image gallery] strange animations under specific circumstances </t>
  </si>
  <si>
    <t>### Describe your problem!
The image gallery does crash when going back from single-image-view of spoiler image.
### How to reproduce?
click on spoiler images
open the spoiler image in full screen
### Actual result after these steps?
### Expected result after these steps?
### c:geo Version
### System information
### Additional Information
Unrelated to the crash, but there another situation where there is strange animation (see video):</t>
  </si>
  <si>
    <t>Anuken-Mindustry-6862</t>
  </si>
  <si>
    <t>**Steps to reproduce**: Host attack server
**Link(s) to mod(s) used**: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</si>
  <si>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PojavLauncherTeam-PojavLauncher-3224</t>
  </si>
  <si>
    <t>[BUG] LabyMod 1.16.5</t>
  </si>
  <si>
    <t>### Describe the bug
LabyMod 1.16.5 crash
### The log file and images videos
### Steps To Reproduce
1. Launch Pojav launcher from github action
2. Install LabyMod for 1.16.5
3. Download the required files (Online Account)
4. Launch and crash with code
### Expected Behavior
The game not able launch
Device model: Vivo y50
CPU architecture: Aarch64
Android version: 10
PojavLauncher version: latest github build
### Anything else?
No, just like that</t>
  </si>
  <si>
    <t>Anuken-Mindustry-6858</t>
  </si>
  <si>
    <t>My Shader crashes game maybe because of GLSL config</t>
  </si>
  <si>
    <t>Game version: 38e71e5
GL version: OpenGL 4.6.0 NVIDIA Corporation NVIDIA GeForce RTX 2070 PCIe SSE2
update to the latest version 38e71e5 and run my mod on it.
Now this crsahed my game:
Caused by: Failed to compile shader: Fragment shader:
0(37) error C7532: global function uintBitsToFloat requires #version 330 or later
0(37) error C0000: ... or #extension GL ARB shader bit encoding enable
0(37) error C0000: ... or #extension GL ARB gpu shader5 enable
0(41) error C7532: global function floatBitsToUint requires #version 330 or later
0(41) error C0000: ... or #extension GL ARB shader bit encoding enable
0(41) error C0000: ... or #extension GL ARB gpu shader5 enable
In the past, use those functions .even though it doesn match the GL version, and there were only warnnings shown in last.log.
0(17) warning C7532: global type uint requires #version 130 or later
0(17) warning C0000: ... or #extension GL EXT gpu shader4 enable
0(18) warning C7548: &lt;&lt; requires #extension GL EXT gpu shader4 enable before use
0(19) warning C7548: &gt;&gt; requires #extension GL EXT gpu shader4 enable before use
0(20) warning C7548: &lt;&lt; requires #extension GL EXT gpu shader4 enable before use
0(21) warning C7548: &gt;&gt; requires #extension GL EXT gpu shader4 enable before use
0(22) warning C7548: &lt;&lt; requires #extension GL EXT gpu shader4 enable before use
0(26) warning C7532: global type uvec3 requires #version 130 or later</t>
  </si>
  <si>
    <t>PojavLauncherTeam-PojavLauncher-3223</t>
  </si>
  <si>
    <t>[BUG] Instant crash when pressing a button (gamepad)</t>
  </si>
  <si>
    <t>### Describe the bug
suddenly crashes when pressing any button from the gamepad controller and it happens when inside the world server (im using tech 7004)
### The log file and images videos
### Steps To Reproduce
1. enter world server
2. press any button
### Expected Behavior
Device model: Poco x3 Pro
CPU architecture: SD 860
Android version: 12
PojavLauncher version: crocus-v3 opendjk (31 aug 21 update)
### Anything else?</t>
  </si>
  <si>
    <t>nextcloud-android-10238</t>
  </si>
  <si>
    <t>nextcloud app crashing</t>
  </si>
  <si>
    <t>### Cause of error
### App information
Build flavor: generic
### Device information
Product: alicee global com</t>
  </si>
  <si>
    <t>2022-05-12</t>
  </si>
  <si>
    <t>siavash79-AOSPMods-151</t>
  </si>
  <si>
    <t>Enabling light QS panel causes systemUI to restart/crash every time the device is locked/the screen is turned off</t>
  </si>
  <si>
    <t>**Describe the bug**
What the title says. Also, it doesn matter if dual tone panel is enabled or not too. The effect is the same
Steps to reproduce the behavior:
1. Enable light QS panel
2. Press the power button
3. Observe systemUI restart (more noticeable if AOD is available and enabled too)
Device: Google Pixel (redfin)
OS: Android 12.1 May 2022 Patch</t>
  </si>
  <si>
    <t>PojavLauncherTeam-PojavLauncher-3219</t>
  </si>
  <si>
    <t>[BUG] classpath error</t>
  </si>
  <si>
    <t>### Describe the bug
When run forge and optifine together on Minecraft 1.12.2 or previous version ,game crashed.(optifine is not installed as mod)
### The log file and images videos
### Steps To Reproduce
Launch 1.12.2 or previous version with forge and optifine installed.
### Expected Behavior
Should be able to launch.
Device model: OPPO Find X3 Pro
CPU architecture: aarch64
Android version: 12
PojavLauncher version: latest github action
### Anything else?
Maybe should switch isClientFirst to true if is lower than 21,but when is 21 or higher, isClientFirst should be false, because optifine doesn work when version.jar is placed at the start of the classpath.</t>
  </si>
  <si>
    <t>Anuken-Mindustry-6842</t>
  </si>
  <si>
    <t>Reinforced Bridge Conduit</t>
  </si>
  <si>
    <t>Unlike serpulo bridge conduit, the reinforced bridge conduit can be used single.
The output bridge can receive input.
The middle bridge does not receive input from the side which there is bridge input. (feature?)
It can input the plated conduit from side. Any other non-conduit building cannot do this.
**Steps to reproduce**: Don know if you can reproduce it. Try it in the editor?
**Link(s) to mod(s) used**: No
**Save file**: NO
If you remove the line above without reading it properly and understanding what it means, will reap your soul. Even if you re playing on someone server, you can still save the game to slot.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</si>
  <si>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nextcloud-android-10227</t>
  </si>
  <si>
    <t>app crashes after "click" on "shared" in nav menu</t>
  </si>
  <si>
    <t>### Cause of error
### App information
Build flavor: gplay
### Device information
Model: Pixel Pro</t>
  </si>
  <si>
    <t>2022-05-11</t>
  </si>
  <si>
    <t>crdroidandroid-android_libcore-2</t>
  </si>
  <si>
    <t>Some apps crashing</t>
  </si>
  <si>
    <t>Reverting the commit makes the apps work without issues. This is the log for the crash:
Thanks in advance</t>
  </si>
  <si>
    <t>PhenoApps-Field-Book-427</t>
  </si>
  <si>
    <t>[BUG] `android.permission.BLUETOOTH_CONNECT permission` crash</t>
  </si>
  <si>
    <t>PhenoApps-Field-Book-426</t>
  </si>
  <si>
    <t>[BUG] Datagrid crashes with alfalfabase field loaded</t>
  </si>
  <si>
    <t>Anuken-Mindustry-6813</t>
  </si>
  <si>
    <t>Cannot open the game, although nothing change in graphic drivers</t>
  </si>
  <si>
    <t>**Steps to reproduce**: *Just install JDK 17 and update the pre-alpha game.*
**Link(s) to mod(s) used**: *None*
**(Crash) logs**: crash-report-05 11 2022 08 52 56.txt (https: github.com Anuken Mindustry files 8666091 crash-report-05 11 2022 08 52 56.txt)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</si>
  <si>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OpenTracksApp-OpenTracks-1224</t>
  </si>
  <si>
    <t>Need to request android.permission.BLUETOOTH_CONNECT for Bluetooth if not present (anymore)</t>
  </si>
  <si>
    <t>Just upgraded to LineageOS 19.1 and with that, OpenTracks was crashing with:
looked at permissions for OpenTracks and Nearby Devices was not enabled. Enabling that stopped the crash.
But crashing on missing permission doesn seem very friendly.</t>
  </si>
  <si>
    <t>2022-05-10</t>
  </si>
  <si>
    <t>cgeo-cgeo-12999</t>
  </si>
  <si>
    <t>Waypoint of lab caches either not shown on OSM map or crash</t>
  </si>
  <si>
    <t>### Describe your problem!
user reported, that when he has lab caches or user defined caches with self created waypoints he very often has the problem, that
1. not all of these waypoints are shown on the live map list map
2. sometimes the map spontanously even crashes
The problem is only existing on OSM, Google is OK (see video).
### How to reproduce?
The user recorded video:
and provided the used caches GPX:
### Actual result after these steps?
This is what found in the logfile:
-------- beginning of crash
### Expected result after these steps?
All waypoints shown, no crashes
### c:geo Version
### System information
Ticket is older (older version) but still happens on 2022.03.10:
## System information
Device type: Armor Pro (Armor Pro 8GB EEA, Ulefone)
Android version: 11
Screen resolution: 720x1412px (360x704dp)</t>
  </si>
  <si>
    <t>facebook-react-native-33803</t>
  </si>
  <si>
    <t>[Android] [Fixed] - Fix InputAccessoryView crash on Android</t>
  </si>
  <si>
    <t>&lt;!-- Thanks for submitting pull request! We appreciate you spending the time to work on these changes. Please provide enough information so that others can review your pull request. The three fields below are mandatory. --&gt;
InputAccessoryView works fine on iOS, but crashes on Android you can see that by using an Android device on the Expo Snack from the official doc (https: reactnative.dev docs
It forces the developer not to render the component on Android, which is usually good, but other components have implemented other, safer ways to deal with incompatibility issues.
am of course open to discussion about this change, as well as other implementation ideas.
Android Fixed Fix InputAccessoryView crash on Android
## Test Plan
yarn test gives out the following output:</t>
  </si>
  <si>
    <t>nextcloud-android-10226</t>
  </si>
  <si>
    <t xml:space="preserve">Android app crash </t>
  </si>
  <si>
    <t>### Cause of error
Exception in thread AsyncTask #9 An error occurred while executing doInBackground()
Caused by: Exception in thread AsyncTask #9 Fragment 5a45d54 not attached to context.
### App information
Build flavor: gplay
### Device information
Model: Pixel 3a</t>
  </si>
  <si>
    <t>DIT113-V22-group-14-89</t>
  </si>
  <si>
    <t>Fix landscape bug</t>
  </si>
  <si>
    <t>Update manifest so that it will always open in landscape
Make it so that we do not have to create two layouts for each activity and the app crashes</t>
  </si>
  <si>
    <t>Anuken-Mindustry-6807</t>
  </si>
  <si>
    <t>infinite waves on sector 'Three'</t>
  </si>
  <si>
    <t>**Steps to reproduce**:
1. launch to Three on campaign
2. save and quit
3. reenter Three
**Link(s) to mod(s) used**: *The mod repositories or zip files that are related to the issue, if applicable.*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</si>
  <si>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androidx-media-75</t>
  </si>
  <si>
    <t>MEDIA_BUTTON action checkStateNotNull exception</t>
  </si>
  <si>
    <t>Hi, when pause track, kill the application, and click on the play button on my headphones, when the application crash (for example code is the same ).</t>
  </si>
  <si>
    <t>PojavLauncherTeam-PojavLauncher-3214</t>
  </si>
  <si>
    <t>[BUG] game now crashing after trying to add a shader pack</t>
  </si>
  <si>
    <t>### Describe the bug
tried to add bbs shader to 1.12.2 with forge and optifine and after tried to add it to my shader pack folder and load up the game it crashed so tried again few times until decided to remove it due to it not working, once it was removed tried to load the game again and it crashes.
### The log file and images videos
---- Minecraft Crash Report ----
Contact their authors BEFORE contacting forge
Hey, that tickles! Hehehe!
detailed walkthrough of the error, its code path and all known details is as follows:
-- Head --
-- Affected screen --
-- System Details --
Minecraft Version: 1.12.2
Operating System: Linux (aarch64) version Android-11
State ID Version Source Signature
LCHIJA minecraft 1.12.2 minecraft.jar None
LCHIJA mcp 9.42 minecraft.jar None
LCHIJA FML 8.0.99.99
LCHIJA forge 14.23.5.2859
LCHIJA carryon 1.12.3
LCHIJA chiseled me
LCHIJA chiselsandbits 14.33 None</t>
  </si>
  <si>
    <t>oliexdev-openScale-856</t>
  </si>
  <si>
    <t>Crash on start</t>
  </si>
  <si>
    <t>Since the last update, the application has crashed on startup.
included the LOG.
Build version: 0.3.3
OS version: Android 12 (SDK 31)
Strongly consider using FLAG IMMUTABLE, only use FLAG MUTABLE if some functionality depends on the PendingIntent being mutable, e.g. if it needs to be used with inline replies or bubbles.</t>
  </si>
  <si>
    <t>TeamNewPipe-NewPipe-8383</t>
  </si>
  <si>
    <t>App errors/crashes when importing subscriptions</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</si>
  <si>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Go to subscriptions
2. Import from YouTube
3. Use the subscriptions zip file
4. App fails to import subscriptions
5. Use extracted subscriptions.csv
6. App crashes
### Expected behavior
expected my subscriptions to be imported D:
### Actual behavior
App has an error, or crashes.
### Screenshots Screen recordings
User Action: ui error
Request: ACRA report</t>
  </si>
  <si>
    <t>okta-okta-oidc-android-315</t>
  </si>
  <si>
    <t>Crash when app backgrounded during login/logout</t>
  </si>
  <si>
    <t>### Describe the bug?
If the app is backgrounded between initiating signout and the web client opening, there is crash.
Note that calling in onStop isn solution, since onStop is called as well when the login logout web client is launched.
### What is expected to happen?
The SDK should catch the error and pass it to
### What is the actual behavior?
### Reproduction Steps?
Before the web client is launched, background the app by pressing the home button
### Additional Information?
This is similar to this issue https: github.com okta okta-oidc-android issues 263, but the fix applied makes no difference.
### SDK Version
### Build Information</t>
  </si>
  <si>
    <t>facebook-react-native-33795</t>
  </si>
  <si>
    <t>Avoid crash by handling missing views in dispatchViewManagerCommand</t>
  </si>
  <si>
    <t>&lt;!-- Thanks for submitting pull request! We appreciate you spending the time to work on these changes. Please provide enough information so that others can review your pull request. The three fields below are mandatory. --&gt;
Based on Google Play crash logs, crashes due to the assertions in is our top source of crashes:
There are many other places in UIImplementation that instead of throwing fatal exception, just log message and continues execution.
Logging message and discarding the command should be safe for commands like blur this view We keep the previous behavior in debug mode, but just log and discard commands in production.
&lt;!-- Help reviewers and the release process by writing your own changelog entry. For an example, see:
Android Fixed Avoid crash by handling missing views in
## Test Plan
We had tough time reproducing specific crashes, but we ran with this binary in the latest release of our app and it has eliminated this class of crashes from Google Play and Bugsnag instrumentation.</t>
  </si>
  <si>
    <t>deepjavalibrary-djl-1637</t>
  </si>
  <si>
    <t>JVM crash with fasttext</t>
  </si>
  <si>
    <t>Running fasttext on data results in JVM crash.
### Expected Behavior
FastText model gets trained successfully
### Error Message
fatal error has been detected by the Java Runtime Environment:
SIGILL (0x4) at pc 0x00007f8d1cc9f72f, pid 10228, tid 10231
JRE version: OpenJDK Runtime Environment (11.0.15+10) (build 11.0.15+10)
Java VM: OpenJDK 64-Bit Server VM (11.0.15+10, mixed mode, tiered, compressed oops, g1 gc, linux-amd64)
Core dump will be written. Default location: Core dumps may be processed with usr lib systemd systemd-coredump %P %u %g %s %t %c %h (or dumping to home carsten Dropbox sources try-fasttext-java core.10228)
## How to Reproduce?
Following code shows the issue:
public class TryFT
public static void main(String args) throws IOException
setModelName( my tmp )).
### Steps to reproduce
(Paste the commands you ran that produced the error.)
1. Run above code
## What have you tried to solve it?
1. Looked for similar issues like #1535 but not sure if the same
## Environment Info</t>
  </si>
  <si>
    <t>2022-05-09</t>
  </si>
  <si>
    <t>OTTAA-Project-OTTAAProject-127</t>
  </si>
  <si>
    <t>LicenciaUsuarioBug</t>
  </si>
  <si>
    <t>**Describe the bug**
crash happens at line 80 on the class licenciaUsuario</t>
  </si>
  <si>
    <t>OTTAA-Project-OTTAAProject-126</t>
  </si>
  <si>
    <t>Principal bug on activity result</t>
  </si>
  <si>
    <t>**Describe the bug**
The system returns null value and crashes the app
Steps to reproduce the behaviour:
Pricipal java principal 1360 and 1961</t>
  </si>
  <si>
    <t>Anuken-Mindustry-6797</t>
  </si>
  <si>
    <t>spawning with a Shard instead of a Bastion when launching from map4 to any uncaptured/abandoned sector</t>
  </si>
  <si>
    <t>**Steps to reproduce**:
1. have copper and lead in map4 (launchpads)
2. launch from map4 to any uncaptured abandoned sector
examples (below, below is map3):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</si>
  <si>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Anuken-Mindustry-6796</t>
  </si>
  <si>
    <t>Rain severly drops fps</t>
  </si>
  <si>
    <t>Custom Erekir Build (cannot get *exact* build)
Rain, just by simply existing, drops the fps to 1.
**Steps to reproduce**: *How you happened across the issue, and what exactly you did to make the bug happen.*
1. Create world
2. Wait for it to rain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Happens ***literally everywhere.***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</si>
  <si>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Anuken-Mindustry-6792</t>
  </si>
  <si>
    <t>Erekir "update" freeze</t>
  </si>
  <si>
    <t>**Steps to reproduce**: *How you happened across the issue, and what exactly you did to make the bug happen.* played through the tutorial stage normally up until the 2nd time you build defenses on time limit. was abruptly given pop-up notifying me of newly released update. clicked on it and started the download, and then the game froze. After restarting my PC and attempting to update again from the main menu, the game still froze the instant the download progress bar filled completely.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The game does not produce crash log upon freezing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</si>
  <si>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Anuken-Mindustry-6789</t>
  </si>
  <si>
    <t>Server crashes when no players are on a team in PvP when the game ends</t>
  </si>
  <si>
    <t>**Steps to reproduce**:
1. Have PvP game
2. Have all people on crux ragequit or otherwise disconnect
3. gameover to cause crux to win
**Save file**: Could not recover the autosave at the time this issue occured, sending the last one the server had (change extension)
If you remove the line above without reading it properly and understanding what it means, will reap your soul. Even if you re playing on someone server, you can still save the game to slot.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</si>
  <si>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2022-05-08</t>
  </si>
  <si>
    <t>Anuken-Mindustry-6786</t>
  </si>
  <si>
    <t>Multiple steam accounts overwrite saves and schematics</t>
  </si>
  <si>
    <t>This gets even more problematic if you have other computers that Steam syncs between.
Other games that don have this issue store saves data in %AppData% &lt;Game name or &lt;Steam-folder userdata &lt;user-id &lt;Numbers that think are the game ID
Relevant Steam docs (https: doc features cloud) (section heading save file paths
**Steps to reproduce**: *How you happened across the issue, and what exactly you did to make the bug happen.*
1. Have Windows user accounts, both of which have Steam set up with different Steam users
2. Play campaign as one user, than the other. Create few saves and schematics
3. Observe that both users will have the same saves and schematics.
**Link(s) to mod(s) used**: *The mod repositories or zip files that are related to the issue, if applicable.*
dont have any mods that impact saves, only time control and sandbox unit spawning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Issue does not happen in game. All the save files are valid, there no corruption, just overwriting.
**(Crash) logs**: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</si>
  <si>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Anuken-Mindustry-6781</t>
  </si>
  <si>
    <t>Erekir crash on `Turret$TurretBuild.range`</t>
  </si>
  <si>
    <t>Map rules: teams with cheat
**Steps to reproduce**: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</si>
  <si>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nextcloud-android-10205</t>
  </si>
  <si>
    <t>App crashes with latest build (on F-droid)</t>
  </si>
  <si>
    <t>### Steps to reproduce
1. Tap on the Nextcloud icon to start the app
### Expected behaviour
The app should start
### Actual behaviour
The app crashes
### Cause of error
Caused by: Exception in thread main Parameter specified as non-null is null: method parameter &lt;set-?&gt;
### App information
Build flavor: generic
### Device information
Model: Nexus 5X</t>
  </si>
  <si>
    <t>nextcloud-android-10204</t>
  </si>
  <si>
    <t>On device menu crashed</t>
  </si>
  <si>
    <t>### Cause of error
### App information
Build flavor: gplay
### Device information
Product: lisa global</t>
  </si>
  <si>
    <t>Anuken-Mindustry-6777</t>
  </si>
  <si>
    <t>Erekir core units having the wrong autofire AI in mobile</t>
  </si>
  <si>
    <t>**Steps to reproduce**: *In mobile, autofire is an option and is turned on by default, though, erekir core units doesn deal damage, they only heal structures but the autofire AI makes the erekir core units attack enemies even when they can deal damage and does not target damaged ally buildings*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</si>
  <si>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PojavLauncherTeam-PojavLauncher-3207</t>
  </si>
  <si>
    <t>[BUG?] install forge or optifine crash the game to login screen but fabric not</t>
  </si>
  <si>
    <t>### Describe the bug
install forge crash the game to login screen
### The log file and images videos
and the java runtime is internal java
### Steps To Reproduce
1. Open pojav and login
2. press options
3. press launch mod installer
4. select forge installer or optifine
5. it show the log output for sec and then crash to the login screen
### Expected Behavior
expect it will install normally because before was install it no problem and now this happen
Device model: Vsmart Joy
CPU architecture: AArch64
Android version: 11
PojavLauncher version: google play version
### Anything else?</t>
  </si>
  <si>
    <t>Anuken-Mindustry-6774</t>
  </si>
  <si>
    <t>World processor (explosion) does not damage air units even when it was set to true</t>
  </si>
  <si>
    <t>**Steps to reproduce**: *Just make simple logic code with an explosion instruction with air set to true, playtest it and let your core unit get direct contant to the explosion, you will not get damaged regardless.*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</si>
  <si>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Anuken-Mindustry-6773</t>
  </si>
  <si>
    <t>Erekier- Swarmer firerate with multipliers</t>
  </si>
  <si>
    <t>the version says custom game if it helps its the jar got from (https: mindustry.dev erekir)
When giving swarmer that already has cryo an overdrive dome, it does not fire any faster. Likewise if you give swarmer under overdrive dome cryo, it does not fire faster. Other turrets like cyclone do not seem to have this issue. Assuming its due to how swarmer fires in set bursts of four, however salvo does not seem to have this issue to the extent that swarmer does.
Lancer is also affected by this but that is understandable due to it having to charge up each shot
**Steps to reproduce**: *How you happened across the issue, and what exactly you did to make the bug happen.*
Build swarmer. give it cryo and odd, watch as it does not fire faster than just swarmer with cryo or swarmer with just odd.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nice turret demo setup.
fuse is meta, calling it now
If you remove the line above without reading it properly and understanding what it means, will reap your soul. Even if you re playing on someone server, you can still save the game to slot.
am soul. soul is mine and only me
**(Crash) logs**: *Either crash reports from the crash folder, or the file you get when you go into Settings -&gt; Game Data -&gt; Export Crash logs. REQUIRED if you are reporting crash.*
error no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</si>
  <si>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Anuken-Mindustry-6771</t>
  </si>
  <si>
    <t>Poly units heal boss crawler</t>
  </si>
  <si>
    <t>**Steps to reproduce**: *If you want to reproduce it, play planet 36, build Poly Units and advance to the boss wave at level 40.*
**Save file**: *Uploaded*
If you remove the line above without reading it properly and understanding what it means, will reap your soul. Even if you re playing on someone server, you can still save the game to slot.
**(Crash) logs**: *Not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</si>
  <si>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2022-05-07</t>
  </si>
  <si>
    <t>BresciaFrancesco-TourExperience-26</t>
  </si>
  <si>
    <t>Se la lista musei è vuota, l'app potrebbe crashare</t>
  </si>
  <si>
    <t>Se la lista musei vuota si clicca sul messaggio che spiega all utente che la lista vuota, app crasha</t>
  </si>
  <si>
    <t>Anuken-Mindustry-6770</t>
  </si>
  <si>
    <t>Importing save files not working.</t>
  </si>
  <si>
    <t>**custom build and v135.2**: *The build number under the title in the main menu. Required. LATEST IS NOT VERSION, NEED THE EXACT BUILD NUMBER OF YOUR GAME.*
**Steps to reproduce**: *How you happened across the issue, and what exactly you did to make the bug happen.* make v135.2 save and try to import it to the custom build also works on other versions.
**Link(s) to mod(s) used**: *The mod repositories or zip files that are related to the issue, if applicable.*
did remove it because save file not involved. (Wait it saving the game data think and something)
If you remove the line above without reading it properly and understanding what it means, will reap your soul. Even if you re playing on someone server, you can still save the game to slot.
**(Crash) logs**: *Either crash reports from the crash folder, or the file you get when you go into Settings -&gt; Game Data -&gt; Export Crash logs. REQUIRED if you are reporting crash.*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t>
  </si>
  <si>
    <t>Anuken-Mindustry-6764</t>
  </si>
  <si>
    <t>Erekir branch: crashes are not producing crash logs</t>
  </si>
  <si>
    <t>**Steps to reproduce**:
1. wait for it to erekir custom build
2. The game will now exit, to reload mods.
3. fuck around
**Link(s) to mod(s) used**: *(is linking the game valid option?)*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SAVE, DON WASTE TIME OPENING THIS ISSUE.*
cant actually provide it lmao the game crashes
If you remove the line above without reading it properly and understanding what it means, will reap your soul. Even if you re playing on someone server, you can still save the game to slot.
**(Crash) logs**: *hmm yeah ill just find those real quick*
*Place an (no spaces) between the brackets to confirm that you have read the line below.*
**I have ascended beyond the latest release (https: github.com Anuken Mindustry releases) to make sure my issue has not been fixed.**
**I have searched the closed and open issues to make sure that this problem has not already been reported.**</t>
  </si>
  <si>
    <t>BresciaFrancesco-TourExperience-24</t>
  </si>
  <si>
    <t>La gestione dei permessi causa un crash</t>
  </si>
  <si>
    <t>Quando si accettano permessi in StanzaFragment per attivare il bluetooth la geolocalizzazione si rifiutano subito dopo, si ha un crash del fragment che non riesce ad arrivare nemmeno in onStart(). Non viene segnalato alcun errore non viene sollevata nessuna eccezione.</t>
  </si>
  <si>
    <t>2022-05-06</t>
  </si>
  <si>
    <t>Anuken-Mindustry-6755</t>
  </si>
  <si>
    <t>Community Servers Not Showing Up Mac</t>
  </si>
  <si>
    <t>**Steps to reproduce**: found this issue after wanting to join server, steps to reproduce are open play join game
**Link(s) to mod(s) used**: none
**Save file**: this is not an in game issue
If you remove the line above without reading it properly and understanding what it means, will reap your soul. Even if you re playing on someone server, you can still save the game to slot. fair enough, ive attempted game development and respect the pain you go through. However, this isnt an in game issue
**(Crash) logs**: not crashing
*Place an (no spaces) between the brackets to confirm that you have read the line below.*
**I have updated to the latest release (https: github.com Anuken Mindustry releases) to make sure my issue has not been fixed.**
**I have searched the closed and open issues to make sure that this problem has not already been reported.**
Found someone who used steam-linux and had this issue, this is itch-mac</t>
  </si>
  <si>
    <t>nextcloud-android-10193</t>
  </si>
  <si>
    <t>Instant upload folder in Android app often crashes</t>
  </si>
  <si>
    <t>### Cause of error
Exception in thread main Couldn read row 710, col from CursorWindow. Make sure the Cursor is initialized correctly before accessing data from it.
### App information
Build flavor: gplay
### Device information
Model: Pixel Pro</t>
  </si>
  <si>
    <t>PojavLauncherTeam-PojavLauncher-3201</t>
  </si>
  <si>
    <t>[BUG] Some rendering glitch and bug</t>
  </si>
  <si>
    <t>### Describe the bug
(sorry for bad english)
transparent blocks like is rendered as opaque block
block entities like chest,ender chest,shulker box,bed,etc. become black when placed
some blocks and items become black in inventory
the player skin become black
enchantment glint gets bugged
but it doesn crash
### The log file and images videos
My survival world (copied from my laptop for testing)
Items inside my shulker box
Double chest and torch
Ender chest,shulker boxes and bed
### Steps To Reproduce
Just start pojavlauncher and start 1.18.2 normally
version 1.18.2-OptiFine HD H7
renderer virglrenderer (OpenGL ES 3): exports OpenGL 4.3
ignore notch off
resolution scaler 75%
alternate surface rendering off</t>
  </si>
  <si>
    <t>google-ExoPlayer-10244</t>
  </si>
  <si>
    <t>evaluateMediaItemTransitionReason - IllegalStateException</t>
  </si>
  <si>
    <t>### ExoPlayer Version
### Devices that reproduce the issue
There does not seem to have specific devices from Play Console crashs.
Android 12 11 Samsung OnPlus ..
### Devices that do not reproduce the issue
### Reproducible in the demo app?
### Reproduction steps
Don know :(
The crash is not reproducible here and seems rare, all calls are properly made on the same thread.
The crash does not give any useful information about the possible causes so have no clue what to do next.
The stack trace also does not make sense since it seems it should only called for ads and never queue or use ads in the app, it music files played. What could trigger this check to be true?
Some users maybe playing transcoded media in strange formats, is there something can do to avoid false classification as ads
### Expected result
No crash, or something that we can catch.
### Actual result
### Bug Report</t>
  </si>
  <si>
    <t>SORMAS-Foundation-SORMAS-Project-9097</t>
  </si>
  <si>
    <t>Lab Officer cannot create Cases for Event Participants</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</si>
  <si>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Lab Officer is unable to create Cases for Event Participants because the system crashes when he tries to perform the action.
### Steps to Reproduce
&lt;!-- Optional please add more steps if necessary --&gt;
1. Log in with an Admin,NatUser
2. Create an Event and an Event Participant
3. Add Sample (pending) for the Event Participant and select the Laboratory that the Lab Officer user is associated to
4. Log in with the Lab Officer user
5. Navigate to the Events Directory, open an Event and select the Event Participants tab
6. Click on the Create button under the Case ID
7. Fill in the mandatory data from the Create new Case form and Save
### Actual Behavior
An error message is displayed and the Case is not created
### Expected Behavior
The Case should get created successfully.
### System Details
&lt;!-- Mandatory you only have to specify the Server URL if the error appeared on publicly available test server --&gt;
Device: Windows 10
SORMAS version: Sormas 1.71.0-SNAPSHOT (04faaf1)</t>
  </si>
  <si>
    <t>marco97pa-punti-burraco-67</t>
  </si>
  <si>
    <t>Missing PendingIntent flag causes crash on creating the suspended game notification</t>
  </si>
  <si>
    <t>On Android 12, whenever an user closes the app with an active match, on creating the suspended game notification the app crashes because of the missing flag when calling PendingIntent.
Steps to reproduce the behavior:
1. Start new game
2. Add some points
3. Press back twice to close the app
4. (silent) crash occurs
Name: Samsung Galaxy S22 Ultra
OS: Android 12</t>
  </si>
  <si>
    <t>2022-05-05</t>
  </si>
  <si>
    <t>facebook-react-native-33769</t>
  </si>
  <si>
    <t>Handle possible null exception on ReactEditText with AppCompat 1.4.0</t>
  </si>
  <si>
    <t>This Change fixes possible null exception as the user uses AppCompat 1.4.0
as dependency in their App and uses TextInput component.
The exception may happen as is accessed during
the constructor of the superclass, and is not yet initialized.
For reference, commit fixes the crash which was already happening.
&lt;!-- Thanks for submitting pull request! We appreciate you spending the time to work on these changes. Please provide enough information so that others can review your pull request. The three fields below are mandatory. --&gt;
&lt;!-- Explain the **motivation** for making this change. What existing problem does the pull request solve? --&gt;
Possible null exception as is accessed during
the constructor of the superclass, white it is not yet initialized.
This commit fixes the crash which was already happening, accessing of before initialization, and left another one of the call of the same nature.
&lt;!-- Help reviewers and the release process by writing your own changelog entry. For an example, see:
JavaScript Fixed accessing before initialization.
## Test Plan
&lt;!-- Demonstrate the code is solid. Example: The exact commands you ran and their output, screenshots videos if the pull request changes the user interface. --&gt;
no external tool was used.</t>
  </si>
  <si>
    <t>0xpr03-VocableTrainer-Android-80</t>
  </si>
  <si>
    <t>Crash when rotating newly created list</t>
  </si>
  <si>
    <t>**Describe the bug**
Rotating after creating new list ends up crashing
Steps to reproduce the behavior:
1. Go to Create new list
2. Click on Ok in the list name dialog, important step
3. Rotate the app
... 13 more</t>
  </si>
  <si>
    <t>SORMAS-Foundation-SORMAS-Project-9076</t>
  </si>
  <si>
    <t>Can't open campaign in the mobile app</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</si>
  <si>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&lt;!-- Mandatory --&gt;
### Steps to Reproduce
&lt;!-- Optional please add more steps if necessary --&gt;
1. Login in the mobile app with SurvOff
2. Navigate to Campaigns
3. Try to open campaign
The app crashes and an exception appears in the logs
### Expected Behavior
&lt;!-- Optional --&gt;
Campaign data should be show in the app
&lt;!-- Optional --&gt;
### System Details
&lt;!-- Mandatory you only have to specify the Server URL if the error appeared on publicly available test server --&gt;
Android version Browser:
### Additional Information
&lt;!-- Optional --&gt;
... 35 more
Disconnected from the target VM, address: localhost:51919 transport: socket</t>
  </si>
  <si>
    <t>2022-05-04</t>
  </si>
  <si>
    <t>nextcloud-android-10162</t>
  </si>
  <si>
    <t xml:space="preserve">Nextcloud Android app crash </t>
  </si>
  <si>
    <t>### Cause of error
Caused by: Exception in thread main Parameter specified as non-null is null: method parameter &lt;set-?&gt;
### App information
Build flavor: gplay
### Device information
Model: moto g(8) power
Product: sofiar reteu</t>
  </si>
  <si>
    <t>nextcloud-android-10161</t>
  </si>
  <si>
    <t>PreviewMediaFragment crash due to null exoPlayer</t>
  </si>
  <si>
    <t>### Cause of error
### App information
Build flavor: gplay
### Device information
Device: jasmine sprout
Model: Mi A2</t>
  </si>
  <si>
    <t>PojavLauncherTeam-PojavLauncher-3188</t>
  </si>
  <si>
    <t>[BUG]Crash</t>
  </si>
  <si>
    <t>### Describe the bug
Hello, Korean who enjoys spore bruncher. played the game today, and when suddenly the server comes in, it crashes lot, and go to the personal wild server and it crashes.
### The log file and images videos
Crash,lag fix plz...
### Steps To Reproduce
### Expected Behavior
If this bug continues, the spore bruncher will not work.
&lt;font class papago-parent &gt;&lt;font class papago-source style display:none &gt;- Device model:
font&gt;- :&lt; font&gt;&lt;font class papago-parent &gt;&lt;font class papago-source style display:none &gt;- CPU architecture:
font&gt;- CPU :&lt; font&gt;&lt;font class papago-parent &gt;&lt;font class papago-source style display:none &gt;- Android version:
font&gt;- Android :&lt; font&gt;&lt;font class papago-parent &gt;&lt;font class papago-source style display:none &gt;- PojavLauncher version:
font&gt;- PojavLauncher :&lt; font&gt;
### Anything else?
It just crashes with lag</t>
  </si>
  <si>
    <t>2022-05-03</t>
  </si>
  <si>
    <t>MuntashirAkon-AppManager-740</t>
  </si>
  <si>
    <t>android 12: AM installer crash</t>
  </si>
  <si>
    <t>Your issue will be closed without warning if you don check at least two items.
know what my device, OS and App Manager versions are
know how to take logs
know how to reproduce the issue which may not be specific to my device
**Describe the bug**
AM crashes whwn pressing install on the installer popup
Steps to reproduce the behaviour:
1. Install an app through AM
App version: 2.6.2
App version code: 389
Android build version: e0ded777d3
Android release version: 12
Android SDK version: 32
Android build ID: lineage cheryl-userdebug 12 SP2A.220405.004 e0ded777d3
Device brand: razer
Device manufacturer: Razer
Device name: cheryl
Device model: Phone
Device product name: lineage cheryl
Device hardware name: qcom</t>
  </si>
  <si>
    <t>deepjavalibrary-djl-1618</t>
  </si>
  <si>
    <t>Exception when running model on GPU: Exception in runBots:ai.djl.engine.EngineException: Could not run 'aten::empty_strided' with arguments from the 'CUDA' backend. This could be because the operator doesn't exist for this backend, or was omitted during the selective/custom build process (if using custom build).</t>
  </si>
  <si>
    <t>running inference on model. The model was trained using YoloV5 in PyTorch (https: github.com ultralytics yolov5), and then exported. The inference works perfectly with CPU. However, when try to run the inference on GPU explicitly with the following code, get this error. wonder if there something wrong in my configuration?
explicitly set to use GPU
### Expected Behavior
The model should run inference without crashing.
### Error Message
Exception in Could not run aten::empty strided with arguments from the CUDA backend. This could be because the operator doesn exist for this backend, or was omitted during the selective custom build process (if using custom build). If you are Facebook employee using PyTorch on mobile, please visit https: fburl.com ptmfixes for possible resolutions. aten::empty strided is only available for these backends: CPU, Meta, BackendSelect, Named, ADInplaceOrView, AutogradOther, AutogradCPU, AutogradCUDA, AutogradXLA, UNKNOWN TENSOR TYPE ID, AutogradMLC, AutogradHPU, Tracer, Autocast, Batched, VmapMode
### Steps to reproduce
(Paste the commands you ran that produced the error.)
1. Train model using YoloV5 train.py script.
2. Export model using YoloV5 export.py: python export.py --weights last.pt --include torchscript
3. Try to load model with Java DJL.
4. Observe that model loads correctly with CPU, but not with GPU.
## What have you tried to solve it?
1. checked if there was GPU available for use with DJL. The following commands printed the following output:
System.out.println( max memory: mem.getMax())
System.out.println( Cuda version:
2. Ran djl-bench on generic model from the internet. The GPU worked there (and was lot faster than the CPU).
5. installed CUDA via the DNF package manager on Fedora by following these instructions: https: docs.nvidia.com cuda index.html. One thing noticed during install is that the installation installed OpenJDK 11, even though already had OpenJDK 17.
6. Read through https: github.com pytorch pytorch issues 71402, but this did not seem applicable to my issue.
## Environment Info</t>
  </si>
  <si>
    <t>2022-05-02</t>
  </si>
  <si>
    <t>PojavLauncherTeam-PojavLauncher-3175</t>
  </si>
  <si>
    <t>[BUG] when i disconnect of a server game stop responding</t>
  </si>
  <si>
    <t>### Describe the bug
Just crashes and thats it seems to happen less on cheatbreaker2.0 1.7.10
device Samsung Galaxy tab a7
Renderer The renderer that isn virgil
### The log file and images videos
### Steps To Reproduce
1. Start Pojav
2. Launch any 1.8.9 client (in my case Lunar)
3. connect to any server
5. if it dont bug try connecting to another server
6. should see the bug
### Expected Behavior
The game to dont freeze when change the server or disconnect
Device model: samsung galaxy tab a7
CPU architecture: aarch64
Android version: 11
PojavLauncher version: Latest
### Anything else?</t>
  </si>
  <si>
    <t>aws-amplify-amplify-android-1727</t>
  </si>
  <si>
    <t>"Failed to instantiate AWSMobileClient within 10 seconds" in Application.onCreate()</t>
  </si>
  <si>
    <t>### Before opening, please confirm:
have searched for duplicate or closed issues (https: github.com aws-amplify amplify-android issues?q is%3Aissue+) and discussions (https: github.com aws-amplify amplify-android discussions).
### Language and Async Model
### Amplify Categories
Authentication, REST API
### Gradle script dependencies
def amplify version 1.31.1
### Environment information
### Please include any relevant guides or documentation you re referencing
### Describe the bug
In Firebase we see concerning amount of crashes caused by:
According to the Firebase crash report 100% of the issues are happening while the app is in the background. The last 90 days we have had 1512 occurrences, which considering our current user base is an alarming amount. We cannot use try catch as we need the Amplify SDK in order to make critical API calls (so the only way to recover would be to close the app). This crash has been around since our initial introduction of Amplify SDK.
### Reproduction steps (if applicable)
Cannot reproduce it. Tried it opening the app with Wi-Fi and data turned off but this will not cause crash. This crash also doesn happen for all users.
### Code Snippet
Relevant code from CustomApplication Dagger is used for injection.
lateinit var amplifyConfig:
private fun initAmplify()
val apiPlugin: AWSApiPlugin
API NAME) clientBuilder -&gt;</t>
  </si>
  <si>
    <t>SORMAS-Foundation-SORMAS-Project-9035</t>
  </si>
  <si>
    <t>[User Rights] System crash error occurs when certain users perform the Basic Export action for Event Participants</t>
  </si>
  <si>
    <t>If you ve never submitted an issue to the SORMAS repository before or this is your first time using this template, please read the Contributing guidelines (https: github.com hzi-braunschweig SORMAS-Project blob development docs CONTRIBUTING.md) for an explanation of the information we need you to provide. You don have to remove this comment or any other comment from this issue as they will automatically be hidden.
### Bug Description
When certain users want to download Basic Export for the Event Participants, they receive system crash error.
The issue can be reproduced with the following users:
Admin Surveillance Supervisor
The only users that can perform this action successfully are: Admin Surveillance Supervisor and Contact Supervisor
attach the logs for this bug:
### Steps to Reproduce
&lt;!-- Optional please add more steps if necessary --&gt;
1. Log in with one of the users from above:
2. Navigate to the Events Directory
3. Open an Event and navigate to the Event Participants tab
4. Click on Export -&gt; Basic Export
### Expected Behavior
The export should get downloaded and no error should appear when the user closes the pop-up
export error (https: 89522688
### System Details
&lt;!-- Mandatory you only have to specify the Server URL if the error appeared on publicly available test server --&gt;
Device: Window 10
SORMAS version: Sormas 1.71.0-SNAPSHOT (4f6e61b)</t>
  </si>
  <si>
    <t>TeamNewPipe-NewPipe-8321</t>
  </si>
  <si>
    <t>ui crashes upon navigating to a video after download</t>
  </si>
  <si>
    <t>am able to reproduce the bug with the latest version (https: github.com TeamNewPipe NewPipe releases latest).
made sure that there are *no existing issues* open (https: github.com TeamNewPipe NewPipe issues) or closed (https: github.com TeamNewPipe NewPipe issues?q which could contribute my information to.
have taken the time to fill in all the required details. understand that the bug report will be dismissed otherwise.
This issue contains only one bug.
have read and understood the contribution guidelines (https: github.com TeamNewPipe NewPipe blob dev .github CONTRIBUTING.md).
### Affected version
### Steps to reproduce the bug
1. go to video
2. select download
3. go to Downloads
4. start download
5. go to another video
### Expected behavior
would expect to navigate to video, download it and then be able to navigate to another video.
### Actual behavior
find video to download, select download, go to Downloads and start downloading, when downloading completes leave the Downloads menue and as soon as navigate to location where there are videos, CRASH.
### Screenshots Screen recordings
User Action: ui error
Request: ACRA report
Content Country: US</t>
  </si>
  <si>
    <t>2022-05-01</t>
  </si>
  <si>
    <t>PojavLauncherTeam-PojavLauncher-3168</t>
  </si>
  <si>
    <t>[BUG] &lt;Short description&gt; 1.16.1 optfine crashes at black screen</t>
  </si>
  <si>
    <t>### Describe the bug
playing 1.16.1 optifine, after second the game crashes with code 1, how to fix this?
### The log file and images videos
mobizen 20220501 143507.mp4
### Steps To Reproduce
1. Start PojavLauncher
...the game crashes
### Expected Behavior
expect the game launches
Device model: Mi 128gb
CPU architecture: aarch64
Android version: 6.0
PojavLauncher version: Lastest version on google play
### Anything else?</t>
  </si>
  <si>
    <t>AndroidIDEOfficial-AndroidIDE-187</t>
  </si>
  <si>
    <t>Installation error android ide</t>
  </si>
  <si>
    <t>AndroidIDE crash report
***This is the error got on installing the plugins***</t>
  </si>
  <si>
    <t>PojavLauncherTeam-PojavLauncher-4750</t>
  </si>
  <si>
    <t>[BUG] zink render not working in poco f5</t>
  </si>
  <si>
    <t>### Describe the bug
try to use zink render but it,s crashes and try to fix it but not working my phone is poco f5 snapdragon 7+ gen adreno 725 vulkan 1.1.128
### The log file and images videos
b) Add the JAR that contains the shared library to the classpath.
... 11 more
### Steps To Reproduce
### Expected Behavior
In game is start launching
Device model: poco f5 12 256G
CPU architecture: arm64-v8a
Android version: 13
PojavLauncher version: openjdk
### Anything else?
And sodium mod crashes</t>
  </si>
  <si>
    <t>2023-10-19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</si>
</sst>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822"/>
  <sheetViews>
    <sheetView tabSelected="1" workbookViewId="0">
      <selection activeCell="E1" sqref="E1:E1048576"/>
    </sheetView>
  </sheetViews>
  <sheetFormatPr defaultRowHeight="13.5" x14ac:dyDescent="0.15"/>
  <sheetData>
    <row r="1" spans="1:13" x14ac:dyDescent="0.15">
      <c r="A1" s="1" t="s">
        <v>0</v>
      </c>
      <c r="B1" s="1" t="s">
        <v>1</v>
      </c>
      <c r="C1" s="1" t="s">
        <v>2</v>
      </c>
      <c r="D1" s="1" t="s">
        <v>3</v>
      </c>
      <c r="E1" s="1" t="s">
        <v>4</v>
      </c>
      <c r="F1" s="1" t="s">
        <v>5</v>
      </c>
      <c r="G1" s="1" t="s">
        <v>6</v>
      </c>
      <c r="H1" s="1" t="s">
        <v>7</v>
      </c>
      <c r="I1" s="1" t="s">
        <v>8</v>
      </c>
      <c r="J1" s="1" t="s">
        <v>9</v>
      </c>
      <c r="K1" s="1" t="s">
        <v>10</v>
      </c>
      <c r="L1" s="1" t="s">
        <v>11</v>
      </c>
      <c r="M1" s="1" t="s">
        <v>12</v>
      </c>
    </row>
    <row r="2" spans="1:13" hidden="1" x14ac:dyDescent="0.15">
      <c r="A2" t="s">
        <v>13</v>
      </c>
      <c r="B2" t="s">
        <v>14</v>
      </c>
      <c r="C2" t="s">
        <v>15</v>
      </c>
      <c r="D2" t="s">
        <v>16</v>
      </c>
      <c r="E2">
        <v>7</v>
      </c>
      <c r="F2" t="str">
        <f>HYPERLINK("https://github.com/CellularPrivacy/Android-IMSI-Catcher-Detector/issues/252", "show")</f>
        <v>show</v>
      </c>
      <c r="G2" t="str">
        <f>HYPERLINK("https://github.com/CellularPrivacy/Android-IMSI-Catcher-Detector", "show")</f>
        <v>show</v>
      </c>
      <c r="H2" t="str">
        <f>HYPERLINK("https://github.com/CellularPrivacy/Android-IMSI-Catcher-Detector/releases", "show")</f>
        <v>show</v>
      </c>
      <c r="I2">
        <v>1</v>
      </c>
      <c r="J2">
        <v>0</v>
      </c>
      <c r="K2">
        <v>0</v>
      </c>
      <c r="L2">
        <v>0</v>
      </c>
      <c r="M2" t="s">
        <v>17</v>
      </c>
    </row>
    <row r="3" spans="1:13" hidden="1" x14ac:dyDescent="0.15">
      <c r="A3" t="s">
        <v>18</v>
      </c>
      <c r="B3" t="s">
        <v>19</v>
      </c>
      <c r="C3" t="s">
        <v>20</v>
      </c>
      <c r="D3" t="s">
        <v>21</v>
      </c>
      <c r="E3">
        <v>21</v>
      </c>
      <c r="F3" t="str">
        <f>HYPERLINK("https://github.com/kontalk/androidclient/issues/251", "show")</f>
        <v>show</v>
      </c>
      <c r="G3" t="str">
        <f>HYPERLINK("https://github.com/kontalk/androidclient", "show")</f>
        <v>show</v>
      </c>
      <c r="H3" t="str">
        <f>HYPERLINK("https://github.com/kontalk/androidclient/releases", "show")</f>
        <v>show</v>
      </c>
      <c r="I3">
        <v>1</v>
      </c>
      <c r="J3">
        <v>0</v>
      </c>
      <c r="K3">
        <v>0</v>
      </c>
      <c r="L3">
        <v>0</v>
      </c>
      <c r="M3" t="s">
        <v>17</v>
      </c>
    </row>
    <row r="4" spans="1:13" hidden="1" x14ac:dyDescent="0.15">
      <c r="A4" t="s">
        <v>22</v>
      </c>
      <c r="B4" t="s">
        <v>23</v>
      </c>
      <c r="C4" t="s">
        <v>24</v>
      </c>
      <c r="D4" t="s">
        <v>21</v>
      </c>
      <c r="E4">
        <v>7</v>
      </c>
      <c r="F4" t="str">
        <f>HYPERLINK("https://github.com/jclehner/AppOpsXposed/issues/8", "show")</f>
        <v>show</v>
      </c>
      <c r="G4" t="str">
        <f>HYPERLINK("https://github.com/jclehner/AppOpsXposed", "show")</f>
        <v>show</v>
      </c>
      <c r="H4" t="str">
        <f>HYPERLINK("https://github.com/jclehner/AppOpsXposed/releases", "show")</f>
        <v>show</v>
      </c>
      <c r="I4">
        <v>1</v>
      </c>
      <c r="J4">
        <v>0</v>
      </c>
      <c r="K4">
        <v>0</v>
      </c>
      <c r="L4">
        <v>0</v>
      </c>
      <c r="M4" t="s">
        <v>17</v>
      </c>
    </row>
    <row r="5" spans="1:13" hidden="1" x14ac:dyDescent="0.15">
      <c r="A5" t="s">
        <v>25</v>
      </c>
      <c r="B5" t="s">
        <v>26</v>
      </c>
      <c r="C5" t="s">
        <v>27</v>
      </c>
      <c r="D5" t="s">
        <v>28</v>
      </c>
      <c r="E5">
        <v>21</v>
      </c>
      <c r="F5" t="str">
        <f>HYPERLINK("https://github.com/cc-archive/list/issues/94", "show")</f>
        <v>show</v>
      </c>
      <c r="G5" t="str">
        <f>HYPERLINK("https://github.com/cc-archive/list", "show")</f>
        <v>show</v>
      </c>
      <c r="H5" t="str">
        <f>HYPERLINK("https://github.com/cc-archive/list/releases", "show")</f>
        <v>show</v>
      </c>
      <c r="I5">
        <v>1</v>
      </c>
      <c r="J5">
        <v>0</v>
      </c>
      <c r="K5">
        <v>0</v>
      </c>
      <c r="L5">
        <v>1</v>
      </c>
      <c r="M5" t="s">
        <v>29</v>
      </c>
    </row>
    <row r="6" spans="1:13" hidden="1" x14ac:dyDescent="0.15">
      <c r="A6" t="s">
        <v>30</v>
      </c>
      <c r="B6" t="s">
        <v>31</v>
      </c>
      <c r="C6" t="s">
        <v>32</v>
      </c>
      <c r="D6" t="s">
        <v>28</v>
      </c>
      <c r="E6">
        <v>190</v>
      </c>
      <c r="F6" t="str">
        <f>HYPERLINK("https://github.com/dsoulayrol/android-sholi/issues/18", "show")</f>
        <v>show</v>
      </c>
      <c r="G6" t="str">
        <f>HYPERLINK("https://github.com/dsoulayrol/android-sholi", "show")</f>
        <v>show</v>
      </c>
      <c r="H6" t="str">
        <f>HYPERLINK("https://github.com/dsoulayrol/android-sholi/releases", "show")</f>
        <v>show</v>
      </c>
      <c r="I6">
        <v>1</v>
      </c>
      <c r="J6">
        <v>0</v>
      </c>
      <c r="K6">
        <v>0</v>
      </c>
      <c r="L6">
        <v>0</v>
      </c>
      <c r="M6" t="s">
        <v>17</v>
      </c>
    </row>
    <row r="7" spans="1:13" hidden="1" x14ac:dyDescent="0.15">
      <c r="A7" t="s">
        <v>33</v>
      </c>
      <c r="B7" t="s">
        <v>34</v>
      </c>
      <c r="C7" t="s">
        <v>35</v>
      </c>
      <c r="D7" t="s">
        <v>36</v>
      </c>
      <c r="E7">
        <v>52</v>
      </c>
      <c r="F7" t="str">
        <f>HYPERLINK("https://github.com/syncthing/syncthing-android/issues/201", "show")</f>
        <v>show</v>
      </c>
      <c r="G7" t="str">
        <f>HYPERLINK("https://github.com/syncthing/syncthing-android", "show")</f>
        <v>show</v>
      </c>
      <c r="H7" t="str">
        <f>HYPERLINK("https://github.com/syncthing/syncthing-android/releases", "show")</f>
        <v>show</v>
      </c>
      <c r="I7">
        <v>1</v>
      </c>
      <c r="J7">
        <v>0</v>
      </c>
      <c r="K7">
        <v>0</v>
      </c>
      <c r="L7">
        <v>0</v>
      </c>
      <c r="M7" t="s">
        <v>17</v>
      </c>
    </row>
    <row r="8" spans="1:13" hidden="1" x14ac:dyDescent="0.15">
      <c r="A8" t="s">
        <v>37</v>
      </c>
      <c r="B8" t="s">
        <v>38</v>
      </c>
      <c r="C8" t="s">
        <v>39</v>
      </c>
      <c r="D8" t="s">
        <v>36</v>
      </c>
      <c r="E8">
        <v>1540</v>
      </c>
      <c r="F8" t="str">
        <f>HYPERLINK("https://github.com/sandsmark/QuasselDroid/issues/226", "show")</f>
        <v>show</v>
      </c>
      <c r="G8" t="str">
        <f>HYPERLINK("https://github.com/sandsmark/QuasselDroid", "show")</f>
        <v>show</v>
      </c>
      <c r="H8" t="str">
        <f>HYPERLINK("https://github.com/sandsmark/QuasselDroid/releases", "show")</f>
        <v>show</v>
      </c>
      <c r="I8">
        <v>1</v>
      </c>
      <c r="J8">
        <v>0</v>
      </c>
      <c r="K8">
        <v>0</v>
      </c>
      <c r="L8">
        <v>0</v>
      </c>
      <c r="M8" t="s">
        <v>17</v>
      </c>
    </row>
    <row r="9" spans="1:13" hidden="1" x14ac:dyDescent="0.15">
      <c r="A9" t="s">
        <v>40</v>
      </c>
      <c r="B9" t="s">
        <v>41</v>
      </c>
      <c r="C9" t="s">
        <v>42</v>
      </c>
      <c r="D9" t="s">
        <v>36</v>
      </c>
      <c r="E9">
        <v>0</v>
      </c>
      <c r="F9" t="str">
        <f>HYPERLINK("https://github.com/AnaelMobilia/NextINpact-Unofficial/issues/114", "show")</f>
        <v>show</v>
      </c>
      <c r="G9" t="str">
        <f>HYPERLINK("https://github.com/AnaelMobilia/NextINpact-Unofficial", "show")</f>
        <v>show</v>
      </c>
      <c r="H9" t="str">
        <f>HYPERLINK("https://github.com/AnaelMobilia/NextINpact-Unofficial/releases", "show")</f>
        <v>show</v>
      </c>
      <c r="I9">
        <v>0</v>
      </c>
      <c r="J9">
        <v>0</v>
      </c>
      <c r="K9">
        <v>0</v>
      </c>
      <c r="L9">
        <v>0</v>
      </c>
      <c r="M9" t="s">
        <v>43</v>
      </c>
    </row>
    <row r="10" spans="1:13" hidden="1" x14ac:dyDescent="0.15">
      <c r="A10" t="s">
        <v>44</v>
      </c>
      <c r="B10" t="s">
        <v>45</v>
      </c>
      <c r="C10" t="s">
        <v>46</v>
      </c>
      <c r="D10" t="s">
        <v>47</v>
      </c>
      <c r="E10">
        <v>2</v>
      </c>
      <c r="F10" t="str">
        <f>HYPERLINK("https://github.com/geopaparazzi/geopaparazzi/issues/219", "show")</f>
        <v>show</v>
      </c>
      <c r="G10" t="str">
        <f>HYPERLINK("https://github.com/geopaparazzi/geopaparazzi", "show")</f>
        <v>show</v>
      </c>
      <c r="H10" t="str">
        <f>HYPERLINK("https://github.com/geopaparazzi/geopaparazzi/releases", "show")</f>
        <v>show</v>
      </c>
      <c r="I10">
        <v>1</v>
      </c>
      <c r="J10">
        <v>1</v>
      </c>
      <c r="K10">
        <v>0</v>
      </c>
      <c r="L10">
        <v>0</v>
      </c>
      <c r="M10" t="s">
        <v>48</v>
      </c>
    </row>
    <row r="11" spans="1:13" hidden="1" x14ac:dyDescent="0.15">
      <c r="A11" t="s">
        <v>49</v>
      </c>
      <c r="B11" t="s">
        <v>50</v>
      </c>
      <c r="C11" t="s">
        <v>51</v>
      </c>
      <c r="D11" t="s">
        <v>52</v>
      </c>
      <c r="E11">
        <v>176</v>
      </c>
      <c r="F11" t="str">
        <f>HYPERLINK("https://github.com/CellularPrivacy/Android-IMSI-Catcher-Detector/issues/272", "show")</f>
        <v>show</v>
      </c>
      <c r="G11" t="str">
        <f>HYPERLINK("https://github.com/CellularPrivacy/Android-IMSI-Catcher-Detector", "show")</f>
        <v>show</v>
      </c>
      <c r="H11" t="str">
        <f>HYPERLINK("https://github.com/CellularPrivacy/Android-IMSI-Catcher-Detector/releases", "show")</f>
        <v>show</v>
      </c>
      <c r="I11">
        <v>1</v>
      </c>
      <c r="J11">
        <v>0</v>
      </c>
      <c r="K11">
        <v>0</v>
      </c>
      <c r="L11">
        <v>0</v>
      </c>
      <c r="M11" t="s">
        <v>17</v>
      </c>
    </row>
    <row r="12" spans="1:13" hidden="1" x14ac:dyDescent="0.15">
      <c r="A12" t="s">
        <v>53</v>
      </c>
      <c r="B12" t="s">
        <v>54</v>
      </c>
      <c r="C12" t="s">
        <v>55</v>
      </c>
      <c r="D12" t="s">
        <v>52</v>
      </c>
      <c r="E12">
        <v>27</v>
      </c>
      <c r="F12" t="str">
        <f>HYPERLINK("https://github.com/Natio/Places/issues/8", "show")</f>
        <v>show</v>
      </c>
      <c r="G12" t="str">
        <f>HYPERLINK("https://github.com/Natio/Places", "show")</f>
        <v>show</v>
      </c>
      <c r="H12" t="str">
        <f>HYPERLINK("https://github.com/Natio/Places/releases", "show")</f>
        <v>show</v>
      </c>
      <c r="I12">
        <v>0</v>
      </c>
      <c r="J12">
        <v>0</v>
      </c>
      <c r="K12">
        <v>0</v>
      </c>
      <c r="L12">
        <v>0</v>
      </c>
      <c r="M12" t="s">
        <v>43</v>
      </c>
    </row>
    <row r="13" spans="1:13" hidden="1" x14ac:dyDescent="0.15">
      <c r="A13" t="s">
        <v>56</v>
      </c>
      <c r="B13" t="s">
        <v>57</v>
      </c>
      <c r="C13" t="s">
        <v>58</v>
      </c>
      <c r="D13" t="s">
        <v>52</v>
      </c>
      <c r="E13">
        <v>10</v>
      </c>
      <c r="F13" t="str">
        <f>HYPERLINK("https://github.com/zendesk/android-floating-action-button/issues/99", "show")</f>
        <v>show</v>
      </c>
      <c r="G13" t="str">
        <f>HYPERLINK("https://github.com/zendesk/android-floating-action-button", "show")</f>
        <v>show</v>
      </c>
      <c r="H13" t="str">
        <f>HYPERLINK("https://github.com/zendesk/android-floating-action-button/releases", "show")</f>
        <v>show</v>
      </c>
      <c r="I13">
        <v>1</v>
      </c>
      <c r="J13">
        <v>1</v>
      </c>
      <c r="K13">
        <v>1</v>
      </c>
      <c r="L13">
        <v>0</v>
      </c>
      <c r="M13" t="s">
        <v>59</v>
      </c>
    </row>
    <row r="14" spans="1:13" hidden="1" x14ac:dyDescent="0.15">
      <c r="A14" t="s">
        <v>60</v>
      </c>
      <c r="B14" t="s">
        <v>61</v>
      </c>
      <c r="C14" t="s">
        <v>62</v>
      </c>
      <c r="D14" t="s">
        <v>63</v>
      </c>
      <c r="E14">
        <v>9</v>
      </c>
      <c r="F14" t="str">
        <f>HYPERLINK("https://github.com/google/ExoPlayer/issues/232", "show")</f>
        <v>show</v>
      </c>
      <c r="G14" t="str">
        <f>HYPERLINK("https://github.com/google/ExoPlayer", "show")</f>
        <v>show</v>
      </c>
      <c r="H14" t="str">
        <f>HYPERLINK("https://github.com/google/ExoPlayer/releases", "show")</f>
        <v>show</v>
      </c>
      <c r="I14">
        <v>1</v>
      </c>
      <c r="J14">
        <v>0</v>
      </c>
      <c r="K14">
        <v>1</v>
      </c>
      <c r="L14">
        <v>0</v>
      </c>
      <c r="M14" t="s">
        <v>64</v>
      </c>
    </row>
    <row r="15" spans="1:13" hidden="1" x14ac:dyDescent="0.15">
      <c r="A15" t="s">
        <v>65</v>
      </c>
      <c r="B15" t="s">
        <v>66</v>
      </c>
      <c r="C15" t="s">
        <v>67</v>
      </c>
      <c r="D15" t="s">
        <v>63</v>
      </c>
      <c r="E15">
        <v>3</v>
      </c>
      <c r="F15" t="str">
        <f>HYPERLINK("https://github.com/khalid-hussain/HisnulMuslim/issues/8", "show")</f>
        <v>show</v>
      </c>
      <c r="G15" t="str">
        <f>HYPERLINK("https://github.com/khalid-hussain/HisnulMuslim", "show")</f>
        <v>show</v>
      </c>
      <c r="H15" t="str">
        <f>HYPERLINK("https://github.com/khalid-hussain/HisnulMuslim/releases", "show")</f>
        <v>show</v>
      </c>
      <c r="I15">
        <v>1</v>
      </c>
      <c r="J15">
        <v>0</v>
      </c>
      <c r="K15">
        <v>0</v>
      </c>
      <c r="L15">
        <v>0</v>
      </c>
      <c r="M15" t="s">
        <v>17</v>
      </c>
    </row>
    <row r="16" spans="1:13" hidden="1" x14ac:dyDescent="0.15">
      <c r="A16" t="s">
        <v>68</v>
      </c>
      <c r="B16" t="s">
        <v>69</v>
      </c>
      <c r="C16" t="s">
        <v>70</v>
      </c>
      <c r="D16" t="s">
        <v>63</v>
      </c>
      <c r="E16">
        <v>252</v>
      </c>
      <c r="F16" t="str">
        <f>HYPERLINK("https://github.com/PanicInitiative/PanicButton/issues/57", "show")</f>
        <v>show</v>
      </c>
      <c r="G16" t="str">
        <f>HYPERLINK("https://github.com/PanicInitiative/PanicButton", "show")</f>
        <v>show</v>
      </c>
      <c r="H16" t="str">
        <f>HYPERLINK("https://github.com/PanicInitiative/PanicButton/releases", "show")</f>
        <v>show</v>
      </c>
      <c r="I16">
        <v>1</v>
      </c>
      <c r="J16">
        <v>0</v>
      </c>
      <c r="K16">
        <v>1</v>
      </c>
      <c r="L16">
        <v>0</v>
      </c>
      <c r="M16" t="s">
        <v>64</v>
      </c>
    </row>
    <row r="17" spans="1:13" hidden="1" x14ac:dyDescent="0.15">
      <c r="A17" t="s">
        <v>71</v>
      </c>
      <c r="B17" t="s">
        <v>72</v>
      </c>
      <c r="C17" t="s">
        <v>73</v>
      </c>
      <c r="D17" t="s">
        <v>63</v>
      </c>
      <c r="E17">
        <v>8</v>
      </c>
      <c r="F17" t="str">
        <f>HYPERLINK("https://github.com/syncthing/syncthing-android/issues/202", "show")</f>
        <v>show</v>
      </c>
      <c r="G17" t="str">
        <f>HYPERLINK("https://github.com/syncthing/syncthing-android", "show")</f>
        <v>show</v>
      </c>
      <c r="H17" t="str">
        <f>HYPERLINK("https://github.com/syncthing/syncthing-android/releases", "show")</f>
        <v>show</v>
      </c>
      <c r="I17">
        <v>1</v>
      </c>
      <c r="J17">
        <v>0</v>
      </c>
      <c r="K17">
        <v>0</v>
      </c>
      <c r="L17">
        <v>0</v>
      </c>
      <c r="M17" t="s">
        <v>17</v>
      </c>
    </row>
    <row r="18" spans="1:13" hidden="1" x14ac:dyDescent="0.15">
      <c r="A18" t="s">
        <v>74</v>
      </c>
      <c r="B18" t="s">
        <v>75</v>
      </c>
      <c r="C18" t="s">
        <v>76</v>
      </c>
      <c r="D18" t="s">
        <v>63</v>
      </c>
      <c r="E18">
        <v>34</v>
      </c>
      <c r="F18" t="str">
        <f>HYPERLINK("https://github.com/forcedotcom/SalesforceMobileSDK-CordovaPlugin/issues/41", "show")</f>
        <v>show</v>
      </c>
      <c r="G18" t="str">
        <f>HYPERLINK("https://github.com/forcedotcom/SalesforceMobileSDK-CordovaPlugin", "show")</f>
        <v>show</v>
      </c>
      <c r="H18" t="str">
        <f>HYPERLINK("https://github.com/forcedotcom/SalesforceMobileSDK-CordovaPlugin/releases", "show")</f>
        <v>show</v>
      </c>
      <c r="I18">
        <v>1</v>
      </c>
      <c r="J18">
        <v>0</v>
      </c>
      <c r="K18">
        <v>0</v>
      </c>
      <c r="L18">
        <v>0</v>
      </c>
      <c r="M18" t="s">
        <v>17</v>
      </c>
    </row>
    <row r="19" spans="1:13" hidden="1" x14ac:dyDescent="0.15">
      <c r="A19" t="s">
        <v>77</v>
      </c>
      <c r="B19" t="s">
        <v>78</v>
      </c>
      <c r="C19" t="s">
        <v>79</v>
      </c>
      <c r="D19" t="s">
        <v>63</v>
      </c>
      <c r="E19">
        <v>11</v>
      </c>
      <c r="F19" t="str">
        <f>HYPERLINK("https://github.com/bumptech/glide/issues/303", "show")</f>
        <v>show</v>
      </c>
      <c r="G19" t="str">
        <f>HYPERLINK("https://github.com/bumptech/glide", "show")</f>
        <v>show</v>
      </c>
      <c r="H19" t="str">
        <f>HYPERLINK("https://github.com/bumptech/glide/releases", "show")</f>
        <v>show</v>
      </c>
      <c r="I19">
        <v>0</v>
      </c>
      <c r="J19">
        <v>0</v>
      </c>
      <c r="K19">
        <v>0</v>
      </c>
      <c r="L19">
        <v>0</v>
      </c>
      <c r="M19" t="s">
        <v>43</v>
      </c>
    </row>
    <row r="20" spans="1:13" hidden="1" x14ac:dyDescent="0.15">
      <c r="A20" t="s">
        <v>80</v>
      </c>
      <c r="B20" t="s">
        <v>81</v>
      </c>
      <c r="C20" t="s">
        <v>82</v>
      </c>
      <c r="D20" t="s">
        <v>83</v>
      </c>
      <c r="E20">
        <v>0</v>
      </c>
      <c r="F20" t="str">
        <f>HYPERLINK("https://github.com/kontalk/androidclient/issues/263", "show")</f>
        <v>show</v>
      </c>
      <c r="G20" t="str">
        <f>HYPERLINK("https://github.com/kontalk/androidclient", "show")</f>
        <v>show</v>
      </c>
      <c r="H20" t="str">
        <f>HYPERLINK("https://github.com/kontalk/androidclient/releases", "show")</f>
        <v>show</v>
      </c>
      <c r="I20">
        <v>1</v>
      </c>
      <c r="J20">
        <v>0</v>
      </c>
      <c r="K20">
        <v>0</v>
      </c>
      <c r="L20">
        <v>0</v>
      </c>
      <c r="M20" t="s">
        <v>17</v>
      </c>
    </row>
    <row r="21" spans="1:13" hidden="1" x14ac:dyDescent="0.15">
      <c r="A21" t="s">
        <v>84</v>
      </c>
      <c r="B21" t="s">
        <v>85</v>
      </c>
      <c r="C21" t="s">
        <v>86</v>
      </c>
      <c r="D21" t="s">
        <v>87</v>
      </c>
      <c r="E21">
        <v>728</v>
      </c>
      <c r="F21" t="str">
        <f>HYPERLINK("https://github.com/cgeo/cgeo/issues/4611", "show")</f>
        <v>show</v>
      </c>
      <c r="G21" t="str">
        <f>HYPERLINK("https://github.com/cgeo/cgeo", "show")</f>
        <v>show</v>
      </c>
      <c r="H21" t="str">
        <f>HYPERLINK("https://github.com/cgeo/cgeo/releases", "show")</f>
        <v>show</v>
      </c>
      <c r="I21">
        <v>1</v>
      </c>
      <c r="J21">
        <v>0</v>
      </c>
      <c r="K21">
        <v>1</v>
      </c>
      <c r="L21">
        <v>0</v>
      </c>
      <c r="M21" t="s">
        <v>64</v>
      </c>
    </row>
    <row r="22" spans="1:13" hidden="1" x14ac:dyDescent="0.15">
      <c r="A22" t="s">
        <v>88</v>
      </c>
      <c r="B22" t="s">
        <v>89</v>
      </c>
      <c r="C22" t="s">
        <v>90</v>
      </c>
      <c r="D22" t="s">
        <v>87</v>
      </c>
      <c r="E22">
        <v>459</v>
      </c>
      <c r="F22" t="str">
        <f>HYPERLINK("https://github.com/fixme-lausanne/MyHackerspace/issues/30", "show")</f>
        <v>show</v>
      </c>
      <c r="G22" t="str">
        <f>HYPERLINK("https://github.com/fixme-lausanne/MyHackerspace", "show")</f>
        <v>show</v>
      </c>
      <c r="H22" t="str">
        <f>HYPERLINK("https://github.com/fixme-lausanne/MyHackerspace/releases", "show")</f>
        <v>show</v>
      </c>
      <c r="I22">
        <v>1</v>
      </c>
      <c r="J22">
        <v>0</v>
      </c>
      <c r="K22">
        <v>1</v>
      </c>
      <c r="L22">
        <v>0</v>
      </c>
      <c r="M22" t="s">
        <v>64</v>
      </c>
    </row>
    <row r="23" spans="1:13" hidden="1" x14ac:dyDescent="0.15">
      <c r="A23" t="s">
        <v>91</v>
      </c>
      <c r="B23" t="s">
        <v>92</v>
      </c>
      <c r="D23" t="s">
        <v>93</v>
      </c>
      <c r="E23">
        <v>21</v>
      </c>
      <c r="F23" t="str">
        <f>HYPERLINK("https://github.com/GigsSquad/GigsAndroid/issues/37", "show")</f>
        <v>show</v>
      </c>
      <c r="G23" t="str">
        <f>HYPERLINK("https://github.com/GigsSquad/GigsAndroid", "show")</f>
        <v>show</v>
      </c>
      <c r="H23" t="str">
        <f>HYPERLINK("https://github.com/GigsSquad/GigsAndroid/releases", "show")</f>
        <v>show</v>
      </c>
      <c r="I23">
        <v>0</v>
      </c>
      <c r="J23">
        <v>0</v>
      </c>
      <c r="K23">
        <v>0</v>
      </c>
      <c r="L23">
        <v>0</v>
      </c>
      <c r="M23" t="s">
        <v>43</v>
      </c>
    </row>
    <row r="24" spans="1:13" hidden="1" x14ac:dyDescent="0.15">
      <c r="A24" t="s">
        <v>94</v>
      </c>
      <c r="B24" t="s">
        <v>95</v>
      </c>
      <c r="D24" t="s">
        <v>93</v>
      </c>
      <c r="E24">
        <v>25</v>
      </c>
      <c r="F24" t="str">
        <f>HYPERLINK("https://github.com/GigsSquad/GigsAndroid/issues/36", "show")</f>
        <v>show</v>
      </c>
      <c r="G24" t="str">
        <f>HYPERLINK("https://github.com/GigsSquad/GigsAndroid", "show")</f>
        <v>show</v>
      </c>
      <c r="H24" t="str">
        <f>HYPERLINK("https://github.com/GigsSquad/GigsAndroid/releases", "show")</f>
        <v>show</v>
      </c>
      <c r="I24">
        <v>0</v>
      </c>
      <c r="J24">
        <v>0</v>
      </c>
      <c r="K24">
        <v>0</v>
      </c>
      <c r="L24">
        <v>0</v>
      </c>
      <c r="M24" t="s">
        <v>43</v>
      </c>
    </row>
    <row r="25" spans="1:13" hidden="1" x14ac:dyDescent="0.15">
      <c r="A25" t="s">
        <v>96</v>
      </c>
      <c r="B25" t="s">
        <v>97</v>
      </c>
      <c r="C25" t="s">
        <v>98</v>
      </c>
      <c r="D25" t="s">
        <v>93</v>
      </c>
      <c r="E25">
        <v>8</v>
      </c>
      <c r="F25" t="str">
        <f>HYPERLINK("https://github.com/eugenkiss/chanobol/issues/44", "show")</f>
        <v>show</v>
      </c>
      <c r="G25" t="str">
        <f>HYPERLINK("https://github.com/eugenkiss/chanobol", "show")</f>
        <v>show</v>
      </c>
      <c r="H25" t="str">
        <f>HYPERLINK("https://github.com/eugenkiss/chanobol/releases", "show")</f>
        <v>show</v>
      </c>
      <c r="I25">
        <v>1</v>
      </c>
      <c r="J25">
        <v>0</v>
      </c>
      <c r="K25">
        <v>0</v>
      </c>
      <c r="L25">
        <v>0</v>
      </c>
      <c r="M25" t="s">
        <v>17</v>
      </c>
    </row>
    <row r="26" spans="1:13" hidden="1" x14ac:dyDescent="0.15">
      <c r="A26" t="s">
        <v>99</v>
      </c>
      <c r="B26" t="s">
        <v>100</v>
      </c>
      <c r="C26" t="s">
        <v>101</v>
      </c>
      <c r="D26" t="s">
        <v>93</v>
      </c>
      <c r="E26">
        <v>22</v>
      </c>
      <c r="F26" t="str">
        <f>HYPERLINK("https://github.com/GhostFlying/LocationReportEnabler/issues/5", "show")</f>
        <v>show</v>
      </c>
      <c r="G26" t="str">
        <f>HYPERLINK("https://github.com/GhostFlying/LocationReportEnabler", "show")</f>
        <v>show</v>
      </c>
      <c r="H26" t="str">
        <f>HYPERLINK("https://github.com/GhostFlying/LocationReportEnabler/releases", "show")</f>
        <v>show</v>
      </c>
      <c r="I26">
        <v>0</v>
      </c>
      <c r="J26">
        <v>0</v>
      </c>
      <c r="K26">
        <v>0</v>
      </c>
      <c r="L26">
        <v>0</v>
      </c>
      <c r="M26" t="s">
        <v>43</v>
      </c>
    </row>
    <row r="27" spans="1:13" hidden="1" x14ac:dyDescent="0.15">
      <c r="A27" t="s">
        <v>102</v>
      </c>
      <c r="B27" t="s">
        <v>103</v>
      </c>
      <c r="C27" t="s">
        <v>104</v>
      </c>
      <c r="D27" t="s">
        <v>105</v>
      </c>
      <c r="E27">
        <v>482</v>
      </c>
      <c r="F27" t="str">
        <f>HYPERLINK("https://github.com/akvo/akvo-flow-mobile/issues/243", "show")</f>
        <v>show</v>
      </c>
      <c r="G27" t="str">
        <f>HYPERLINK("https://github.com/akvo/akvo-flow-mobile", "show")</f>
        <v>show</v>
      </c>
      <c r="H27" t="str">
        <f>HYPERLINK("https://github.com/akvo/akvo-flow-mobile/releases", "show")</f>
        <v>show</v>
      </c>
      <c r="I27">
        <v>1</v>
      </c>
      <c r="J27">
        <v>1</v>
      </c>
      <c r="K27">
        <v>0</v>
      </c>
      <c r="L27">
        <v>0</v>
      </c>
      <c r="M27" t="s">
        <v>48</v>
      </c>
    </row>
    <row r="28" spans="1:13" hidden="1" x14ac:dyDescent="0.15">
      <c r="A28" t="s">
        <v>106</v>
      </c>
      <c r="B28" t="s">
        <v>107</v>
      </c>
      <c r="C28" t="s">
        <v>108</v>
      </c>
      <c r="D28" t="s">
        <v>105</v>
      </c>
      <c r="E28">
        <v>1</v>
      </c>
      <c r="F28" t="str">
        <f>HYPERLINK("https://github.com/NCU-CC/NCU-MAP/issues/1", "show")</f>
        <v>show</v>
      </c>
      <c r="G28" t="str">
        <f>HYPERLINK("https://github.com/NCU-CC/NCU-MAP", "show")</f>
        <v>show</v>
      </c>
      <c r="H28" t="str">
        <f>HYPERLINK("https://github.com/NCU-CC/NCU-MAP/releases", "show")</f>
        <v>show</v>
      </c>
      <c r="I28">
        <v>1</v>
      </c>
      <c r="J28">
        <v>0</v>
      </c>
      <c r="K28">
        <v>1</v>
      </c>
      <c r="L28">
        <v>0</v>
      </c>
      <c r="M28" t="s">
        <v>64</v>
      </c>
    </row>
    <row r="29" spans="1:13" hidden="1" x14ac:dyDescent="0.15">
      <c r="A29" t="s">
        <v>109</v>
      </c>
      <c r="B29" t="s">
        <v>110</v>
      </c>
      <c r="C29" t="s">
        <v>111</v>
      </c>
      <c r="D29" t="s">
        <v>112</v>
      </c>
      <c r="E29">
        <v>376</v>
      </c>
      <c r="F29" t="str">
        <f>HYPERLINK("https://github.com/mixpanel/mixpanel-android/issues/160", "show")</f>
        <v>show</v>
      </c>
      <c r="G29" t="str">
        <f>HYPERLINK("https://github.com/mixpanel/mixpanel-android", "show")</f>
        <v>show</v>
      </c>
      <c r="H29" t="str">
        <f>HYPERLINK("https://github.com/mixpanel/mixpanel-android/releases", "show")</f>
        <v>show</v>
      </c>
      <c r="I29">
        <v>1</v>
      </c>
      <c r="J29">
        <v>0</v>
      </c>
      <c r="K29">
        <v>1</v>
      </c>
      <c r="L29">
        <v>0</v>
      </c>
      <c r="M29" t="s">
        <v>64</v>
      </c>
    </row>
    <row r="30" spans="1:13" hidden="1" x14ac:dyDescent="0.15">
      <c r="A30" t="s">
        <v>113</v>
      </c>
      <c r="B30" t="s">
        <v>114</v>
      </c>
      <c r="D30" t="s">
        <v>112</v>
      </c>
      <c r="E30">
        <v>57</v>
      </c>
      <c r="F30" t="str">
        <f>HYPERLINK("https://github.com/saintlab/mobileapp_android/issues/261", "show")</f>
        <v>show</v>
      </c>
      <c r="G30" t="str">
        <f>HYPERLINK("https://github.com/saintlab/mobileapp_android", "show")</f>
        <v>show</v>
      </c>
      <c r="H30" t="str">
        <f>HYPERLINK("https://github.com/saintlab/mobileapp_android/releases", "show")</f>
        <v>show</v>
      </c>
      <c r="I30">
        <v>0</v>
      </c>
      <c r="J30">
        <v>0</v>
      </c>
      <c r="K30">
        <v>0</v>
      </c>
      <c r="L30">
        <v>0</v>
      </c>
      <c r="M30" t="s">
        <v>43</v>
      </c>
    </row>
    <row r="31" spans="1:13" hidden="1" x14ac:dyDescent="0.15">
      <c r="A31" t="s">
        <v>115</v>
      </c>
      <c r="B31" t="s">
        <v>116</v>
      </c>
      <c r="C31" t="s">
        <v>117</v>
      </c>
      <c r="D31" t="s">
        <v>112</v>
      </c>
      <c r="E31">
        <v>0</v>
      </c>
      <c r="F31" t="str">
        <f>HYPERLINK("https://github.com/kontalk/androidclient/issues/272", "show")</f>
        <v>show</v>
      </c>
      <c r="G31" t="str">
        <f>HYPERLINK("https://github.com/kontalk/androidclient", "show")</f>
        <v>show</v>
      </c>
      <c r="H31" t="str">
        <f>HYPERLINK("https://github.com/kontalk/androidclient/releases", "show")</f>
        <v>show</v>
      </c>
      <c r="I31">
        <v>1</v>
      </c>
      <c r="J31">
        <v>0</v>
      </c>
      <c r="K31">
        <v>0</v>
      </c>
      <c r="L31">
        <v>0</v>
      </c>
      <c r="M31" t="s">
        <v>17</v>
      </c>
    </row>
    <row r="32" spans="1:13" hidden="1" x14ac:dyDescent="0.15">
      <c r="A32" t="s">
        <v>118</v>
      </c>
      <c r="B32" t="s">
        <v>119</v>
      </c>
      <c r="C32" t="s">
        <v>120</v>
      </c>
      <c r="D32" t="s">
        <v>121</v>
      </c>
      <c r="E32">
        <v>0</v>
      </c>
      <c r="F32" t="str">
        <f>HYPERLINK("https://github.com/blinskey/greek-reference/issues/115", "show")</f>
        <v>show</v>
      </c>
      <c r="G32" t="str">
        <f>HYPERLINK("https://github.com/blinskey/greek-reference", "show")</f>
        <v>show</v>
      </c>
      <c r="H32" t="str">
        <f>HYPERLINK("https://github.com/blinskey/greek-reference/releases", "show")</f>
        <v>show</v>
      </c>
      <c r="I32">
        <v>0</v>
      </c>
      <c r="J32">
        <v>0</v>
      </c>
      <c r="K32">
        <v>1</v>
      </c>
      <c r="L32">
        <v>0</v>
      </c>
      <c r="M32" t="s">
        <v>122</v>
      </c>
    </row>
    <row r="33" spans="1:13" hidden="1" x14ac:dyDescent="0.15">
      <c r="A33" t="s">
        <v>123</v>
      </c>
      <c r="B33" t="s">
        <v>124</v>
      </c>
      <c r="C33" t="s">
        <v>125</v>
      </c>
      <c r="D33" t="s">
        <v>121</v>
      </c>
      <c r="E33">
        <v>0</v>
      </c>
      <c r="F33" t="str">
        <f>HYPERLINK("https://github.com/cgeo/cgeo/issues/4618", "show")</f>
        <v>show</v>
      </c>
      <c r="G33" t="str">
        <f>HYPERLINK("https://github.com/cgeo/cgeo", "show")</f>
        <v>show</v>
      </c>
      <c r="H33" t="str">
        <f>HYPERLINK("https://github.com/cgeo/cgeo/releases", "show")</f>
        <v>show</v>
      </c>
      <c r="I33">
        <v>0</v>
      </c>
      <c r="J33">
        <v>0</v>
      </c>
      <c r="K33">
        <v>1</v>
      </c>
      <c r="L33">
        <v>0</v>
      </c>
      <c r="M33" t="s">
        <v>122</v>
      </c>
    </row>
    <row r="34" spans="1:13" hidden="1" x14ac:dyDescent="0.15">
      <c r="A34" t="s">
        <v>126</v>
      </c>
      <c r="B34" t="s">
        <v>127</v>
      </c>
      <c r="C34" t="s">
        <v>128</v>
      </c>
      <c r="D34" t="s">
        <v>129</v>
      </c>
      <c r="E34">
        <v>0</v>
      </c>
      <c r="F34" t="str">
        <f>HYPERLINK("https://github.com/kprikshit/android-sensor-data-recorder/issues/2", "show")</f>
        <v>show</v>
      </c>
      <c r="G34" t="str">
        <f>HYPERLINK("https://github.com/kprikshit/android-sensor-data-recorder", "show")</f>
        <v>show</v>
      </c>
      <c r="H34" t="str">
        <f>HYPERLINK("https://github.com/kprikshit/android-sensor-data-recorder/releases", "show")</f>
        <v>show</v>
      </c>
      <c r="I34">
        <v>1</v>
      </c>
      <c r="J34">
        <v>0</v>
      </c>
      <c r="K34">
        <v>0</v>
      </c>
      <c r="L34">
        <v>0</v>
      </c>
      <c r="M34" t="s">
        <v>17</v>
      </c>
    </row>
    <row r="35" spans="1:13" hidden="1" x14ac:dyDescent="0.15">
      <c r="A35" t="s">
        <v>130</v>
      </c>
      <c r="B35" t="s">
        <v>131</v>
      </c>
      <c r="C35" t="s">
        <v>132</v>
      </c>
      <c r="D35" t="s">
        <v>129</v>
      </c>
      <c r="E35">
        <v>0</v>
      </c>
      <c r="F35" t="str">
        <f>HYPERLINK("https://github.com/onepf/OpenIAB/issues/433", "show")</f>
        <v>show</v>
      </c>
      <c r="G35" t="str">
        <f>HYPERLINK("https://github.com/onepf/OpenIAB", "show")</f>
        <v>show</v>
      </c>
      <c r="H35" t="str">
        <f>HYPERLINK("https://github.com/onepf/OpenIAB/releases", "show")</f>
        <v>show</v>
      </c>
      <c r="I35">
        <v>1</v>
      </c>
      <c r="J35">
        <v>0</v>
      </c>
      <c r="K35">
        <v>1</v>
      </c>
      <c r="L35">
        <v>0</v>
      </c>
      <c r="M35" t="s">
        <v>64</v>
      </c>
    </row>
    <row r="36" spans="1:13" hidden="1" x14ac:dyDescent="0.15">
      <c r="A36" t="s">
        <v>133</v>
      </c>
      <c r="B36" t="s">
        <v>134</v>
      </c>
      <c r="D36" t="s">
        <v>135</v>
      </c>
      <c r="E36">
        <v>0</v>
      </c>
      <c r="F36" t="str">
        <f>HYPERLINK("https://github.com/nextcloud/news-android/issues/307", "show")</f>
        <v>show</v>
      </c>
      <c r="G36" t="str">
        <f>HYPERLINK("https://github.com/nextcloud/news-android", "show")</f>
        <v>show</v>
      </c>
      <c r="H36" t="str">
        <f>HYPERLINK("https://github.com/nextcloud/news-android/releases", "show")</f>
        <v>show</v>
      </c>
      <c r="I36">
        <v>1</v>
      </c>
      <c r="J36">
        <v>0</v>
      </c>
      <c r="K36">
        <v>0</v>
      </c>
      <c r="L36">
        <v>0</v>
      </c>
      <c r="M36" t="s">
        <v>17</v>
      </c>
    </row>
    <row r="37" spans="1:13" x14ac:dyDescent="0.15">
      <c r="A37" t="s">
        <v>136</v>
      </c>
      <c r="B37" t="s">
        <v>137</v>
      </c>
      <c r="C37" t="s">
        <v>138</v>
      </c>
      <c r="D37" t="s">
        <v>135</v>
      </c>
      <c r="E37">
        <v>1</v>
      </c>
      <c r="F37" t="str">
        <f>HYPERLINK("https://github.com/raphw/byte-buddy/issues/16", "show")</f>
        <v>show</v>
      </c>
      <c r="G37" t="str">
        <f>HYPERLINK("https://github.com/raphw/byte-buddy", "show")</f>
        <v>show</v>
      </c>
      <c r="H37" t="str">
        <f>HYPERLINK("https://github.com/raphw/byte-buddy/releases", "show")</f>
        <v>show</v>
      </c>
      <c r="I37">
        <v>0</v>
      </c>
      <c r="J37">
        <v>1</v>
      </c>
      <c r="K37">
        <v>0</v>
      </c>
      <c r="L37">
        <v>0</v>
      </c>
      <c r="M37" t="s">
        <v>139</v>
      </c>
    </row>
    <row r="38" spans="1:13" hidden="1" x14ac:dyDescent="0.15">
      <c r="A38" t="s">
        <v>140</v>
      </c>
      <c r="B38" t="s">
        <v>141</v>
      </c>
      <c r="C38" t="s">
        <v>142</v>
      </c>
      <c r="D38" t="s">
        <v>135</v>
      </c>
      <c r="E38">
        <v>4</v>
      </c>
      <c r="F38" t="str">
        <f>HYPERLINK("https://github.com/M66B/XPrivacy/issues/2120", "show")</f>
        <v>show</v>
      </c>
      <c r="G38" t="str">
        <f>HYPERLINK("https://github.com/M66B/XPrivacy", "show")</f>
        <v>show</v>
      </c>
      <c r="H38" t="str">
        <f>HYPERLINK("https://github.com/M66B/XPrivacy/releases", "show")</f>
        <v>show</v>
      </c>
      <c r="I38">
        <v>1</v>
      </c>
      <c r="J38">
        <v>0</v>
      </c>
      <c r="K38">
        <v>0</v>
      </c>
      <c r="L38">
        <v>0</v>
      </c>
      <c r="M38" t="s">
        <v>17</v>
      </c>
    </row>
    <row r="39" spans="1:13" hidden="1" x14ac:dyDescent="0.15">
      <c r="A39" t="s">
        <v>143</v>
      </c>
      <c r="B39" t="s">
        <v>144</v>
      </c>
      <c r="C39" t="s">
        <v>145</v>
      </c>
      <c r="D39" t="s">
        <v>146</v>
      </c>
      <c r="E39">
        <v>16</v>
      </c>
      <c r="F39" t="str">
        <f>HYPERLINK("https://github.com/lwis/miband-notifier/issues/3", "show")</f>
        <v>show</v>
      </c>
      <c r="G39" t="str">
        <f>HYPERLINK("https://github.com/lwis/miband-notifier", "show")</f>
        <v>show</v>
      </c>
      <c r="H39" t="str">
        <f>HYPERLINK("https://github.com/lwis/miband-notifier/releases", "show")</f>
        <v>show</v>
      </c>
      <c r="I39">
        <v>1</v>
      </c>
      <c r="J39">
        <v>0</v>
      </c>
      <c r="K39">
        <v>0</v>
      </c>
      <c r="L39">
        <v>0</v>
      </c>
      <c r="M39" t="s">
        <v>17</v>
      </c>
    </row>
    <row r="40" spans="1:13" hidden="1" x14ac:dyDescent="0.15">
      <c r="A40" t="s">
        <v>147</v>
      </c>
      <c r="B40" t="s">
        <v>148</v>
      </c>
      <c r="C40" t="s">
        <v>149</v>
      </c>
      <c r="D40" t="s">
        <v>150</v>
      </c>
      <c r="E40">
        <v>158</v>
      </c>
      <c r="F40" t="str">
        <f>HYPERLINK("https://github.com/google/ExoPlayer/issues/244", "show")</f>
        <v>show</v>
      </c>
      <c r="G40" t="str">
        <f>HYPERLINK("https://github.com/google/ExoPlayer", "show")</f>
        <v>show</v>
      </c>
      <c r="H40" t="str">
        <f>HYPERLINK("https://github.com/google/ExoPlayer/releases", "show")</f>
        <v>show</v>
      </c>
      <c r="I40">
        <v>1</v>
      </c>
      <c r="J40">
        <v>1</v>
      </c>
      <c r="K40">
        <v>0</v>
      </c>
      <c r="L40">
        <v>0</v>
      </c>
      <c r="M40" t="s">
        <v>48</v>
      </c>
    </row>
    <row r="41" spans="1:13" hidden="1" x14ac:dyDescent="0.15">
      <c r="A41" t="s">
        <v>151</v>
      </c>
      <c r="B41" t="s">
        <v>152</v>
      </c>
      <c r="C41" t="s">
        <v>153</v>
      </c>
      <c r="D41" t="s">
        <v>150</v>
      </c>
      <c r="E41">
        <v>49</v>
      </c>
      <c r="F41" t="str">
        <f>HYPERLINK("https://github.com/square/okhttp/issues/1338", "show")</f>
        <v>show</v>
      </c>
      <c r="G41" t="str">
        <f>HYPERLINK("https://github.com/square/okhttp", "show")</f>
        <v>show</v>
      </c>
      <c r="H41" t="str">
        <f>HYPERLINK("https://github.com/square/okhttp/releases", "show")</f>
        <v>show</v>
      </c>
      <c r="I41">
        <v>1</v>
      </c>
      <c r="J41">
        <v>0</v>
      </c>
      <c r="K41">
        <v>0</v>
      </c>
      <c r="L41">
        <v>0</v>
      </c>
      <c r="M41" t="s">
        <v>17</v>
      </c>
    </row>
    <row r="42" spans="1:13" hidden="1" x14ac:dyDescent="0.15">
      <c r="A42" t="s">
        <v>154</v>
      </c>
      <c r="B42" t="s">
        <v>155</v>
      </c>
      <c r="C42" t="s">
        <v>156</v>
      </c>
      <c r="D42" t="s">
        <v>150</v>
      </c>
      <c r="E42">
        <v>6</v>
      </c>
      <c r="F42" t="str">
        <f>HYPERLINK("https://github.com/bitcraze/crazyflie-android-client/issues/46", "show")</f>
        <v>show</v>
      </c>
      <c r="G42" t="str">
        <f>HYPERLINK("https://github.com/bitcraze/crazyflie-android-client", "show")</f>
        <v>show</v>
      </c>
      <c r="H42" t="str">
        <f>HYPERLINK("https://github.com/bitcraze/crazyflie-android-client/releases", "show")</f>
        <v>show</v>
      </c>
      <c r="I42">
        <v>1</v>
      </c>
      <c r="J42">
        <v>0</v>
      </c>
      <c r="K42">
        <v>0</v>
      </c>
      <c r="L42">
        <v>0</v>
      </c>
      <c r="M42" t="s">
        <v>17</v>
      </c>
    </row>
    <row r="43" spans="1:13" hidden="1" x14ac:dyDescent="0.15">
      <c r="A43" t="s">
        <v>157</v>
      </c>
      <c r="B43" t="s">
        <v>158</v>
      </c>
      <c r="C43" t="s">
        <v>159</v>
      </c>
      <c r="D43" t="s">
        <v>160</v>
      </c>
      <c r="E43">
        <v>1</v>
      </c>
      <c r="F43" t="str">
        <f>HYPERLINK("https://github.com/unfoldingWord-dev/uw-android/issues/36", "show")</f>
        <v>show</v>
      </c>
      <c r="G43" t="str">
        <f>HYPERLINK("https://github.com/unfoldingWord-dev/uw-android", "show")</f>
        <v>show</v>
      </c>
      <c r="H43" t="str">
        <f>HYPERLINK("https://github.com/unfoldingWord-dev/uw-android/releases", "show")</f>
        <v>show</v>
      </c>
      <c r="I43">
        <v>1</v>
      </c>
      <c r="J43">
        <v>0</v>
      </c>
      <c r="K43">
        <v>0</v>
      </c>
      <c r="L43">
        <v>0</v>
      </c>
      <c r="M43" t="s">
        <v>17</v>
      </c>
    </row>
    <row r="44" spans="1:13" hidden="1" x14ac:dyDescent="0.15">
      <c r="A44" t="s">
        <v>161</v>
      </c>
      <c r="B44" t="s">
        <v>162</v>
      </c>
      <c r="C44" t="s">
        <v>163</v>
      </c>
      <c r="D44" t="s">
        <v>164</v>
      </c>
      <c r="E44">
        <v>10</v>
      </c>
      <c r="F44" t="str">
        <f>HYPERLINK("https://github.com/SCCapstone/IArch/issues/28", "show")</f>
        <v>show</v>
      </c>
      <c r="G44" t="str">
        <f>HYPERLINK("https://github.com/SCCapstone/IArch", "show")</f>
        <v>show</v>
      </c>
      <c r="H44" t="str">
        <f>HYPERLINK("https://github.com/SCCapstone/IArch/releases", "show")</f>
        <v>show</v>
      </c>
      <c r="I44">
        <v>1</v>
      </c>
      <c r="J44">
        <v>0</v>
      </c>
      <c r="K44">
        <v>0</v>
      </c>
      <c r="L44">
        <v>0</v>
      </c>
      <c r="M44" t="s">
        <v>17</v>
      </c>
    </row>
    <row r="45" spans="1:13" hidden="1" x14ac:dyDescent="0.15">
      <c r="A45" t="s">
        <v>165</v>
      </c>
      <c r="B45" t="s">
        <v>166</v>
      </c>
      <c r="C45" t="s">
        <v>167</v>
      </c>
      <c r="D45" t="s">
        <v>164</v>
      </c>
      <c r="E45">
        <v>16</v>
      </c>
      <c r="F45" t="str">
        <f>HYPERLINK("https://github.com/SCCapstone/IArch/issues/27", "show")</f>
        <v>show</v>
      </c>
      <c r="G45" t="str">
        <f>HYPERLINK("https://github.com/SCCapstone/IArch", "show")</f>
        <v>show</v>
      </c>
      <c r="H45" t="str">
        <f>HYPERLINK("https://github.com/SCCapstone/IArch/releases", "show")</f>
        <v>show</v>
      </c>
      <c r="I45">
        <v>1</v>
      </c>
      <c r="J45">
        <v>0</v>
      </c>
      <c r="K45">
        <v>0</v>
      </c>
      <c r="L45">
        <v>0</v>
      </c>
      <c r="M45" t="s">
        <v>17</v>
      </c>
    </row>
    <row r="46" spans="1:13" hidden="1" x14ac:dyDescent="0.15">
      <c r="A46" t="s">
        <v>168</v>
      </c>
      <c r="B46" t="s">
        <v>169</v>
      </c>
      <c r="C46" t="s">
        <v>170</v>
      </c>
      <c r="D46" t="s">
        <v>164</v>
      </c>
      <c r="E46">
        <v>8</v>
      </c>
      <c r="F46" t="str">
        <f>HYPERLINK("https://github.com/SufficientlySecure/document-viewer/issues/62", "show")</f>
        <v>show</v>
      </c>
      <c r="G46" t="str">
        <f>HYPERLINK("https://github.com/SufficientlySecure/document-viewer", "show")</f>
        <v>show</v>
      </c>
      <c r="H46" t="str">
        <f>HYPERLINK("https://github.com/SufficientlySecure/document-viewer/releases", "show")</f>
        <v>show</v>
      </c>
      <c r="I46">
        <v>1</v>
      </c>
      <c r="J46">
        <v>0</v>
      </c>
      <c r="K46">
        <v>0</v>
      </c>
      <c r="L46">
        <v>0</v>
      </c>
      <c r="M46" t="s">
        <v>17</v>
      </c>
    </row>
    <row r="47" spans="1:13" hidden="1" x14ac:dyDescent="0.15">
      <c r="A47" t="s">
        <v>171</v>
      </c>
      <c r="B47" t="s">
        <v>172</v>
      </c>
      <c r="C47" t="s">
        <v>173</v>
      </c>
      <c r="D47" t="s">
        <v>174</v>
      </c>
      <c r="E47">
        <v>1</v>
      </c>
      <c r="F47" t="str">
        <f>HYPERLINK("https://github.com/eugenkiss/chanobol/issues/75", "show")</f>
        <v>show</v>
      </c>
      <c r="G47" t="str">
        <f>HYPERLINK("https://github.com/eugenkiss/chanobol", "show")</f>
        <v>show</v>
      </c>
      <c r="H47" t="str">
        <f>HYPERLINK("https://github.com/eugenkiss/chanobol/releases", "show")</f>
        <v>show</v>
      </c>
      <c r="I47">
        <v>1</v>
      </c>
      <c r="J47">
        <v>0</v>
      </c>
      <c r="K47">
        <v>1</v>
      </c>
      <c r="L47">
        <v>0</v>
      </c>
      <c r="M47" t="s">
        <v>64</v>
      </c>
    </row>
    <row r="48" spans="1:13" hidden="1" x14ac:dyDescent="0.15">
      <c r="A48" t="s">
        <v>175</v>
      </c>
      <c r="B48" t="s">
        <v>176</v>
      </c>
      <c r="C48" t="s">
        <v>177</v>
      </c>
      <c r="D48" t="s">
        <v>174</v>
      </c>
      <c r="E48">
        <v>4</v>
      </c>
      <c r="F48" t="str">
        <f>HYPERLINK("https://github.com/AnaelMobilia/NextINpact-Unofficial/issues/121", "show")</f>
        <v>show</v>
      </c>
      <c r="G48" t="str">
        <f>HYPERLINK("https://github.com/AnaelMobilia/NextINpact-Unofficial", "show")</f>
        <v>show</v>
      </c>
      <c r="H48" t="str">
        <f>HYPERLINK("https://github.com/AnaelMobilia/NextINpact-Unofficial/releases", "show")</f>
        <v>show</v>
      </c>
      <c r="I48">
        <v>0</v>
      </c>
      <c r="J48">
        <v>0</v>
      </c>
      <c r="K48">
        <v>0</v>
      </c>
      <c r="L48">
        <v>0</v>
      </c>
      <c r="M48" t="s">
        <v>43</v>
      </c>
    </row>
    <row r="49" spans="1:13" hidden="1" x14ac:dyDescent="0.15">
      <c r="A49" t="s">
        <v>178</v>
      </c>
      <c r="B49" t="s">
        <v>179</v>
      </c>
      <c r="C49" t="s">
        <v>180</v>
      </c>
      <c r="D49" t="s">
        <v>174</v>
      </c>
      <c r="E49">
        <v>1</v>
      </c>
      <c r="F49" t="str">
        <f>HYPERLINK("https://github.com/realtime-framework/RealtimeStorage-Android/issues/4", "show")</f>
        <v>show</v>
      </c>
      <c r="G49" t="str">
        <f>HYPERLINK("https://github.com/realtime-framework/RealtimeStorage-Android", "show")</f>
        <v>show</v>
      </c>
      <c r="H49" t="str">
        <f>HYPERLINK("https://github.com/realtime-framework/RealtimeStorage-Android/releases", "show")</f>
        <v>show</v>
      </c>
      <c r="I49">
        <v>0</v>
      </c>
      <c r="J49">
        <v>0</v>
      </c>
      <c r="K49">
        <v>0</v>
      </c>
      <c r="L49">
        <v>0</v>
      </c>
      <c r="M49" t="s">
        <v>43</v>
      </c>
    </row>
    <row r="50" spans="1:13" hidden="1" x14ac:dyDescent="0.15">
      <c r="A50" t="s">
        <v>181</v>
      </c>
      <c r="B50" t="s">
        <v>182</v>
      </c>
      <c r="C50" t="s">
        <v>183</v>
      </c>
      <c r="D50" t="s">
        <v>184</v>
      </c>
      <c r="E50">
        <v>6</v>
      </c>
      <c r="F50" t="str">
        <f>HYPERLINK("https://github.com/inaturalist/iNaturalistAndroid/issues/34", "show")</f>
        <v>show</v>
      </c>
      <c r="G50" t="str">
        <f>HYPERLINK("https://github.com/inaturalist/iNaturalistAndroid", "show")</f>
        <v>show</v>
      </c>
      <c r="H50" t="str">
        <f>HYPERLINK("https://github.com/inaturalist/iNaturalistAndroid/releases", "show")</f>
        <v>show</v>
      </c>
      <c r="I50">
        <v>1</v>
      </c>
      <c r="J50">
        <v>0</v>
      </c>
      <c r="K50">
        <v>0</v>
      </c>
      <c r="L50">
        <v>0</v>
      </c>
      <c r="M50" t="s">
        <v>17</v>
      </c>
    </row>
    <row r="51" spans="1:13" hidden="1" x14ac:dyDescent="0.15">
      <c r="A51" t="s">
        <v>185</v>
      </c>
      <c r="B51" t="s">
        <v>186</v>
      </c>
      <c r="C51" t="s">
        <v>187</v>
      </c>
      <c r="D51" t="s">
        <v>188</v>
      </c>
      <c r="E51">
        <v>2</v>
      </c>
      <c r="F51" t="str">
        <f>HYPERLINK("https://github.com/AnaelMobilia/NextINpact-Unofficial/issues/124", "show")</f>
        <v>show</v>
      </c>
      <c r="G51" t="str">
        <f>HYPERLINK("https://github.com/AnaelMobilia/NextINpact-Unofficial", "show")</f>
        <v>show</v>
      </c>
      <c r="H51" t="str">
        <f>HYPERLINK("https://github.com/AnaelMobilia/NextINpact-Unofficial/releases", "show")</f>
        <v>show</v>
      </c>
      <c r="I51">
        <v>0</v>
      </c>
      <c r="J51">
        <v>0</v>
      </c>
      <c r="K51">
        <v>1</v>
      </c>
      <c r="L51">
        <v>0</v>
      </c>
      <c r="M51" t="s">
        <v>122</v>
      </c>
    </row>
    <row r="52" spans="1:13" hidden="1" x14ac:dyDescent="0.15">
      <c r="A52" t="s">
        <v>189</v>
      </c>
      <c r="B52" t="s">
        <v>190</v>
      </c>
      <c r="C52" t="s">
        <v>191</v>
      </c>
      <c r="D52" t="s">
        <v>188</v>
      </c>
      <c r="E52">
        <v>0</v>
      </c>
      <c r="F52" t="str">
        <f>HYPERLINK("https://github.com/geftimov/android-pathview/issues/3", "show")</f>
        <v>show</v>
      </c>
      <c r="G52" t="str">
        <f>HYPERLINK("https://github.com/geftimov/android-pathview", "show")</f>
        <v>show</v>
      </c>
      <c r="H52" t="str">
        <f>HYPERLINK("https://github.com/geftimov/android-pathview/releases", "show")</f>
        <v>show</v>
      </c>
      <c r="I52">
        <v>1</v>
      </c>
      <c r="J52">
        <v>0</v>
      </c>
      <c r="K52">
        <v>0</v>
      </c>
      <c r="L52">
        <v>0</v>
      </c>
      <c r="M52" t="s">
        <v>17</v>
      </c>
    </row>
    <row r="53" spans="1:13" hidden="1" x14ac:dyDescent="0.15">
      <c r="A53" t="s">
        <v>192</v>
      </c>
      <c r="B53" t="s">
        <v>193</v>
      </c>
      <c r="C53" t="s">
        <v>194</v>
      </c>
      <c r="D53" t="s">
        <v>188</v>
      </c>
      <c r="E53">
        <v>1</v>
      </c>
      <c r="F53" t="str">
        <f>HYPERLINK("https://github.com/CellularPrivacy/Android-IMSI-Catcher-Detector/issues/299", "show")</f>
        <v>show</v>
      </c>
      <c r="G53" t="str">
        <f>HYPERLINK("https://github.com/CellularPrivacy/Android-IMSI-Catcher-Detector", "show")</f>
        <v>show</v>
      </c>
      <c r="H53" t="str">
        <f>HYPERLINK("https://github.com/CellularPrivacy/Android-IMSI-Catcher-Detector/releases", "show")</f>
        <v>show</v>
      </c>
      <c r="I53">
        <v>1</v>
      </c>
      <c r="J53">
        <v>0</v>
      </c>
      <c r="K53">
        <v>0</v>
      </c>
      <c r="L53">
        <v>0</v>
      </c>
      <c r="M53" t="s">
        <v>17</v>
      </c>
    </row>
    <row r="54" spans="1:13" hidden="1" x14ac:dyDescent="0.15">
      <c r="A54" t="s">
        <v>195</v>
      </c>
      <c r="B54" t="s">
        <v>196</v>
      </c>
      <c r="C54" t="s">
        <v>197</v>
      </c>
      <c r="D54" t="s">
        <v>198</v>
      </c>
      <c r="E54">
        <v>1</v>
      </c>
      <c r="F54" t="str">
        <f>HYPERLINK("https://github.com/cgeo/cgeo/issues/4634", "show")</f>
        <v>show</v>
      </c>
      <c r="G54" t="str">
        <f>HYPERLINK("https://github.com/cgeo/cgeo", "show")</f>
        <v>show</v>
      </c>
      <c r="H54" t="str">
        <f>HYPERLINK("https://github.com/cgeo/cgeo/releases", "show")</f>
        <v>show</v>
      </c>
      <c r="I54">
        <v>1</v>
      </c>
      <c r="J54">
        <v>0</v>
      </c>
      <c r="K54">
        <v>1</v>
      </c>
      <c r="L54">
        <v>0</v>
      </c>
      <c r="M54" t="s">
        <v>64</v>
      </c>
    </row>
    <row r="55" spans="1:13" hidden="1" x14ac:dyDescent="0.15">
      <c r="A55" t="s">
        <v>199</v>
      </c>
      <c r="B55" t="s">
        <v>200</v>
      </c>
      <c r="C55" t="s">
        <v>201</v>
      </c>
      <c r="D55" t="s">
        <v>198</v>
      </c>
      <c r="E55">
        <v>0</v>
      </c>
      <c r="F55" t="str">
        <f>HYPERLINK("https://github.com/thecosmicfrog/LuasataGlance/issues/6", "show")</f>
        <v>show</v>
      </c>
      <c r="G55" t="str">
        <f>HYPERLINK("https://github.com/thecosmicfrog/LuasataGlance", "show")</f>
        <v>show</v>
      </c>
      <c r="H55" t="str">
        <f>HYPERLINK("https://github.com/thecosmicfrog/LuasataGlance/releases", "show")</f>
        <v>show</v>
      </c>
      <c r="I55">
        <v>1</v>
      </c>
      <c r="J55">
        <v>0</v>
      </c>
      <c r="K55">
        <v>0</v>
      </c>
      <c r="L55">
        <v>0</v>
      </c>
      <c r="M55" t="s">
        <v>17</v>
      </c>
    </row>
    <row r="56" spans="1:13" x14ac:dyDescent="0.15">
      <c r="A56" t="s">
        <v>202</v>
      </c>
      <c r="B56" t="s">
        <v>203</v>
      </c>
      <c r="C56" t="s">
        <v>204</v>
      </c>
      <c r="D56" t="s">
        <v>198</v>
      </c>
      <c r="E56">
        <v>0</v>
      </c>
      <c r="F56" t="str">
        <f>HYPERLINK("https://github.com/CellularPrivacy/Android-IMSI-Catcher-Detector/issues/300", "show")</f>
        <v>show</v>
      </c>
      <c r="G56" t="str">
        <f>HYPERLINK("https://github.com/CellularPrivacy/Android-IMSI-Catcher-Detector", "show")</f>
        <v>show</v>
      </c>
      <c r="H56" t="str">
        <f>HYPERLINK("https://github.com/CellularPrivacy/Android-IMSI-Catcher-Detector/releases", "show")</f>
        <v>show</v>
      </c>
      <c r="I56">
        <v>0</v>
      </c>
      <c r="J56">
        <v>1</v>
      </c>
      <c r="K56">
        <v>0</v>
      </c>
      <c r="L56">
        <v>0</v>
      </c>
      <c r="M56" t="s">
        <v>139</v>
      </c>
    </row>
    <row r="57" spans="1:13" hidden="1" x14ac:dyDescent="0.15">
      <c r="A57" t="s">
        <v>205</v>
      </c>
      <c r="B57" t="s">
        <v>206</v>
      </c>
      <c r="C57" t="s">
        <v>207</v>
      </c>
      <c r="D57" t="s">
        <v>208</v>
      </c>
      <c r="E57">
        <v>21</v>
      </c>
      <c r="F57" t="str">
        <f>HYPERLINK("https://github.com/eugenkiss/chanobol/issues/79", "show")</f>
        <v>show</v>
      </c>
      <c r="G57" t="str">
        <f>HYPERLINK("https://github.com/eugenkiss/chanobol", "show")</f>
        <v>show</v>
      </c>
      <c r="H57" t="str">
        <f>HYPERLINK("https://github.com/eugenkiss/chanobol/releases", "show")</f>
        <v>show</v>
      </c>
      <c r="I57">
        <v>0</v>
      </c>
      <c r="J57">
        <v>0</v>
      </c>
      <c r="K57">
        <v>1</v>
      </c>
      <c r="L57">
        <v>0</v>
      </c>
      <c r="M57" t="s">
        <v>122</v>
      </c>
    </row>
    <row r="58" spans="1:13" hidden="1" x14ac:dyDescent="0.15">
      <c r="A58" t="s">
        <v>209</v>
      </c>
      <c r="B58" t="s">
        <v>210</v>
      </c>
      <c r="C58" t="s">
        <v>211</v>
      </c>
      <c r="D58" t="s">
        <v>212</v>
      </c>
      <c r="E58">
        <v>1</v>
      </c>
      <c r="F58" t="str">
        <f>HYPERLINK("https://github.com/code-troopers/android-betterpickers/issues/139", "show")</f>
        <v>show</v>
      </c>
      <c r="G58" t="str">
        <f>HYPERLINK("https://github.com/code-troopers/android-betterpickers", "show")</f>
        <v>show</v>
      </c>
      <c r="H58" t="str">
        <f>HYPERLINK("https://github.com/code-troopers/android-betterpickers/releases", "show")</f>
        <v>show</v>
      </c>
      <c r="I58">
        <v>0</v>
      </c>
      <c r="J58">
        <v>0</v>
      </c>
      <c r="K58">
        <v>0</v>
      </c>
      <c r="L58">
        <v>0</v>
      </c>
      <c r="M58" t="s">
        <v>43</v>
      </c>
    </row>
    <row r="59" spans="1:13" hidden="1" x14ac:dyDescent="0.15">
      <c r="A59" t="s">
        <v>213</v>
      </c>
      <c r="B59" t="s">
        <v>214</v>
      </c>
      <c r="C59" t="s">
        <v>215</v>
      </c>
      <c r="D59" t="s">
        <v>216</v>
      </c>
      <c r="E59">
        <v>23</v>
      </c>
      <c r="F59" t="str">
        <f>HYPERLINK("https://github.com/google/physical-web/issues/278", "show")</f>
        <v>show</v>
      </c>
      <c r="G59" t="str">
        <f>HYPERLINK("https://github.com/google/physical-web", "show")</f>
        <v>show</v>
      </c>
      <c r="H59" t="str">
        <f>HYPERLINK("https://github.com/google/physical-web/releases", "show")</f>
        <v>show</v>
      </c>
      <c r="I59">
        <v>1</v>
      </c>
      <c r="J59">
        <v>0</v>
      </c>
      <c r="K59">
        <v>0</v>
      </c>
      <c r="L59">
        <v>0</v>
      </c>
      <c r="M59" t="s">
        <v>17</v>
      </c>
    </row>
    <row r="60" spans="1:13" hidden="1" x14ac:dyDescent="0.15">
      <c r="A60" t="s">
        <v>217</v>
      </c>
      <c r="B60" t="s">
        <v>218</v>
      </c>
      <c r="C60" t="s">
        <v>219</v>
      </c>
      <c r="D60" t="s">
        <v>216</v>
      </c>
      <c r="E60">
        <v>0</v>
      </c>
      <c r="F60" t="str">
        <f>HYPERLINK("https://github.com/eugenkiss/chanobol/issues/81", "show")</f>
        <v>show</v>
      </c>
      <c r="G60" t="str">
        <f>HYPERLINK("https://github.com/eugenkiss/chanobol", "show")</f>
        <v>show</v>
      </c>
      <c r="H60" t="str">
        <f>HYPERLINK("https://github.com/eugenkiss/chanobol/releases", "show")</f>
        <v>show</v>
      </c>
      <c r="I60">
        <v>0</v>
      </c>
      <c r="J60">
        <v>0</v>
      </c>
      <c r="K60">
        <v>1</v>
      </c>
      <c r="L60">
        <v>0</v>
      </c>
      <c r="M60" t="s">
        <v>122</v>
      </c>
    </row>
    <row r="61" spans="1:13" hidden="1" x14ac:dyDescent="0.15">
      <c r="A61" t="s">
        <v>220</v>
      </c>
      <c r="B61" t="s">
        <v>221</v>
      </c>
      <c r="C61" t="s">
        <v>222</v>
      </c>
      <c r="D61" t="s">
        <v>216</v>
      </c>
      <c r="E61">
        <v>40</v>
      </c>
      <c r="F61" t="str">
        <f>HYPERLINK("https://github.com/smartdevicelink/sdl_java_suite/issues/86", "show")</f>
        <v>show</v>
      </c>
      <c r="G61" t="str">
        <f>HYPERLINK("https://github.com/smartdevicelink/sdl_java_suite", "show")</f>
        <v>show</v>
      </c>
      <c r="H61" t="str">
        <f>HYPERLINK("https://github.com/smartdevicelink/sdl_java_suite/releases", "show")</f>
        <v>show</v>
      </c>
      <c r="I61">
        <v>0</v>
      </c>
      <c r="J61">
        <v>0</v>
      </c>
      <c r="K61">
        <v>0</v>
      </c>
      <c r="L61">
        <v>0</v>
      </c>
      <c r="M61" t="s">
        <v>43</v>
      </c>
    </row>
    <row r="62" spans="1:13" hidden="1" x14ac:dyDescent="0.15">
      <c r="A62" t="s">
        <v>223</v>
      </c>
      <c r="B62" t="s">
        <v>224</v>
      </c>
      <c r="C62" t="s">
        <v>225</v>
      </c>
      <c r="D62" t="s">
        <v>226</v>
      </c>
      <c r="E62">
        <v>20</v>
      </c>
      <c r="F62" t="str">
        <f>HYPERLINK("https://github.com/eugenkiss/chanobol/issues/84", "show")</f>
        <v>show</v>
      </c>
      <c r="G62" t="str">
        <f>HYPERLINK("https://github.com/eugenkiss/chanobol", "show")</f>
        <v>show</v>
      </c>
      <c r="H62" t="str">
        <f>HYPERLINK("https://github.com/eugenkiss/chanobol/releases", "show")</f>
        <v>show</v>
      </c>
      <c r="I62">
        <v>0</v>
      </c>
      <c r="J62">
        <v>0</v>
      </c>
      <c r="K62">
        <v>1</v>
      </c>
      <c r="L62">
        <v>0</v>
      </c>
      <c r="M62" t="s">
        <v>122</v>
      </c>
    </row>
    <row r="63" spans="1:13" hidden="1" x14ac:dyDescent="0.15">
      <c r="A63" t="s">
        <v>227</v>
      </c>
      <c r="B63" t="s">
        <v>228</v>
      </c>
      <c r="C63" t="s">
        <v>229</v>
      </c>
      <c r="D63" t="s">
        <v>226</v>
      </c>
      <c r="E63">
        <v>18</v>
      </c>
      <c r="F63" t="str">
        <f>HYPERLINK("https://github.com/Frank-Zhu/PullZoomView/issues/10", "show")</f>
        <v>show</v>
      </c>
      <c r="G63" t="str">
        <f>HYPERLINK("https://github.com/Frank-Zhu/PullZoomView", "show")</f>
        <v>show</v>
      </c>
      <c r="H63" t="str">
        <f>HYPERLINK("https://github.com/Frank-Zhu/PullZoomView/releases", "show")</f>
        <v>show</v>
      </c>
      <c r="I63">
        <v>1</v>
      </c>
      <c r="J63">
        <v>0</v>
      </c>
      <c r="K63">
        <v>0</v>
      </c>
      <c r="L63">
        <v>0</v>
      </c>
      <c r="M63" t="s">
        <v>17</v>
      </c>
    </row>
    <row r="64" spans="1:13" hidden="1" x14ac:dyDescent="0.15">
      <c r="A64" t="s">
        <v>230</v>
      </c>
      <c r="B64" t="s">
        <v>231</v>
      </c>
      <c r="C64" t="s">
        <v>232</v>
      </c>
      <c r="D64" t="s">
        <v>233</v>
      </c>
      <c r="E64">
        <v>877</v>
      </c>
      <c r="F64" t="str">
        <f>HYPERLINK("https://github.com/mit-cml/appinventor-sources/issues/236", "show")</f>
        <v>show</v>
      </c>
      <c r="G64" t="str">
        <f>HYPERLINK("https://github.com/mit-cml/appinventor-sources", "show")</f>
        <v>show</v>
      </c>
      <c r="H64" t="str">
        <f>HYPERLINK("https://github.com/mit-cml/appinventor-sources/releases", "show")</f>
        <v>show</v>
      </c>
      <c r="I64">
        <v>1</v>
      </c>
      <c r="J64">
        <v>0</v>
      </c>
      <c r="K64">
        <v>0</v>
      </c>
      <c r="L64">
        <v>0</v>
      </c>
      <c r="M64" t="s">
        <v>17</v>
      </c>
    </row>
    <row r="65" spans="1:13" hidden="1" x14ac:dyDescent="0.15">
      <c r="A65" t="s">
        <v>234</v>
      </c>
      <c r="B65" t="s">
        <v>235</v>
      </c>
      <c r="C65" t="s">
        <v>236</v>
      </c>
      <c r="D65" t="s">
        <v>233</v>
      </c>
      <c r="E65">
        <v>24</v>
      </c>
      <c r="F65" t="str">
        <f>HYPERLINK("https://github.com/smartdevicelink/sdl_java_suite/issues/91", "show")</f>
        <v>show</v>
      </c>
      <c r="G65" t="str">
        <f>HYPERLINK("https://github.com/smartdevicelink/sdl_java_suite", "show")</f>
        <v>show</v>
      </c>
      <c r="H65" t="str">
        <f>HYPERLINK("https://github.com/smartdevicelink/sdl_java_suite/releases", "show")</f>
        <v>show</v>
      </c>
      <c r="I65">
        <v>0</v>
      </c>
      <c r="J65">
        <v>0</v>
      </c>
      <c r="K65">
        <v>0</v>
      </c>
      <c r="L65">
        <v>0</v>
      </c>
      <c r="M65" t="s">
        <v>43</v>
      </c>
    </row>
    <row r="66" spans="1:13" hidden="1" x14ac:dyDescent="0.15">
      <c r="A66" t="s">
        <v>237</v>
      </c>
      <c r="B66" t="s">
        <v>238</v>
      </c>
      <c r="C66" t="s">
        <v>239</v>
      </c>
      <c r="D66" t="s">
        <v>240</v>
      </c>
      <c r="E66">
        <v>2</v>
      </c>
      <c r="F66" t="str">
        <f>HYPERLINK("https://github.com/citiususc/calendula/issues/16", "show")</f>
        <v>show</v>
      </c>
      <c r="G66" t="str">
        <f>HYPERLINK("https://github.com/citiususc/calendula", "show")</f>
        <v>show</v>
      </c>
      <c r="H66" t="str">
        <f>HYPERLINK("https://github.com/citiususc/calendula/releases", "show")</f>
        <v>show</v>
      </c>
      <c r="I66">
        <v>1</v>
      </c>
      <c r="J66">
        <v>0</v>
      </c>
      <c r="K66">
        <v>0</v>
      </c>
      <c r="L66">
        <v>0</v>
      </c>
      <c r="M66" t="s">
        <v>17</v>
      </c>
    </row>
    <row r="67" spans="1:13" hidden="1" x14ac:dyDescent="0.15">
      <c r="A67" t="s">
        <v>241</v>
      </c>
      <c r="B67" t="s">
        <v>242</v>
      </c>
      <c r="C67" t="s">
        <v>243</v>
      </c>
      <c r="D67" t="s">
        <v>240</v>
      </c>
      <c r="E67">
        <v>98</v>
      </c>
      <c r="F67" t="str">
        <f>HYPERLINK("https://github.com/libgdx/libgdx/issues/2791", "show")</f>
        <v>show</v>
      </c>
      <c r="G67" t="str">
        <f>HYPERLINK("https://github.com/libgdx/libgdx", "show")</f>
        <v>show</v>
      </c>
      <c r="H67" t="str">
        <f>HYPERLINK("https://github.com/libgdx/libgdx/releases", "show")</f>
        <v>show</v>
      </c>
      <c r="I67">
        <v>1</v>
      </c>
      <c r="J67">
        <v>0</v>
      </c>
      <c r="K67">
        <v>0</v>
      </c>
      <c r="L67">
        <v>0</v>
      </c>
      <c r="M67" t="s">
        <v>17</v>
      </c>
    </row>
    <row r="68" spans="1:13" hidden="1" x14ac:dyDescent="0.15">
      <c r="A68" t="s">
        <v>244</v>
      </c>
      <c r="B68" t="s">
        <v>245</v>
      </c>
      <c r="C68" t="s">
        <v>246</v>
      </c>
      <c r="D68" t="s">
        <v>240</v>
      </c>
      <c r="E68">
        <v>3</v>
      </c>
      <c r="F68" t="str">
        <f>HYPERLINK("https://github.com/libgdx/libgdx/issues/2790", "show")</f>
        <v>show</v>
      </c>
      <c r="G68" t="str">
        <f>HYPERLINK("https://github.com/libgdx/libgdx", "show")</f>
        <v>show</v>
      </c>
      <c r="H68" t="str">
        <f>HYPERLINK("https://github.com/libgdx/libgdx/releases", "show")</f>
        <v>show</v>
      </c>
      <c r="I68">
        <v>1</v>
      </c>
      <c r="J68">
        <v>0</v>
      </c>
      <c r="K68">
        <v>1</v>
      </c>
      <c r="L68">
        <v>0</v>
      </c>
      <c r="M68" t="s">
        <v>64</v>
      </c>
    </row>
    <row r="69" spans="1:13" hidden="1" x14ac:dyDescent="0.15">
      <c r="A69" t="s">
        <v>247</v>
      </c>
      <c r="B69" t="s">
        <v>248</v>
      </c>
      <c r="C69" t="s">
        <v>249</v>
      </c>
      <c r="D69" t="s">
        <v>250</v>
      </c>
      <c r="E69">
        <v>7</v>
      </c>
      <c r="F69" t="str">
        <f>HYPERLINK("https://github.com/libgdx/libgdx/issues/2800", "show")</f>
        <v>show</v>
      </c>
      <c r="G69" t="str">
        <f>HYPERLINK("https://github.com/libgdx/libgdx", "show")</f>
        <v>show</v>
      </c>
      <c r="H69" t="str">
        <f>HYPERLINK("https://github.com/libgdx/libgdx/releases", "show")</f>
        <v>show</v>
      </c>
      <c r="I69">
        <v>1</v>
      </c>
      <c r="J69">
        <v>0</v>
      </c>
      <c r="K69">
        <v>0</v>
      </c>
      <c r="L69">
        <v>0</v>
      </c>
      <c r="M69" t="s">
        <v>17</v>
      </c>
    </row>
    <row r="70" spans="1:13" hidden="1" x14ac:dyDescent="0.15">
      <c r="A70" t="s">
        <v>251</v>
      </c>
      <c r="B70" t="s">
        <v>252</v>
      </c>
      <c r="C70" t="s">
        <v>253</v>
      </c>
      <c r="D70" t="s">
        <v>250</v>
      </c>
      <c r="E70">
        <v>0</v>
      </c>
      <c r="F70" t="str">
        <f>HYPERLINK("https://github.com/the-blue-alliance/the-blue-alliance-android/issues/309", "show")</f>
        <v>show</v>
      </c>
      <c r="G70" t="str">
        <f>HYPERLINK("https://github.com/the-blue-alliance/the-blue-alliance-android", "show")</f>
        <v>show</v>
      </c>
      <c r="H70" t="str">
        <f>HYPERLINK("https://github.com/the-blue-alliance/the-blue-alliance-android/releases", "show")</f>
        <v>show</v>
      </c>
      <c r="I70">
        <v>0</v>
      </c>
      <c r="J70">
        <v>0</v>
      </c>
      <c r="K70">
        <v>1</v>
      </c>
      <c r="L70">
        <v>0</v>
      </c>
      <c r="M70" t="s">
        <v>122</v>
      </c>
    </row>
    <row r="71" spans="1:13" hidden="1" x14ac:dyDescent="0.15">
      <c r="A71" t="s">
        <v>254</v>
      </c>
      <c r="B71" t="s">
        <v>255</v>
      </c>
      <c r="C71" t="s">
        <v>253</v>
      </c>
      <c r="D71" t="s">
        <v>250</v>
      </c>
      <c r="E71">
        <v>0</v>
      </c>
      <c r="F71" t="str">
        <f>HYPERLINK("https://github.com/the-blue-alliance/the-blue-alliance-android/issues/308", "show")</f>
        <v>show</v>
      </c>
      <c r="G71" t="str">
        <f>HYPERLINK("https://github.com/the-blue-alliance/the-blue-alliance-android", "show")</f>
        <v>show</v>
      </c>
      <c r="H71" t="str">
        <f>HYPERLINK("https://github.com/the-blue-alliance/the-blue-alliance-android/releases", "show")</f>
        <v>show</v>
      </c>
      <c r="I71">
        <v>0</v>
      </c>
      <c r="J71">
        <v>0</v>
      </c>
      <c r="K71">
        <v>1</v>
      </c>
      <c r="L71">
        <v>0</v>
      </c>
      <c r="M71" t="s">
        <v>122</v>
      </c>
    </row>
    <row r="72" spans="1:13" hidden="1" x14ac:dyDescent="0.15">
      <c r="A72" t="s">
        <v>256</v>
      </c>
      <c r="B72" t="s">
        <v>257</v>
      </c>
      <c r="C72" t="s">
        <v>258</v>
      </c>
      <c r="D72" t="s">
        <v>250</v>
      </c>
      <c r="E72">
        <v>0</v>
      </c>
      <c r="F72" t="str">
        <f>HYPERLINK("https://github.com/the-blue-alliance/the-blue-alliance-android/issues/307", "show")</f>
        <v>show</v>
      </c>
      <c r="G72" t="str">
        <f>HYPERLINK("https://github.com/the-blue-alliance/the-blue-alliance-android", "show")</f>
        <v>show</v>
      </c>
      <c r="H72" t="str">
        <f>HYPERLINK("https://github.com/the-blue-alliance/the-blue-alliance-android/releases", "show")</f>
        <v>show</v>
      </c>
      <c r="I72">
        <v>0</v>
      </c>
      <c r="J72">
        <v>0</v>
      </c>
      <c r="K72">
        <v>1</v>
      </c>
      <c r="L72">
        <v>0</v>
      </c>
      <c r="M72" t="s">
        <v>122</v>
      </c>
    </row>
    <row r="73" spans="1:13" hidden="1" x14ac:dyDescent="0.15">
      <c r="A73" t="s">
        <v>259</v>
      </c>
      <c r="B73" t="s">
        <v>260</v>
      </c>
      <c r="C73" t="s">
        <v>253</v>
      </c>
      <c r="D73" t="s">
        <v>250</v>
      </c>
      <c r="E73">
        <v>0</v>
      </c>
      <c r="F73" t="str">
        <f>HYPERLINK("https://github.com/the-blue-alliance/the-blue-alliance-android/issues/306", "show")</f>
        <v>show</v>
      </c>
      <c r="G73" t="str">
        <f>HYPERLINK("https://github.com/the-blue-alliance/the-blue-alliance-android", "show")</f>
        <v>show</v>
      </c>
      <c r="H73" t="str">
        <f>HYPERLINK("https://github.com/the-blue-alliance/the-blue-alliance-android/releases", "show")</f>
        <v>show</v>
      </c>
      <c r="I73">
        <v>0</v>
      </c>
      <c r="J73">
        <v>0</v>
      </c>
      <c r="K73">
        <v>1</v>
      </c>
      <c r="L73">
        <v>0</v>
      </c>
      <c r="M73" t="s">
        <v>122</v>
      </c>
    </row>
    <row r="74" spans="1:13" hidden="1" x14ac:dyDescent="0.15">
      <c r="A74" t="s">
        <v>261</v>
      </c>
      <c r="B74" t="s">
        <v>262</v>
      </c>
      <c r="C74" t="s">
        <v>263</v>
      </c>
      <c r="D74" t="s">
        <v>250</v>
      </c>
      <c r="E74">
        <v>0</v>
      </c>
      <c r="F74" t="str">
        <f>HYPERLINK("https://github.com/cforlando/bike-orlando-android/issues/48", "show")</f>
        <v>show</v>
      </c>
      <c r="G74" t="str">
        <f>HYPERLINK("https://github.com/cforlando/bike-orlando-android", "show")</f>
        <v>show</v>
      </c>
      <c r="H74" t="str">
        <f>HYPERLINK("https://github.com/cforlando/bike-orlando-android/releases", "show")</f>
        <v>show</v>
      </c>
      <c r="I74">
        <v>1</v>
      </c>
      <c r="J74">
        <v>0</v>
      </c>
      <c r="K74">
        <v>0</v>
      </c>
      <c r="L74">
        <v>0</v>
      </c>
      <c r="M74" t="s">
        <v>17</v>
      </c>
    </row>
    <row r="75" spans="1:13" hidden="1" x14ac:dyDescent="0.15">
      <c r="A75" t="s">
        <v>264</v>
      </c>
      <c r="B75" t="s">
        <v>265</v>
      </c>
      <c r="C75" t="s">
        <v>266</v>
      </c>
      <c r="D75" t="s">
        <v>250</v>
      </c>
      <c r="E75">
        <v>235</v>
      </c>
      <c r="F75" t="str">
        <f>HYPERLINK("https://github.com/cSploit/android/issues/61", "show")</f>
        <v>show</v>
      </c>
      <c r="G75" t="str">
        <f>HYPERLINK("https://github.com/cSploit/android", "show")</f>
        <v>show</v>
      </c>
      <c r="H75" t="str">
        <f>HYPERLINK("https://github.com/cSploit/android/releases", "show")</f>
        <v>show</v>
      </c>
      <c r="I75">
        <v>1</v>
      </c>
      <c r="J75">
        <v>0</v>
      </c>
      <c r="K75">
        <v>1</v>
      </c>
      <c r="L75">
        <v>0</v>
      </c>
      <c r="M75" t="s">
        <v>64</v>
      </c>
    </row>
    <row r="76" spans="1:13" hidden="1" x14ac:dyDescent="0.15">
      <c r="A76" t="s">
        <v>267</v>
      </c>
      <c r="B76" t="s">
        <v>268</v>
      </c>
      <c r="C76" t="s">
        <v>269</v>
      </c>
      <c r="D76" t="s">
        <v>270</v>
      </c>
      <c r="E76">
        <v>767</v>
      </c>
      <c r="F76" t="str">
        <f>HYPERLINK("https://github.com/wallabag/android-app/issues/75", "show")</f>
        <v>show</v>
      </c>
      <c r="G76" t="str">
        <f>HYPERLINK("https://github.com/wallabag/android-app", "show")</f>
        <v>show</v>
      </c>
      <c r="H76" t="str">
        <f>HYPERLINK("https://github.com/wallabag/android-app/releases", "show")</f>
        <v>show</v>
      </c>
      <c r="I76">
        <v>1</v>
      </c>
      <c r="J76">
        <v>0</v>
      </c>
      <c r="K76">
        <v>0</v>
      </c>
      <c r="L76">
        <v>0</v>
      </c>
      <c r="M76" t="s">
        <v>17</v>
      </c>
    </row>
    <row r="77" spans="1:13" hidden="1" x14ac:dyDescent="0.15">
      <c r="A77" t="s">
        <v>271</v>
      </c>
      <c r="B77" t="s">
        <v>272</v>
      </c>
      <c r="C77" t="s">
        <v>273</v>
      </c>
      <c r="D77" t="s">
        <v>270</v>
      </c>
      <c r="E77">
        <v>57</v>
      </c>
      <c r="F77" t="str">
        <f>HYPERLINK("https://github.com/SafeSlingerProject/SafeSlinger-Android/issues/99", "show")</f>
        <v>show</v>
      </c>
      <c r="G77" t="str">
        <f>HYPERLINK("https://github.com/SafeSlingerProject/SafeSlinger-Android", "show")</f>
        <v>show</v>
      </c>
      <c r="H77" t="str">
        <f>HYPERLINK("https://github.com/SafeSlingerProject/SafeSlinger-Android/releases", "show")</f>
        <v>show</v>
      </c>
      <c r="I77">
        <v>0</v>
      </c>
      <c r="J77">
        <v>0</v>
      </c>
      <c r="K77">
        <v>0</v>
      </c>
      <c r="L77">
        <v>0</v>
      </c>
      <c r="M77" t="s">
        <v>43</v>
      </c>
    </row>
    <row r="78" spans="1:13" hidden="1" x14ac:dyDescent="0.15">
      <c r="A78" t="s">
        <v>274</v>
      </c>
      <c r="B78" t="s">
        <v>275</v>
      </c>
      <c r="C78" t="s">
        <v>276</v>
      </c>
      <c r="D78" t="s">
        <v>270</v>
      </c>
      <c r="E78">
        <v>0</v>
      </c>
      <c r="F78" t="str">
        <f>HYPERLINK("https://github.com/cgeo/cgeo/issues/4651", "show")</f>
        <v>show</v>
      </c>
      <c r="G78" t="str">
        <f>HYPERLINK("https://github.com/cgeo/cgeo", "show")</f>
        <v>show</v>
      </c>
      <c r="H78" t="str">
        <f>HYPERLINK("https://github.com/cgeo/cgeo/releases", "show")</f>
        <v>show</v>
      </c>
      <c r="I78">
        <v>1</v>
      </c>
      <c r="J78">
        <v>0</v>
      </c>
      <c r="K78">
        <v>0</v>
      </c>
      <c r="L78">
        <v>0</v>
      </c>
      <c r="M78" t="s">
        <v>17</v>
      </c>
    </row>
    <row r="79" spans="1:13" hidden="1" x14ac:dyDescent="0.15">
      <c r="A79" t="s">
        <v>277</v>
      </c>
      <c r="B79" t="s">
        <v>278</v>
      </c>
      <c r="C79" t="s">
        <v>279</v>
      </c>
      <c r="D79" t="s">
        <v>270</v>
      </c>
      <c r="E79">
        <v>13</v>
      </c>
      <c r="F79" t="str">
        <f>HYPERLINK("https://github.com/cgeo/cgeo/issues/4647", "show")</f>
        <v>show</v>
      </c>
      <c r="G79" t="str">
        <f>HYPERLINK("https://github.com/cgeo/cgeo", "show")</f>
        <v>show</v>
      </c>
      <c r="H79" t="str">
        <f>HYPERLINK("https://github.com/cgeo/cgeo/releases", "show")</f>
        <v>show</v>
      </c>
      <c r="I79">
        <v>1</v>
      </c>
      <c r="J79">
        <v>0</v>
      </c>
      <c r="K79">
        <v>0</v>
      </c>
      <c r="L79">
        <v>0</v>
      </c>
      <c r="M79" t="s">
        <v>17</v>
      </c>
    </row>
    <row r="80" spans="1:13" hidden="1" x14ac:dyDescent="0.15">
      <c r="A80" t="s">
        <v>280</v>
      </c>
      <c r="B80" t="s">
        <v>281</v>
      </c>
      <c r="D80" t="s">
        <v>270</v>
      </c>
      <c r="E80">
        <v>0</v>
      </c>
      <c r="F80" t="str">
        <f>HYPERLINK("https://github.com/citiususc/calendula/issues/17", "show")</f>
        <v>show</v>
      </c>
      <c r="G80" t="str">
        <f>HYPERLINK("https://github.com/citiususc/calendula", "show")</f>
        <v>show</v>
      </c>
      <c r="H80" t="str">
        <f>HYPERLINK("https://github.com/citiususc/calendula/releases", "show")</f>
        <v>show</v>
      </c>
      <c r="I80">
        <v>1</v>
      </c>
      <c r="J80">
        <v>0</v>
      </c>
      <c r="K80">
        <v>0</v>
      </c>
      <c r="L80">
        <v>0</v>
      </c>
      <c r="M80" t="s">
        <v>17</v>
      </c>
    </row>
    <row r="81" spans="1:13" hidden="1" x14ac:dyDescent="0.15">
      <c r="A81" t="s">
        <v>282</v>
      </c>
      <c r="B81" t="s">
        <v>283</v>
      </c>
      <c r="C81" t="s">
        <v>284</v>
      </c>
      <c r="D81" t="s">
        <v>285</v>
      </c>
      <c r="E81">
        <v>13</v>
      </c>
      <c r="F81" t="str">
        <f>HYPERLINK("https://github.com/h6ah4i/android-openslmediaplayer/issues/4", "show")</f>
        <v>show</v>
      </c>
      <c r="G81" t="str">
        <f>HYPERLINK("https://github.com/h6ah4i/android-openslmediaplayer", "show")</f>
        <v>show</v>
      </c>
      <c r="H81" t="str">
        <f>HYPERLINK("https://github.com/h6ah4i/android-openslmediaplayer/releases", "show")</f>
        <v>show</v>
      </c>
      <c r="I81">
        <v>1</v>
      </c>
      <c r="J81">
        <v>0</v>
      </c>
      <c r="K81">
        <v>0</v>
      </c>
      <c r="L81">
        <v>0</v>
      </c>
      <c r="M81" t="s">
        <v>17</v>
      </c>
    </row>
    <row r="82" spans="1:13" hidden="1" x14ac:dyDescent="0.15">
      <c r="A82" t="s">
        <v>286</v>
      </c>
      <c r="B82" t="s">
        <v>287</v>
      </c>
      <c r="C82" t="s">
        <v>288</v>
      </c>
      <c r="D82" t="s">
        <v>285</v>
      </c>
      <c r="E82">
        <v>96</v>
      </c>
      <c r="F82" t="str">
        <f>HYPERLINK("https://github.com/h6ah4i/android-advancedrecyclerview/issues/3", "show")</f>
        <v>show</v>
      </c>
      <c r="G82" t="str">
        <f>HYPERLINK("https://github.com/h6ah4i/android-advancedrecyclerview", "show")</f>
        <v>show</v>
      </c>
      <c r="H82" t="str">
        <f>HYPERLINK("https://github.com/h6ah4i/android-advancedrecyclerview/releases", "show")</f>
        <v>show</v>
      </c>
      <c r="I82">
        <v>1</v>
      </c>
      <c r="J82">
        <v>0</v>
      </c>
      <c r="K82">
        <v>1</v>
      </c>
      <c r="L82">
        <v>0</v>
      </c>
      <c r="M82" t="s">
        <v>64</v>
      </c>
    </row>
    <row r="83" spans="1:13" hidden="1" x14ac:dyDescent="0.15">
      <c r="A83" t="s">
        <v>289</v>
      </c>
      <c r="B83" t="s">
        <v>290</v>
      </c>
      <c r="C83" t="s">
        <v>291</v>
      </c>
      <c r="D83" t="s">
        <v>285</v>
      </c>
      <c r="E83">
        <v>1</v>
      </c>
      <c r="F83" t="str">
        <f>HYPERLINK("https://github.com/the-blue-alliance/the-blue-alliance-android/issues/311", "show")</f>
        <v>show</v>
      </c>
      <c r="G83" t="str">
        <f>HYPERLINK("https://github.com/the-blue-alliance/the-blue-alliance-android", "show")</f>
        <v>show</v>
      </c>
      <c r="H83" t="str">
        <f>HYPERLINK("https://github.com/the-blue-alliance/the-blue-alliance-android/releases", "show")</f>
        <v>show</v>
      </c>
      <c r="I83">
        <v>0</v>
      </c>
      <c r="J83">
        <v>0</v>
      </c>
      <c r="K83">
        <v>1</v>
      </c>
      <c r="L83">
        <v>0</v>
      </c>
      <c r="M83" t="s">
        <v>122</v>
      </c>
    </row>
    <row r="84" spans="1:13" hidden="1" x14ac:dyDescent="0.15">
      <c r="A84" t="s">
        <v>292</v>
      </c>
      <c r="B84" t="s">
        <v>293</v>
      </c>
      <c r="C84" t="s">
        <v>294</v>
      </c>
      <c r="D84" t="s">
        <v>295</v>
      </c>
      <c r="E84">
        <v>87</v>
      </c>
      <c r="F84" t="str">
        <f>HYPERLINK("https://github.com/libgdx/libgdx/issues/2807", "show")</f>
        <v>show</v>
      </c>
      <c r="G84" t="str">
        <f>HYPERLINK("https://github.com/libgdx/libgdx", "show")</f>
        <v>show</v>
      </c>
      <c r="H84" t="str">
        <f>HYPERLINK("https://github.com/libgdx/libgdx/releases", "show")</f>
        <v>show</v>
      </c>
      <c r="I84">
        <v>0</v>
      </c>
      <c r="J84">
        <v>0</v>
      </c>
      <c r="K84">
        <v>1</v>
      </c>
      <c r="L84">
        <v>0</v>
      </c>
      <c r="M84" t="s">
        <v>122</v>
      </c>
    </row>
    <row r="85" spans="1:13" x14ac:dyDescent="0.15">
      <c r="A85" t="s">
        <v>296</v>
      </c>
      <c r="B85" t="s">
        <v>297</v>
      </c>
      <c r="C85" t="s">
        <v>298</v>
      </c>
      <c r="D85" t="s">
        <v>299</v>
      </c>
      <c r="E85">
        <v>33</v>
      </c>
      <c r="F85" t="str">
        <f>HYPERLINK("https://github.com/duckduckgo/android-search-and-stories/issues/148", "show")</f>
        <v>show</v>
      </c>
      <c r="G85" t="str">
        <f>HYPERLINK("https://github.com/duckduckgo/android-search-and-stories", "show")</f>
        <v>show</v>
      </c>
      <c r="H85" t="str">
        <f>HYPERLINK("https://github.com/duckduckgo/android-search-and-stories/releases", "show")</f>
        <v>show</v>
      </c>
      <c r="I85">
        <v>0</v>
      </c>
      <c r="J85">
        <v>1</v>
      </c>
      <c r="K85">
        <v>0</v>
      </c>
      <c r="L85">
        <v>0</v>
      </c>
      <c r="M85" t="s">
        <v>139</v>
      </c>
    </row>
    <row r="86" spans="1:13" hidden="1" x14ac:dyDescent="0.15">
      <c r="A86" t="s">
        <v>300</v>
      </c>
      <c r="B86" t="s">
        <v>301</v>
      </c>
      <c r="C86" t="s">
        <v>302</v>
      </c>
      <c r="D86" t="s">
        <v>299</v>
      </c>
      <c r="E86">
        <v>1001</v>
      </c>
      <c r="F86" t="str">
        <f>HYPERLINK("https://github.com/akvo/akvo-flow-mobile/issues/258", "show")</f>
        <v>show</v>
      </c>
      <c r="G86" t="str">
        <f>HYPERLINK("https://github.com/akvo/akvo-flow-mobile", "show")</f>
        <v>show</v>
      </c>
      <c r="H86" t="str">
        <f>HYPERLINK("https://github.com/akvo/akvo-flow-mobile/releases", "show")</f>
        <v>show</v>
      </c>
      <c r="I86">
        <v>1</v>
      </c>
      <c r="J86">
        <v>0</v>
      </c>
      <c r="K86">
        <v>0</v>
      </c>
      <c r="L86">
        <v>0</v>
      </c>
      <c r="M86" t="s">
        <v>17</v>
      </c>
    </row>
    <row r="87" spans="1:13" hidden="1" x14ac:dyDescent="0.15">
      <c r="A87" t="s">
        <v>303</v>
      </c>
      <c r="B87" t="s">
        <v>304</v>
      </c>
      <c r="C87" t="s">
        <v>305</v>
      </c>
      <c r="D87" t="s">
        <v>306</v>
      </c>
      <c r="E87">
        <v>6</v>
      </c>
      <c r="F87" t="str">
        <f>HYPERLINK("https://github.com/unfoldingWord-dev/uw-android/issues/37", "show")</f>
        <v>show</v>
      </c>
      <c r="G87" t="str">
        <f>HYPERLINK("https://github.com/unfoldingWord-dev/uw-android", "show")</f>
        <v>show</v>
      </c>
      <c r="H87" t="str">
        <f>HYPERLINK("https://github.com/unfoldingWord-dev/uw-android/releases", "show")</f>
        <v>show</v>
      </c>
      <c r="I87">
        <v>1</v>
      </c>
      <c r="J87">
        <v>0</v>
      </c>
      <c r="K87">
        <v>0</v>
      </c>
      <c r="L87">
        <v>0</v>
      </c>
      <c r="M87" t="s">
        <v>17</v>
      </c>
    </row>
    <row r="88" spans="1:13" hidden="1" x14ac:dyDescent="0.15">
      <c r="A88" t="s">
        <v>307</v>
      </c>
      <c r="B88" t="s">
        <v>308</v>
      </c>
      <c r="C88" t="s">
        <v>309</v>
      </c>
      <c r="D88" t="s">
        <v>306</v>
      </c>
      <c r="E88">
        <v>8</v>
      </c>
      <c r="F88" t="str">
        <f>HYPERLINK("https://github.com/eugenkiss/chanobol/issues/101", "show")</f>
        <v>show</v>
      </c>
      <c r="G88" t="str">
        <f>HYPERLINK("https://github.com/eugenkiss/chanobol", "show")</f>
        <v>show</v>
      </c>
      <c r="H88" t="str">
        <f>HYPERLINK("https://github.com/eugenkiss/chanobol/releases", "show")</f>
        <v>show</v>
      </c>
      <c r="I88">
        <v>0</v>
      </c>
      <c r="J88">
        <v>0</v>
      </c>
      <c r="K88">
        <v>1</v>
      </c>
      <c r="L88">
        <v>0</v>
      </c>
      <c r="M88" t="s">
        <v>122</v>
      </c>
    </row>
    <row r="89" spans="1:13" hidden="1" x14ac:dyDescent="0.15">
      <c r="A89" t="s">
        <v>310</v>
      </c>
      <c r="B89" t="s">
        <v>311</v>
      </c>
      <c r="C89" t="s">
        <v>312</v>
      </c>
      <c r="D89" t="s">
        <v>306</v>
      </c>
      <c r="E89">
        <v>6</v>
      </c>
      <c r="F89" t="str">
        <f>HYPERLINK("https://github.com/lgallard/qBittorrent-Controller/issues/18", "show")</f>
        <v>show</v>
      </c>
      <c r="G89" t="str">
        <f>HYPERLINK("https://github.com/lgallard/qBittorrent-Controller", "show")</f>
        <v>show</v>
      </c>
      <c r="H89" t="str">
        <f>HYPERLINK("https://github.com/lgallard/qBittorrent-Controller/releases", "show")</f>
        <v>show</v>
      </c>
      <c r="I89">
        <v>1</v>
      </c>
      <c r="J89">
        <v>0</v>
      </c>
      <c r="K89">
        <v>0</v>
      </c>
      <c r="L89">
        <v>0</v>
      </c>
      <c r="M89" t="s">
        <v>17</v>
      </c>
    </row>
    <row r="90" spans="1:13" hidden="1" x14ac:dyDescent="0.15">
      <c r="A90" t="s">
        <v>313</v>
      </c>
      <c r="B90" t="s">
        <v>314</v>
      </c>
      <c r="C90" t="s">
        <v>315</v>
      </c>
      <c r="D90" t="s">
        <v>306</v>
      </c>
      <c r="E90">
        <v>16</v>
      </c>
      <c r="F90" t="str">
        <f>HYPERLINK("https://github.com/zhuowei/Boardwalk/issues/116", "show")</f>
        <v>show</v>
      </c>
      <c r="G90" t="str">
        <f>HYPERLINK("https://github.com/zhuowei/Boardwalk", "show")</f>
        <v>show</v>
      </c>
      <c r="H90" t="str">
        <f>HYPERLINK("https://github.com/zhuowei/Boardwalk/releases", "show")</f>
        <v>show</v>
      </c>
      <c r="I90">
        <v>1</v>
      </c>
      <c r="J90">
        <v>0</v>
      </c>
      <c r="K90">
        <v>1</v>
      </c>
      <c r="L90">
        <v>0</v>
      </c>
      <c r="M90" t="s">
        <v>64</v>
      </c>
    </row>
    <row r="91" spans="1:13" hidden="1" x14ac:dyDescent="0.15">
      <c r="A91" t="s">
        <v>316</v>
      </c>
      <c r="B91" t="s">
        <v>317</v>
      </c>
      <c r="C91" t="s">
        <v>318</v>
      </c>
      <c r="D91" t="s">
        <v>306</v>
      </c>
      <c r="E91">
        <v>2</v>
      </c>
      <c r="F91" t="str">
        <f>HYPERLINK("https://github.com/bumptech/glide/issues/331", "show")</f>
        <v>show</v>
      </c>
      <c r="G91" t="str">
        <f>HYPERLINK("https://github.com/bumptech/glide", "show")</f>
        <v>show</v>
      </c>
      <c r="H91" t="str">
        <f>HYPERLINK("https://github.com/bumptech/glide/releases", "show")</f>
        <v>show</v>
      </c>
      <c r="I91">
        <v>0</v>
      </c>
      <c r="J91">
        <v>0</v>
      </c>
      <c r="K91">
        <v>1</v>
      </c>
      <c r="L91">
        <v>0</v>
      </c>
      <c r="M91" t="s">
        <v>122</v>
      </c>
    </row>
    <row r="92" spans="1:13" hidden="1" x14ac:dyDescent="0.15">
      <c r="A92" t="s">
        <v>319</v>
      </c>
      <c r="B92" t="s">
        <v>320</v>
      </c>
      <c r="C92" t="s">
        <v>321</v>
      </c>
      <c r="D92" t="s">
        <v>306</v>
      </c>
      <c r="E92">
        <v>49</v>
      </c>
      <c r="F92" t="str">
        <f>HYPERLINK("https://github.com/pattch/PicToPoly/issues/5", "show")</f>
        <v>show</v>
      </c>
      <c r="G92" t="str">
        <f>HYPERLINK("https://github.com/pattch/PicToPoly", "show")</f>
        <v>show</v>
      </c>
      <c r="H92" t="str">
        <f>HYPERLINK("https://github.com/pattch/PicToPoly/releases", "show")</f>
        <v>show</v>
      </c>
      <c r="I92">
        <v>1</v>
      </c>
      <c r="J92">
        <v>0</v>
      </c>
      <c r="K92">
        <v>0</v>
      </c>
      <c r="L92">
        <v>0</v>
      </c>
      <c r="M92" t="s">
        <v>17</v>
      </c>
    </row>
    <row r="93" spans="1:13" hidden="1" x14ac:dyDescent="0.15">
      <c r="A93" t="s">
        <v>322</v>
      </c>
      <c r="B93" t="s">
        <v>323</v>
      </c>
      <c r="C93" t="s">
        <v>324</v>
      </c>
      <c r="D93" t="s">
        <v>325</v>
      </c>
      <c r="E93">
        <v>314</v>
      </c>
      <c r="F93" t="str">
        <f>HYPERLINK("https://github.com/unfoldingWord-dev/ts-android/issues/270", "show")</f>
        <v>show</v>
      </c>
      <c r="G93" t="str">
        <f>HYPERLINK("https://github.com/unfoldingWord-dev/ts-android", "show")</f>
        <v>show</v>
      </c>
      <c r="H93" t="str">
        <f>HYPERLINK("https://github.com/unfoldingWord-dev/ts-android/releases", "show")</f>
        <v>show</v>
      </c>
      <c r="I93">
        <v>1</v>
      </c>
      <c r="J93">
        <v>0</v>
      </c>
      <c r="K93">
        <v>1</v>
      </c>
      <c r="L93">
        <v>0</v>
      </c>
      <c r="M93" t="s">
        <v>64</v>
      </c>
    </row>
    <row r="94" spans="1:13" hidden="1" x14ac:dyDescent="0.15">
      <c r="A94" t="s">
        <v>326</v>
      </c>
      <c r="B94" t="s">
        <v>327</v>
      </c>
      <c r="C94" t="s">
        <v>328</v>
      </c>
      <c r="D94" t="s">
        <v>329</v>
      </c>
      <c r="E94">
        <v>57</v>
      </c>
      <c r="F94" t="str">
        <f>HYPERLINK("https://github.com/braintree/braintree_android/issues/20", "show")</f>
        <v>show</v>
      </c>
      <c r="G94" t="str">
        <f>HYPERLINK("https://github.com/braintree/braintree_android", "show")</f>
        <v>show</v>
      </c>
      <c r="H94" t="str">
        <f>HYPERLINK("https://github.com/braintree/braintree_android/releases", "show")</f>
        <v>show</v>
      </c>
      <c r="I94">
        <v>1</v>
      </c>
      <c r="J94">
        <v>0</v>
      </c>
      <c r="K94">
        <v>1</v>
      </c>
      <c r="L94">
        <v>0</v>
      </c>
      <c r="M94" t="s">
        <v>64</v>
      </c>
    </row>
    <row r="95" spans="1:13" hidden="1" x14ac:dyDescent="0.15">
      <c r="A95" t="s">
        <v>330</v>
      </c>
      <c r="B95" t="s">
        <v>331</v>
      </c>
      <c r="C95" t="s">
        <v>332</v>
      </c>
      <c r="D95" t="s">
        <v>329</v>
      </c>
      <c r="E95">
        <v>105</v>
      </c>
      <c r="F95" t="str">
        <f>HYPERLINK("https://github.com/ikarus23/MifareClassicTool/issues/52", "show")</f>
        <v>show</v>
      </c>
      <c r="G95" t="str">
        <f>HYPERLINK("https://github.com/ikarus23/MifareClassicTool", "show")</f>
        <v>show</v>
      </c>
      <c r="H95" t="str">
        <f>HYPERLINK("https://github.com/ikarus23/MifareClassicTool/releases", "show")</f>
        <v>show</v>
      </c>
      <c r="I95">
        <v>1</v>
      </c>
      <c r="J95">
        <v>0</v>
      </c>
      <c r="K95">
        <v>0</v>
      </c>
      <c r="L95">
        <v>0</v>
      </c>
      <c r="M95" t="s">
        <v>17</v>
      </c>
    </row>
    <row r="96" spans="1:13" hidden="1" x14ac:dyDescent="0.15">
      <c r="A96" t="s">
        <v>333</v>
      </c>
      <c r="B96" t="s">
        <v>334</v>
      </c>
      <c r="D96" t="s">
        <v>329</v>
      </c>
      <c r="E96">
        <v>1</v>
      </c>
      <c r="F96" t="str">
        <f>HYPERLINK("https://github.com/prohor33/gimme-collage/issues/28", "show")</f>
        <v>show</v>
      </c>
      <c r="G96" t="str">
        <f>HYPERLINK("https://github.com/prohor33/gimme-collage", "show")</f>
        <v>show</v>
      </c>
      <c r="H96" t="str">
        <f>HYPERLINK("https://github.com/prohor33/gimme-collage/releases", "show")</f>
        <v>show</v>
      </c>
      <c r="I96">
        <v>0</v>
      </c>
      <c r="J96">
        <v>0</v>
      </c>
      <c r="K96">
        <v>0</v>
      </c>
      <c r="L96">
        <v>0</v>
      </c>
      <c r="M96" t="s">
        <v>43</v>
      </c>
    </row>
    <row r="97" spans="1:13" hidden="1" x14ac:dyDescent="0.15">
      <c r="A97" t="s">
        <v>335</v>
      </c>
      <c r="B97" t="s">
        <v>336</v>
      </c>
      <c r="C97" t="s">
        <v>337</v>
      </c>
      <c r="D97" t="s">
        <v>338</v>
      </c>
      <c r="E97">
        <v>18</v>
      </c>
      <c r="F97" t="str">
        <f>HYPERLINK("https://github.com/aikuma/aikuma/issues/388", "show")</f>
        <v>show</v>
      </c>
      <c r="G97" t="str">
        <f>HYPERLINK("https://github.com/aikuma/aikuma", "show")</f>
        <v>show</v>
      </c>
      <c r="H97" t="str">
        <f>HYPERLINK("https://github.com/aikuma/aikuma/releases", "show")</f>
        <v>show</v>
      </c>
      <c r="I97">
        <v>1</v>
      </c>
      <c r="J97">
        <v>0</v>
      </c>
      <c r="K97">
        <v>0</v>
      </c>
      <c r="L97">
        <v>0</v>
      </c>
      <c r="M97" t="s">
        <v>17</v>
      </c>
    </row>
    <row r="98" spans="1:13" hidden="1" x14ac:dyDescent="0.15">
      <c r="A98" t="s">
        <v>339</v>
      </c>
      <c r="B98" t="s">
        <v>340</v>
      </c>
      <c r="D98" t="s">
        <v>341</v>
      </c>
      <c r="E98">
        <v>2</v>
      </c>
      <c r="F98" t="str">
        <f>HYPERLINK("https://github.com/MythTV-Clients/MythtvPlayerForAndroid/issues/1", "show")</f>
        <v>show</v>
      </c>
      <c r="G98" t="str">
        <f>HYPERLINK("https://github.com/MythTV-Clients/MythtvPlayerForAndroid", "show")</f>
        <v>show</v>
      </c>
      <c r="H98" t="str">
        <f>HYPERLINK("https://github.com/MythTV-Clients/MythtvPlayerForAndroid/releases", "show")</f>
        <v>show</v>
      </c>
      <c r="I98">
        <v>1</v>
      </c>
      <c r="J98">
        <v>0</v>
      </c>
      <c r="K98">
        <v>1</v>
      </c>
      <c r="L98">
        <v>0</v>
      </c>
      <c r="M98" t="s">
        <v>64</v>
      </c>
    </row>
    <row r="99" spans="1:13" hidden="1" x14ac:dyDescent="0.15">
      <c r="A99" t="s">
        <v>342</v>
      </c>
      <c r="B99" t="s">
        <v>343</v>
      </c>
      <c r="C99" t="s">
        <v>344</v>
      </c>
      <c r="D99" t="s">
        <v>341</v>
      </c>
      <c r="E99">
        <v>3</v>
      </c>
      <c r="F99" t="str">
        <f>HYPERLINK("https://github.com/libgdx/libgdx/issues/2833", "show")</f>
        <v>show</v>
      </c>
      <c r="G99" t="str">
        <f>HYPERLINK("https://github.com/libgdx/libgdx", "show")</f>
        <v>show</v>
      </c>
      <c r="H99" t="str">
        <f>HYPERLINK("https://github.com/libgdx/libgdx/releases", "show")</f>
        <v>show</v>
      </c>
      <c r="I99">
        <v>1</v>
      </c>
      <c r="J99">
        <v>1</v>
      </c>
      <c r="K99">
        <v>1</v>
      </c>
      <c r="L99">
        <v>0</v>
      </c>
      <c r="M99" t="s">
        <v>59</v>
      </c>
    </row>
    <row r="100" spans="1:13" hidden="1" x14ac:dyDescent="0.15">
      <c r="A100" t="s">
        <v>345</v>
      </c>
      <c r="B100" t="s">
        <v>346</v>
      </c>
      <c r="C100" t="s">
        <v>347</v>
      </c>
      <c r="D100" t="s">
        <v>341</v>
      </c>
      <c r="E100">
        <v>3</v>
      </c>
      <c r="F100" t="str">
        <f>HYPERLINK("https://github.com/cgeo/cgeo/issues/4665", "show")</f>
        <v>show</v>
      </c>
      <c r="G100" t="str">
        <f>HYPERLINK("https://github.com/cgeo/cgeo", "show")</f>
        <v>show</v>
      </c>
      <c r="H100" t="str">
        <f>HYPERLINK("https://github.com/cgeo/cgeo/releases", "show")</f>
        <v>show</v>
      </c>
      <c r="I100">
        <v>0</v>
      </c>
      <c r="J100">
        <v>0</v>
      </c>
      <c r="K100">
        <v>1</v>
      </c>
      <c r="L100">
        <v>0</v>
      </c>
      <c r="M100" t="s">
        <v>122</v>
      </c>
    </row>
    <row r="101" spans="1:13" hidden="1" x14ac:dyDescent="0.15">
      <c r="A101" t="s">
        <v>348</v>
      </c>
      <c r="B101" t="s">
        <v>349</v>
      </c>
      <c r="C101" t="s">
        <v>350</v>
      </c>
      <c r="D101" t="s">
        <v>341</v>
      </c>
      <c r="E101">
        <v>1925</v>
      </c>
      <c r="F101" t="str">
        <f>HYPERLINK("https://github.com/dm77/barcodescanner/issues/55", "show")</f>
        <v>show</v>
      </c>
      <c r="G101" t="str">
        <f>HYPERLINK("https://github.com/dm77/barcodescanner", "show")</f>
        <v>show</v>
      </c>
      <c r="H101" t="str">
        <f>HYPERLINK("https://github.com/dm77/barcodescanner/releases", "show")</f>
        <v>show</v>
      </c>
      <c r="I101">
        <v>0</v>
      </c>
      <c r="J101">
        <v>0</v>
      </c>
      <c r="K101">
        <v>1</v>
      </c>
      <c r="L101">
        <v>1</v>
      </c>
      <c r="M101" t="s">
        <v>351</v>
      </c>
    </row>
    <row r="102" spans="1:13" hidden="1" x14ac:dyDescent="0.15">
      <c r="A102" t="s">
        <v>352</v>
      </c>
      <c r="B102" t="s">
        <v>353</v>
      </c>
      <c r="C102" t="s">
        <v>354</v>
      </c>
      <c r="D102" t="s">
        <v>341</v>
      </c>
      <c r="E102">
        <v>267</v>
      </c>
      <c r="F102" t="str">
        <f>HYPERLINK("https://github.com/nerzhul/ncsms-android/issues/30", "show")</f>
        <v>show</v>
      </c>
      <c r="G102" t="str">
        <f>HYPERLINK("https://github.com/nerzhul/ncsms-android", "show")</f>
        <v>show</v>
      </c>
      <c r="H102" t="str">
        <f>HYPERLINK("https://github.com/nerzhul/ncsms-android/releases", "show")</f>
        <v>show</v>
      </c>
      <c r="I102">
        <v>1</v>
      </c>
      <c r="J102">
        <v>0</v>
      </c>
      <c r="K102">
        <v>0</v>
      </c>
      <c r="L102">
        <v>0</v>
      </c>
      <c r="M102" t="s">
        <v>17</v>
      </c>
    </row>
    <row r="103" spans="1:13" hidden="1" x14ac:dyDescent="0.15">
      <c r="A103" t="s">
        <v>355</v>
      </c>
      <c r="B103" t="s">
        <v>356</v>
      </c>
      <c r="D103" t="s">
        <v>341</v>
      </c>
      <c r="E103">
        <v>72</v>
      </c>
      <c r="F103" t="str">
        <f>HYPERLINK("https://github.com/redsolution/xabber-android/issues/352", "show")</f>
        <v>show</v>
      </c>
      <c r="G103" t="str">
        <f>HYPERLINK("https://github.com/redsolution/xabber-android", "show")</f>
        <v>show</v>
      </c>
      <c r="H103" t="str">
        <f>HYPERLINK("https://github.com/redsolution/xabber-android/releases", "show")</f>
        <v>show</v>
      </c>
      <c r="I103">
        <v>1</v>
      </c>
      <c r="J103">
        <v>0</v>
      </c>
      <c r="K103">
        <v>0</v>
      </c>
      <c r="L103">
        <v>0</v>
      </c>
      <c r="M103" t="s">
        <v>17</v>
      </c>
    </row>
    <row r="104" spans="1:13" hidden="1" x14ac:dyDescent="0.15">
      <c r="A104" t="s">
        <v>357</v>
      </c>
      <c r="B104" t="s">
        <v>358</v>
      </c>
      <c r="C104" t="s">
        <v>359</v>
      </c>
      <c r="D104" t="s">
        <v>341</v>
      </c>
      <c r="E104">
        <v>112</v>
      </c>
      <c r="F104" t="str">
        <f>HYPERLINK("https://github.com/segmentio/analytics-android/issues/172", "show")</f>
        <v>show</v>
      </c>
      <c r="G104" t="str">
        <f>HYPERLINK("https://github.com/segmentio/analytics-android", "show")</f>
        <v>show</v>
      </c>
      <c r="H104" t="str">
        <f>HYPERLINK("https://github.com/segmentio/analytics-android/releases", "show")</f>
        <v>show</v>
      </c>
      <c r="I104">
        <v>0</v>
      </c>
      <c r="J104">
        <v>0</v>
      </c>
      <c r="K104">
        <v>1</v>
      </c>
      <c r="L104">
        <v>0</v>
      </c>
      <c r="M104" t="s">
        <v>122</v>
      </c>
    </row>
    <row r="105" spans="1:13" hidden="1" x14ac:dyDescent="0.15">
      <c r="A105" t="s">
        <v>360</v>
      </c>
      <c r="B105" t="s">
        <v>361</v>
      </c>
      <c r="C105" t="s">
        <v>362</v>
      </c>
      <c r="D105" t="s">
        <v>363</v>
      </c>
      <c r="E105">
        <v>82</v>
      </c>
      <c r="F105" t="str">
        <f>HYPERLINK("https://github.com/ConnectSDK/Connect-SDK-Android/issues/209", "show")</f>
        <v>show</v>
      </c>
      <c r="G105" t="str">
        <f>HYPERLINK("https://github.com/ConnectSDK/Connect-SDK-Android", "show")</f>
        <v>show</v>
      </c>
      <c r="H105" t="str">
        <f>HYPERLINK("https://github.com/ConnectSDK/Connect-SDK-Android/releases", "show")</f>
        <v>show</v>
      </c>
      <c r="I105">
        <v>0</v>
      </c>
      <c r="J105">
        <v>0</v>
      </c>
      <c r="K105">
        <v>1</v>
      </c>
      <c r="L105">
        <v>0</v>
      </c>
      <c r="M105" t="s">
        <v>122</v>
      </c>
    </row>
    <row r="106" spans="1:13" hidden="1" x14ac:dyDescent="0.15">
      <c r="A106" t="s">
        <v>364</v>
      </c>
      <c r="B106" t="s">
        <v>365</v>
      </c>
      <c r="C106" t="s">
        <v>366</v>
      </c>
      <c r="D106" t="s">
        <v>367</v>
      </c>
      <c r="E106">
        <v>4</v>
      </c>
      <c r="F106" t="str">
        <f>HYPERLINK("https://github.com/SCCapstone/IArch/issues/54", "show")</f>
        <v>show</v>
      </c>
      <c r="G106" t="str">
        <f>HYPERLINK("https://github.com/SCCapstone/IArch", "show")</f>
        <v>show</v>
      </c>
      <c r="H106" t="str">
        <f>HYPERLINK("https://github.com/SCCapstone/IArch/releases", "show")</f>
        <v>show</v>
      </c>
      <c r="I106">
        <v>1</v>
      </c>
      <c r="J106">
        <v>0</v>
      </c>
      <c r="K106">
        <v>0</v>
      </c>
      <c r="L106">
        <v>0</v>
      </c>
      <c r="M106" t="s">
        <v>17</v>
      </c>
    </row>
    <row r="107" spans="1:13" hidden="1" x14ac:dyDescent="0.15">
      <c r="A107" t="s">
        <v>368</v>
      </c>
      <c r="B107" t="s">
        <v>369</v>
      </c>
      <c r="C107" t="s">
        <v>370</v>
      </c>
      <c r="D107" t="s">
        <v>367</v>
      </c>
      <c r="E107">
        <v>0</v>
      </c>
      <c r="F107" t="str">
        <f>HYPERLINK("https://github.com/unfoldingWord-dev/uw-android/issues/38", "show")</f>
        <v>show</v>
      </c>
      <c r="G107" t="str">
        <f>HYPERLINK("https://github.com/unfoldingWord-dev/uw-android", "show")</f>
        <v>show</v>
      </c>
      <c r="H107" t="str">
        <f>HYPERLINK("https://github.com/unfoldingWord-dev/uw-android/releases", "show")</f>
        <v>show</v>
      </c>
      <c r="I107">
        <v>1</v>
      </c>
      <c r="J107">
        <v>0</v>
      </c>
      <c r="K107">
        <v>0</v>
      </c>
      <c r="L107">
        <v>0</v>
      </c>
      <c r="M107" t="s">
        <v>17</v>
      </c>
    </row>
    <row r="108" spans="1:13" x14ac:dyDescent="0.15">
      <c r="A108" t="s">
        <v>371</v>
      </c>
      <c r="B108" t="s">
        <v>372</v>
      </c>
      <c r="C108" t="s">
        <v>373</v>
      </c>
      <c r="D108" t="s">
        <v>374</v>
      </c>
      <c r="E108">
        <v>55</v>
      </c>
      <c r="F108" t="str">
        <f>HYPERLINK("https://github.com/MythTV-Clients/MythtvPlayerForAndroid/issues/3", "show")</f>
        <v>show</v>
      </c>
      <c r="G108" t="str">
        <f>HYPERLINK("https://github.com/MythTV-Clients/MythtvPlayerForAndroid", "show")</f>
        <v>show</v>
      </c>
      <c r="H108" t="str">
        <f>HYPERLINK("https://github.com/MythTV-Clients/MythtvPlayerForAndroid/releases", "show")</f>
        <v>show</v>
      </c>
      <c r="I108">
        <v>0</v>
      </c>
      <c r="J108">
        <v>1</v>
      </c>
      <c r="K108">
        <v>0</v>
      </c>
      <c r="L108">
        <v>0</v>
      </c>
      <c r="M108" t="s">
        <v>139</v>
      </c>
    </row>
    <row r="109" spans="1:13" hidden="1" x14ac:dyDescent="0.15">
      <c r="A109" t="s">
        <v>375</v>
      </c>
      <c r="B109" t="s">
        <v>376</v>
      </c>
      <c r="C109" t="s">
        <v>377</v>
      </c>
      <c r="D109" t="s">
        <v>374</v>
      </c>
      <c r="E109">
        <v>1</v>
      </c>
      <c r="F109" t="str">
        <f>HYPERLINK("https://github.com/MythTV-Clients/MythtvPlayerForAndroid/issues/2", "show")</f>
        <v>show</v>
      </c>
      <c r="G109" t="str">
        <f>HYPERLINK("https://github.com/MythTV-Clients/MythtvPlayerForAndroid", "show")</f>
        <v>show</v>
      </c>
      <c r="H109" t="str">
        <f>HYPERLINK("https://github.com/MythTV-Clients/MythtvPlayerForAndroid/releases", "show")</f>
        <v>show</v>
      </c>
      <c r="I109">
        <v>1</v>
      </c>
      <c r="J109">
        <v>0</v>
      </c>
      <c r="K109">
        <v>1</v>
      </c>
      <c r="L109">
        <v>0</v>
      </c>
      <c r="M109" t="s">
        <v>64</v>
      </c>
    </row>
    <row r="110" spans="1:13" hidden="1" x14ac:dyDescent="0.15">
      <c r="A110" t="s">
        <v>378</v>
      </c>
      <c r="B110" t="s">
        <v>379</v>
      </c>
      <c r="C110" t="s">
        <v>380</v>
      </c>
      <c r="D110" t="s">
        <v>374</v>
      </c>
      <c r="E110">
        <v>2</v>
      </c>
      <c r="F110" t="str">
        <f>HYPERLINK("https://github.com/JDNdeveloper/Off-By-One/issues/38", "show")</f>
        <v>show</v>
      </c>
      <c r="G110" t="str">
        <f>HYPERLINK("https://github.com/JDNdeveloper/Off-By-One", "show")</f>
        <v>show</v>
      </c>
      <c r="H110" t="str">
        <f>HYPERLINK("https://github.com/JDNdeveloper/Off-By-One/releases", "show")</f>
        <v>show</v>
      </c>
      <c r="I110">
        <v>1</v>
      </c>
      <c r="J110">
        <v>0</v>
      </c>
      <c r="K110">
        <v>0</v>
      </c>
      <c r="L110">
        <v>0</v>
      </c>
      <c r="M110" t="s">
        <v>17</v>
      </c>
    </row>
    <row r="111" spans="1:13" hidden="1" x14ac:dyDescent="0.15">
      <c r="A111" t="s">
        <v>381</v>
      </c>
      <c r="B111" t="s">
        <v>382</v>
      </c>
      <c r="C111" t="s">
        <v>383</v>
      </c>
      <c r="D111" t="s">
        <v>374</v>
      </c>
      <c r="E111">
        <v>3</v>
      </c>
      <c r="F111" t="str">
        <f>HYPERLINK("https://github.com/h6ah4i/android-openslmediaplayer/issues/5", "show")</f>
        <v>show</v>
      </c>
      <c r="G111" t="str">
        <f>HYPERLINK("https://github.com/h6ah4i/android-openslmediaplayer", "show")</f>
        <v>show</v>
      </c>
      <c r="H111" t="str">
        <f>HYPERLINK("https://github.com/h6ah4i/android-openslmediaplayer/releases", "show")</f>
        <v>show</v>
      </c>
      <c r="I111">
        <v>1</v>
      </c>
      <c r="J111">
        <v>0</v>
      </c>
      <c r="K111">
        <v>1</v>
      </c>
      <c r="L111">
        <v>0</v>
      </c>
      <c r="M111" t="s">
        <v>64</v>
      </c>
    </row>
    <row r="112" spans="1:13" hidden="1" x14ac:dyDescent="0.15">
      <c r="A112" t="s">
        <v>384</v>
      </c>
      <c r="B112" t="s">
        <v>385</v>
      </c>
      <c r="C112" t="s">
        <v>386</v>
      </c>
      <c r="D112" t="s">
        <v>387</v>
      </c>
      <c r="E112">
        <v>1</v>
      </c>
      <c r="F112" t="str">
        <f>HYPERLINK("https://github.com/eugenkiss/chanobol/issues/105", "show")</f>
        <v>show</v>
      </c>
      <c r="G112" t="str">
        <f>HYPERLINK("https://github.com/eugenkiss/chanobol", "show")</f>
        <v>show</v>
      </c>
      <c r="H112" t="str">
        <f>HYPERLINK("https://github.com/eugenkiss/chanobol/releases", "show")</f>
        <v>show</v>
      </c>
      <c r="I112">
        <v>1</v>
      </c>
      <c r="J112">
        <v>0</v>
      </c>
      <c r="K112">
        <v>1</v>
      </c>
      <c r="L112">
        <v>0</v>
      </c>
      <c r="M112" t="s">
        <v>64</v>
      </c>
    </row>
    <row r="113" spans="1:13" hidden="1" x14ac:dyDescent="0.15">
      <c r="A113" t="s">
        <v>388</v>
      </c>
      <c r="B113" t="s">
        <v>389</v>
      </c>
      <c r="C113" t="s">
        <v>390</v>
      </c>
      <c r="D113" t="s">
        <v>391</v>
      </c>
      <c r="E113">
        <v>9</v>
      </c>
      <c r="F113" t="str">
        <f>HYPERLINK("https://github.com/SCCapstone/IArch/issues/59", "show")</f>
        <v>show</v>
      </c>
      <c r="G113" t="str">
        <f>HYPERLINK("https://github.com/SCCapstone/IArch", "show")</f>
        <v>show</v>
      </c>
      <c r="H113" t="str">
        <f>HYPERLINK("https://github.com/SCCapstone/IArch/releases", "show")</f>
        <v>show</v>
      </c>
      <c r="I113">
        <v>1</v>
      </c>
      <c r="J113">
        <v>0</v>
      </c>
      <c r="K113">
        <v>0</v>
      </c>
      <c r="L113">
        <v>0</v>
      </c>
      <c r="M113" t="s">
        <v>17</v>
      </c>
    </row>
    <row r="114" spans="1:13" hidden="1" x14ac:dyDescent="0.15">
      <c r="A114" t="s">
        <v>392</v>
      </c>
      <c r="B114" t="s">
        <v>393</v>
      </c>
      <c r="C114" t="s">
        <v>394</v>
      </c>
      <c r="D114" t="s">
        <v>391</v>
      </c>
      <c r="E114">
        <v>0</v>
      </c>
      <c r="F114" t="str">
        <f>HYPERLINK("https://github.com/smartEKG/SmartEKG/issues/1", "show")</f>
        <v>show</v>
      </c>
      <c r="G114" t="str">
        <f>HYPERLINK("https://github.com/smartEKG/SmartEKG", "show")</f>
        <v>show</v>
      </c>
      <c r="H114" t="str">
        <f>HYPERLINK("https://github.com/smartEKG/SmartEKG/releases", "show")</f>
        <v>show</v>
      </c>
      <c r="I114">
        <v>1</v>
      </c>
      <c r="J114">
        <v>0</v>
      </c>
      <c r="K114">
        <v>0</v>
      </c>
      <c r="L114">
        <v>0</v>
      </c>
      <c r="M114" t="s">
        <v>17</v>
      </c>
    </row>
    <row r="115" spans="1:13" hidden="1" x14ac:dyDescent="0.15">
      <c r="A115" t="s">
        <v>395</v>
      </c>
      <c r="B115" t="s">
        <v>396</v>
      </c>
      <c r="C115" t="s">
        <v>397</v>
      </c>
      <c r="D115" t="s">
        <v>391</v>
      </c>
      <c r="E115">
        <v>0</v>
      </c>
      <c r="F115" t="str">
        <f>HYPERLINK("https://github.com/CellularPrivacy/Android-IMSI-Catcher-Detector/issues/326", "show")</f>
        <v>show</v>
      </c>
      <c r="G115" t="str">
        <f>HYPERLINK("https://github.com/CellularPrivacy/Android-IMSI-Catcher-Detector", "show")</f>
        <v>show</v>
      </c>
      <c r="H115" t="str">
        <f>HYPERLINK("https://github.com/CellularPrivacy/Android-IMSI-Catcher-Detector/releases", "show")</f>
        <v>show</v>
      </c>
      <c r="I115">
        <v>1</v>
      </c>
      <c r="J115">
        <v>0</v>
      </c>
      <c r="K115">
        <v>1</v>
      </c>
      <c r="L115">
        <v>0</v>
      </c>
      <c r="M115" t="s">
        <v>64</v>
      </c>
    </row>
    <row r="116" spans="1:13" hidden="1" x14ac:dyDescent="0.15">
      <c r="A116" t="s">
        <v>398</v>
      </c>
      <c r="B116" t="s">
        <v>399</v>
      </c>
      <c r="C116" t="s">
        <v>400</v>
      </c>
      <c r="D116" t="s">
        <v>391</v>
      </c>
      <c r="E116">
        <v>1</v>
      </c>
      <c r="F116" t="str">
        <f>HYPERLINK("https://github.com/remulasce/metroapp/issues/148", "show")</f>
        <v>show</v>
      </c>
      <c r="G116" t="str">
        <f>HYPERLINK("https://github.com/remulasce/metroapp", "show")</f>
        <v>show</v>
      </c>
      <c r="H116" t="str">
        <f>HYPERLINK("https://github.com/remulasce/metroapp/releases", "show")</f>
        <v>show</v>
      </c>
      <c r="I116">
        <v>1</v>
      </c>
      <c r="J116">
        <v>0</v>
      </c>
      <c r="K116">
        <v>0</v>
      </c>
      <c r="L116">
        <v>0</v>
      </c>
      <c r="M116" t="s">
        <v>17</v>
      </c>
    </row>
    <row r="117" spans="1:13" hidden="1" x14ac:dyDescent="0.15">
      <c r="A117" t="s">
        <v>401</v>
      </c>
      <c r="B117" t="s">
        <v>402</v>
      </c>
      <c r="C117" t="s">
        <v>403</v>
      </c>
      <c r="D117" t="s">
        <v>404</v>
      </c>
      <c r="E117">
        <v>0</v>
      </c>
      <c r="F117" t="str">
        <f>HYPERLINK("https://github.com/bumptech/glide/issues/347", "show")</f>
        <v>show</v>
      </c>
      <c r="G117" t="str">
        <f>HYPERLINK("https://github.com/bumptech/glide", "show")</f>
        <v>show</v>
      </c>
      <c r="H117" t="str">
        <f>HYPERLINK("https://github.com/bumptech/glide/releases", "show")</f>
        <v>show</v>
      </c>
      <c r="I117">
        <v>1</v>
      </c>
      <c r="J117">
        <v>0</v>
      </c>
      <c r="K117">
        <v>1</v>
      </c>
      <c r="L117">
        <v>0</v>
      </c>
      <c r="M117" t="s">
        <v>64</v>
      </c>
    </row>
    <row r="118" spans="1:13" hidden="1" x14ac:dyDescent="0.15">
      <c r="A118" t="s">
        <v>405</v>
      </c>
      <c r="B118" t="s">
        <v>406</v>
      </c>
      <c r="C118" t="s">
        <v>407</v>
      </c>
      <c r="D118" t="s">
        <v>404</v>
      </c>
      <c r="E118">
        <v>7</v>
      </c>
      <c r="F118" t="str">
        <f>HYPERLINK("https://github.com/SCCapstone/IArch/issues/66", "show")</f>
        <v>show</v>
      </c>
      <c r="G118" t="str">
        <f>HYPERLINK("https://github.com/SCCapstone/IArch", "show")</f>
        <v>show</v>
      </c>
      <c r="H118" t="str">
        <f>HYPERLINK("https://github.com/SCCapstone/IArch/releases", "show")</f>
        <v>show</v>
      </c>
      <c r="I118">
        <v>1</v>
      </c>
      <c r="J118">
        <v>0</v>
      </c>
      <c r="K118">
        <v>0</v>
      </c>
      <c r="L118">
        <v>0</v>
      </c>
      <c r="M118" t="s">
        <v>17</v>
      </c>
    </row>
    <row r="119" spans="1:13" hidden="1" x14ac:dyDescent="0.15">
      <c r="A119" t="s">
        <v>408</v>
      </c>
      <c r="B119" t="s">
        <v>409</v>
      </c>
      <c r="C119" t="s">
        <v>410</v>
      </c>
      <c r="D119" t="s">
        <v>404</v>
      </c>
      <c r="E119">
        <v>7</v>
      </c>
      <c r="F119" t="str">
        <f>HYPERLINK("https://github.com/SCCapstone/IArch/issues/65", "show")</f>
        <v>show</v>
      </c>
      <c r="G119" t="str">
        <f>HYPERLINK("https://github.com/SCCapstone/IArch", "show")</f>
        <v>show</v>
      </c>
      <c r="H119" t="str">
        <f>HYPERLINK("https://github.com/SCCapstone/IArch/releases", "show")</f>
        <v>show</v>
      </c>
      <c r="I119">
        <v>0</v>
      </c>
      <c r="J119">
        <v>0</v>
      </c>
      <c r="K119">
        <v>0</v>
      </c>
      <c r="L119">
        <v>0</v>
      </c>
      <c r="M119" t="s">
        <v>43</v>
      </c>
    </row>
    <row r="120" spans="1:13" hidden="1" x14ac:dyDescent="0.15">
      <c r="A120" t="s">
        <v>411</v>
      </c>
      <c r="B120" t="s">
        <v>412</v>
      </c>
      <c r="C120" t="s">
        <v>413</v>
      </c>
      <c r="D120" t="s">
        <v>404</v>
      </c>
      <c r="E120">
        <v>40</v>
      </c>
      <c r="F120" t="str">
        <f>HYPERLINK("https://github.com/libgdx/gdx-video/issues/3", "show")</f>
        <v>show</v>
      </c>
      <c r="G120" t="str">
        <f>HYPERLINK("https://github.com/libgdx/gdx-video", "show")</f>
        <v>show</v>
      </c>
      <c r="H120" t="str">
        <f>HYPERLINK("https://github.com/libgdx/gdx-video/releases", "show")</f>
        <v>show</v>
      </c>
      <c r="I120">
        <v>1</v>
      </c>
      <c r="J120">
        <v>0</v>
      </c>
      <c r="K120">
        <v>0</v>
      </c>
      <c r="L120">
        <v>0</v>
      </c>
      <c r="M120" t="s">
        <v>17</v>
      </c>
    </row>
    <row r="121" spans="1:13" hidden="1" x14ac:dyDescent="0.15">
      <c r="A121" t="s">
        <v>414</v>
      </c>
      <c r="B121" t="s">
        <v>415</v>
      </c>
      <c r="C121" t="s">
        <v>416</v>
      </c>
      <c r="D121" t="s">
        <v>404</v>
      </c>
      <c r="E121">
        <v>0</v>
      </c>
      <c r="F121" t="str">
        <f>HYPERLINK("https://github.com/geopaparazzi/geopaparazzi/issues/233", "show")</f>
        <v>show</v>
      </c>
      <c r="G121" t="str">
        <f>HYPERLINK("https://github.com/geopaparazzi/geopaparazzi", "show")</f>
        <v>show</v>
      </c>
      <c r="H121" t="str">
        <f>HYPERLINK("https://github.com/geopaparazzi/geopaparazzi/releases", "show")</f>
        <v>show</v>
      </c>
      <c r="I121">
        <v>1</v>
      </c>
      <c r="J121">
        <v>0</v>
      </c>
      <c r="K121">
        <v>0</v>
      </c>
      <c r="L121">
        <v>0</v>
      </c>
      <c r="M121" t="s">
        <v>17</v>
      </c>
    </row>
    <row r="122" spans="1:13" hidden="1" x14ac:dyDescent="0.15">
      <c r="A122" t="s">
        <v>417</v>
      </c>
      <c r="B122" t="s">
        <v>418</v>
      </c>
      <c r="C122" t="s">
        <v>419</v>
      </c>
      <c r="D122" t="s">
        <v>420</v>
      </c>
      <c r="E122">
        <v>9</v>
      </c>
      <c r="F122" t="str">
        <f>HYPERLINK("https://github.com/JusticeRage/ApkTrack/issues/14", "show")</f>
        <v>show</v>
      </c>
      <c r="G122" t="str">
        <f>HYPERLINK("https://github.com/JusticeRage/ApkTrack", "show")</f>
        <v>show</v>
      </c>
      <c r="H122" t="str">
        <f>HYPERLINK("https://github.com/JusticeRage/ApkTrack/releases", "show")</f>
        <v>show</v>
      </c>
      <c r="I122">
        <v>1</v>
      </c>
      <c r="J122">
        <v>0</v>
      </c>
      <c r="K122">
        <v>0</v>
      </c>
      <c r="L122">
        <v>0</v>
      </c>
      <c r="M122" t="s">
        <v>17</v>
      </c>
    </row>
    <row r="123" spans="1:13" hidden="1" x14ac:dyDescent="0.15">
      <c r="A123" t="s">
        <v>421</v>
      </c>
      <c r="B123" t="s">
        <v>422</v>
      </c>
      <c r="C123" t="s">
        <v>423</v>
      </c>
      <c r="D123" t="s">
        <v>420</v>
      </c>
      <c r="E123">
        <v>1</v>
      </c>
      <c r="F123" t="str">
        <f>HYPERLINK("https://github.com/Stuart-campbell/RushOrm/issues/7", "show")</f>
        <v>show</v>
      </c>
      <c r="G123" t="str">
        <f>HYPERLINK("https://github.com/Stuart-campbell/RushOrm", "show")</f>
        <v>show</v>
      </c>
      <c r="H123" t="str">
        <f>HYPERLINK("https://github.com/Stuart-campbell/RushOrm/releases", "show")</f>
        <v>show</v>
      </c>
      <c r="I123">
        <v>1</v>
      </c>
      <c r="J123">
        <v>0</v>
      </c>
      <c r="K123">
        <v>1</v>
      </c>
      <c r="L123">
        <v>0</v>
      </c>
      <c r="M123" t="s">
        <v>64</v>
      </c>
    </row>
    <row r="124" spans="1:13" hidden="1" x14ac:dyDescent="0.15">
      <c r="A124" t="s">
        <v>424</v>
      </c>
      <c r="B124" t="s">
        <v>425</v>
      </c>
      <c r="C124" t="s">
        <v>426</v>
      </c>
      <c r="D124" t="s">
        <v>420</v>
      </c>
      <c r="E124">
        <v>12</v>
      </c>
      <c r="F124" t="str">
        <f>HYPERLINK("https://github.com/FamilyParking/Project/issues/25", "show")</f>
        <v>show</v>
      </c>
      <c r="G124" t="str">
        <f>HYPERLINK("https://github.com/FamilyParking/Project", "show")</f>
        <v>show</v>
      </c>
      <c r="H124" t="str">
        <f>HYPERLINK("https://github.com/FamilyParking/Project/releases", "show")</f>
        <v>show</v>
      </c>
      <c r="I124">
        <v>0</v>
      </c>
      <c r="J124">
        <v>1</v>
      </c>
      <c r="K124">
        <v>1</v>
      </c>
      <c r="L124">
        <v>1</v>
      </c>
      <c r="M124" t="s">
        <v>427</v>
      </c>
    </row>
    <row r="125" spans="1:13" hidden="1" x14ac:dyDescent="0.15">
      <c r="A125" t="s">
        <v>428</v>
      </c>
      <c r="B125" t="s">
        <v>429</v>
      </c>
      <c r="C125" t="s">
        <v>430</v>
      </c>
      <c r="D125" t="s">
        <v>431</v>
      </c>
      <c r="E125">
        <v>7</v>
      </c>
      <c r="F125" t="str">
        <f>HYPERLINK("https://github.com/facebook/stetho/issues/59", "show")</f>
        <v>show</v>
      </c>
      <c r="G125" t="str">
        <f>HYPERLINK("https://github.com/facebook/stetho", "show")</f>
        <v>show</v>
      </c>
      <c r="H125" t="str">
        <f>HYPERLINK("https://github.com/facebook/stetho/releases", "show")</f>
        <v>show</v>
      </c>
      <c r="I125">
        <v>1</v>
      </c>
      <c r="J125">
        <v>0</v>
      </c>
      <c r="K125">
        <v>0</v>
      </c>
      <c r="L125">
        <v>0</v>
      </c>
      <c r="M125" t="s">
        <v>17</v>
      </c>
    </row>
    <row r="126" spans="1:13" hidden="1" x14ac:dyDescent="0.15">
      <c r="A126" t="s">
        <v>432</v>
      </c>
      <c r="B126" t="s">
        <v>433</v>
      </c>
      <c r="C126" t="s">
        <v>434</v>
      </c>
      <c r="D126" t="s">
        <v>431</v>
      </c>
      <c r="E126">
        <v>339</v>
      </c>
      <c r="F126" t="str">
        <f>HYPERLINK("https://github.com/blazsolar/HorizontalPicker/issues/17", "show")</f>
        <v>show</v>
      </c>
      <c r="G126" t="str">
        <f>HYPERLINK("https://github.com/blazsolar/HorizontalPicker", "show")</f>
        <v>show</v>
      </c>
      <c r="H126" t="str">
        <f>HYPERLINK("https://github.com/blazsolar/HorizontalPicker/releases", "show")</f>
        <v>show</v>
      </c>
      <c r="I126">
        <v>0</v>
      </c>
      <c r="J126">
        <v>0</v>
      </c>
      <c r="K126">
        <v>0</v>
      </c>
      <c r="L126">
        <v>0</v>
      </c>
      <c r="M126" t="s">
        <v>43</v>
      </c>
    </row>
    <row r="127" spans="1:13" hidden="1" x14ac:dyDescent="0.15">
      <c r="A127" t="s">
        <v>435</v>
      </c>
      <c r="B127" t="s">
        <v>436</v>
      </c>
      <c r="C127" t="s">
        <v>437</v>
      </c>
      <c r="D127" t="s">
        <v>431</v>
      </c>
      <c r="E127">
        <v>101</v>
      </c>
      <c r="F127" t="str">
        <f>HYPERLINK("https://github.com/erickok/transdroid/issues/192", "show")</f>
        <v>show</v>
      </c>
      <c r="G127" t="str">
        <f>HYPERLINK("https://github.com/erickok/transdroid", "show")</f>
        <v>show</v>
      </c>
      <c r="H127" t="str">
        <f>HYPERLINK("https://github.com/erickok/transdroid/releases", "show")</f>
        <v>show</v>
      </c>
      <c r="I127">
        <v>0</v>
      </c>
      <c r="J127">
        <v>0</v>
      </c>
      <c r="K127">
        <v>0</v>
      </c>
      <c r="L127">
        <v>0</v>
      </c>
      <c r="M127" t="s">
        <v>43</v>
      </c>
    </row>
    <row r="128" spans="1:13" hidden="1" x14ac:dyDescent="0.15">
      <c r="A128" t="s">
        <v>438</v>
      </c>
      <c r="B128" t="s">
        <v>439</v>
      </c>
      <c r="C128" t="s">
        <v>440</v>
      </c>
      <c r="D128" t="s">
        <v>431</v>
      </c>
      <c r="E128">
        <v>29</v>
      </c>
      <c r="F128" t="str">
        <f>HYPERLINK("https://github.com/CellularPrivacy/Android-IMSI-Catcher-Detector/issues/330", "show")</f>
        <v>show</v>
      </c>
      <c r="G128" t="str">
        <f>HYPERLINK("https://github.com/CellularPrivacy/Android-IMSI-Catcher-Detector", "show")</f>
        <v>show</v>
      </c>
      <c r="H128" t="str">
        <f>HYPERLINK("https://github.com/CellularPrivacy/Android-IMSI-Catcher-Detector/releases", "show")</f>
        <v>show</v>
      </c>
      <c r="I128">
        <v>1</v>
      </c>
      <c r="J128">
        <v>0</v>
      </c>
      <c r="K128">
        <v>0</v>
      </c>
      <c r="L128">
        <v>0</v>
      </c>
      <c r="M128" t="s">
        <v>17</v>
      </c>
    </row>
    <row r="129" spans="1:13" hidden="1" x14ac:dyDescent="0.15">
      <c r="A129" t="s">
        <v>441</v>
      </c>
      <c r="B129" t="s">
        <v>442</v>
      </c>
      <c r="C129" t="s">
        <v>443</v>
      </c>
      <c r="D129" t="s">
        <v>431</v>
      </c>
      <c r="E129">
        <v>5</v>
      </c>
      <c r="F129" t="str">
        <f>HYPERLINK("https://github.com/SCCapstone/IArch/issues/76", "show")</f>
        <v>show</v>
      </c>
      <c r="G129" t="str">
        <f>HYPERLINK("https://github.com/SCCapstone/IArch", "show")</f>
        <v>show</v>
      </c>
      <c r="H129" t="str">
        <f>HYPERLINK("https://github.com/SCCapstone/IArch/releases", "show")</f>
        <v>show</v>
      </c>
      <c r="I129">
        <v>1</v>
      </c>
      <c r="J129">
        <v>0</v>
      </c>
      <c r="K129">
        <v>0</v>
      </c>
      <c r="L129">
        <v>0</v>
      </c>
      <c r="M129" t="s">
        <v>17</v>
      </c>
    </row>
    <row r="130" spans="1:13" hidden="1" x14ac:dyDescent="0.15">
      <c r="A130" t="s">
        <v>444</v>
      </c>
      <c r="B130" t="s">
        <v>445</v>
      </c>
      <c r="D130" t="s">
        <v>446</v>
      </c>
      <c r="E130">
        <v>0</v>
      </c>
      <c r="F130" t="str">
        <f>HYPERLINK("https://github.com/Any1s/RBTV-Sendeplan/issues/27", "show")</f>
        <v>show</v>
      </c>
      <c r="G130" t="str">
        <f>HYPERLINK("https://github.com/Any1s/RBTV-Sendeplan", "show")</f>
        <v>show</v>
      </c>
      <c r="H130" t="str">
        <f>HYPERLINK("https://github.com/Any1s/RBTV-Sendeplan/releases", "show")</f>
        <v>show</v>
      </c>
      <c r="I130">
        <v>0</v>
      </c>
      <c r="J130">
        <v>0</v>
      </c>
      <c r="K130">
        <v>0</v>
      </c>
      <c r="L130">
        <v>0</v>
      </c>
      <c r="M130" t="s">
        <v>43</v>
      </c>
    </row>
    <row r="131" spans="1:13" hidden="1" x14ac:dyDescent="0.15">
      <c r="A131" t="s">
        <v>447</v>
      </c>
      <c r="B131" t="s">
        <v>448</v>
      </c>
      <c r="C131" t="s">
        <v>449</v>
      </c>
      <c r="D131" t="s">
        <v>446</v>
      </c>
      <c r="E131">
        <v>3</v>
      </c>
      <c r="F131" t="str">
        <f>HYPERLINK("https://github.com/drpout/boilr/issues/72", "show")</f>
        <v>show</v>
      </c>
      <c r="G131" t="str">
        <f>HYPERLINK("https://github.com/drpout/boilr", "show")</f>
        <v>show</v>
      </c>
      <c r="H131" t="str">
        <f>HYPERLINK("https://github.com/drpout/boilr/releases", "show")</f>
        <v>show</v>
      </c>
      <c r="I131">
        <v>1</v>
      </c>
      <c r="J131">
        <v>0</v>
      </c>
      <c r="K131">
        <v>0</v>
      </c>
      <c r="L131">
        <v>0</v>
      </c>
      <c r="M131" t="s">
        <v>17</v>
      </c>
    </row>
    <row r="132" spans="1:13" hidden="1" x14ac:dyDescent="0.15">
      <c r="A132" t="s">
        <v>450</v>
      </c>
      <c r="B132" t="s">
        <v>451</v>
      </c>
      <c r="C132" t="s">
        <v>452</v>
      </c>
      <c r="D132" t="s">
        <v>453</v>
      </c>
      <c r="E132">
        <v>1</v>
      </c>
      <c r="F132" t="str">
        <f>HYPERLINK("https://github.com/Any1s/RBTV-Sendeplan/issues/29", "show")</f>
        <v>show</v>
      </c>
      <c r="G132" t="str">
        <f>HYPERLINK("https://github.com/Any1s/RBTV-Sendeplan", "show")</f>
        <v>show</v>
      </c>
      <c r="H132" t="str">
        <f>HYPERLINK("https://github.com/Any1s/RBTV-Sendeplan/releases", "show")</f>
        <v>show</v>
      </c>
      <c r="I132">
        <v>1</v>
      </c>
      <c r="J132">
        <v>0</v>
      </c>
      <c r="K132">
        <v>0</v>
      </c>
      <c r="L132">
        <v>0</v>
      </c>
      <c r="M132" t="s">
        <v>17</v>
      </c>
    </row>
    <row r="133" spans="1:13" hidden="1" x14ac:dyDescent="0.15">
      <c r="A133" t="s">
        <v>454</v>
      </c>
      <c r="B133" t="s">
        <v>455</v>
      </c>
      <c r="C133" t="s">
        <v>456</v>
      </c>
      <c r="D133" t="s">
        <v>453</v>
      </c>
      <c r="E133">
        <v>84</v>
      </c>
      <c r="F133" t="str">
        <f>HYPERLINK("https://github.com/jpardogo/PagerSlidingTabStrip/issues/71", "show")</f>
        <v>show</v>
      </c>
      <c r="G133" t="str">
        <f>HYPERLINK("https://github.com/jpardogo/PagerSlidingTabStrip", "show")</f>
        <v>show</v>
      </c>
      <c r="H133" t="str">
        <f>HYPERLINK("https://github.com/jpardogo/PagerSlidingTabStrip/releases", "show")</f>
        <v>show</v>
      </c>
      <c r="I133">
        <v>0</v>
      </c>
      <c r="J133">
        <v>0</v>
      </c>
      <c r="K133">
        <v>1</v>
      </c>
      <c r="L133">
        <v>0</v>
      </c>
      <c r="M133" t="s">
        <v>122</v>
      </c>
    </row>
    <row r="134" spans="1:13" hidden="1" x14ac:dyDescent="0.15">
      <c r="A134" t="s">
        <v>457</v>
      </c>
      <c r="B134" t="s">
        <v>458</v>
      </c>
      <c r="C134" t="s">
        <v>459</v>
      </c>
      <c r="D134" t="s">
        <v>453</v>
      </c>
      <c r="E134">
        <v>0</v>
      </c>
      <c r="F134" t="str">
        <f>HYPERLINK("https://github.com/ZieIony/Carbon/issues/22", "show")</f>
        <v>show</v>
      </c>
      <c r="G134" t="str">
        <f>HYPERLINK("https://github.com/ZieIony/Carbon", "show")</f>
        <v>show</v>
      </c>
      <c r="H134" t="str">
        <f>HYPERLINK("https://github.com/ZieIony/Carbon/releases", "show")</f>
        <v>show</v>
      </c>
      <c r="I134">
        <v>1</v>
      </c>
      <c r="J134">
        <v>0</v>
      </c>
      <c r="K134">
        <v>0</v>
      </c>
      <c r="L134">
        <v>0</v>
      </c>
      <c r="M134" t="s">
        <v>17</v>
      </c>
    </row>
    <row r="135" spans="1:13" hidden="1" x14ac:dyDescent="0.15">
      <c r="A135" t="s">
        <v>460</v>
      </c>
      <c r="B135" t="s">
        <v>461</v>
      </c>
      <c r="C135" t="s">
        <v>462</v>
      </c>
      <c r="D135" t="s">
        <v>453</v>
      </c>
      <c r="E135">
        <v>0</v>
      </c>
      <c r="F135" t="str">
        <f>HYPERLINK("https://github.com/vanitasvitae/EnigmAndroid/issues/4", "show")</f>
        <v>show</v>
      </c>
      <c r="G135" t="str">
        <f>HYPERLINK("https://github.com/vanitasvitae/EnigmAndroid", "show")</f>
        <v>show</v>
      </c>
      <c r="H135" t="str">
        <f>HYPERLINK("https://github.com/vanitasvitae/EnigmAndroid/releases", "show")</f>
        <v>show</v>
      </c>
      <c r="I135">
        <v>1</v>
      </c>
      <c r="J135">
        <v>0</v>
      </c>
      <c r="K135">
        <v>1</v>
      </c>
      <c r="L135">
        <v>0</v>
      </c>
      <c r="M135" t="s">
        <v>64</v>
      </c>
    </row>
    <row r="136" spans="1:13" hidden="1" x14ac:dyDescent="0.15">
      <c r="A136" t="s">
        <v>463</v>
      </c>
      <c r="B136" t="s">
        <v>464</v>
      </c>
      <c r="C136" t="s">
        <v>465</v>
      </c>
      <c r="D136" t="s">
        <v>453</v>
      </c>
      <c r="E136">
        <v>7</v>
      </c>
      <c r="F136" t="str">
        <f>HYPERLINK("https://github.com/bumptech/glide/issues/349", "show")</f>
        <v>show</v>
      </c>
      <c r="G136" t="str">
        <f>HYPERLINK("https://github.com/bumptech/glide", "show")</f>
        <v>show</v>
      </c>
      <c r="H136" t="str">
        <f>HYPERLINK("https://github.com/bumptech/glide/releases", "show")</f>
        <v>show</v>
      </c>
      <c r="I136">
        <v>1</v>
      </c>
      <c r="J136">
        <v>0</v>
      </c>
      <c r="K136">
        <v>1</v>
      </c>
      <c r="L136">
        <v>0</v>
      </c>
      <c r="M136" t="s">
        <v>64</v>
      </c>
    </row>
    <row r="137" spans="1:13" hidden="1" x14ac:dyDescent="0.15">
      <c r="A137" t="s">
        <v>466</v>
      </c>
      <c r="B137" t="s">
        <v>467</v>
      </c>
      <c r="C137" t="s">
        <v>468</v>
      </c>
      <c r="D137" t="s">
        <v>453</v>
      </c>
      <c r="E137">
        <v>16</v>
      </c>
      <c r="F137" t="str">
        <f>HYPERLINK("https://github.com/radlib/radlib-cordova/issues/24", "show")</f>
        <v>show</v>
      </c>
      <c r="G137" t="str">
        <f>HYPERLINK("https://github.com/radlib/radlib-cordova", "show")</f>
        <v>show</v>
      </c>
      <c r="H137" t="str">
        <f>HYPERLINK("https://github.com/radlib/radlib-cordova/releases", "show")</f>
        <v>show</v>
      </c>
      <c r="I137">
        <v>1</v>
      </c>
      <c r="J137">
        <v>0</v>
      </c>
      <c r="K137">
        <v>0</v>
      </c>
      <c r="L137">
        <v>0</v>
      </c>
      <c r="M137" t="s">
        <v>17</v>
      </c>
    </row>
    <row r="138" spans="1:13" x14ac:dyDescent="0.15">
      <c r="A138" t="s">
        <v>469</v>
      </c>
      <c r="B138" t="s">
        <v>470</v>
      </c>
      <c r="C138" t="s">
        <v>471</v>
      </c>
      <c r="D138" t="s">
        <v>472</v>
      </c>
      <c r="E138">
        <v>0</v>
      </c>
      <c r="F138" t="str">
        <f>HYPERLINK("https://github.com/mozilla/webmaker-android/issues/1295", "show")</f>
        <v>show</v>
      </c>
      <c r="G138" t="str">
        <f>HYPERLINK("https://github.com/mozilla/webmaker-android", "show")</f>
        <v>show</v>
      </c>
      <c r="H138" t="str">
        <f>HYPERLINK("https://github.com/mozilla/webmaker-android/releases", "show")</f>
        <v>show</v>
      </c>
      <c r="I138">
        <v>0</v>
      </c>
      <c r="J138">
        <v>1</v>
      </c>
      <c r="K138">
        <v>0</v>
      </c>
      <c r="L138">
        <v>0</v>
      </c>
      <c r="M138" t="s">
        <v>139</v>
      </c>
    </row>
    <row r="139" spans="1:13" hidden="1" x14ac:dyDescent="0.15">
      <c r="A139" t="s">
        <v>473</v>
      </c>
      <c r="B139" t="s">
        <v>474</v>
      </c>
      <c r="C139" t="s">
        <v>475</v>
      </c>
      <c r="D139" t="s">
        <v>472</v>
      </c>
      <c r="E139">
        <v>0</v>
      </c>
      <c r="F139" t="str">
        <f>HYPERLINK("https://github.com/mozilla/webmaker-android/issues/1294", "show")</f>
        <v>show</v>
      </c>
      <c r="G139" t="str">
        <f>HYPERLINK("https://github.com/mozilla/webmaker-android", "show")</f>
        <v>show</v>
      </c>
      <c r="H139" t="str">
        <f>HYPERLINK("https://github.com/mozilla/webmaker-android/releases", "show")</f>
        <v>show</v>
      </c>
      <c r="I139">
        <v>0</v>
      </c>
      <c r="J139">
        <v>0</v>
      </c>
      <c r="K139">
        <v>0</v>
      </c>
      <c r="L139">
        <v>0</v>
      </c>
      <c r="M139" t="s">
        <v>43</v>
      </c>
    </row>
    <row r="140" spans="1:13" hidden="1" x14ac:dyDescent="0.15">
      <c r="A140" t="s">
        <v>476</v>
      </c>
      <c r="B140" t="s">
        <v>477</v>
      </c>
      <c r="C140" t="s">
        <v>478</v>
      </c>
      <c r="D140" t="s">
        <v>479</v>
      </c>
      <c r="E140">
        <v>1</v>
      </c>
      <c r="F140" t="str">
        <f>HYPERLINK("https://github.com/daneren2005/Subsonic/issues/459", "show")</f>
        <v>show</v>
      </c>
      <c r="G140" t="str">
        <f>HYPERLINK("https://github.com/daneren2005/Subsonic", "show")</f>
        <v>show</v>
      </c>
      <c r="H140" t="str">
        <f>HYPERLINK("https://github.com/daneren2005/Subsonic/releases", "show")</f>
        <v>show</v>
      </c>
      <c r="I140">
        <v>1</v>
      </c>
      <c r="J140">
        <v>0</v>
      </c>
      <c r="K140">
        <v>0</v>
      </c>
      <c r="L140">
        <v>0</v>
      </c>
      <c r="M140" t="s">
        <v>17</v>
      </c>
    </row>
    <row r="141" spans="1:13" hidden="1" x14ac:dyDescent="0.15">
      <c r="A141" t="s">
        <v>480</v>
      </c>
      <c r="B141" t="s">
        <v>481</v>
      </c>
      <c r="C141" t="s">
        <v>482</v>
      </c>
      <c r="D141" t="s">
        <v>479</v>
      </c>
      <c r="E141">
        <v>15</v>
      </c>
      <c r="F141" t="str">
        <f>HYPERLINK("https://github.com/Any1s/RBTV-Sendeplan/issues/32", "show")</f>
        <v>show</v>
      </c>
      <c r="G141" t="str">
        <f>HYPERLINK("https://github.com/Any1s/RBTV-Sendeplan", "show")</f>
        <v>show</v>
      </c>
      <c r="H141" t="str">
        <f>HYPERLINK("https://github.com/Any1s/RBTV-Sendeplan/releases", "show")</f>
        <v>show</v>
      </c>
      <c r="I141">
        <v>1</v>
      </c>
      <c r="J141">
        <v>0</v>
      </c>
      <c r="K141">
        <v>1</v>
      </c>
      <c r="L141">
        <v>0</v>
      </c>
      <c r="M141" t="s">
        <v>64</v>
      </c>
    </row>
    <row r="142" spans="1:13" hidden="1" x14ac:dyDescent="0.15">
      <c r="A142" t="s">
        <v>483</v>
      </c>
      <c r="B142" t="s">
        <v>484</v>
      </c>
      <c r="C142" t="s">
        <v>485</v>
      </c>
      <c r="D142" t="s">
        <v>486</v>
      </c>
      <c r="E142">
        <v>1</v>
      </c>
      <c r="F142" t="str">
        <f>HYPERLINK("https://github.com/hackguru/android-linkit-merchant/issues/6", "show")</f>
        <v>show</v>
      </c>
      <c r="G142" t="str">
        <f>HYPERLINK("https://github.com/hackguru/android-linkit-merchant", "show")</f>
        <v>show</v>
      </c>
      <c r="H142" t="str">
        <f>HYPERLINK("https://github.com/hackguru/android-linkit-merchant/releases", "show")</f>
        <v>show</v>
      </c>
      <c r="I142">
        <v>1</v>
      </c>
      <c r="J142">
        <v>0</v>
      </c>
      <c r="K142">
        <v>0</v>
      </c>
      <c r="L142">
        <v>0</v>
      </c>
      <c r="M142" t="s">
        <v>17</v>
      </c>
    </row>
    <row r="143" spans="1:13" hidden="1" x14ac:dyDescent="0.15">
      <c r="A143" t="s">
        <v>487</v>
      </c>
      <c r="B143" t="s">
        <v>488</v>
      </c>
      <c r="C143" t="s">
        <v>489</v>
      </c>
      <c r="D143" t="s">
        <v>486</v>
      </c>
      <c r="E143">
        <v>0</v>
      </c>
      <c r="F143" t="str">
        <f>HYPERLINK("https://github.com/SCCapstone/IArch/issues/90", "show")</f>
        <v>show</v>
      </c>
      <c r="G143" t="str">
        <f>HYPERLINK("https://github.com/SCCapstone/IArch", "show")</f>
        <v>show</v>
      </c>
      <c r="H143" t="str">
        <f>HYPERLINK("https://github.com/SCCapstone/IArch/releases", "show")</f>
        <v>show</v>
      </c>
      <c r="I143">
        <v>1</v>
      </c>
      <c r="J143">
        <v>0</v>
      </c>
      <c r="K143">
        <v>0</v>
      </c>
      <c r="L143">
        <v>0</v>
      </c>
      <c r="M143" t="s">
        <v>17</v>
      </c>
    </row>
    <row r="144" spans="1:13" hidden="1" x14ac:dyDescent="0.15">
      <c r="A144" t="s">
        <v>490</v>
      </c>
      <c r="B144" t="s">
        <v>491</v>
      </c>
      <c r="C144" t="s">
        <v>492</v>
      </c>
      <c r="D144" t="s">
        <v>486</v>
      </c>
      <c r="E144">
        <v>0</v>
      </c>
      <c r="F144" t="str">
        <f>HYPERLINK("https://github.com/SCCapstone/IArch/issues/89", "show")</f>
        <v>show</v>
      </c>
      <c r="G144" t="str">
        <f>HYPERLINK("https://github.com/SCCapstone/IArch", "show")</f>
        <v>show</v>
      </c>
      <c r="H144" t="str">
        <f>HYPERLINK("https://github.com/SCCapstone/IArch/releases", "show")</f>
        <v>show</v>
      </c>
      <c r="I144">
        <v>1</v>
      </c>
      <c r="J144">
        <v>0</v>
      </c>
      <c r="K144">
        <v>0</v>
      </c>
      <c r="L144">
        <v>0</v>
      </c>
      <c r="M144" t="s">
        <v>17</v>
      </c>
    </row>
    <row r="145" spans="1:13" hidden="1" x14ac:dyDescent="0.15">
      <c r="A145" t="s">
        <v>493</v>
      </c>
      <c r="B145" t="s">
        <v>494</v>
      </c>
      <c r="C145" t="s">
        <v>495</v>
      </c>
      <c r="D145" t="s">
        <v>486</v>
      </c>
      <c r="E145">
        <v>27</v>
      </c>
      <c r="F145" t="str">
        <f>HYPERLINK("https://github.com/SCCapstone/IArch/issues/87", "show")</f>
        <v>show</v>
      </c>
      <c r="G145" t="str">
        <f>HYPERLINK("https://github.com/SCCapstone/IArch", "show")</f>
        <v>show</v>
      </c>
      <c r="H145" t="str">
        <f>HYPERLINK("https://github.com/SCCapstone/IArch/releases", "show")</f>
        <v>show</v>
      </c>
      <c r="I145">
        <v>1</v>
      </c>
      <c r="J145">
        <v>0</v>
      </c>
      <c r="K145">
        <v>0</v>
      </c>
      <c r="L145">
        <v>0</v>
      </c>
      <c r="M145" t="s">
        <v>17</v>
      </c>
    </row>
    <row r="146" spans="1:13" hidden="1" x14ac:dyDescent="0.15">
      <c r="A146" t="s">
        <v>496</v>
      </c>
      <c r="B146" t="s">
        <v>497</v>
      </c>
      <c r="C146" t="s">
        <v>498</v>
      </c>
      <c r="D146" t="s">
        <v>486</v>
      </c>
      <c r="E146">
        <v>0</v>
      </c>
      <c r="F146" t="str">
        <f>HYPERLINK("https://github.com/liato/android-bankdroid/issues/434", "show")</f>
        <v>show</v>
      </c>
      <c r="G146" t="str">
        <f>HYPERLINK("https://github.com/liato/android-bankdroid", "show")</f>
        <v>show</v>
      </c>
      <c r="H146" t="str">
        <f>HYPERLINK("https://github.com/liato/android-bankdroid/releases", "show")</f>
        <v>show</v>
      </c>
      <c r="I146">
        <v>1</v>
      </c>
      <c r="J146">
        <v>0</v>
      </c>
      <c r="K146">
        <v>1</v>
      </c>
      <c r="L146">
        <v>0</v>
      </c>
      <c r="M146" t="s">
        <v>64</v>
      </c>
    </row>
    <row r="147" spans="1:13" hidden="1" x14ac:dyDescent="0.15">
      <c r="A147" t="s">
        <v>499</v>
      </c>
      <c r="B147" t="s">
        <v>500</v>
      </c>
      <c r="C147" t="s">
        <v>501</v>
      </c>
      <c r="D147" t="s">
        <v>486</v>
      </c>
      <c r="E147">
        <v>1</v>
      </c>
      <c r="F147" t="str">
        <f>HYPERLINK("https://github.com/liato/android-bankdroid/issues/433", "show")</f>
        <v>show</v>
      </c>
      <c r="G147" t="str">
        <f>HYPERLINK("https://github.com/liato/android-bankdroid", "show")</f>
        <v>show</v>
      </c>
      <c r="H147" t="str">
        <f>HYPERLINK("https://github.com/liato/android-bankdroid/releases", "show")</f>
        <v>show</v>
      </c>
      <c r="I147">
        <v>1</v>
      </c>
      <c r="J147">
        <v>0</v>
      </c>
      <c r="K147">
        <v>0</v>
      </c>
      <c r="L147">
        <v>0</v>
      </c>
      <c r="M147" t="s">
        <v>17</v>
      </c>
    </row>
    <row r="148" spans="1:13" hidden="1" x14ac:dyDescent="0.15">
      <c r="A148" t="s">
        <v>502</v>
      </c>
      <c r="B148" t="s">
        <v>503</v>
      </c>
      <c r="C148" t="s">
        <v>504</v>
      </c>
      <c r="D148" t="s">
        <v>486</v>
      </c>
      <c r="E148">
        <v>0</v>
      </c>
      <c r="F148" t="str">
        <f>HYPERLINK("https://github.com/vickychijwani/quill/issues/21", "show")</f>
        <v>show</v>
      </c>
      <c r="G148" t="str">
        <f>HYPERLINK("https://github.com/vickychijwani/quill", "show")</f>
        <v>show</v>
      </c>
      <c r="H148" t="str">
        <f>HYPERLINK("https://github.com/vickychijwani/quill/releases", "show")</f>
        <v>show</v>
      </c>
      <c r="I148">
        <v>1</v>
      </c>
      <c r="J148">
        <v>0</v>
      </c>
      <c r="K148">
        <v>0</v>
      </c>
      <c r="L148">
        <v>0</v>
      </c>
      <c r="M148" t="s">
        <v>17</v>
      </c>
    </row>
    <row r="149" spans="1:13" hidden="1" x14ac:dyDescent="0.15">
      <c r="A149" t="s">
        <v>505</v>
      </c>
      <c r="B149" t="s">
        <v>506</v>
      </c>
      <c r="C149" t="s">
        <v>507</v>
      </c>
      <c r="D149" t="s">
        <v>486</v>
      </c>
      <c r="E149">
        <v>5</v>
      </c>
      <c r="F149" t="str">
        <f>HYPERLINK("https://github.com/h6ah4i/android-advancedrecyclerview/issues/10", "show")</f>
        <v>show</v>
      </c>
      <c r="G149" t="str">
        <f>HYPERLINK("https://github.com/h6ah4i/android-advancedrecyclerview", "show")</f>
        <v>show</v>
      </c>
      <c r="H149" t="str">
        <f>HYPERLINK("https://github.com/h6ah4i/android-advancedrecyclerview/releases", "show")</f>
        <v>show</v>
      </c>
      <c r="I149">
        <v>1</v>
      </c>
      <c r="J149">
        <v>0</v>
      </c>
      <c r="K149">
        <v>0</v>
      </c>
      <c r="L149">
        <v>0</v>
      </c>
      <c r="M149" t="s">
        <v>17</v>
      </c>
    </row>
    <row r="150" spans="1:13" hidden="1" x14ac:dyDescent="0.15">
      <c r="A150" t="s">
        <v>508</v>
      </c>
      <c r="B150" t="s">
        <v>509</v>
      </c>
      <c r="C150" t="s">
        <v>510</v>
      </c>
      <c r="D150" t="s">
        <v>486</v>
      </c>
      <c r="E150">
        <v>1</v>
      </c>
      <c r="F150" t="str">
        <f>HYPERLINK("https://github.com/jt19056/Notey/issues/22", "show")</f>
        <v>show</v>
      </c>
      <c r="G150" t="str">
        <f>HYPERLINK("https://github.com/jt19056/Notey", "show")</f>
        <v>show</v>
      </c>
      <c r="H150" t="str">
        <f>HYPERLINK("https://github.com/jt19056/Notey/releases", "show")</f>
        <v>show</v>
      </c>
      <c r="I150">
        <v>0</v>
      </c>
      <c r="J150">
        <v>0</v>
      </c>
      <c r="K150">
        <v>0</v>
      </c>
      <c r="L150">
        <v>0</v>
      </c>
      <c r="M150" t="s">
        <v>43</v>
      </c>
    </row>
    <row r="151" spans="1:13" hidden="1" x14ac:dyDescent="0.15">
      <c r="A151" t="s">
        <v>511</v>
      </c>
      <c r="B151" t="s">
        <v>512</v>
      </c>
      <c r="C151" t="s">
        <v>513</v>
      </c>
      <c r="D151" t="s">
        <v>486</v>
      </c>
      <c r="E151">
        <v>0</v>
      </c>
      <c r="F151" t="str">
        <f>HYPERLINK("https://github.com/Any1s/RBTV-Sendeplan/issues/35", "show")</f>
        <v>show</v>
      </c>
      <c r="G151" t="str">
        <f>HYPERLINK("https://github.com/Any1s/RBTV-Sendeplan", "show")</f>
        <v>show</v>
      </c>
      <c r="H151" t="str">
        <f>HYPERLINK("https://github.com/Any1s/RBTV-Sendeplan/releases", "show")</f>
        <v>show</v>
      </c>
      <c r="I151">
        <v>0</v>
      </c>
      <c r="J151">
        <v>0</v>
      </c>
      <c r="K151">
        <v>1</v>
      </c>
      <c r="L151">
        <v>0</v>
      </c>
      <c r="M151" t="s">
        <v>122</v>
      </c>
    </row>
    <row r="152" spans="1:13" hidden="1" x14ac:dyDescent="0.15">
      <c r="A152" t="s">
        <v>514</v>
      </c>
      <c r="B152" t="s">
        <v>515</v>
      </c>
      <c r="C152" t="s">
        <v>516</v>
      </c>
      <c r="D152" t="s">
        <v>517</v>
      </c>
      <c r="E152">
        <v>74</v>
      </c>
      <c r="F152" t="str">
        <f>HYPERLINK("https://github.com/mozilla/webmaker-android/issues/1402", "show")</f>
        <v>show</v>
      </c>
      <c r="G152" t="str">
        <f>HYPERLINK("https://github.com/mozilla/webmaker-android", "show")</f>
        <v>show</v>
      </c>
      <c r="H152" t="str">
        <f>HYPERLINK("https://github.com/mozilla/webmaker-android/releases", "show")</f>
        <v>show</v>
      </c>
      <c r="I152">
        <v>1</v>
      </c>
      <c r="J152">
        <v>0</v>
      </c>
      <c r="K152">
        <v>0</v>
      </c>
      <c r="L152">
        <v>1</v>
      </c>
      <c r="M152" t="s">
        <v>29</v>
      </c>
    </row>
    <row r="153" spans="1:13" hidden="1" x14ac:dyDescent="0.15">
      <c r="A153" t="s">
        <v>518</v>
      </c>
      <c r="B153" t="s">
        <v>519</v>
      </c>
      <c r="C153" t="s">
        <v>520</v>
      </c>
      <c r="D153" t="s">
        <v>517</v>
      </c>
      <c r="E153">
        <v>60</v>
      </c>
      <c r="F153" t="str">
        <f>HYPERLINK("https://github.com/gdg-x/frisbee/issues/240", "show")</f>
        <v>show</v>
      </c>
      <c r="G153" t="str">
        <f>HYPERLINK("https://github.com/gdg-x/frisbee", "show")</f>
        <v>show</v>
      </c>
      <c r="H153" t="str">
        <f>HYPERLINK("https://github.com/gdg-x/frisbee/releases", "show")</f>
        <v>show</v>
      </c>
      <c r="I153">
        <v>1</v>
      </c>
      <c r="J153">
        <v>0</v>
      </c>
      <c r="K153">
        <v>1</v>
      </c>
      <c r="L153">
        <v>0</v>
      </c>
      <c r="M153" t="s">
        <v>64</v>
      </c>
    </row>
    <row r="154" spans="1:13" hidden="1" x14ac:dyDescent="0.15">
      <c r="A154" t="s">
        <v>521</v>
      </c>
      <c r="B154" t="s">
        <v>522</v>
      </c>
      <c r="C154" t="s">
        <v>523</v>
      </c>
      <c r="D154" t="s">
        <v>517</v>
      </c>
      <c r="E154">
        <v>0</v>
      </c>
      <c r="F154" t="str">
        <f>HYPERLINK("https://github.com/mozilla/MozStumbler/issues/1515", "show")</f>
        <v>show</v>
      </c>
      <c r="G154" t="str">
        <f>HYPERLINK("https://github.com/mozilla/MozStumbler", "show")</f>
        <v>show</v>
      </c>
      <c r="H154" t="str">
        <f>HYPERLINK("https://github.com/mozilla/MozStumbler/releases", "show")</f>
        <v>show</v>
      </c>
      <c r="I154">
        <v>0</v>
      </c>
      <c r="J154">
        <v>0</v>
      </c>
      <c r="K154">
        <v>1</v>
      </c>
      <c r="L154">
        <v>0</v>
      </c>
      <c r="M154" t="s">
        <v>122</v>
      </c>
    </row>
    <row r="155" spans="1:13" hidden="1" x14ac:dyDescent="0.15">
      <c r="A155" t="s">
        <v>524</v>
      </c>
      <c r="B155" t="s">
        <v>525</v>
      </c>
      <c r="C155" t="s">
        <v>526</v>
      </c>
      <c r="D155" t="s">
        <v>527</v>
      </c>
      <c r="E155">
        <v>153</v>
      </c>
      <c r="F155" t="str">
        <f>HYPERLINK("https://github.com/facebook/stetho/issues/76", "show")</f>
        <v>show</v>
      </c>
      <c r="G155" t="str">
        <f>HYPERLINK("https://github.com/facebook/stetho", "show")</f>
        <v>show</v>
      </c>
      <c r="H155" t="str">
        <f>HYPERLINK("https://github.com/facebook/stetho/releases", "show")</f>
        <v>show</v>
      </c>
      <c r="I155">
        <v>1</v>
      </c>
      <c r="J155">
        <v>0</v>
      </c>
      <c r="K155">
        <v>0</v>
      </c>
      <c r="L155">
        <v>0</v>
      </c>
      <c r="M155" t="s">
        <v>17</v>
      </c>
    </row>
    <row r="156" spans="1:13" hidden="1" x14ac:dyDescent="0.15">
      <c r="A156" t="s">
        <v>528</v>
      </c>
      <c r="B156" t="s">
        <v>529</v>
      </c>
      <c r="C156" t="s">
        <v>530</v>
      </c>
      <c r="D156" t="s">
        <v>527</v>
      </c>
      <c r="E156">
        <v>35</v>
      </c>
      <c r="F156" t="str">
        <f>HYPERLINK("https://github.com/eugenkiss/chanobol/issues/120", "show")</f>
        <v>show</v>
      </c>
      <c r="G156" t="str">
        <f>HYPERLINK("https://github.com/eugenkiss/chanobol", "show")</f>
        <v>show</v>
      </c>
      <c r="H156" t="str">
        <f>HYPERLINK("https://github.com/eugenkiss/chanobol/releases", "show")</f>
        <v>show</v>
      </c>
      <c r="I156">
        <v>1</v>
      </c>
      <c r="J156">
        <v>0</v>
      </c>
      <c r="K156">
        <v>1</v>
      </c>
      <c r="L156">
        <v>0</v>
      </c>
      <c r="M156" t="s">
        <v>64</v>
      </c>
    </row>
    <row r="157" spans="1:13" hidden="1" x14ac:dyDescent="0.15">
      <c r="A157" t="s">
        <v>531</v>
      </c>
      <c r="B157" t="s">
        <v>532</v>
      </c>
      <c r="C157" t="s">
        <v>533</v>
      </c>
      <c r="D157" t="s">
        <v>527</v>
      </c>
      <c r="E157">
        <v>0</v>
      </c>
      <c r="F157" t="str">
        <f>HYPERLINK("https://github.com/jt19056/Notey/issues/24", "show")</f>
        <v>show</v>
      </c>
      <c r="G157" t="str">
        <f>HYPERLINK("https://github.com/jt19056/Notey", "show")</f>
        <v>show</v>
      </c>
      <c r="H157" t="str">
        <f>HYPERLINK("https://github.com/jt19056/Notey/releases", "show")</f>
        <v>show</v>
      </c>
      <c r="I157">
        <v>1</v>
      </c>
      <c r="J157">
        <v>0</v>
      </c>
      <c r="K157">
        <v>0</v>
      </c>
      <c r="L157">
        <v>1</v>
      </c>
      <c r="M157" t="s">
        <v>29</v>
      </c>
    </row>
    <row r="158" spans="1:13" hidden="1" x14ac:dyDescent="0.15">
      <c r="A158" t="s">
        <v>534</v>
      </c>
      <c r="B158" t="s">
        <v>535</v>
      </c>
      <c r="C158" t="s">
        <v>536</v>
      </c>
      <c r="D158" t="s">
        <v>537</v>
      </c>
      <c r="E158">
        <v>23</v>
      </c>
      <c r="F158" t="str">
        <f>HYPERLINK("https://github.com/libgdx/libgdx/issues/2886", "show")</f>
        <v>show</v>
      </c>
      <c r="G158" t="str">
        <f>HYPERLINK("https://github.com/libgdx/libgdx", "show")</f>
        <v>show</v>
      </c>
      <c r="H158" t="str">
        <f>HYPERLINK("https://github.com/libgdx/libgdx/releases", "show")</f>
        <v>show</v>
      </c>
      <c r="I158">
        <v>0</v>
      </c>
      <c r="J158">
        <v>0</v>
      </c>
      <c r="K158">
        <v>0</v>
      </c>
      <c r="L158">
        <v>0</v>
      </c>
      <c r="M158" t="s">
        <v>43</v>
      </c>
    </row>
    <row r="159" spans="1:13" hidden="1" x14ac:dyDescent="0.15">
      <c r="A159" t="s">
        <v>538</v>
      </c>
      <c r="B159" t="s">
        <v>539</v>
      </c>
      <c r="D159" t="s">
        <v>540</v>
      </c>
      <c r="E159">
        <v>2</v>
      </c>
      <c r="F159" t="str">
        <f>HYPERLINK("https://github.com/liato/android-bankdroid/issues/478", "show")</f>
        <v>show</v>
      </c>
      <c r="G159" t="str">
        <f>HYPERLINK("https://github.com/liato/android-bankdroid", "show")</f>
        <v>show</v>
      </c>
      <c r="H159" t="str">
        <f>HYPERLINK("https://github.com/liato/android-bankdroid/releases", "show")</f>
        <v>show</v>
      </c>
      <c r="I159">
        <v>1</v>
      </c>
      <c r="J159">
        <v>0</v>
      </c>
      <c r="K159">
        <v>1</v>
      </c>
      <c r="L159">
        <v>0</v>
      </c>
      <c r="M159" t="s">
        <v>64</v>
      </c>
    </row>
    <row r="160" spans="1:13" hidden="1" x14ac:dyDescent="0.15">
      <c r="A160" t="s">
        <v>541</v>
      </c>
      <c r="B160" t="s">
        <v>542</v>
      </c>
      <c r="C160" t="s">
        <v>543</v>
      </c>
      <c r="D160" t="s">
        <v>540</v>
      </c>
      <c r="E160">
        <v>0</v>
      </c>
      <c r="F160" t="str">
        <f>HYPERLINK("https://github.com/liato/android-bankdroid/issues/475", "show")</f>
        <v>show</v>
      </c>
      <c r="G160" t="str">
        <f>HYPERLINK("https://github.com/liato/android-bankdroid", "show")</f>
        <v>show</v>
      </c>
      <c r="H160" t="str">
        <f>HYPERLINK("https://github.com/liato/android-bankdroid/releases", "show")</f>
        <v>show</v>
      </c>
      <c r="I160">
        <v>0</v>
      </c>
      <c r="J160">
        <v>0</v>
      </c>
      <c r="K160">
        <v>1</v>
      </c>
      <c r="L160">
        <v>0</v>
      </c>
      <c r="M160" t="s">
        <v>122</v>
      </c>
    </row>
    <row r="161" spans="1:13" hidden="1" x14ac:dyDescent="0.15">
      <c r="A161" t="s">
        <v>544</v>
      </c>
      <c r="B161" t="s">
        <v>545</v>
      </c>
      <c r="C161" t="s">
        <v>546</v>
      </c>
      <c r="D161" t="s">
        <v>547</v>
      </c>
      <c r="E161">
        <v>408</v>
      </c>
      <c r="F161" t="str">
        <f>HYPERLINK("https://github.com/fixme-lausanne/MyHackerspace/issues/32", "show")</f>
        <v>show</v>
      </c>
      <c r="G161" t="str">
        <f>HYPERLINK("https://github.com/fixme-lausanne/MyHackerspace", "show")</f>
        <v>show</v>
      </c>
      <c r="H161" t="str">
        <f>HYPERLINK("https://github.com/fixme-lausanne/MyHackerspace/releases", "show")</f>
        <v>show</v>
      </c>
      <c r="I161">
        <v>1</v>
      </c>
      <c r="J161">
        <v>0</v>
      </c>
      <c r="K161">
        <v>0</v>
      </c>
      <c r="L161">
        <v>1</v>
      </c>
      <c r="M161" t="s">
        <v>29</v>
      </c>
    </row>
    <row r="162" spans="1:13" hidden="1" x14ac:dyDescent="0.15">
      <c r="A162" t="s">
        <v>548</v>
      </c>
      <c r="B162" t="s">
        <v>549</v>
      </c>
      <c r="C162" t="s">
        <v>550</v>
      </c>
      <c r="D162" t="s">
        <v>547</v>
      </c>
      <c r="E162">
        <v>4</v>
      </c>
      <c r="F162" t="str">
        <f>HYPERLINK("https://github.com/SimenCodes/heads-up/issues/72", "show")</f>
        <v>show</v>
      </c>
      <c r="G162" t="str">
        <f>HYPERLINK("https://github.com/SimenCodes/heads-up", "show")</f>
        <v>show</v>
      </c>
      <c r="H162" t="str">
        <f>HYPERLINK("https://github.com/SimenCodes/heads-up/releases", "show")</f>
        <v>show</v>
      </c>
      <c r="I162">
        <v>1</v>
      </c>
      <c r="J162">
        <v>0</v>
      </c>
      <c r="K162">
        <v>0</v>
      </c>
      <c r="L162">
        <v>0</v>
      </c>
      <c r="M162" t="s">
        <v>17</v>
      </c>
    </row>
    <row r="163" spans="1:13" hidden="1" x14ac:dyDescent="0.15">
      <c r="A163" t="s">
        <v>551</v>
      </c>
      <c r="B163" t="s">
        <v>552</v>
      </c>
      <c r="C163" t="s">
        <v>553</v>
      </c>
      <c r="D163" t="s">
        <v>554</v>
      </c>
      <c r="E163">
        <v>0</v>
      </c>
      <c r="F163" t="str">
        <f>HYPERLINK("https://github.com/piemasters/SmartLock/issues/5", "show")</f>
        <v>show</v>
      </c>
      <c r="G163" t="str">
        <f>HYPERLINK("https://github.com/piemasters/SmartLock", "show")</f>
        <v>show</v>
      </c>
      <c r="H163" t="str">
        <f>HYPERLINK("https://github.com/piemasters/SmartLock/releases", "show")</f>
        <v>show</v>
      </c>
      <c r="I163">
        <v>1</v>
      </c>
      <c r="J163">
        <v>0</v>
      </c>
      <c r="K163">
        <v>0</v>
      </c>
      <c r="L163">
        <v>0</v>
      </c>
      <c r="M163" t="s">
        <v>17</v>
      </c>
    </row>
    <row r="164" spans="1:13" hidden="1" x14ac:dyDescent="0.15">
      <c r="A164" t="s">
        <v>555</v>
      </c>
      <c r="B164" t="s">
        <v>556</v>
      </c>
      <c r="C164" t="s">
        <v>557</v>
      </c>
      <c r="D164" t="s">
        <v>558</v>
      </c>
      <c r="E164">
        <v>4</v>
      </c>
      <c r="F164" t="str">
        <f>HYPERLINK("https://github.com/eugenkiss/chanobol/issues/129", "show")</f>
        <v>show</v>
      </c>
      <c r="G164" t="str">
        <f>HYPERLINK("https://github.com/eugenkiss/chanobol", "show")</f>
        <v>show</v>
      </c>
      <c r="H164" t="str">
        <f>HYPERLINK("https://github.com/eugenkiss/chanobol/releases", "show")</f>
        <v>show</v>
      </c>
      <c r="I164">
        <v>0</v>
      </c>
      <c r="J164">
        <v>0</v>
      </c>
      <c r="K164">
        <v>1</v>
      </c>
      <c r="L164">
        <v>0</v>
      </c>
      <c r="M164" t="s">
        <v>122</v>
      </c>
    </row>
    <row r="165" spans="1:13" hidden="1" x14ac:dyDescent="0.15">
      <c r="A165" t="s">
        <v>559</v>
      </c>
      <c r="B165" t="s">
        <v>560</v>
      </c>
      <c r="C165" t="s">
        <v>561</v>
      </c>
      <c r="D165" t="s">
        <v>558</v>
      </c>
      <c r="E165">
        <v>0</v>
      </c>
      <c r="F165" t="str">
        <f>HYPERLINK("https://github.com/the-blue-alliance/the-blue-alliance-android/issues/343", "show")</f>
        <v>show</v>
      </c>
      <c r="G165" t="str">
        <f>HYPERLINK("https://github.com/the-blue-alliance/the-blue-alliance-android", "show")</f>
        <v>show</v>
      </c>
      <c r="H165" t="str">
        <f>HYPERLINK("https://github.com/the-blue-alliance/the-blue-alliance-android/releases", "show")</f>
        <v>show</v>
      </c>
      <c r="I165">
        <v>1</v>
      </c>
      <c r="J165">
        <v>0</v>
      </c>
      <c r="K165">
        <v>0</v>
      </c>
      <c r="L165">
        <v>0</v>
      </c>
      <c r="M165" t="s">
        <v>17</v>
      </c>
    </row>
    <row r="166" spans="1:13" hidden="1" x14ac:dyDescent="0.15">
      <c r="A166" t="s">
        <v>562</v>
      </c>
      <c r="B166" t="s">
        <v>563</v>
      </c>
      <c r="C166" t="s">
        <v>564</v>
      </c>
      <c r="D166" t="s">
        <v>565</v>
      </c>
      <c r="E166">
        <v>48</v>
      </c>
      <c r="F166" t="str">
        <f>HYPERLINK("https://github.com/nextgis/metro4all-android/issues/4", "show")</f>
        <v>show</v>
      </c>
      <c r="G166" t="str">
        <f>HYPERLINK("https://github.com/nextgis/metro4all-android", "show")</f>
        <v>show</v>
      </c>
      <c r="H166" t="str">
        <f>HYPERLINK("https://github.com/nextgis/metro4all-android/releases", "show")</f>
        <v>show</v>
      </c>
      <c r="I166">
        <v>1</v>
      </c>
      <c r="J166">
        <v>0</v>
      </c>
      <c r="K166">
        <v>0</v>
      </c>
      <c r="L166">
        <v>0</v>
      </c>
      <c r="M166" t="s">
        <v>17</v>
      </c>
    </row>
    <row r="167" spans="1:13" hidden="1" x14ac:dyDescent="0.15">
      <c r="A167" t="s">
        <v>566</v>
      </c>
      <c r="B167" t="s">
        <v>567</v>
      </c>
      <c r="D167" t="s">
        <v>565</v>
      </c>
      <c r="E167">
        <v>1</v>
      </c>
      <c r="F167" t="str">
        <f>HYPERLINK("https://github.com/gdg-x/frisbee/issues/298", "show")</f>
        <v>show</v>
      </c>
      <c r="G167" t="str">
        <f>HYPERLINK("https://github.com/gdg-x/frisbee", "show")</f>
        <v>show</v>
      </c>
      <c r="H167" t="str">
        <f>HYPERLINK("https://github.com/gdg-x/frisbee/releases", "show")</f>
        <v>show</v>
      </c>
      <c r="I167">
        <v>1</v>
      </c>
      <c r="J167">
        <v>0</v>
      </c>
      <c r="K167">
        <v>1</v>
      </c>
      <c r="L167">
        <v>0</v>
      </c>
      <c r="M167" t="s">
        <v>64</v>
      </c>
    </row>
    <row r="168" spans="1:13" hidden="1" x14ac:dyDescent="0.15">
      <c r="A168" t="s">
        <v>568</v>
      </c>
      <c r="B168" t="s">
        <v>569</v>
      </c>
      <c r="D168" t="s">
        <v>565</v>
      </c>
      <c r="E168">
        <v>0</v>
      </c>
      <c r="F168" t="str">
        <f>HYPERLINK("https://github.com/gdg-x/frisbee/issues/296", "show")</f>
        <v>show</v>
      </c>
      <c r="G168" t="str">
        <f>HYPERLINK("https://github.com/gdg-x/frisbee", "show")</f>
        <v>show</v>
      </c>
      <c r="H168" t="str">
        <f>HYPERLINK("https://github.com/gdg-x/frisbee/releases", "show")</f>
        <v>show</v>
      </c>
      <c r="I168">
        <v>1</v>
      </c>
      <c r="J168">
        <v>0</v>
      </c>
      <c r="K168">
        <v>1</v>
      </c>
      <c r="L168">
        <v>0</v>
      </c>
      <c r="M168" t="s">
        <v>64</v>
      </c>
    </row>
    <row r="169" spans="1:13" hidden="1" x14ac:dyDescent="0.15">
      <c r="A169" t="s">
        <v>570</v>
      </c>
      <c r="B169" t="s">
        <v>571</v>
      </c>
      <c r="D169" t="s">
        <v>565</v>
      </c>
      <c r="E169">
        <v>0</v>
      </c>
      <c r="F169" t="str">
        <f>HYPERLINK("https://github.com/gdg-x/frisbee/issues/295", "show")</f>
        <v>show</v>
      </c>
      <c r="G169" t="str">
        <f>HYPERLINK("https://github.com/gdg-x/frisbee", "show")</f>
        <v>show</v>
      </c>
      <c r="H169" t="str">
        <f>HYPERLINK("https://github.com/gdg-x/frisbee/releases", "show")</f>
        <v>show</v>
      </c>
      <c r="I169">
        <v>1</v>
      </c>
      <c r="J169">
        <v>0</v>
      </c>
      <c r="K169">
        <v>1</v>
      </c>
      <c r="L169">
        <v>0</v>
      </c>
      <c r="M169" t="s">
        <v>64</v>
      </c>
    </row>
    <row r="170" spans="1:13" hidden="1" x14ac:dyDescent="0.15">
      <c r="A170" t="s">
        <v>572</v>
      </c>
      <c r="B170" t="s">
        <v>573</v>
      </c>
      <c r="D170" t="s">
        <v>565</v>
      </c>
      <c r="E170">
        <v>0</v>
      </c>
      <c r="F170" t="str">
        <f>HYPERLINK("https://github.com/mixpanel/mixpanel-android/issues/179", "show")</f>
        <v>show</v>
      </c>
      <c r="G170" t="str">
        <f>HYPERLINK("https://github.com/mixpanel/mixpanel-android", "show")</f>
        <v>show</v>
      </c>
      <c r="H170" t="str">
        <f>HYPERLINK("https://github.com/mixpanel/mixpanel-android/releases", "show")</f>
        <v>show</v>
      </c>
      <c r="I170">
        <v>1</v>
      </c>
      <c r="J170">
        <v>0</v>
      </c>
      <c r="K170">
        <v>0</v>
      </c>
      <c r="L170">
        <v>0</v>
      </c>
      <c r="M170" t="s">
        <v>17</v>
      </c>
    </row>
    <row r="171" spans="1:13" hidden="1" x14ac:dyDescent="0.15">
      <c r="A171" t="s">
        <v>574</v>
      </c>
      <c r="B171" t="s">
        <v>575</v>
      </c>
      <c r="C171" t="s">
        <v>576</v>
      </c>
      <c r="D171" t="s">
        <v>577</v>
      </c>
      <c r="E171">
        <v>248</v>
      </c>
      <c r="F171" t="str">
        <f>HYPERLINK("https://github.com/glae/if_exceed_speed_limits_then_lower_music/issues/4", "show")</f>
        <v>show</v>
      </c>
      <c r="G171" t="str">
        <f>HYPERLINK("https://github.com/glae/if_exceed_speed_limits_then_lower_music", "show")</f>
        <v>show</v>
      </c>
      <c r="H171" t="str">
        <f>HYPERLINK("https://github.com/glae/if_exceed_speed_limits_then_lower_music/releases", "show")</f>
        <v>show</v>
      </c>
      <c r="I171">
        <v>1</v>
      </c>
      <c r="J171">
        <v>0</v>
      </c>
      <c r="K171">
        <v>0</v>
      </c>
      <c r="L171">
        <v>0</v>
      </c>
      <c r="M171" t="s">
        <v>17</v>
      </c>
    </row>
    <row r="172" spans="1:13" hidden="1" x14ac:dyDescent="0.15">
      <c r="A172" t="s">
        <v>578</v>
      </c>
      <c r="B172" t="s">
        <v>579</v>
      </c>
      <c r="C172" t="s">
        <v>580</v>
      </c>
      <c r="D172" t="s">
        <v>577</v>
      </c>
      <c r="E172">
        <v>6</v>
      </c>
      <c r="F172" t="str">
        <f>HYPERLINK("https://github.com/gdg-x/frisbee/issues/301", "show")</f>
        <v>show</v>
      </c>
      <c r="G172" t="str">
        <f>HYPERLINK("https://github.com/gdg-x/frisbee", "show")</f>
        <v>show</v>
      </c>
      <c r="H172" t="str">
        <f>HYPERLINK("https://github.com/gdg-x/frisbee/releases", "show")</f>
        <v>show</v>
      </c>
      <c r="I172">
        <v>0</v>
      </c>
      <c r="J172">
        <v>0</v>
      </c>
      <c r="K172">
        <v>0</v>
      </c>
      <c r="L172">
        <v>1</v>
      </c>
      <c r="M172" t="s">
        <v>581</v>
      </c>
    </row>
    <row r="173" spans="1:13" hidden="1" x14ac:dyDescent="0.15">
      <c r="A173" t="s">
        <v>582</v>
      </c>
      <c r="B173" t="s">
        <v>583</v>
      </c>
      <c r="C173" t="s">
        <v>584</v>
      </c>
      <c r="D173" t="s">
        <v>577</v>
      </c>
      <c r="E173">
        <v>15</v>
      </c>
      <c r="F173" t="str">
        <f>HYPERLINK("https://github.com/eugenkiss/chanobol/issues/134", "show")</f>
        <v>show</v>
      </c>
      <c r="G173" t="str">
        <f>HYPERLINK("https://github.com/eugenkiss/chanobol", "show")</f>
        <v>show</v>
      </c>
      <c r="H173" t="str">
        <f>HYPERLINK("https://github.com/eugenkiss/chanobol/releases", "show")</f>
        <v>show</v>
      </c>
      <c r="I173">
        <v>0</v>
      </c>
      <c r="J173">
        <v>0</v>
      </c>
      <c r="K173">
        <v>1</v>
      </c>
      <c r="L173">
        <v>0</v>
      </c>
      <c r="M173" t="s">
        <v>122</v>
      </c>
    </row>
    <row r="174" spans="1:13" hidden="1" x14ac:dyDescent="0.15">
      <c r="A174" t="s">
        <v>585</v>
      </c>
      <c r="B174" t="s">
        <v>586</v>
      </c>
      <c r="C174" t="s">
        <v>587</v>
      </c>
      <c r="D174" t="s">
        <v>588</v>
      </c>
      <c r="E174">
        <v>1653</v>
      </c>
      <c r="F174" t="str">
        <f>HYPERLINK("https://github.com/mixpanel/mixpanel-android/issues/180", "show")</f>
        <v>show</v>
      </c>
      <c r="G174" t="str">
        <f>HYPERLINK("https://github.com/mixpanel/mixpanel-android", "show")</f>
        <v>show</v>
      </c>
      <c r="H174" t="str">
        <f>HYPERLINK("https://github.com/mixpanel/mixpanel-android/releases", "show")</f>
        <v>show</v>
      </c>
      <c r="I174">
        <v>0</v>
      </c>
      <c r="J174">
        <v>0</v>
      </c>
      <c r="K174">
        <v>1</v>
      </c>
      <c r="L174">
        <v>0</v>
      </c>
      <c r="M174" t="s">
        <v>122</v>
      </c>
    </row>
    <row r="175" spans="1:13" hidden="1" x14ac:dyDescent="0.15">
      <c r="A175" t="s">
        <v>589</v>
      </c>
      <c r="B175" t="s">
        <v>590</v>
      </c>
      <c r="C175" t="s">
        <v>591</v>
      </c>
      <c r="D175" t="s">
        <v>588</v>
      </c>
      <c r="E175">
        <v>0</v>
      </c>
      <c r="F175" t="str">
        <f>HYPERLINK("https://github.com/segmentio/analytics-android/issues/223", "show")</f>
        <v>show</v>
      </c>
      <c r="G175" t="str">
        <f>HYPERLINK("https://github.com/segmentio/analytics-android", "show")</f>
        <v>show</v>
      </c>
      <c r="H175" t="str">
        <f>HYPERLINK("https://github.com/segmentio/analytics-android/releases", "show")</f>
        <v>show</v>
      </c>
      <c r="I175">
        <v>1</v>
      </c>
      <c r="J175">
        <v>0</v>
      </c>
      <c r="K175">
        <v>1</v>
      </c>
      <c r="L175">
        <v>0</v>
      </c>
      <c r="M175" t="s">
        <v>64</v>
      </c>
    </row>
    <row r="176" spans="1:13" hidden="1" x14ac:dyDescent="0.15">
      <c r="A176" t="s">
        <v>592</v>
      </c>
      <c r="B176" t="s">
        <v>593</v>
      </c>
      <c r="C176" t="s">
        <v>594</v>
      </c>
      <c r="D176" t="s">
        <v>588</v>
      </c>
      <c r="E176">
        <v>2</v>
      </c>
      <c r="F176" t="str">
        <f>HYPERLINK("https://github.com/geopaparazzi/geopaparazzi/issues/245", "show")</f>
        <v>show</v>
      </c>
      <c r="G176" t="str">
        <f>HYPERLINK("https://github.com/geopaparazzi/geopaparazzi", "show")</f>
        <v>show</v>
      </c>
      <c r="H176" t="str">
        <f>HYPERLINK("https://github.com/geopaparazzi/geopaparazzi/releases", "show")</f>
        <v>show</v>
      </c>
      <c r="I176">
        <v>0</v>
      </c>
      <c r="J176">
        <v>0</v>
      </c>
      <c r="K176">
        <v>1</v>
      </c>
      <c r="L176">
        <v>0</v>
      </c>
      <c r="M176" t="s">
        <v>122</v>
      </c>
    </row>
    <row r="177" spans="1:13" hidden="1" x14ac:dyDescent="0.15">
      <c r="A177" t="s">
        <v>595</v>
      </c>
      <c r="B177" t="s">
        <v>596</v>
      </c>
      <c r="C177" t="s">
        <v>597</v>
      </c>
      <c r="D177" t="s">
        <v>588</v>
      </c>
      <c r="E177">
        <v>2</v>
      </c>
      <c r="F177" t="str">
        <f>HYPERLINK("https://github.com/geopaparazzi/geopaparazzi/issues/244", "show")</f>
        <v>show</v>
      </c>
      <c r="G177" t="str">
        <f>HYPERLINK("https://github.com/geopaparazzi/geopaparazzi", "show")</f>
        <v>show</v>
      </c>
      <c r="H177" t="str">
        <f>HYPERLINK("https://github.com/geopaparazzi/geopaparazzi/releases", "show")</f>
        <v>show</v>
      </c>
      <c r="I177">
        <v>0</v>
      </c>
      <c r="J177">
        <v>0</v>
      </c>
      <c r="K177">
        <v>1</v>
      </c>
      <c r="L177">
        <v>0</v>
      </c>
      <c r="M177" t="s">
        <v>122</v>
      </c>
    </row>
    <row r="178" spans="1:13" hidden="1" x14ac:dyDescent="0.15">
      <c r="A178" t="s">
        <v>598</v>
      </c>
      <c r="B178" t="s">
        <v>599</v>
      </c>
      <c r="C178" t="s">
        <v>600</v>
      </c>
      <c r="D178" t="s">
        <v>588</v>
      </c>
      <c r="E178">
        <v>2</v>
      </c>
      <c r="F178" t="str">
        <f>HYPERLINK("https://github.com/geopaparazzi/geopaparazzi/issues/242", "show")</f>
        <v>show</v>
      </c>
      <c r="G178" t="str">
        <f>HYPERLINK("https://github.com/geopaparazzi/geopaparazzi", "show")</f>
        <v>show</v>
      </c>
      <c r="H178" t="str">
        <f>HYPERLINK("https://github.com/geopaparazzi/geopaparazzi/releases", "show")</f>
        <v>show</v>
      </c>
      <c r="I178">
        <v>0</v>
      </c>
      <c r="J178">
        <v>0</v>
      </c>
      <c r="K178">
        <v>1</v>
      </c>
      <c r="L178">
        <v>0</v>
      </c>
      <c r="M178" t="s">
        <v>122</v>
      </c>
    </row>
    <row r="179" spans="1:13" hidden="1" x14ac:dyDescent="0.15">
      <c r="A179" t="s">
        <v>601</v>
      </c>
      <c r="B179" t="s">
        <v>602</v>
      </c>
      <c r="C179" t="s">
        <v>603</v>
      </c>
      <c r="D179" t="s">
        <v>604</v>
      </c>
      <c r="E179">
        <v>1</v>
      </c>
      <c r="F179" t="str">
        <f>HYPERLINK("https://github.com/jamienicol/episodes/issues/32", "show")</f>
        <v>show</v>
      </c>
      <c r="G179" t="str">
        <f>HYPERLINK("https://github.com/jamienicol/episodes", "show")</f>
        <v>show</v>
      </c>
      <c r="H179" t="str">
        <f>HYPERLINK("https://github.com/jamienicol/episodes/releases", "show")</f>
        <v>show</v>
      </c>
      <c r="I179">
        <v>1</v>
      </c>
      <c r="J179">
        <v>0</v>
      </c>
      <c r="K179">
        <v>0</v>
      </c>
      <c r="L179">
        <v>0</v>
      </c>
      <c r="M179" t="s">
        <v>17</v>
      </c>
    </row>
    <row r="180" spans="1:13" hidden="1" x14ac:dyDescent="0.15">
      <c r="A180" t="s">
        <v>605</v>
      </c>
      <c r="B180" t="s">
        <v>606</v>
      </c>
      <c r="C180" t="s">
        <v>607</v>
      </c>
      <c r="D180" t="s">
        <v>608</v>
      </c>
      <c r="E180">
        <v>0</v>
      </c>
      <c r="F180" t="str">
        <f>HYPERLINK("https://github.com/facebook/stetho/issues/83", "show")</f>
        <v>show</v>
      </c>
      <c r="G180" t="str">
        <f>HYPERLINK("https://github.com/facebook/stetho", "show")</f>
        <v>show</v>
      </c>
      <c r="H180" t="str">
        <f>HYPERLINK("https://github.com/facebook/stetho/releases", "show")</f>
        <v>show</v>
      </c>
      <c r="I180">
        <v>1</v>
      </c>
      <c r="J180">
        <v>0</v>
      </c>
      <c r="K180">
        <v>0</v>
      </c>
      <c r="L180">
        <v>0</v>
      </c>
      <c r="M180" t="s">
        <v>17</v>
      </c>
    </row>
    <row r="181" spans="1:13" hidden="1" x14ac:dyDescent="0.15">
      <c r="A181" t="s">
        <v>609</v>
      </c>
      <c r="B181" t="s">
        <v>610</v>
      </c>
      <c r="C181" t="s">
        <v>611</v>
      </c>
      <c r="D181" t="s">
        <v>608</v>
      </c>
      <c r="E181">
        <v>0</v>
      </c>
      <c r="F181" t="str">
        <f>HYPERLINK("https://github.com/eugenkiss/chanobol/issues/137", "show")</f>
        <v>show</v>
      </c>
      <c r="G181" t="str">
        <f>HYPERLINK("https://github.com/eugenkiss/chanobol", "show")</f>
        <v>show</v>
      </c>
      <c r="H181" t="str">
        <f>HYPERLINK("https://github.com/eugenkiss/chanobol/releases", "show")</f>
        <v>show</v>
      </c>
      <c r="I181">
        <v>0</v>
      </c>
      <c r="J181">
        <v>0</v>
      </c>
      <c r="K181">
        <v>1</v>
      </c>
      <c r="L181">
        <v>0</v>
      </c>
      <c r="M181" t="s">
        <v>122</v>
      </c>
    </row>
    <row r="182" spans="1:13" hidden="1" x14ac:dyDescent="0.15">
      <c r="A182" t="s">
        <v>612</v>
      </c>
      <c r="B182" t="s">
        <v>613</v>
      </c>
      <c r="D182" t="s">
        <v>608</v>
      </c>
      <c r="E182">
        <v>0</v>
      </c>
      <c r="F182" t="str">
        <f>HYPERLINK("https://github.com/ZieIony/Carbon/issues/42", "show")</f>
        <v>show</v>
      </c>
      <c r="G182" t="str">
        <f>HYPERLINK("https://github.com/ZieIony/Carbon", "show")</f>
        <v>show</v>
      </c>
      <c r="H182" t="str">
        <f>HYPERLINK("https://github.com/ZieIony/Carbon/releases", "show")</f>
        <v>show</v>
      </c>
      <c r="I182">
        <v>1</v>
      </c>
      <c r="J182">
        <v>0</v>
      </c>
      <c r="K182">
        <v>0</v>
      </c>
      <c r="L182">
        <v>0</v>
      </c>
      <c r="M182" t="s">
        <v>17</v>
      </c>
    </row>
    <row r="183" spans="1:13" hidden="1" x14ac:dyDescent="0.15">
      <c r="A183" t="s">
        <v>614</v>
      </c>
      <c r="B183" t="s">
        <v>615</v>
      </c>
      <c r="D183" t="s">
        <v>608</v>
      </c>
      <c r="E183">
        <v>0</v>
      </c>
      <c r="F183" t="str">
        <f>HYPERLINK("https://github.com/ZieIony/Carbon/issues/41", "show")</f>
        <v>show</v>
      </c>
      <c r="G183" t="str">
        <f>HYPERLINK("https://github.com/ZieIony/Carbon", "show")</f>
        <v>show</v>
      </c>
      <c r="H183" t="str">
        <f>HYPERLINK("https://github.com/ZieIony/Carbon/releases", "show")</f>
        <v>show</v>
      </c>
      <c r="I183">
        <v>1</v>
      </c>
      <c r="J183">
        <v>0</v>
      </c>
      <c r="K183">
        <v>0</v>
      </c>
      <c r="L183">
        <v>0</v>
      </c>
      <c r="M183" t="s">
        <v>17</v>
      </c>
    </row>
    <row r="184" spans="1:13" hidden="1" x14ac:dyDescent="0.15">
      <c r="A184" t="s">
        <v>616</v>
      </c>
      <c r="B184" t="s">
        <v>617</v>
      </c>
      <c r="C184" t="s">
        <v>618</v>
      </c>
      <c r="D184" t="s">
        <v>619</v>
      </c>
      <c r="E184">
        <v>243</v>
      </c>
      <c r="F184" t="str">
        <f>HYPERLINK("https://github.com/mitmedialab/Action-Path-Client/issues/1", "show")</f>
        <v>show</v>
      </c>
      <c r="G184" t="str">
        <f>HYPERLINK("https://github.com/mitmedialab/Action-Path-Client", "show")</f>
        <v>show</v>
      </c>
      <c r="H184" t="str">
        <f>HYPERLINK("https://github.com/mitmedialab/Action-Path-Client/releases", "show")</f>
        <v>show</v>
      </c>
      <c r="I184">
        <v>1</v>
      </c>
      <c r="J184">
        <v>0</v>
      </c>
      <c r="K184">
        <v>0</v>
      </c>
      <c r="L184">
        <v>0</v>
      </c>
      <c r="M184" t="s">
        <v>17</v>
      </c>
    </row>
    <row r="185" spans="1:13" hidden="1" x14ac:dyDescent="0.15">
      <c r="A185" t="s">
        <v>620</v>
      </c>
      <c r="B185" t="s">
        <v>621</v>
      </c>
      <c r="C185" t="s">
        <v>622</v>
      </c>
      <c r="D185" t="s">
        <v>619</v>
      </c>
      <c r="E185">
        <v>3</v>
      </c>
      <c r="F185" t="str">
        <f>HYPERLINK("https://github.com/giletvin/ornidroid/issues/134", "show")</f>
        <v>show</v>
      </c>
      <c r="G185" t="str">
        <f>HYPERLINK("https://github.com/giletvin/ornidroid", "show")</f>
        <v>show</v>
      </c>
      <c r="H185" t="str">
        <f>HYPERLINK("https://github.com/giletvin/ornidroid/releases", "show")</f>
        <v>show</v>
      </c>
      <c r="I185">
        <v>0</v>
      </c>
      <c r="J185">
        <v>0</v>
      </c>
      <c r="K185">
        <v>1</v>
      </c>
      <c r="L185">
        <v>0</v>
      </c>
      <c r="M185" t="s">
        <v>122</v>
      </c>
    </row>
    <row r="186" spans="1:13" hidden="1" x14ac:dyDescent="0.15">
      <c r="A186" t="s">
        <v>623</v>
      </c>
      <c r="B186" t="s">
        <v>624</v>
      </c>
      <c r="D186" t="s">
        <v>625</v>
      </c>
      <c r="E186">
        <v>53</v>
      </c>
      <c r="F186" t="str">
        <f>HYPERLINK("https://github.com/clintonhealthaccess/chailmis-android/issues/142", "show")</f>
        <v>show</v>
      </c>
      <c r="G186" t="str">
        <f>HYPERLINK("https://github.com/clintonhealthaccess/chailmis-android", "show")</f>
        <v>show</v>
      </c>
      <c r="H186" t="str">
        <f>HYPERLINK("https://github.com/clintonhealthaccess/chailmis-android/releases", "show")</f>
        <v>show</v>
      </c>
      <c r="I186">
        <v>1</v>
      </c>
      <c r="J186">
        <v>0</v>
      </c>
      <c r="K186">
        <v>0</v>
      </c>
      <c r="L186">
        <v>0</v>
      </c>
      <c r="M186" t="s">
        <v>17</v>
      </c>
    </row>
    <row r="187" spans="1:13" hidden="1" x14ac:dyDescent="0.15">
      <c r="A187" t="s">
        <v>626</v>
      </c>
      <c r="B187" t="s">
        <v>627</v>
      </c>
      <c r="D187" t="s">
        <v>625</v>
      </c>
      <c r="E187">
        <v>47</v>
      </c>
      <c r="F187" t="str">
        <f>HYPERLINK("https://github.com/clintonhealthaccess/chailmis-android/issues/131", "show")</f>
        <v>show</v>
      </c>
      <c r="G187" t="str">
        <f>HYPERLINK("https://github.com/clintonhealthaccess/chailmis-android", "show")</f>
        <v>show</v>
      </c>
      <c r="H187" t="str">
        <f>HYPERLINK("https://github.com/clintonhealthaccess/chailmis-android/releases", "show")</f>
        <v>show</v>
      </c>
      <c r="I187">
        <v>1</v>
      </c>
      <c r="J187">
        <v>0</v>
      </c>
      <c r="K187">
        <v>0</v>
      </c>
      <c r="L187">
        <v>0</v>
      </c>
      <c r="M187" t="s">
        <v>17</v>
      </c>
    </row>
    <row r="188" spans="1:13" hidden="1" x14ac:dyDescent="0.15">
      <c r="A188" t="s">
        <v>628</v>
      </c>
      <c r="B188" t="s">
        <v>629</v>
      </c>
      <c r="D188" t="s">
        <v>625</v>
      </c>
      <c r="E188">
        <v>56</v>
      </c>
      <c r="F188" t="str">
        <f>HYPERLINK("https://github.com/clintonhealthaccess/chailmis-android/issues/130", "show")</f>
        <v>show</v>
      </c>
      <c r="G188" t="str">
        <f>HYPERLINK("https://github.com/clintonhealthaccess/chailmis-android", "show")</f>
        <v>show</v>
      </c>
      <c r="H188" t="str">
        <f>HYPERLINK("https://github.com/clintonhealthaccess/chailmis-android/releases", "show")</f>
        <v>show</v>
      </c>
      <c r="I188">
        <v>1</v>
      </c>
      <c r="J188">
        <v>0</v>
      </c>
      <c r="K188">
        <v>0</v>
      </c>
      <c r="L188">
        <v>0</v>
      </c>
      <c r="M188" t="s">
        <v>17</v>
      </c>
    </row>
    <row r="189" spans="1:13" hidden="1" x14ac:dyDescent="0.15">
      <c r="A189" t="s">
        <v>630</v>
      </c>
      <c r="B189" t="s">
        <v>631</v>
      </c>
      <c r="C189" t="s">
        <v>632</v>
      </c>
      <c r="D189" t="s">
        <v>625</v>
      </c>
      <c r="E189">
        <v>0</v>
      </c>
      <c r="F189" t="str">
        <f>HYPERLINK("https://github.com/dimagi/commcare-android/issues/181", "show")</f>
        <v>show</v>
      </c>
      <c r="G189" t="str">
        <f>HYPERLINK("https://github.com/dimagi/commcare-android", "show")</f>
        <v>show</v>
      </c>
      <c r="H189" t="str">
        <f>HYPERLINK("https://github.com/dimagi/commcare-android/releases", "show")</f>
        <v>show</v>
      </c>
      <c r="I189">
        <v>0</v>
      </c>
      <c r="J189">
        <v>0</v>
      </c>
      <c r="K189">
        <v>0</v>
      </c>
      <c r="L189">
        <v>0</v>
      </c>
      <c r="M189" t="s">
        <v>43</v>
      </c>
    </row>
    <row r="190" spans="1:13" hidden="1" x14ac:dyDescent="0.15">
      <c r="A190" t="s">
        <v>633</v>
      </c>
      <c r="B190" t="s">
        <v>634</v>
      </c>
      <c r="C190" t="s">
        <v>635</v>
      </c>
      <c r="D190" t="s">
        <v>625</v>
      </c>
      <c r="E190">
        <v>3</v>
      </c>
      <c r="F190" t="str">
        <f>HYPERLINK("https://github.com/Cloudkibo/Android/issues/2", "show")</f>
        <v>show</v>
      </c>
      <c r="G190" t="str">
        <f>HYPERLINK("https://github.com/Cloudkibo/Android", "show")</f>
        <v>show</v>
      </c>
      <c r="H190" t="str">
        <f>HYPERLINK("https://github.com/Cloudkibo/Android/releases", "show")</f>
        <v>show</v>
      </c>
      <c r="I190">
        <v>1</v>
      </c>
      <c r="J190">
        <v>0</v>
      </c>
      <c r="K190">
        <v>0</v>
      </c>
      <c r="L190">
        <v>0</v>
      </c>
      <c r="M190" t="s">
        <v>17</v>
      </c>
    </row>
    <row r="191" spans="1:13" hidden="1" x14ac:dyDescent="0.15">
      <c r="A191" t="s">
        <v>636</v>
      </c>
      <c r="B191" t="s">
        <v>637</v>
      </c>
      <c r="C191" t="s">
        <v>638</v>
      </c>
      <c r="D191" t="s">
        <v>639</v>
      </c>
      <c r="E191">
        <v>4</v>
      </c>
      <c r="F191" t="str">
        <f>HYPERLINK("https://github.com/wordpress-mobile/MediaPicker-Android/issues/3", "show")</f>
        <v>show</v>
      </c>
      <c r="G191" t="str">
        <f>HYPERLINK("https://github.com/wordpress-mobile/MediaPicker-Android", "show")</f>
        <v>show</v>
      </c>
      <c r="H191" t="str">
        <f>HYPERLINK("https://github.com/wordpress-mobile/MediaPicker-Android/releases", "show")</f>
        <v>show</v>
      </c>
      <c r="I191">
        <v>1</v>
      </c>
      <c r="J191">
        <v>0</v>
      </c>
      <c r="K191">
        <v>0</v>
      </c>
      <c r="L191">
        <v>0</v>
      </c>
      <c r="M191" t="s">
        <v>17</v>
      </c>
    </row>
    <row r="192" spans="1:13" hidden="1" x14ac:dyDescent="0.15">
      <c r="A192" t="s">
        <v>640</v>
      </c>
      <c r="B192" t="s">
        <v>641</v>
      </c>
      <c r="D192" t="s">
        <v>639</v>
      </c>
      <c r="E192">
        <v>0</v>
      </c>
      <c r="F192" t="str">
        <f>HYPERLINK("https://github.com/nfcgate/nfcgate/issues/59", "show")</f>
        <v>show</v>
      </c>
      <c r="G192" t="str">
        <f>HYPERLINK("https://github.com/nfcgate/nfcgate", "show")</f>
        <v>show</v>
      </c>
      <c r="H192" t="str">
        <f>HYPERLINK("https://github.com/nfcgate/nfcgate/releases", "show")</f>
        <v>show</v>
      </c>
      <c r="I192">
        <v>1</v>
      </c>
      <c r="J192">
        <v>0</v>
      </c>
      <c r="K192">
        <v>0</v>
      </c>
      <c r="L192">
        <v>0</v>
      </c>
      <c r="M192" t="s">
        <v>17</v>
      </c>
    </row>
    <row r="193" spans="1:13" hidden="1" x14ac:dyDescent="0.15">
      <c r="A193" t="s">
        <v>642</v>
      </c>
      <c r="B193" t="s">
        <v>643</v>
      </c>
      <c r="C193" t="s">
        <v>644</v>
      </c>
      <c r="D193" t="s">
        <v>645</v>
      </c>
      <c r="E193">
        <v>306</v>
      </c>
      <c r="F193" t="str">
        <f>HYPERLINK("https://github.com/cwhitten1/DMApp/issues/41", "show")</f>
        <v>show</v>
      </c>
      <c r="G193" t="str">
        <f>HYPERLINK("https://github.com/cwhitten1/DMApp", "show")</f>
        <v>show</v>
      </c>
      <c r="H193" t="str">
        <f>HYPERLINK("https://github.com/cwhitten1/DMApp/releases", "show")</f>
        <v>show</v>
      </c>
      <c r="I193">
        <v>1</v>
      </c>
      <c r="J193">
        <v>0</v>
      </c>
      <c r="K193">
        <v>0</v>
      </c>
      <c r="L193">
        <v>0</v>
      </c>
      <c r="M193" t="s">
        <v>17</v>
      </c>
    </row>
    <row r="194" spans="1:13" hidden="1" x14ac:dyDescent="0.15">
      <c r="A194" t="s">
        <v>646</v>
      </c>
      <c r="B194" t="s">
        <v>647</v>
      </c>
      <c r="C194" t="s">
        <v>648</v>
      </c>
      <c r="D194" t="s">
        <v>645</v>
      </c>
      <c r="E194">
        <v>11</v>
      </c>
      <c r="F194" t="str">
        <f>HYPERLINK("https://github.com/nilsbraden/ttrss-reader-fork/issues/260", "show")</f>
        <v>show</v>
      </c>
      <c r="G194" t="str">
        <f>HYPERLINK("https://github.com/nilsbraden/ttrss-reader-fork", "show")</f>
        <v>show</v>
      </c>
      <c r="H194" t="str">
        <f>HYPERLINK("https://github.com/nilsbraden/ttrss-reader-fork/releases", "show")</f>
        <v>show</v>
      </c>
      <c r="I194">
        <v>1</v>
      </c>
      <c r="J194">
        <v>0</v>
      </c>
      <c r="K194">
        <v>0</v>
      </c>
      <c r="L194">
        <v>0</v>
      </c>
      <c r="M194" t="s">
        <v>17</v>
      </c>
    </row>
    <row r="195" spans="1:13" hidden="1" x14ac:dyDescent="0.15">
      <c r="A195" t="s">
        <v>649</v>
      </c>
      <c r="B195" t="s">
        <v>650</v>
      </c>
      <c r="C195" t="s">
        <v>651</v>
      </c>
      <c r="D195" t="s">
        <v>652</v>
      </c>
      <c r="E195">
        <v>2</v>
      </c>
      <c r="F195" t="str">
        <f>HYPERLINK("https://github.com/syncthing/syncthing-android/issues/244", "show")</f>
        <v>show</v>
      </c>
      <c r="G195" t="str">
        <f>HYPERLINK("https://github.com/syncthing/syncthing-android", "show")</f>
        <v>show</v>
      </c>
      <c r="H195" t="str">
        <f>HYPERLINK("https://github.com/syncthing/syncthing-android/releases", "show")</f>
        <v>show</v>
      </c>
      <c r="I195">
        <v>1</v>
      </c>
      <c r="J195">
        <v>0</v>
      </c>
      <c r="K195">
        <v>0</v>
      </c>
      <c r="L195">
        <v>0</v>
      </c>
      <c r="M195" t="s">
        <v>17</v>
      </c>
    </row>
    <row r="196" spans="1:13" hidden="1" x14ac:dyDescent="0.15">
      <c r="A196" t="s">
        <v>653</v>
      </c>
      <c r="B196" t="s">
        <v>654</v>
      </c>
      <c r="C196" t="s">
        <v>655</v>
      </c>
      <c r="D196" t="s">
        <v>656</v>
      </c>
      <c r="E196">
        <v>4</v>
      </c>
      <c r="F196" t="str">
        <f>HYPERLINK("https://github.com/dimagi/commcare-android/issues/186", "show")</f>
        <v>show</v>
      </c>
      <c r="G196" t="str">
        <f>HYPERLINK("https://github.com/dimagi/commcare-android", "show")</f>
        <v>show</v>
      </c>
      <c r="H196" t="str">
        <f>HYPERLINK("https://github.com/dimagi/commcare-android/releases", "show")</f>
        <v>show</v>
      </c>
      <c r="I196">
        <v>1</v>
      </c>
      <c r="J196">
        <v>0</v>
      </c>
      <c r="K196">
        <v>0</v>
      </c>
      <c r="L196">
        <v>0</v>
      </c>
      <c r="M196" t="s">
        <v>17</v>
      </c>
    </row>
    <row r="197" spans="1:13" hidden="1" x14ac:dyDescent="0.15">
      <c r="A197" t="s">
        <v>657</v>
      </c>
      <c r="B197" t="s">
        <v>658</v>
      </c>
      <c r="C197" t="s">
        <v>659</v>
      </c>
      <c r="D197" t="s">
        <v>656</v>
      </c>
      <c r="E197">
        <v>14</v>
      </c>
      <c r="F197" t="str">
        <f>HYPERLINK("https://github.com/nfcgate/nfcgate/issues/62", "show")</f>
        <v>show</v>
      </c>
      <c r="G197" t="str">
        <f>HYPERLINK("https://github.com/nfcgate/nfcgate", "show")</f>
        <v>show</v>
      </c>
      <c r="H197" t="str">
        <f>HYPERLINK("https://github.com/nfcgate/nfcgate/releases", "show")</f>
        <v>show</v>
      </c>
      <c r="I197">
        <v>1</v>
      </c>
      <c r="J197">
        <v>0</v>
      </c>
      <c r="K197">
        <v>1</v>
      </c>
      <c r="L197">
        <v>0</v>
      </c>
      <c r="M197" t="s">
        <v>64</v>
      </c>
    </row>
    <row r="198" spans="1:13" hidden="1" x14ac:dyDescent="0.15">
      <c r="A198" t="s">
        <v>660</v>
      </c>
      <c r="B198" t="s">
        <v>661</v>
      </c>
      <c r="D198" t="s">
        <v>656</v>
      </c>
      <c r="E198">
        <v>6</v>
      </c>
      <c r="F198" t="str">
        <f>HYPERLINK("https://github.com/sbonner1/RateMyDrink/issues/31", "show")</f>
        <v>show</v>
      </c>
      <c r="G198" t="str">
        <f>HYPERLINK("https://github.com/sbonner1/RateMyDrink", "show")</f>
        <v>show</v>
      </c>
      <c r="H198" t="str">
        <f>HYPERLINK("https://github.com/sbonner1/RateMyDrink/releases", "show")</f>
        <v>show</v>
      </c>
      <c r="I198">
        <v>1</v>
      </c>
      <c r="J198">
        <v>0</v>
      </c>
      <c r="K198">
        <v>0</v>
      </c>
      <c r="L198">
        <v>0</v>
      </c>
      <c r="M198" t="s">
        <v>17</v>
      </c>
    </row>
    <row r="199" spans="1:13" hidden="1" x14ac:dyDescent="0.15">
      <c r="A199" t="s">
        <v>662</v>
      </c>
      <c r="B199" t="s">
        <v>663</v>
      </c>
      <c r="C199" t="s">
        <v>664</v>
      </c>
      <c r="D199" t="s">
        <v>656</v>
      </c>
      <c r="E199">
        <v>0</v>
      </c>
      <c r="F199" t="str">
        <f>HYPERLINK("https://github.com/geopaparazzi/geopaparazzi/issues/247", "show")</f>
        <v>show</v>
      </c>
      <c r="G199" t="str">
        <f>HYPERLINK("https://github.com/geopaparazzi/geopaparazzi", "show")</f>
        <v>show</v>
      </c>
      <c r="H199" t="str">
        <f>HYPERLINK("https://github.com/geopaparazzi/geopaparazzi/releases", "show")</f>
        <v>show</v>
      </c>
      <c r="I199">
        <v>1</v>
      </c>
      <c r="J199">
        <v>0</v>
      </c>
      <c r="K199">
        <v>1</v>
      </c>
      <c r="L199">
        <v>0</v>
      </c>
      <c r="M199" t="s">
        <v>64</v>
      </c>
    </row>
    <row r="200" spans="1:13" hidden="1" x14ac:dyDescent="0.15">
      <c r="A200" t="s">
        <v>665</v>
      </c>
      <c r="B200" t="s">
        <v>666</v>
      </c>
      <c r="C200" t="s">
        <v>667</v>
      </c>
      <c r="D200" t="s">
        <v>656</v>
      </c>
      <c r="E200">
        <v>6</v>
      </c>
      <c r="F200" t="str">
        <f>HYPERLINK("https://github.com/riul88/call-recorder-for-android/issues/11", "show")</f>
        <v>show</v>
      </c>
      <c r="G200" t="str">
        <f>HYPERLINK("https://github.com/riul88/call-recorder-for-android", "show")</f>
        <v>show</v>
      </c>
      <c r="H200" t="str">
        <f>HYPERLINK("https://github.com/riul88/call-recorder-for-android/releases", "show")</f>
        <v>show</v>
      </c>
      <c r="I200">
        <v>1</v>
      </c>
      <c r="J200">
        <v>0</v>
      </c>
      <c r="K200">
        <v>0</v>
      </c>
      <c r="L200">
        <v>0</v>
      </c>
      <c r="M200" t="s">
        <v>17</v>
      </c>
    </row>
    <row r="201" spans="1:13" hidden="1" x14ac:dyDescent="0.15">
      <c r="A201" t="s">
        <v>668</v>
      </c>
      <c r="B201" t="s">
        <v>669</v>
      </c>
      <c r="C201" t="s">
        <v>670</v>
      </c>
      <c r="D201" t="s">
        <v>671</v>
      </c>
      <c r="E201">
        <v>33</v>
      </c>
      <c r="F201" t="str">
        <f>HYPERLINK("https://github.com/square/okhttp/issues/1512", "show")</f>
        <v>show</v>
      </c>
      <c r="G201" t="str">
        <f>HYPERLINK("https://github.com/square/okhttp", "show")</f>
        <v>show</v>
      </c>
      <c r="H201" t="str">
        <f>HYPERLINK("https://github.com/square/okhttp/releases", "show")</f>
        <v>show</v>
      </c>
      <c r="I201">
        <v>0</v>
      </c>
      <c r="J201">
        <v>0</v>
      </c>
      <c r="K201">
        <v>0</v>
      </c>
      <c r="L201">
        <v>0</v>
      </c>
      <c r="M201" t="s">
        <v>43</v>
      </c>
    </row>
    <row r="202" spans="1:13" hidden="1" x14ac:dyDescent="0.15">
      <c r="A202" t="s">
        <v>672</v>
      </c>
      <c r="B202" t="s">
        <v>673</v>
      </c>
      <c r="D202" t="s">
        <v>671</v>
      </c>
      <c r="E202">
        <v>36</v>
      </c>
      <c r="F202" t="str">
        <f>HYPERLINK("https://github.com/mvysny/aedict/issues/451", "show")</f>
        <v>show</v>
      </c>
      <c r="G202" t="str">
        <f>HYPERLINK("https://github.com/mvysny/aedict", "show")</f>
        <v>show</v>
      </c>
      <c r="H202" t="str">
        <f>HYPERLINK("https://github.com/mvysny/aedict/releases", "show")</f>
        <v>show</v>
      </c>
      <c r="I202">
        <v>1</v>
      </c>
      <c r="J202">
        <v>0</v>
      </c>
      <c r="K202">
        <v>0</v>
      </c>
      <c r="L202">
        <v>0</v>
      </c>
      <c r="M202" t="s">
        <v>17</v>
      </c>
    </row>
    <row r="203" spans="1:13" hidden="1" x14ac:dyDescent="0.15">
      <c r="A203" t="s">
        <v>674</v>
      </c>
      <c r="B203" t="s">
        <v>675</v>
      </c>
      <c r="C203" t="s">
        <v>676</v>
      </c>
      <c r="D203" t="s">
        <v>671</v>
      </c>
      <c r="E203">
        <v>253</v>
      </c>
      <c r="F203" t="str">
        <f>HYPERLINK("https://github.com/chennaione/sugar/issues/279", "show")</f>
        <v>show</v>
      </c>
      <c r="G203" t="str">
        <f>HYPERLINK("https://github.com/chennaione/sugar", "show")</f>
        <v>show</v>
      </c>
      <c r="H203" t="str">
        <f>HYPERLINK("https://github.com/chennaione/sugar/releases", "show")</f>
        <v>show</v>
      </c>
      <c r="I203">
        <v>0</v>
      </c>
      <c r="J203">
        <v>0</v>
      </c>
      <c r="K203">
        <v>0</v>
      </c>
      <c r="L203">
        <v>0</v>
      </c>
      <c r="M203" t="s">
        <v>43</v>
      </c>
    </row>
    <row r="204" spans="1:13" hidden="1" x14ac:dyDescent="0.15">
      <c r="A204" t="s">
        <v>677</v>
      </c>
      <c r="B204" t="s">
        <v>678</v>
      </c>
      <c r="C204" t="s">
        <v>679</v>
      </c>
      <c r="D204" t="s">
        <v>671</v>
      </c>
      <c r="E204">
        <v>0</v>
      </c>
      <c r="F204" t="str">
        <f>HYPERLINK("https://github.com/Rajawali/Rajawali/issues/1383", "show")</f>
        <v>show</v>
      </c>
      <c r="G204" t="str">
        <f>HYPERLINK("https://github.com/Rajawali/Rajawali", "show")</f>
        <v>show</v>
      </c>
      <c r="H204" t="str">
        <f>HYPERLINK("https://github.com/Rajawali/Rajawali/releases", "show")</f>
        <v>show</v>
      </c>
      <c r="I204">
        <v>1</v>
      </c>
      <c r="J204">
        <v>0</v>
      </c>
      <c r="K204">
        <v>1</v>
      </c>
      <c r="L204">
        <v>0</v>
      </c>
      <c r="M204" t="s">
        <v>64</v>
      </c>
    </row>
    <row r="205" spans="1:13" hidden="1" x14ac:dyDescent="0.15">
      <c r="A205" t="s">
        <v>680</v>
      </c>
      <c r="B205" t="s">
        <v>681</v>
      </c>
      <c r="C205" t="s">
        <v>682</v>
      </c>
      <c r="D205" t="s">
        <v>683</v>
      </c>
      <c r="E205">
        <v>0</v>
      </c>
      <c r="F205" t="str">
        <f>HYPERLINK("https://github.com/dimagi/commcare-android/issues/187", "show")</f>
        <v>show</v>
      </c>
      <c r="G205" t="str">
        <f>HYPERLINK("https://github.com/dimagi/commcare-android", "show")</f>
        <v>show</v>
      </c>
      <c r="H205" t="str">
        <f>HYPERLINK("https://github.com/dimagi/commcare-android/releases", "show")</f>
        <v>show</v>
      </c>
      <c r="I205">
        <v>1</v>
      </c>
      <c r="J205">
        <v>0</v>
      </c>
      <c r="K205">
        <v>0</v>
      </c>
      <c r="L205">
        <v>0</v>
      </c>
      <c r="M205" t="s">
        <v>17</v>
      </c>
    </row>
    <row r="206" spans="1:13" hidden="1" x14ac:dyDescent="0.15">
      <c r="A206" t="s">
        <v>684</v>
      </c>
      <c r="B206" t="s">
        <v>685</v>
      </c>
      <c r="C206" t="s">
        <v>686</v>
      </c>
      <c r="D206" t="s">
        <v>683</v>
      </c>
      <c r="E206">
        <v>314</v>
      </c>
      <c r="F206" t="str">
        <f>HYPERLINK("https://github.com/mixpanel/mixpanel-android/issues/189", "show")</f>
        <v>show</v>
      </c>
      <c r="G206" t="str">
        <f>HYPERLINK("https://github.com/mixpanel/mixpanel-android", "show")</f>
        <v>show</v>
      </c>
      <c r="H206" t="str">
        <f>HYPERLINK("https://github.com/mixpanel/mixpanel-android/releases", "show")</f>
        <v>show</v>
      </c>
      <c r="I206">
        <v>0</v>
      </c>
      <c r="J206">
        <v>0</v>
      </c>
      <c r="K206">
        <v>1</v>
      </c>
      <c r="L206">
        <v>0</v>
      </c>
      <c r="M206" t="s">
        <v>122</v>
      </c>
    </row>
    <row r="207" spans="1:13" hidden="1" x14ac:dyDescent="0.15">
      <c r="A207" t="s">
        <v>687</v>
      </c>
      <c r="B207" t="s">
        <v>688</v>
      </c>
      <c r="C207" t="s">
        <v>689</v>
      </c>
      <c r="D207" t="s">
        <v>683</v>
      </c>
      <c r="E207">
        <v>4</v>
      </c>
      <c r="F207" t="str">
        <f>HYPERLINK("https://github.com/ZieIony/Carbon/issues/52", "show")</f>
        <v>show</v>
      </c>
      <c r="G207" t="str">
        <f>HYPERLINK("https://github.com/ZieIony/Carbon", "show")</f>
        <v>show</v>
      </c>
      <c r="H207" t="str">
        <f>HYPERLINK("https://github.com/ZieIony/Carbon/releases", "show")</f>
        <v>show</v>
      </c>
      <c r="I207">
        <v>1</v>
      </c>
      <c r="J207">
        <v>0</v>
      </c>
      <c r="K207">
        <v>0</v>
      </c>
      <c r="L207">
        <v>0</v>
      </c>
      <c r="M207" t="s">
        <v>17</v>
      </c>
    </row>
    <row r="208" spans="1:13" hidden="1" x14ac:dyDescent="0.15">
      <c r="A208" t="s">
        <v>690</v>
      </c>
      <c r="B208" t="s">
        <v>691</v>
      </c>
      <c r="C208" t="s">
        <v>692</v>
      </c>
      <c r="D208" t="s">
        <v>683</v>
      </c>
      <c r="E208">
        <v>5</v>
      </c>
      <c r="F208" t="str">
        <f>HYPERLINK("https://github.com/kshoji/BLE-MIDI-for-Android/issues/8", "show")</f>
        <v>show</v>
      </c>
      <c r="G208" t="str">
        <f>HYPERLINK("https://github.com/kshoji/BLE-MIDI-for-Android", "show")</f>
        <v>show</v>
      </c>
      <c r="H208" t="str">
        <f>HYPERLINK("https://github.com/kshoji/BLE-MIDI-for-Android/releases", "show")</f>
        <v>show</v>
      </c>
      <c r="I208">
        <v>0</v>
      </c>
      <c r="J208">
        <v>0</v>
      </c>
      <c r="K208">
        <v>0</v>
      </c>
      <c r="L208">
        <v>0</v>
      </c>
      <c r="M208" t="s">
        <v>43</v>
      </c>
    </row>
    <row r="209" spans="1:13" hidden="1" x14ac:dyDescent="0.15">
      <c r="A209" t="s">
        <v>693</v>
      </c>
      <c r="B209" t="s">
        <v>694</v>
      </c>
      <c r="C209" t="s">
        <v>695</v>
      </c>
      <c r="D209" t="s">
        <v>683</v>
      </c>
      <c r="E209">
        <v>40</v>
      </c>
      <c r="F209" t="str">
        <f>HYPERLINK("https://github.com/spacecowboy/NoNonsense-FilePicker/issues/12", "show")</f>
        <v>show</v>
      </c>
      <c r="G209" t="str">
        <f>HYPERLINK("https://github.com/spacecowboy/NoNonsense-FilePicker", "show")</f>
        <v>show</v>
      </c>
      <c r="H209" t="str">
        <f>HYPERLINK("https://github.com/spacecowboy/NoNonsense-FilePicker/releases", "show")</f>
        <v>show</v>
      </c>
      <c r="I209">
        <v>1</v>
      </c>
      <c r="J209">
        <v>0</v>
      </c>
      <c r="K209">
        <v>1</v>
      </c>
      <c r="L209">
        <v>0</v>
      </c>
      <c r="M209" t="s">
        <v>64</v>
      </c>
    </row>
    <row r="210" spans="1:13" hidden="1" x14ac:dyDescent="0.15">
      <c r="A210" t="s">
        <v>696</v>
      </c>
      <c r="B210" t="s">
        <v>697</v>
      </c>
      <c r="C210" t="s">
        <v>698</v>
      </c>
      <c r="D210" t="s">
        <v>683</v>
      </c>
      <c r="E210">
        <v>507</v>
      </c>
      <c r="F210" t="str">
        <f>HYPERLINK("https://github.com/iBotPeaches/Apktool/issues/745", "show")</f>
        <v>show</v>
      </c>
      <c r="G210" t="str">
        <f>HYPERLINK("https://github.com/iBotPeaches/Apktool", "show")</f>
        <v>show</v>
      </c>
      <c r="H210" t="str">
        <f>HYPERLINK("https://github.com/iBotPeaches/Apktool/releases", "show")</f>
        <v>show</v>
      </c>
      <c r="I210">
        <v>0</v>
      </c>
      <c r="J210">
        <v>1</v>
      </c>
      <c r="K210">
        <v>1</v>
      </c>
      <c r="L210">
        <v>0</v>
      </c>
      <c r="M210" t="s">
        <v>699</v>
      </c>
    </row>
    <row r="211" spans="1:13" hidden="1" x14ac:dyDescent="0.15">
      <c r="A211" t="s">
        <v>700</v>
      </c>
      <c r="B211" t="s">
        <v>701</v>
      </c>
      <c r="C211" t="s">
        <v>702</v>
      </c>
      <c r="D211" t="s">
        <v>683</v>
      </c>
      <c r="E211">
        <v>2083</v>
      </c>
      <c r="F211" t="str">
        <f>HYPERLINK("https://github.com/iBotPeaches/Apktool/issues/712", "show")</f>
        <v>show</v>
      </c>
      <c r="G211" t="str">
        <f>HYPERLINK("https://github.com/iBotPeaches/Apktool", "show")</f>
        <v>show</v>
      </c>
      <c r="H211" t="str">
        <f>HYPERLINK("https://github.com/iBotPeaches/Apktool/releases", "show")</f>
        <v>show</v>
      </c>
      <c r="I211">
        <v>1</v>
      </c>
      <c r="J211">
        <v>0</v>
      </c>
      <c r="K211">
        <v>0</v>
      </c>
      <c r="L211">
        <v>0</v>
      </c>
      <c r="M211" t="s">
        <v>17</v>
      </c>
    </row>
    <row r="212" spans="1:13" hidden="1" x14ac:dyDescent="0.15">
      <c r="A212" t="s">
        <v>703</v>
      </c>
      <c r="B212" t="s">
        <v>704</v>
      </c>
      <c r="D212" t="s">
        <v>683</v>
      </c>
      <c r="E212">
        <v>2</v>
      </c>
      <c r="F212" t="str">
        <f>HYPERLINK("https://github.com/syncthing/syncthing-android/issues/256", "show")</f>
        <v>show</v>
      </c>
      <c r="G212" t="str">
        <f>HYPERLINK("https://github.com/syncthing/syncthing-android", "show")</f>
        <v>show</v>
      </c>
      <c r="H212" t="str">
        <f>HYPERLINK("https://github.com/syncthing/syncthing-android/releases", "show")</f>
        <v>show</v>
      </c>
      <c r="I212">
        <v>1</v>
      </c>
      <c r="J212">
        <v>0</v>
      </c>
      <c r="K212">
        <v>0</v>
      </c>
      <c r="L212">
        <v>0</v>
      </c>
      <c r="M212" t="s">
        <v>17</v>
      </c>
    </row>
    <row r="213" spans="1:13" hidden="1" x14ac:dyDescent="0.15">
      <c r="A213" t="s">
        <v>705</v>
      </c>
      <c r="B213" t="s">
        <v>706</v>
      </c>
      <c r="C213" t="s">
        <v>707</v>
      </c>
      <c r="D213" t="s">
        <v>708</v>
      </c>
      <c r="E213">
        <v>0</v>
      </c>
      <c r="F213" t="str">
        <f>HYPERLINK("https://github.com/google/google-authenticator-android/issues/14", "show")</f>
        <v>show</v>
      </c>
      <c r="G213" t="str">
        <f>HYPERLINK("https://github.com/google/google-authenticator-android", "show")</f>
        <v>show</v>
      </c>
      <c r="H213" t="str">
        <f>HYPERLINK("https://github.com/google/google-authenticator-android/releases", "show")</f>
        <v>show</v>
      </c>
      <c r="I213">
        <v>1</v>
      </c>
      <c r="J213">
        <v>1</v>
      </c>
      <c r="K213">
        <v>0</v>
      </c>
      <c r="L213">
        <v>0</v>
      </c>
      <c r="M213" t="s">
        <v>48</v>
      </c>
    </row>
    <row r="214" spans="1:13" hidden="1" x14ac:dyDescent="0.15">
      <c r="A214" t="s">
        <v>709</v>
      </c>
      <c r="B214" t="s">
        <v>710</v>
      </c>
      <c r="C214" t="s">
        <v>711</v>
      </c>
      <c r="D214" t="s">
        <v>712</v>
      </c>
      <c r="E214">
        <v>0</v>
      </c>
      <c r="F214" t="str">
        <f>HYPERLINK("https://github.com/dimagi/commcare-android/issues/190", "show")</f>
        <v>show</v>
      </c>
      <c r="G214" t="str">
        <f>HYPERLINK("https://github.com/dimagi/commcare-android", "show")</f>
        <v>show</v>
      </c>
      <c r="H214" t="str">
        <f>HYPERLINK("https://github.com/dimagi/commcare-android/releases", "show")</f>
        <v>show</v>
      </c>
      <c r="I214">
        <v>1</v>
      </c>
      <c r="J214">
        <v>0</v>
      </c>
      <c r="K214">
        <v>0</v>
      </c>
      <c r="L214">
        <v>0</v>
      </c>
      <c r="M214" t="s">
        <v>17</v>
      </c>
    </row>
    <row r="215" spans="1:13" hidden="1" x14ac:dyDescent="0.15">
      <c r="A215" t="s">
        <v>713</v>
      </c>
      <c r="B215" t="s">
        <v>714</v>
      </c>
      <c r="C215" t="s">
        <v>715</v>
      </c>
      <c r="D215" t="s">
        <v>712</v>
      </c>
      <c r="E215">
        <v>1</v>
      </c>
      <c r="F215" t="str">
        <f>HYPERLINK("https://github.com/syncthing/syncthing-android/issues/262", "show")</f>
        <v>show</v>
      </c>
      <c r="G215" t="str">
        <f>HYPERLINK("https://github.com/syncthing/syncthing-android", "show")</f>
        <v>show</v>
      </c>
      <c r="H215" t="str">
        <f>HYPERLINK("https://github.com/syncthing/syncthing-android/releases", "show")</f>
        <v>show</v>
      </c>
      <c r="I215">
        <v>0</v>
      </c>
      <c r="J215">
        <v>0</v>
      </c>
      <c r="K215">
        <v>0</v>
      </c>
      <c r="L215">
        <v>0</v>
      </c>
      <c r="M215" t="s">
        <v>43</v>
      </c>
    </row>
    <row r="216" spans="1:13" hidden="1" x14ac:dyDescent="0.15">
      <c r="A216" t="s">
        <v>716</v>
      </c>
      <c r="B216" t="s">
        <v>717</v>
      </c>
      <c r="C216" t="s">
        <v>718</v>
      </c>
      <c r="D216" t="s">
        <v>719</v>
      </c>
      <c r="E216">
        <v>2101</v>
      </c>
      <c r="F216" t="str">
        <f>HYPERLINK("https://github.com/libgdx/libgdx/issues/2964", "show")</f>
        <v>show</v>
      </c>
      <c r="G216" t="str">
        <f>HYPERLINK("https://github.com/libgdx/libgdx", "show")</f>
        <v>show</v>
      </c>
      <c r="H216" t="str">
        <f>HYPERLINK("https://github.com/libgdx/libgdx/releases", "show")</f>
        <v>show</v>
      </c>
      <c r="I216">
        <v>1</v>
      </c>
      <c r="J216">
        <v>0</v>
      </c>
      <c r="K216">
        <v>1</v>
      </c>
      <c r="L216">
        <v>0</v>
      </c>
      <c r="M216" t="s">
        <v>64</v>
      </c>
    </row>
    <row r="217" spans="1:13" hidden="1" x14ac:dyDescent="0.15">
      <c r="A217" t="s">
        <v>720</v>
      </c>
      <c r="B217" t="s">
        <v>721</v>
      </c>
      <c r="C217" t="s">
        <v>722</v>
      </c>
      <c r="D217" t="s">
        <v>723</v>
      </c>
      <c r="E217">
        <v>6</v>
      </c>
      <c r="F217" t="str">
        <f>HYPERLINK("https://github.com/bumptech/glide/issues/374", "show")</f>
        <v>show</v>
      </c>
      <c r="G217" t="str">
        <f>HYPERLINK("https://github.com/bumptech/glide", "show")</f>
        <v>show</v>
      </c>
      <c r="H217" t="str">
        <f>HYPERLINK("https://github.com/bumptech/glide/releases", "show")</f>
        <v>show</v>
      </c>
      <c r="I217">
        <v>1</v>
      </c>
      <c r="J217">
        <v>1</v>
      </c>
      <c r="K217">
        <v>0</v>
      </c>
      <c r="L217">
        <v>0</v>
      </c>
      <c r="M217" t="s">
        <v>48</v>
      </c>
    </row>
    <row r="218" spans="1:13" hidden="1" x14ac:dyDescent="0.15">
      <c r="A218" t="s">
        <v>724</v>
      </c>
      <c r="B218" t="s">
        <v>725</v>
      </c>
      <c r="C218" t="s">
        <v>726</v>
      </c>
      <c r="D218" t="s">
        <v>723</v>
      </c>
      <c r="E218">
        <v>1</v>
      </c>
      <c r="F218" t="str">
        <f>HYPERLINK("https://github.com/haiwen/seadroid/issues/309", "show")</f>
        <v>show</v>
      </c>
      <c r="G218" t="str">
        <f>HYPERLINK("https://github.com/haiwen/seadroid", "show")</f>
        <v>show</v>
      </c>
      <c r="H218" t="str">
        <f>HYPERLINK("https://github.com/haiwen/seadroid/releases", "show")</f>
        <v>show</v>
      </c>
      <c r="I218">
        <v>1</v>
      </c>
      <c r="J218">
        <v>1</v>
      </c>
      <c r="K218">
        <v>0</v>
      </c>
      <c r="L218">
        <v>0</v>
      </c>
      <c r="M218" t="s">
        <v>48</v>
      </c>
    </row>
    <row r="219" spans="1:13" hidden="1" x14ac:dyDescent="0.15">
      <c r="A219" t="s">
        <v>727</v>
      </c>
      <c r="B219" t="s">
        <v>728</v>
      </c>
      <c r="C219" t="s">
        <v>729</v>
      </c>
      <c r="D219" t="s">
        <v>730</v>
      </c>
      <c r="E219">
        <v>0</v>
      </c>
      <c r="F219" t="str">
        <f>HYPERLINK("https://github.com/lecho/hellocharts-android/issues/105", "show")</f>
        <v>show</v>
      </c>
      <c r="G219" t="str">
        <f>HYPERLINK("https://github.com/lecho/hellocharts-android", "show")</f>
        <v>show</v>
      </c>
      <c r="H219" t="str">
        <f>HYPERLINK("https://github.com/lecho/hellocharts-android/releases", "show")</f>
        <v>show</v>
      </c>
      <c r="I219">
        <v>0</v>
      </c>
      <c r="J219">
        <v>0</v>
      </c>
      <c r="K219">
        <v>0</v>
      </c>
      <c r="L219">
        <v>0</v>
      </c>
      <c r="M219" t="s">
        <v>43</v>
      </c>
    </row>
    <row r="220" spans="1:13" hidden="1" x14ac:dyDescent="0.15">
      <c r="A220" t="s">
        <v>731</v>
      </c>
      <c r="B220" t="s">
        <v>732</v>
      </c>
      <c r="C220" t="s">
        <v>733</v>
      </c>
      <c r="D220" t="s">
        <v>730</v>
      </c>
      <c r="E220">
        <v>0</v>
      </c>
      <c r="F220" t="str">
        <f>HYPERLINK("https://github.com/syncthing/syncthing-android/issues/289", "show")</f>
        <v>show</v>
      </c>
      <c r="G220" t="str">
        <f>HYPERLINK("https://github.com/syncthing/syncthing-android", "show")</f>
        <v>show</v>
      </c>
      <c r="H220" t="str">
        <f>HYPERLINK("https://github.com/syncthing/syncthing-android/releases", "show")</f>
        <v>show</v>
      </c>
      <c r="I220">
        <v>1</v>
      </c>
      <c r="J220">
        <v>0</v>
      </c>
      <c r="K220">
        <v>0</v>
      </c>
      <c r="L220">
        <v>0</v>
      </c>
      <c r="M220" t="s">
        <v>17</v>
      </c>
    </row>
    <row r="221" spans="1:13" hidden="1" x14ac:dyDescent="0.15">
      <c r="A221" t="s">
        <v>734</v>
      </c>
      <c r="B221" t="s">
        <v>735</v>
      </c>
      <c r="C221" t="s">
        <v>736</v>
      </c>
      <c r="D221" t="s">
        <v>737</v>
      </c>
      <c r="E221">
        <v>15</v>
      </c>
      <c r="F221" t="str">
        <f>HYPERLINK("https://github.com/syncthing/syncthing-android/issues/302", "show")</f>
        <v>show</v>
      </c>
      <c r="G221" t="str">
        <f>HYPERLINK("https://github.com/syncthing/syncthing-android", "show")</f>
        <v>show</v>
      </c>
      <c r="H221" t="str">
        <f>HYPERLINK("https://github.com/syncthing/syncthing-android/releases", "show")</f>
        <v>show</v>
      </c>
      <c r="I221">
        <v>0</v>
      </c>
      <c r="J221">
        <v>0</v>
      </c>
      <c r="K221">
        <v>1</v>
      </c>
      <c r="L221">
        <v>0</v>
      </c>
      <c r="M221" t="s">
        <v>122</v>
      </c>
    </row>
    <row r="222" spans="1:13" hidden="1" x14ac:dyDescent="0.15">
      <c r="A222" t="s">
        <v>738</v>
      </c>
      <c r="B222" t="s">
        <v>739</v>
      </c>
      <c r="C222" t="s">
        <v>740</v>
      </c>
      <c r="D222" t="s">
        <v>737</v>
      </c>
      <c r="E222">
        <v>0</v>
      </c>
      <c r="F222" t="str">
        <f>HYPERLINK("https://github.com/google/google-authenticator-android/issues/15", "show")</f>
        <v>show</v>
      </c>
      <c r="G222" t="str">
        <f>HYPERLINK("https://github.com/google/google-authenticator-android", "show")</f>
        <v>show</v>
      </c>
      <c r="H222" t="str">
        <f>HYPERLINK("https://github.com/google/google-authenticator-android/releases", "show")</f>
        <v>show</v>
      </c>
      <c r="I222">
        <v>1</v>
      </c>
      <c r="J222">
        <v>1</v>
      </c>
      <c r="K222">
        <v>0</v>
      </c>
      <c r="L222">
        <v>0</v>
      </c>
      <c r="M222" t="s">
        <v>48</v>
      </c>
    </row>
    <row r="223" spans="1:13" hidden="1" x14ac:dyDescent="0.15">
      <c r="A223" t="s">
        <v>741</v>
      </c>
      <c r="B223" t="s">
        <v>742</v>
      </c>
      <c r="C223" t="s">
        <v>743</v>
      </c>
      <c r="D223" t="s">
        <v>737</v>
      </c>
      <c r="E223">
        <v>26</v>
      </c>
      <c r="F223" t="str">
        <f>HYPERLINK("https://github.com/aikuma/aikuma/issues/418", "show")</f>
        <v>show</v>
      </c>
      <c r="G223" t="str">
        <f>HYPERLINK("https://github.com/aikuma/aikuma", "show")</f>
        <v>show</v>
      </c>
      <c r="H223" t="str">
        <f>HYPERLINK("https://github.com/aikuma/aikuma/releases", "show")</f>
        <v>show</v>
      </c>
      <c r="I223">
        <v>1</v>
      </c>
      <c r="J223">
        <v>0</v>
      </c>
      <c r="K223">
        <v>0</v>
      </c>
      <c r="L223">
        <v>0</v>
      </c>
      <c r="M223" t="s">
        <v>17</v>
      </c>
    </row>
    <row r="224" spans="1:13" hidden="1" x14ac:dyDescent="0.15">
      <c r="A224" t="s">
        <v>744</v>
      </c>
      <c r="B224" t="s">
        <v>745</v>
      </c>
      <c r="C224" t="s">
        <v>746</v>
      </c>
      <c r="D224" t="s">
        <v>747</v>
      </c>
      <c r="E224">
        <v>0</v>
      </c>
      <c r="F224" t="str">
        <f>HYPERLINK("https://github.com/Rajawali/Rajawali/issues/1411", "show")</f>
        <v>show</v>
      </c>
      <c r="G224" t="str">
        <f>HYPERLINK("https://github.com/Rajawali/Rajawali", "show")</f>
        <v>show</v>
      </c>
      <c r="H224" t="str">
        <f>HYPERLINK("https://github.com/Rajawali/Rajawali/releases", "show")</f>
        <v>show</v>
      </c>
      <c r="I224">
        <v>1</v>
      </c>
      <c r="J224">
        <v>0</v>
      </c>
      <c r="K224">
        <v>0</v>
      </c>
      <c r="L224">
        <v>0</v>
      </c>
      <c r="M224" t="s">
        <v>17</v>
      </c>
    </row>
    <row r="225" spans="1:13" hidden="1" x14ac:dyDescent="0.15">
      <c r="A225" t="s">
        <v>748</v>
      </c>
      <c r="B225" t="s">
        <v>749</v>
      </c>
      <c r="C225" t="s">
        <v>750</v>
      </c>
      <c r="D225" t="s">
        <v>747</v>
      </c>
      <c r="E225">
        <v>1</v>
      </c>
      <c r="F225" t="str">
        <f>HYPERLINK("https://github.com/cSploit/android/issues/118", "show")</f>
        <v>show</v>
      </c>
      <c r="G225" t="str">
        <f>HYPERLINK("https://github.com/cSploit/android", "show")</f>
        <v>show</v>
      </c>
      <c r="H225" t="str">
        <f>HYPERLINK("https://github.com/cSploit/android/releases", "show")</f>
        <v>show</v>
      </c>
      <c r="I225">
        <v>0</v>
      </c>
      <c r="J225">
        <v>0</v>
      </c>
      <c r="K225">
        <v>0</v>
      </c>
      <c r="L225">
        <v>0</v>
      </c>
      <c r="M225" t="s">
        <v>43</v>
      </c>
    </row>
    <row r="226" spans="1:13" hidden="1" x14ac:dyDescent="0.15">
      <c r="A226" t="s">
        <v>751</v>
      </c>
      <c r="B226" t="s">
        <v>752</v>
      </c>
      <c r="C226" t="s">
        <v>753</v>
      </c>
      <c r="D226" t="s">
        <v>747</v>
      </c>
      <c r="E226">
        <v>9</v>
      </c>
      <c r="F226" t="str">
        <f>HYPERLINK("https://github.com/Stuart-campbell/RushOrm/issues/17", "show")</f>
        <v>show</v>
      </c>
      <c r="G226" t="str">
        <f>HYPERLINK("https://github.com/Stuart-campbell/RushOrm", "show")</f>
        <v>show</v>
      </c>
      <c r="H226" t="str">
        <f>HYPERLINK("https://github.com/Stuart-campbell/RushOrm/releases", "show")</f>
        <v>show</v>
      </c>
      <c r="I226">
        <v>1</v>
      </c>
      <c r="J226">
        <v>0</v>
      </c>
      <c r="K226">
        <v>1</v>
      </c>
      <c r="L226">
        <v>0</v>
      </c>
      <c r="M226" t="s">
        <v>64</v>
      </c>
    </row>
    <row r="227" spans="1:13" hidden="1" x14ac:dyDescent="0.15">
      <c r="A227" t="s">
        <v>754</v>
      </c>
      <c r="B227" t="s">
        <v>755</v>
      </c>
      <c r="C227" t="s">
        <v>756</v>
      </c>
      <c r="D227" t="s">
        <v>757</v>
      </c>
      <c r="E227">
        <v>23</v>
      </c>
      <c r="F227" t="str">
        <f>HYPERLINK("https://github.com/connectbot/connectbot/issues/62", "show")</f>
        <v>show</v>
      </c>
      <c r="G227" t="str">
        <f>HYPERLINK("https://github.com/connectbot/connectbot", "show")</f>
        <v>show</v>
      </c>
      <c r="H227" t="str">
        <f>HYPERLINK("https://github.com/connectbot/connectbot/releases", "show")</f>
        <v>show</v>
      </c>
      <c r="I227">
        <v>0</v>
      </c>
      <c r="J227">
        <v>0</v>
      </c>
      <c r="K227">
        <v>1</v>
      </c>
      <c r="L227">
        <v>0</v>
      </c>
      <c r="M227" t="s">
        <v>122</v>
      </c>
    </row>
    <row r="228" spans="1:13" hidden="1" x14ac:dyDescent="0.15">
      <c r="A228" t="s">
        <v>758</v>
      </c>
      <c r="B228" t="s">
        <v>759</v>
      </c>
      <c r="C228" t="s">
        <v>760</v>
      </c>
      <c r="D228" t="s">
        <v>761</v>
      </c>
      <c r="E228">
        <v>1</v>
      </c>
      <c r="F228" t="str">
        <f>HYPERLINK("https://github.com/MythTV-Clients/MythtvPlayerForAndroid/issues/17", "show")</f>
        <v>show</v>
      </c>
      <c r="G228" t="str">
        <f>HYPERLINK("https://github.com/MythTV-Clients/MythtvPlayerForAndroid", "show")</f>
        <v>show</v>
      </c>
      <c r="H228" t="str">
        <f>HYPERLINK("https://github.com/MythTV-Clients/MythtvPlayerForAndroid/releases", "show")</f>
        <v>show</v>
      </c>
      <c r="I228">
        <v>0</v>
      </c>
      <c r="J228">
        <v>0</v>
      </c>
      <c r="K228">
        <v>1</v>
      </c>
      <c r="L228">
        <v>0</v>
      </c>
      <c r="M228" t="s">
        <v>122</v>
      </c>
    </row>
    <row r="229" spans="1:13" hidden="1" x14ac:dyDescent="0.15">
      <c r="A229" t="s">
        <v>762</v>
      </c>
      <c r="B229" t="s">
        <v>763</v>
      </c>
      <c r="C229" t="s">
        <v>764</v>
      </c>
      <c r="D229" t="s">
        <v>765</v>
      </c>
      <c r="E229">
        <v>0</v>
      </c>
      <c r="F229" t="str">
        <f>HYPERLINK("https://github.com/Natio/Places/issues/63", "show")</f>
        <v>show</v>
      </c>
      <c r="G229" t="str">
        <f>HYPERLINK("https://github.com/Natio/Places", "show")</f>
        <v>show</v>
      </c>
      <c r="H229" t="str">
        <f>HYPERLINK("https://github.com/Natio/Places/releases", "show")</f>
        <v>show</v>
      </c>
      <c r="I229">
        <v>1</v>
      </c>
      <c r="J229">
        <v>0</v>
      </c>
      <c r="K229">
        <v>0</v>
      </c>
      <c r="L229">
        <v>0</v>
      </c>
      <c r="M229" t="s">
        <v>17</v>
      </c>
    </row>
    <row r="230" spans="1:13" x14ac:dyDescent="0.15">
      <c r="A230" t="s">
        <v>766</v>
      </c>
      <c r="B230" t="s">
        <v>767</v>
      </c>
      <c r="C230" t="s">
        <v>768</v>
      </c>
      <c r="D230" t="s">
        <v>765</v>
      </c>
      <c r="E230">
        <v>285</v>
      </c>
      <c r="F230" t="str">
        <f>HYPERLINK("https://github.com/koral--/android-gif-drawable-sample/issues/1", "show")</f>
        <v>show</v>
      </c>
      <c r="G230" t="str">
        <f>HYPERLINK("https://github.com/koral--/android-gif-drawable-sample", "show")</f>
        <v>show</v>
      </c>
      <c r="H230" t="str">
        <f>HYPERLINK("https://github.com/koral--/android-gif-drawable-sample/releases", "show")</f>
        <v>show</v>
      </c>
      <c r="I230">
        <v>0</v>
      </c>
      <c r="J230">
        <v>1</v>
      </c>
      <c r="K230">
        <v>0</v>
      </c>
      <c r="L230">
        <v>0</v>
      </c>
      <c r="M230" t="s">
        <v>139</v>
      </c>
    </row>
    <row r="231" spans="1:13" hidden="1" x14ac:dyDescent="0.15">
      <c r="A231" t="s">
        <v>769</v>
      </c>
      <c r="B231" t="s">
        <v>770</v>
      </c>
      <c r="C231" t="s">
        <v>771</v>
      </c>
      <c r="D231" t="s">
        <v>765</v>
      </c>
      <c r="E231">
        <v>117</v>
      </c>
      <c r="F231" t="str">
        <f>HYPERLINK("https://github.com/Bathlamos/RTDC/issues/48", "show")</f>
        <v>show</v>
      </c>
      <c r="G231" t="str">
        <f>HYPERLINK("https://github.com/Bathlamos/RTDC", "show")</f>
        <v>show</v>
      </c>
      <c r="H231" t="str">
        <f>HYPERLINK("https://github.com/Bathlamos/RTDC/releases", "show")</f>
        <v>show</v>
      </c>
      <c r="I231">
        <v>0</v>
      </c>
      <c r="J231">
        <v>0</v>
      </c>
      <c r="K231">
        <v>0</v>
      </c>
      <c r="L231">
        <v>0</v>
      </c>
      <c r="M231" t="s">
        <v>43</v>
      </c>
    </row>
    <row r="232" spans="1:13" hidden="1" x14ac:dyDescent="0.15">
      <c r="A232" t="s">
        <v>772</v>
      </c>
      <c r="B232" t="s">
        <v>773</v>
      </c>
      <c r="C232" t="s">
        <v>774</v>
      </c>
      <c r="D232" t="s">
        <v>775</v>
      </c>
      <c r="E232">
        <v>5</v>
      </c>
      <c r="F232" t="str">
        <f>HYPERLINK("https://github.com/marverenic/Jockey/issues/4", "show")</f>
        <v>show</v>
      </c>
      <c r="G232" t="str">
        <f>HYPERLINK("https://github.com/marverenic/Jockey", "show")</f>
        <v>show</v>
      </c>
      <c r="H232" t="str">
        <f>HYPERLINK("https://github.com/marverenic/Jockey/releases", "show")</f>
        <v>show</v>
      </c>
      <c r="I232">
        <v>1</v>
      </c>
      <c r="J232">
        <v>1</v>
      </c>
      <c r="K232">
        <v>0</v>
      </c>
      <c r="L232">
        <v>0</v>
      </c>
      <c r="M232" t="s">
        <v>48</v>
      </c>
    </row>
    <row r="233" spans="1:13" hidden="1" x14ac:dyDescent="0.15">
      <c r="A233" t="s">
        <v>776</v>
      </c>
      <c r="B233" t="s">
        <v>777</v>
      </c>
      <c r="C233" t="s">
        <v>778</v>
      </c>
      <c r="D233" t="s">
        <v>775</v>
      </c>
      <c r="E233">
        <v>1</v>
      </c>
      <c r="F233" t="str">
        <f>HYPERLINK("https://github.com/rey5137/material/issues/7", "show")</f>
        <v>show</v>
      </c>
      <c r="G233" t="str">
        <f>HYPERLINK("https://github.com/rey5137/material", "show")</f>
        <v>show</v>
      </c>
      <c r="H233" t="str">
        <f>HYPERLINK("https://github.com/rey5137/material/releases", "show")</f>
        <v>show</v>
      </c>
      <c r="I233">
        <v>1</v>
      </c>
      <c r="J233">
        <v>0</v>
      </c>
      <c r="K233">
        <v>1</v>
      </c>
      <c r="L233">
        <v>0</v>
      </c>
      <c r="M233" t="s">
        <v>64</v>
      </c>
    </row>
    <row r="234" spans="1:13" hidden="1" x14ac:dyDescent="0.15">
      <c r="A234" t="s">
        <v>779</v>
      </c>
      <c r="B234" t="s">
        <v>780</v>
      </c>
      <c r="C234" t="s">
        <v>781</v>
      </c>
      <c r="D234" t="s">
        <v>782</v>
      </c>
      <c r="E234">
        <v>0</v>
      </c>
      <c r="F234" t="str">
        <f>HYPERLINK("https://github.com/cgeo/cgeo/issues/4801", "show")</f>
        <v>show</v>
      </c>
      <c r="G234" t="str">
        <f>HYPERLINK("https://github.com/cgeo/cgeo", "show")</f>
        <v>show</v>
      </c>
      <c r="H234" t="str">
        <f>HYPERLINK("https://github.com/cgeo/cgeo/releases", "show")</f>
        <v>show</v>
      </c>
      <c r="I234">
        <v>1</v>
      </c>
      <c r="J234">
        <v>0</v>
      </c>
      <c r="K234">
        <v>0</v>
      </c>
      <c r="L234">
        <v>0</v>
      </c>
      <c r="M234" t="s">
        <v>17</v>
      </c>
    </row>
    <row r="235" spans="1:13" hidden="1" x14ac:dyDescent="0.15">
      <c r="A235" t="s">
        <v>783</v>
      </c>
      <c r="B235" t="s">
        <v>784</v>
      </c>
      <c r="C235" t="s">
        <v>785</v>
      </c>
      <c r="D235" t="s">
        <v>782</v>
      </c>
      <c r="E235">
        <v>18</v>
      </c>
      <c r="F235" t="str">
        <f>HYPERLINK("https://github.com/gitskarios/Gitskarios/issues/58", "show")</f>
        <v>show</v>
      </c>
      <c r="G235" t="str">
        <f>HYPERLINK("https://github.com/gitskarios/Gitskarios", "show")</f>
        <v>show</v>
      </c>
      <c r="H235" t="str">
        <f>HYPERLINK("https://github.com/gitskarios/Gitskarios/releases", "show")</f>
        <v>show</v>
      </c>
      <c r="I235">
        <v>1</v>
      </c>
      <c r="J235">
        <v>0</v>
      </c>
      <c r="K235">
        <v>0</v>
      </c>
      <c r="L235">
        <v>0</v>
      </c>
      <c r="M235" t="s">
        <v>17</v>
      </c>
    </row>
    <row r="236" spans="1:13" hidden="1" x14ac:dyDescent="0.15">
      <c r="A236" t="s">
        <v>786</v>
      </c>
      <c r="B236" t="s">
        <v>787</v>
      </c>
      <c r="C236" t="s">
        <v>788</v>
      </c>
      <c r="D236" t="s">
        <v>789</v>
      </c>
      <c r="E236">
        <v>1</v>
      </c>
      <c r="F236" t="str">
        <f>HYPERLINK("https://github.com/mpcjanssen/simpletask-android/issues/205", "show")</f>
        <v>show</v>
      </c>
      <c r="G236" t="str">
        <f>HYPERLINK("https://github.com/mpcjanssen/simpletask-android", "show")</f>
        <v>show</v>
      </c>
      <c r="H236" t="str">
        <f>HYPERLINK("https://github.com/mpcjanssen/simpletask-android/releases", "show")</f>
        <v>show</v>
      </c>
      <c r="I236">
        <v>1</v>
      </c>
      <c r="J236">
        <v>0</v>
      </c>
      <c r="K236">
        <v>0</v>
      </c>
      <c r="L236">
        <v>0</v>
      </c>
      <c r="M236" t="s">
        <v>17</v>
      </c>
    </row>
    <row r="237" spans="1:13" hidden="1" x14ac:dyDescent="0.15">
      <c r="A237" t="s">
        <v>790</v>
      </c>
      <c r="B237" t="s">
        <v>791</v>
      </c>
      <c r="C237" t="s">
        <v>792</v>
      </c>
      <c r="D237" t="s">
        <v>789</v>
      </c>
      <c r="E237">
        <v>1803</v>
      </c>
      <c r="F237" t="str">
        <f>HYPERLINK("https://github.com/nfcgate/nfcgate/issues/78", "show")</f>
        <v>show</v>
      </c>
      <c r="G237" t="str">
        <f>HYPERLINK("https://github.com/nfcgate/nfcgate", "show")</f>
        <v>show</v>
      </c>
      <c r="H237" t="str">
        <f>HYPERLINK("https://github.com/nfcgate/nfcgate/releases", "show")</f>
        <v>show</v>
      </c>
      <c r="I237">
        <v>1</v>
      </c>
      <c r="J237">
        <v>0</v>
      </c>
      <c r="K237">
        <v>0</v>
      </c>
      <c r="L237">
        <v>0</v>
      </c>
      <c r="M237" t="s">
        <v>17</v>
      </c>
    </row>
    <row r="238" spans="1:13" hidden="1" x14ac:dyDescent="0.15">
      <c r="A238" t="s">
        <v>793</v>
      </c>
      <c r="B238" t="s">
        <v>794</v>
      </c>
      <c r="C238" t="s">
        <v>795</v>
      </c>
      <c r="D238" t="s">
        <v>789</v>
      </c>
      <c r="E238">
        <v>0</v>
      </c>
      <c r="F238" t="str">
        <f>HYPERLINK("https://github.com/koral--/android-gif-drawable/issues/141", "show")</f>
        <v>show</v>
      </c>
      <c r="G238" t="str">
        <f>HYPERLINK("https://github.com/koral--/android-gif-drawable", "show")</f>
        <v>show</v>
      </c>
      <c r="H238" t="str">
        <f>HYPERLINK("https://github.com/koral--/android-gif-drawable/releases", "show")</f>
        <v>show</v>
      </c>
      <c r="I238">
        <v>1</v>
      </c>
      <c r="J238">
        <v>0</v>
      </c>
      <c r="K238">
        <v>0</v>
      </c>
      <c r="L238">
        <v>1</v>
      </c>
      <c r="M238" t="s">
        <v>29</v>
      </c>
    </row>
    <row r="239" spans="1:13" hidden="1" x14ac:dyDescent="0.15">
      <c r="A239" t="s">
        <v>796</v>
      </c>
      <c r="B239" t="s">
        <v>797</v>
      </c>
      <c r="C239" t="s">
        <v>798</v>
      </c>
      <c r="D239" t="s">
        <v>789</v>
      </c>
      <c r="E239">
        <v>19</v>
      </c>
      <c r="F239" t="str">
        <f>HYPERLINK("https://github.com/square/okhttp/issues/1540", "show")</f>
        <v>show</v>
      </c>
      <c r="G239" t="str">
        <f>HYPERLINK("https://github.com/square/okhttp", "show")</f>
        <v>show</v>
      </c>
      <c r="H239" t="str">
        <f>HYPERLINK("https://github.com/square/okhttp/releases", "show")</f>
        <v>show</v>
      </c>
      <c r="I239">
        <v>1</v>
      </c>
      <c r="J239">
        <v>0</v>
      </c>
      <c r="K239">
        <v>1</v>
      </c>
      <c r="L239">
        <v>0</v>
      </c>
      <c r="M239" t="s">
        <v>64</v>
      </c>
    </row>
    <row r="240" spans="1:13" hidden="1" x14ac:dyDescent="0.15">
      <c r="A240" t="s">
        <v>799</v>
      </c>
      <c r="B240" t="s">
        <v>800</v>
      </c>
      <c r="C240" t="s">
        <v>801</v>
      </c>
      <c r="D240" t="s">
        <v>802</v>
      </c>
      <c r="E240">
        <v>0</v>
      </c>
      <c r="F240" t="str">
        <f>HYPERLINK("https://github.com/facebook/stetho/issues/117", "show")</f>
        <v>show</v>
      </c>
      <c r="G240" t="str">
        <f>HYPERLINK("https://github.com/facebook/stetho", "show")</f>
        <v>show</v>
      </c>
      <c r="H240" t="str">
        <f>HYPERLINK("https://github.com/facebook/stetho/releases", "show")</f>
        <v>show</v>
      </c>
      <c r="I240">
        <v>1</v>
      </c>
      <c r="J240">
        <v>1</v>
      </c>
      <c r="K240">
        <v>1</v>
      </c>
      <c r="L240">
        <v>0</v>
      </c>
      <c r="M240" t="s">
        <v>59</v>
      </c>
    </row>
    <row r="241" spans="1:13" hidden="1" x14ac:dyDescent="0.15">
      <c r="A241" t="s">
        <v>803</v>
      </c>
      <c r="B241" t="s">
        <v>804</v>
      </c>
      <c r="C241" t="s">
        <v>805</v>
      </c>
      <c r="D241" t="s">
        <v>802</v>
      </c>
      <c r="E241">
        <v>0</v>
      </c>
      <c r="F241" t="str">
        <f>HYPERLINK("https://github.com/geopaparazzi/geopaparazzi/issues/250", "show")</f>
        <v>show</v>
      </c>
      <c r="G241" t="str">
        <f>HYPERLINK("https://github.com/geopaparazzi/geopaparazzi", "show")</f>
        <v>show</v>
      </c>
      <c r="H241" t="str">
        <f>HYPERLINK("https://github.com/geopaparazzi/geopaparazzi/releases", "show")</f>
        <v>show</v>
      </c>
      <c r="I241">
        <v>1</v>
      </c>
      <c r="J241">
        <v>0</v>
      </c>
      <c r="K241">
        <v>1</v>
      </c>
      <c r="L241">
        <v>0</v>
      </c>
      <c r="M241" t="s">
        <v>64</v>
      </c>
    </row>
    <row r="242" spans="1:13" hidden="1" x14ac:dyDescent="0.15">
      <c r="A242" t="s">
        <v>806</v>
      </c>
      <c r="B242" t="s">
        <v>807</v>
      </c>
      <c r="C242" t="s">
        <v>808</v>
      </c>
      <c r="D242" t="s">
        <v>802</v>
      </c>
      <c r="E242">
        <v>23</v>
      </c>
      <c r="F242" t="str">
        <f>HYPERLINK("https://github.com/akvo/akvo-flow-mobile/issues/285", "show")</f>
        <v>show</v>
      </c>
      <c r="G242" t="str">
        <f>HYPERLINK("https://github.com/akvo/akvo-flow-mobile", "show")</f>
        <v>show</v>
      </c>
      <c r="H242" t="str">
        <f>HYPERLINK("https://github.com/akvo/akvo-flow-mobile/releases", "show")</f>
        <v>show</v>
      </c>
      <c r="I242">
        <v>0</v>
      </c>
      <c r="J242">
        <v>1</v>
      </c>
      <c r="K242">
        <v>1</v>
      </c>
      <c r="L242">
        <v>0</v>
      </c>
      <c r="M242" t="s">
        <v>699</v>
      </c>
    </row>
    <row r="243" spans="1:13" hidden="1" x14ac:dyDescent="0.15">
      <c r="A243" t="s">
        <v>809</v>
      </c>
      <c r="B243" t="s">
        <v>810</v>
      </c>
      <c r="C243" t="s">
        <v>811</v>
      </c>
      <c r="D243" t="s">
        <v>802</v>
      </c>
      <c r="E243">
        <v>0</v>
      </c>
      <c r="F243" t="str">
        <f>HYPERLINK("https://github.com/calblueprint/phc/issues/308", "show")</f>
        <v>show</v>
      </c>
      <c r="G243" t="str">
        <f>HYPERLINK("https://github.com/calblueprint/phc", "show")</f>
        <v>show</v>
      </c>
      <c r="H243" t="str">
        <f>HYPERLINK("https://github.com/calblueprint/phc/releases", "show")</f>
        <v>show</v>
      </c>
      <c r="I243">
        <v>1</v>
      </c>
      <c r="J243">
        <v>0</v>
      </c>
      <c r="K243">
        <v>0</v>
      </c>
      <c r="L243">
        <v>0</v>
      </c>
      <c r="M243" t="s">
        <v>17</v>
      </c>
    </row>
    <row r="244" spans="1:13" hidden="1" x14ac:dyDescent="0.15">
      <c r="A244" t="s">
        <v>812</v>
      </c>
      <c r="B244" t="s">
        <v>813</v>
      </c>
      <c r="C244" t="s">
        <v>814</v>
      </c>
      <c r="D244" t="s">
        <v>815</v>
      </c>
      <c r="E244">
        <v>48</v>
      </c>
      <c r="F244" t="str">
        <f>HYPERLINK("https://github.com/cgeo/cgeo/issues/4829", "show")</f>
        <v>show</v>
      </c>
      <c r="G244" t="str">
        <f>HYPERLINK("https://github.com/cgeo/cgeo", "show")</f>
        <v>show</v>
      </c>
      <c r="H244" t="str">
        <f>HYPERLINK("https://github.com/cgeo/cgeo/releases", "show")</f>
        <v>show</v>
      </c>
      <c r="I244">
        <v>1</v>
      </c>
      <c r="J244">
        <v>0</v>
      </c>
      <c r="K244">
        <v>1</v>
      </c>
      <c r="L244">
        <v>0</v>
      </c>
      <c r="M244" t="s">
        <v>64</v>
      </c>
    </row>
    <row r="245" spans="1:13" hidden="1" x14ac:dyDescent="0.15">
      <c r="A245" t="s">
        <v>816</v>
      </c>
      <c r="B245" t="s">
        <v>817</v>
      </c>
      <c r="C245" t="s">
        <v>818</v>
      </c>
      <c r="D245" t="s">
        <v>815</v>
      </c>
      <c r="E245">
        <v>0</v>
      </c>
      <c r="F245" t="str">
        <f>HYPERLINK("https://github.com/facebook/stetho/issues/126", "show")</f>
        <v>show</v>
      </c>
      <c r="G245" t="str">
        <f>HYPERLINK("https://github.com/facebook/stetho", "show")</f>
        <v>show</v>
      </c>
      <c r="H245" t="str">
        <f>HYPERLINK("https://github.com/facebook/stetho/releases", "show")</f>
        <v>show</v>
      </c>
      <c r="I245">
        <v>0</v>
      </c>
      <c r="J245">
        <v>0</v>
      </c>
      <c r="K245">
        <v>0</v>
      </c>
      <c r="L245">
        <v>0</v>
      </c>
      <c r="M245" t="s">
        <v>43</v>
      </c>
    </row>
    <row r="246" spans="1:13" hidden="1" x14ac:dyDescent="0.15">
      <c r="A246" t="s">
        <v>819</v>
      </c>
      <c r="B246" t="s">
        <v>820</v>
      </c>
      <c r="C246" t="s">
        <v>821</v>
      </c>
      <c r="D246" t="s">
        <v>815</v>
      </c>
      <c r="E246">
        <v>22</v>
      </c>
      <c r="F246" t="str">
        <f>HYPERLINK("https://github.com/facebook/stetho/issues/123", "show")</f>
        <v>show</v>
      </c>
      <c r="G246" t="str">
        <f>HYPERLINK("https://github.com/facebook/stetho", "show")</f>
        <v>show</v>
      </c>
      <c r="H246" t="str">
        <f>HYPERLINK("https://github.com/facebook/stetho/releases", "show")</f>
        <v>show</v>
      </c>
      <c r="I246">
        <v>0</v>
      </c>
      <c r="J246">
        <v>0</v>
      </c>
      <c r="K246">
        <v>0</v>
      </c>
      <c r="L246">
        <v>0</v>
      </c>
      <c r="M246" t="s">
        <v>43</v>
      </c>
    </row>
    <row r="247" spans="1:13" hidden="1" x14ac:dyDescent="0.15">
      <c r="A247" t="s">
        <v>822</v>
      </c>
      <c r="B247" t="s">
        <v>823</v>
      </c>
      <c r="C247" t="s">
        <v>824</v>
      </c>
      <c r="D247" t="s">
        <v>815</v>
      </c>
      <c r="E247">
        <v>335</v>
      </c>
      <c r="F247" t="str">
        <f>HYPERLINK("https://github.com/AntonioRedondo/AnotherMonitor/issues/1", "show")</f>
        <v>show</v>
      </c>
      <c r="G247" t="str">
        <f>HYPERLINK("https://github.com/AntonioRedondo/AnotherMonitor", "show")</f>
        <v>show</v>
      </c>
      <c r="H247" t="str">
        <f>HYPERLINK("https://github.com/AntonioRedondo/AnotherMonitor/releases", "show")</f>
        <v>show</v>
      </c>
      <c r="I247">
        <v>1</v>
      </c>
      <c r="J247">
        <v>0</v>
      </c>
      <c r="K247">
        <v>0</v>
      </c>
      <c r="L247">
        <v>0</v>
      </c>
      <c r="M247" t="s">
        <v>17</v>
      </c>
    </row>
    <row r="248" spans="1:13" hidden="1" x14ac:dyDescent="0.15">
      <c r="A248" t="s">
        <v>825</v>
      </c>
      <c r="B248" t="s">
        <v>826</v>
      </c>
      <c r="C248" t="s">
        <v>827</v>
      </c>
      <c r="D248" t="s">
        <v>815</v>
      </c>
      <c r="E248">
        <v>23</v>
      </c>
      <c r="F248" t="str">
        <f>HYPERLINK("https://github.com/federicoiosue/Omni-Notes/issues/133", "show")</f>
        <v>show</v>
      </c>
      <c r="G248" t="str">
        <f>HYPERLINK("https://github.com/federicoiosue/Omni-Notes", "show")</f>
        <v>show</v>
      </c>
      <c r="H248" t="str">
        <f>HYPERLINK("https://github.com/federicoiosue/Omni-Notes/releases", "show")</f>
        <v>show</v>
      </c>
      <c r="I248">
        <v>1</v>
      </c>
      <c r="J248">
        <v>0</v>
      </c>
      <c r="K248">
        <v>0</v>
      </c>
      <c r="L248">
        <v>0</v>
      </c>
      <c r="M248" t="s">
        <v>17</v>
      </c>
    </row>
    <row r="249" spans="1:13" hidden="1" x14ac:dyDescent="0.15">
      <c r="A249" t="s">
        <v>828</v>
      </c>
      <c r="B249" t="s">
        <v>829</v>
      </c>
      <c r="C249" t="s">
        <v>830</v>
      </c>
      <c r="D249" t="s">
        <v>831</v>
      </c>
      <c r="E249">
        <v>0</v>
      </c>
      <c r="F249" t="str">
        <f>HYPERLINK("https://github.com/facebook/stetho/issues/131", "show")</f>
        <v>show</v>
      </c>
      <c r="G249" t="str">
        <f>HYPERLINK("https://github.com/facebook/stetho", "show")</f>
        <v>show</v>
      </c>
      <c r="H249" t="str">
        <f>HYPERLINK("https://github.com/facebook/stetho/releases", "show")</f>
        <v>show</v>
      </c>
      <c r="I249">
        <v>0</v>
      </c>
      <c r="J249">
        <v>0</v>
      </c>
      <c r="K249">
        <v>1</v>
      </c>
      <c r="L249">
        <v>0</v>
      </c>
      <c r="M249" t="s">
        <v>122</v>
      </c>
    </row>
    <row r="250" spans="1:13" hidden="1" x14ac:dyDescent="0.15">
      <c r="A250" t="s">
        <v>832</v>
      </c>
      <c r="B250" t="s">
        <v>833</v>
      </c>
      <c r="C250" t="s">
        <v>834</v>
      </c>
      <c r="D250" t="s">
        <v>831</v>
      </c>
      <c r="E250">
        <v>0</v>
      </c>
      <c r="F250" t="str">
        <f>HYPERLINK("https://github.com/JusticeRage/ApkTrack/issues/36", "show")</f>
        <v>show</v>
      </c>
      <c r="G250" t="str">
        <f>HYPERLINK("https://github.com/JusticeRage/ApkTrack", "show")</f>
        <v>show</v>
      </c>
      <c r="H250" t="str">
        <f>HYPERLINK("https://github.com/JusticeRage/ApkTrack/releases", "show")</f>
        <v>show</v>
      </c>
      <c r="I250">
        <v>1</v>
      </c>
      <c r="J250">
        <v>0</v>
      </c>
      <c r="K250">
        <v>0</v>
      </c>
      <c r="L250">
        <v>0</v>
      </c>
      <c r="M250" t="s">
        <v>17</v>
      </c>
    </row>
    <row r="251" spans="1:13" hidden="1" x14ac:dyDescent="0.15">
      <c r="A251" t="s">
        <v>835</v>
      </c>
      <c r="B251" t="s">
        <v>836</v>
      </c>
      <c r="C251" t="s">
        <v>837</v>
      </c>
      <c r="D251" t="s">
        <v>831</v>
      </c>
      <c r="E251">
        <v>1</v>
      </c>
      <c r="F251" t="str">
        <f>HYPERLINK("https://github.com/liato/android-bankdroid/issues/528", "show")</f>
        <v>show</v>
      </c>
      <c r="G251" t="str">
        <f>HYPERLINK("https://github.com/liato/android-bankdroid", "show")</f>
        <v>show</v>
      </c>
      <c r="H251" t="str">
        <f>HYPERLINK("https://github.com/liato/android-bankdroid/releases", "show")</f>
        <v>show</v>
      </c>
      <c r="I251">
        <v>0</v>
      </c>
      <c r="J251">
        <v>0</v>
      </c>
      <c r="K251">
        <v>0</v>
      </c>
      <c r="L251">
        <v>0</v>
      </c>
      <c r="M251" t="s">
        <v>43</v>
      </c>
    </row>
    <row r="252" spans="1:13" hidden="1" x14ac:dyDescent="0.15">
      <c r="A252" t="s">
        <v>838</v>
      </c>
      <c r="B252" t="s">
        <v>839</v>
      </c>
      <c r="D252" t="s">
        <v>831</v>
      </c>
      <c r="E252">
        <v>24</v>
      </c>
      <c r="F252" t="str">
        <f>HYPERLINK("https://github.com/spacecowboy/NoNonsense-FilePicker/issues/13", "show")</f>
        <v>show</v>
      </c>
      <c r="G252" t="str">
        <f>HYPERLINK("https://github.com/spacecowboy/NoNonsense-FilePicker", "show")</f>
        <v>show</v>
      </c>
      <c r="H252" t="str">
        <f>HYPERLINK("https://github.com/spacecowboy/NoNonsense-FilePicker/releases", "show")</f>
        <v>show</v>
      </c>
      <c r="I252">
        <v>0</v>
      </c>
      <c r="J252">
        <v>0</v>
      </c>
      <c r="K252">
        <v>1</v>
      </c>
      <c r="L252">
        <v>0</v>
      </c>
      <c r="M252" t="s">
        <v>122</v>
      </c>
    </row>
    <row r="253" spans="1:13" hidden="1" x14ac:dyDescent="0.15">
      <c r="A253" t="s">
        <v>840</v>
      </c>
      <c r="B253" t="s">
        <v>841</v>
      </c>
      <c r="C253" t="s">
        <v>842</v>
      </c>
      <c r="D253" t="s">
        <v>843</v>
      </c>
      <c r="E253">
        <v>3</v>
      </c>
      <c r="F253" t="str">
        <f>HYPERLINK("https://github.com/Rajawali/Rajawali/issues/1448", "show")</f>
        <v>show</v>
      </c>
      <c r="G253" t="str">
        <f>HYPERLINK("https://github.com/Rajawali/Rajawali", "show")</f>
        <v>show</v>
      </c>
      <c r="H253" t="str">
        <f>HYPERLINK("https://github.com/Rajawali/Rajawali/releases", "show")</f>
        <v>show</v>
      </c>
      <c r="I253">
        <v>1</v>
      </c>
      <c r="J253">
        <v>1</v>
      </c>
      <c r="K253">
        <v>0</v>
      </c>
      <c r="L253">
        <v>0</v>
      </c>
      <c r="M253" t="s">
        <v>48</v>
      </c>
    </row>
    <row r="254" spans="1:13" hidden="1" x14ac:dyDescent="0.15">
      <c r="A254" t="s">
        <v>844</v>
      </c>
      <c r="B254" t="s">
        <v>845</v>
      </c>
      <c r="C254" t="s">
        <v>846</v>
      </c>
      <c r="D254" t="s">
        <v>843</v>
      </c>
      <c r="E254">
        <v>1</v>
      </c>
      <c r="F254" t="str">
        <f>HYPERLINK("https://github.com/syncthing/syncthing-android/issues/333", "show")</f>
        <v>show</v>
      </c>
      <c r="G254" t="str">
        <f>HYPERLINK("https://github.com/syncthing/syncthing-android", "show")</f>
        <v>show</v>
      </c>
      <c r="H254" t="str">
        <f>HYPERLINK("https://github.com/syncthing/syncthing-android/releases", "show")</f>
        <v>show</v>
      </c>
      <c r="I254">
        <v>0</v>
      </c>
      <c r="J254">
        <v>0</v>
      </c>
      <c r="K254">
        <v>0</v>
      </c>
      <c r="L254">
        <v>0</v>
      </c>
      <c r="M254" t="s">
        <v>43</v>
      </c>
    </row>
    <row r="255" spans="1:13" hidden="1" x14ac:dyDescent="0.15">
      <c r="A255" t="s">
        <v>847</v>
      </c>
      <c r="B255" t="s">
        <v>848</v>
      </c>
      <c r="C255" t="s">
        <v>849</v>
      </c>
      <c r="D255" t="s">
        <v>843</v>
      </c>
      <c r="E255">
        <v>19</v>
      </c>
      <c r="F255" t="str">
        <f>HYPERLINK("https://github.com/rey5137/material/issues/23", "show")</f>
        <v>show</v>
      </c>
      <c r="G255" t="str">
        <f>HYPERLINK("https://github.com/rey5137/material", "show")</f>
        <v>show</v>
      </c>
      <c r="H255" t="str">
        <f>HYPERLINK("https://github.com/rey5137/material/releases", "show")</f>
        <v>show</v>
      </c>
      <c r="I255">
        <v>1</v>
      </c>
      <c r="J255">
        <v>0</v>
      </c>
      <c r="K255">
        <v>0</v>
      </c>
      <c r="L255">
        <v>0</v>
      </c>
      <c r="M255" t="s">
        <v>17</v>
      </c>
    </row>
    <row r="256" spans="1:13" hidden="1" x14ac:dyDescent="0.15">
      <c r="A256" t="s">
        <v>850</v>
      </c>
      <c r="B256" t="s">
        <v>851</v>
      </c>
      <c r="C256" t="s">
        <v>852</v>
      </c>
      <c r="D256" t="s">
        <v>853</v>
      </c>
      <c r="E256">
        <v>0</v>
      </c>
      <c r="F256" t="str">
        <f>HYPERLINK("https://github.com/forcedotcom/SalesforceMobileSDK-Android/issues/862", "show")</f>
        <v>show</v>
      </c>
      <c r="G256" t="str">
        <f>HYPERLINK("https://github.com/forcedotcom/SalesforceMobileSDK-Android", "show")</f>
        <v>show</v>
      </c>
      <c r="H256" t="str">
        <f>HYPERLINK("https://github.com/forcedotcom/SalesforceMobileSDK-Android/releases", "show")</f>
        <v>show</v>
      </c>
      <c r="I256">
        <v>1</v>
      </c>
      <c r="J256">
        <v>0</v>
      </c>
      <c r="K256">
        <v>0</v>
      </c>
      <c r="L256">
        <v>0</v>
      </c>
      <c r="M256" t="s">
        <v>17</v>
      </c>
    </row>
    <row r="257" spans="1:13" hidden="1" x14ac:dyDescent="0.15">
      <c r="A257" t="s">
        <v>854</v>
      </c>
      <c r="B257" t="s">
        <v>855</v>
      </c>
      <c r="C257" t="s">
        <v>856</v>
      </c>
      <c r="D257" t="s">
        <v>853</v>
      </c>
      <c r="E257">
        <v>51</v>
      </c>
      <c r="F257" t="str">
        <f>HYPERLINK("https://github.com/mobilyzer/Mobilyzer/issues/5", "show")</f>
        <v>show</v>
      </c>
      <c r="G257" t="str">
        <f>HYPERLINK("https://github.com/mobilyzer/Mobilyzer", "show")</f>
        <v>show</v>
      </c>
      <c r="H257" t="str">
        <f>HYPERLINK("https://github.com/mobilyzer/Mobilyzer/releases", "show")</f>
        <v>show</v>
      </c>
      <c r="I257">
        <v>0</v>
      </c>
      <c r="J257">
        <v>0</v>
      </c>
      <c r="K257">
        <v>1</v>
      </c>
      <c r="L257">
        <v>0</v>
      </c>
      <c r="M257" t="s">
        <v>122</v>
      </c>
    </row>
    <row r="258" spans="1:13" hidden="1" x14ac:dyDescent="0.15">
      <c r="A258" t="s">
        <v>857</v>
      </c>
      <c r="B258" t="s">
        <v>858</v>
      </c>
      <c r="C258" t="s">
        <v>859</v>
      </c>
      <c r="D258" t="s">
        <v>853</v>
      </c>
      <c r="E258">
        <v>0</v>
      </c>
      <c r="F258" t="str">
        <f>HYPERLINK("https://github.com/dimagi/commcare-android/issues/216", "show")</f>
        <v>show</v>
      </c>
      <c r="G258" t="str">
        <f>HYPERLINK("https://github.com/dimagi/commcare-android", "show")</f>
        <v>show</v>
      </c>
      <c r="H258" t="str">
        <f>HYPERLINK("https://github.com/dimagi/commcare-android/releases", "show")</f>
        <v>show</v>
      </c>
      <c r="I258">
        <v>1</v>
      </c>
      <c r="J258">
        <v>0</v>
      </c>
      <c r="K258">
        <v>0</v>
      </c>
      <c r="L258">
        <v>0</v>
      </c>
      <c r="M258" t="s">
        <v>17</v>
      </c>
    </row>
    <row r="259" spans="1:13" hidden="1" x14ac:dyDescent="0.15">
      <c r="A259" t="s">
        <v>860</v>
      </c>
      <c r="B259" t="s">
        <v>861</v>
      </c>
      <c r="C259" t="s">
        <v>862</v>
      </c>
      <c r="D259" t="s">
        <v>853</v>
      </c>
      <c r="E259">
        <v>9</v>
      </c>
      <c r="F259" t="str">
        <f>HYPERLINK("https://github.com/ZieIony/Carbon/issues/62", "show")</f>
        <v>show</v>
      </c>
      <c r="G259" t="str">
        <f>HYPERLINK("https://github.com/ZieIony/Carbon", "show")</f>
        <v>show</v>
      </c>
      <c r="H259" t="str">
        <f>HYPERLINK("https://github.com/ZieIony/Carbon/releases", "show")</f>
        <v>show</v>
      </c>
      <c r="I259">
        <v>0</v>
      </c>
      <c r="J259">
        <v>0</v>
      </c>
      <c r="K259">
        <v>1</v>
      </c>
      <c r="L259">
        <v>0</v>
      </c>
      <c r="M259" t="s">
        <v>122</v>
      </c>
    </row>
    <row r="260" spans="1:13" hidden="1" x14ac:dyDescent="0.15">
      <c r="A260" t="s">
        <v>863</v>
      </c>
      <c r="B260" t="s">
        <v>864</v>
      </c>
      <c r="C260" t="s">
        <v>865</v>
      </c>
      <c r="D260" t="s">
        <v>866</v>
      </c>
      <c r="E260">
        <v>1</v>
      </c>
      <c r="F260" t="str">
        <f>HYPERLINK("https://github.com/pattch/PicToPoly/issues/16", "show")</f>
        <v>show</v>
      </c>
      <c r="G260" t="str">
        <f>HYPERLINK("https://github.com/pattch/PicToPoly", "show")</f>
        <v>show</v>
      </c>
      <c r="H260" t="str">
        <f>HYPERLINK("https://github.com/pattch/PicToPoly/releases", "show")</f>
        <v>show</v>
      </c>
      <c r="I260">
        <v>0</v>
      </c>
      <c r="J260">
        <v>0</v>
      </c>
      <c r="K260">
        <v>0</v>
      </c>
      <c r="L260">
        <v>0</v>
      </c>
      <c r="M260" t="s">
        <v>43</v>
      </c>
    </row>
    <row r="261" spans="1:13" hidden="1" x14ac:dyDescent="0.15">
      <c r="A261" t="s">
        <v>867</v>
      </c>
      <c r="B261" t="s">
        <v>868</v>
      </c>
      <c r="C261" t="s">
        <v>869</v>
      </c>
      <c r="D261" t="s">
        <v>866</v>
      </c>
      <c r="E261">
        <v>1</v>
      </c>
      <c r="F261" t="str">
        <f>HYPERLINK("https://github.com/pattch/PicToPoly/issues/14", "show")</f>
        <v>show</v>
      </c>
      <c r="G261" t="str">
        <f>HYPERLINK("https://github.com/pattch/PicToPoly", "show")</f>
        <v>show</v>
      </c>
      <c r="H261" t="str">
        <f>HYPERLINK("https://github.com/pattch/PicToPoly/releases", "show")</f>
        <v>show</v>
      </c>
      <c r="I261">
        <v>1</v>
      </c>
      <c r="J261">
        <v>0</v>
      </c>
      <c r="K261">
        <v>0</v>
      </c>
      <c r="L261">
        <v>0</v>
      </c>
      <c r="M261" t="s">
        <v>17</v>
      </c>
    </row>
    <row r="262" spans="1:13" hidden="1" x14ac:dyDescent="0.15">
      <c r="A262" t="s">
        <v>870</v>
      </c>
      <c r="B262" t="s">
        <v>871</v>
      </c>
      <c r="C262" t="s">
        <v>872</v>
      </c>
      <c r="D262" t="s">
        <v>866</v>
      </c>
      <c r="E262">
        <v>56</v>
      </c>
      <c r="F262" t="str">
        <f>HYPERLINK("https://github.com/rengwuxian/MaterialEditText/issues/162", "show")</f>
        <v>show</v>
      </c>
      <c r="G262" t="str">
        <f>HYPERLINK("https://github.com/rengwuxian/MaterialEditText", "show")</f>
        <v>show</v>
      </c>
      <c r="H262" t="str">
        <f>HYPERLINK("https://github.com/rengwuxian/MaterialEditText/releases", "show")</f>
        <v>show</v>
      </c>
      <c r="I262">
        <v>0</v>
      </c>
      <c r="J262">
        <v>0</v>
      </c>
      <c r="K262">
        <v>1</v>
      </c>
      <c r="L262">
        <v>0</v>
      </c>
      <c r="M262" t="s">
        <v>122</v>
      </c>
    </row>
    <row r="263" spans="1:13" hidden="1" x14ac:dyDescent="0.15">
      <c r="A263" t="s">
        <v>873</v>
      </c>
      <c r="B263" t="s">
        <v>874</v>
      </c>
      <c r="C263" t="s">
        <v>875</v>
      </c>
      <c r="D263" t="s">
        <v>866</v>
      </c>
      <c r="E263">
        <v>13</v>
      </c>
      <c r="F263" t="str">
        <f>HYPERLINK("https://github.com/codebasepk/TrackBuddy/issues/22", "show")</f>
        <v>show</v>
      </c>
      <c r="G263" t="str">
        <f>HYPERLINK("https://github.com/codebasepk/TrackBuddy", "show")</f>
        <v>show</v>
      </c>
      <c r="H263" t="str">
        <f>HYPERLINK("https://github.com/codebasepk/TrackBuddy/releases", "show")</f>
        <v>show</v>
      </c>
      <c r="I263">
        <v>0</v>
      </c>
      <c r="J263">
        <v>0</v>
      </c>
      <c r="K263">
        <v>0</v>
      </c>
      <c r="L263">
        <v>0</v>
      </c>
      <c r="M263" t="s">
        <v>43</v>
      </c>
    </row>
    <row r="264" spans="1:13" hidden="1" x14ac:dyDescent="0.15">
      <c r="A264" t="s">
        <v>876</v>
      </c>
      <c r="B264" t="s">
        <v>877</v>
      </c>
      <c r="C264" t="s">
        <v>878</v>
      </c>
      <c r="D264" t="s">
        <v>866</v>
      </c>
      <c r="E264">
        <v>11</v>
      </c>
      <c r="F264" t="str">
        <f>HYPERLINK("https://github.com/gitskarios/Gitskarios/issues/75", "show")</f>
        <v>show</v>
      </c>
      <c r="G264" t="str">
        <f>HYPERLINK("https://github.com/gitskarios/Gitskarios", "show")</f>
        <v>show</v>
      </c>
      <c r="H264" t="str">
        <f>HYPERLINK("https://github.com/gitskarios/Gitskarios/releases", "show")</f>
        <v>show</v>
      </c>
      <c r="I264">
        <v>1</v>
      </c>
      <c r="J264">
        <v>0</v>
      </c>
      <c r="K264">
        <v>0</v>
      </c>
      <c r="L264">
        <v>0</v>
      </c>
      <c r="M264" t="s">
        <v>17</v>
      </c>
    </row>
    <row r="265" spans="1:13" hidden="1" x14ac:dyDescent="0.15">
      <c r="A265" t="s">
        <v>879</v>
      </c>
      <c r="B265" t="s">
        <v>880</v>
      </c>
      <c r="C265" t="s">
        <v>881</v>
      </c>
      <c r="D265" t="s">
        <v>882</v>
      </c>
      <c r="E265">
        <v>79</v>
      </c>
      <c r="F265" t="str">
        <f>HYPERLINK("https://github.com/moneymanagerex/android-money-manager-ex/issues/123", "show")</f>
        <v>show</v>
      </c>
      <c r="G265" t="str">
        <f>HYPERLINK("https://github.com/moneymanagerex/android-money-manager-ex", "show")</f>
        <v>show</v>
      </c>
      <c r="H265" t="str">
        <f>HYPERLINK("https://github.com/moneymanagerex/android-money-manager-ex/releases", "show")</f>
        <v>show</v>
      </c>
      <c r="I265">
        <v>1</v>
      </c>
      <c r="J265">
        <v>0</v>
      </c>
      <c r="K265">
        <v>0</v>
      </c>
      <c r="L265">
        <v>0</v>
      </c>
      <c r="M265" t="s">
        <v>17</v>
      </c>
    </row>
    <row r="266" spans="1:13" hidden="1" x14ac:dyDescent="0.15">
      <c r="A266" t="s">
        <v>883</v>
      </c>
      <c r="B266" t="s">
        <v>884</v>
      </c>
      <c r="C266" t="s">
        <v>885</v>
      </c>
      <c r="D266" t="s">
        <v>882</v>
      </c>
      <c r="E266">
        <v>7</v>
      </c>
      <c r="F266" t="str">
        <f>HYPERLINK("https://github.com/ZieIony/Carbon/issues/65", "show")</f>
        <v>show</v>
      </c>
      <c r="G266" t="str">
        <f>HYPERLINK("https://github.com/ZieIony/Carbon", "show")</f>
        <v>show</v>
      </c>
      <c r="H266" t="str">
        <f>HYPERLINK("https://github.com/ZieIony/Carbon/releases", "show")</f>
        <v>show</v>
      </c>
      <c r="I266">
        <v>1</v>
      </c>
      <c r="J266">
        <v>0</v>
      </c>
      <c r="K266">
        <v>1</v>
      </c>
      <c r="L266">
        <v>0</v>
      </c>
      <c r="M266" t="s">
        <v>64</v>
      </c>
    </row>
    <row r="267" spans="1:13" hidden="1" x14ac:dyDescent="0.15">
      <c r="A267" t="s">
        <v>886</v>
      </c>
      <c r="B267" t="s">
        <v>887</v>
      </c>
      <c r="C267" t="s">
        <v>888</v>
      </c>
      <c r="D267" t="s">
        <v>882</v>
      </c>
      <c r="E267">
        <v>7</v>
      </c>
      <c r="F267" t="str">
        <f>HYPERLINK("https://github.com/pattch/PicToPoly/issues/24", "show")</f>
        <v>show</v>
      </c>
      <c r="G267" t="str">
        <f>HYPERLINK("https://github.com/pattch/PicToPoly", "show")</f>
        <v>show</v>
      </c>
      <c r="H267" t="str">
        <f>HYPERLINK("https://github.com/pattch/PicToPoly/releases", "show")</f>
        <v>show</v>
      </c>
      <c r="I267">
        <v>1</v>
      </c>
      <c r="J267">
        <v>0</v>
      </c>
      <c r="K267">
        <v>0</v>
      </c>
      <c r="L267">
        <v>0</v>
      </c>
      <c r="M267" t="s">
        <v>17</v>
      </c>
    </row>
    <row r="268" spans="1:13" hidden="1" x14ac:dyDescent="0.15">
      <c r="A268" t="s">
        <v>889</v>
      </c>
      <c r="B268" t="s">
        <v>890</v>
      </c>
      <c r="C268" t="s">
        <v>891</v>
      </c>
      <c r="D268" t="s">
        <v>882</v>
      </c>
      <c r="E268">
        <v>7</v>
      </c>
      <c r="F268" t="str">
        <f>HYPERLINK("https://github.com/pattch/PicToPoly/issues/23", "show")</f>
        <v>show</v>
      </c>
      <c r="G268" t="str">
        <f>HYPERLINK("https://github.com/pattch/PicToPoly", "show")</f>
        <v>show</v>
      </c>
      <c r="H268" t="str">
        <f>HYPERLINK("https://github.com/pattch/PicToPoly/releases", "show")</f>
        <v>show</v>
      </c>
      <c r="I268">
        <v>1</v>
      </c>
      <c r="J268">
        <v>0</v>
      </c>
      <c r="K268">
        <v>0</v>
      </c>
      <c r="L268">
        <v>0</v>
      </c>
      <c r="M268" t="s">
        <v>17</v>
      </c>
    </row>
    <row r="269" spans="1:13" hidden="1" x14ac:dyDescent="0.15">
      <c r="A269" t="s">
        <v>892</v>
      </c>
      <c r="B269" t="s">
        <v>893</v>
      </c>
      <c r="C269" t="s">
        <v>894</v>
      </c>
      <c r="D269" t="s">
        <v>895</v>
      </c>
      <c r="E269">
        <v>116</v>
      </c>
      <c r="F269" t="str">
        <f>HYPERLINK("https://github.com/unfoldingWord-dev/ts-android/issues/430", "show")</f>
        <v>show</v>
      </c>
      <c r="G269" t="str">
        <f>HYPERLINK("https://github.com/unfoldingWord-dev/ts-android", "show")</f>
        <v>show</v>
      </c>
      <c r="H269" t="str">
        <f>HYPERLINK("https://github.com/unfoldingWord-dev/ts-android/releases", "show")</f>
        <v>show</v>
      </c>
      <c r="I269">
        <v>1</v>
      </c>
      <c r="J269">
        <v>0</v>
      </c>
      <c r="K269">
        <v>0</v>
      </c>
      <c r="L269">
        <v>0</v>
      </c>
      <c r="M269" t="s">
        <v>17</v>
      </c>
    </row>
    <row r="270" spans="1:13" hidden="1" x14ac:dyDescent="0.15">
      <c r="A270" t="s">
        <v>896</v>
      </c>
      <c r="B270" t="s">
        <v>897</v>
      </c>
      <c r="C270" t="s">
        <v>898</v>
      </c>
      <c r="D270" t="s">
        <v>895</v>
      </c>
      <c r="E270">
        <v>46</v>
      </c>
      <c r="F270" t="str">
        <f>HYPERLINK("https://github.com/orhanobut/logger/issues/17", "show")</f>
        <v>show</v>
      </c>
      <c r="G270" t="str">
        <f>HYPERLINK("https://github.com/orhanobut/logger", "show")</f>
        <v>show</v>
      </c>
      <c r="H270" t="str">
        <f>HYPERLINK("https://github.com/orhanobut/logger/releases", "show")</f>
        <v>show</v>
      </c>
      <c r="I270">
        <v>0</v>
      </c>
      <c r="J270">
        <v>0</v>
      </c>
      <c r="K270">
        <v>0</v>
      </c>
      <c r="L270">
        <v>0</v>
      </c>
      <c r="M270" t="s">
        <v>43</v>
      </c>
    </row>
    <row r="271" spans="1:13" hidden="1" x14ac:dyDescent="0.15">
      <c r="A271" t="s">
        <v>899</v>
      </c>
      <c r="B271" t="s">
        <v>900</v>
      </c>
      <c r="C271" t="s">
        <v>901</v>
      </c>
      <c r="D271" t="s">
        <v>895</v>
      </c>
      <c r="E271">
        <v>11</v>
      </c>
      <c r="F271" t="str">
        <f>HYPERLINK("https://github.com/kontalk/androidclient/issues/385", "show")</f>
        <v>show</v>
      </c>
      <c r="G271" t="str">
        <f>HYPERLINK("https://github.com/kontalk/androidclient", "show")</f>
        <v>show</v>
      </c>
      <c r="H271" t="str">
        <f>HYPERLINK("https://github.com/kontalk/androidclient/releases", "show")</f>
        <v>show</v>
      </c>
      <c r="I271">
        <v>1</v>
      </c>
      <c r="J271">
        <v>0</v>
      </c>
      <c r="K271">
        <v>1</v>
      </c>
      <c r="L271">
        <v>0</v>
      </c>
      <c r="M271" t="s">
        <v>64</v>
      </c>
    </row>
    <row r="272" spans="1:13" hidden="1" x14ac:dyDescent="0.15">
      <c r="A272" t="s">
        <v>902</v>
      </c>
      <c r="B272" t="s">
        <v>903</v>
      </c>
      <c r="C272" t="s">
        <v>904</v>
      </c>
      <c r="D272" t="s">
        <v>905</v>
      </c>
      <c r="E272">
        <v>0</v>
      </c>
      <c r="F272" t="str">
        <f>HYPERLINK("https://github.com/piemasters/SmartLock/issues/8", "show")</f>
        <v>show</v>
      </c>
      <c r="G272" t="str">
        <f>HYPERLINK("https://github.com/piemasters/SmartLock", "show")</f>
        <v>show</v>
      </c>
      <c r="H272" t="str">
        <f>HYPERLINK("https://github.com/piemasters/SmartLock/releases", "show")</f>
        <v>show</v>
      </c>
      <c r="I272">
        <v>1</v>
      </c>
      <c r="J272">
        <v>0</v>
      </c>
      <c r="K272">
        <v>0</v>
      </c>
      <c r="L272">
        <v>0</v>
      </c>
      <c r="M272" t="s">
        <v>17</v>
      </c>
    </row>
    <row r="273" spans="1:13" hidden="1" x14ac:dyDescent="0.15">
      <c r="A273" t="s">
        <v>906</v>
      </c>
      <c r="B273" t="s">
        <v>907</v>
      </c>
      <c r="C273" t="s">
        <v>908</v>
      </c>
      <c r="D273" t="s">
        <v>905</v>
      </c>
      <c r="E273">
        <v>29</v>
      </c>
      <c r="F273" t="str">
        <f>HYPERLINK("https://github.com/pwittchen/prefser/issues/22", "show")</f>
        <v>show</v>
      </c>
      <c r="G273" t="str">
        <f>HYPERLINK("https://github.com/pwittchen/prefser", "show")</f>
        <v>show</v>
      </c>
      <c r="H273" t="str">
        <f>HYPERLINK("https://github.com/pwittchen/prefser/releases", "show")</f>
        <v>show</v>
      </c>
      <c r="I273">
        <v>0</v>
      </c>
      <c r="J273">
        <v>0</v>
      </c>
      <c r="K273">
        <v>0</v>
      </c>
      <c r="L273">
        <v>0</v>
      </c>
      <c r="M273" t="s">
        <v>43</v>
      </c>
    </row>
    <row r="274" spans="1:13" hidden="1" x14ac:dyDescent="0.15">
      <c r="A274" t="s">
        <v>909</v>
      </c>
      <c r="B274" t="s">
        <v>910</v>
      </c>
      <c r="C274" t="s">
        <v>911</v>
      </c>
      <c r="D274" t="s">
        <v>905</v>
      </c>
      <c r="E274">
        <v>27</v>
      </c>
      <c r="F274" t="str">
        <f>HYPERLINK("https://github.com/cgeo/cgeo/issues/4868", "show")</f>
        <v>show</v>
      </c>
      <c r="G274" t="str">
        <f>HYPERLINK("https://github.com/cgeo/cgeo", "show")</f>
        <v>show</v>
      </c>
      <c r="H274" t="str">
        <f>HYPERLINK("https://github.com/cgeo/cgeo/releases", "show")</f>
        <v>show</v>
      </c>
      <c r="I274">
        <v>1</v>
      </c>
      <c r="J274">
        <v>0</v>
      </c>
      <c r="K274">
        <v>1</v>
      </c>
      <c r="L274">
        <v>0</v>
      </c>
      <c r="M274" t="s">
        <v>64</v>
      </c>
    </row>
    <row r="275" spans="1:13" hidden="1" x14ac:dyDescent="0.15">
      <c r="A275" t="s">
        <v>912</v>
      </c>
      <c r="B275" t="s">
        <v>913</v>
      </c>
      <c r="C275" t="s">
        <v>914</v>
      </c>
      <c r="D275" t="s">
        <v>905</v>
      </c>
      <c r="E275">
        <v>228</v>
      </c>
      <c r="F275" t="str">
        <f>HYPERLINK("https://github.com/the-blue-alliance/the-blue-alliance-android/issues/386", "show")</f>
        <v>show</v>
      </c>
      <c r="G275" t="str">
        <f>HYPERLINK("https://github.com/the-blue-alliance/the-blue-alliance-android", "show")</f>
        <v>show</v>
      </c>
      <c r="H275" t="str">
        <f>HYPERLINK("https://github.com/the-blue-alliance/the-blue-alliance-android/releases", "show")</f>
        <v>show</v>
      </c>
      <c r="I275">
        <v>1</v>
      </c>
      <c r="J275">
        <v>0</v>
      </c>
      <c r="K275">
        <v>1</v>
      </c>
      <c r="L275">
        <v>0</v>
      </c>
      <c r="M275" t="s">
        <v>64</v>
      </c>
    </row>
    <row r="276" spans="1:13" hidden="1" x14ac:dyDescent="0.15">
      <c r="A276" t="s">
        <v>915</v>
      </c>
      <c r="B276" t="s">
        <v>916</v>
      </c>
      <c r="C276" t="s">
        <v>917</v>
      </c>
      <c r="D276" t="s">
        <v>918</v>
      </c>
      <c r="E276">
        <v>0</v>
      </c>
      <c r="F276" t="str">
        <f>HYPERLINK("https://github.com/bumptech/glide/issues/401", "show")</f>
        <v>show</v>
      </c>
      <c r="G276" t="str">
        <f>HYPERLINK("https://github.com/bumptech/glide", "show")</f>
        <v>show</v>
      </c>
      <c r="H276" t="str">
        <f>HYPERLINK("https://github.com/bumptech/glide/releases", "show")</f>
        <v>show</v>
      </c>
      <c r="I276">
        <v>1</v>
      </c>
      <c r="J276">
        <v>0</v>
      </c>
      <c r="K276">
        <v>0</v>
      </c>
      <c r="L276">
        <v>0</v>
      </c>
      <c r="M276" t="s">
        <v>17</v>
      </c>
    </row>
    <row r="277" spans="1:13" hidden="1" x14ac:dyDescent="0.15">
      <c r="A277" t="s">
        <v>919</v>
      </c>
      <c r="B277" t="s">
        <v>920</v>
      </c>
      <c r="C277" t="s">
        <v>921</v>
      </c>
      <c r="D277" t="s">
        <v>918</v>
      </c>
      <c r="E277">
        <v>497</v>
      </c>
      <c r="F277" t="str">
        <f>HYPERLINK("https://github.com/docprajit/MithrilApp/issues/1", "show")</f>
        <v>show</v>
      </c>
      <c r="G277" t="str">
        <f>HYPERLINK("https://github.com/docprajit/MithrilApp", "show")</f>
        <v>show</v>
      </c>
      <c r="H277" t="str">
        <f>HYPERLINK("https://github.com/docprajit/MithrilApp/releases", "show")</f>
        <v>show</v>
      </c>
      <c r="I277">
        <v>0</v>
      </c>
      <c r="J277">
        <v>0</v>
      </c>
      <c r="K277">
        <v>0</v>
      </c>
      <c r="L277">
        <v>0</v>
      </c>
      <c r="M277" t="s">
        <v>43</v>
      </c>
    </row>
    <row r="278" spans="1:13" hidden="1" x14ac:dyDescent="0.15">
      <c r="A278" t="s">
        <v>922</v>
      </c>
      <c r="B278" t="s">
        <v>923</v>
      </c>
      <c r="C278" t="s">
        <v>924</v>
      </c>
      <c r="D278" t="s">
        <v>918</v>
      </c>
      <c r="E278">
        <v>1304</v>
      </c>
      <c r="F278" t="str">
        <f>HYPERLINK("https://github.com/AltBeacon/android-beacon-library/issues/165", "show")</f>
        <v>show</v>
      </c>
      <c r="G278" t="str">
        <f>HYPERLINK("https://github.com/AltBeacon/android-beacon-library", "show")</f>
        <v>show</v>
      </c>
      <c r="H278" t="str">
        <f>HYPERLINK("https://github.com/AltBeacon/android-beacon-library/releases", "show")</f>
        <v>show</v>
      </c>
      <c r="I278">
        <v>1</v>
      </c>
      <c r="J278">
        <v>0</v>
      </c>
      <c r="K278">
        <v>0</v>
      </c>
      <c r="L278">
        <v>0</v>
      </c>
      <c r="M278" t="s">
        <v>17</v>
      </c>
    </row>
    <row r="279" spans="1:13" hidden="1" x14ac:dyDescent="0.15">
      <c r="A279" t="s">
        <v>925</v>
      </c>
      <c r="B279" t="s">
        <v>926</v>
      </c>
      <c r="C279" t="s">
        <v>927</v>
      </c>
      <c r="D279" t="s">
        <v>928</v>
      </c>
      <c r="E279">
        <v>2</v>
      </c>
      <c r="F279" t="str">
        <f>HYPERLINK("https://github.com/bumptech/glide/issues/413", "show")</f>
        <v>show</v>
      </c>
      <c r="G279" t="str">
        <f>HYPERLINK("https://github.com/bumptech/glide", "show")</f>
        <v>show</v>
      </c>
      <c r="H279" t="str">
        <f>HYPERLINK("https://github.com/bumptech/glide/releases", "show")</f>
        <v>show</v>
      </c>
      <c r="I279">
        <v>0</v>
      </c>
      <c r="J279">
        <v>0</v>
      </c>
      <c r="K279">
        <v>1</v>
      </c>
      <c r="L279">
        <v>0</v>
      </c>
      <c r="M279" t="s">
        <v>122</v>
      </c>
    </row>
    <row r="280" spans="1:13" hidden="1" x14ac:dyDescent="0.15">
      <c r="A280" t="s">
        <v>929</v>
      </c>
      <c r="B280" t="s">
        <v>930</v>
      </c>
      <c r="C280" t="s">
        <v>931</v>
      </c>
      <c r="D280" t="s">
        <v>928</v>
      </c>
      <c r="E280">
        <v>62</v>
      </c>
      <c r="F280" t="str">
        <f>HYPERLINK("https://github.com/dmfs/opentasks/issues/134", "show")</f>
        <v>show</v>
      </c>
      <c r="G280" t="str">
        <f>HYPERLINK("https://github.com/dmfs/opentasks", "show")</f>
        <v>show</v>
      </c>
      <c r="H280" t="str">
        <f>HYPERLINK("https://github.com/dmfs/opentasks/releases", "show")</f>
        <v>show</v>
      </c>
      <c r="I280">
        <v>0</v>
      </c>
      <c r="J280">
        <v>0</v>
      </c>
      <c r="K280">
        <v>0</v>
      </c>
      <c r="L280">
        <v>0</v>
      </c>
      <c r="M280" t="s">
        <v>43</v>
      </c>
    </row>
    <row r="281" spans="1:13" hidden="1" x14ac:dyDescent="0.15">
      <c r="A281" t="s">
        <v>932</v>
      </c>
      <c r="B281" t="s">
        <v>933</v>
      </c>
      <c r="D281" t="s">
        <v>934</v>
      </c>
      <c r="E281">
        <v>15</v>
      </c>
      <c r="F281" t="str">
        <f>HYPERLINK("https://github.com/Thing342/MobileMemento/issues/4", "show")</f>
        <v>show</v>
      </c>
      <c r="G281" t="str">
        <f>HYPERLINK("https://github.com/Thing342/MobileMemento", "show")</f>
        <v>show</v>
      </c>
      <c r="H281" t="str">
        <f>HYPERLINK("https://github.com/Thing342/MobileMemento/releases", "show")</f>
        <v>show</v>
      </c>
      <c r="I281">
        <v>1</v>
      </c>
      <c r="J281">
        <v>0</v>
      </c>
      <c r="K281">
        <v>0</v>
      </c>
      <c r="L281">
        <v>0</v>
      </c>
      <c r="M281" t="s">
        <v>17</v>
      </c>
    </row>
    <row r="282" spans="1:13" hidden="1" x14ac:dyDescent="0.15">
      <c r="A282" t="s">
        <v>935</v>
      </c>
      <c r="B282" t="s">
        <v>936</v>
      </c>
      <c r="C282" t="s">
        <v>937</v>
      </c>
      <c r="D282" t="s">
        <v>934</v>
      </c>
      <c r="E282">
        <v>7</v>
      </c>
      <c r="F282" t="str">
        <f>HYPERLINK("https://github.com/rosjava/android_apps/issues/46", "show")</f>
        <v>show</v>
      </c>
      <c r="G282" t="str">
        <f>HYPERLINK("https://github.com/rosjava/android_apps", "show")</f>
        <v>show</v>
      </c>
      <c r="H282" t="str">
        <f>HYPERLINK("https://github.com/rosjava/android_apps/releases", "show")</f>
        <v>show</v>
      </c>
      <c r="I282">
        <v>0</v>
      </c>
      <c r="J282">
        <v>0</v>
      </c>
      <c r="K282">
        <v>0</v>
      </c>
      <c r="L282">
        <v>0</v>
      </c>
      <c r="M282" t="s">
        <v>43</v>
      </c>
    </row>
    <row r="283" spans="1:13" hidden="1" x14ac:dyDescent="0.15">
      <c r="A283" t="s">
        <v>938</v>
      </c>
      <c r="B283" t="s">
        <v>939</v>
      </c>
      <c r="C283" t="s">
        <v>940</v>
      </c>
      <c r="D283" t="s">
        <v>941</v>
      </c>
      <c r="E283">
        <v>291</v>
      </c>
      <c r="F283" t="str">
        <f>HYPERLINK("https://github.com/mixpanel/mixpanel-android/issues/205", "show")</f>
        <v>show</v>
      </c>
      <c r="G283" t="str">
        <f>HYPERLINK("https://github.com/mixpanel/mixpanel-android", "show")</f>
        <v>show</v>
      </c>
      <c r="H283" t="str">
        <f>HYPERLINK("https://github.com/mixpanel/mixpanel-android/releases", "show")</f>
        <v>show</v>
      </c>
      <c r="I283">
        <v>0</v>
      </c>
      <c r="J283">
        <v>0</v>
      </c>
      <c r="K283">
        <v>1</v>
      </c>
      <c r="L283">
        <v>0</v>
      </c>
      <c r="M283" t="s">
        <v>122</v>
      </c>
    </row>
    <row r="284" spans="1:13" hidden="1" x14ac:dyDescent="0.15">
      <c r="A284" t="s">
        <v>942</v>
      </c>
      <c r="B284" t="s">
        <v>943</v>
      </c>
      <c r="C284" t="s">
        <v>944</v>
      </c>
      <c r="D284" t="s">
        <v>941</v>
      </c>
      <c r="E284">
        <v>10</v>
      </c>
      <c r="F284" t="str">
        <f>HYPERLINK("https://github.com/michaelbarlow7/dungeon-crawl-android/issues/55", "show")</f>
        <v>show</v>
      </c>
      <c r="G284" t="str">
        <f>HYPERLINK("https://github.com/michaelbarlow7/dungeon-crawl-android", "show")</f>
        <v>show</v>
      </c>
      <c r="H284" t="str">
        <f>HYPERLINK("https://github.com/michaelbarlow7/dungeon-crawl-android/releases", "show")</f>
        <v>show</v>
      </c>
      <c r="I284">
        <v>1</v>
      </c>
      <c r="J284">
        <v>0</v>
      </c>
      <c r="K284">
        <v>0</v>
      </c>
      <c r="L284">
        <v>0</v>
      </c>
      <c r="M284" t="s">
        <v>17</v>
      </c>
    </row>
    <row r="285" spans="1:13" hidden="1" x14ac:dyDescent="0.15">
      <c r="A285" t="s">
        <v>945</v>
      </c>
      <c r="B285" t="s">
        <v>946</v>
      </c>
      <c r="C285" t="s">
        <v>947</v>
      </c>
      <c r="D285" t="s">
        <v>948</v>
      </c>
      <c r="E285">
        <v>94</v>
      </c>
      <c r="F285" t="str">
        <f>HYPERLINK("https://github.com/OneDrive/onedrive-explorer-android/issues/38", "show")</f>
        <v>show</v>
      </c>
      <c r="G285" t="str">
        <f>HYPERLINK("https://github.com/OneDrive/onedrive-explorer-android", "show")</f>
        <v>show</v>
      </c>
      <c r="H285" t="str">
        <f>HYPERLINK("https://github.com/OneDrive/onedrive-explorer-android/releases", "show")</f>
        <v>show</v>
      </c>
      <c r="I285">
        <v>0</v>
      </c>
      <c r="J285">
        <v>0</v>
      </c>
      <c r="K285">
        <v>0</v>
      </c>
      <c r="L285">
        <v>0</v>
      </c>
      <c r="M285" t="s">
        <v>43</v>
      </c>
    </row>
    <row r="286" spans="1:13" hidden="1" x14ac:dyDescent="0.15">
      <c r="A286" t="s">
        <v>949</v>
      </c>
      <c r="B286" t="s">
        <v>950</v>
      </c>
      <c r="C286" t="s">
        <v>951</v>
      </c>
      <c r="D286" t="s">
        <v>948</v>
      </c>
      <c r="E286">
        <v>1</v>
      </c>
      <c r="F286" t="str">
        <f>HYPERLINK("https://github.com/Thing342/MobileMemento/issues/7", "show")</f>
        <v>show</v>
      </c>
      <c r="G286" t="str">
        <f>HYPERLINK("https://github.com/Thing342/MobileMemento", "show")</f>
        <v>show</v>
      </c>
      <c r="H286" t="str">
        <f>HYPERLINK("https://github.com/Thing342/MobileMemento/releases", "show")</f>
        <v>show</v>
      </c>
      <c r="I286">
        <v>1</v>
      </c>
      <c r="J286">
        <v>0</v>
      </c>
      <c r="K286">
        <v>0</v>
      </c>
      <c r="L286">
        <v>0</v>
      </c>
      <c r="M286" t="s">
        <v>17</v>
      </c>
    </row>
    <row r="287" spans="1:13" hidden="1" x14ac:dyDescent="0.15">
      <c r="A287" t="s">
        <v>952</v>
      </c>
      <c r="B287" t="s">
        <v>953</v>
      </c>
      <c r="C287" t="s">
        <v>954</v>
      </c>
      <c r="D287" t="s">
        <v>948</v>
      </c>
      <c r="E287">
        <v>0</v>
      </c>
      <c r="F287" t="str">
        <f>HYPERLINK("https://github.com/dhis2/dhis2-android-eventcapture/issues/14", "show")</f>
        <v>show</v>
      </c>
      <c r="G287" t="str">
        <f>HYPERLINK("https://github.com/dhis2/dhis2-android-eventcapture", "show")</f>
        <v>show</v>
      </c>
      <c r="H287" t="str">
        <f>HYPERLINK("https://github.com/dhis2/dhis2-android-eventcapture/releases", "show")</f>
        <v>show</v>
      </c>
      <c r="I287">
        <v>1</v>
      </c>
      <c r="J287">
        <v>0</v>
      </c>
      <c r="K287">
        <v>1</v>
      </c>
      <c r="L287">
        <v>0</v>
      </c>
      <c r="M287" t="s">
        <v>64</v>
      </c>
    </row>
    <row r="288" spans="1:13" hidden="1" x14ac:dyDescent="0.15">
      <c r="A288" t="s">
        <v>955</v>
      </c>
      <c r="B288" t="s">
        <v>956</v>
      </c>
      <c r="C288" t="s">
        <v>957</v>
      </c>
      <c r="D288" t="s">
        <v>958</v>
      </c>
      <c r="E288">
        <v>103</v>
      </c>
      <c r="F288" t="str">
        <f>HYPERLINK("https://github.com/cc-archive/list/issues/276", "show")</f>
        <v>show</v>
      </c>
      <c r="G288" t="str">
        <f>HYPERLINK("https://github.com/cc-archive/list", "show")</f>
        <v>show</v>
      </c>
      <c r="H288" t="str">
        <f>HYPERLINK("https://github.com/cc-archive/list/releases", "show")</f>
        <v>show</v>
      </c>
      <c r="I288">
        <v>1</v>
      </c>
      <c r="J288">
        <v>0</v>
      </c>
      <c r="K288">
        <v>0</v>
      </c>
      <c r="L288">
        <v>0</v>
      </c>
      <c r="M288" t="s">
        <v>17</v>
      </c>
    </row>
    <row r="289" spans="1:13" hidden="1" x14ac:dyDescent="0.15">
      <c r="A289" t="s">
        <v>959</v>
      </c>
      <c r="B289" t="s">
        <v>960</v>
      </c>
      <c r="D289" t="s">
        <v>961</v>
      </c>
      <c r="E289">
        <v>1</v>
      </c>
      <c r="F289" t="str">
        <f>HYPERLINK("https://github.com/redsolution/xabber-android/issues/400", "show")</f>
        <v>show</v>
      </c>
      <c r="G289" t="str">
        <f>HYPERLINK("https://github.com/redsolution/xabber-android", "show")</f>
        <v>show</v>
      </c>
      <c r="H289" t="str">
        <f>HYPERLINK("https://github.com/redsolution/xabber-android/releases", "show")</f>
        <v>show</v>
      </c>
      <c r="I289">
        <v>1</v>
      </c>
      <c r="J289">
        <v>0</v>
      </c>
      <c r="K289">
        <v>0</v>
      </c>
      <c r="L289">
        <v>0</v>
      </c>
      <c r="M289" t="s">
        <v>17</v>
      </c>
    </row>
    <row r="290" spans="1:13" hidden="1" x14ac:dyDescent="0.15">
      <c r="A290" t="s">
        <v>962</v>
      </c>
      <c r="B290" t="s">
        <v>963</v>
      </c>
      <c r="C290" t="s">
        <v>964</v>
      </c>
      <c r="D290" t="s">
        <v>965</v>
      </c>
      <c r="E290">
        <v>0</v>
      </c>
      <c r="F290" t="str">
        <f>HYPERLINK("https://github.com/moneymanagerex/android-money-manager-ex/issues/205", "show")</f>
        <v>show</v>
      </c>
      <c r="G290" t="str">
        <f>HYPERLINK("https://github.com/moneymanagerex/android-money-manager-ex", "show")</f>
        <v>show</v>
      </c>
      <c r="H290" t="str">
        <f>HYPERLINK("https://github.com/moneymanagerex/android-money-manager-ex/releases", "show")</f>
        <v>show</v>
      </c>
      <c r="I290">
        <v>1</v>
      </c>
      <c r="J290">
        <v>0</v>
      </c>
      <c r="K290">
        <v>1</v>
      </c>
      <c r="L290">
        <v>0</v>
      </c>
      <c r="M290" t="s">
        <v>64</v>
      </c>
    </row>
    <row r="291" spans="1:13" hidden="1" x14ac:dyDescent="0.15">
      <c r="A291" t="s">
        <v>966</v>
      </c>
      <c r="B291" t="s">
        <v>967</v>
      </c>
      <c r="C291" t="s">
        <v>968</v>
      </c>
      <c r="D291" t="s">
        <v>965</v>
      </c>
      <c r="E291">
        <v>151</v>
      </c>
      <c r="F291" t="str">
        <f>HYPERLINK("https://github.com/PanicInitiative/PanicButton/issues/81", "show")</f>
        <v>show</v>
      </c>
      <c r="G291" t="str">
        <f>HYPERLINK("https://github.com/PanicInitiative/PanicButton", "show")</f>
        <v>show</v>
      </c>
      <c r="H291" t="str">
        <f>HYPERLINK("https://github.com/PanicInitiative/PanicButton/releases", "show")</f>
        <v>show</v>
      </c>
      <c r="I291">
        <v>0</v>
      </c>
      <c r="J291">
        <v>0</v>
      </c>
      <c r="K291">
        <v>1</v>
      </c>
      <c r="L291">
        <v>0</v>
      </c>
      <c r="M291" t="s">
        <v>122</v>
      </c>
    </row>
    <row r="292" spans="1:13" hidden="1" x14ac:dyDescent="0.15">
      <c r="A292" t="s">
        <v>969</v>
      </c>
      <c r="B292" t="s">
        <v>970</v>
      </c>
      <c r="D292" t="s">
        <v>971</v>
      </c>
      <c r="E292">
        <v>1</v>
      </c>
      <c r="F292" t="str">
        <f>HYPERLINK("https://github.com/ZieIony/Carbon/issues/73", "show")</f>
        <v>show</v>
      </c>
      <c r="G292" t="str">
        <f>HYPERLINK("https://github.com/ZieIony/Carbon", "show")</f>
        <v>show</v>
      </c>
      <c r="H292" t="str">
        <f>HYPERLINK("https://github.com/ZieIony/Carbon/releases", "show")</f>
        <v>show</v>
      </c>
      <c r="I292">
        <v>1</v>
      </c>
      <c r="J292">
        <v>0</v>
      </c>
      <c r="K292">
        <v>1</v>
      </c>
      <c r="L292">
        <v>0</v>
      </c>
      <c r="M292" t="s">
        <v>64</v>
      </c>
    </row>
    <row r="293" spans="1:13" hidden="1" x14ac:dyDescent="0.15">
      <c r="A293" t="s">
        <v>972</v>
      </c>
      <c r="B293" t="s">
        <v>973</v>
      </c>
      <c r="C293" t="s">
        <v>974</v>
      </c>
      <c r="D293" t="s">
        <v>971</v>
      </c>
      <c r="E293">
        <v>1</v>
      </c>
      <c r="F293" t="str">
        <f>HYPERLINK("https://github.com/dhis2/dhis2-android-eventcapture/issues/22", "show")</f>
        <v>show</v>
      </c>
      <c r="G293" t="str">
        <f>HYPERLINK("https://github.com/dhis2/dhis2-android-eventcapture", "show")</f>
        <v>show</v>
      </c>
      <c r="H293" t="str">
        <f>HYPERLINK("https://github.com/dhis2/dhis2-android-eventcapture/releases", "show")</f>
        <v>show</v>
      </c>
      <c r="I293">
        <v>1</v>
      </c>
      <c r="J293">
        <v>0</v>
      </c>
      <c r="K293">
        <v>0</v>
      </c>
      <c r="L293">
        <v>0</v>
      </c>
      <c r="M293" t="s">
        <v>17</v>
      </c>
    </row>
    <row r="294" spans="1:13" hidden="1" x14ac:dyDescent="0.15">
      <c r="A294" t="s">
        <v>975</v>
      </c>
      <c r="B294" t="s">
        <v>976</v>
      </c>
      <c r="C294" t="s">
        <v>977</v>
      </c>
      <c r="D294" t="s">
        <v>978</v>
      </c>
      <c r="E294">
        <v>0</v>
      </c>
      <c r="F294" t="str">
        <f>HYPERLINK("https://github.com/24HeuresINSA/24h-android-app/issues/100", "show")</f>
        <v>show</v>
      </c>
      <c r="G294" t="str">
        <f>HYPERLINK("https://github.com/24HeuresINSA/24h-android-app", "show")</f>
        <v>show</v>
      </c>
      <c r="H294" t="str">
        <f>HYPERLINK("https://github.com/24HeuresINSA/24h-android-app/releases", "show")</f>
        <v>show</v>
      </c>
      <c r="I294">
        <v>0</v>
      </c>
      <c r="J294">
        <v>0</v>
      </c>
      <c r="K294">
        <v>0</v>
      </c>
      <c r="L294">
        <v>0</v>
      </c>
      <c r="M294" t="s">
        <v>43</v>
      </c>
    </row>
    <row r="295" spans="1:13" hidden="1" x14ac:dyDescent="0.15">
      <c r="A295" t="s">
        <v>979</v>
      </c>
      <c r="B295" t="s">
        <v>980</v>
      </c>
      <c r="C295" t="s">
        <v>981</v>
      </c>
      <c r="D295" t="s">
        <v>978</v>
      </c>
      <c r="E295">
        <v>6</v>
      </c>
      <c r="F295" t="str">
        <f>HYPERLINK("https://github.com/Natio/Places/issues/74", "show")</f>
        <v>show</v>
      </c>
      <c r="G295" t="str">
        <f>HYPERLINK("https://github.com/Natio/Places", "show")</f>
        <v>show</v>
      </c>
      <c r="H295" t="str">
        <f>HYPERLINK("https://github.com/Natio/Places/releases", "show")</f>
        <v>show</v>
      </c>
      <c r="I295">
        <v>1</v>
      </c>
      <c r="J295">
        <v>0</v>
      </c>
      <c r="K295">
        <v>0</v>
      </c>
      <c r="L295">
        <v>0</v>
      </c>
      <c r="M295" t="s">
        <v>17</v>
      </c>
    </row>
    <row r="296" spans="1:13" hidden="1" x14ac:dyDescent="0.15">
      <c r="A296" t="s">
        <v>982</v>
      </c>
      <c r="B296" t="s">
        <v>983</v>
      </c>
      <c r="C296" t="s">
        <v>984</v>
      </c>
      <c r="D296" t="s">
        <v>978</v>
      </c>
      <c r="E296">
        <v>0</v>
      </c>
      <c r="F296" t="str">
        <f>HYPERLINK("https://github.com/johnkil/Android-RobotoTextView/issues/38", "show")</f>
        <v>show</v>
      </c>
      <c r="G296" t="str">
        <f>HYPERLINK("https://github.com/johnkil/Android-RobotoTextView", "show")</f>
        <v>show</v>
      </c>
      <c r="H296" t="str">
        <f>HYPERLINK("https://github.com/johnkil/Android-RobotoTextView/releases", "show")</f>
        <v>show</v>
      </c>
      <c r="I296">
        <v>1</v>
      </c>
      <c r="J296">
        <v>0</v>
      </c>
      <c r="K296">
        <v>0</v>
      </c>
      <c r="L296">
        <v>0</v>
      </c>
      <c r="M296" t="s">
        <v>17</v>
      </c>
    </row>
    <row r="297" spans="1:13" hidden="1" x14ac:dyDescent="0.15">
      <c r="A297" t="s">
        <v>985</v>
      </c>
      <c r="B297" t="s">
        <v>986</v>
      </c>
      <c r="C297" t="s">
        <v>987</v>
      </c>
      <c r="D297" t="s">
        <v>978</v>
      </c>
      <c r="E297">
        <v>13</v>
      </c>
      <c r="F297" t="str">
        <f>HYPERLINK("https://github.com/paceuniversity/cs3892015team1/issues/28", "show")</f>
        <v>show</v>
      </c>
      <c r="G297" t="str">
        <f>HYPERLINK("https://github.com/paceuniversity/cs3892015team1", "show")</f>
        <v>show</v>
      </c>
      <c r="H297" t="str">
        <f>HYPERLINK("https://github.com/paceuniversity/cs3892015team1/releases", "show")</f>
        <v>show</v>
      </c>
      <c r="I297">
        <v>1</v>
      </c>
      <c r="J297">
        <v>0</v>
      </c>
      <c r="K297">
        <v>0</v>
      </c>
      <c r="L297">
        <v>0</v>
      </c>
      <c r="M297" t="s">
        <v>17</v>
      </c>
    </row>
    <row r="298" spans="1:13" hidden="1" x14ac:dyDescent="0.15">
      <c r="A298" t="s">
        <v>988</v>
      </c>
      <c r="B298" t="s">
        <v>989</v>
      </c>
      <c r="C298" t="s">
        <v>990</v>
      </c>
      <c r="D298" t="s">
        <v>991</v>
      </c>
      <c r="E298">
        <v>0</v>
      </c>
      <c r="F298" t="str">
        <f>HYPERLINK("https://github.com/koral--/android-gif-drawable/issues/157", "show")</f>
        <v>show</v>
      </c>
      <c r="G298" t="str">
        <f>HYPERLINK("https://github.com/koral--/android-gif-drawable", "show")</f>
        <v>show</v>
      </c>
      <c r="H298" t="str">
        <f>HYPERLINK("https://github.com/koral--/android-gif-drawable/releases", "show")</f>
        <v>show</v>
      </c>
      <c r="I298">
        <v>1</v>
      </c>
      <c r="J298">
        <v>0</v>
      </c>
      <c r="K298">
        <v>0</v>
      </c>
      <c r="L298">
        <v>0</v>
      </c>
      <c r="M298" t="s">
        <v>17</v>
      </c>
    </row>
    <row r="299" spans="1:13" hidden="1" x14ac:dyDescent="0.15">
      <c r="A299" t="s">
        <v>992</v>
      </c>
      <c r="B299" t="s">
        <v>993</v>
      </c>
      <c r="D299" t="s">
        <v>991</v>
      </c>
      <c r="E299">
        <v>5</v>
      </c>
      <c r="F299" t="str">
        <f>HYPERLINK("https://github.com/getlantern/firetweet/issues/56", "show")</f>
        <v>show</v>
      </c>
      <c r="G299" t="str">
        <f>HYPERLINK("https://github.com/getlantern/firetweet", "show")</f>
        <v>show</v>
      </c>
      <c r="H299" t="str">
        <f>HYPERLINK("https://github.com/getlantern/firetweet/releases", "show")</f>
        <v>show</v>
      </c>
      <c r="I299">
        <v>1</v>
      </c>
      <c r="J299">
        <v>0</v>
      </c>
      <c r="K299">
        <v>0</v>
      </c>
      <c r="L299">
        <v>1</v>
      </c>
      <c r="M299" t="s">
        <v>29</v>
      </c>
    </row>
    <row r="300" spans="1:13" hidden="1" x14ac:dyDescent="0.15">
      <c r="A300" t="s">
        <v>994</v>
      </c>
      <c r="B300" t="s">
        <v>995</v>
      </c>
      <c r="C300" t="s">
        <v>996</v>
      </c>
      <c r="D300" t="s">
        <v>997</v>
      </c>
      <c r="E300">
        <v>0</v>
      </c>
      <c r="F300" t="str">
        <f>HYPERLINK("https://github.com/remulasce/metroapp/issues/216", "show")</f>
        <v>show</v>
      </c>
      <c r="G300" t="str">
        <f>HYPERLINK("https://github.com/remulasce/metroapp", "show")</f>
        <v>show</v>
      </c>
      <c r="H300" t="str">
        <f>HYPERLINK("https://github.com/remulasce/metroapp/releases", "show")</f>
        <v>show</v>
      </c>
      <c r="I300">
        <v>0</v>
      </c>
      <c r="J300">
        <v>0</v>
      </c>
      <c r="K300">
        <v>1</v>
      </c>
      <c r="L300">
        <v>0</v>
      </c>
      <c r="M300" t="s">
        <v>122</v>
      </c>
    </row>
    <row r="301" spans="1:13" hidden="1" x14ac:dyDescent="0.15">
      <c r="A301" t="s">
        <v>998</v>
      </c>
      <c r="B301" t="s">
        <v>999</v>
      </c>
      <c r="C301" t="s">
        <v>1000</v>
      </c>
      <c r="D301" t="s">
        <v>1001</v>
      </c>
      <c r="E301">
        <v>80</v>
      </c>
      <c r="F301" t="str">
        <f>HYPERLINK("https://github.com/CellularPrivacy/Android-IMSI-Catcher-Detector/issues/390", "show")</f>
        <v>show</v>
      </c>
      <c r="G301" t="str">
        <f>HYPERLINK("https://github.com/CellularPrivacy/Android-IMSI-Catcher-Detector", "show")</f>
        <v>show</v>
      </c>
      <c r="H301" t="str">
        <f>HYPERLINK("https://github.com/CellularPrivacy/Android-IMSI-Catcher-Detector/releases", "show")</f>
        <v>show</v>
      </c>
      <c r="I301">
        <v>1</v>
      </c>
      <c r="J301">
        <v>0</v>
      </c>
      <c r="K301">
        <v>1</v>
      </c>
      <c r="L301">
        <v>0</v>
      </c>
      <c r="M301" t="s">
        <v>64</v>
      </c>
    </row>
    <row r="302" spans="1:13" hidden="1" x14ac:dyDescent="0.15">
      <c r="A302" t="s">
        <v>1002</v>
      </c>
      <c r="B302" t="s">
        <v>1003</v>
      </c>
      <c r="C302" t="s">
        <v>1004</v>
      </c>
      <c r="D302" t="s">
        <v>1001</v>
      </c>
      <c r="E302">
        <v>121</v>
      </c>
      <c r="F302" t="str">
        <f>HYPERLINK("https://github.com/remulasce/metroapp/issues/218", "show")</f>
        <v>show</v>
      </c>
      <c r="G302" t="str">
        <f>HYPERLINK("https://github.com/remulasce/metroapp", "show")</f>
        <v>show</v>
      </c>
      <c r="H302" t="str">
        <f>HYPERLINK("https://github.com/remulasce/metroapp/releases", "show")</f>
        <v>show</v>
      </c>
      <c r="I302">
        <v>1</v>
      </c>
      <c r="J302">
        <v>0</v>
      </c>
      <c r="K302">
        <v>0</v>
      </c>
      <c r="L302">
        <v>0</v>
      </c>
      <c r="M302" t="s">
        <v>17</v>
      </c>
    </row>
    <row r="303" spans="1:13" hidden="1" x14ac:dyDescent="0.15">
      <c r="A303" t="s">
        <v>1005</v>
      </c>
      <c r="B303" t="s">
        <v>1006</v>
      </c>
      <c r="C303" t="s">
        <v>1007</v>
      </c>
      <c r="D303" t="s">
        <v>1008</v>
      </c>
      <c r="E303">
        <v>7</v>
      </c>
      <c r="F303" t="str">
        <f>HYPERLINK("https://github.com/24HeuresINSA/24h-android-app/issues/135", "show")</f>
        <v>show</v>
      </c>
      <c r="G303" t="str">
        <f>HYPERLINK("https://github.com/24HeuresINSA/24h-android-app", "show")</f>
        <v>show</v>
      </c>
      <c r="H303" t="str">
        <f>HYPERLINK("https://github.com/24HeuresINSA/24h-android-app/releases", "show")</f>
        <v>show</v>
      </c>
      <c r="I303">
        <v>1</v>
      </c>
      <c r="J303">
        <v>0</v>
      </c>
      <c r="K303">
        <v>1</v>
      </c>
      <c r="L303">
        <v>0</v>
      </c>
      <c r="M303" t="s">
        <v>64</v>
      </c>
    </row>
    <row r="304" spans="1:13" hidden="1" x14ac:dyDescent="0.15">
      <c r="A304" t="s">
        <v>1009</v>
      </c>
      <c r="B304" t="s">
        <v>1010</v>
      </c>
      <c r="C304" t="s">
        <v>1011</v>
      </c>
      <c r="D304" t="s">
        <v>1008</v>
      </c>
      <c r="E304">
        <v>1429</v>
      </c>
      <c r="F304" t="str">
        <f>HYPERLINK("https://github.com/sandsmark/QuasselDroid/issues/243", "show")</f>
        <v>show</v>
      </c>
      <c r="G304" t="str">
        <f>HYPERLINK("https://github.com/sandsmark/QuasselDroid", "show")</f>
        <v>show</v>
      </c>
      <c r="H304" t="str">
        <f>HYPERLINK("https://github.com/sandsmark/QuasselDroid/releases", "show")</f>
        <v>show</v>
      </c>
      <c r="I304">
        <v>1</v>
      </c>
      <c r="J304">
        <v>0</v>
      </c>
      <c r="K304">
        <v>1</v>
      </c>
      <c r="L304">
        <v>0</v>
      </c>
      <c r="M304" t="s">
        <v>64</v>
      </c>
    </row>
    <row r="305" spans="1:13" hidden="1" x14ac:dyDescent="0.15">
      <c r="A305" t="s">
        <v>1012</v>
      </c>
      <c r="B305" t="s">
        <v>1013</v>
      </c>
      <c r="C305" t="s">
        <v>1014</v>
      </c>
      <c r="D305" t="s">
        <v>1008</v>
      </c>
      <c r="E305">
        <v>0</v>
      </c>
      <c r="F305" t="str">
        <f>HYPERLINK("https://github.com/mvysny/aedict/issues/485", "show")</f>
        <v>show</v>
      </c>
      <c r="G305" t="str">
        <f>HYPERLINK("https://github.com/mvysny/aedict", "show")</f>
        <v>show</v>
      </c>
      <c r="H305" t="str">
        <f>HYPERLINK("https://github.com/mvysny/aedict/releases", "show")</f>
        <v>show</v>
      </c>
      <c r="I305">
        <v>1</v>
      </c>
      <c r="J305">
        <v>0</v>
      </c>
      <c r="K305">
        <v>0</v>
      </c>
      <c r="L305">
        <v>0</v>
      </c>
      <c r="M305" t="s">
        <v>17</v>
      </c>
    </row>
    <row r="306" spans="1:13" hidden="1" x14ac:dyDescent="0.15">
      <c r="A306" t="s">
        <v>1015</v>
      </c>
      <c r="B306" t="s">
        <v>1016</v>
      </c>
      <c r="C306" t="s">
        <v>1017</v>
      </c>
      <c r="D306" t="s">
        <v>1008</v>
      </c>
      <c r="E306">
        <v>4</v>
      </c>
      <c r="F306" t="str">
        <f>HYPERLINK("https://github.com/open-keychain/open-keychain/issues/1227", "show")</f>
        <v>show</v>
      </c>
      <c r="G306" t="str">
        <f>HYPERLINK("https://github.com/open-keychain/open-keychain", "show")</f>
        <v>show</v>
      </c>
      <c r="H306" t="str">
        <f>HYPERLINK("https://github.com/open-keychain/open-keychain/releases", "show")</f>
        <v>show</v>
      </c>
      <c r="I306">
        <v>0</v>
      </c>
      <c r="J306">
        <v>0</v>
      </c>
      <c r="K306">
        <v>1</v>
      </c>
      <c r="L306">
        <v>0</v>
      </c>
      <c r="M306" t="s">
        <v>122</v>
      </c>
    </row>
    <row r="307" spans="1:13" hidden="1" x14ac:dyDescent="0.15">
      <c r="A307" t="s">
        <v>1018</v>
      </c>
      <c r="B307" t="s">
        <v>1019</v>
      </c>
      <c r="C307" t="s">
        <v>1020</v>
      </c>
      <c r="D307" t="s">
        <v>1008</v>
      </c>
      <c r="E307">
        <v>3</v>
      </c>
      <c r="F307" t="str">
        <f>HYPERLINK("https://github.com/AugustanaCSC490Spring2015/SealTeamSixGame/issues/2", "show")</f>
        <v>show</v>
      </c>
      <c r="G307" t="str">
        <f>HYPERLINK("https://github.com/AugustanaCSC490Spring2015/SealTeamSixGame", "show")</f>
        <v>show</v>
      </c>
      <c r="H307" t="str">
        <f>HYPERLINK("https://github.com/AugustanaCSC490Spring2015/SealTeamSixGame/releases", "show")</f>
        <v>show</v>
      </c>
      <c r="I307">
        <v>1</v>
      </c>
      <c r="J307">
        <v>0</v>
      </c>
      <c r="K307">
        <v>0</v>
      </c>
      <c r="L307">
        <v>0</v>
      </c>
      <c r="M307" t="s">
        <v>17</v>
      </c>
    </row>
    <row r="308" spans="1:13" hidden="1" x14ac:dyDescent="0.15">
      <c r="A308" t="s">
        <v>1021</v>
      </c>
      <c r="B308" t="s">
        <v>1022</v>
      </c>
      <c r="C308" t="s">
        <v>1023</v>
      </c>
      <c r="D308" t="s">
        <v>1024</v>
      </c>
      <c r="E308">
        <v>0</v>
      </c>
      <c r="F308" t="str">
        <f>HYPERLINK("https://github.com/sriharshachilakapati/SilenceEngine/issues/15", "show")</f>
        <v>show</v>
      </c>
      <c r="G308" t="str">
        <f>HYPERLINK("https://github.com/sriharshachilakapati/SilenceEngine", "show")</f>
        <v>show</v>
      </c>
      <c r="H308" t="str">
        <f>HYPERLINK("https://github.com/sriharshachilakapati/SilenceEngine/releases", "show")</f>
        <v>show</v>
      </c>
      <c r="I308">
        <v>0</v>
      </c>
      <c r="J308">
        <v>0</v>
      </c>
      <c r="K308">
        <v>0</v>
      </c>
      <c r="L308">
        <v>0</v>
      </c>
      <c r="M308" t="s">
        <v>43</v>
      </c>
    </row>
    <row r="309" spans="1:13" hidden="1" x14ac:dyDescent="0.15">
      <c r="A309" t="s">
        <v>1025</v>
      </c>
      <c r="B309" t="s">
        <v>1026</v>
      </c>
      <c r="C309" t="s">
        <v>1027</v>
      </c>
      <c r="D309" t="s">
        <v>1028</v>
      </c>
      <c r="E309">
        <v>2254</v>
      </c>
      <c r="F309" t="str">
        <f>HYPERLINK("https://github.com/EricssonResearch/openwebrtc-android-sdk/issues/2", "show")</f>
        <v>show</v>
      </c>
      <c r="G309" t="str">
        <f>HYPERLINK("https://github.com/EricssonResearch/openwebrtc-android-sdk", "show")</f>
        <v>show</v>
      </c>
      <c r="H309" t="str">
        <f>HYPERLINK("https://github.com/EricssonResearch/openwebrtc-android-sdk/releases", "show")</f>
        <v>show</v>
      </c>
      <c r="I309">
        <v>1</v>
      </c>
      <c r="J309">
        <v>0</v>
      </c>
      <c r="K309">
        <v>0</v>
      </c>
      <c r="L309">
        <v>0</v>
      </c>
      <c r="M309" t="s">
        <v>17</v>
      </c>
    </row>
    <row r="310" spans="1:13" hidden="1" x14ac:dyDescent="0.15">
      <c r="A310" t="s">
        <v>1029</v>
      </c>
      <c r="B310" t="s">
        <v>1030</v>
      </c>
      <c r="C310" t="s">
        <v>1031</v>
      </c>
      <c r="D310" t="s">
        <v>1032</v>
      </c>
      <c r="E310">
        <v>77</v>
      </c>
      <c r="F310" t="str">
        <f>HYPERLINK("https://github.com/clintonhealthaccess/chailmis-android/issues/192", "show")</f>
        <v>show</v>
      </c>
      <c r="G310" t="str">
        <f>HYPERLINK("https://github.com/clintonhealthaccess/chailmis-android", "show")</f>
        <v>show</v>
      </c>
      <c r="H310" t="str">
        <f>HYPERLINK("https://github.com/clintonhealthaccess/chailmis-android/releases", "show")</f>
        <v>show</v>
      </c>
      <c r="I310">
        <v>0</v>
      </c>
      <c r="J310">
        <v>0</v>
      </c>
      <c r="K310">
        <v>0</v>
      </c>
      <c r="L310">
        <v>0</v>
      </c>
      <c r="M310" t="s">
        <v>43</v>
      </c>
    </row>
    <row r="311" spans="1:13" hidden="1" x14ac:dyDescent="0.15">
      <c r="A311" t="s">
        <v>1033</v>
      </c>
      <c r="B311" t="s">
        <v>1034</v>
      </c>
      <c r="C311" t="s">
        <v>1035</v>
      </c>
      <c r="D311" t="s">
        <v>1036</v>
      </c>
      <c r="E311">
        <v>5</v>
      </c>
      <c r="F311" t="str">
        <f>HYPERLINK("https://github.com/Stuart-campbell/RushOrm/issues/30", "show")</f>
        <v>show</v>
      </c>
      <c r="G311" t="str">
        <f>HYPERLINK("https://github.com/Stuart-campbell/RushOrm", "show")</f>
        <v>show</v>
      </c>
      <c r="H311" t="str">
        <f>HYPERLINK("https://github.com/Stuart-campbell/RushOrm/releases", "show")</f>
        <v>show</v>
      </c>
      <c r="I311">
        <v>1</v>
      </c>
      <c r="J311">
        <v>1</v>
      </c>
      <c r="K311">
        <v>1</v>
      </c>
      <c r="L311">
        <v>0</v>
      </c>
      <c r="M311" t="s">
        <v>59</v>
      </c>
    </row>
    <row r="312" spans="1:13" hidden="1" x14ac:dyDescent="0.15">
      <c r="A312" t="s">
        <v>1037</v>
      </c>
      <c r="B312" t="s">
        <v>1038</v>
      </c>
      <c r="C312" t="s">
        <v>1039</v>
      </c>
      <c r="D312" t="s">
        <v>1040</v>
      </c>
      <c r="E312">
        <v>4</v>
      </c>
      <c r="F312" t="str">
        <f>HYPERLINK("https://github.com/kontalk/androidclient/issues/410", "show")</f>
        <v>show</v>
      </c>
      <c r="G312" t="str">
        <f>HYPERLINK("https://github.com/kontalk/androidclient", "show")</f>
        <v>show</v>
      </c>
      <c r="H312" t="str">
        <f>HYPERLINK("https://github.com/kontalk/androidclient/releases", "show")</f>
        <v>show</v>
      </c>
      <c r="I312">
        <v>0</v>
      </c>
      <c r="J312">
        <v>0</v>
      </c>
      <c r="K312">
        <v>1</v>
      </c>
      <c r="L312">
        <v>0</v>
      </c>
      <c r="M312" t="s">
        <v>122</v>
      </c>
    </row>
    <row r="313" spans="1:13" hidden="1" x14ac:dyDescent="0.15">
      <c r="A313" t="s">
        <v>1041</v>
      </c>
      <c r="B313" t="s">
        <v>1042</v>
      </c>
      <c r="C313" t="s">
        <v>1043</v>
      </c>
      <c r="D313" t="s">
        <v>1040</v>
      </c>
      <c r="E313">
        <v>6</v>
      </c>
      <c r="F313" t="str">
        <f>HYPERLINK("https://github.com/sockeqwe/mosby/issues/23", "show")</f>
        <v>show</v>
      </c>
      <c r="G313" t="str">
        <f>HYPERLINK("https://github.com/sockeqwe/mosby", "show")</f>
        <v>show</v>
      </c>
      <c r="H313" t="str">
        <f>HYPERLINK("https://github.com/sockeqwe/mosby/releases", "show")</f>
        <v>show</v>
      </c>
      <c r="I313">
        <v>0</v>
      </c>
      <c r="J313">
        <v>0</v>
      </c>
      <c r="K313">
        <v>1</v>
      </c>
      <c r="L313">
        <v>0</v>
      </c>
      <c r="M313" t="s">
        <v>122</v>
      </c>
    </row>
    <row r="314" spans="1:13" hidden="1" x14ac:dyDescent="0.15">
      <c r="A314" t="s">
        <v>1044</v>
      </c>
      <c r="B314" t="s">
        <v>1045</v>
      </c>
      <c r="C314" t="s">
        <v>1046</v>
      </c>
      <c r="D314" t="s">
        <v>1047</v>
      </c>
      <c r="E314">
        <v>15</v>
      </c>
      <c r="F314" t="str">
        <f>HYPERLINK("https://github.com/redsolution/xabber-android/issues/417", "show")</f>
        <v>show</v>
      </c>
      <c r="G314" t="str">
        <f>HYPERLINK("https://github.com/redsolution/xabber-android", "show")</f>
        <v>show</v>
      </c>
      <c r="H314" t="str">
        <f>HYPERLINK("https://github.com/redsolution/xabber-android/releases", "show")</f>
        <v>show</v>
      </c>
      <c r="I314">
        <v>1</v>
      </c>
      <c r="J314">
        <v>0</v>
      </c>
      <c r="K314">
        <v>0</v>
      </c>
      <c r="L314">
        <v>0</v>
      </c>
      <c r="M314" t="s">
        <v>17</v>
      </c>
    </row>
    <row r="315" spans="1:13" x14ac:dyDescent="0.15">
      <c r="A315" t="s">
        <v>1048</v>
      </c>
      <c r="B315" t="s">
        <v>1049</v>
      </c>
      <c r="C315" t="s">
        <v>1050</v>
      </c>
      <c r="D315" t="s">
        <v>1051</v>
      </c>
      <c r="E315">
        <v>272</v>
      </c>
      <c r="F315" t="str">
        <f>HYPERLINK("https://github.com/redsolution/xabber-android/issues/420", "show")</f>
        <v>show</v>
      </c>
      <c r="G315" t="str">
        <f>HYPERLINK("https://github.com/redsolution/xabber-android", "show")</f>
        <v>show</v>
      </c>
      <c r="H315" t="str">
        <f>HYPERLINK("https://github.com/redsolution/xabber-android/releases", "show")</f>
        <v>show</v>
      </c>
      <c r="I315">
        <v>0</v>
      </c>
      <c r="J315">
        <v>1</v>
      </c>
      <c r="K315">
        <v>0</v>
      </c>
      <c r="L315">
        <v>0</v>
      </c>
      <c r="M315" t="s">
        <v>139</v>
      </c>
    </row>
    <row r="316" spans="1:13" hidden="1" x14ac:dyDescent="0.15">
      <c r="A316" t="s">
        <v>1052</v>
      </c>
      <c r="B316" t="s">
        <v>1053</v>
      </c>
      <c r="C316" t="s">
        <v>1054</v>
      </c>
      <c r="D316" t="s">
        <v>1055</v>
      </c>
      <c r="E316">
        <v>697</v>
      </c>
      <c r="F316" t="str">
        <f>HYPERLINK("https://github.com/bumptech/glide/issues/454", "show")</f>
        <v>show</v>
      </c>
      <c r="G316" t="str">
        <f>HYPERLINK("https://github.com/bumptech/glide", "show")</f>
        <v>show</v>
      </c>
      <c r="H316" t="str">
        <f>HYPERLINK("https://github.com/bumptech/glide/releases", "show")</f>
        <v>show</v>
      </c>
      <c r="I316">
        <v>1</v>
      </c>
      <c r="J316">
        <v>0</v>
      </c>
      <c r="K316">
        <v>0</v>
      </c>
      <c r="L316">
        <v>0</v>
      </c>
      <c r="M316" t="s">
        <v>17</v>
      </c>
    </row>
    <row r="317" spans="1:13" hidden="1" x14ac:dyDescent="0.15">
      <c r="A317" t="s">
        <v>1056</v>
      </c>
      <c r="B317" t="s">
        <v>1057</v>
      </c>
      <c r="C317" t="s">
        <v>1058</v>
      </c>
      <c r="D317" t="s">
        <v>1055</v>
      </c>
      <c r="E317">
        <v>13</v>
      </c>
      <c r="F317" t="str">
        <f>HYPERLINK("https://github.com/dhis2/dhis2-android-eventcapture/issues/34", "show")</f>
        <v>show</v>
      </c>
      <c r="G317" t="str">
        <f>HYPERLINK("https://github.com/dhis2/dhis2-android-eventcapture", "show")</f>
        <v>show</v>
      </c>
      <c r="H317" t="str">
        <f>HYPERLINK("https://github.com/dhis2/dhis2-android-eventcapture/releases", "show")</f>
        <v>show</v>
      </c>
      <c r="I317">
        <v>1</v>
      </c>
      <c r="J317">
        <v>0</v>
      </c>
      <c r="K317">
        <v>0</v>
      </c>
      <c r="L317">
        <v>0</v>
      </c>
      <c r="M317" t="s">
        <v>17</v>
      </c>
    </row>
    <row r="318" spans="1:13" hidden="1" x14ac:dyDescent="0.15">
      <c r="A318" t="s">
        <v>1059</v>
      </c>
      <c r="B318" t="s">
        <v>1060</v>
      </c>
      <c r="C318" t="s">
        <v>1061</v>
      </c>
      <c r="D318" t="s">
        <v>1062</v>
      </c>
      <c r="E318">
        <v>19</v>
      </c>
      <c r="F318" t="str">
        <f>HYPERLINK("https://github.com/DigitalCampus/oppia-mobile-android/issues/427", "show")</f>
        <v>show</v>
      </c>
      <c r="G318" t="str">
        <f>HYPERLINK("https://github.com/DigitalCampus/oppia-mobile-android", "show")</f>
        <v>show</v>
      </c>
      <c r="H318" t="str">
        <f>HYPERLINK("https://github.com/DigitalCampus/oppia-mobile-android/releases", "show")</f>
        <v>show</v>
      </c>
      <c r="I318">
        <v>1</v>
      </c>
      <c r="J318">
        <v>0</v>
      </c>
      <c r="K318">
        <v>0</v>
      </c>
      <c r="L318">
        <v>0</v>
      </c>
      <c r="M318" t="s">
        <v>17</v>
      </c>
    </row>
    <row r="319" spans="1:13" hidden="1" x14ac:dyDescent="0.15">
      <c r="A319" t="s">
        <v>1063</v>
      </c>
      <c r="B319" t="s">
        <v>1064</v>
      </c>
      <c r="D319" t="s">
        <v>1062</v>
      </c>
      <c r="E319">
        <v>0</v>
      </c>
      <c r="F319" t="str">
        <f>HYPERLINK("https://github.com/dimagi/commcare-android/issues/267", "show")</f>
        <v>show</v>
      </c>
      <c r="G319" t="str">
        <f>HYPERLINK("https://github.com/dimagi/commcare-android", "show")</f>
        <v>show</v>
      </c>
      <c r="H319" t="str">
        <f>HYPERLINK("https://github.com/dimagi/commcare-android/releases", "show")</f>
        <v>show</v>
      </c>
      <c r="I319">
        <v>1</v>
      </c>
      <c r="J319">
        <v>0</v>
      </c>
      <c r="K319">
        <v>0</v>
      </c>
      <c r="L319">
        <v>0</v>
      </c>
      <c r="M319" t="s">
        <v>17</v>
      </c>
    </row>
    <row r="320" spans="1:13" hidden="1" x14ac:dyDescent="0.15">
      <c r="A320" t="s">
        <v>1065</v>
      </c>
      <c r="B320" t="s">
        <v>1066</v>
      </c>
      <c r="C320" t="s">
        <v>1067</v>
      </c>
      <c r="D320" t="s">
        <v>1062</v>
      </c>
      <c r="E320">
        <v>51</v>
      </c>
      <c r="F320" t="str">
        <f>HYPERLINK("https://github.com/cgeo/cgeo/issues/4922", "show")</f>
        <v>show</v>
      </c>
      <c r="G320" t="str">
        <f>HYPERLINK("https://github.com/cgeo/cgeo", "show")</f>
        <v>show</v>
      </c>
      <c r="H320" t="str">
        <f>HYPERLINK("https://github.com/cgeo/cgeo/releases", "show")</f>
        <v>show</v>
      </c>
      <c r="I320">
        <v>1</v>
      </c>
      <c r="J320">
        <v>1</v>
      </c>
      <c r="K320">
        <v>0</v>
      </c>
      <c r="L320">
        <v>0</v>
      </c>
      <c r="M320" t="s">
        <v>48</v>
      </c>
    </row>
    <row r="321" spans="1:13" hidden="1" x14ac:dyDescent="0.15">
      <c r="A321" t="s">
        <v>1068</v>
      </c>
      <c r="B321" t="s">
        <v>1069</v>
      </c>
      <c r="C321" t="s">
        <v>1070</v>
      </c>
      <c r="D321" t="s">
        <v>1071</v>
      </c>
      <c r="E321">
        <v>6</v>
      </c>
      <c r="F321" t="str">
        <f>HYPERLINK("https://github.com/syncthing/syncthing-android/issues/389", "show")</f>
        <v>show</v>
      </c>
      <c r="G321" t="str">
        <f>HYPERLINK("https://github.com/syncthing/syncthing-android", "show")</f>
        <v>show</v>
      </c>
      <c r="H321" t="str">
        <f>HYPERLINK("https://github.com/syncthing/syncthing-android/releases", "show")</f>
        <v>show</v>
      </c>
      <c r="I321">
        <v>0</v>
      </c>
      <c r="J321">
        <v>0</v>
      </c>
      <c r="K321">
        <v>1</v>
      </c>
      <c r="L321">
        <v>0</v>
      </c>
      <c r="M321" t="s">
        <v>122</v>
      </c>
    </row>
    <row r="322" spans="1:13" hidden="1" x14ac:dyDescent="0.15">
      <c r="A322" t="s">
        <v>1072</v>
      </c>
      <c r="B322" t="s">
        <v>1073</v>
      </c>
      <c r="D322" t="s">
        <v>1071</v>
      </c>
      <c r="E322">
        <v>2</v>
      </c>
      <c r="F322" t="str">
        <f>HYPERLINK("https://github.com/24HeuresINSA/24h-android-app/issues/180", "show")</f>
        <v>show</v>
      </c>
      <c r="G322" t="str">
        <f>HYPERLINK("https://github.com/24HeuresINSA/24h-android-app", "show")</f>
        <v>show</v>
      </c>
      <c r="H322" t="str">
        <f>HYPERLINK("https://github.com/24HeuresINSA/24h-android-app/releases", "show")</f>
        <v>show</v>
      </c>
      <c r="I322">
        <v>1</v>
      </c>
      <c r="J322">
        <v>0</v>
      </c>
      <c r="K322">
        <v>0</v>
      </c>
      <c r="L322">
        <v>0</v>
      </c>
      <c r="M322" t="s">
        <v>17</v>
      </c>
    </row>
    <row r="323" spans="1:13" hidden="1" x14ac:dyDescent="0.15">
      <c r="A323" t="s">
        <v>1074</v>
      </c>
      <c r="B323" t="s">
        <v>1075</v>
      </c>
      <c r="C323" t="s">
        <v>1076</v>
      </c>
      <c r="D323" t="s">
        <v>1071</v>
      </c>
      <c r="E323">
        <v>84</v>
      </c>
      <c r="F323" t="str">
        <f>HYPERLINK("https://github.com/elan-ev/StudIPAndroidApp/issues/67", "show")</f>
        <v>show</v>
      </c>
      <c r="G323" t="str">
        <f>HYPERLINK("https://github.com/elan-ev/StudIPAndroidApp", "show")</f>
        <v>show</v>
      </c>
      <c r="H323" t="str">
        <f>HYPERLINK("https://github.com/elan-ev/StudIPAndroidApp/releases", "show")</f>
        <v>show</v>
      </c>
      <c r="I323">
        <v>1</v>
      </c>
      <c r="J323">
        <v>0</v>
      </c>
      <c r="K323">
        <v>0</v>
      </c>
      <c r="L323">
        <v>0</v>
      </c>
      <c r="M323" t="s">
        <v>17</v>
      </c>
    </row>
    <row r="324" spans="1:13" hidden="1" x14ac:dyDescent="0.15">
      <c r="A324" t="s">
        <v>1077</v>
      </c>
      <c r="B324" t="s">
        <v>1078</v>
      </c>
      <c r="C324" t="s">
        <v>1079</v>
      </c>
      <c r="D324" t="s">
        <v>1080</v>
      </c>
      <c r="E324">
        <v>2</v>
      </c>
      <c r="F324" t="str">
        <f>HYPERLINK("https://github.com/sockeqwe/mosby/issues/29", "show")</f>
        <v>show</v>
      </c>
      <c r="G324" t="str">
        <f>HYPERLINK("https://github.com/sockeqwe/mosby", "show")</f>
        <v>show</v>
      </c>
      <c r="H324" t="str">
        <f>HYPERLINK("https://github.com/sockeqwe/mosby/releases", "show")</f>
        <v>show</v>
      </c>
      <c r="I324">
        <v>1</v>
      </c>
      <c r="J324">
        <v>0</v>
      </c>
      <c r="K324">
        <v>1</v>
      </c>
      <c r="L324">
        <v>0</v>
      </c>
      <c r="M324" t="s">
        <v>64</v>
      </c>
    </row>
    <row r="325" spans="1:13" hidden="1" x14ac:dyDescent="0.15">
      <c r="A325" t="s">
        <v>1081</v>
      </c>
      <c r="B325" t="s">
        <v>1082</v>
      </c>
      <c r="C325" t="s">
        <v>1083</v>
      </c>
      <c r="D325" t="s">
        <v>1080</v>
      </c>
      <c r="E325">
        <v>79</v>
      </c>
      <c r="F325" t="str">
        <f>HYPERLINK("https://github.com/gdg-x/frisbee/issues/354", "show")</f>
        <v>show</v>
      </c>
      <c r="G325" t="str">
        <f>HYPERLINK("https://github.com/gdg-x/frisbee", "show")</f>
        <v>show</v>
      </c>
      <c r="H325" t="str">
        <f>HYPERLINK("https://github.com/gdg-x/frisbee/releases", "show")</f>
        <v>show</v>
      </c>
      <c r="I325">
        <v>1</v>
      </c>
      <c r="J325">
        <v>0</v>
      </c>
      <c r="K325">
        <v>1</v>
      </c>
      <c r="L325">
        <v>0</v>
      </c>
      <c r="M325" t="s">
        <v>64</v>
      </c>
    </row>
    <row r="326" spans="1:13" hidden="1" x14ac:dyDescent="0.15">
      <c r="A326" t="s">
        <v>1084</v>
      </c>
      <c r="B326" t="s">
        <v>1085</v>
      </c>
      <c r="C326" t="s">
        <v>1086</v>
      </c>
      <c r="D326" t="s">
        <v>1087</v>
      </c>
      <c r="E326">
        <v>140</v>
      </c>
      <c r="F326" t="str">
        <f>HYPERLINK("https://github.com/splitwise/TokenAutoComplete/issues/125", "show")</f>
        <v>show</v>
      </c>
      <c r="G326" t="str">
        <f>HYPERLINK("https://github.com/splitwise/TokenAutoComplete", "show")</f>
        <v>show</v>
      </c>
      <c r="H326" t="str">
        <f>HYPERLINK("https://github.com/splitwise/TokenAutoComplete/releases", "show")</f>
        <v>show</v>
      </c>
      <c r="I326">
        <v>1</v>
      </c>
      <c r="J326">
        <v>0</v>
      </c>
      <c r="K326">
        <v>1</v>
      </c>
      <c r="L326">
        <v>0</v>
      </c>
      <c r="M326" t="s">
        <v>64</v>
      </c>
    </row>
    <row r="327" spans="1:13" hidden="1" x14ac:dyDescent="0.15">
      <c r="A327" t="s">
        <v>1088</v>
      </c>
      <c r="B327" t="s">
        <v>1089</v>
      </c>
      <c r="C327" t="s">
        <v>1090</v>
      </c>
      <c r="D327" t="s">
        <v>1087</v>
      </c>
      <c r="E327">
        <v>1</v>
      </c>
      <c r="F327" t="str">
        <f>HYPERLINK("https://github.com/federicoiosue/Omni-Notes/issues/160", "show")</f>
        <v>show</v>
      </c>
      <c r="G327" t="str">
        <f>HYPERLINK("https://github.com/federicoiosue/Omni-Notes", "show")</f>
        <v>show</v>
      </c>
      <c r="H327" t="str">
        <f>HYPERLINK("https://github.com/federicoiosue/Omni-Notes/releases", "show")</f>
        <v>show</v>
      </c>
      <c r="I327">
        <v>1</v>
      </c>
      <c r="J327">
        <v>0</v>
      </c>
      <c r="K327">
        <v>0</v>
      </c>
      <c r="L327">
        <v>0</v>
      </c>
      <c r="M327" t="s">
        <v>17</v>
      </c>
    </row>
    <row r="328" spans="1:13" hidden="1" x14ac:dyDescent="0.15">
      <c r="A328" t="s">
        <v>1091</v>
      </c>
      <c r="B328" t="s">
        <v>1092</v>
      </c>
      <c r="C328" t="s">
        <v>1093</v>
      </c>
      <c r="D328" t="s">
        <v>1094</v>
      </c>
      <c r="E328">
        <v>8</v>
      </c>
      <c r="F328" t="str">
        <f>HYPERLINK("https://github.com/dimagi/commcare-android/issues/286", "show")</f>
        <v>show</v>
      </c>
      <c r="G328" t="str">
        <f>HYPERLINK("https://github.com/dimagi/commcare-android", "show")</f>
        <v>show</v>
      </c>
      <c r="H328" t="str">
        <f>HYPERLINK("https://github.com/dimagi/commcare-android/releases", "show")</f>
        <v>show</v>
      </c>
      <c r="I328">
        <v>1</v>
      </c>
      <c r="J328">
        <v>0</v>
      </c>
      <c r="K328">
        <v>0</v>
      </c>
      <c r="L328">
        <v>0</v>
      </c>
      <c r="M328" t="s">
        <v>17</v>
      </c>
    </row>
    <row r="329" spans="1:13" hidden="1" x14ac:dyDescent="0.15">
      <c r="A329" t="s">
        <v>1095</v>
      </c>
      <c r="B329" t="s">
        <v>1096</v>
      </c>
      <c r="C329" t="s">
        <v>1097</v>
      </c>
      <c r="D329" t="s">
        <v>1094</v>
      </c>
      <c r="E329">
        <v>15</v>
      </c>
      <c r="F329" t="str">
        <f>HYPERLINK("https://github.com/splitwise/TokenAutoComplete/issues/126", "show")</f>
        <v>show</v>
      </c>
      <c r="G329" t="str">
        <f>HYPERLINK("https://github.com/splitwise/TokenAutoComplete", "show")</f>
        <v>show</v>
      </c>
      <c r="H329" t="str">
        <f>HYPERLINK("https://github.com/splitwise/TokenAutoComplete/releases", "show")</f>
        <v>show</v>
      </c>
      <c r="I329">
        <v>1</v>
      </c>
      <c r="J329">
        <v>0</v>
      </c>
      <c r="K329">
        <v>0</v>
      </c>
      <c r="L329">
        <v>0</v>
      </c>
      <c r="M329" t="s">
        <v>17</v>
      </c>
    </row>
    <row r="330" spans="1:13" hidden="1" x14ac:dyDescent="0.15">
      <c r="A330" t="s">
        <v>1098</v>
      </c>
      <c r="B330" t="s">
        <v>1099</v>
      </c>
      <c r="C330" t="s">
        <v>1100</v>
      </c>
      <c r="D330" t="s">
        <v>1094</v>
      </c>
      <c r="E330">
        <v>24</v>
      </c>
      <c r="F330" t="str">
        <f>HYPERLINK("https://github.com/nerzhul/ncsms-android/issues/57", "show")</f>
        <v>show</v>
      </c>
      <c r="G330" t="str">
        <f>HYPERLINK("https://github.com/nerzhul/ncsms-android", "show")</f>
        <v>show</v>
      </c>
      <c r="H330" t="str">
        <f>HYPERLINK("https://github.com/nerzhul/ncsms-android/releases", "show")</f>
        <v>show</v>
      </c>
      <c r="I330">
        <v>1</v>
      </c>
      <c r="J330">
        <v>0</v>
      </c>
      <c r="K330">
        <v>0</v>
      </c>
      <c r="L330">
        <v>0</v>
      </c>
      <c r="M330" t="s">
        <v>17</v>
      </c>
    </row>
    <row r="331" spans="1:13" hidden="1" x14ac:dyDescent="0.15">
      <c r="A331" t="s">
        <v>1101</v>
      </c>
      <c r="B331" t="s">
        <v>1102</v>
      </c>
      <c r="D331" t="s">
        <v>1094</v>
      </c>
      <c r="E331">
        <v>2</v>
      </c>
      <c r="F331" t="str">
        <f>HYPERLINK("https://github.com/aminought/HowLongAgoWidget/issues/6", "show")</f>
        <v>show</v>
      </c>
      <c r="G331" t="str">
        <f>HYPERLINK("https://github.com/aminought/HowLongAgoWidget", "show")</f>
        <v>show</v>
      </c>
      <c r="H331" t="str">
        <f>HYPERLINK("https://github.com/aminought/HowLongAgoWidget/releases", "show")</f>
        <v>show</v>
      </c>
      <c r="I331">
        <v>0</v>
      </c>
      <c r="J331">
        <v>0</v>
      </c>
      <c r="K331">
        <v>0</v>
      </c>
      <c r="L331">
        <v>0</v>
      </c>
      <c r="M331" t="s">
        <v>43</v>
      </c>
    </row>
    <row r="332" spans="1:13" hidden="1" x14ac:dyDescent="0.15">
      <c r="A332" t="s">
        <v>1103</v>
      </c>
      <c r="B332" t="s">
        <v>1104</v>
      </c>
      <c r="C332" t="s">
        <v>1105</v>
      </c>
      <c r="D332" t="s">
        <v>1094</v>
      </c>
      <c r="E332">
        <v>0</v>
      </c>
      <c r="F332" t="str">
        <f>HYPERLINK("https://github.com/moneymanagerex/android-money-manager-ex/issues/257", "show")</f>
        <v>show</v>
      </c>
      <c r="G332" t="str">
        <f>HYPERLINK("https://github.com/moneymanagerex/android-money-manager-ex", "show")</f>
        <v>show</v>
      </c>
      <c r="H332" t="str">
        <f>HYPERLINK("https://github.com/moneymanagerex/android-money-manager-ex/releases", "show")</f>
        <v>show</v>
      </c>
      <c r="I332">
        <v>1</v>
      </c>
      <c r="J332">
        <v>0</v>
      </c>
      <c r="K332">
        <v>0</v>
      </c>
      <c r="L332">
        <v>0</v>
      </c>
      <c r="M332" t="s">
        <v>17</v>
      </c>
    </row>
    <row r="333" spans="1:13" hidden="1" x14ac:dyDescent="0.15">
      <c r="A333" t="s">
        <v>1106</v>
      </c>
      <c r="B333" t="s">
        <v>1107</v>
      </c>
      <c r="C333" t="s">
        <v>1108</v>
      </c>
      <c r="D333" t="s">
        <v>1094</v>
      </c>
      <c r="E333">
        <v>0</v>
      </c>
      <c r="F333" t="str">
        <f>HYPERLINK("https://github.com/aidangrabe/material-color-picker/issues/1", "show")</f>
        <v>show</v>
      </c>
      <c r="G333" t="str">
        <f>HYPERLINK("https://github.com/aidangrabe/material-color-picker", "show")</f>
        <v>show</v>
      </c>
      <c r="H333" t="str">
        <f>HYPERLINK("https://github.com/aidangrabe/material-color-picker/releases", "show")</f>
        <v>show</v>
      </c>
      <c r="I333">
        <v>1</v>
      </c>
      <c r="J333">
        <v>0</v>
      </c>
      <c r="K333">
        <v>1</v>
      </c>
      <c r="L333">
        <v>0</v>
      </c>
      <c r="M333" t="s">
        <v>64</v>
      </c>
    </row>
    <row r="334" spans="1:13" hidden="1" x14ac:dyDescent="0.15">
      <c r="A334" t="s">
        <v>1109</v>
      </c>
      <c r="B334" t="s">
        <v>1110</v>
      </c>
      <c r="C334" t="s">
        <v>1111</v>
      </c>
      <c r="D334" t="s">
        <v>1112</v>
      </c>
      <c r="E334">
        <v>11</v>
      </c>
      <c r="F334" t="str">
        <f>HYPERLINK("https://github.com/k9mail/k-9/issues/642", "show")</f>
        <v>show</v>
      </c>
      <c r="G334" t="str">
        <f>HYPERLINK("https://github.com/k9mail/k-9", "show")</f>
        <v>show</v>
      </c>
      <c r="H334" t="str">
        <f>HYPERLINK("https://github.com/k9mail/k-9/releases", "show")</f>
        <v>show</v>
      </c>
      <c r="I334">
        <v>1</v>
      </c>
      <c r="J334">
        <v>1</v>
      </c>
      <c r="K334">
        <v>0</v>
      </c>
      <c r="L334">
        <v>0</v>
      </c>
      <c r="M334" t="s">
        <v>48</v>
      </c>
    </row>
    <row r="335" spans="1:13" hidden="1" x14ac:dyDescent="0.15">
      <c r="A335" t="s">
        <v>1113</v>
      </c>
      <c r="B335" t="s">
        <v>1114</v>
      </c>
      <c r="C335" t="s">
        <v>1115</v>
      </c>
      <c r="D335" t="s">
        <v>1116</v>
      </c>
      <c r="E335">
        <v>0</v>
      </c>
      <c r="F335" t="str">
        <f>HYPERLINK("https://github.com/dimagi/commcare-android/issues/292", "show")</f>
        <v>show</v>
      </c>
      <c r="G335" t="str">
        <f>HYPERLINK("https://github.com/dimagi/commcare-android", "show")</f>
        <v>show</v>
      </c>
      <c r="H335" t="str">
        <f>HYPERLINK("https://github.com/dimagi/commcare-android/releases", "show")</f>
        <v>show</v>
      </c>
      <c r="I335">
        <v>1</v>
      </c>
      <c r="J335">
        <v>0</v>
      </c>
      <c r="K335">
        <v>0</v>
      </c>
      <c r="L335">
        <v>0</v>
      </c>
      <c r="M335" t="s">
        <v>17</v>
      </c>
    </row>
    <row r="336" spans="1:13" hidden="1" x14ac:dyDescent="0.15">
      <c r="A336" t="s">
        <v>1117</v>
      </c>
      <c r="B336" t="s">
        <v>1118</v>
      </c>
      <c r="C336" t="s">
        <v>1119</v>
      </c>
      <c r="D336" t="s">
        <v>1116</v>
      </c>
      <c r="E336">
        <v>1650</v>
      </c>
      <c r="F336" t="str">
        <f>HYPERLINK("https://github.com/mixpanel/mixpanel-android/issues/219", "show")</f>
        <v>show</v>
      </c>
      <c r="G336" t="str">
        <f>HYPERLINK("https://github.com/mixpanel/mixpanel-android", "show")</f>
        <v>show</v>
      </c>
      <c r="H336" t="str">
        <f>HYPERLINK("https://github.com/mixpanel/mixpanel-android/releases", "show")</f>
        <v>show</v>
      </c>
      <c r="I336">
        <v>0</v>
      </c>
      <c r="J336">
        <v>0</v>
      </c>
      <c r="K336">
        <v>0</v>
      </c>
      <c r="L336">
        <v>0</v>
      </c>
      <c r="M336" t="s">
        <v>43</v>
      </c>
    </row>
    <row r="337" spans="1:13" hidden="1" x14ac:dyDescent="0.15">
      <c r="A337" t="s">
        <v>1120</v>
      </c>
      <c r="B337" t="s">
        <v>1121</v>
      </c>
      <c r="C337" t="s">
        <v>1122</v>
      </c>
      <c r="D337" t="s">
        <v>1123</v>
      </c>
      <c r="E337">
        <v>5</v>
      </c>
      <c r="F337" t="str">
        <f>HYPERLINK("https://github.com/dimagi/commcare-android/issues/295", "show")</f>
        <v>show</v>
      </c>
      <c r="G337" t="str">
        <f>HYPERLINK("https://github.com/dimagi/commcare-android", "show")</f>
        <v>show</v>
      </c>
      <c r="H337" t="str">
        <f>HYPERLINK("https://github.com/dimagi/commcare-android/releases", "show")</f>
        <v>show</v>
      </c>
      <c r="I337">
        <v>1</v>
      </c>
      <c r="J337">
        <v>1</v>
      </c>
      <c r="K337">
        <v>0</v>
      </c>
      <c r="L337">
        <v>0</v>
      </c>
      <c r="M337" t="s">
        <v>48</v>
      </c>
    </row>
    <row r="338" spans="1:13" hidden="1" x14ac:dyDescent="0.15">
      <c r="A338" t="s">
        <v>1124</v>
      </c>
      <c r="B338" t="s">
        <v>1125</v>
      </c>
      <c r="C338" t="s">
        <v>1126</v>
      </c>
      <c r="D338" t="s">
        <v>1123</v>
      </c>
      <c r="E338">
        <v>0</v>
      </c>
      <c r="F338" t="str">
        <f>HYPERLINK("https://github.com/netmackan/ATimeTracker/issues/34", "show")</f>
        <v>show</v>
      </c>
      <c r="G338" t="str">
        <f>HYPERLINK("https://github.com/netmackan/ATimeTracker", "show")</f>
        <v>show</v>
      </c>
      <c r="H338" t="str">
        <f>HYPERLINK("https://github.com/netmackan/ATimeTracker/releases", "show")</f>
        <v>show</v>
      </c>
      <c r="I338">
        <v>1</v>
      </c>
      <c r="J338">
        <v>1</v>
      </c>
      <c r="K338">
        <v>0</v>
      </c>
      <c r="L338">
        <v>0</v>
      </c>
      <c r="M338" t="s">
        <v>48</v>
      </c>
    </row>
    <row r="339" spans="1:13" hidden="1" x14ac:dyDescent="0.15">
      <c r="A339" t="s">
        <v>1127</v>
      </c>
      <c r="B339" t="s">
        <v>1128</v>
      </c>
      <c r="C339" t="s">
        <v>1129</v>
      </c>
      <c r="D339" t="s">
        <v>1123</v>
      </c>
      <c r="E339">
        <v>4</v>
      </c>
      <c r="F339" t="str">
        <f>HYPERLINK("https://github.com/google/ExoPlayer/issues/461", "show")</f>
        <v>show</v>
      </c>
      <c r="G339" t="str">
        <f>HYPERLINK("https://github.com/google/ExoPlayer", "show")</f>
        <v>show</v>
      </c>
      <c r="H339" t="str">
        <f>HYPERLINK("https://github.com/google/ExoPlayer/releases", "show")</f>
        <v>show</v>
      </c>
      <c r="I339">
        <v>1</v>
      </c>
      <c r="J339">
        <v>0</v>
      </c>
      <c r="K339">
        <v>1</v>
      </c>
      <c r="L339">
        <v>0</v>
      </c>
      <c r="M339" t="s">
        <v>64</v>
      </c>
    </row>
    <row r="340" spans="1:13" hidden="1" x14ac:dyDescent="0.15">
      <c r="A340" t="s">
        <v>1130</v>
      </c>
      <c r="B340" t="s">
        <v>1131</v>
      </c>
      <c r="C340" t="s">
        <v>1132</v>
      </c>
      <c r="D340" t="s">
        <v>1123</v>
      </c>
      <c r="E340">
        <v>87</v>
      </c>
      <c r="F340" t="str">
        <f>HYPERLINK("https://github.com/square/okhttp/issues/1651", "show")</f>
        <v>show</v>
      </c>
      <c r="G340" t="str">
        <f>HYPERLINK("https://github.com/square/okhttp", "show")</f>
        <v>show</v>
      </c>
      <c r="H340" t="str">
        <f>HYPERLINK("https://github.com/square/okhttp/releases", "show")</f>
        <v>show</v>
      </c>
      <c r="I340">
        <v>0</v>
      </c>
      <c r="J340">
        <v>0</v>
      </c>
      <c r="K340">
        <v>1</v>
      </c>
      <c r="L340">
        <v>0</v>
      </c>
      <c r="M340" t="s">
        <v>122</v>
      </c>
    </row>
    <row r="341" spans="1:13" x14ac:dyDescent="0.15">
      <c r="A341" t="s">
        <v>1133</v>
      </c>
      <c r="B341" t="s">
        <v>1134</v>
      </c>
      <c r="C341" t="s">
        <v>1135</v>
      </c>
      <c r="D341" t="s">
        <v>1136</v>
      </c>
      <c r="E341">
        <v>2</v>
      </c>
      <c r="F341" t="str">
        <f>HYPERLINK("https://github.com/frakbot/JumpingBeans/issues/2", "show")</f>
        <v>show</v>
      </c>
      <c r="G341" t="str">
        <f>HYPERLINK("https://github.com/frakbot/JumpingBeans", "show")</f>
        <v>show</v>
      </c>
      <c r="H341" t="str">
        <f>HYPERLINK("https://github.com/frakbot/JumpingBeans/releases", "show")</f>
        <v>show</v>
      </c>
      <c r="I341">
        <v>0</v>
      </c>
      <c r="J341">
        <v>1</v>
      </c>
      <c r="K341">
        <v>0</v>
      </c>
      <c r="L341">
        <v>0</v>
      </c>
      <c r="M341" t="s">
        <v>139</v>
      </c>
    </row>
    <row r="342" spans="1:13" hidden="1" x14ac:dyDescent="0.15">
      <c r="A342" t="s">
        <v>1137</v>
      </c>
      <c r="B342" t="s">
        <v>1138</v>
      </c>
      <c r="C342" t="s">
        <v>1139</v>
      </c>
      <c r="D342" t="s">
        <v>1136</v>
      </c>
      <c r="E342">
        <v>0</v>
      </c>
      <c r="F342" t="str">
        <f>HYPERLINK("https://github.com/luispablo/pikisubs/issues/57", "show")</f>
        <v>show</v>
      </c>
      <c r="G342" t="str">
        <f>HYPERLINK("https://github.com/luispablo/pikisubs", "show")</f>
        <v>show</v>
      </c>
      <c r="H342" t="str">
        <f>HYPERLINK("https://github.com/luispablo/pikisubs/releases", "show")</f>
        <v>show</v>
      </c>
      <c r="I342">
        <v>1</v>
      </c>
      <c r="J342">
        <v>0</v>
      </c>
      <c r="K342">
        <v>0</v>
      </c>
      <c r="L342">
        <v>0</v>
      </c>
      <c r="M342" t="s">
        <v>17</v>
      </c>
    </row>
    <row r="343" spans="1:13" hidden="1" x14ac:dyDescent="0.15">
      <c r="A343" t="s">
        <v>1140</v>
      </c>
      <c r="B343" t="s">
        <v>1141</v>
      </c>
      <c r="C343" t="s">
        <v>1142</v>
      </c>
      <c r="D343" t="s">
        <v>1136</v>
      </c>
      <c r="E343">
        <v>595</v>
      </c>
      <c r="F343" t="str">
        <f>HYPERLINK("https://github.com/xiprox/WaniKani-for-Android/issues/5", "show")</f>
        <v>show</v>
      </c>
      <c r="G343" t="str">
        <f>HYPERLINK("https://github.com/xiprox/WaniKani-for-Android", "show")</f>
        <v>show</v>
      </c>
      <c r="H343" t="str">
        <f>HYPERLINK("https://github.com/xiprox/WaniKani-for-Android/releases", "show")</f>
        <v>show</v>
      </c>
      <c r="I343">
        <v>1</v>
      </c>
      <c r="J343">
        <v>1</v>
      </c>
      <c r="K343">
        <v>0</v>
      </c>
      <c r="L343">
        <v>0</v>
      </c>
      <c r="M343" t="s">
        <v>48</v>
      </c>
    </row>
    <row r="344" spans="1:13" hidden="1" x14ac:dyDescent="0.15">
      <c r="A344" t="s">
        <v>1143</v>
      </c>
      <c r="B344" t="s">
        <v>1144</v>
      </c>
      <c r="C344" t="s">
        <v>1145</v>
      </c>
      <c r="D344" t="s">
        <v>1146</v>
      </c>
      <c r="E344">
        <v>14</v>
      </c>
      <c r="F344" t="str">
        <f>HYPERLINK("https://github.com/AltBeacon/android-beacon-library/issues/185", "show")</f>
        <v>show</v>
      </c>
      <c r="G344" t="str">
        <f>HYPERLINK("https://github.com/AltBeacon/android-beacon-library", "show")</f>
        <v>show</v>
      </c>
      <c r="H344" t="str">
        <f>HYPERLINK("https://github.com/AltBeacon/android-beacon-library/releases", "show")</f>
        <v>show</v>
      </c>
      <c r="I344">
        <v>0</v>
      </c>
      <c r="J344">
        <v>0</v>
      </c>
      <c r="K344">
        <v>1</v>
      </c>
      <c r="L344">
        <v>0</v>
      </c>
      <c r="M344" t="s">
        <v>122</v>
      </c>
    </row>
    <row r="345" spans="1:13" hidden="1" x14ac:dyDescent="0.15">
      <c r="A345" t="s">
        <v>1147</v>
      </c>
      <c r="B345" t="s">
        <v>1148</v>
      </c>
      <c r="C345" t="s">
        <v>1149</v>
      </c>
      <c r="D345" t="s">
        <v>1146</v>
      </c>
      <c r="E345">
        <v>7</v>
      </c>
      <c r="F345" t="str">
        <f>HYPERLINK("https://github.com/moneymanagerex/android-money-manager-ex/issues/281", "show")</f>
        <v>show</v>
      </c>
      <c r="G345" t="str">
        <f>HYPERLINK("https://github.com/moneymanagerex/android-money-manager-ex", "show")</f>
        <v>show</v>
      </c>
      <c r="H345" t="str">
        <f>HYPERLINK("https://github.com/moneymanagerex/android-money-manager-ex/releases", "show")</f>
        <v>show</v>
      </c>
      <c r="I345">
        <v>1</v>
      </c>
      <c r="J345">
        <v>1</v>
      </c>
      <c r="K345">
        <v>0</v>
      </c>
      <c r="L345">
        <v>0</v>
      </c>
      <c r="M345" t="s">
        <v>48</v>
      </c>
    </row>
    <row r="346" spans="1:13" hidden="1" x14ac:dyDescent="0.15">
      <c r="A346" t="s">
        <v>1150</v>
      </c>
      <c r="B346" t="s">
        <v>1151</v>
      </c>
      <c r="C346" t="s">
        <v>1152</v>
      </c>
      <c r="D346" t="s">
        <v>1146</v>
      </c>
      <c r="E346">
        <v>0</v>
      </c>
      <c r="F346" t="str">
        <f>HYPERLINK("https://github.com/liferay/liferay-screens/issues/125", "show")</f>
        <v>show</v>
      </c>
      <c r="G346" t="str">
        <f>HYPERLINK("https://github.com/liferay/liferay-screens", "show")</f>
        <v>show</v>
      </c>
      <c r="H346" t="str">
        <f>HYPERLINK("https://github.com/liferay/liferay-screens/releases", "show")</f>
        <v>show</v>
      </c>
      <c r="I346">
        <v>1</v>
      </c>
      <c r="J346">
        <v>0</v>
      </c>
      <c r="K346">
        <v>0</v>
      </c>
      <c r="L346">
        <v>0</v>
      </c>
      <c r="M346" t="s">
        <v>17</v>
      </c>
    </row>
    <row r="347" spans="1:13" hidden="1" x14ac:dyDescent="0.15">
      <c r="A347" t="s">
        <v>1153</v>
      </c>
      <c r="B347" t="s">
        <v>1154</v>
      </c>
      <c r="C347" t="s">
        <v>1155</v>
      </c>
      <c r="D347" t="s">
        <v>1156</v>
      </c>
      <c r="E347">
        <v>98</v>
      </c>
      <c r="F347" t="str">
        <f>HYPERLINK("https://github.com/dhis2/dhis2-android-trackercapture/issues/19", "show")</f>
        <v>show</v>
      </c>
      <c r="G347" t="str">
        <f>HYPERLINK("https://github.com/dhis2/dhis2-android-trackercapture", "show")</f>
        <v>show</v>
      </c>
      <c r="H347" t="str">
        <f>HYPERLINK("https://github.com/dhis2/dhis2-android-trackercapture/releases", "show")</f>
        <v>show</v>
      </c>
      <c r="I347">
        <v>1</v>
      </c>
      <c r="J347">
        <v>0</v>
      </c>
      <c r="K347">
        <v>0</v>
      </c>
      <c r="L347">
        <v>0</v>
      </c>
      <c r="M347" t="s">
        <v>17</v>
      </c>
    </row>
    <row r="348" spans="1:13" hidden="1" x14ac:dyDescent="0.15">
      <c r="A348" t="s">
        <v>1157</v>
      </c>
      <c r="B348" t="s">
        <v>1158</v>
      </c>
      <c r="C348" t="s">
        <v>1159</v>
      </c>
      <c r="D348" t="s">
        <v>1160</v>
      </c>
      <c r="E348">
        <v>1</v>
      </c>
      <c r="F348" t="str">
        <f>HYPERLINK("https://github.com/luispablo/pikisubs/issues/74", "show")</f>
        <v>show</v>
      </c>
      <c r="G348" t="str">
        <f>HYPERLINK("https://github.com/luispablo/pikisubs", "show")</f>
        <v>show</v>
      </c>
      <c r="H348" t="str">
        <f>HYPERLINK("https://github.com/luispablo/pikisubs/releases", "show")</f>
        <v>show</v>
      </c>
      <c r="I348">
        <v>0</v>
      </c>
      <c r="J348">
        <v>0</v>
      </c>
      <c r="K348">
        <v>0</v>
      </c>
      <c r="L348">
        <v>0</v>
      </c>
      <c r="M348" t="s">
        <v>43</v>
      </c>
    </row>
    <row r="349" spans="1:13" hidden="1" x14ac:dyDescent="0.15">
      <c r="A349" t="s">
        <v>1161</v>
      </c>
      <c r="B349" t="s">
        <v>1162</v>
      </c>
      <c r="C349" t="s">
        <v>1163</v>
      </c>
      <c r="D349" t="s">
        <v>1160</v>
      </c>
      <c r="E349">
        <v>0</v>
      </c>
      <c r="F349" t="str">
        <f>HYPERLINK("https://github.com/dimagi/commcare-android/issues/307", "show")</f>
        <v>show</v>
      </c>
      <c r="G349" t="str">
        <f>HYPERLINK("https://github.com/dimagi/commcare-android", "show")</f>
        <v>show</v>
      </c>
      <c r="H349" t="str">
        <f>HYPERLINK("https://github.com/dimagi/commcare-android/releases", "show")</f>
        <v>show</v>
      </c>
      <c r="I349">
        <v>1</v>
      </c>
      <c r="J349">
        <v>0</v>
      </c>
      <c r="K349">
        <v>0</v>
      </c>
      <c r="L349">
        <v>0</v>
      </c>
      <c r="M349" t="s">
        <v>17</v>
      </c>
    </row>
    <row r="350" spans="1:13" hidden="1" x14ac:dyDescent="0.15">
      <c r="A350" t="s">
        <v>1164</v>
      </c>
      <c r="B350" t="s">
        <v>1165</v>
      </c>
      <c r="C350" t="s">
        <v>1166</v>
      </c>
      <c r="D350" t="s">
        <v>1160</v>
      </c>
      <c r="E350">
        <v>0</v>
      </c>
      <c r="F350" t="str">
        <f>HYPERLINK("https://github.com/dimagi/commcare-android/issues/306", "show")</f>
        <v>show</v>
      </c>
      <c r="G350" t="str">
        <f>HYPERLINK("https://github.com/dimagi/commcare-android", "show")</f>
        <v>show</v>
      </c>
      <c r="H350" t="str">
        <f>HYPERLINK("https://github.com/dimagi/commcare-android/releases", "show")</f>
        <v>show</v>
      </c>
      <c r="I350">
        <v>1</v>
      </c>
      <c r="J350">
        <v>0</v>
      </c>
      <c r="K350">
        <v>0</v>
      </c>
      <c r="L350">
        <v>0</v>
      </c>
      <c r="M350" t="s">
        <v>17</v>
      </c>
    </row>
    <row r="351" spans="1:13" hidden="1" x14ac:dyDescent="0.15">
      <c r="A351" t="s">
        <v>1167</v>
      </c>
      <c r="B351" t="s">
        <v>1168</v>
      </c>
      <c r="C351" t="s">
        <v>1169</v>
      </c>
      <c r="D351" t="s">
        <v>1170</v>
      </c>
      <c r="E351">
        <v>0</v>
      </c>
      <c r="F351" t="str">
        <f>HYPERLINK("https://github.com/nikclayton/android-squeezer/issues/50", "show")</f>
        <v>show</v>
      </c>
      <c r="G351" t="str">
        <f>HYPERLINK("https://github.com/nikclayton/android-squeezer", "show")</f>
        <v>show</v>
      </c>
      <c r="H351" t="str">
        <f>HYPERLINK("https://github.com/nikclayton/android-squeezer/releases", "show")</f>
        <v>show</v>
      </c>
      <c r="I351">
        <v>1</v>
      </c>
      <c r="J351">
        <v>0</v>
      </c>
      <c r="K351">
        <v>0</v>
      </c>
      <c r="L351">
        <v>0</v>
      </c>
      <c r="M351" t="s">
        <v>17</v>
      </c>
    </row>
    <row r="352" spans="1:13" hidden="1" x14ac:dyDescent="0.15">
      <c r="A352" t="s">
        <v>1171</v>
      </c>
      <c r="B352" t="s">
        <v>1172</v>
      </c>
      <c r="C352" t="s">
        <v>1173</v>
      </c>
      <c r="D352" t="s">
        <v>1174</v>
      </c>
      <c r="E352">
        <v>320</v>
      </c>
      <c r="F352" t="str">
        <f>HYPERLINK("https://github.com/syncthing/syncthing-android/issues/401", "show")</f>
        <v>show</v>
      </c>
      <c r="G352" t="str">
        <f>HYPERLINK("https://github.com/syncthing/syncthing-android", "show")</f>
        <v>show</v>
      </c>
      <c r="H352" t="str">
        <f>HYPERLINK("https://github.com/syncthing/syncthing-android/releases", "show")</f>
        <v>show</v>
      </c>
      <c r="I352">
        <v>0</v>
      </c>
      <c r="J352">
        <v>0</v>
      </c>
      <c r="K352">
        <v>0</v>
      </c>
      <c r="L352">
        <v>0</v>
      </c>
      <c r="M352" t="s">
        <v>43</v>
      </c>
    </row>
    <row r="353" spans="1:13" hidden="1" x14ac:dyDescent="0.15">
      <c r="A353" t="s">
        <v>1175</v>
      </c>
      <c r="B353" t="s">
        <v>1176</v>
      </c>
      <c r="C353" t="s">
        <v>1177</v>
      </c>
      <c r="D353" t="s">
        <v>1174</v>
      </c>
      <c r="E353">
        <v>1</v>
      </c>
      <c r="F353" t="str">
        <f>HYPERLINK("https://github.com/ConnectSDK/Connect-SDK-Android/issues/255", "show")</f>
        <v>show</v>
      </c>
      <c r="G353" t="str">
        <f>HYPERLINK("https://github.com/ConnectSDK/Connect-SDK-Android", "show")</f>
        <v>show</v>
      </c>
      <c r="H353" t="str">
        <f>HYPERLINK("https://github.com/ConnectSDK/Connect-SDK-Android/releases", "show")</f>
        <v>show</v>
      </c>
      <c r="I353">
        <v>0</v>
      </c>
      <c r="J353">
        <v>0</v>
      </c>
      <c r="K353">
        <v>1</v>
      </c>
      <c r="L353">
        <v>0</v>
      </c>
      <c r="M353" t="s">
        <v>122</v>
      </c>
    </row>
    <row r="354" spans="1:13" hidden="1" x14ac:dyDescent="0.15">
      <c r="A354" t="s">
        <v>1178</v>
      </c>
      <c r="B354" t="s">
        <v>1179</v>
      </c>
      <c r="C354" t="s">
        <v>1180</v>
      </c>
      <c r="D354" t="s">
        <v>1174</v>
      </c>
      <c r="E354">
        <v>7</v>
      </c>
      <c r="F354" t="str">
        <f>HYPERLINK("https://github.com/felixb/callmeter/issues/70", "show")</f>
        <v>show</v>
      </c>
      <c r="G354" t="str">
        <f>HYPERLINK("https://github.com/felixb/callmeter", "show")</f>
        <v>show</v>
      </c>
      <c r="H354" t="str">
        <f>HYPERLINK("https://github.com/felixb/callmeter/releases", "show")</f>
        <v>show</v>
      </c>
      <c r="I354">
        <v>1</v>
      </c>
      <c r="J354">
        <v>0</v>
      </c>
      <c r="K354">
        <v>0</v>
      </c>
      <c r="L354">
        <v>0</v>
      </c>
      <c r="M354" t="s">
        <v>17</v>
      </c>
    </row>
    <row r="355" spans="1:13" hidden="1" x14ac:dyDescent="0.15">
      <c r="A355" t="s">
        <v>1181</v>
      </c>
      <c r="B355" t="s">
        <v>1182</v>
      </c>
      <c r="C355" t="s">
        <v>1183</v>
      </c>
      <c r="D355" t="s">
        <v>1184</v>
      </c>
      <c r="E355">
        <v>14</v>
      </c>
      <c r="F355" t="str">
        <f>HYPERLINK("https://github.com/asterics/AsTeRICS/issues/84", "show")</f>
        <v>show</v>
      </c>
      <c r="G355" t="str">
        <f>HYPERLINK("https://github.com/asterics/AsTeRICS", "show")</f>
        <v>show</v>
      </c>
      <c r="H355" t="str">
        <f>HYPERLINK("https://github.com/asterics/AsTeRICS/releases", "show")</f>
        <v>show</v>
      </c>
      <c r="I355">
        <v>1</v>
      </c>
      <c r="J355">
        <v>0</v>
      </c>
      <c r="K355">
        <v>0</v>
      </c>
      <c r="L355">
        <v>0</v>
      </c>
      <c r="M355" t="s">
        <v>17</v>
      </c>
    </row>
    <row r="356" spans="1:13" x14ac:dyDescent="0.15">
      <c r="A356" t="s">
        <v>1185</v>
      </c>
      <c r="B356" t="s">
        <v>1186</v>
      </c>
      <c r="C356" t="s">
        <v>1187</v>
      </c>
      <c r="D356" t="s">
        <v>1188</v>
      </c>
      <c r="E356">
        <v>340</v>
      </c>
      <c r="F356" t="str">
        <f>HYPERLINK("https://github.com/mehtank/androminion/issues/281", "show")</f>
        <v>show</v>
      </c>
      <c r="G356" t="str">
        <f>HYPERLINK("https://github.com/mehtank/androminion", "show")</f>
        <v>show</v>
      </c>
      <c r="H356" t="str">
        <f>HYPERLINK("https://github.com/mehtank/androminion/releases", "show")</f>
        <v>show</v>
      </c>
      <c r="I356">
        <v>0</v>
      </c>
      <c r="J356">
        <v>1</v>
      </c>
      <c r="K356">
        <v>0</v>
      </c>
      <c r="L356">
        <v>0</v>
      </c>
      <c r="M356" t="s">
        <v>139</v>
      </c>
    </row>
    <row r="357" spans="1:13" hidden="1" x14ac:dyDescent="0.15">
      <c r="A357" t="s">
        <v>1189</v>
      </c>
      <c r="B357" t="s">
        <v>1190</v>
      </c>
      <c r="C357" t="s">
        <v>1191</v>
      </c>
      <c r="D357" t="s">
        <v>1188</v>
      </c>
      <c r="E357">
        <v>0</v>
      </c>
      <c r="F357" t="str">
        <f>HYPERLINK("https://github.com/dimtion/Shaarlier/issues/10", "show")</f>
        <v>show</v>
      </c>
      <c r="G357" t="str">
        <f>HYPERLINK("https://github.com/dimtion/Shaarlier", "show")</f>
        <v>show</v>
      </c>
      <c r="H357" t="str">
        <f>HYPERLINK("https://github.com/dimtion/Shaarlier/releases", "show")</f>
        <v>show</v>
      </c>
      <c r="I357">
        <v>1</v>
      </c>
      <c r="J357">
        <v>0</v>
      </c>
      <c r="K357">
        <v>0</v>
      </c>
      <c r="L357">
        <v>0</v>
      </c>
      <c r="M357" t="s">
        <v>17</v>
      </c>
    </row>
    <row r="358" spans="1:13" hidden="1" x14ac:dyDescent="0.15">
      <c r="A358" t="s">
        <v>1192</v>
      </c>
      <c r="B358" t="s">
        <v>1193</v>
      </c>
      <c r="C358" t="s">
        <v>1194</v>
      </c>
      <c r="D358" t="s">
        <v>1195</v>
      </c>
      <c r="E358">
        <v>54</v>
      </c>
      <c r="F358" t="str">
        <f>HYPERLINK("https://github.com/PaNaVTEC/Clean-Contacts/issues/8", "show")</f>
        <v>show</v>
      </c>
      <c r="G358" t="str">
        <f>HYPERLINK("https://github.com/PaNaVTEC/Clean-Contacts", "show")</f>
        <v>show</v>
      </c>
      <c r="H358" t="str">
        <f>HYPERLINK("https://github.com/PaNaVTEC/Clean-Contacts/releases", "show")</f>
        <v>show</v>
      </c>
      <c r="I358">
        <v>0</v>
      </c>
      <c r="J358">
        <v>0</v>
      </c>
      <c r="K358">
        <v>0</v>
      </c>
      <c r="L358">
        <v>0</v>
      </c>
      <c r="M358" t="s">
        <v>43</v>
      </c>
    </row>
    <row r="359" spans="1:13" hidden="1" x14ac:dyDescent="0.15">
      <c r="A359" t="s">
        <v>1196</v>
      </c>
      <c r="B359" t="s">
        <v>1197</v>
      </c>
      <c r="C359" t="s">
        <v>1198</v>
      </c>
      <c r="D359" t="s">
        <v>1199</v>
      </c>
      <c r="E359">
        <v>6</v>
      </c>
      <c r="F359" t="str">
        <f>HYPERLINK("https://github.com/DigitalCampus/oppia-mobile-android/issues/441", "show")</f>
        <v>show</v>
      </c>
      <c r="G359" t="str">
        <f>HYPERLINK("https://github.com/DigitalCampus/oppia-mobile-android", "show")</f>
        <v>show</v>
      </c>
      <c r="H359" t="str">
        <f>HYPERLINK("https://github.com/DigitalCampus/oppia-mobile-android/releases", "show")</f>
        <v>show</v>
      </c>
      <c r="I359">
        <v>0</v>
      </c>
      <c r="J359">
        <v>0</v>
      </c>
      <c r="K359">
        <v>0</v>
      </c>
      <c r="L359">
        <v>0</v>
      </c>
      <c r="M359" t="s">
        <v>43</v>
      </c>
    </row>
    <row r="360" spans="1:13" hidden="1" x14ac:dyDescent="0.15">
      <c r="A360" t="s">
        <v>1200</v>
      </c>
      <c r="B360" t="s">
        <v>1201</v>
      </c>
      <c r="C360" t="s">
        <v>1202</v>
      </c>
      <c r="D360" t="s">
        <v>1199</v>
      </c>
      <c r="E360">
        <v>54</v>
      </c>
      <c r="F360" t="str">
        <f>HYPERLINK("https://github.com/khalid-hussain/HisnulMuslim/issues/35", "show")</f>
        <v>show</v>
      </c>
      <c r="G360" t="str">
        <f>HYPERLINK("https://github.com/khalid-hussain/HisnulMuslim", "show")</f>
        <v>show</v>
      </c>
      <c r="H360" t="str">
        <f>HYPERLINK("https://github.com/khalid-hussain/HisnulMuslim/releases", "show")</f>
        <v>show</v>
      </c>
      <c r="I360">
        <v>1</v>
      </c>
      <c r="J360">
        <v>1</v>
      </c>
      <c r="K360">
        <v>1</v>
      </c>
      <c r="L360">
        <v>0</v>
      </c>
      <c r="M360" t="s">
        <v>59</v>
      </c>
    </row>
    <row r="361" spans="1:13" hidden="1" x14ac:dyDescent="0.15">
      <c r="A361" t="s">
        <v>1203</v>
      </c>
      <c r="B361" t="s">
        <v>1204</v>
      </c>
      <c r="C361" t="s">
        <v>1205</v>
      </c>
      <c r="D361" t="s">
        <v>1206</v>
      </c>
      <c r="E361">
        <v>0</v>
      </c>
      <c r="F361" t="str">
        <f>HYPERLINK("https://github.com/bparmentier/OpenBikeSharing/issues/21", "show")</f>
        <v>show</v>
      </c>
      <c r="G361" t="str">
        <f>HYPERLINK("https://github.com/bparmentier/OpenBikeSharing", "show")</f>
        <v>show</v>
      </c>
      <c r="H361" t="str">
        <f>HYPERLINK("https://github.com/bparmentier/OpenBikeSharing/releases", "show")</f>
        <v>show</v>
      </c>
      <c r="I361">
        <v>0</v>
      </c>
      <c r="J361">
        <v>0</v>
      </c>
      <c r="K361">
        <v>1</v>
      </c>
      <c r="L361">
        <v>0</v>
      </c>
      <c r="M361" t="s">
        <v>122</v>
      </c>
    </row>
    <row r="362" spans="1:13" hidden="1" x14ac:dyDescent="0.15">
      <c r="A362" t="s">
        <v>1207</v>
      </c>
      <c r="B362" t="s">
        <v>1208</v>
      </c>
      <c r="C362" t="s">
        <v>1209</v>
      </c>
      <c r="D362" t="s">
        <v>1210</v>
      </c>
      <c r="E362">
        <v>106</v>
      </c>
      <c r="F362" t="str">
        <f>HYPERLINK("https://github.com/mattford/scoutlink/issues/6", "show")</f>
        <v>show</v>
      </c>
      <c r="G362" t="str">
        <f>HYPERLINK("https://github.com/mattford/scoutlink", "show")</f>
        <v>show</v>
      </c>
      <c r="H362" t="str">
        <f>HYPERLINK("https://github.com/mattford/scoutlink/releases", "show")</f>
        <v>show</v>
      </c>
      <c r="I362">
        <v>1</v>
      </c>
      <c r="J362">
        <v>0</v>
      </c>
      <c r="K362">
        <v>0</v>
      </c>
      <c r="L362">
        <v>0</v>
      </c>
      <c r="M362" t="s">
        <v>17</v>
      </c>
    </row>
    <row r="363" spans="1:13" hidden="1" x14ac:dyDescent="0.15">
      <c r="A363" t="s">
        <v>1211</v>
      </c>
      <c r="B363" t="s">
        <v>1212</v>
      </c>
      <c r="C363" t="s">
        <v>1213</v>
      </c>
      <c r="D363" t="s">
        <v>1214</v>
      </c>
      <c r="E363">
        <v>0</v>
      </c>
      <c r="F363" t="str">
        <f>HYPERLINK("https://github.com/wlky/AnkiDroid-Wear/issues/1", "show")</f>
        <v>show</v>
      </c>
      <c r="G363" t="str">
        <f>HYPERLINK("https://github.com/wlky/AnkiDroid-Wear", "show")</f>
        <v>show</v>
      </c>
      <c r="H363" t="str">
        <f>HYPERLINK("https://github.com/wlky/AnkiDroid-Wear/releases", "show")</f>
        <v>show</v>
      </c>
      <c r="I363">
        <v>1</v>
      </c>
      <c r="J363">
        <v>0</v>
      </c>
      <c r="K363">
        <v>0</v>
      </c>
      <c r="L363">
        <v>1</v>
      </c>
      <c r="M363" t="s">
        <v>29</v>
      </c>
    </row>
    <row r="364" spans="1:13" hidden="1" x14ac:dyDescent="0.15">
      <c r="A364" t="s">
        <v>1215</v>
      </c>
      <c r="B364" t="s">
        <v>1216</v>
      </c>
      <c r="C364" t="s">
        <v>1217</v>
      </c>
      <c r="D364" t="s">
        <v>1218</v>
      </c>
      <c r="E364">
        <v>26</v>
      </c>
      <c r="F364" t="str">
        <f>HYPERLINK("https://github.com/dimagi/commcare-android/issues/328", "show")</f>
        <v>show</v>
      </c>
      <c r="G364" t="str">
        <f>HYPERLINK("https://github.com/dimagi/commcare-android", "show")</f>
        <v>show</v>
      </c>
      <c r="H364" t="str">
        <f>HYPERLINK("https://github.com/dimagi/commcare-android/releases", "show")</f>
        <v>show</v>
      </c>
      <c r="I364">
        <v>1</v>
      </c>
      <c r="J364">
        <v>0</v>
      </c>
      <c r="K364">
        <v>0</v>
      </c>
      <c r="L364">
        <v>0</v>
      </c>
      <c r="M364" t="s">
        <v>17</v>
      </c>
    </row>
    <row r="365" spans="1:13" hidden="1" x14ac:dyDescent="0.15">
      <c r="A365" t="s">
        <v>1219</v>
      </c>
      <c r="B365" t="s">
        <v>1220</v>
      </c>
      <c r="C365" t="s">
        <v>1221</v>
      </c>
      <c r="D365" t="s">
        <v>1218</v>
      </c>
      <c r="E365">
        <v>1</v>
      </c>
      <c r="F365" t="str">
        <f>HYPERLINK("https://github.com/DigitalCampus/oppia-mobile-android/issues/449", "show")</f>
        <v>show</v>
      </c>
      <c r="G365" t="str">
        <f>HYPERLINK("https://github.com/DigitalCampus/oppia-mobile-android", "show")</f>
        <v>show</v>
      </c>
      <c r="H365" t="str">
        <f>HYPERLINK("https://github.com/DigitalCampus/oppia-mobile-android/releases", "show")</f>
        <v>show</v>
      </c>
      <c r="I365">
        <v>0</v>
      </c>
      <c r="J365">
        <v>0</v>
      </c>
      <c r="K365">
        <v>0</v>
      </c>
      <c r="L365">
        <v>0</v>
      </c>
      <c r="M365" t="s">
        <v>43</v>
      </c>
    </row>
    <row r="366" spans="1:13" hidden="1" x14ac:dyDescent="0.15">
      <c r="A366" t="s">
        <v>1222</v>
      </c>
      <c r="B366" t="s">
        <v>1223</v>
      </c>
      <c r="D366" t="s">
        <v>1218</v>
      </c>
      <c r="E366">
        <v>27</v>
      </c>
      <c r="F366" t="str">
        <f>HYPERLINK("https://github.com/DigitalCampus/oppia-mobile-android/issues/448", "show")</f>
        <v>show</v>
      </c>
      <c r="G366" t="str">
        <f>HYPERLINK("https://github.com/DigitalCampus/oppia-mobile-android", "show")</f>
        <v>show</v>
      </c>
      <c r="H366" t="str">
        <f>HYPERLINK("https://github.com/DigitalCampus/oppia-mobile-android/releases", "show")</f>
        <v>show</v>
      </c>
      <c r="I366">
        <v>1</v>
      </c>
      <c r="J366">
        <v>0</v>
      </c>
      <c r="K366">
        <v>0</v>
      </c>
      <c r="L366">
        <v>0</v>
      </c>
      <c r="M366" t="s">
        <v>17</v>
      </c>
    </row>
    <row r="367" spans="1:13" hidden="1" x14ac:dyDescent="0.15">
      <c r="A367" t="s">
        <v>1224</v>
      </c>
      <c r="B367" t="s">
        <v>1225</v>
      </c>
      <c r="C367" t="s">
        <v>1226</v>
      </c>
      <c r="D367" t="s">
        <v>1218</v>
      </c>
      <c r="E367">
        <v>62</v>
      </c>
      <c r="F367" t="str">
        <f>HYPERLINK("https://github.com/DigitalCampus/oppia-mobile-android/issues/445", "show")</f>
        <v>show</v>
      </c>
      <c r="G367" t="str">
        <f>HYPERLINK("https://github.com/DigitalCampus/oppia-mobile-android", "show")</f>
        <v>show</v>
      </c>
      <c r="H367" t="str">
        <f>HYPERLINK("https://github.com/DigitalCampus/oppia-mobile-android/releases", "show")</f>
        <v>show</v>
      </c>
      <c r="I367">
        <v>1</v>
      </c>
      <c r="J367">
        <v>0</v>
      </c>
      <c r="K367">
        <v>0</v>
      </c>
      <c r="L367">
        <v>0</v>
      </c>
      <c r="M367" t="s">
        <v>17</v>
      </c>
    </row>
    <row r="368" spans="1:13" hidden="1" x14ac:dyDescent="0.15">
      <c r="A368" t="s">
        <v>1227</v>
      </c>
      <c r="B368" t="s">
        <v>1228</v>
      </c>
      <c r="C368" t="s">
        <v>1229</v>
      </c>
      <c r="D368" t="s">
        <v>1218</v>
      </c>
      <c r="E368">
        <v>3</v>
      </c>
      <c r="F368" t="str">
        <f>HYPERLINK("https://github.com/CellularPrivacy/Android-IMSI-Catcher-Detector/issues/464", "show")</f>
        <v>show</v>
      </c>
      <c r="G368" t="str">
        <f>HYPERLINK("https://github.com/CellularPrivacy/Android-IMSI-Catcher-Detector", "show")</f>
        <v>show</v>
      </c>
      <c r="H368" t="str">
        <f>HYPERLINK("https://github.com/CellularPrivacy/Android-IMSI-Catcher-Detector/releases", "show")</f>
        <v>show</v>
      </c>
      <c r="I368">
        <v>1</v>
      </c>
      <c r="J368">
        <v>0</v>
      </c>
      <c r="K368">
        <v>0</v>
      </c>
      <c r="L368">
        <v>0</v>
      </c>
      <c r="M368" t="s">
        <v>17</v>
      </c>
    </row>
    <row r="369" spans="1:13" hidden="1" x14ac:dyDescent="0.15">
      <c r="A369" t="s">
        <v>1230</v>
      </c>
      <c r="B369" t="s">
        <v>1231</v>
      </c>
      <c r="C369" t="s">
        <v>1232</v>
      </c>
      <c r="D369" t="s">
        <v>1218</v>
      </c>
      <c r="E369">
        <v>1409</v>
      </c>
      <c r="F369" t="str">
        <f>HYPERLINK("https://github.com/AltBeacon/android-beacon-library/issues/212", "show")</f>
        <v>show</v>
      </c>
      <c r="G369" t="str">
        <f>HYPERLINK("https://github.com/AltBeacon/android-beacon-library", "show")</f>
        <v>show</v>
      </c>
      <c r="H369" t="str">
        <f>HYPERLINK("https://github.com/AltBeacon/android-beacon-library/releases", "show")</f>
        <v>show</v>
      </c>
      <c r="I369">
        <v>1</v>
      </c>
      <c r="J369">
        <v>0</v>
      </c>
      <c r="K369">
        <v>1</v>
      </c>
      <c r="L369">
        <v>0</v>
      </c>
      <c r="M369" t="s">
        <v>64</v>
      </c>
    </row>
    <row r="370" spans="1:13" hidden="1" x14ac:dyDescent="0.15">
      <c r="A370" t="s">
        <v>1233</v>
      </c>
      <c r="B370" t="s">
        <v>1234</v>
      </c>
      <c r="D370" t="s">
        <v>1235</v>
      </c>
      <c r="E370">
        <v>34</v>
      </c>
      <c r="F370" t="str">
        <f>HYPERLINK("https://github.com/Kornkammer/foodcoapp/issues/6", "show")</f>
        <v>show</v>
      </c>
      <c r="G370" t="str">
        <f>HYPERLINK("https://github.com/Kornkammer/foodcoapp", "show")</f>
        <v>show</v>
      </c>
      <c r="H370" t="str">
        <f>HYPERLINK("https://github.com/Kornkammer/foodcoapp/releases", "show")</f>
        <v>show</v>
      </c>
      <c r="I370">
        <v>1</v>
      </c>
      <c r="J370">
        <v>0</v>
      </c>
      <c r="K370">
        <v>0</v>
      </c>
      <c r="L370">
        <v>0</v>
      </c>
      <c r="M370" t="s">
        <v>17</v>
      </c>
    </row>
    <row r="371" spans="1:13" hidden="1" x14ac:dyDescent="0.15">
      <c r="A371" t="s">
        <v>1236</v>
      </c>
      <c r="B371" t="s">
        <v>1237</v>
      </c>
      <c r="C371" t="s">
        <v>1238</v>
      </c>
      <c r="D371" t="s">
        <v>1235</v>
      </c>
      <c r="E371">
        <v>10</v>
      </c>
      <c r="F371" t="str">
        <f>HYPERLINK("https://github.com/Kornkammer/foodcoapp/issues/4", "show")</f>
        <v>show</v>
      </c>
      <c r="G371" t="str">
        <f>HYPERLINK("https://github.com/Kornkammer/foodcoapp", "show")</f>
        <v>show</v>
      </c>
      <c r="H371" t="str">
        <f>HYPERLINK("https://github.com/Kornkammer/foodcoapp/releases", "show")</f>
        <v>show</v>
      </c>
      <c r="I371">
        <v>1</v>
      </c>
      <c r="J371">
        <v>0</v>
      </c>
      <c r="K371">
        <v>0</v>
      </c>
      <c r="L371">
        <v>0</v>
      </c>
      <c r="M371" t="s">
        <v>17</v>
      </c>
    </row>
    <row r="372" spans="1:13" hidden="1" x14ac:dyDescent="0.15">
      <c r="A372" t="s">
        <v>1239</v>
      </c>
      <c r="B372" t="s">
        <v>1240</v>
      </c>
      <c r="C372" t="s">
        <v>1241</v>
      </c>
      <c r="D372" t="s">
        <v>1235</v>
      </c>
      <c r="E372">
        <v>43</v>
      </c>
      <c r="F372" t="str">
        <f>HYPERLINK("https://github.com/Cardshifter/Cardshifter/issues/299", "show")</f>
        <v>show</v>
      </c>
      <c r="G372" t="str">
        <f>HYPERLINK("https://github.com/Cardshifter/Cardshifter", "show")</f>
        <v>show</v>
      </c>
      <c r="H372" t="str">
        <f>HYPERLINK("https://github.com/Cardshifter/Cardshifter/releases", "show")</f>
        <v>show</v>
      </c>
      <c r="I372">
        <v>1</v>
      </c>
      <c r="J372">
        <v>0</v>
      </c>
      <c r="K372">
        <v>0</v>
      </c>
      <c r="L372">
        <v>0</v>
      </c>
      <c r="M372" t="s">
        <v>17</v>
      </c>
    </row>
    <row r="373" spans="1:13" hidden="1" x14ac:dyDescent="0.15">
      <c r="A373" t="s">
        <v>1242</v>
      </c>
      <c r="B373" t="s">
        <v>1243</v>
      </c>
      <c r="C373" t="s">
        <v>1244</v>
      </c>
      <c r="D373" t="s">
        <v>1245</v>
      </c>
      <c r="E373">
        <v>0</v>
      </c>
      <c r="F373" t="str">
        <f>HYPERLINK("https://github.com/mozilla/webmaker-android/issues/2178", "show")</f>
        <v>show</v>
      </c>
      <c r="G373" t="str">
        <f>HYPERLINK("https://github.com/mozilla/webmaker-android", "show")</f>
        <v>show</v>
      </c>
      <c r="H373" t="str">
        <f>HYPERLINK("https://github.com/mozilla/webmaker-android/releases", "show")</f>
        <v>show</v>
      </c>
      <c r="I373">
        <v>1</v>
      </c>
      <c r="J373">
        <v>0</v>
      </c>
      <c r="K373">
        <v>1</v>
      </c>
      <c r="L373">
        <v>0</v>
      </c>
      <c r="M373" t="s">
        <v>64</v>
      </c>
    </row>
    <row r="374" spans="1:13" hidden="1" x14ac:dyDescent="0.15">
      <c r="A374" t="s">
        <v>1246</v>
      </c>
      <c r="B374" t="s">
        <v>1247</v>
      </c>
      <c r="C374" t="s">
        <v>1248</v>
      </c>
      <c r="D374" t="s">
        <v>1245</v>
      </c>
      <c r="E374">
        <v>3</v>
      </c>
      <c r="F374" t="str">
        <f>HYPERLINK("https://github.com/mozilla/webmaker-android/issues/2176", "show")</f>
        <v>show</v>
      </c>
      <c r="G374" t="str">
        <f>HYPERLINK("https://github.com/mozilla/webmaker-android", "show")</f>
        <v>show</v>
      </c>
      <c r="H374" t="str">
        <f>HYPERLINK("https://github.com/mozilla/webmaker-android/releases", "show")</f>
        <v>show</v>
      </c>
      <c r="I374">
        <v>0</v>
      </c>
      <c r="J374">
        <v>0</v>
      </c>
      <c r="K374">
        <v>0</v>
      </c>
      <c r="L374">
        <v>1</v>
      </c>
      <c r="M374" t="s">
        <v>581</v>
      </c>
    </row>
    <row r="375" spans="1:13" hidden="1" x14ac:dyDescent="0.15">
      <c r="A375" t="s">
        <v>1249</v>
      </c>
      <c r="B375" t="s">
        <v>1250</v>
      </c>
      <c r="C375" t="s">
        <v>1251</v>
      </c>
      <c r="D375" t="s">
        <v>1252</v>
      </c>
      <c r="E375">
        <v>3</v>
      </c>
      <c r="F375" t="str">
        <f>HYPERLINK("https://github.com/bumptech/glide/issues/497", "show")</f>
        <v>show</v>
      </c>
      <c r="G375" t="str">
        <f>HYPERLINK("https://github.com/bumptech/glide", "show")</f>
        <v>show</v>
      </c>
      <c r="H375" t="str">
        <f>HYPERLINK("https://github.com/bumptech/glide/releases", "show")</f>
        <v>show</v>
      </c>
      <c r="I375">
        <v>0</v>
      </c>
      <c r="J375">
        <v>0</v>
      </c>
      <c r="K375">
        <v>1</v>
      </c>
      <c r="L375">
        <v>0</v>
      </c>
      <c r="M375" t="s">
        <v>122</v>
      </c>
    </row>
    <row r="376" spans="1:13" hidden="1" x14ac:dyDescent="0.15">
      <c r="A376" t="s">
        <v>1253</v>
      </c>
      <c r="B376" t="s">
        <v>1254</v>
      </c>
      <c r="C376" t="s">
        <v>1255</v>
      </c>
      <c r="D376" t="s">
        <v>1252</v>
      </c>
      <c r="E376">
        <v>2</v>
      </c>
      <c r="F376" t="str">
        <f>HYPERLINK("https://github.com/CellularPrivacy/Android-IMSI-Catcher-Detector/issues/469", "show")</f>
        <v>show</v>
      </c>
      <c r="G376" t="str">
        <f>HYPERLINK("https://github.com/CellularPrivacy/Android-IMSI-Catcher-Detector", "show")</f>
        <v>show</v>
      </c>
      <c r="H376" t="str">
        <f>HYPERLINK("https://github.com/CellularPrivacy/Android-IMSI-Catcher-Detector/releases", "show")</f>
        <v>show</v>
      </c>
      <c r="I376">
        <v>1</v>
      </c>
      <c r="J376">
        <v>0</v>
      </c>
      <c r="K376">
        <v>0</v>
      </c>
      <c r="L376">
        <v>0</v>
      </c>
      <c r="M376" t="s">
        <v>17</v>
      </c>
    </row>
    <row r="377" spans="1:13" hidden="1" x14ac:dyDescent="0.15">
      <c r="A377" t="s">
        <v>1256</v>
      </c>
      <c r="B377" t="s">
        <v>1257</v>
      </c>
      <c r="C377" t="s">
        <v>1258</v>
      </c>
      <c r="D377" t="s">
        <v>1252</v>
      </c>
      <c r="E377">
        <v>4</v>
      </c>
      <c r="F377" t="str">
        <f>HYPERLINK("https://github.com/calvinaquino/LNReader-Android/issues/193", "show")</f>
        <v>show</v>
      </c>
      <c r="G377" t="str">
        <f>HYPERLINK("https://github.com/calvinaquino/LNReader-Android", "show")</f>
        <v>show</v>
      </c>
      <c r="H377" t="str">
        <f>HYPERLINK("https://github.com/calvinaquino/LNReader-Android/releases", "show")</f>
        <v>show</v>
      </c>
      <c r="I377">
        <v>1</v>
      </c>
      <c r="J377">
        <v>0</v>
      </c>
      <c r="K377">
        <v>1</v>
      </c>
      <c r="L377">
        <v>1</v>
      </c>
      <c r="M377" t="s">
        <v>1259</v>
      </c>
    </row>
    <row r="378" spans="1:13" hidden="1" x14ac:dyDescent="0.15">
      <c r="A378" t="s">
        <v>1260</v>
      </c>
      <c r="B378" t="s">
        <v>1261</v>
      </c>
      <c r="C378" t="s">
        <v>1262</v>
      </c>
      <c r="D378" t="s">
        <v>1252</v>
      </c>
      <c r="E378">
        <v>48</v>
      </c>
      <c r="F378" t="str">
        <f>HYPERLINK("https://github.com/h6ah4i/android-advancedrecyclerview/issues/54", "show")</f>
        <v>show</v>
      </c>
      <c r="G378" t="str">
        <f>HYPERLINK("https://github.com/h6ah4i/android-advancedrecyclerview", "show")</f>
        <v>show</v>
      </c>
      <c r="H378" t="str">
        <f>HYPERLINK("https://github.com/h6ah4i/android-advancedrecyclerview/releases", "show")</f>
        <v>show</v>
      </c>
      <c r="I378">
        <v>0</v>
      </c>
      <c r="J378">
        <v>0</v>
      </c>
      <c r="K378">
        <v>1</v>
      </c>
      <c r="L378">
        <v>0</v>
      </c>
      <c r="M378" t="s">
        <v>122</v>
      </c>
    </row>
    <row r="379" spans="1:13" hidden="1" x14ac:dyDescent="0.15">
      <c r="A379" t="s">
        <v>1263</v>
      </c>
      <c r="B379" t="s">
        <v>1264</v>
      </c>
      <c r="C379" t="s">
        <v>1265</v>
      </c>
      <c r="D379" t="s">
        <v>1266</v>
      </c>
      <c r="E379">
        <v>42</v>
      </c>
      <c r="F379" t="str">
        <f>HYPERLINK("https://github.com/cgeo/cgeo/issues/5034", "show")</f>
        <v>show</v>
      </c>
      <c r="G379" t="str">
        <f>HYPERLINK("https://github.com/cgeo/cgeo", "show")</f>
        <v>show</v>
      </c>
      <c r="H379" t="str">
        <f>HYPERLINK("https://github.com/cgeo/cgeo/releases", "show")</f>
        <v>show</v>
      </c>
      <c r="I379">
        <v>1</v>
      </c>
      <c r="J379">
        <v>0</v>
      </c>
      <c r="K379">
        <v>0</v>
      </c>
      <c r="L379">
        <v>0</v>
      </c>
      <c r="M379" t="s">
        <v>17</v>
      </c>
    </row>
    <row r="380" spans="1:13" hidden="1" x14ac:dyDescent="0.15">
      <c r="A380" t="s">
        <v>1267</v>
      </c>
      <c r="B380" t="s">
        <v>1268</v>
      </c>
      <c r="C380" t="s">
        <v>1269</v>
      </c>
      <c r="D380" t="s">
        <v>1270</v>
      </c>
      <c r="E380">
        <v>2</v>
      </c>
      <c r="F380" t="str">
        <f>HYPERLINK("https://github.com/cgeo/cgeo/issues/5036", "show")</f>
        <v>show</v>
      </c>
      <c r="G380" t="str">
        <f>HYPERLINK("https://github.com/cgeo/cgeo", "show")</f>
        <v>show</v>
      </c>
      <c r="H380" t="str">
        <f>HYPERLINK("https://github.com/cgeo/cgeo/releases", "show")</f>
        <v>show</v>
      </c>
      <c r="I380">
        <v>1</v>
      </c>
      <c r="J380">
        <v>0</v>
      </c>
      <c r="K380">
        <v>1</v>
      </c>
      <c r="L380">
        <v>0</v>
      </c>
      <c r="M380" t="s">
        <v>64</v>
      </c>
    </row>
    <row r="381" spans="1:13" hidden="1" x14ac:dyDescent="0.15">
      <c r="A381" t="s">
        <v>1271</v>
      </c>
      <c r="B381" t="s">
        <v>1272</v>
      </c>
      <c r="C381" t="s">
        <v>1273</v>
      </c>
      <c r="D381" t="s">
        <v>1270</v>
      </c>
      <c r="E381">
        <v>4</v>
      </c>
      <c r="F381" t="str">
        <f>HYPERLINK("https://github.com/mthli/Ninja/issues/6", "show")</f>
        <v>show</v>
      </c>
      <c r="G381" t="str">
        <f>HYPERLINK("https://github.com/mthli/Ninja", "show")</f>
        <v>show</v>
      </c>
      <c r="H381" t="str">
        <f>HYPERLINK("https://github.com/mthli/Ninja/releases", "show")</f>
        <v>show</v>
      </c>
      <c r="I381">
        <v>1</v>
      </c>
      <c r="J381">
        <v>0</v>
      </c>
      <c r="K381">
        <v>1</v>
      </c>
      <c r="L381">
        <v>0</v>
      </c>
      <c r="M381" t="s">
        <v>64</v>
      </c>
    </row>
    <row r="382" spans="1:13" hidden="1" x14ac:dyDescent="0.15">
      <c r="A382" t="s">
        <v>1274</v>
      </c>
      <c r="B382" t="s">
        <v>1275</v>
      </c>
      <c r="C382" t="s">
        <v>1276</v>
      </c>
      <c r="D382" t="s">
        <v>1270</v>
      </c>
      <c r="E382">
        <v>8</v>
      </c>
      <c r="F382" t="str">
        <f>HYPERLINK("https://github.com/kaltsimon/Chasing-Pictures-front-end/issues/12", "show")</f>
        <v>show</v>
      </c>
      <c r="G382" t="str">
        <f>HYPERLINK("https://github.com/kaltsimon/Chasing-Pictures-front-end", "show")</f>
        <v>show</v>
      </c>
      <c r="H382" t="str">
        <f>HYPERLINK("https://github.com/kaltsimon/Chasing-Pictures-front-end/releases", "show")</f>
        <v>show</v>
      </c>
      <c r="I382">
        <v>1</v>
      </c>
      <c r="J382">
        <v>1</v>
      </c>
      <c r="K382">
        <v>0</v>
      </c>
      <c r="L382">
        <v>0</v>
      </c>
      <c r="M382" t="s">
        <v>48</v>
      </c>
    </row>
    <row r="383" spans="1:13" hidden="1" x14ac:dyDescent="0.15">
      <c r="A383" t="s">
        <v>1277</v>
      </c>
      <c r="B383" t="s">
        <v>1278</v>
      </c>
      <c r="C383" t="s">
        <v>1279</v>
      </c>
      <c r="D383" t="s">
        <v>1270</v>
      </c>
      <c r="E383">
        <v>13</v>
      </c>
      <c r="F383" t="str">
        <f>HYPERLINK("https://github.com/kaltsimon/Chasing-Pictures-front-end/issues/11", "show")</f>
        <v>show</v>
      </c>
      <c r="G383" t="str">
        <f>HYPERLINK("https://github.com/kaltsimon/Chasing-Pictures-front-end", "show")</f>
        <v>show</v>
      </c>
      <c r="H383" t="str">
        <f>HYPERLINK("https://github.com/kaltsimon/Chasing-Pictures-front-end/releases", "show")</f>
        <v>show</v>
      </c>
      <c r="I383">
        <v>1</v>
      </c>
      <c r="J383">
        <v>0</v>
      </c>
      <c r="K383">
        <v>0</v>
      </c>
      <c r="L383">
        <v>0</v>
      </c>
      <c r="M383" t="s">
        <v>17</v>
      </c>
    </row>
    <row r="384" spans="1:13" hidden="1" x14ac:dyDescent="0.15">
      <c r="A384" t="s">
        <v>1280</v>
      </c>
      <c r="B384" t="s">
        <v>1281</v>
      </c>
      <c r="C384" t="s">
        <v>1282</v>
      </c>
      <c r="D384" t="s">
        <v>1283</v>
      </c>
      <c r="E384">
        <v>0</v>
      </c>
      <c r="F384" t="str">
        <f>HYPERLINK("https://github.com/syncthing/syncthing-android/issues/410", "show")</f>
        <v>show</v>
      </c>
      <c r="G384" t="str">
        <f>HYPERLINK("https://github.com/syncthing/syncthing-android", "show")</f>
        <v>show</v>
      </c>
      <c r="H384" t="str">
        <f>HYPERLINK("https://github.com/syncthing/syncthing-android/releases", "show")</f>
        <v>show</v>
      </c>
      <c r="I384">
        <v>1</v>
      </c>
      <c r="J384">
        <v>0</v>
      </c>
      <c r="K384">
        <v>1</v>
      </c>
      <c r="L384">
        <v>0</v>
      </c>
      <c r="M384" t="s">
        <v>64</v>
      </c>
    </row>
    <row r="385" spans="1:13" hidden="1" x14ac:dyDescent="0.15">
      <c r="A385" t="s">
        <v>1284</v>
      </c>
      <c r="B385" t="s">
        <v>1285</v>
      </c>
      <c r="C385" t="s">
        <v>1286</v>
      </c>
      <c r="D385" t="s">
        <v>1283</v>
      </c>
      <c r="E385">
        <v>1</v>
      </c>
      <c r="F385" t="str">
        <f>HYPERLINK("https://github.com/mvysny/aedict/issues/526", "show")</f>
        <v>show</v>
      </c>
      <c r="G385" t="str">
        <f>HYPERLINK("https://github.com/mvysny/aedict", "show")</f>
        <v>show</v>
      </c>
      <c r="H385" t="str">
        <f>HYPERLINK("https://github.com/mvysny/aedict/releases", "show")</f>
        <v>show</v>
      </c>
      <c r="I385">
        <v>0</v>
      </c>
      <c r="J385">
        <v>0</v>
      </c>
      <c r="K385">
        <v>0</v>
      </c>
      <c r="L385">
        <v>1</v>
      </c>
      <c r="M385" t="s">
        <v>581</v>
      </c>
    </row>
    <row r="386" spans="1:13" hidden="1" x14ac:dyDescent="0.15">
      <c r="A386" t="s">
        <v>1287</v>
      </c>
      <c r="B386" t="s">
        <v>1288</v>
      </c>
      <c r="C386" t="s">
        <v>1289</v>
      </c>
      <c r="D386" t="s">
        <v>1283</v>
      </c>
      <c r="E386">
        <v>0</v>
      </c>
      <c r="F386" t="str">
        <f>HYPERLINK("https://github.com/mvysny/aedict/issues/523", "show")</f>
        <v>show</v>
      </c>
      <c r="G386" t="str">
        <f>HYPERLINK("https://github.com/mvysny/aedict", "show")</f>
        <v>show</v>
      </c>
      <c r="H386" t="str">
        <f>HYPERLINK("https://github.com/mvysny/aedict/releases", "show")</f>
        <v>show</v>
      </c>
      <c r="I386">
        <v>1</v>
      </c>
      <c r="J386">
        <v>0</v>
      </c>
      <c r="K386">
        <v>1</v>
      </c>
      <c r="L386">
        <v>0</v>
      </c>
      <c r="M386" t="s">
        <v>64</v>
      </c>
    </row>
    <row r="387" spans="1:13" hidden="1" x14ac:dyDescent="0.15">
      <c r="A387" t="s">
        <v>1290</v>
      </c>
      <c r="B387" t="s">
        <v>1291</v>
      </c>
      <c r="C387" t="s">
        <v>1292</v>
      </c>
      <c r="D387" t="s">
        <v>1293</v>
      </c>
      <c r="E387">
        <v>32</v>
      </c>
      <c r="F387" t="str">
        <f>HYPERLINK("https://github.com/gdg-x/frisbee/issues/368", "show")</f>
        <v>show</v>
      </c>
      <c r="G387" t="str">
        <f>HYPERLINK("https://github.com/gdg-x/frisbee", "show")</f>
        <v>show</v>
      </c>
      <c r="H387" t="str">
        <f>HYPERLINK("https://github.com/gdg-x/frisbee/releases", "show")</f>
        <v>show</v>
      </c>
      <c r="I387">
        <v>0</v>
      </c>
      <c r="J387">
        <v>0</v>
      </c>
      <c r="K387">
        <v>1</v>
      </c>
      <c r="L387">
        <v>0</v>
      </c>
      <c r="M387" t="s">
        <v>122</v>
      </c>
    </row>
    <row r="388" spans="1:13" hidden="1" x14ac:dyDescent="0.15">
      <c r="A388" t="s">
        <v>1294</v>
      </c>
      <c r="B388" t="s">
        <v>1295</v>
      </c>
      <c r="C388" t="s">
        <v>1296</v>
      </c>
      <c r="D388" t="s">
        <v>1293</v>
      </c>
      <c r="E388">
        <v>32</v>
      </c>
      <c r="F388" t="str">
        <f>HYPERLINK("https://github.com/gdg-x/frisbee/issues/367", "show")</f>
        <v>show</v>
      </c>
      <c r="G388" t="str">
        <f>HYPERLINK("https://github.com/gdg-x/frisbee", "show")</f>
        <v>show</v>
      </c>
      <c r="H388" t="str">
        <f>HYPERLINK("https://github.com/gdg-x/frisbee/releases", "show")</f>
        <v>show</v>
      </c>
      <c r="I388">
        <v>0</v>
      </c>
      <c r="J388">
        <v>0</v>
      </c>
      <c r="K388">
        <v>1</v>
      </c>
      <c r="L388">
        <v>0</v>
      </c>
      <c r="M388" t="s">
        <v>122</v>
      </c>
    </row>
    <row r="389" spans="1:13" hidden="1" x14ac:dyDescent="0.15">
      <c r="A389" t="s">
        <v>1297</v>
      </c>
      <c r="B389" t="s">
        <v>1298</v>
      </c>
      <c r="C389" t="s">
        <v>1299</v>
      </c>
      <c r="D389" t="s">
        <v>1293</v>
      </c>
      <c r="E389">
        <v>0</v>
      </c>
      <c r="F389" t="str">
        <f>HYPERLINK("https://github.com/geopaparazzi/geopaparazzi/issues/271", "show")</f>
        <v>show</v>
      </c>
      <c r="G389" t="str">
        <f>HYPERLINK("https://github.com/geopaparazzi/geopaparazzi", "show")</f>
        <v>show</v>
      </c>
      <c r="H389" t="str">
        <f>HYPERLINK("https://github.com/geopaparazzi/geopaparazzi/releases", "show")</f>
        <v>show</v>
      </c>
      <c r="I389">
        <v>0</v>
      </c>
      <c r="J389">
        <v>0</v>
      </c>
      <c r="K389">
        <v>1</v>
      </c>
      <c r="L389">
        <v>0</v>
      </c>
      <c r="M389" t="s">
        <v>122</v>
      </c>
    </row>
    <row r="390" spans="1:13" hidden="1" x14ac:dyDescent="0.15">
      <c r="A390" t="s">
        <v>1300</v>
      </c>
      <c r="B390" t="s">
        <v>1301</v>
      </c>
      <c r="C390" t="s">
        <v>1302</v>
      </c>
      <c r="D390" t="s">
        <v>1303</v>
      </c>
      <c r="E390">
        <v>227</v>
      </c>
      <c r="F390" t="str">
        <f>HYPERLINK("https://github.com/cymcsg/UltimateRecyclerView/issues/87", "show")</f>
        <v>show</v>
      </c>
      <c r="G390" t="str">
        <f>HYPERLINK("https://github.com/cymcsg/UltimateRecyclerView", "show")</f>
        <v>show</v>
      </c>
      <c r="H390" t="str">
        <f>HYPERLINK("https://github.com/cymcsg/UltimateRecyclerView/releases", "show")</f>
        <v>show</v>
      </c>
      <c r="I390">
        <v>1</v>
      </c>
      <c r="J390">
        <v>0</v>
      </c>
      <c r="K390">
        <v>1</v>
      </c>
      <c r="L390">
        <v>0</v>
      </c>
      <c r="M390" t="s">
        <v>64</v>
      </c>
    </row>
    <row r="391" spans="1:13" hidden="1" x14ac:dyDescent="0.15">
      <c r="A391" t="s">
        <v>1304</v>
      </c>
      <c r="B391" t="s">
        <v>1305</v>
      </c>
      <c r="C391" t="s">
        <v>1306</v>
      </c>
      <c r="D391" t="s">
        <v>1307</v>
      </c>
      <c r="E391">
        <v>11</v>
      </c>
      <c r="F391" t="str">
        <f>HYPERLINK("https://github.com/CellularPrivacy/Android-IMSI-Catcher-Detector/issues/496", "show")</f>
        <v>show</v>
      </c>
      <c r="G391" t="str">
        <f>HYPERLINK("https://github.com/CellularPrivacy/Android-IMSI-Catcher-Detector", "show")</f>
        <v>show</v>
      </c>
      <c r="H391" t="str">
        <f>HYPERLINK("https://github.com/CellularPrivacy/Android-IMSI-Catcher-Detector/releases", "show")</f>
        <v>show</v>
      </c>
      <c r="I391">
        <v>0</v>
      </c>
      <c r="J391">
        <v>0</v>
      </c>
      <c r="K391">
        <v>1</v>
      </c>
      <c r="L391">
        <v>0</v>
      </c>
      <c r="M391" t="s">
        <v>122</v>
      </c>
    </row>
    <row r="392" spans="1:13" hidden="1" x14ac:dyDescent="0.15">
      <c r="A392" t="s">
        <v>1308</v>
      </c>
      <c r="B392" t="s">
        <v>1309</v>
      </c>
      <c r="C392" t="s">
        <v>1310</v>
      </c>
      <c r="D392" t="s">
        <v>1307</v>
      </c>
      <c r="E392">
        <v>1</v>
      </c>
      <c r="F392" t="str">
        <f>HYPERLINK("https://github.com/artem-zinnatullin/android-wail-app/issues/162", "show")</f>
        <v>show</v>
      </c>
      <c r="G392" t="str">
        <f>HYPERLINK("https://github.com/artem-zinnatullin/android-wail-app", "show")</f>
        <v>show</v>
      </c>
      <c r="H392" t="str">
        <f>HYPERLINK("https://github.com/artem-zinnatullin/android-wail-app/releases", "show")</f>
        <v>show</v>
      </c>
      <c r="I392">
        <v>1</v>
      </c>
      <c r="J392">
        <v>0</v>
      </c>
      <c r="K392">
        <v>0</v>
      </c>
      <c r="L392">
        <v>0</v>
      </c>
      <c r="M392" t="s">
        <v>17</v>
      </c>
    </row>
    <row r="393" spans="1:13" hidden="1" x14ac:dyDescent="0.15">
      <c r="A393" t="s">
        <v>1311</v>
      </c>
      <c r="B393" t="s">
        <v>1312</v>
      </c>
      <c r="C393" t="s">
        <v>1313</v>
      </c>
      <c r="D393" t="s">
        <v>1314</v>
      </c>
      <c r="E393">
        <v>39</v>
      </c>
      <c r="F393" t="str">
        <f>HYPERLINK("https://github.com/h6ah4i/android-advancedrecyclerview/issues/64", "show")</f>
        <v>show</v>
      </c>
      <c r="G393" t="str">
        <f>HYPERLINK("https://github.com/h6ah4i/android-advancedrecyclerview", "show")</f>
        <v>show</v>
      </c>
      <c r="H393" t="str">
        <f>HYPERLINK("https://github.com/h6ah4i/android-advancedrecyclerview/releases", "show")</f>
        <v>show</v>
      </c>
      <c r="I393">
        <v>1</v>
      </c>
      <c r="J393">
        <v>1</v>
      </c>
      <c r="K393">
        <v>0</v>
      </c>
      <c r="L393">
        <v>0</v>
      </c>
      <c r="M393" t="s">
        <v>48</v>
      </c>
    </row>
    <row r="394" spans="1:13" hidden="1" x14ac:dyDescent="0.15">
      <c r="A394" t="s">
        <v>1315</v>
      </c>
      <c r="B394" t="s">
        <v>1316</v>
      </c>
      <c r="C394" t="s">
        <v>1317</v>
      </c>
      <c r="D394" t="s">
        <v>1314</v>
      </c>
      <c r="E394">
        <v>0</v>
      </c>
      <c r="F394" t="str">
        <f>HYPERLINK("https://github.com/OneBusAway/onebusaway-android/issues/270", "show")</f>
        <v>show</v>
      </c>
      <c r="G394" t="str">
        <f>HYPERLINK("https://github.com/OneBusAway/onebusaway-android", "show")</f>
        <v>show</v>
      </c>
      <c r="H394" t="str">
        <f>HYPERLINK("https://github.com/OneBusAway/onebusaway-android/releases", "show")</f>
        <v>show</v>
      </c>
      <c r="I394">
        <v>1</v>
      </c>
      <c r="J394">
        <v>1</v>
      </c>
      <c r="K394">
        <v>1</v>
      </c>
      <c r="L394">
        <v>0</v>
      </c>
      <c r="M394" t="s">
        <v>59</v>
      </c>
    </row>
    <row r="395" spans="1:13" hidden="1" x14ac:dyDescent="0.15">
      <c r="A395" t="s">
        <v>1318</v>
      </c>
      <c r="B395" t="s">
        <v>1319</v>
      </c>
      <c r="C395" t="s">
        <v>1320</v>
      </c>
      <c r="D395" t="s">
        <v>1321</v>
      </c>
      <c r="E395">
        <v>0</v>
      </c>
      <c r="F395" t="str">
        <f>HYPERLINK("https://github.com/OneBusAway/onebusaway-android/issues/273", "show")</f>
        <v>show</v>
      </c>
      <c r="G395" t="str">
        <f>HYPERLINK("https://github.com/OneBusAway/onebusaway-android", "show")</f>
        <v>show</v>
      </c>
      <c r="H395" t="str">
        <f>HYPERLINK("https://github.com/OneBusAway/onebusaway-android/releases", "show")</f>
        <v>show</v>
      </c>
      <c r="I395">
        <v>1</v>
      </c>
      <c r="J395">
        <v>1</v>
      </c>
      <c r="K395">
        <v>1</v>
      </c>
      <c r="L395">
        <v>0</v>
      </c>
      <c r="M395" t="s">
        <v>59</v>
      </c>
    </row>
    <row r="396" spans="1:13" hidden="1" x14ac:dyDescent="0.15">
      <c r="A396" t="s">
        <v>1322</v>
      </c>
      <c r="B396" t="s">
        <v>1323</v>
      </c>
      <c r="C396" t="s">
        <v>1324</v>
      </c>
      <c r="D396" t="s">
        <v>1321</v>
      </c>
      <c r="E396">
        <v>3</v>
      </c>
      <c r="F396" t="str">
        <f>HYPERLINK("https://github.com/MythTV-Clients/MythtvPlayerForAndroid/issues/86", "show")</f>
        <v>show</v>
      </c>
      <c r="G396" t="str">
        <f>HYPERLINK("https://github.com/MythTV-Clients/MythtvPlayerForAndroid", "show")</f>
        <v>show</v>
      </c>
      <c r="H396" t="str">
        <f>HYPERLINK("https://github.com/MythTV-Clients/MythtvPlayerForAndroid/releases", "show")</f>
        <v>show</v>
      </c>
      <c r="I396">
        <v>1</v>
      </c>
      <c r="J396">
        <v>1</v>
      </c>
      <c r="K396">
        <v>1</v>
      </c>
      <c r="L396">
        <v>0</v>
      </c>
      <c r="M396" t="s">
        <v>59</v>
      </c>
    </row>
    <row r="397" spans="1:13" hidden="1" x14ac:dyDescent="0.15">
      <c r="A397" t="s">
        <v>1325</v>
      </c>
      <c r="B397" t="s">
        <v>1326</v>
      </c>
      <c r="C397" t="s">
        <v>1327</v>
      </c>
      <c r="D397" t="s">
        <v>1328</v>
      </c>
      <c r="E397">
        <v>3</v>
      </c>
      <c r="F397" t="str">
        <f>HYPERLINK("https://github.com/dimagi/commcare-android/issues/351", "show")</f>
        <v>show</v>
      </c>
      <c r="G397" t="str">
        <f>HYPERLINK("https://github.com/dimagi/commcare-android", "show")</f>
        <v>show</v>
      </c>
      <c r="H397" t="str">
        <f>HYPERLINK("https://github.com/dimagi/commcare-android/releases", "show")</f>
        <v>show</v>
      </c>
      <c r="I397">
        <v>1</v>
      </c>
      <c r="J397">
        <v>1</v>
      </c>
      <c r="K397">
        <v>0</v>
      </c>
      <c r="L397">
        <v>0</v>
      </c>
      <c r="M397" t="s">
        <v>48</v>
      </c>
    </row>
    <row r="398" spans="1:13" hidden="1" x14ac:dyDescent="0.15">
      <c r="A398" t="s">
        <v>1329</v>
      </c>
      <c r="B398" t="s">
        <v>1330</v>
      </c>
      <c r="C398" t="s">
        <v>1331</v>
      </c>
      <c r="D398" t="s">
        <v>1328</v>
      </c>
      <c r="E398">
        <v>3</v>
      </c>
      <c r="F398" t="str">
        <f>HYPERLINK("https://github.com/dimagi/commcare-android/issues/350", "show")</f>
        <v>show</v>
      </c>
      <c r="G398" t="str">
        <f>HYPERLINK("https://github.com/dimagi/commcare-android", "show")</f>
        <v>show</v>
      </c>
      <c r="H398" t="str">
        <f>HYPERLINK("https://github.com/dimagi/commcare-android/releases", "show")</f>
        <v>show</v>
      </c>
      <c r="I398">
        <v>1</v>
      </c>
      <c r="J398">
        <v>1</v>
      </c>
      <c r="K398">
        <v>0</v>
      </c>
      <c r="L398">
        <v>0</v>
      </c>
      <c r="M398" t="s">
        <v>48</v>
      </c>
    </row>
    <row r="399" spans="1:13" hidden="1" x14ac:dyDescent="0.15">
      <c r="A399" t="s">
        <v>1332</v>
      </c>
      <c r="B399" t="s">
        <v>1333</v>
      </c>
      <c r="C399" t="s">
        <v>1334</v>
      </c>
      <c r="D399" t="s">
        <v>1328</v>
      </c>
      <c r="E399">
        <v>3</v>
      </c>
      <c r="F399" t="str">
        <f>HYPERLINK("https://github.com/OneBusAway/onebusaway-android/issues/275", "show")</f>
        <v>show</v>
      </c>
      <c r="G399" t="str">
        <f>HYPERLINK("https://github.com/OneBusAway/onebusaway-android", "show")</f>
        <v>show</v>
      </c>
      <c r="H399" t="str">
        <f>HYPERLINK("https://github.com/OneBusAway/onebusaway-android/releases", "show")</f>
        <v>show</v>
      </c>
      <c r="I399">
        <v>0</v>
      </c>
      <c r="J399">
        <v>0</v>
      </c>
      <c r="K399">
        <v>1</v>
      </c>
      <c r="L399">
        <v>0</v>
      </c>
      <c r="M399" t="s">
        <v>122</v>
      </c>
    </row>
    <row r="400" spans="1:13" hidden="1" x14ac:dyDescent="0.15">
      <c r="A400" t="s">
        <v>1335</v>
      </c>
      <c r="B400" t="s">
        <v>1336</v>
      </c>
      <c r="C400" t="s">
        <v>1337</v>
      </c>
      <c r="D400" t="s">
        <v>1328</v>
      </c>
      <c r="E400">
        <v>0</v>
      </c>
      <c r="F400" t="str">
        <f>HYPERLINK("https://github.com/niteshmourya/app-inventor-for-android/issues/2101", "show")</f>
        <v>show</v>
      </c>
      <c r="G400" t="str">
        <f t="shared" ref="G400:G415" si="0">HYPERLINK("https://github.com/niteshmourya/app-inventor-for-android", "show")</f>
        <v>show</v>
      </c>
      <c r="H400" t="str">
        <f t="shared" ref="H400:H415" si="1">HYPERLINK("https://github.com/niteshmourya/app-inventor-for-android/releases", "show")</f>
        <v>show</v>
      </c>
      <c r="I400">
        <v>0</v>
      </c>
      <c r="J400">
        <v>0</v>
      </c>
      <c r="K400">
        <v>0</v>
      </c>
      <c r="L400">
        <v>0</v>
      </c>
      <c r="M400" t="s">
        <v>43</v>
      </c>
    </row>
    <row r="401" spans="1:13" hidden="1" x14ac:dyDescent="0.15">
      <c r="A401" t="s">
        <v>1338</v>
      </c>
      <c r="B401" t="s">
        <v>1339</v>
      </c>
      <c r="C401" t="s">
        <v>1340</v>
      </c>
      <c r="D401" t="s">
        <v>1328</v>
      </c>
      <c r="E401">
        <v>0</v>
      </c>
      <c r="F401" t="str">
        <f>HYPERLINK("https://github.com/niteshmourya/app-inventor-for-android/issues/1778", "show")</f>
        <v>show</v>
      </c>
      <c r="G401" t="str">
        <f t="shared" si="0"/>
        <v>show</v>
      </c>
      <c r="H401" t="str">
        <f t="shared" si="1"/>
        <v>show</v>
      </c>
      <c r="I401">
        <v>1</v>
      </c>
      <c r="J401">
        <v>1</v>
      </c>
      <c r="K401">
        <v>0</v>
      </c>
      <c r="L401">
        <v>0</v>
      </c>
      <c r="M401" t="s">
        <v>48</v>
      </c>
    </row>
    <row r="402" spans="1:13" hidden="1" x14ac:dyDescent="0.15">
      <c r="A402" t="s">
        <v>1341</v>
      </c>
      <c r="B402" t="s">
        <v>1342</v>
      </c>
      <c r="C402" t="s">
        <v>1343</v>
      </c>
      <c r="D402" t="s">
        <v>1328</v>
      </c>
      <c r="E402">
        <v>0</v>
      </c>
      <c r="F402" t="str">
        <f>HYPERLINK("https://github.com/niteshmourya/app-inventor-for-android/issues/1756", "show")</f>
        <v>show</v>
      </c>
      <c r="G402" t="str">
        <f t="shared" si="0"/>
        <v>show</v>
      </c>
      <c r="H402" t="str">
        <f t="shared" si="1"/>
        <v>show</v>
      </c>
      <c r="I402">
        <v>1</v>
      </c>
      <c r="J402">
        <v>0</v>
      </c>
      <c r="K402">
        <v>0</v>
      </c>
      <c r="L402">
        <v>0</v>
      </c>
      <c r="M402" t="s">
        <v>17</v>
      </c>
    </row>
    <row r="403" spans="1:13" hidden="1" x14ac:dyDescent="0.15">
      <c r="A403" t="s">
        <v>1344</v>
      </c>
      <c r="B403" t="s">
        <v>1345</v>
      </c>
      <c r="C403" t="s">
        <v>1346</v>
      </c>
      <c r="D403" t="s">
        <v>1328</v>
      </c>
      <c r="E403">
        <v>0</v>
      </c>
      <c r="F403" t="str">
        <f>HYPERLINK("https://github.com/niteshmourya/app-inventor-for-android/issues/1752", "show")</f>
        <v>show</v>
      </c>
      <c r="G403" t="str">
        <f t="shared" si="0"/>
        <v>show</v>
      </c>
      <c r="H403" t="str">
        <f t="shared" si="1"/>
        <v>show</v>
      </c>
      <c r="I403">
        <v>1</v>
      </c>
      <c r="J403">
        <v>0</v>
      </c>
      <c r="K403">
        <v>0</v>
      </c>
      <c r="L403">
        <v>0</v>
      </c>
      <c r="M403" t="s">
        <v>17</v>
      </c>
    </row>
    <row r="404" spans="1:13" hidden="1" x14ac:dyDescent="0.15">
      <c r="A404" t="s">
        <v>1347</v>
      </c>
      <c r="B404" t="s">
        <v>1348</v>
      </c>
      <c r="C404" t="s">
        <v>1349</v>
      </c>
      <c r="D404" t="s">
        <v>1328</v>
      </c>
      <c r="E404">
        <v>0</v>
      </c>
      <c r="F404" t="str">
        <f>HYPERLINK("https://github.com/niteshmourya/app-inventor-for-android/issues/1699", "show")</f>
        <v>show</v>
      </c>
      <c r="G404" t="str">
        <f t="shared" si="0"/>
        <v>show</v>
      </c>
      <c r="H404" t="str">
        <f t="shared" si="1"/>
        <v>show</v>
      </c>
      <c r="I404">
        <v>1</v>
      </c>
      <c r="J404">
        <v>1</v>
      </c>
      <c r="K404">
        <v>0</v>
      </c>
      <c r="L404">
        <v>0</v>
      </c>
      <c r="M404" t="s">
        <v>48</v>
      </c>
    </row>
    <row r="405" spans="1:13" hidden="1" x14ac:dyDescent="0.15">
      <c r="A405" t="s">
        <v>1350</v>
      </c>
      <c r="B405" t="s">
        <v>1351</v>
      </c>
      <c r="C405" t="s">
        <v>1352</v>
      </c>
      <c r="D405" t="s">
        <v>1328</v>
      </c>
      <c r="E405">
        <v>0</v>
      </c>
      <c r="F405" t="str">
        <f>HYPERLINK("https://github.com/niteshmourya/app-inventor-for-android/issues/1630", "show")</f>
        <v>show</v>
      </c>
      <c r="G405" t="str">
        <f t="shared" si="0"/>
        <v>show</v>
      </c>
      <c r="H405" t="str">
        <f t="shared" si="1"/>
        <v>show</v>
      </c>
      <c r="I405">
        <v>1</v>
      </c>
      <c r="J405">
        <v>0</v>
      </c>
      <c r="K405">
        <v>0</v>
      </c>
      <c r="L405">
        <v>0</v>
      </c>
      <c r="M405" t="s">
        <v>17</v>
      </c>
    </row>
    <row r="406" spans="1:13" hidden="1" x14ac:dyDescent="0.15">
      <c r="A406" t="s">
        <v>1353</v>
      </c>
      <c r="B406" t="s">
        <v>1354</v>
      </c>
      <c r="C406" t="s">
        <v>1355</v>
      </c>
      <c r="D406" t="s">
        <v>1328</v>
      </c>
      <c r="E406">
        <v>0</v>
      </c>
      <c r="F406" t="str">
        <f>HYPERLINK("https://github.com/niteshmourya/app-inventor-for-android/issues/1515", "show")</f>
        <v>show</v>
      </c>
      <c r="G406" t="str">
        <f t="shared" si="0"/>
        <v>show</v>
      </c>
      <c r="H406" t="str">
        <f t="shared" si="1"/>
        <v>show</v>
      </c>
      <c r="I406">
        <v>1</v>
      </c>
      <c r="J406">
        <v>0</v>
      </c>
      <c r="K406">
        <v>0</v>
      </c>
      <c r="L406">
        <v>0</v>
      </c>
      <c r="M406" t="s">
        <v>17</v>
      </c>
    </row>
    <row r="407" spans="1:13" hidden="1" x14ac:dyDescent="0.15">
      <c r="A407" t="s">
        <v>1356</v>
      </c>
      <c r="B407" t="s">
        <v>1357</v>
      </c>
      <c r="C407" t="s">
        <v>1358</v>
      </c>
      <c r="D407" t="s">
        <v>1328</v>
      </c>
      <c r="E407">
        <v>0</v>
      </c>
      <c r="F407" t="str">
        <f>HYPERLINK("https://github.com/niteshmourya/app-inventor-for-android/issues/1462", "show")</f>
        <v>show</v>
      </c>
      <c r="G407" t="str">
        <f t="shared" si="0"/>
        <v>show</v>
      </c>
      <c r="H407" t="str">
        <f t="shared" si="1"/>
        <v>show</v>
      </c>
      <c r="I407">
        <v>1</v>
      </c>
      <c r="J407">
        <v>0</v>
      </c>
      <c r="K407">
        <v>0</v>
      </c>
      <c r="L407">
        <v>0</v>
      </c>
      <c r="M407" t="s">
        <v>17</v>
      </c>
    </row>
    <row r="408" spans="1:13" hidden="1" x14ac:dyDescent="0.15">
      <c r="A408" t="s">
        <v>1359</v>
      </c>
      <c r="B408" t="s">
        <v>1360</v>
      </c>
      <c r="C408" t="s">
        <v>1361</v>
      </c>
      <c r="D408" t="s">
        <v>1328</v>
      </c>
      <c r="E408">
        <v>0</v>
      </c>
      <c r="F408" t="str">
        <f>HYPERLINK("https://github.com/niteshmourya/app-inventor-for-android/issues/1172", "show")</f>
        <v>show</v>
      </c>
      <c r="G408" t="str">
        <f t="shared" si="0"/>
        <v>show</v>
      </c>
      <c r="H408" t="str">
        <f t="shared" si="1"/>
        <v>show</v>
      </c>
      <c r="I408">
        <v>1</v>
      </c>
      <c r="J408">
        <v>0</v>
      </c>
      <c r="K408">
        <v>0</v>
      </c>
      <c r="L408">
        <v>0</v>
      </c>
      <c r="M408" t="s">
        <v>17</v>
      </c>
    </row>
    <row r="409" spans="1:13" hidden="1" x14ac:dyDescent="0.15">
      <c r="A409" t="s">
        <v>1362</v>
      </c>
      <c r="B409" t="s">
        <v>1363</v>
      </c>
      <c r="C409" t="s">
        <v>1364</v>
      </c>
      <c r="D409" t="s">
        <v>1328</v>
      </c>
      <c r="E409">
        <v>0</v>
      </c>
      <c r="F409" t="str">
        <f>HYPERLINK("https://github.com/niteshmourya/app-inventor-for-android/issues/1124", "show")</f>
        <v>show</v>
      </c>
      <c r="G409" t="str">
        <f t="shared" si="0"/>
        <v>show</v>
      </c>
      <c r="H409" t="str">
        <f t="shared" si="1"/>
        <v>show</v>
      </c>
      <c r="I409">
        <v>0</v>
      </c>
      <c r="J409">
        <v>0</v>
      </c>
      <c r="K409">
        <v>0</v>
      </c>
      <c r="L409">
        <v>0</v>
      </c>
      <c r="M409" t="s">
        <v>43</v>
      </c>
    </row>
    <row r="410" spans="1:13" hidden="1" x14ac:dyDescent="0.15">
      <c r="A410" t="s">
        <v>1365</v>
      </c>
      <c r="B410" t="s">
        <v>1366</v>
      </c>
      <c r="C410" t="s">
        <v>1367</v>
      </c>
      <c r="D410" t="s">
        <v>1328</v>
      </c>
      <c r="E410">
        <v>0</v>
      </c>
      <c r="F410" t="str">
        <f>HYPERLINK("https://github.com/niteshmourya/app-inventor-for-android/issues/1014", "show")</f>
        <v>show</v>
      </c>
      <c r="G410" t="str">
        <f t="shared" si="0"/>
        <v>show</v>
      </c>
      <c r="H410" t="str">
        <f t="shared" si="1"/>
        <v>show</v>
      </c>
      <c r="I410">
        <v>1</v>
      </c>
      <c r="J410">
        <v>0</v>
      </c>
      <c r="K410">
        <v>0</v>
      </c>
      <c r="L410">
        <v>0</v>
      </c>
      <c r="M410" t="s">
        <v>17</v>
      </c>
    </row>
    <row r="411" spans="1:13" hidden="1" x14ac:dyDescent="0.15">
      <c r="A411" t="s">
        <v>1368</v>
      </c>
      <c r="B411" t="s">
        <v>1369</v>
      </c>
      <c r="C411" t="s">
        <v>1370</v>
      </c>
      <c r="D411" t="s">
        <v>1328</v>
      </c>
      <c r="E411">
        <v>0</v>
      </c>
      <c r="F411" t="str">
        <f>HYPERLINK("https://github.com/niteshmourya/app-inventor-for-android/issues/997", "show")</f>
        <v>show</v>
      </c>
      <c r="G411" t="str">
        <f t="shared" si="0"/>
        <v>show</v>
      </c>
      <c r="H411" t="str">
        <f t="shared" si="1"/>
        <v>show</v>
      </c>
      <c r="I411">
        <v>1</v>
      </c>
      <c r="J411">
        <v>0</v>
      </c>
      <c r="K411">
        <v>0</v>
      </c>
      <c r="L411">
        <v>0</v>
      </c>
      <c r="M411" t="s">
        <v>17</v>
      </c>
    </row>
    <row r="412" spans="1:13" hidden="1" x14ac:dyDescent="0.15">
      <c r="A412" t="s">
        <v>1371</v>
      </c>
      <c r="B412" t="s">
        <v>1372</v>
      </c>
      <c r="C412" t="s">
        <v>1373</v>
      </c>
      <c r="D412" t="s">
        <v>1328</v>
      </c>
      <c r="E412">
        <v>0</v>
      </c>
      <c r="F412" t="str">
        <f>HYPERLINK("https://github.com/niteshmourya/app-inventor-for-android/issues/992", "show")</f>
        <v>show</v>
      </c>
      <c r="G412" t="str">
        <f t="shared" si="0"/>
        <v>show</v>
      </c>
      <c r="H412" t="str">
        <f t="shared" si="1"/>
        <v>show</v>
      </c>
      <c r="I412">
        <v>1</v>
      </c>
      <c r="J412">
        <v>1</v>
      </c>
      <c r="K412">
        <v>0</v>
      </c>
      <c r="L412">
        <v>0</v>
      </c>
      <c r="M412" t="s">
        <v>48</v>
      </c>
    </row>
    <row r="413" spans="1:13" hidden="1" x14ac:dyDescent="0.15">
      <c r="A413" t="s">
        <v>1374</v>
      </c>
      <c r="B413" t="s">
        <v>1375</v>
      </c>
      <c r="C413" t="s">
        <v>1376</v>
      </c>
      <c r="D413" t="s">
        <v>1328</v>
      </c>
      <c r="E413">
        <v>0</v>
      </c>
      <c r="F413" t="str">
        <f>HYPERLINK("https://github.com/niteshmourya/app-inventor-for-android/issues/961", "show")</f>
        <v>show</v>
      </c>
      <c r="G413" t="str">
        <f t="shared" si="0"/>
        <v>show</v>
      </c>
      <c r="H413" t="str">
        <f t="shared" si="1"/>
        <v>show</v>
      </c>
      <c r="I413">
        <v>1</v>
      </c>
      <c r="J413">
        <v>0</v>
      </c>
      <c r="K413">
        <v>0</v>
      </c>
      <c r="L413">
        <v>0</v>
      </c>
      <c r="M413" t="s">
        <v>17</v>
      </c>
    </row>
    <row r="414" spans="1:13" hidden="1" x14ac:dyDescent="0.15">
      <c r="A414" t="s">
        <v>1377</v>
      </c>
      <c r="B414" t="s">
        <v>1378</v>
      </c>
      <c r="C414" t="s">
        <v>1379</v>
      </c>
      <c r="D414" t="s">
        <v>1328</v>
      </c>
      <c r="E414">
        <v>0</v>
      </c>
      <c r="F414" t="str">
        <f>HYPERLINK("https://github.com/niteshmourya/app-inventor-for-android/issues/955", "show")</f>
        <v>show</v>
      </c>
      <c r="G414" t="str">
        <f t="shared" si="0"/>
        <v>show</v>
      </c>
      <c r="H414" t="str">
        <f t="shared" si="1"/>
        <v>show</v>
      </c>
      <c r="I414">
        <v>1</v>
      </c>
      <c r="J414">
        <v>1</v>
      </c>
      <c r="K414">
        <v>0</v>
      </c>
      <c r="L414">
        <v>0</v>
      </c>
      <c r="M414" t="s">
        <v>48</v>
      </c>
    </row>
    <row r="415" spans="1:13" hidden="1" x14ac:dyDescent="0.15">
      <c r="A415" t="s">
        <v>1380</v>
      </c>
      <c r="B415" t="s">
        <v>1381</v>
      </c>
      <c r="C415" t="s">
        <v>1382</v>
      </c>
      <c r="D415" t="s">
        <v>1328</v>
      </c>
      <c r="E415">
        <v>0</v>
      </c>
      <c r="F415" t="str">
        <f>HYPERLINK("https://github.com/niteshmourya/app-inventor-for-android/issues/887", "show")</f>
        <v>show</v>
      </c>
      <c r="G415" t="str">
        <f t="shared" si="0"/>
        <v>show</v>
      </c>
      <c r="H415" t="str">
        <f t="shared" si="1"/>
        <v>show</v>
      </c>
      <c r="I415">
        <v>1</v>
      </c>
      <c r="J415">
        <v>0</v>
      </c>
      <c r="K415">
        <v>0</v>
      </c>
      <c r="L415">
        <v>0</v>
      </c>
      <c r="M415" t="s">
        <v>17</v>
      </c>
    </row>
    <row r="416" spans="1:13" x14ac:dyDescent="0.15">
      <c r="A416" t="s">
        <v>1383</v>
      </c>
      <c r="B416" t="s">
        <v>1384</v>
      </c>
      <c r="C416" t="s">
        <v>1385</v>
      </c>
      <c r="D416" t="s">
        <v>1386</v>
      </c>
      <c r="E416">
        <v>1755</v>
      </c>
      <c r="F416" t="str">
        <f>HYPERLINK("https://github.com/akexorcist/RoundCornerProgressBar/issues/19", "show")</f>
        <v>show</v>
      </c>
      <c r="G416" t="str">
        <f>HYPERLINK("https://github.com/akexorcist/RoundCornerProgressBar", "show")</f>
        <v>show</v>
      </c>
      <c r="H416" t="str">
        <f>HYPERLINK("https://github.com/akexorcist/RoundCornerProgressBar/releases", "show")</f>
        <v>show</v>
      </c>
      <c r="I416">
        <v>0</v>
      </c>
      <c r="J416">
        <v>1</v>
      </c>
      <c r="K416">
        <v>0</v>
      </c>
      <c r="L416">
        <v>0</v>
      </c>
      <c r="M416" t="s">
        <v>139</v>
      </c>
    </row>
    <row r="417" spans="1:13" hidden="1" x14ac:dyDescent="0.15">
      <c r="A417" t="s">
        <v>1387</v>
      </c>
      <c r="B417" t="s">
        <v>1388</v>
      </c>
      <c r="C417" t="s">
        <v>1389</v>
      </c>
      <c r="D417" t="s">
        <v>1390</v>
      </c>
      <c r="E417">
        <v>11</v>
      </c>
      <c r="F417" t="str">
        <f>HYPERLINK("https://github.com/rfblue2/wolfpak_android_camera/issues/1", "show")</f>
        <v>show</v>
      </c>
      <c r="G417" t="str">
        <f>HYPERLINK("https://github.com/rfblue2/wolfpak_android_camera", "show")</f>
        <v>show</v>
      </c>
      <c r="H417" t="str">
        <f>HYPERLINK("https://github.com/rfblue2/wolfpak_android_camera/releases", "show")</f>
        <v>show</v>
      </c>
      <c r="I417">
        <v>1</v>
      </c>
      <c r="J417">
        <v>0</v>
      </c>
      <c r="K417">
        <v>0</v>
      </c>
      <c r="L417">
        <v>0</v>
      </c>
      <c r="M417" t="s">
        <v>17</v>
      </c>
    </row>
    <row r="418" spans="1:13" hidden="1" x14ac:dyDescent="0.15">
      <c r="A418" t="s">
        <v>1391</v>
      </c>
      <c r="B418" t="s">
        <v>1392</v>
      </c>
      <c r="D418" t="s">
        <v>1390</v>
      </c>
      <c r="E418">
        <v>289</v>
      </c>
      <c r="F418" t="str">
        <f>HYPERLINK("https://github.com/andreistirb/MountainTracker/issues/2", "show")</f>
        <v>show</v>
      </c>
      <c r="G418" t="str">
        <f>HYPERLINK("https://github.com/andreistirb/MountainTracker", "show")</f>
        <v>show</v>
      </c>
      <c r="H418" t="str">
        <f>HYPERLINK("https://github.com/andreistirb/MountainTracker/releases", "show")</f>
        <v>show</v>
      </c>
      <c r="I418">
        <v>1</v>
      </c>
      <c r="J418">
        <v>0</v>
      </c>
      <c r="K418">
        <v>0</v>
      </c>
      <c r="L418">
        <v>0</v>
      </c>
      <c r="M418" t="s">
        <v>17</v>
      </c>
    </row>
    <row r="419" spans="1:13" hidden="1" x14ac:dyDescent="0.15">
      <c r="A419" t="s">
        <v>1393</v>
      </c>
      <c r="B419" t="s">
        <v>1394</v>
      </c>
      <c r="C419" t="s">
        <v>1395</v>
      </c>
      <c r="D419" t="s">
        <v>1390</v>
      </c>
      <c r="E419">
        <v>160</v>
      </c>
      <c r="F419" t="str">
        <f>HYPERLINK("https://github.com/SufficientlySecure/document-viewer/issues/114", "show")</f>
        <v>show</v>
      </c>
      <c r="G419" t="str">
        <f>HYPERLINK("https://github.com/SufficientlySecure/document-viewer", "show")</f>
        <v>show</v>
      </c>
      <c r="H419" t="str">
        <f>HYPERLINK("https://github.com/SufficientlySecure/document-viewer/releases", "show")</f>
        <v>show</v>
      </c>
      <c r="I419">
        <v>1</v>
      </c>
      <c r="J419">
        <v>0</v>
      </c>
      <c r="K419">
        <v>0</v>
      </c>
      <c r="L419">
        <v>0</v>
      </c>
      <c r="M419" t="s">
        <v>17</v>
      </c>
    </row>
    <row r="420" spans="1:13" x14ac:dyDescent="0.15">
      <c r="A420" t="s">
        <v>1396</v>
      </c>
      <c r="B420" t="s">
        <v>1397</v>
      </c>
      <c r="C420" t="s">
        <v>1398</v>
      </c>
      <c r="D420" t="s">
        <v>1399</v>
      </c>
      <c r="E420">
        <v>0</v>
      </c>
      <c r="F420" t="str">
        <f>HYPERLINK("https://github.com/dimagi/commcare-android/issues/366", "show")</f>
        <v>show</v>
      </c>
      <c r="G420" t="str">
        <f>HYPERLINK("https://github.com/dimagi/commcare-android", "show")</f>
        <v>show</v>
      </c>
      <c r="H420" t="str">
        <f>HYPERLINK("https://github.com/dimagi/commcare-android/releases", "show")</f>
        <v>show</v>
      </c>
      <c r="I420">
        <v>0</v>
      </c>
      <c r="J420">
        <v>1</v>
      </c>
      <c r="K420">
        <v>0</v>
      </c>
      <c r="L420">
        <v>0</v>
      </c>
      <c r="M420" t="s">
        <v>139</v>
      </c>
    </row>
    <row r="421" spans="1:13" x14ac:dyDescent="0.15">
      <c r="A421" t="s">
        <v>1400</v>
      </c>
      <c r="B421" t="s">
        <v>1401</v>
      </c>
      <c r="C421" t="s">
        <v>1402</v>
      </c>
      <c r="D421" t="s">
        <v>1399</v>
      </c>
      <c r="E421">
        <v>0</v>
      </c>
      <c r="F421" t="str">
        <f>HYPERLINK("https://github.com/dimagi/commcare-android/issues/364", "show")</f>
        <v>show</v>
      </c>
      <c r="G421" t="str">
        <f>HYPERLINK("https://github.com/dimagi/commcare-android", "show")</f>
        <v>show</v>
      </c>
      <c r="H421" t="str">
        <f>HYPERLINK("https://github.com/dimagi/commcare-android/releases", "show")</f>
        <v>show</v>
      </c>
      <c r="I421">
        <v>0</v>
      </c>
      <c r="J421">
        <v>1</v>
      </c>
      <c r="K421">
        <v>0</v>
      </c>
      <c r="L421">
        <v>0</v>
      </c>
      <c r="M421" t="s">
        <v>139</v>
      </c>
    </row>
    <row r="422" spans="1:13" x14ac:dyDescent="0.15">
      <c r="A422" t="s">
        <v>1403</v>
      </c>
      <c r="B422" t="s">
        <v>1404</v>
      </c>
      <c r="C422" t="s">
        <v>1402</v>
      </c>
      <c r="D422" t="s">
        <v>1399</v>
      </c>
      <c r="E422">
        <v>0</v>
      </c>
      <c r="F422" t="str">
        <f>HYPERLINK("https://github.com/dimagi/commcare-android/issues/362", "show")</f>
        <v>show</v>
      </c>
      <c r="G422" t="str">
        <f>HYPERLINK("https://github.com/dimagi/commcare-android", "show")</f>
        <v>show</v>
      </c>
      <c r="H422" t="str">
        <f>HYPERLINK("https://github.com/dimagi/commcare-android/releases", "show")</f>
        <v>show</v>
      </c>
      <c r="I422">
        <v>0</v>
      </c>
      <c r="J422">
        <v>1</v>
      </c>
      <c r="K422">
        <v>0</v>
      </c>
      <c r="L422">
        <v>0</v>
      </c>
      <c r="M422" t="s">
        <v>139</v>
      </c>
    </row>
    <row r="423" spans="1:13" hidden="1" x14ac:dyDescent="0.15">
      <c r="A423" t="s">
        <v>1405</v>
      </c>
      <c r="B423" t="s">
        <v>1406</v>
      </c>
      <c r="C423" t="s">
        <v>1407</v>
      </c>
      <c r="D423" t="s">
        <v>1399</v>
      </c>
      <c r="E423">
        <v>0</v>
      </c>
      <c r="F423" t="str">
        <f>HYPERLINK("https://github.com/dimagi/commcare-android/issues/358", "show")</f>
        <v>show</v>
      </c>
      <c r="G423" t="str">
        <f>HYPERLINK("https://github.com/dimagi/commcare-android", "show")</f>
        <v>show</v>
      </c>
      <c r="H423" t="str">
        <f>HYPERLINK("https://github.com/dimagi/commcare-android/releases", "show")</f>
        <v>show</v>
      </c>
      <c r="I423">
        <v>1</v>
      </c>
      <c r="J423">
        <v>1</v>
      </c>
      <c r="K423">
        <v>0</v>
      </c>
      <c r="L423">
        <v>0</v>
      </c>
      <c r="M423" t="s">
        <v>48</v>
      </c>
    </row>
    <row r="424" spans="1:13" hidden="1" x14ac:dyDescent="0.15">
      <c r="A424" t="s">
        <v>1408</v>
      </c>
      <c r="B424" t="s">
        <v>1409</v>
      </c>
      <c r="C424" t="s">
        <v>1410</v>
      </c>
      <c r="D424" t="s">
        <v>1399</v>
      </c>
      <c r="E424">
        <v>0</v>
      </c>
      <c r="F424" t="str">
        <f>HYPERLINK("https://github.com/dimagi/commcare-android/issues/357", "show")</f>
        <v>show</v>
      </c>
      <c r="G424" t="str">
        <f>HYPERLINK("https://github.com/dimagi/commcare-android", "show")</f>
        <v>show</v>
      </c>
      <c r="H424" t="str">
        <f>HYPERLINK("https://github.com/dimagi/commcare-android/releases", "show")</f>
        <v>show</v>
      </c>
      <c r="I424">
        <v>1</v>
      </c>
      <c r="J424">
        <v>1</v>
      </c>
      <c r="K424">
        <v>0</v>
      </c>
      <c r="L424">
        <v>0</v>
      </c>
      <c r="M424" t="s">
        <v>48</v>
      </c>
    </row>
    <row r="425" spans="1:13" hidden="1" x14ac:dyDescent="0.15">
      <c r="A425" t="s">
        <v>1411</v>
      </c>
      <c r="B425" t="s">
        <v>1412</v>
      </c>
      <c r="C425" t="s">
        <v>1413</v>
      </c>
      <c r="D425" t="s">
        <v>1399</v>
      </c>
      <c r="E425">
        <v>311</v>
      </c>
      <c r="F425" t="str">
        <f>HYPERLINK("https://github.com/segmentio/analytics-android/issues/309", "show")</f>
        <v>show</v>
      </c>
      <c r="G425" t="str">
        <f>HYPERLINK("https://github.com/segmentio/analytics-android", "show")</f>
        <v>show</v>
      </c>
      <c r="H425" t="str">
        <f>HYPERLINK("https://github.com/segmentio/analytics-android/releases", "show")</f>
        <v>show</v>
      </c>
      <c r="I425">
        <v>0</v>
      </c>
      <c r="J425">
        <v>0</v>
      </c>
      <c r="K425">
        <v>1</v>
      </c>
      <c r="L425">
        <v>0</v>
      </c>
      <c r="M425" t="s">
        <v>122</v>
      </c>
    </row>
    <row r="426" spans="1:13" x14ac:dyDescent="0.15">
      <c r="A426" t="s">
        <v>1414</v>
      </c>
      <c r="B426" t="s">
        <v>1415</v>
      </c>
      <c r="C426" t="s">
        <v>1416</v>
      </c>
      <c r="D426" t="s">
        <v>1399</v>
      </c>
      <c r="E426">
        <v>0</v>
      </c>
      <c r="F426" t="str">
        <f>HYPERLINK("https://github.com/dimagi/commcare-android/issues/355", "show")</f>
        <v>show</v>
      </c>
      <c r="G426" t="str">
        <f>HYPERLINK("https://github.com/dimagi/commcare-android", "show")</f>
        <v>show</v>
      </c>
      <c r="H426" t="str">
        <f>HYPERLINK("https://github.com/dimagi/commcare-android/releases", "show")</f>
        <v>show</v>
      </c>
      <c r="I426">
        <v>0</v>
      </c>
      <c r="J426">
        <v>1</v>
      </c>
      <c r="K426">
        <v>0</v>
      </c>
      <c r="L426">
        <v>0</v>
      </c>
      <c r="M426" t="s">
        <v>139</v>
      </c>
    </row>
    <row r="427" spans="1:13" hidden="1" x14ac:dyDescent="0.15">
      <c r="A427" t="s">
        <v>1417</v>
      </c>
      <c r="B427" t="s">
        <v>1418</v>
      </c>
      <c r="D427" t="s">
        <v>1399</v>
      </c>
      <c r="E427">
        <v>32</v>
      </c>
      <c r="F427" t="str">
        <f>HYPERLINK("https://github.com/floating-cat/S1-Next/issues/23", "show")</f>
        <v>show</v>
      </c>
      <c r="G427" t="str">
        <f>HYPERLINK("https://github.com/floating-cat/S1-Next", "show")</f>
        <v>show</v>
      </c>
      <c r="H427" t="str">
        <f>HYPERLINK("https://github.com/floating-cat/S1-Next/releases", "show")</f>
        <v>show</v>
      </c>
      <c r="I427">
        <v>0</v>
      </c>
      <c r="J427">
        <v>0</v>
      </c>
      <c r="K427">
        <v>0</v>
      </c>
      <c r="L427">
        <v>0</v>
      </c>
      <c r="M427" t="s">
        <v>43</v>
      </c>
    </row>
    <row r="428" spans="1:13" hidden="1" x14ac:dyDescent="0.15">
      <c r="A428" t="s">
        <v>1419</v>
      </c>
      <c r="B428" t="s">
        <v>1420</v>
      </c>
      <c r="C428" t="s">
        <v>1421</v>
      </c>
      <c r="D428" t="s">
        <v>1399</v>
      </c>
      <c r="E428">
        <v>107</v>
      </c>
      <c r="F428" t="str">
        <f>HYPERLINK("https://github.com/QuickBlox/quickblox-android-sdk/issues/103", "show")</f>
        <v>show</v>
      </c>
      <c r="G428" t="str">
        <f>HYPERLINK("https://github.com/QuickBlox/quickblox-android-sdk", "show")</f>
        <v>show</v>
      </c>
      <c r="H428" t="str">
        <f>HYPERLINK("https://github.com/QuickBlox/quickblox-android-sdk/releases", "show")</f>
        <v>show</v>
      </c>
      <c r="I428">
        <v>0</v>
      </c>
      <c r="J428">
        <v>0</v>
      </c>
      <c r="K428">
        <v>1</v>
      </c>
      <c r="L428">
        <v>0</v>
      </c>
      <c r="M428" t="s">
        <v>122</v>
      </c>
    </row>
    <row r="429" spans="1:13" hidden="1" x14ac:dyDescent="0.15">
      <c r="A429" t="s">
        <v>1422</v>
      </c>
      <c r="B429" t="s">
        <v>1423</v>
      </c>
      <c r="C429" t="s">
        <v>1424</v>
      </c>
      <c r="D429" t="s">
        <v>1399</v>
      </c>
      <c r="E429">
        <v>100</v>
      </c>
      <c r="F429" t="str">
        <f>HYPERLINK("https://github.com/smarek/Simple-Dilbert/issues/22", "show")</f>
        <v>show</v>
      </c>
      <c r="G429" t="str">
        <f>HYPERLINK("https://github.com/smarek/Simple-Dilbert", "show")</f>
        <v>show</v>
      </c>
      <c r="H429" t="str">
        <f>HYPERLINK("https://github.com/smarek/Simple-Dilbert/releases", "show")</f>
        <v>show</v>
      </c>
      <c r="I429">
        <v>1</v>
      </c>
      <c r="J429">
        <v>0</v>
      </c>
      <c r="K429">
        <v>0</v>
      </c>
      <c r="L429">
        <v>0</v>
      </c>
      <c r="M429" t="s">
        <v>17</v>
      </c>
    </row>
    <row r="430" spans="1:13" hidden="1" x14ac:dyDescent="0.15">
      <c r="A430" t="s">
        <v>1425</v>
      </c>
      <c r="B430" t="s">
        <v>1426</v>
      </c>
      <c r="C430" t="s">
        <v>1427</v>
      </c>
      <c r="D430" t="s">
        <v>1428</v>
      </c>
      <c r="E430">
        <v>16</v>
      </c>
      <c r="F430" t="str">
        <f>HYPERLINK("https://github.com/yazeed44/MultiImagePicker/issues/12", "show")</f>
        <v>show</v>
      </c>
      <c r="G430" t="str">
        <f>HYPERLINK("https://github.com/yazeed44/MultiImagePicker", "show")</f>
        <v>show</v>
      </c>
      <c r="H430" t="str">
        <f>HYPERLINK("https://github.com/yazeed44/MultiImagePicker/releases", "show")</f>
        <v>show</v>
      </c>
      <c r="I430">
        <v>1</v>
      </c>
      <c r="J430">
        <v>0</v>
      </c>
      <c r="K430">
        <v>0</v>
      </c>
      <c r="L430">
        <v>0</v>
      </c>
      <c r="M430" t="s">
        <v>17</v>
      </c>
    </row>
    <row r="431" spans="1:13" hidden="1" x14ac:dyDescent="0.15">
      <c r="A431" t="s">
        <v>1429</v>
      </c>
      <c r="B431" t="s">
        <v>1430</v>
      </c>
      <c r="C431" t="s">
        <v>1431</v>
      </c>
      <c r="D431" t="s">
        <v>1432</v>
      </c>
      <c r="E431">
        <v>261</v>
      </c>
      <c r="F431" t="str">
        <f>HYPERLINK("https://github.com/pjuu/droidotter/issues/6", "show")</f>
        <v>show</v>
      </c>
      <c r="G431" t="str">
        <f>HYPERLINK("https://github.com/pjuu/droidotter", "show")</f>
        <v>show</v>
      </c>
      <c r="H431" t="str">
        <f>HYPERLINK("https://github.com/pjuu/droidotter/releases", "show")</f>
        <v>show</v>
      </c>
      <c r="I431">
        <v>1</v>
      </c>
      <c r="J431">
        <v>0</v>
      </c>
      <c r="K431">
        <v>0</v>
      </c>
      <c r="L431">
        <v>0</v>
      </c>
      <c r="M431" t="s">
        <v>17</v>
      </c>
    </row>
    <row r="432" spans="1:13" hidden="1" x14ac:dyDescent="0.15">
      <c r="A432" t="s">
        <v>1433</v>
      </c>
      <c r="B432" t="s">
        <v>1434</v>
      </c>
      <c r="C432" t="s">
        <v>1435</v>
      </c>
      <c r="D432" t="s">
        <v>1436</v>
      </c>
      <c r="E432">
        <v>1</v>
      </c>
      <c r="F432" t="str">
        <f>HYPERLINK("https://github.com/cgeo/cgeo/issues/5074", "show")</f>
        <v>show</v>
      </c>
      <c r="G432" t="str">
        <f>HYPERLINK("https://github.com/cgeo/cgeo", "show")</f>
        <v>show</v>
      </c>
      <c r="H432" t="str">
        <f>HYPERLINK("https://github.com/cgeo/cgeo/releases", "show")</f>
        <v>show</v>
      </c>
      <c r="I432">
        <v>1</v>
      </c>
      <c r="J432">
        <v>0</v>
      </c>
      <c r="K432">
        <v>0</v>
      </c>
      <c r="L432">
        <v>0</v>
      </c>
      <c r="M432" t="s">
        <v>17</v>
      </c>
    </row>
    <row r="433" spans="1:13" hidden="1" x14ac:dyDescent="0.15">
      <c r="A433" t="s">
        <v>1437</v>
      </c>
      <c r="B433" t="s">
        <v>1438</v>
      </c>
      <c r="C433" t="s">
        <v>1439</v>
      </c>
      <c r="D433" t="s">
        <v>1440</v>
      </c>
      <c r="E433">
        <v>0</v>
      </c>
      <c r="F433" t="str">
        <f>HYPERLINK("https://github.com/dimagi/commcare-android/issues/390", "show")</f>
        <v>show</v>
      </c>
      <c r="G433" t="str">
        <f>HYPERLINK("https://github.com/dimagi/commcare-android", "show")</f>
        <v>show</v>
      </c>
      <c r="H433" t="str">
        <f>HYPERLINK("https://github.com/dimagi/commcare-android/releases", "show")</f>
        <v>show</v>
      </c>
      <c r="I433">
        <v>1</v>
      </c>
      <c r="J433">
        <v>1</v>
      </c>
      <c r="K433">
        <v>1</v>
      </c>
      <c r="L433">
        <v>0</v>
      </c>
      <c r="M433" t="s">
        <v>59</v>
      </c>
    </row>
    <row r="434" spans="1:13" hidden="1" x14ac:dyDescent="0.15">
      <c r="A434" t="s">
        <v>1441</v>
      </c>
      <c r="B434" t="s">
        <v>1442</v>
      </c>
      <c r="C434" t="s">
        <v>1443</v>
      </c>
      <c r="D434" t="s">
        <v>1440</v>
      </c>
      <c r="E434">
        <v>0</v>
      </c>
      <c r="F434" t="str">
        <f>HYPERLINK("https://github.com/SMSTicket/sms-ticket/issues/18", "show")</f>
        <v>show</v>
      </c>
      <c r="G434" t="str">
        <f>HYPERLINK("https://github.com/SMSTicket/sms-ticket", "show")</f>
        <v>show</v>
      </c>
      <c r="H434" t="str">
        <f>HYPERLINK("https://github.com/SMSTicket/sms-ticket/releases", "show")</f>
        <v>show</v>
      </c>
      <c r="I434">
        <v>1</v>
      </c>
      <c r="J434">
        <v>0</v>
      </c>
      <c r="K434">
        <v>0</v>
      </c>
      <c r="L434">
        <v>0</v>
      </c>
      <c r="M434" t="s">
        <v>17</v>
      </c>
    </row>
    <row r="435" spans="1:13" hidden="1" x14ac:dyDescent="0.15">
      <c r="A435" t="s">
        <v>1444</v>
      </c>
      <c r="B435" t="s">
        <v>1445</v>
      </c>
      <c r="C435" t="s">
        <v>1446</v>
      </c>
      <c r="D435" t="s">
        <v>1447</v>
      </c>
      <c r="E435">
        <v>348</v>
      </c>
      <c r="F435" t="str">
        <f>HYPERLINK("https://github.com/vickychijwani/quill/issues/87", "show")</f>
        <v>show</v>
      </c>
      <c r="G435" t="str">
        <f>HYPERLINK("https://github.com/vickychijwani/quill", "show")</f>
        <v>show</v>
      </c>
      <c r="H435" t="str">
        <f>HYPERLINK("https://github.com/vickychijwani/quill/releases", "show")</f>
        <v>show</v>
      </c>
      <c r="I435">
        <v>1</v>
      </c>
      <c r="J435">
        <v>1</v>
      </c>
      <c r="K435">
        <v>0</v>
      </c>
      <c r="L435">
        <v>0</v>
      </c>
      <c r="M435" t="s">
        <v>48</v>
      </c>
    </row>
    <row r="436" spans="1:13" hidden="1" x14ac:dyDescent="0.15">
      <c r="A436" t="s">
        <v>1448</v>
      </c>
      <c r="B436" t="s">
        <v>1449</v>
      </c>
      <c r="C436" t="s">
        <v>1450</v>
      </c>
      <c r="D436" t="s">
        <v>1447</v>
      </c>
      <c r="E436">
        <v>133</v>
      </c>
      <c r="F436" t="str">
        <f>HYPERLINK("https://github.com/mapsforge/mapsforge/issues/645", "show")</f>
        <v>show</v>
      </c>
      <c r="G436" t="str">
        <f>HYPERLINK("https://github.com/mapsforge/mapsforge", "show")</f>
        <v>show</v>
      </c>
      <c r="H436" t="str">
        <f>HYPERLINK("https://github.com/mapsforge/mapsforge/releases", "show")</f>
        <v>show</v>
      </c>
      <c r="I436">
        <v>0</v>
      </c>
      <c r="J436">
        <v>0</v>
      </c>
      <c r="K436">
        <v>0</v>
      </c>
      <c r="L436">
        <v>0</v>
      </c>
      <c r="M436" t="s">
        <v>43</v>
      </c>
    </row>
    <row r="437" spans="1:13" hidden="1" x14ac:dyDescent="0.15">
      <c r="A437" t="s">
        <v>1451</v>
      </c>
      <c r="B437" t="s">
        <v>1452</v>
      </c>
      <c r="C437" t="s">
        <v>1453</v>
      </c>
      <c r="D437" t="s">
        <v>1447</v>
      </c>
      <c r="E437">
        <v>0</v>
      </c>
      <c r="F437" t="str">
        <f>HYPERLINK("https://github.com/facebook/stetho/issues/215", "show")</f>
        <v>show</v>
      </c>
      <c r="G437" t="str">
        <f>HYPERLINK("https://github.com/facebook/stetho", "show")</f>
        <v>show</v>
      </c>
      <c r="H437" t="str">
        <f>HYPERLINK("https://github.com/facebook/stetho/releases", "show")</f>
        <v>show</v>
      </c>
      <c r="I437">
        <v>1</v>
      </c>
      <c r="J437">
        <v>0</v>
      </c>
      <c r="K437">
        <v>1</v>
      </c>
      <c r="L437">
        <v>0</v>
      </c>
      <c r="M437" t="s">
        <v>64</v>
      </c>
    </row>
    <row r="438" spans="1:13" hidden="1" x14ac:dyDescent="0.15">
      <c r="A438" t="s">
        <v>1454</v>
      </c>
      <c r="B438" t="s">
        <v>1455</v>
      </c>
      <c r="C438" t="s">
        <v>1456</v>
      </c>
      <c r="D438" t="s">
        <v>1447</v>
      </c>
      <c r="E438">
        <v>2</v>
      </c>
      <c r="F438" t="str">
        <f>HYPERLINK("https://github.com/forcedotcom/SalesforceMobileSDK-Android/issues/917", "show")</f>
        <v>show</v>
      </c>
      <c r="G438" t="str">
        <f>HYPERLINK("https://github.com/forcedotcom/SalesforceMobileSDK-Android", "show")</f>
        <v>show</v>
      </c>
      <c r="H438" t="str">
        <f>HYPERLINK("https://github.com/forcedotcom/SalesforceMobileSDK-Android/releases", "show")</f>
        <v>show</v>
      </c>
      <c r="I438">
        <v>1</v>
      </c>
      <c r="J438">
        <v>0</v>
      </c>
      <c r="K438">
        <v>0</v>
      </c>
      <c r="L438">
        <v>0</v>
      </c>
      <c r="M438" t="s">
        <v>17</v>
      </c>
    </row>
    <row r="439" spans="1:13" hidden="1" x14ac:dyDescent="0.15">
      <c r="A439" t="s">
        <v>1457</v>
      </c>
      <c r="B439" t="s">
        <v>1458</v>
      </c>
      <c r="C439" t="s">
        <v>1459</v>
      </c>
      <c r="D439" t="s">
        <v>1447</v>
      </c>
      <c r="E439">
        <v>5</v>
      </c>
      <c r="F439" t="str">
        <f>HYPERLINK("https://github.com/unfoldingWord-dev/translationKeyboard/issues/24", "show")</f>
        <v>show</v>
      </c>
      <c r="G439" t="str">
        <f>HYPERLINK("https://github.com/unfoldingWord-dev/translationKeyboard", "show")</f>
        <v>show</v>
      </c>
      <c r="H439" t="str">
        <f>HYPERLINK("https://github.com/unfoldingWord-dev/translationKeyboard/releases", "show")</f>
        <v>show</v>
      </c>
      <c r="I439">
        <v>0</v>
      </c>
      <c r="J439">
        <v>0</v>
      </c>
      <c r="K439">
        <v>0</v>
      </c>
      <c r="L439">
        <v>0</v>
      </c>
      <c r="M439" t="s">
        <v>43</v>
      </c>
    </row>
    <row r="440" spans="1:13" hidden="1" x14ac:dyDescent="0.15">
      <c r="A440" t="s">
        <v>1460</v>
      </c>
      <c r="B440" t="s">
        <v>1461</v>
      </c>
      <c r="C440" t="s">
        <v>1462</v>
      </c>
      <c r="D440" t="s">
        <v>1463</v>
      </c>
      <c r="E440">
        <v>1</v>
      </c>
      <c r="F440" t="str">
        <f>HYPERLINK("https://github.com/Fermat-ORG/fermat-framework/issues/532", "show")</f>
        <v>show</v>
      </c>
      <c r="G440" t="str">
        <f>HYPERLINK("https://github.com/Fermat-ORG/fermat-framework", "show")</f>
        <v>show</v>
      </c>
      <c r="H440" t="str">
        <f>HYPERLINK("https://github.com/Fermat-ORG/fermat-framework/releases", "show")</f>
        <v>show</v>
      </c>
      <c r="I440">
        <v>0</v>
      </c>
      <c r="J440">
        <v>0</v>
      </c>
      <c r="K440">
        <v>1</v>
      </c>
      <c r="L440">
        <v>0</v>
      </c>
      <c r="M440" t="s">
        <v>122</v>
      </c>
    </row>
    <row r="441" spans="1:13" hidden="1" x14ac:dyDescent="0.15">
      <c r="A441" t="s">
        <v>1464</v>
      </c>
      <c r="B441" t="s">
        <v>1465</v>
      </c>
      <c r="C441" t="s">
        <v>1466</v>
      </c>
      <c r="D441" t="s">
        <v>1463</v>
      </c>
      <c r="E441">
        <v>1</v>
      </c>
      <c r="F441" t="str">
        <f>HYPERLINK("https://github.com/Fermat-ORG/fermat-framework/issues/528", "show")</f>
        <v>show</v>
      </c>
      <c r="G441" t="str">
        <f>HYPERLINK("https://github.com/Fermat-ORG/fermat-framework", "show")</f>
        <v>show</v>
      </c>
      <c r="H441" t="str">
        <f>HYPERLINK("https://github.com/Fermat-ORG/fermat-framework/releases", "show")</f>
        <v>show</v>
      </c>
      <c r="I441">
        <v>0</v>
      </c>
      <c r="J441">
        <v>0</v>
      </c>
      <c r="K441">
        <v>1</v>
      </c>
      <c r="L441">
        <v>0</v>
      </c>
      <c r="M441" t="s">
        <v>122</v>
      </c>
    </row>
    <row r="442" spans="1:13" hidden="1" x14ac:dyDescent="0.15">
      <c r="A442" t="s">
        <v>1467</v>
      </c>
      <c r="B442" t="s">
        <v>1468</v>
      </c>
      <c r="C442" t="s">
        <v>1469</v>
      </c>
      <c r="D442" t="s">
        <v>1470</v>
      </c>
      <c r="E442">
        <v>0</v>
      </c>
      <c r="F442" t="str">
        <f>HYPERLINK("https://github.com/auth0/Lock.Android/issues/106", "show")</f>
        <v>show</v>
      </c>
      <c r="G442" t="str">
        <f>HYPERLINK("https://github.com/auth0/Lock.Android", "show")</f>
        <v>show</v>
      </c>
      <c r="H442" t="str">
        <f>HYPERLINK("https://github.com/auth0/Lock.Android/releases", "show")</f>
        <v>show</v>
      </c>
      <c r="I442">
        <v>1</v>
      </c>
      <c r="J442">
        <v>0</v>
      </c>
      <c r="K442">
        <v>0</v>
      </c>
      <c r="L442">
        <v>0</v>
      </c>
      <c r="M442" t="s">
        <v>17</v>
      </c>
    </row>
    <row r="443" spans="1:13" hidden="1" x14ac:dyDescent="0.15">
      <c r="A443" t="s">
        <v>1471</v>
      </c>
      <c r="B443" t="s">
        <v>1472</v>
      </c>
      <c r="C443" t="s">
        <v>1473</v>
      </c>
      <c r="D443" t="s">
        <v>1470</v>
      </c>
      <c r="E443">
        <v>6</v>
      </c>
      <c r="F443" t="str">
        <f>HYPERLINK("https://github.com/ConnectSDK/Connect-SDK-Android/issues/274", "show")</f>
        <v>show</v>
      </c>
      <c r="G443" t="str">
        <f>HYPERLINK("https://github.com/ConnectSDK/Connect-SDK-Android", "show")</f>
        <v>show</v>
      </c>
      <c r="H443" t="str">
        <f>HYPERLINK("https://github.com/ConnectSDK/Connect-SDK-Android/releases", "show")</f>
        <v>show</v>
      </c>
      <c r="I443">
        <v>0</v>
      </c>
      <c r="J443">
        <v>0</v>
      </c>
      <c r="K443">
        <v>1</v>
      </c>
      <c r="L443">
        <v>0</v>
      </c>
      <c r="M443" t="s">
        <v>122</v>
      </c>
    </row>
    <row r="444" spans="1:13" hidden="1" x14ac:dyDescent="0.15">
      <c r="A444" t="s">
        <v>1474</v>
      </c>
      <c r="B444" t="s">
        <v>1475</v>
      </c>
      <c r="C444" t="s">
        <v>1476</v>
      </c>
      <c r="D444" t="s">
        <v>1477</v>
      </c>
      <c r="E444">
        <v>317</v>
      </c>
      <c r="F444" t="str">
        <f>HYPERLINK("https://github.com/marverenic/Jockey/issues/19", "show")</f>
        <v>show</v>
      </c>
      <c r="G444" t="str">
        <f>HYPERLINK("https://github.com/marverenic/Jockey", "show")</f>
        <v>show</v>
      </c>
      <c r="H444" t="str">
        <f>HYPERLINK("https://github.com/marverenic/Jockey/releases", "show")</f>
        <v>show</v>
      </c>
      <c r="I444">
        <v>1</v>
      </c>
      <c r="J444">
        <v>0</v>
      </c>
      <c r="K444">
        <v>0</v>
      </c>
      <c r="L444">
        <v>0</v>
      </c>
      <c r="M444" t="s">
        <v>17</v>
      </c>
    </row>
    <row r="445" spans="1:13" hidden="1" x14ac:dyDescent="0.15">
      <c r="A445" t="s">
        <v>1478</v>
      </c>
      <c r="B445" t="s">
        <v>1479</v>
      </c>
      <c r="C445" t="s">
        <v>1480</v>
      </c>
      <c r="D445" t="s">
        <v>1481</v>
      </c>
      <c r="E445">
        <v>1</v>
      </c>
      <c r="F445" t="str">
        <f>HYPERLINK("https://github.com/QuantumBadger/RedReader/issues/228", "show")</f>
        <v>show</v>
      </c>
      <c r="G445" t="str">
        <f>HYPERLINK("https://github.com/QuantumBadger/RedReader", "show")</f>
        <v>show</v>
      </c>
      <c r="H445" t="str">
        <f>HYPERLINK("https://github.com/QuantumBadger/RedReader/releases", "show")</f>
        <v>show</v>
      </c>
      <c r="I445">
        <v>1</v>
      </c>
      <c r="J445">
        <v>0</v>
      </c>
      <c r="K445">
        <v>0</v>
      </c>
      <c r="L445">
        <v>0</v>
      </c>
      <c r="M445" t="s">
        <v>17</v>
      </c>
    </row>
    <row r="446" spans="1:13" hidden="1" x14ac:dyDescent="0.15">
      <c r="A446" t="s">
        <v>1482</v>
      </c>
      <c r="B446" t="s">
        <v>1483</v>
      </c>
      <c r="C446" t="s">
        <v>1484</v>
      </c>
      <c r="D446" t="s">
        <v>1481</v>
      </c>
      <c r="E446">
        <v>37</v>
      </c>
      <c r="F446" t="str">
        <f>HYPERLINK("https://github.com/geftimov/android-pathview/issues/10", "show")</f>
        <v>show</v>
      </c>
      <c r="G446" t="str">
        <f>HYPERLINK("https://github.com/geftimov/android-pathview", "show")</f>
        <v>show</v>
      </c>
      <c r="H446" t="str">
        <f>HYPERLINK("https://github.com/geftimov/android-pathview/releases", "show")</f>
        <v>show</v>
      </c>
      <c r="I446">
        <v>0</v>
      </c>
      <c r="J446">
        <v>0</v>
      </c>
      <c r="K446">
        <v>1</v>
      </c>
      <c r="L446">
        <v>0</v>
      </c>
      <c r="M446" t="s">
        <v>122</v>
      </c>
    </row>
    <row r="447" spans="1:13" hidden="1" x14ac:dyDescent="0.15">
      <c r="A447" t="s">
        <v>1485</v>
      </c>
      <c r="B447" t="s">
        <v>1486</v>
      </c>
      <c r="C447" t="s">
        <v>1487</v>
      </c>
      <c r="D447" t="s">
        <v>1481</v>
      </c>
      <c r="E447">
        <v>6</v>
      </c>
      <c r="F447" t="str">
        <f>HYPERLINK("https://github.com/px-amaac/KZFR/issues/52", "show")</f>
        <v>show</v>
      </c>
      <c r="G447" t="str">
        <f>HYPERLINK("https://github.com/px-amaac/KZFR", "show")</f>
        <v>show</v>
      </c>
      <c r="H447" t="str">
        <f>HYPERLINK("https://github.com/px-amaac/KZFR/releases", "show")</f>
        <v>show</v>
      </c>
      <c r="I447">
        <v>1</v>
      </c>
      <c r="J447">
        <v>0</v>
      </c>
      <c r="K447">
        <v>0</v>
      </c>
      <c r="L447">
        <v>0</v>
      </c>
      <c r="M447" t="s">
        <v>17</v>
      </c>
    </row>
    <row r="448" spans="1:13" hidden="1" x14ac:dyDescent="0.15">
      <c r="A448" t="s">
        <v>1488</v>
      </c>
      <c r="B448" t="s">
        <v>1489</v>
      </c>
      <c r="C448" t="s">
        <v>1490</v>
      </c>
      <c r="D448" t="s">
        <v>1491</v>
      </c>
      <c r="E448">
        <v>2</v>
      </c>
      <c r="F448" t="str">
        <f>HYPERLINK("https://github.com/aashrai/Skittles/issues/6", "show")</f>
        <v>show</v>
      </c>
      <c r="G448" t="str">
        <f>HYPERLINK("https://github.com/aashrai/Skittles", "show")</f>
        <v>show</v>
      </c>
      <c r="H448" t="str">
        <f>HYPERLINK("https://github.com/aashrai/Skittles/releases", "show")</f>
        <v>show</v>
      </c>
      <c r="I448">
        <v>1</v>
      </c>
      <c r="J448">
        <v>0</v>
      </c>
      <c r="K448">
        <v>0</v>
      </c>
      <c r="L448">
        <v>0</v>
      </c>
      <c r="M448" t="s">
        <v>17</v>
      </c>
    </row>
    <row r="449" spans="1:13" hidden="1" x14ac:dyDescent="0.15">
      <c r="A449" t="s">
        <v>1492</v>
      </c>
      <c r="B449" t="s">
        <v>1493</v>
      </c>
      <c r="C449" t="s">
        <v>1494</v>
      </c>
      <c r="D449" t="s">
        <v>1491</v>
      </c>
      <c r="E449">
        <v>342</v>
      </c>
      <c r="F449" t="str">
        <f>HYPERLINK("https://github.com/react-native-camera/react-native-camera/issues/61", "show")</f>
        <v>show</v>
      </c>
      <c r="G449" t="str">
        <f>HYPERLINK("https://github.com/react-native-camera/react-native-camera", "show")</f>
        <v>show</v>
      </c>
      <c r="H449" t="str">
        <f>HYPERLINK("https://github.com/react-native-camera/react-native-camera/releases", "show")</f>
        <v>show</v>
      </c>
      <c r="I449">
        <v>1</v>
      </c>
      <c r="J449">
        <v>0</v>
      </c>
      <c r="K449">
        <v>0</v>
      </c>
      <c r="L449">
        <v>0</v>
      </c>
      <c r="M449" t="s">
        <v>17</v>
      </c>
    </row>
    <row r="450" spans="1:13" hidden="1" x14ac:dyDescent="0.15">
      <c r="A450" t="s">
        <v>1495</v>
      </c>
      <c r="B450" t="s">
        <v>1496</v>
      </c>
      <c r="C450" t="s">
        <v>1497</v>
      </c>
      <c r="D450" t="s">
        <v>1498</v>
      </c>
      <c r="E450">
        <v>25</v>
      </c>
      <c r="F450" t="str">
        <f>HYPERLINK("https://github.com/netmackan/ATimeTracker/issues/35", "show")</f>
        <v>show</v>
      </c>
      <c r="G450" t="str">
        <f>HYPERLINK("https://github.com/netmackan/ATimeTracker", "show")</f>
        <v>show</v>
      </c>
      <c r="H450" t="str">
        <f>HYPERLINK("https://github.com/netmackan/ATimeTracker/releases", "show")</f>
        <v>show</v>
      </c>
      <c r="I450">
        <v>1</v>
      </c>
      <c r="J450">
        <v>0</v>
      </c>
      <c r="K450">
        <v>0</v>
      </c>
      <c r="L450">
        <v>0</v>
      </c>
      <c r="M450" t="s">
        <v>17</v>
      </c>
    </row>
    <row r="451" spans="1:13" hidden="1" x14ac:dyDescent="0.15">
      <c r="A451" t="s">
        <v>1499</v>
      </c>
      <c r="B451" t="s">
        <v>1500</v>
      </c>
      <c r="C451" t="s">
        <v>1501</v>
      </c>
      <c r="D451" t="s">
        <v>1498</v>
      </c>
      <c r="E451">
        <v>7</v>
      </c>
      <c r="F451" t="str">
        <f>HYPERLINK("https://github.com/CellularPrivacy/Android-IMSI-Catcher-Detector/issues/543", "show")</f>
        <v>show</v>
      </c>
      <c r="G451" t="str">
        <f>HYPERLINK("https://github.com/CellularPrivacy/Android-IMSI-Catcher-Detector", "show")</f>
        <v>show</v>
      </c>
      <c r="H451" t="str">
        <f>HYPERLINK("https://github.com/CellularPrivacy/Android-IMSI-Catcher-Detector/releases", "show")</f>
        <v>show</v>
      </c>
      <c r="I451">
        <v>1</v>
      </c>
      <c r="J451">
        <v>0</v>
      </c>
      <c r="K451">
        <v>0</v>
      </c>
      <c r="L451">
        <v>0</v>
      </c>
      <c r="M451" t="s">
        <v>17</v>
      </c>
    </row>
    <row r="452" spans="1:13" hidden="1" x14ac:dyDescent="0.15">
      <c r="A452" t="s">
        <v>1502</v>
      </c>
      <c r="B452" t="s">
        <v>1503</v>
      </c>
      <c r="C452" t="s">
        <v>1504</v>
      </c>
      <c r="D452" t="s">
        <v>1505</v>
      </c>
      <c r="E452">
        <v>0</v>
      </c>
      <c r="F452" t="str">
        <f>HYPERLINK("https://github.com/dimagi/commcare-android/issues/414", "show")</f>
        <v>show</v>
      </c>
      <c r="G452" t="str">
        <f>HYPERLINK("https://github.com/dimagi/commcare-android", "show")</f>
        <v>show</v>
      </c>
      <c r="H452" t="str">
        <f>HYPERLINK("https://github.com/dimagi/commcare-android/releases", "show")</f>
        <v>show</v>
      </c>
      <c r="I452">
        <v>1</v>
      </c>
      <c r="J452">
        <v>0</v>
      </c>
      <c r="K452">
        <v>1</v>
      </c>
      <c r="L452">
        <v>0</v>
      </c>
      <c r="M452" t="s">
        <v>64</v>
      </c>
    </row>
    <row r="453" spans="1:13" hidden="1" x14ac:dyDescent="0.15">
      <c r="A453" t="s">
        <v>1506</v>
      </c>
      <c r="B453" t="s">
        <v>1507</v>
      </c>
      <c r="C453" t="s">
        <v>1508</v>
      </c>
      <c r="D453" t="s">
        <v>1505</v>
      </c>
      <c r="E453">
        <v>0</v>
      </c>
      <c r="F453" t="str">
        <f>HYPERLINK("https://github.com/Cloudkibo/Android/issues/21", "show")</f>
        <v>show</v>
      </c>
      <c r="G453" t="str">
        <f>HYPERLINK("https://github.com/Cloudkibo/Android", "show")</f>
        <v>show</v>
      </c>
      <c r="H453" t="str">
        <f>HYPERLINK("https://github.com/Cloudkibo/Android/releases", "show")</f>
        <v>show</v>
      </c>
      <c r="I453">
        <v>0</v>
      </c>
      <c r="J453">
        <v>0</v>
      </c>
      <c r="K453">
        <v>0</v>
      </c>
      <c r="L453">
        <v>0</v>
      </c>
      <c r="M453" t="s">
        <v>43</v>
      </c>
    </row>
    <row r="454" spans="1:13" hidden="1" x14ac:dyDescent="0.15">
      <c r="A454" t="s">
        <v>1509</v>
      </c>
      <c r="B454" t="s">
        <v>1510</v>
      </c>
      <c r="C454" t="s">
        <v>1511</v>
      </c>
      <c r="D454" t="s">
        <v>1505</v>
      </c>
      <c r="E454">
        <v>0</v>
      </c>
      <c r="F454" t="str">
        <f>HYPERLINK("https://github.com/jjhesk/KickAssSlidingMenu/issues/7", "show")</f>
        <v>show</v>
      </c>
      <c r="G454" t="str">
        <f>HYPERLINK("https://github.com/jjhesk/KickAssSlidingMenu", "show")</f>
        <v>show</v>
      </c>
      <c r="H454" t="str">
        <f>HYPERLINK("https://github.com/jjhesk/KickAssSlidingMenu/releases", "show")</f>
        <v>show</v>
      </c>
      <c r="I454">
        <v>0</v>
      </c>
      <c r="J454">
        <v>0</v>
      </c>
      <c r="K454">
        <v>0</v>
      </c>
      <c r="L454">
        <v>0</v>
      </c>
      <c r="M454" t="s">
        <v>43</v>
      </c>
    </row>
    <row r="455" spans="1:13" hidden="1" x14ac:dyDescent="0.15">
      <c r="A455" t="s">
        <v>1512</v>
      </c>
      <c r="B455" t="s">
        <v>1513</v>
      </c>
      <c r="C455" t="s">
        <v>1514</v>
      </c>
      <c r="D455" t="s">
        <v>1515</v>
      </c>
      <c r="E455">
        <v>34</v>
      </c>
      <c r="F455" t="str">
        <f>HYPERLINK("https://github.com/RFO-BASIC/Basic/issues/192", "show")</f>
        <v>show</v>
      </c>
      <c r="G455" t="str">
        <f>HYPERLINK("https://github.com/RFO-BASIC/Basic", "show")</f>
        <v>show</v>
      </c>
      <c r="H455" t="str">
        <f>HYPERLINK("https://github.com/RFO-BASIC/Basic/releases", "show")</f>
        <v>show</v>
      </c>
      <c r="I455">
        <v>0</v>
      </c>
      <c r="J455">
        <v>0</v>
      </c>
      <c r="K455">
        <v>0</v>
      </c>
      <c r="L455">
        <v>0</v>
      </c>
      <c r="M455" t="s">
        <v>43</v>
      </c>
    </row>
    <row r="456" spans="1:13" hidden="1" x14ac:dyDescent="0.15">
      <c r="A456" t="s">
        <v>1516</v>
      </c>
      <c r="B456" t="s">
        <v>1517</v>
      </c>
      <c r="C456" t="s">
        <v>1518</v>
      </c>
      <c r="D456" t="s">
        <v>1515</v>
      </c>
      <c r="E456">
        <v>1</v>
      </c>
      <c r="F456" t="str">
        <f>HYPERLINK("https://github.com/liferay/liferay-screens/issues/161", "show")</f>
        <v>show</v>
      </c>
      <c r="G456" t="str">
        <f>HYPERLINK("https://github.com/liferay/liferay-screens", "show")</f>
        <v>show</v>
      </c>
      <c r="H456" t="str">
        <f>HYPERLINK("https://github.com/liferay/liferay-screens/releases", "show")</f>
        <v>show</v>
      </c>
      <c r="I456">
        <v>1</v>
      </c>
      <c r="J456">
        <v>0</v>
      </c>
      <c r="K456">
        <v>0</v>
      </c>
      <c r="L456">
        <v>0</v>
      </c>
      <c r="M456" t="s">
        <v>17</v>
      </c>
    </row>
    <row r="457" spans="1:13" hidden="1" x14ac:dyDescent="0.15">
      <c r="A457" t="s">
        <v>1519</v>
      </c>
      <c r="B457" t="s">
        <v>1520</v>
      </c>
      <c r="C457" t="s">
        <v>1521</v>
      </c>
      <c r="D457" t="s">
        <v>1515</v>
      </c>
      <c r="E457">
        <v>38</v>
      </c>
      <c r="F457" t="str">
        <f>HYPERLINK("https://github.com/avluis/Hentoid/issues/14", "show")</f>
        <v>show</v>
      </c>
      <c r="G457" t="str">
        <f>HYPERLINK("https://github.com/avluis/Hentoid", "show")</f>
        <v>show</v>
      </c>
      <c r="H457" t="str">
        <f>HYPERLINK("https://github.com/avluis/Hentoid/releases", "show")</f>
        <v>show</v>
      </c>
      <c r="I457">
        <v>1</v>
      </c>
      <c r="J457">
        <v>1</v>
      </c>
      <c r="K457">
        <v>0</v>
      </c>
      <c r="L457">
        <v>0</v>
      </c>
      <c r="M457" t="s">
        <v>48</v>
      </c>
    </row>
    <row r="458" spans="1:13" hidden="1" x14ac:dyDescent="0.15">
      <c r="A458" t="s">
        <v>1522</v>
      </c>
      <c r="B458" t="s">
        <v>1523</v>
      </c>
      <c r="C458" t="s">
        <v>1524</v>
      </c>
      <c r="D458" t="s">
        <v>1515</v>
      </c>
      <c r="E458">
        <v>0</v>
      </c>
      <c r="F458" t="str">
        <f>HYPERLINK("https://github.com/Exlsunshine/ChatApplication/issues/38", "show")</f>
        <v>show</v>
      </c>
      <c r="G458" t="str">
        <f>HYPERLINK("https://github.com/Exlsunshine/ChatApplication", "show")</f>
        <v>show</v>
      </c>
      <c r="H458" t="str">
        <f>HYPERLINK("https://github.com/Exlsunshine/ChatApplication/releases", "show")</f>
        <v>show</v>
      </c>
      <c r="I458">
        <v>1</v>
      </c>
      <c r="J458">
        <v>0</v>
      </c>
      <c r="K458">
        <v>0</v>
      </c>
      <c r="L458">
        <v>0</v>
      </c>
      <c r="M458" t="s">
        <v>17</v>
      </c>
    </row>
    <row r="459" spans="1:13" hidden="1" x14ac:dyDescent="0.15">
      <c r="A459" t="s">
        <v>1525</v>
      </c>
      <c r="B459" t="s">
        <v>1526</v>
      </c>
      <c r="C459" t="s">
        <v>1527</v>
      </c>
      <c r="D459" t="s">
        <v>1515</v>
      </c>
      <c r="E459">
        <v>0</v>
      </c>
      <c r="F459" t="str">
        <f>HYPERLINK("https://github.com/Exlsunshine/ChatApplication/issues/37", "show")</f>
        <v>show</v>
      </c>
      <c r="G459" t="str">
        <f>HYPERLINK("https://github.com/Exlsunshine/ChatApplication", "show")</f>
        <v>show</v>
      </c>
      <c r="H459" t="str">
        <f>HYPERLINK("https://github.com/Exlsunshine/ChatApplication/releases", "show")</f>
        <v>show</v>
      </c>
      <c r="I459">
        <v>1</v>
      </c>
      <c r="J459">
        <v>0</v>
      </c>
      <c r="K459">
        <v>0</v>
      </c>
      <c r="L459">
        <v>0</v>
      </c>
      <c r="M459" t="s">
        <v>17</v>
      </c>
    </row>
    <row r="460" spans="1:13" hidden="1" x14ac:dyDescent="0.15">
      <c r="A460" t="s">
        <v>1528</v>
      </c>
      <c r="B460" t="s">
        <v>1529</v>
      </c>
      <c r="C460" t="s">
        <v>1530</v>
      </c>
      <c r="D460" t="s">
        <v>1531</v>
      </c>
      <c r="E460">
        <v>2</v>
      </c>
      <c r="F460" t="str">
        <f>HYPERLINK("https://github.com/cgeo/cgeo/issues/5091", "show")</f>
        <v>show</v>
      </c>
      <c r="G460" t="str">
        <f>HYPERLINK("https://github.com/cgeo/cgeo", "show")</f>
        <v>show</v>
      </c>
      <c r="H460" t="str">
        <f>HYPERLINK("https://github.com/cgeo/cgeo/releases", "show")</f>
        <v>show</v>
      </c>
      <c r="I460">
        <v>1</v>
      </c>
      <c r="J460">
        <v>0</v>
      </c>
      <c r="K460">
        <v>1</v>
      </c>
      <c r="L460">
        <v>0</v>
      </c>
      <c r="M460" t="s">
        <v>64</v>
      </c>
    </row>
    <row r="461" spans="1:13" hidden="1" x14ac:dyDescent="0.15">
      <c r="A461" t="s">
        <v>1532</v>
      </c>
      <c r="B461" t="s">
        <v>1533</v>
      </c>
      <c r="C461" t="s">
        <v>1534</v>
      </c>
      <c r="D461" t="s">
        <v>1535</v>
      </c>
      <c r="E461">
        <v>55</v>
      </c>
      <c r="F461" t="str">
        <f>HYPERLINK("https://github.com/ukanth/afwall/issues/385", "show")</f>
        <v>show</v>
      </c>
      <c r="G461" t="str">
        <f>HYPERLINK("https://github.com/ukanth/afwall", "show")</f>
        <v>show</v>
      </c>
      <c r="H461" t="str">
        <f>HYPERLINK("https://github.com/ukanth/afwall/releases", "show")</f>
        <v>show</v>
      </c>
      <c r="I461">
        <v>1</v>
      </c>
      <c r="J461">
        <v>0</v>
      </c>
      <c r="K461">
        <v>1</v>
      </c>
      <c r="L461">
        <v>0</v>
      </c>
      <c r="M461" t="s">
        <v>64</v>
      </c>
    </row>
    <row r="462" spans="1:13" hidden="1" x14ac:dyDescent="0.15">
      <c r="A462" t="s">
        <v>1536</v>
      </c>
      <c r="B462" t="s">
        <v>1537</v>
      </c>
      <c r="C462" t="s">
        <v>1538</v>
      </c>
      <c r="D462" t="s">
        <v>1535</v>
      </c>
      <c r="E462">
        <v>15</v>
      </c>
      <c r="F462" t="str">
        <f>HYPERLINK("https://github.com/dimagi/commcare-android/issues/420", "show")</f>
        <v>show</v>
      </c>
      <c r="G462" t="str">
        <f>HYPERLINK("https://github.com/dimagi/commcare-android", "show")</f>
        <v>show</v>
      </c>
      <c r="H462" t="str">
        <f>HYPERLINK("https://github.com/dimagi/commcare-android/releases", "show")</f>
        <v>show</v>
      </c>
      <c r="I462">
        <v>1</v>
      </c>
      <c r="J462">
        <v>0</v>
      </c>
      <c r="K462">
        <v>0</v>
      </c>
      <c r="L462">
        <v>0</v>
      </c>
      <c r="M462" t="s">
        <v>17</v>
      </c>
    </row>
    <row r="463" spans="1:13" hidden="1" x14ac:dyDescent="0.15">
      <c r="A463" t="s">
        <v>1539</v>
      </c>
      <c r="B463" t="s">
        <v>1540</v>
      </c>
      <c r="C463" t="s">
        <v>1541</v>
      </c>
      <c r="D463" t="s">
        <v>1542</v>
      </c>
      <c r="E463">
        <v>309</v>
      </c>
      <c r="F463" t="str">
        <f>HYPERLINK("https://github.com/marverenic/Jockey/issues/20", "show")</f>
        <v>show</v>
      </c>
      <c r="G463" t="str">
        <f>HYPERLINK("https://github.com/marverenic/Jockey", "show")</f>
        <v>show</v>
      </c>
      <c r="H463" t="str">
        <f>HYPERLINK("https://github.com/marverenic/Jockey/releases", "show")</f>
        <v>show</v>
      </c>
      <c r="I463">
        <v>1</v>
      </c>
      <c r="J463">
        <v>0</v>
      </c>
      <c r="K463">
        <v>0</v>
      </c>
      <c r="L463">
        <v>0</v>
      </c>
      <c r="M463" t="s">
        <v>17</v>
      </c>
    </row>
    <row r="464" spans="1:13" hidden="1" x14ac:dyDescent="0.15">
      <c r="A464" t="s">
        <v>1543</v>
      </c>
      <c r="B464" t="s">
        <v>1544</v>
      </c>
      <c r="C464" t="s">
        <v>1545</v>
      </c>
      <c r="D464" t="s">
        <v>1546</v>
      </c>
      <c r="E464">
        <v>0</v>
      </c>
      <c r="F464" t="str">
        <f>HYPERLINK("https://github.com/nextcloud/news-android/issues/364", "show")</f>
        <v>show</v>
      </c>
      <c r="G464" t="str">
        <f>HYPERLINK("https://github.com/nextcloud/news-android", "show")</f>
        <v>show</v>
      </c>
      <c r="H464" t="str">
        <f>HYPERLINK("https://github.com/nextcloud/news-android/releases", "show")</f>
        <v>show</v>
      </c>
      <c r="I464">
        <v>1</v>
      </c>
      <c r="J464">
        <v>0</v>
      </c>
      <c r="K464">
        <v>0</v>
      </c>
      <c r="L464">
        <v>0</v>
      </c>
      <c r="M464" t="s">
        <v>17</v>
      </c>
    </row>
    <row r="465" spans="1:13" hidden="1" x14ac:dyDescent="0.15">
      <c r="A465" t="s">
        <v>1547</v>
      </c>
      <c r="B465" t="s">
        <v>1548</v>
      </c>
      <c r="C465" t="s">
        <v>1549</v>
      </c>
      <c r="D465" t="s">
        <v>1550</v>
      </c>
      <c r="E465">
        <v>0</v>
      </c>
      <c r="F465" t="str">
        <f>HYPERLINK("https://github.com/h6ah4i/android-advancedrecyclerview/issues/71", "show")</f>
        <v>show</v>
      </c>
      <c r="G465" t="str">
        <f>HYPERLINK("https://github.com/h6ah4i/android-advancedrecyclerview", "show")</f>
        <v>show</v>
      </c>
      <c r="H465" t="str">
        <f>HYPERLINK("https://github.com/h6ah4i/android-advancedrecyclerview/releases", "show")</f>
        <v>show</v>
      </c>
      <c r="I465">
        <v>0</v>
      </c>
      <c r="J465">
        <v>0</v>
      </c>
      <c r="K465">
        <v>0</v>
      </c>
      <c r="L465">
        <v>0</v>
      </c>
      <c r="M465" t="s">
        <v>43</v>
      </c>
    </row>
    <row r="466" spans="1:13" hidden="1" x14ac:dyDescent="0.15">
      <c r="A466" t="s">
        <v>1551</v>
      </c>
      <c r="B466" t="s">
        <v>1552</v>
      </c>
      <c r="C466" t="s">
        <v>1553</v>
      </c>
      <c r="D466" t="s">
        <v>1554</v>
      </c>
      <c r="E466">
        <v>267</v>
      </c>
      <c r="F466" t="str">
        <f>HYPERLINK("https://github.com/openbmap/radiocells-nlp-android/issues/12", "show")</f>
        <v>show</v>
      </c>
      <c r="G466" t="str">
        <f>HYPERLINK("https://github.com/openbmap/radiocells-nlp-android", "show")</f>
        <v>show</v>
      </c>
      <c r="H466" t="str">
        <f>HYPERLINK("https://github.com/openbmap/radiocells-nlp-android/releases", "show")</f>
        <v>show</v>
      </c>
      <c r="I466">
        <v>1</v>
      </c>
      <c r="J466">
        <v>0</v>
      </c>
      <c r="K466">
        <v>0</v>
      </c>
      <c r="L466">
        <v>0</v>
      </c>
      <c r="M466" t="s">
        <v>17</v>
      </c>
    </row>
    <row r="467" spans="1:13" hidden="1" x14ac:dyDescent="0.15">
      <c r="A467" t="s">
        <v>1555</v>
      </c>
      <c r="B467" t="s">
        <v>1556</v>
      </c>
      <c r="C467" t="s">
        <v>1557</v>
      </c>
      <c r="D467" t="s">
        <v>1554</v>
      </c>
      <c r="E467">
        <v>70</v>
      </c>
      <c r="F467" t="str">
        <f>HYPERLINK("https://github.com/splitwise/TokenAutoComplete/issues/151", "show")</f>
        <v>show</v>
      </c>
      <c r="G467" t="str">
        <f>HYPERLINK("https://github.com/splitwise/TokenAutoComplete", "show")</f>
        <v>show</v>
      </c>
      <c r="H467" t="str">
        <f>HYPERLINK("https://github.com/splitwise/TokenAutoComplete/releases", "show")</f>
        <v>show</v>
      </c>
      <c r="I467">
        <v>1</v>
      </c>
      <c r="J467">
        <v>0</v>
      </c>
      <c r="K467">
        <v>1</v>
      </c>
      <c r="L467">
        <v>0</v>
      </c>
      <c r="M467" t="s">
        <v>64</v>
      </c>
    </row>
    <row r="468" spans="1:13" hidden="1" x14ac:dyDescent="0.15">
      <c r="A468" t="s">
        <v>1558</v>
      </c>
      <c r="B468" t="s">
        <v>1559</v>
      </c>
      <c r="C468" t="s">
        <v>1560</v>
      </c>
      <c r="D468" t="s">
        <v>1554</v>
      </c>
      <c r="E468">
        <v>0</v>
      </c>
      <c r="F468" t="str">
        <f>HYPERLINK("https://github.com/nextcloud/news-android/issues/367", "show")</f>
        <v>show</v>
      </c>
      <c r="G468" t="str">
        <f>HYPERLINK("https://github.com/nextcloud/news-android", "show")</f>
        <v>show</v>
      </c>
      <c r="H468" t="str">
        <f>HYPERLINK("https://github.com/nextcloud/news-android/releases", "show")</f>
        <v>show</v>
      </c>
      <c r="I468">
        <v>1</v>
      </c>
      <c r="J468">
        <v>0</v>
      </c>
      <c r="K468">
        <v>0</v>
      </c>
      <c r="L468">
        <v>0</v>
      </c>
      <c r="M468" t="s">
        <v>17</v>
      </c>
    </row>
    <row r="469" spans="1:13" hidden="1" x14ac:dyDescent="0.15">
      <c r="A469" t="s">
        <v>1561</v>
      </c>
      <c r="B469" t="s">
        <v>1562</v>
      </c>
      <c r="C469" t="s">
        <v>1563</v>
      </c>
      <c r="D469" t="s">
        <v>1564</v>
      </c>
      <c r="E469">
        <v>7</v>
      </c>
      <c r="F469" t="str">
        <f>HYPERLINK("https://github.com/dimagi/commcare-android/issues/434", "show")</f>
        <v>show</v>
      </c>
      <c r="G469" t="str">
        <f>HYPERLINK("https://github.com/dimagi/commcare-android", "show")</f>
        <v>show</v>
      </c>
      <c r="H469" t="str">
        <f>HYPERLINK("https://github.com/dimagi/commcare-android/releases", "show")</f>
        <v>show</v>
      </c>
      <c r="I469">
        <v>1</v>
      </c>
      <c r="J469">
        <v>0</v>
      </c>
      <c r="K469">
        <v>0</v>
      </c>
      <c r="L469">
        <v>0</v>
      </c>
      <c r="M469" t="s">
        <v>17</v>
      </c>
    </row>
    <row r="470" spans="1:13" hidden="1" x14ac:dyDescent="0.15">
      <c r="A470" t="s">
        <v>1565</v>
      </c>
      <c r="B470" t="s">
        <v>1566</v>
      </c>
      <c r="C470" t="s">
        <v>1567</v>
      </c>
      <c r="D470" t="s">
        <v>1568</v>
      </c>
      <c r="E470">
        <v>0</v>
      </c>
      <c r="F470" t="str">
        <f>HYPERLINK("https://github.com/dimagi/commcare-android/issues/440", "show")</f>
        <v>show</v>
      </c>
      <c r="G470" t="str">
        <f>HYPERLINK("https://github.com/dimagi/commcare-android", "show")</f>
        <v>show</v>
      </c>
      <c r="H470" t="str">
        <f>HYPERLINK("https://github.com/dimagi/commcare-android/releases", "show")</f>
        <v>show</v>
      </c>
      <c r="I470">
        <v>1</v>
      </c>
      <c r="J470">
        <v>0</v>
      </c>
      <c r="K470">
        <v>0</v>
      </c>
      <c r="L470">
        <v>0</v>
      </c>
      <c r="M470" t="s">
        <v>17</v>
      </c>
    </row>
    <row r="471" spans="1:13" hidden="1" x14ac:dyDescent="0.15">
      <c r="A471" t="s">
        <v>1569</v>
      </c>
      <c r="B471" t="s">
        <v>1570</v>
      </c>
      <c r="C471" t="s">
        <v>1571</v>
      </c>
      <c r="D471" t="s">
        <v>1568</v>
      </c>
      <c r="E471">
        <v>17</v>
      </c>
      <c r="F471" t="str">
        <f>HYPERLINK("https://github.com/Bathlamos/RTDC/issues/69", "show")</f>
        <v>show</v>
      </c>
      <c r="G471" t="str">
        <f>HYPERLINK("https://github.com/Bathlamos/RTDC", "show")</f>
        <v>show</v>
      </c>
      <c r="H471" t="str">
        <f>HYPERLINK("https://github.com/Bathlamos/RTDC/releases", "show")</f>
        <v>show</v>
      </c>
      <c r="I471">
        <v>1</v>
      </c>
      <c r="J471">
        <v>0</v>
      </c>
      <c r="K471">
        <v>1</v>
      </c>
      <c r="L471">
        <v>0</v>
      </c>
      <c r="M471" t="s">
        <v>64</v>
      </c>
    </row>
    <row r="472" spans="1:13" hidden="1" x14ac:dyDescent="0.15">
      <c r="A472" t="s">
        <v>1572</v>
      </c>
      <c r="B472" t="s">
        <v>1573</v>
      </c>
      <c r="C472" t="s">
        <v>1574</v>
      </c>
      <c r="D472" t="s">
        <v>1568</v>
      </c>
      <c r="E472">
        <v>2</v>
      </c>
      <c r="F472" t="str">
        <f>HYPERLINK("https://github.com/Bathlamos/RTDC/issues/68", "show")</f>
        <v>show</v>
      </c>
      <c r="G472" t="str">
        <f>HYPERLINK("https://github.com/Bathlamos/RTDC", "show")</f>
        <v>show</v>
      </c>
      <c r="H472" t="str">
        <f>HYPERLINK("https://github.com/Bathlamos/RTDC/releases", "show")</f>
        <v>show</v>
      </c>
      <c r="I472">
        <v>1</v>
      </c>
      <c r="J472">
        <v>0</v>
      </c>
      <c r="K472">
        <v>1</v>
      </c>
      <c r="L472">
        <v>0</v>
      </c>
      <c r="M472" t="s">
        <v>64</v>
      </c>
    </row>
    <row r="473" spans="1:13" hidden="1" x14ac:dyDescent="0.15">
      <c r="A473" t="s">
        <v>1575</v>
      </c>
      <c r="B473" t="s">
        <v>1576</v>
      </c>
      <c r="C473" t="s">
        <v>1577</v>
      </c>
      <c r="D473" t="s">
        <v>1578</v>
      </c>
      <c r="E473">
        <v>1</v>
      </c>
      <c r="F473" t="str">
        <f>HYPERLINK("https://github.com/gdg-x/frisbee/issues/401", "show")</f>
        <v>show</v>
      </c>
      <c r="G473" t="str">
        <f>HYPERLINK("https://github.com/gdg-x/frisbee", "show")</f>
        <v>show</v>
      </c>
      <c r="H473" t="str">
        <f>HYPERLINK("https://github.com/gdg-x/frisbee/releases", "show")</f>
        <v>show</v>
      </c>
      <c r="I473">
        <v>1</v>
      </c>
      <c r="J473">
        <v>1</v>
      </c>
      <c r="K473">
        <v>1</v>
      </c>
      <c r="L473">
        <v>0</v>
      </c>
      <c r="M473" t="s">
        <v>59</v>
      </c>
    </row>
    <row r="474" spans="1:13" hidden="1" x14ac:dyDescent="0.15">
      <c r="A474" t="s">
        <v>1579</v>
      </c>
      <c r="B474" t="s">
        <v>1580</v>
      </c>
      <c r="C474" t="s">
        <v>1581</v>
      </c>
      <c r="D474" t="s">
        <v>1578</v>
      </c>
      <c r="E474">
        <v>2</v>
      </c>
      <c r="F474" t="str">
        <f>HYPERLINK("https://github.com/Ereza/CustomActivityOnCrash/issues/7", "show")</f>
        <v>show</v>
      </c>
      <c r="G474" t="str">
        <f>HYPERLINK("https://github.com/Ereza/CustomActivityOnCrash", "show")</f>
        <v>show</v>
      </c>
      <c r="H474" t="str">
        <f>HYPERLINK("https://github.com/Ereza/CustomActivityOnCrash/releases", "show")</f>
        <v>show</v>
      </c>
      <c r="I474">
        <v>1</v>
      </c>
      <c r="J474">
        <v>0</v>
      </c>
      <c r="K474">
        <v>0</v>
      </c>
      <c r="L474">
        <v>0</v>
      </c>
      <c r="M474" t="s">
        <v>17</v>
      </c>
    </row>
    <row r="475" spans="1:13" hidden="1" x14ac:dyDescent="0.15">
      <c r="A475" t="s">
        <v>1582</v>
      </c>
      <c r="B475" t="s">
        <v>1583</v>
      </c>
      <c r="C475" t="s">
        <v>1584</v>
      </c>
      <c r="D475" t="s">
        <v>1585</v>
      </c>
      <c r="E475">
        <v>1</v>
      </c>
      <c r="F475" t="str">
        <f>HYPERLINK("https://github.com/theSoenke/Paperwork-Android/issues/6", "show")</f>
        <v>show</v>
      </c>
      <c r="G475" t="str">
        <f>HYPERLINK("https://github.com/theSoenke/Paperwork-Android", "show")</f>
        <v>show</v>
      </c>
      <c r="H475" t="str">
        <f>HYPERLINK("https://github.com/theSoenke/Paperwork-Android/releases", "show")</f>
        <v>show</v>
      </c>
      <c r="I475">
        <v>1</v>
      </c>
      <c r="J475">
        <v>0</v>
      </c>
      <c r="K475">
        <v>0</v>
      </c>
      <c r="L475">
        <v>0</v>
      </c>
      <c r="M475" t="s">
        <v>17</v>
      </c>
    </row>
    <row r="476" spans="1:13" hidden="1" x14ac:dyDescent="0.15">
      <c r="A476" t="s">
        <v>1586</v>
      </c>
      <c r="B476" t="s">
        <v>1587</v>
      </c>
      <c r="C476" t="s">
        <v>1588</v>
      </c>
      <c r="D476" t="s">
        <v>1589</v>
      </c>
      <c r="E476">
        <v>15</v>
      </c>
      <c r="F476" t="str">
        <f>HYPERLINK("https://github.com/Cloudkibo/Android/issues/25", "show")</f>
        <v>show</v>
      </c>
      <c r="G476" t="str">
        <f>HYPERLINK("https://github.com/Cloudkibo/Android", "show")</f>
        <v>show</v>
      </c>
      <c r="H476" t="str">
        <f>HYPERLINK("https://github.com/Cloudkibo/Android/releases", "show")</f>
        <v>show</v>
      </c>
      <c r="I476">
        <v>1</v>
      </c>
      <c r="J476">
        <v>0</v>
      </c>
      <c r="K476">
        <v>0</v>
      </c>
      <c r="L476">
        <v>0</v>
      </c>
      <c r="M476" t="s">
        <v>17</v>
      </c>
    </row>
    <row r="477" spans="1:13" hidden="1" x14ac:dyDescent="0.15">
      <c r="A477" t="s">
        <v>1590</v>
      </c>
      <c r="B477" t="s">
        <v>1591</v>
      </c>
      <c r="C477" t="s">
        <v>1592</v>
      </c>
      <c r="D477" t="s">
        <v>1589</v>
      </c>
      <c r="E477">
        <v>174</v>
      </c>
      <c r="F477" t="str">
        <f>HYPERLINK("https://github.com/k9mail/k-9/issues/724", "show")</f>
        <v>show</v>
      </c>
      <c r="G477" t="str">
        <f>HYPERLINK("https://github.com/k9mail/k-9", "show")</f>
        <v>show</v>
      </c>
      <c r="H477" t="str">
        <f>HYPERLINK("https://github.com/k9mail/k-9/releases", "show")</f>
        <v>show</v>
      </c>
      <c r="I477">
        <v>1</v>
      </c>
      <c r="J477">
        <v>0</v>
      </c>
      <c r="K477">
        <v>0</v>
      </c>
      <c r="L477">
        <v>0</v>
      </c>
      <c r="M477" t="s">
        <v>17</v>
      </c>
    </row>
    <row r="478" spans="1:13" hidden="1" x14ac:dyDescent="0.15">
      <c r="A478" t="s">
        <v>1593</v>
      </c>
      <c r="B478" t="s">
        <v>1594</v>
      </c>
      <c r="C478" t="s">
        <v>1595</v>
      </c>
      <c r="D478" t="s">
        <v>1596</v>
      </c>
      <c r="E478">
        <v>33</v>
      </c>
      <c r="F478" t="str">
        <f>HYPERLINK("https://github.com/wdullaer/MaterialDateTimePicker/issues/71", "show")</f>
        <v>show</v>
      </c>
      <c r="G478" t="str">
        <f>HYPERLINK("https://github.com/wdullaer/MaterialDateTimePicker", "show")</f>
        <v>show</v>
      </c>
      <c r="H478" t="str">
        <f>HYPERLINK("https://github.com/wdullaer/MaterialDateTimePicker/releases", "show")</f>
        <v>show</v>
      </c>
      <c r="I478">
        <v>1</v>
      </c>
      <c r="J478">
        <v>0</v>
      </c>
      <c r="K478">
        <v>0</v>
      </c>
      <c r="L478">
        <v>0</v>
      </c>
      <c r="M478" t="s">
        <v>17</v>
      </c>
    </row>
    <row r="479" spans="1:13" hidden="1" x14ac:dyDescent="0.15">
      <c r="A479" t="s">
        <v>1597</v>
      </c>
      <c r="B479" t="s">
        <v>1598</v>
      </c>
      <c r="C479" t="s">
        <v>1599</v>
      </c>
      <c r="D479" t="s">
        <v>1596</v>
      </c>
      <c r="E479">
        <v>0</v>
      </c>
      <c r="F479" t="str">
        <f>HYPERLINK("https://github.com/ankidroid/Anki-Android/issues/3569", "show")</f>
        <v>show</v>
      </c>
      <c r="G479" t="str">
        <f t="shared" ref="G479:G542" si="2">HYPERLINK("https://github.com/ankidroid/Anki-Android", "show")</f>
        <v>show</v>
      </c>
      <c r="H479" t="str">
        <f t="shared" ref="H479:H542" si="3">HYPERLINK("https://github.com/ankidroid/Anki-Android/releases", "show")</f>
        <v>show</v>
      </c>
      <c r="I479">
        <v>1</v>
      </c>
      <c r="J479">
        <v>1</v>
      </c>
      <c r="K479">
        <v>0</v>
      </c>
      <c r="L479">
        <v>0</v>
      </c>
      <c r="M479" t="s">
        <v>48</v>
      </c>
    </row>
    <row r="480" spans="1:13" hidden="1" x14ac:dyDescent="0.15">
      <c r="A480" t="s">
        <v>1600</v>
      </c>
      <c r="B480" t="s">
        <v>1601</v>
      </c>
      <c r="C480" t="s">
        <v>1602</v>
      </c>
      <c r="D480" t="s">
        <v>1596</v>
      </c>
      <c r="E480">
        <v>0</v>
      </c>
      <c r="F480" t="str">
        <f>HYPERLINK("https://github.com/ankidroid/Anki-Android/issues/3568", "show")</f>
        <v>show</v>
      </c>
      <c r="G480" t="str">
        <f t="shared" si="2"/>
        <v>show</v>
      </c>
      <c r="H480" t="str">
        <f t="shared" si="3"/>
        <v>show</v>
      </c>
      <c r="I480">
        <v>1</v>
      </c>
      <c r="J480">
        <v>1</v>
      </c>
      <c r="K480">
        <v>1</v>
      </c>
      <c r="L480">
        <v>0</v>
      </c>
      <c r="M480" t="s">
        <v>59</v>
      </c>
    </row>
    <row r="481" spans="1:13" hidden="1" x14ac:dyDescent="0.15">
      <c r="A481" t="s">
        <v>1603</v>
      </c>
      <c r="B481" t="s">
        <v>1604</v>
      </c>
      <c r="C481" t="s">
        <v>1605</v>
      </c>
      <c r="D481" t="s">
        <v>1596</v>
      </c>
      <c r="E481">
        <v>0</v>
      </c>
      <c r="F481" t="str">
        <f>HYPERLINK("https://github.com/ankidroid/Anki-Android/issues/3557", "show")</f>
        <v>show</v>
      </c>
      <c r="G481" t="str">
        <f t="shared" si="2"/>
        <v>show</v>
      </c>
      <c r="H481" t="str">
        <f t="shared" si="3"/>
        <v>show</v>
      </c>
      <c r="I481">
        <v>1</v>
      </c>
      <c r="J481">
        <v>1</v>
      </c>
      <c r="K481">
        <v>0</v>
      </c>
      <c r="L481">
        <v>0</v>
      </c>
      <c r="M481" t="s">
        <v>48</v>
      </c>
    </row>
    <row r="482" spans="1:13" hidden="1" x14ac:dyDescent="0.15">
      <c r="A482" t="s">
        <v>1606</v>
      </c>
      <c r="B482" t="s">
        <v>1607</v>
      </c>
      <c r="C482" t="s">
        <v>1608</v>
      </c>
      <c r="D482" t="s">
        <v>1596</v>
      </c>
      <c r="E482">
        <v>187</v>
      </c>
      <c r="F482" t="str">
        <f>HYPERLINK("https://github.com/ankidroid/Anki-Android/issues/3547", "show")</f>
        <v>show</v>
      </c>
      <c r="G482" t="str">
        <f t="shared" si="2"/>
        <v>show</v>
      </c>
      <c r="H482" t="str">
        <f t="shared" si="3"/>
        <v>show</v>
      </c>
      <c r="I482">
        <v>1</v>
      </c>
      <c r="J482">
        <v>1</v>
      </c>
      <c r="K482">
        <v>0</v>
      </c>
      <c r="L482">
        <v>0</v>
      </c>
      <c r="M482" t="s">
        <v>48</v>
      </c>
    </row>
    <row r="483" spans="1:13" hidden="1" x14ac:dyDescent="0.15">
      <c r="A483" t="s">
        <v>1609</v>
      </c>
      <c r="B483" t="s">
        <v>1610</v>
      </c>
      <c r="C483" t="s">
        <v>1611</v>
      </c>
      <c r="D483" t="s">
        <v>1596</v>
      </c>
      <c r="E483">
        <v>1168</v>
      </c>
      <c r="F483" t="str">
        <f>HYPERLINK("https://github.com/ankidroid/Anki-Android/issues/3543", "show")</f>
        <v>show</v>
      </c>
      <c r="G483" t="str">
        <f t="shared" si="2"/>
        <v>show</v>
      </c>
      <c r="H483" t="str">
        <f t="shared" si="3"/>
        <v>show</v>
      </c>
      <c r="I483">
        <v>1</v>
      </c>
      <c r="J483">
        <v>0</v>
      </c>
      <c r="K483">
        <v>1</v>
      </c>
      <c r="L483">
        <v>0</v>
      </c>
      <c r="M483" t="s">
        <v>64</v>
      </c>
    </row>
    <row r="484" spans="1:13" hidden="1" x14ac:dyDescent="0.15">
      <c r="A484" t="s">
        <v>1612</v>
      </c>
      <c r="B484" t="s">
        <v>1613</v>
      </c>
      <c r="C484" t="s">
        <v>1614</v>
      </c>
      <c r="D484" t="s">
        <v>1596</v>
      </c>
      <c r="E484">
        <v>92</v>
      </c>
      <c r="F484" t="str">
        <f>HYPERLINK("https://github.com/ankidroid/Anki-Android/issues/3533", "show")</f>
        <v>show</v>
      </c>
      <c r="G484" t="str">
        <f t="shared" si="2"/>
        <v>show</v>
      </c>
      <c r="H484" t="str">
        <f t="shared" si="3"/>
        <v>show</v>
      </c>
      <c r="I484">
        <v>1</v>
      </c>
      <c r="J484">
        <v>1</v>
      </c>
      <c r="K484">
        <v>1</v>
      </c>
      <c r="L484">
        <v>0</v>
      </c>
      <c r="M484" t="s">
        <v>59</v>
      </c>
    </row>
    <row r="485" spans="1:13" hidden="1" x14ac:dyDescent="0.15">
      <c r="A485" t="s">
        <v>1615</v>
      </c>
      <c r="B485" t="s">
        <v>1616</v>
      </c>
      <c r="C485" t="s">
        <v>1617</v>
      </c>
      <c r="D485" t="s">
        <v>1596</v>
      </c>
      <c r="E485">
        <v>0</v>
      </c>
      <c r="F485" t="str">
        <f>HYPERLINK("https://github.com/ankidroid/Anki-Android/issues/3531", "show")</f>
        <v>show</v>
      </c>
      <c r="G485" t="str">
        <f t="shared" si="2"/>
        <v>show</v>
      </c>
      <c r="H485" t="str">
        <f t="shared" si="3"/>
        <v>show</v>
      </c>
      <c r="I485">
        <v>1</v>
      </c>
      <c r="J485">
        <v>0</v>
      </c>
      <c r="K485">
        <v>0</v>
      </c>
      <c r="L485">
        <v>1</v>
      </c>
      <c r="M485" t="s">
        <v>29</v>
      </c>
    </row>
    <row r="486" spans="1:13" hidden="1" x14ac:dyDescent="0.15">
      <c r="A486" t="s">
        <v>1618</v>
      </c>
      <c r="B486" t="s">
        <v>1619</v>
      </c>
      <c r="C486" t="s">
        <v>1620</v>
      </c>
      <c r="D486" t="s">
        <v>1596</v>
      </c>
      <c r="E486">
        <v>0</v>
      </c>
      <c r="F486" t="str">
        <f>HYPERLINK("https://github.com/ankidroid/Anki-Android/issues/3521", "show")</f>
        <v>show</v>
      </c>
      <c r="G486" t="str">
        <f t="shared" si="2"/>
        <v>show</v>
      </c>
      <c r="H486" t="str">
        <f t="shared" si="3"/>
        <v>show</v>
      </c>
      <c r="I486">
        <v>1</v>
      </c>
      <c r="J486">
        <v>1</v>
      </c>
      <c r="K486">
        <v>0</v>
      </c>
      <c r="L486">
        <v>0</v>
      </c>
      <c r="M486" t="s">
        <v>48</v>
      </c>
    </row>
    <row r="487" spans="1:13" x14ac:dyDescent="0.15">
      <c r="A487" t="s">
        <v>1621</v>
      </c>
      <c r="B487" t="s">
        <v>1622</v>
      </c>
      <c r="C487" t="s">
        <v>1623</v>
      </c>
      <c r="D487" t="s">
        <v>1596</v>
      </c>
      <c r="E487">
        <v>0</v>
      </c>
      <c r="F487" t="str">
        <f>HYPERLINK("https://github.com/ankidroid/Anki-Android/issues/3501", "show")</f>
        <v>show</v>
      </c>
      <c r="G487" t="str">
        <f t="shared" si="2"/>
        <v>show</v>
      </c>
      <c r="H487" t="str">
        <f t="shared" si="3"/>
        <v>show</v>
      </c>
      <c r="I487">
        <v>0</v>
      </c>
      <c r="J487">
        <v>1</v>
      </c>
      <c r="K487">
        <v>0</v>
      </c>
      <c r="L487">
        <v>0</v>
      </c>
      <c r="M487" t="s">
        <v>139</v>
      </c>
    </row>
    <row r="488" spans="1:13" x14ac:dyDescent="0.15">
      <c r="A488" t="s">
        <v>1624</v>
      </c>
      <c r="B488" t="s">
        <v>1625</v>
      </c>
      <c r="C488" t="s">
        <v>1626</v>
      </c>
      <c r="D488" t="s">
        <v>1596</v>
      </c>
      <c r="E488">
        <v>0</v>
      </c>
      <c r="F488" t="str">
        <f>HYPERLINK("https://github.com/ankidroid/Anki-Android/issues/3483", "show")</f>
        <v>show</v>
      </c>
      <c r="G488" t="str">
        <f t="shared" si="2"/>
        <v>show</v>
      </c>
      <c r="H488" t="str">
        <f t="shared" si="3"/>
        <v>show</v>
      </c>
      <c r="I488">
        <v>0</v>
      </c>
      <c r="J488">
        <v>1</v>
      </c>
      <c r="K488">
        <v>0</v>
      </c>
      <c r="L488">
        <v>0</v>
      </c>
      <c r="M488" t="s">
        <v>139</v>
      </c>
    </row>
    <row r="489" spans="1:13" hidden="1" x14ac:dyDescent="0.15">
      <c r="A489" t="s">
        <v>1627</v>
      </c>
      <c r="B489" t="s">
        <v>1628</v>
      </c>
      <c r="C489" t="s">
        <v>1629</v>
      </c>
      <c r="D489" t="s">
        <v>1596</v>
      </c>
      <c r="E489">
        <v>93</v>
      </c>
      <c r="F489" t="str">
        <f>HYPERLINK("https://github.com/ankidroid/Anki-Android/issues/3469", "show")</f>
        <v>show</v>
      </c>
      <c r="G489" t="str">
        <f t="shared" si="2"/>
        <v>show</v>
      </c>
      <c r="H489" t="str">
        <f t="shared" si="3"/>
        <v>show</v>
      </c>
      <c r="I489">
        <v>1</v>
      </c>
      <c r="J489">
        <v>1</v>
      </c>
      <c r="K489">
        <v>0</v>
      </c>
      <c r="L489">
        <v>0</v>
      </c>
      <c r="M489" t="s">
        <v>48</v>
      </c>
    </row>
    <row r="490" spans="1:13" hidden="1" x14ac:dyDescent="0.15">
      <c r="A490" t="s">
        <v>1630</v>
      </c>
      <c r="B490" t="s">
        <v>1631</v>
      </c>
      <c r="C490" t="s">
        <v>1632</v>
      </c>
      <c r="D490" t="s">
        <v>1596</v>
      </c>
      <c r="E490">
        <v>92</v>
      </c>
      <c r="F490" t="str">
        <f>HYPERLINK("https://github.com/ankidroid/Anki-Android/issues/3458", "show")</f>
        <v>show</v>
      </c>
      <c r="G490" t="str">
        <f t="shared" si="2"/>
        <v>show</v>
      </c>
      <c r="H490" t="str">
        <f t="shared" si="3"/>
        <v>show</v>
      </c>
      <c r="I490">
        <v>0</v>
      </c>
      <c r="J490">
        <v>0</v>
      </c>
      <c r="K490">
        <v>0</v>
      </c>
      <c r="L490">
        <v>0</v>
      </c>
      <c r="M490" t="s">
        <v>43</v>
      </c>
    </row>
    <row r="491" spans="1:13" x14ac:dyDescent="0.15">
      <c r="A491" t="s">
        <v>1633</v>
      </c>
      <c r="B491" t="s">
        <v>1634</v>
      </c>
      <c r="C491" t="s">
        <v>1635</v>
      </c>
      <c r="D491" t="s">
        <v>1596</v>
      </c>
      <c r="E491">
        <v>1144</v>
      </c>
      <c r="F491" t="str">
        <f>HYPERLINK("https://github.com/ankidroid/Anki-Android/issues/3450", "show")</f>
        <v>show</v>
      </c>
      <c r="G491" t="str">
        <f t="shared" si="2"/>
        <v>show</v>
      </c>
      <c r="H491" t="str">
        <f t="shared" si="3"/>
        <v>show</v>
      </c>
      <c r="I491">
        <v>0</v>
      </c>
      <c r="J491">
        <v>1</v>
      </c>
      <c r="K491">
        <v>0</v>
      </c>
      <c r="L491">
        <v>0</v>
      </c>
      <c r="M491" t="s">
        <v>139</v>
      </c>
    </row>
    <row r="492" spans="1:13" hidden="1" x14ac:dyDescent="0.15">
      <c r="A492" t="s">
        <v>1636</v>
      </c>
      <c r="B492" t="s">
        <v>1637</v>
      </c>
      <c r="C492" t="s">
        <v>1638</v>
      </c>
      <c r="D492" t="s">
        <v>1596</v>
      </c>
      <c r="E492">
        <v>0</v>
      </c>
      <c r="F492" t="str">
        <f>HYPERLINK("https://github.com/ankidroid/Anki-Android/issues/3449", "show")</f>
        <v>show</v>
      </c>
      <c r="G492" t="str">
        <f t="shared" si="2"/>
        <v>show</v>
      </c>
      <c r="H492" t="str">
        <f t="shared" si="3"/>
        <v>show</v>
      </c>
      <c r="I492">
        <v>0</v>
      </c>
      <c r="J492">
        <v>0</v>
      </c>
      <c r="K492">
        <v>0</v>
      </c>
      <c r="L492">
        <v>0</v>
      </c>
      <c r="M492" t="s">
        <v>43</v>
      </c>
    </row>
    <row r="493" spans="1:13" x14ac:dyDescent="0.15">
      <c r="A493" t="s">
        <v>1639</v>
      </c>
      <c r="B493" t="s">
        <v>1640</v>
      </c>
      <c r="C493" t="s">
        <v>1641</v>
      </c>
      <c r="D493" t="s">
        <v>1596</v>
      </c>
      <c r="E493">
        <v>6</v>
      </c>
      <c r="F493" t="str">
        <f>HYPERLINK("https://github.com/ankidroid/Anki-Android/issues/3443", "show")</f>
        <v>show</v>
      </c>
      <c r="G493" t="str">
        <f t="shared" si="2"/>
        <v>show</v>
      </c>
      <c r="H493" t="str">
        <f t="shared" si="3"/>
        <v>show</v>
      </c>
      <c r="I493">
        <v>0</v>
      </c>
      <c r="J493">
        <v>1</v>
      </c>
      <c r="K493">
        <v>0</v>
      </c>
      <c r="L493">
        <v>0</v>
      </c>
      <c r="M493" t="s">
        <v>139</v>
      </c>
    </row>
    <row r="494" spans="1:13" hidden="1" x14ac:dyDescent="0.15">
      <c r="A494" t="s">
        <v>1642</v>
      </c>
      <c r="B494" t="s">
        <v>1643</v>
      </c>
      <c r="C494" t="s">
        <v>1644</v>
      </c>
      <c r="D494" t="s">
        <v>1596</v>
      </c>
      <c r="E494">
        <v>0</v>
      </c>
      <c r="F494" t="str">
        <f>HYPERLINK("https://github.com/ankidroid/Anki-Android/issues/3438", "show")</f>
        <v>show</v>
      </c>
      <c r="G494" t="str">
        <f t="shared" si="2"/>
        <v>show</v>
      </c>
      <c r="H494" t="str">
        <f t="shared" si="3"/>
        <v>show</v>
      </c>
      <c r="I494">
        <v>1</v>
      </c>
      <c r="J494">
        <v>0</v>
      </c>
      <c r="K494">
        <v>1</v>
      </c>
      <c r="L494">
        <v>0</v>
      </c>
      <c r="M494" t="s">
        <v>64</v>
      </c>
    </row>
    <row r="495" spans="1:13" hidden="1" x14ac:dyDescent="0.15">
      <c r="A495" t="s">
        <v>1645</v>
      </c>
      <c r="B495" t="s">
        <v>1646</v>
      </c>
      <c r="C495" t="s">
        <v>1647</v>
      </c>
      <c r="D495" t="s">
        <v>1596</v>
      </c>
      <c r="E495">
        <v>0</v>
      </c>
      <c r="F495" t="str">
        <f>HYPERLINK("https://github.com/ankidroid/Anki-Android/issues/3429", "show")</f>
        <v>show</v>
      </c>
      <c r="G495" t="str">
        <f t="shared" si="2"/>
        <v>show</v>
      </c>
      <c r="H495" t="str">
        <f t="shared" si="3"/>
        <v>show</v>
      </c>
      <c r="I495">
        <v>0</v>
      </c>
      <c r="J495">
        <v>0</v>
      </c>
      <c r="K495">
        <v>0</v>
      </c>
      <c r="L495">
        <v>0</v>
      </c>
      <c r="M495" t="s">
        <v>43</v>
      </c>
    </row>
    <row r="496" spans="1:13" x14ac:dyDescent="0.15">
      <c r="A496" t="s">
        <v>1648</v>
      </c>
      <c r="B496" t="s">
        <v>1649</v>
      </c>
      <c r="C496" t="s">
        <v>1650</v>
      </c>
      <c r="D496" t="s">
        <v>1596</v>
      </c>
      <c r="E496">
        <v>0</v>
      </c>
      <c r="F496" t="str">
        <f>HYPERLINK("https://github.com/ankidroid/Anki-Android/issues/3401", "show")</f>
        <v>show</v>
      </c>
      <c r="G496" t="str">
        <f t="shared" si="2"/>
        <v>show</v>
      </c>
      <c r="H496" t="str">
        <f t="shared" si="3"/>
        <v>show</v>
      </c>
      <c r="I496">
        <v>0</v>
      </c>
      <c r="J496">
        <v>1</v>
      </c>
      <c r="K496">
        <v>0</v>
      </c>
      <c r="L496">
        <v>0</v>
      </c>
      <c r="M496" t="s">
        <v>139</v>
      </c>
    </row>
    <row r="497" spans="1:13" hidden="1" x14ac:dyDescent="0.15">
      <c r="A497" t="s">
        <v>1651</v>
      </c>
      <c r="B497" t="s">
        <v>1652</v>
      </c>
      <c r="C497" t="s">
        <v>1653</v>
      </c>
      <c r="D497" t="s">
        <v>1596</v>
      </c>
      <c r="E497">
        <v>0</v>
      </c>
      <c r="F497" t="str">
        <f>HYPERLINK("https://github.com/ankidroid/Anki-Android/issues/3398", "show")</f>
        <v>show</v>
      </c>
      <c r="G497" t="str">
        <f t="shared" si="2"/>
        <v>show</v>
      </c>
      <c r="H497" t="str">
        <f t="shared" si="3"/>
        <v>show</v>
      </c>
      <c r="I497">
        <v>1</v>
      </c>
      <c r="J497">
        <v>1</v>
      </c>
      <c r="K497">
        <v>0</v>
      </c>
      <c r="L497">
        <v>0</v>
      </c>
      <c r="M497" t="s">
        <v>48</v>
      </c>
    </row>
    <row r="498" spans="1:13" hidden="1" x14ac:dyDescent="0.15">
      <c r="A498" t="s">
        <v>1654</v>
      </c>
      <c r="B498" t="s">
        <v>1655</v>
      </c>
      <c r="C498" t="s">
        <v>1656</v>
      </c>
      <c r="D498" t="s">
        <v>1596</v>
      </c>
      <c r="E498">
        <v>0</v>
      </c>
      <c r="F498" t="str">
        <f>HYPERLINK("https://github.com/ankidroid/Anki-Android/issues/3395", "show")</f>
        <v>show</v>
      </c>
      <c r="G498" t="str">
        <f t="shared" si="2"/>
        <v>show</v>
      </c>
      <c r="H498" t="str">
        <f t="shared" si="3"/>
        <v>show</v>
      </c>
      <c r="I498">
        <v>0</v>
      </c>
      <c r="J498">
        <v>0</v>
      </c>
      <c r="K498">
        <v>0</v>
      </c>
      <c r="L498">
        <v>0</v>
      </c>
      <c r="M498" t="s">
        <v>43</v>
      </c>
    </row>
    <row r="499" spans="1:13" x14ac:dyDescent="0.15">
      <c r="A499" t="s">
        <v>1657</v>
      </c>
      <c r="B499" t="s">
        <v>1658</v>
      </c>
      <c r="C499" t="s">
        <v>1659</v>
      </c>
      <c r="D499" t="s">
        <v>1596</v>
      </c>
      <c r="E499">
        <v>187</v>
      </c>
      <c r="F499" t="str">
        <f>HYPERLINK("https://github.com/ankidroid/Anki-Android/issues/3394", "show")</f>
        <v>show</v>
      </c>
      <c r="G499" t="str">
        <f t="shared" si="2"/>
        <v>show</v>
      </c>
      <c r="H499" t="str">
        <f t="shared" si="3"/>
        <v>show</v>
      </c>
      <c r="I499">
        <v>0</v>
      </c>
      <c r="J499">
        <v>1</v>
      </c>
      <c r="K499">
        <v>0</v>
      </c>
      <c r="L499">
        <v>0</v>
      </c>
      <c r="M499" t="s">
        <v>139</v>
      </c>
    </row>
    <row r="500" spans="1:13" hidden="1" x14ac:dyDescent="0.15">
      <c r="A500" t="s">
        <v>1660</v>
      </c>
      <c r="B500" t="s">
        <v>1661</v>
      </c>
      <c r="C500" t="s">
        <v>1662</v>
      </c>
      <c r="D500" t="s">
        <v>1596</v>
      </c>
      <c r="E500">
        <v>0</v>
      </c>
      <c r="F500" t="str">
        <f>HYPERLINK("https://github.com/ankidroid/Anki-Android/issues/3382", "show")</f>
        <v>show</v>
      </c>
      <c r="G500" t="str">
        <f t="shared" si="2"/>
        <v>show</v>
      </c>
      <c r="H500" t="str">
        <f t="shared" si="3"/>
        <v>show</v>
      </c>
      <c r="I500">
        <v>1</v>
      </c>
      <c r="J500">
        <v>0</v>
      </c>
      <c r="K500">
        <v>0</v>
      </c>
      <c r="L500">
        <v>0</v>
      </c>
      <c r="M500" t="s">
        <v>17</v>
      </c>
    </row>
    <row r="501" spans="1:13" hidden="1" x14ac:dyDescent="0.15">
      <c r="A501" t="s">
        <v>1663</v>
      </c>
      <c r="B501" t="s">
        <v>1664</v>
      </c>
      <c r="C501" t="s">
        <v>1665</v>
      </c>
      <c r="D501" t="s">
        <v>1596</v>
      </c>
      <c r="E501">
        <v>0</v>
      </c>
      <c r="F501" t="str">
        <f>HYPERLINK("https://github.com/ankidroid/Anki-Android/issues/3380", "show")</f>
        <v>show</v>
      </c>
      <c r="G501" t="str">
        <f t="shared" si="2"/>
        <v>show</v>
      </c>
      <c r="H501" t="str">
        <f t="shared" si="3"/>
        <v>show</v>
      </c>
      <c r="I501">
        <v>1</v>
      </c>
      <c r="J501">
        <v>0</v>
      </c>
      <c r="K501">
        <v>0</v>
      </c>
      <c r="L501">
        <v>0</v>
      </c>
      <c r="M501" t="s">
        <v>17</v>
      </c>
    </row>
    <row r="502" spans="1:13" hidden="1" x14ac:dyDescent="0.15">
      <c r="A502" t="s">
        <v>1666</v>
      </c>
      <c r="B502" t="s">
        <v>1667</v>
      </c>
      <c r="C502" t="s">
        <v>1668</v>
      </c>
      <c r="D502" t="s">
        <v>1596</v>
      </c>
      <c r="E502">
        <v>1779</v>
      </c>
      <c r="F502" t="str">
        <f>HYPERLINK("https://github.com/ankidroid/Anki-Android/issues/3376", "show")</f>
        <v>show</v>
      </c>
      <c r="G502" t="str">
        <f t="shared" si="2"/>
        <v>show</v>
      </c>
      <c r="H502" t="str">
        <f t="shared" si="3"/>
        <v>show</v>
      </c>
      <c r="I502">
        <v>0</v>
      </c>
      <c r="J502">
        <v>0</v>
      </c>
      <c r="K502">
        <v>0</v>
      </c>
      <c r="L502">
        <v>0</v>
      </c>
      <c r="M502" t="s">
        <v>43</v>
      </c>
    </row>
    <row r="503" spans="1:13" hidden="1" x14ac:dyDescent="0.15">
      <c r="A503" t="s">
        <v>1669</v>
      </c>
      <c r="B503" t="s">
        <v>1670</v>
      </c>
      <c r="C503" t="s">
        <v>1671</v>
      </c>
      <c r="D503" t="s">
        <v>1596</v>
      </c>
      <c r="E503">
        <v>0</v>
      </c>
      <c r="F503" t="str">
        <f>HYPERLINK("https://github.com/ankidroid/Anki-Android/issues/3371", "show")</f>
        <v>show</v>
      </c>
      <c r="G503" t="str">
        <f t="shared" si="2"/>
        <v>show</v>
      </c>
      <c r="H503" t="str">
        <f t="shared" si="3"/>
        <v>show</v>
      </c>
      <c r="I503">
        <v>0</v>
      </c>
      <c r="J503">
        <v>0</v>
      </c>
      <c r="K503">
        <v>0</v>
      </c>
      <c r="L503">
        <v>0</v>
      </c>
      <c r="M503" t="s">
        <v>43</v>
      </c>
    </row>
    <row r="504" spans="1:13" hidden="1" x14ac:dyDescent="0.15">
      <c r="A504" t="s">
        <v>1672</v>
      </c>
      <c r="B504" t="s">
        <v>1673</v>
      </c>
      <c r="C504" t="s">
        <v>1674</v>
      </c>
      <c r="D504" t="s">
        <v>1596</v>
      </c>
      <c r="E504">
        <v>0</v>
      </c>
      <c r="F504" t="str">
        <f>HYPERLINK("https://github.com/ankidroid/Anki-Android/issues/3370", "show")</f>
        <v>show</v>
      </c>
      <c r="G504" t="str">
        <f t="shared" si="2"/>
        <v>show</v>
      </c>
      <c r="H504" t="str">
        <f t="shared" si="3"/>
        <v>show</v>
      </c>
      <c r="I504">
        <v>1</v>
      </c>
      <c r="J504">
        <v>1</v>
      </c>
      <c r="K504">
        <v>0</v>
      </c>
      <c r="L504">
        <v>0</v>
      </c>
      <c r="M504" t="s">
        <v>48</v>
      </c>
    </row>
    <row r="505" spans="1:13" x14ac:dyDescent="0.15">
      <c r="A505" t="s">
        <v>1675</v>
      </c>
      <c r="B505" t="s">
        <v>1676</v>
      </c>
      <c r="C505" t="s">
        <v>1677</v>
      </c>
      <c r="D505" t="s">
        <v>1596</v>
      </c>
      <c r="E505">
        <v>0</v>
      </c>
      <c r="F505" t="str">
        <f>HYPERLINK("https://github.com/ankidroid/Anki-Android/issues/3369", "show")</f>
        <v>show</v>
      </c>
      <c r="G505" t="str">
        <f t="shared" si="2"/>
        <v>show</v>
      </c>
      <c r="H505" t="str">
        <f t="shared" si="3"/>
        <v>show</v>
      </c>
      <c r="I505">
        <v>0</v>
      </c>
      <c r="J505">
        <v>1</v>
      </c>
      <c r="K505">
        <v>0</v>
      </c>
      <c r="L505">
        <v>0</v>
      </c>
      <c r="M505" t="s">
        <v>139</v>
      </c>
    </row>
    <row r="506" spans="1:13" x14ac:dyDescent="0.15">
      <c r="A506" t="s">
        <v>1678</v>
      </c>
      <c r="B506" t="s">
        <v>1679</v>
      </c>
      <c r="C506" t="s">
        <v>1680</v>
      </c>
      <c r="D506" t="s">
        <v>1596</v>
      </c>
      <c r="E506">
        <v>0</v>
      </c>
      <c r="F506" t="str">
        <f>HYPERLINK("https://github.com/ankidroid/Anki-Android/issues/3362", "show")</f>
        <v>show</v>
      </c>
      <c r="G506" t="str">
        <f t="shared" si="2"/>
        <v>show</v>
      </c>
      <c r="H506" t="str">
        <f t="shared" si="3"/>
        <v>show</v>
      </c>
      <c r="I506">
        <v>0</v>
      </c>
      <c r="J506">
        <v>1</v>
      </c>
      <c r="K506">
        <v>0</v>
      </c>
      <c r="L506">
        <v>0</v>
      </c>
      <c r="M506" t="s">
        <v>139</v>
      </c>
    </row>
    <row r="507" spans="1:13" hidden="1" x14ac:dyDescent="0.15">
      <c r="A507" t="s">
        <v>1681</v>
      </c>
      <c r="B507" t="s">
        <v>1682</v>
      </c>
      <c r="C507" t="s">
        <v>1683</v>
      </c>
      <c r="D507" t="s">
        <v>1596</v>
      </c>
      <c r="E507">
        <v>0</v>
      </c>
      <c r="F507" t="str">
        <f>HYPERLINK("https://github.com/ankidroid/Anki-Android/issues/3361", "show")</f>
        <v>show</v>
      </c>
      <c r="G507" t="str">
        <f t="shared" si="2"/>
        <v>show</v>
      </c>
      <c r="H507" t="str">
        <f t="shared" si="3"/>
        <v>show</v>
      </c>
      <c r="I507">
        <v>0</v>
      </c>
      <c r="J507">
        <v>0</v>
      </c>
      <c r="K507">
        <v>0</v>
      </c>
      <c r="L507">
        <v>0</v>
      </c>
      <c r="M507" t="s">
        <v>43</v>
      </c>
    </row>
    <row r="508" spans="1:13" x14ac:dyDescent="0.15">
      <c r="A508" t="s">
        <v>1684</v>
      </c>
      <c r="B508" t="s">
        <v>1685</v>
      </c>
      <c r="C508" t="s">
        <v>1686</v>
      </c>
      <c r="D508" t="s">
        <v>1596</v>
      </c>
      <c r="E508">
        <v>0</v>
      </c>
      <c r="F508" t="str">
        <f>HYPERLINK("https://github.com/ankidroid/Anki-Android/issues/3360", "show")</f>
        <v>show</v>
      </c>
      <c r="G508" t="str">
        <f t="shared" si="2"/>
        <v>show</v>
      </c>
      <c r="H508" t="str">
        <f t="shared" si="3"/>
        <v>show</v>
      </c>
      <c r="I508">
        <v>0</v>
      </c>
      <c r="J508">
        <v>1</v>
      </c>
      <c r="K508">
        <v>0</v>
      </c>
      <c r="L508">
        <v>0</v>
      </c>
      <c r="M508" t="s">
        <v>139</v>
      </c>
    </row>
    <row r="509" spans="1:13" x14ac:dyDescent="0.15">
      <c r="A509" t="s">
        <v>1687</v>
      </c>
      <c r="B509" t="s">
        <v>1688</v>
      </c>
      <c r="C509" t="s">
        <v>1689</v>
      </c>
      <c r="D509" t="s">
        <v>1596</v>
      </c>
      <c r="E509">
        <v>1779</v>
      </c>
      <c r="F509" t="str">
        <f>HYPERLINK("https://github.com/ankidroid/Anki-Android/issues/3358", "show")</f>
        <v>show</v>
      </c>
      <c r="G509" t="str">
        <f t="shared" si="2"/>
        <v>show</v>
      </c>
      <c r="H509" t="str">
        <f t="shared" si="3"/>
        <v>show</v>
      </c>
      <c r="I509">
        <v>0</v>
      </c>
      <c r="J509">
        <v>1</v>
      </c>
      <c r="K509">
        <v>0</v>
      </c>
      <c r="L509">
        <v>0</v>
      </c>
      <c r="M509" t="s">
        <v>139</v>
      </c>
    </row>
    <row r="510" spans="1:13" x14ac:dyDescent="0.15">
      <c r="A510" t="s">
        <v>1690</v>
      </c>
      <c r="B510" t="s">
        <v>1691</v>
      </c>
      <c r="C510" t="s">
        <v>1692</v>
      </c>
      <c r="D510" t="s">
        <v>1596</v>
      </c>
      <c r="E510">
        <v>0</v>
      </c>
      <c r="F510" t="str">
        <f>HYPERLINK("https://github.com/ankidroid/Anki-Android/issues/3357", "show")</f>
        <v>show</v>
      </c>
      <c r="G510" t="str">
        <f t="shared" si="2"/>
        <v>show</v>
      </c>
      <c r="H510" t="str">
        <f t="shared" si="3"/>
        <v>show</v>
      </c>
      <c r="I510">
        <v>0</v>
      </c>
      <c r="J510">
        <v>1</v>
      </c>
      <c r="K510">
        <v>0</v>
      </c>
      <c r="L510">
        <v>0</v>
      </c>
      <c r="M510" t="s">
        <v>139</v>
      </c>
    </row>
    <row r="511" spans="1:13" x14ac:dyDescent="0.15">
      <c r="A511" t="s">
        <v>1693</v>
      </c>
      <c r="B511" t="s">
        <v>1694</v>
      </c>
      <c r="C511" t="s">
        <v>1695</v>
      </c>
      <c r="D511" t="s">
        <v>1596</v>
      </c>
      <c r="E511">
        <v>0</v>
      </c>
      <c r="F511" t="str">
        <f>HYPERLINK("https://github.com/ankidroid/Anki-Android/issues/3356", "show")</f>
        <v>show</v>
      </c>
      <c r="G511" t="str">
        <f t="shared" si="2"/>
        <v>show</v>
      </c>
      <c r="H511" t="str">
        <f t="shared" si="3"/>
        <v>show</v>
      </c>
      <c r="I511">
        <v>0</v>
      </c>
      <c r="J511">
        <v>1</v>
      </c>
      <c r="K511">
        <v>0</v>
      </c>
      <c r="L511">
        <v>0</v>
      </c>
      <c r="M511" t="s">
        <v>139</v>
      </c>
    </row>
    <row r="512" spans="1:13" x14ac:dyDescent="0.15">
      <c r="A512" t="s">
        <v>1696</v>
      </c>
      <c r="B512" t="s">
        <v>1697</v>
      </c>
      <c r="C512" t="s">
        <v>1698</v>
      </c>
      <c r="D512" t="s">
        <v>1596</v>
      </c>
      <c r="E512">
        <v>0</v>
      </c>
      <c r="F512" t="str">
        <f>HYPERLINK("https://github.com/ankidroid/Anki-Android/issues/3355", "show")</f>
        <v>show</v>
      </c>
      <c r="G512" t="str">
        <f t="shared" si="2"/>
        <v>show</v>
      </c>
      <c r="H512" t="str">
        <f t="shared" si="3"/>
        <v>show</v>
      </c>
      <c r="I512">
        <v>0</v>
      </c>
      <c r="J512">
        <v>1</v>
      </c>
      <c r="K512">
        <v>0</v>
      </c>
      <c r="L512">
        <v>0</v>
      </c>
      <c r="M512" t="s">
        <v>139</v>
      </c>
    </row>
    <row r="513" spans="1:13" x14ac:dyDescent="0.15">
      <c r="A513" t="s">
        <v>1699</v>
      </c>
      <c r="B513" t="s">
        <v>1700</v>
      </c>
      <c r="C513" t="s">
        <v>1701</v>
      </c>
      <c r="D513" t="s">
        <v>1596</v>
      </c>
      <c r="E513">
        <v>0</v>
      </c>
      <c r="F513" t="str">
        <f>HYPERLINK("https://github.com/ankidroid/Anki-Android/issues/3350", "show")</f>
        <v>show</v>
      </c>
      <c r="G513" t="str">
        <f t="shared" si="2"/>
        <v>show</v>
      </c>
      <c r="H513" t="str">
        <f t="shared" si="3"/>
        <v>show</v>
      </c>
      <c r="I513">
        <v>0</v>
      </c>
      <c r="J513">
        <v>1</v>
      </c>
      <c r="K513">
        <v>0</v>
      </c>
      <c r="L513">
        <v>0</v>
      </c>
      <c r="M513" t="s">
        <v>139</v>
      </c>
    </row>
    <row r="514" spans="1:13" hidden="1" x14ac:dyDescent="0.15">
      <c r="A514" t="s">
        <v>1702</v>
      </c>
      <c r="B514" t="s">
        <v>1703</v>
      </c>
      <c r="C514" t="s">
        <v>1704</v>
      </c>
      <c r="D514" t="s">
        <v>1596</v>
      </c>
      <c r="E514">
        <v>6</v>
      </c>
      <c r="F514" t="str">
        <f>HYPERLINK("https://github.com/ankidroid/Anki-Android/issues/3346", "show")</f>
        <v>show</v>
      </c>
      <c r="G514" t="str">
        <f t="shared" si="2"/>
        <v>show</v>
      </c>
      <c r="H514" t="str">
        <f t="shared" si="3"/>
        <v>show</v>
      </c>
      <c r="I514">
        <v>0</v>
      </c>
      <c r="J514">
        <v>0</v>
      </c>
      <c r="K514">
        <v>0</v>
      </c>
      <c r="L514">
        <v>1</v>
      </c>
      <c r="M514" t="s">
        <v>581</v>
      </c>
    </row>
    <row r="515" spans="1:13" x14ac:dyDescent="0.15">
      <c r="A515" t="s">
        <v>1705</v>
      </c>
      <c r="B515" t="s">
        <v>1706</v>
      </c>
      <c r="C515" t="s">
        <v>1707</v>
      </c>
      <c r="D515" t="s">
        <v>1596</v>
      </c>
      <c r="E515">
        <v>0</v>
      </c>
      <c r="F515" t="str">
        <f>HYPERLINK("https://github.com/ankidroid/Anki-Android/issues/3345", "show")</f>
        <v>show</v>
      </c>
      <c r="G515" t="str">
        <f t="shared" si="2"/>
        <v>show</v>
      </c>
      <c r="H515" t="str">
        <f t="shared" si="3"/>
        <v>show</v>
      </c>
      <c r="I515">
        <v>0</v>
      </c>
      <c r="J515">
        <v>1</v>
      </c>
      <c r="K515">
        <v>0</v>
      </c>
      <c r="L515">
        <v>0</v>
      </c>
      <c r="M515" t="s">
        <v>139</v>
      </c>
    </row>
    <row r="516" spans="1:13" x14ac:dyDescent="0.15">
      <c r="A516" t="s">
        <v>1708</v>
      </c>
      <c r="B516" t="s">
        <v>1709</v>
      </c>
      <c r="C516" t="s">
        <v>1710</v>
      </c>
      <c r="D516" t="s">
        <v>1596</v>
      </c>
      <c r="E516">
        <v>0</v>
      </c>
      <c r="F516" t="str">
        <f>HYPERLINK("https://github.com/ankidroid/Anki-Android/issues/3344", "show")</f>
        <v>show</v>
      </c>
      <c r="G516" t="str">
        <f t="shared" si="2"/>
        <v>show</v>
      </c>
      <c r="H516" t="str">
        <f t="shared" si="3"/>
        <v>show</v>
      </c>
      <c r="I516">
        <v>0</v>
      </c>
      <c r="J516">
        <v>1</v>
      </c>
      <c r="K516">
        <v>0</v>
      </c>
      <c r="L516">
        <v>0</v>
      </c>
      <c r="M516" t="s">
        <v>139</v>
      </c>
    </row>
    <row r="517" spans="1:13" hidden="1" x14ac:dyDescent="0.15">
      <c r="A517" t="s">
        <v>1711</v>
      </c>
      <c r="B517" t="s">
        <v>1712</v>
      </c>
      <c r="C517" t="s">
        <v>1713</v>
      </c>
      <c r="D517" t="s">
        <v>1596</v>
      </c>
      <c r="E517">
        <v>0</v>
      </c>
      <c r="F517" t="str">
        <f>HYPERLINK("https://github.com/ankidroid/Anki-Android/issues/3340", "show")</f>
        <v>show</v>
      </c>
      <c r="G517" t="str">
        <f t="shared" si="2"/>
        <v>show</v>
      </c>
      <c r="H517" t="str">
        <f t="shared" si="3"/>
        <v>show</v>
      </c>
      <c r="I517">
        <v>0</v>
      </c>
      <c r="J517">
        <v>0</v>
      </c>
      <c r="K517">
        <v>0</v>
      </c>
      <c r="L517">
        <v>0</v>
      </c>
      <c r="M517" t="s">
        <v>43</v>
      </c>
    </row>
    <row r="518" spans="1:13" hidden="1" x14ac:dyDescent="0.15">
      <c r="A518" t="s">
        <v>1714</v>
      </c>
      <c r="B518" t="s">
        <v>1715</v>
      </c>
      <c r="C518" t="s">
        <v>1716</v>
      </c>
      <c r="D518" t="s">
        <v>1596</v>
      </c>
      <c r="E518">
        <v>187</v>
      </c>
      <c r="F518" t="str">
        <f>HYPERLINK("https://github.com/ankidroid/Anki-Android/issues/3338", "show")</f>
        <v>show</v>
      </c>
      <c r="G518" t="str">
        <f t="shared" si="2"/>
        <v>show</v>
      </c>
      <c r="H518" t="str">
        <f t="shared" si="3"/>
        <v>show</v>
      </c>
      <c r="I518">
        <v>0</v>
      </c>
      <c r="J518">
        <v>0</v>
      </c>
      <c r="K518">
        <v>0</v>
      </c>
      <c r="L518">
        <v>0</v>
      </c>
      <c r="M518" t="s">
        <v>43</v>
      </c>
    </row>
    <row r="519" spans="1:13" x14ac:dyDescent="0.15">
      <c r="A519" t="s">
        <v>1717</v>
      </c>
      <c r="B519" t="s">
        <v>1718</v>
      </c>
      <c r="C519" t="s">
        <v>1719</v>
      </c>
      <c r="D519" t="s">
        <v>1596</v>
      </c>
      <c r="E519">
        <v>164</v>
      </c>
      <c r="F519" t="str">
        <f>HYPERLINK("https://github.com/ankidroid/Anki-Android/issues/3335", "show")</f>
        <v>show</v>
      </c>
      <c r="G519" t="str">
        <f t="shared" si="2"/>
        <v>show</v>
      </c>
      <c r="H519" t="str">
        <f t="shared" si="3"/>
        <v>show</v>
      </c>
      <c r="I519">
        <v>0</v>
      </c>
      <c r="J519">
        <v>1</v>
      </c>
      <c r="K519">
        <v>0</v>
      </c>
      <c r="L519">
        <v>0</v>
      </c>
      <c r="M519" t="s">
        <v>139</v>
      </c>
    </row>
    <row r="520" spans="1:13" hidden="1" x14ac:dyDescent="0.15">
      <c r="A520" t="s">
        <v>1720</v>
      </c>
      <c r="B520" t="s">
        <v>1721</v>
      </c>
      <c r="C520" t="s">
        <v>1722</v>
      </c>
      <c r="D520" t="s">
        <v>1596</v>
      </c>
      <c r="E520">
        <v>187</v>
      </c>
      <c r="F520" t="str">
        <f>HYPERLINK("https://github.com/ankidroid/Anki-Android/issues/3325", "show")</f>
        <v>show</v>
      </c>
      <c r="G520" t="str">
        <f t="shared" si="2"/>
        <v>show</v>
      </c>
      <c r="H520" t="str">
        <f t="shared" si="3"/>
        <v>show</v>
      </c>
      <c r="I520">
        <v>1</v>
      </c>
      <c r="J520">
        <v>1</v>
      </c>
      <c r="K520">
        <v>0</v>
      </c>
      <c r="L520">
        <v>0</v>
      </c>
      <c r="M520" t="s">
        <v>48</v>
      </c>
    </row>
    <row r="521" spans="1:13" x14ac:dyDescent="0.15">
      <c r="A521" t="s">
        <v>1723</v>
      </c>
      <c r="B521" t="s">
        <v>1724</v>
      </c>
      <c r="C521" t="s">
        <v>1725</v>
      </c>
      <c r="D521" t="s">
        <v>1596</v>
      </c>
      <c r="E521">
        <v>0</v>
      </c>
      <c r="F521" t="str">
        <f>HYPERLINK("https://github.com/ankidroid/Anki-Android/issues/3324", "show")</f>
        <v>show</v>
      </c>
      <c r="G521" t="str">
        <f t="shared" si="2"/>
        <v>show</v>
      </c>
      <c r="H521" t="str">
        <f t="shared" si="3"/>
        <v>show</v>
      </c>
      <c r="I521">
        <v>0</v>
      </c>
      <c r="J521">
        <v>1</v>
      </c>
      <c r="K521">
        <v>0</v>
      </c>
      <c r="L521">
        <v>0</v>
      </c>
      <c r="M521" t="s">
        <v>139</v>
      </c>
    </row>
    <row r="522" spans="1:13" x14ac:dyDescent="0.15">
      <c r="A522" t="s">
        <v>1726</v>
      </c>
      <c r="B522" t="s">
        <v>1727</v>
      </c>
      <c r="C522" t="s">
        <v>1728</v>
      </c>
      <c r="D522" t="s">
        <v>1596</v>
      </c>
      <c r="E522">
        <v>0</v>
      </c>
      <c r="F522" t="str">
        <f>HYPERLINK("https://github.com/ankidroid/Anki-Android/issues/3320", "show")</f>
        <v>show</v>
      </c>
      <c r="G522" t="str">
        <f t="shared" si="2"/>
        <v>show</v>
      </c>
      <c r="H522" t="str">
        <f t="shared" si="3"/>
        <v>show</v>
      </c>
      <c r="I522">
        <v>0</v>
      </c>
      <c r="J522">
        <v>1</v>
      </c>
      <c r="K522">
        <v>0</v>
      </c>
      <c r="L522">
        <v>0</v>
      </c>
      <c r="M522" t="s">
        <v>139</v>
      </c>
    </row>
    <row r="523" spans="1:13" hidden="1" x14ac:dyDescent="0.15">
      <c r="A523" t="s">
        <v>1729</v>
      </c>
      <c r="B523" t="s">
        <v>1730</v>
      </c>
      <c r="C523" t="s">
        <v>1731</v>
      </c>
      <c r="D523" t="s">
        <v>1596</v>
      </c>
      <c r="E523">
        <v>0</v>
      </c>
      <c r="F523" t="str">
        <f>HYPERLINK("https://github.com/ankidroid/Anki-Android/issues/3313", "show")</f>
        <v>show</v>
      </c>
      <c r="G523" t="str">
        <f t="shared" si="2"/>
        <v>show</v>
      </c>
      <c r="H523" t="str">
        <f t="shared" si="3"/>
        <v>show</v>
      </c>
      <c r="I523">
        <v>0</v>
      </c>
      <c r="J523">
        <v>1</v>
      </c>
      <c r="K523">
        <v>0</v>
      </c>
      <c r="L523">
        <v>1</v>
      </c>
      <c r="M523" t="s">
        <v>1732</v>
      </c>
    </row>
    <row r="524" spans="1:13" x14ac:dyDescent="0.15">
      <c r="A524" t="s">
        <v>1733</v>
      </c>
      <c r="B524" t="s">
        <v>1734</v>
      </c>
      <c r="C524" t="s">
        <v>1735</v>
      </c>
      <c r="D524" t="s">
        <v>1596</v>
      </c>
      <c r="E524">
        <v>0</v>
      </c>
      <c r="F524" t="str">
        <f>HYPERLINK("https://github.com/ankidroid/Anki-Android/issues/3312", "show")</f>
        <v>show</v>
      </c>
      <c r="G524" t="str">
        <f t="shared" si="2"/>
        <v>show</v>
      </c>
      <c r="H524" t="str">
        <f t="shared" si="3"/>
        <v>show</v>
      </c>
      <c r="I524">
        <v>0</v>
      </c>
      <c r="J524">
        <v>1</v>
      </c>
      <c r="K524">
        <v>0</v>
      </c>
      <c r="L524">
        <v>0</v>
      </c>
      <c r="M524" t="s">
        <v>139</v>
      </c>
    </row>
    <row r="525" spans="1:13" x14ac:dyDescent="0.15">
      <c r="A525" t="s">
        <v>1736</v>
      </c>
      <c r="B525" t="s">
        <v>1737</v>
      </c>
      <c r="C525" t="s">
        <v>1738</v>
      </c>
      <c r="D525" t="s">
        <v>1596</v>
      </c>
      <c r="E525">
        <v>0</v>
      </c>
      <c r="F525" t="str">
        <f>HYPERLINK("https://github.com/ankidroid/Anki-Android/issues/3311", "show")</f>
        <v>show</v>
      </c>
      <c r="G525" t="str">
        <f t="shared" si="2"/>
        <v>show</v>
      </c>
      <c r="H525" t="str">
        <f t="shared" si="3"/>
        <v>show</v>
      </c>
      <c r="I525">
        <v>0</v>
      </c>
      <c r="J525">
        <v>1</v>
      </c>
      <c r="K525">
        <v>0</v>
      </c>
      <c r="L525">
        <v>0</v>
      </c>
      <c r="M525" t="s">
        <v>139</v>
      </c>
    </row>
    <row r="526" spans="1:13" hidden="1" x14ac:dyDescent="0.15">
      <c r="A526" t="s">
        <v>1739</v>
      </c>
      <c r="B526" t="s">
        <v>1740</v>
      </c>
      <c r="C526" t="s">
        <v>1741</v>
      </c>
      <c r="D526" t="s">
        <v>1596</v>
      </c>
      <c r="E526">
        <v>0</v>
      </c>
      <c r="F526" t="str">
        <f>HYPERLINK("https://github.com/ankidroid/Anki-Android/issues/3310", "show")</f>
        <v>show</v>
      </c>
      <c r="G526" t="str">
        <f t="shared" si="2"/>
        <v>show</v>
      </c>
      <c r="H526" t="str">
        <f t="shared" si="3"/>
        <v>show</v>
      </c>
      <c r="I526">
        <v>0</v>
      </c>
      <c r="J526">
        <v>1</v>
      </c>
      <c r="K526">
        <v>0</v>
      </c>
      <c r="L526">
        <v>1</v>
      </c>
      <c r="M526" t="s">
        <v>1732</v>
      </c>
    </row>
    <row r="527" spans="1:13" x14ac:dyDescent="0.15">
      <c r="A527" t="s">
        <v>1742</v>
      </c>
      <c r="B527" t="s">
        <v>1743</v>
      </c>
      <c r="C527" t="s">
        <v>1744</v>
      </c>
      <c r="D527" t="s">
        <v>1596</v>
      </c>
      <c r="E527">
        <v>187</v>
      </c>
      <c r="F527" t="str">
        <f>HYPERLINK("https://github.com/ankidroid/Anki-Android/issues/3307", "show")</f>
        <v>show</v>
      </c>
      <c r="G527" t="str">
        <f t="shared" si="2"/>
        <v>show</v>
      </c>
      <c r="H527" t="str">
        <f t="shared" si="3"/>
        <v>show</v>
      </c>
      <c r="I527">
        <v>0</v>
      </c>
      <c r="J527">
        <v>1</v>
      </c>
      <c r="K527">
        <v>0</v>
      </c>
      <c r="L527">
        <v>0</v>
      </c>
      <c r="M527" t="s">
        <v>139</v>
      </c>
    </row>
    <row r="528" spans="1:13" hidden="1" x14ac:dyDescent="0.15">
      <c r="A528" t="s">
        <v>1745</v>
      </c>
      <c r="B528" t="s">
        <v>1746</v>
      </c>
      <c r="C528" t="s">
        <v>1747</v>
      </c>
      <c r="D528" t="s">
        <v>1596</v>
      </c>
      <c r="E528">
        <v>0</v>
      </c>
      <c r="F528" t="str">
        <f>HYPERLINK("https://github.com/ankidroid/Anki-Android/issues/3302", "show")</f>
        <v>show</v>
      </c>
      <c r="G528" t="str">
        <f t="shared" si="2"/>
        <v>show</v>
      </c>
      <c r="H528" t="str">
        <f t="shared" si="3"/>
        <v>show</v>
      </c>
      <c r="I528">
        <v>1</v>
      </c>
      <c r="J528">
        <v>0</v>
      </c>
      <c r="K528">
        <v>0</v>
      </c>
      <c r="L528">
        <v>0</v>
      </c>
      <c r="M528" t="s">
        <v>17</v>
      </c>
    </row>
    <row r="529" spans="1:13" hidden="1" x14ac:dyDescent="0.15">
      <c r="A529" t="s">
        <v>1748</v>
      </c>
      <c r="B529" t="s">
        <v>1749</v>
      </c>
      <c r="C529" t="s">
        <v>1750</v>
      </c>
      <c r="D529" t="s">
        <v>1596</v>
      </c>
      <c r="E529">
        <v>0</v>
      </c>
      <c r="F529" t="str">
        <f>HYPERLINK("https://github.com/ankidroid/Anki-Android/issues/3301", "show")</f>
        <v>show</v>
      </c>
      <c r="G529" t="str">
        <f t="shared" si="2"/>
        <v>show</v>
      </c>
      <c r="H529" t="str">
        <f t="shared" si="3"/>
        <v>show</v>
      </c>
      <c r="I529">
        <v>0</v>
      </c>
      <c r="J529">
        <v>0</v>
      </c>
      <c r="K529">
        <v>0</v>
      </c>
      <c r="L529">
        <v>0</v>
      </c>
      <c r="M529" t="s">
        <v>43</v>
      </c>
    </row>
    <row r="530" spans="1:13" hidden="1" x14ac:dyDescent="0.15">
      <c r="A530" t="s">
        <v>1751</v>
      </c>
      <c r="B530" t="s">
        <v>1752</v>
      </c>
      <c r="C530" t="s">
        <v>1753</v>
      </c>
      <c r="D530" t="s">
        <v>1596</v>
      </c>
      <c r="E530">
        <v>0</v>
      </c>
      <c r="F530" t="str">
        <f>HYPERLINK("https://github.com/ankidroid/Anki-Android/issues/3300", "show")</f>
        <v>show</v>
      </c>
      <c r="G530" t="str">
        <f t="shared" si="2"/>
        <v>show</v>
      </c>
      <c r="H530" t="str">
        <f t="shared" si="3"/>
        <v>show</v>
      </c>
      <c r="I530">
        <v>0</v>
      </c>
      <c r="J530">
        <v>0</v>
      </c>
      <c r="K530">
        <v>0</v>
      </c>
      <c r="L530">
        <v>0</v>
      </c>
      <c r="M530" t="s">
        <v>43</v>
      </c>
    </row>
    <row r="531" spans="1:13" hidden="1" x14ac:dyDescent="0.15">
      <c r="A531" t="s">
        <v>1754</v>
      </c>
      <c r="B531" t="s">
        <v>1755</v>
      </c>
      <c r="C531" t="s">
        <v>1756</v>
      </c>
      <c r="D531" t="s">
        <v>1596</v>
      </c>
      <c r="E531">
        <v>0</v>
      </c>
      <c r="F531" t="str">
        <f>HYPERLINK("https://github.com/ankidroid/Anki-Android/issues/3294", "show")</f>
        <v>show</v>
      </c>
      <c r="G531" t="str">
        <f t="shared" si="2"/>
        <v>show</v>
      </c>
      <c r="H531" t="str">
        <f t="shared" si="3"/>
        <v>show</v>
      </c>
      <c r="I531">
        <v>0</v>
      </c>
      <c r="J531">
        <v>0</v>
      </c>
      <c r="K531">
        <v>0</v>
      </c>
      <c r="L531">
        <v>0</v>
      </c>
      <c r="M531" t="s">
        <v>43</v>
      </c>
    </row>
    <row r="532" spans="1:13" hidden="1" x14ac:dyDescent="0.15">
      <c r="A532" t="s">
        <v>1757</v>
      </c>
      <c r="B532" t="s">
        <v>1758</v>
      </c>
      <c r="C532" t="s">
        <v>1759</v>
      </c>
      <c r="D532" t="s">
        <v>1596</v>
      </c>
      <c r="E532">
        <v>0</v>
      </c>
      <c r="F532" t="str">
        <f>HYPERLINK("https://github.com/ankidroid/Anki-Android/issues/3291", "show")</f>
        <v>show</v>
      </c>
      <c r="G532" t="str">
        <f t="shared" si="2"/>
        <v>show</v>
      </c>
      <c r="H532" t="str">
        <f t="shared" si="3"/>
        <v>show</v>
      </c>
      <c r="I532">
        <v>1</v>
      </c>
      <c r="J532">
        <v>0</v>
      </c>
      <c r="K532">
        <v>0</v>
      </c>
      <c r="L532">
        <v>0</v>
      </c>
      <c r="M532" t="s">
        <v>17</v>
      </c>
    </row>
    <row r="533" spans="1:13" x14ac:dyDescent="0.15">
      <c r="A533" t="s">
        <v>1760</v>
      </c>
      <c r="B533" t="s">
        <v>1761</v>
      </c>
      <c r="C533" t="s">
        <v>1762</v>
      </c>
      <c r="D533" t="s">
        <v>1596</v>
      </c>
      <c r="E533">
        <v>0</v>
      </c>
      <c r="F533" t="str">
        <f>HYPERLINK("https://github.com/ankidroid/Anki-Android/issues/3288", "show")</f>
        <v>show</v>
      </c>
      <c r="G533" t="str">
        <f t="shared" si="2"/>
        <v>show</v>
      </c>
      <c r="H533" t="str">
        <f t="shared" si="3"/>
        <v>show</v>
      </c>
      <c r="I533">
        <v>0</v>
      </c>
      <c r="J533">
        <v>1</v>
      </c>
      <c r="K533">
        <v>0</v>
      </c>
      <c r="L533">
        <v>0</v>
      </c>
      <c r="M533" t="s">
        <v>139</v>
      </c>
    </row>
    <row r="534" spans="1:13" x14ac:dyDescent="0.15">
      <c r="A534" t="s">
        <v>1763</v>
      </c>
      <c r="B534" t="s">
        <v>1764</v>
      </c>
      <c r="C534" t="s">
        <v>1765</v>
      </c>
      <c r="D534" t="s">
        <v>1596</v>
      </c>
      <c r="E534">
        <v>187</v>
      </c>
      <c r="F534" t="str">
        <f>HYPERLINK("https://github.com/ankidroid/Anki-Android/issues/3286", "show")</f>
        <v>show</v>
      </c>
      <c r="G534" t="str">
        <f t="shared" si="2"/>
        <v>show</v>
      </c>
      <c r="H534" t="str">
        <f t="shared" si="3"/>
        <v>show</v>
      </c>
      <c r="I534">
        <v>0</v>
      </c>
      <c r="J534">
        <v>1</v>
      </c>
      <c r="K534">
        <v>0</v>
      </c>
      <c r="L534">
        <v>0</v>
      </c>
      <c r="M534" t="s">
        <v>139</v>
      </c>
    </row>
    <row r="535" spans="1:13" hidden="1" x14ac:dyDescent="0.15">
      <c r="A535" t="s">
        <v>1766</v>
      </c>
      <c r="B535" t="s">
        <v>1767</v>
      </c>
      <c r="C535" t="s">
        <v>1768</v>
      </c>
      <c r="D535" t="s">
        <v>1596</v>
      </c>
      <c r="E535">
        <v>0</v>
      </c>
      <c r="F535" t="str">
        <f>HYPERLINK("https://github.com/ankidroid/Anki-Android/issues/3284", "show")</f>
        <v>show</v>
      </c>
      <c r="G535" t="str">
        <f t="shared" si="2"/>
        <v>show</v>
      </c>
      <c r="H535" t="str">
        <f t="shared" si="3"/>
        <v>show</v>
      </c>
      <c r="I535">
        <v>0</v>
      </c>
      <c r="J535">
        <v>0</v>
      </c>
      <c r="K535">
        <v>0</v>
      </c>
      <c r="L535">
        <v>0</v>
      </c>
      <c r="M535" t="s">
        <v>43</v>
      </c>
    </row>
    <row r="536" spans="1:13" hidden="1" x14ac:dyDescent="0.15">
      <c r="A536" t="s">
        <v>1769</v>
      </c>
      <c r="B536" t="s">
        <v>1770</v>
      </c>
      <c r="C536" t="s">
        <v>1771</v>
      </c>
      <c r="D536" t="s">
        <v>1596</v>
      </c>
      <c r="E536">
        <v>0</v>
      </c>
      <c r="F536" t="str">
        <f>HYPERLINK("https://github.com/ankidroid/Anki-Android/issues/3283", "show")</f>
        <v>show</v>
      </c>
      <c r="G536" t="str">
        <f t="shared" si="2"/>
        <v>show</v>
      </c>
      <c r="H536" t="str">
        <f t="shared" si="3"/>
        <v>show</v>
      </c>
      <c r="I536">
        <v>0</v>
      </c>
      <c r="J536">
        <v>0</v>
      </c>
      <c r="K536">
        <v>0</v>
      </c>
      <c r="L536">
        <v>0</v>
      </c>
      <c r="M536" t="s">
        <v>43</v>
      </c>
    </row>
    <row r="537" spans="1:13" hidden="1" x14ac:dyDescent="0.15">
      <c r="A537" t="s">
        <v>1772</v>
      </c>
      <c r="B537" t="s">
        <v>1773</v>
      </c>
      <c r="C537" t="s">
        <v>1774</v>
      </c>
      <c r="D537" t="s">
        <v>1596</v>
      </c>
      <c r="E537">
        <v>0</v>
      </c>
      <c r="F537" t="str">
        <f>HYPERLINK("https://github.com/ankidroid/Anki-Android/issues/3281", "show")</f>
        <v>show</v>
      </c>
      <c r="G537" t="str">
        <f t="shared" si="2"/>
        <v>show</v>
      </c>
      <c r="H537" t="str">
        <f t="shared" si="3"/>
        <v>show</v>
      </c>
      <c r="I537">
        <v>0</v>
      </c>
      <c r="J537">
        <v>0</v>
      </c>
      <c r="K537">
        <v>0</v>
      </c>
      <c r="L537">
        <v>1</v>
      </c>
      <c r="M537" t="s">
        <v>581</v>
      </c>
    </row>
    <row r="538" spans="1:13" hidden="1" x14ac:dyDescent="0.15">
      <c r="A538" t="s">
        <v>1775</v>
      </c>
      <c r="B538" t="s">
        <v>1776</v>
      </c>
      <c r="C538" t="s">
        <v>1777</v>
      </c>
      <c r="D538" t="s">
        <v>1596</v>
      </c>
      <c r="E538">
        <v>0</v>
      </c>
      <c r="F538" t="str">
        <f>HYPERLINK("https://github.com/ankidroid/Anki-Android/issues/3278", "show")</f>
        <v>show</v>
      </c>
      <c r="G538" t="str">
        <f t="shared" si="2"/>
        <v>show</v>
      </c>
      <c r="H538" t="str">
        <f t="shared" si="3"/>
        <v>show</v>
      </c>
      <c r="I538">
        <v>0</v>
      </c>
      <c r="J538">
        <v>0</v>
      </c>
      <c r="K538">
        <v>0</v>
      </c>
      <c r="L538">
        <v>0</v>
      </c>
      <c r="M538" t="s">
        <v>43</v>
      </c>
    </row>
    <row r="539" spans="1:13" x14ac:dyDescent="0.15">
      <c r="A539" t="s">
        <v>1778</v>
      </c>
      <c r="B539" t="s">
        <v>1779</v>
      </c>
      <c r="C539" t="s">
        <v>1780</v>
      </c>
      <c r="D539" t="s">
        <v>1596</v>
      </c>
      <c r="E539">
        <v>0</v>
      </c>
      <c r="F539" t="str">
        <f>HYPERLINK("https://github.com/ankidroid/Anki-Android/issues/3277", "show")</f>
        <v>show</v>
      </c>
      <c r="G539" t="str">
        <f t="shared" si="2"/>
        <v>show</v>
      </c>
      <c r="H539" t="str">
        <f t="shared" si="3"/>
        <v>show</v>
      </c>
      <c r="I539">
        <v>0</v>
      </c>
      <c r="J539">
        <v>1</v>
      </c>
      <c r="K539">
        <v>0</v>
      </c>
      <c r="L539">
        <v>0</v>
      </c>
      <c r="M539" t="s">
        <v>139</v>
      </c>
    </row>
    <row r="540" spans="1:13" hidden="1" x14ac:dyDescent="0.15">
      <c r="A540" t="s">
        <v>1781</v>
      </c>
      <c r="B540" t="s">
        <v>1782</v>
      </c>
      <c r="C540" t="s">
        <v>1783</v>
      </c>
      <c r="D540" t="s">
        <v>1596</v>
      </c>
      <c r="E540">
        <v>0</v>
      </c>
      <c r="F540" t="str">
        <f>HYPERLINK("https://github.com/ankidroid/Anki-Android/issues/3276", "show")</f>
        <v>show</v>
      </c>
      <c r="G540" t="str">
        <f t="shared" si="2"/>
        <v>show</v>
      </c>
      <c r="H540" t="str">
        <f t="shared" si="3"/>
        <v>show</v>
      </c>
      <c r="I540">
        <v>0</v>
      </c>
      <c r="J540">
        <v>0</v>
      </c>
      <c r="K540">
        <v>0</v>
      </c>
      <c r="L540">
        <v>0</v>
      </c>
      <c r="M540" t="s">
        <v>43</v>
      </c>
    </row>
    <row r="541" spans="1:13" hidden="1" x14ac:dyDescent="0.15">
      <c r="A541" t="s">
        <v>1784</v>
      </c>
      <c r="B541" t="s">
        <v>1785</v>
      </c>
      <c r="C541" t="s">
        <v>1786</v>
      </c>
      <c r="D541" t="s">
        <v>1596</v>
      </c>
      <c r="E541">
        <v>0</v>
      </c>
      <c r="F541" t="str">
        <f>HYPERLINK("https://github.com/ankidroid/Anki-Android/issues/3272", "show")</f>
        <v>show</v>
      </c>
      <c r="G541" t="str">
        <f t="shared" si="2"/>
        <v>show</v>
      </c>
      <c r="H541" t="str">
        <f t="shared" si="3"/>
        <v>show</v>
      </c>
      <c r="I541">
        <v>0</v>
      </c>
      <c r="J541">
        <v>0</v>
      </c>
      <c r="K541">
        <v>0</v>
      </c>
      <c r="L541">
        <v>0</v>
      </c>
      <c r="M541" t="s">
        <v>43</v>
      </c>
    </row>
    <row r="542" spans="1:13" hidden="1" x14ac:dyDescent="0.15">
      <c r="A542" t="s">
        <v>1787</v>
      </c>
      <c r="B542" t="s">
        <v>1788</v>
      </c>
      <c r="C542" t="s">
        <v>1789</v>
      </c>
      <c r="D542" t="s">
        <v>1596</v>
      </c>
      <c r="E542">
        <v>0</v>
      </c>
      <c r="F542" t="str">
        <f>HYPERLINK("https://github.com/ankidroid/Anki-Android/issues/3271", "show")</f>
        <v>show</v>
      </c>
      <c r="G542" t="str">
        <f t="shared" si="2"/>
        <v>show</v>
      </c>
      <c r="H542" t="str">
        <f t="shared" si="3"/>
        <v>show</v>
      </c>
      <c r="I542">
        <v>0</v>
      </c>
      <c r="J542">
        <v>0</v>
      </c>
      <c r="K542">
        <v>0</v>
      </c>
      <c r="L542">
        <v>0</v>
      </c>
      <c r="M542" t="s">
        <v>43</v>
      </c>
    </row>
    <row r="543" spans="1:13" hidden="1" x14ac:dyDescent="0.15">
      <c r="A543" t="s">
        <v>1790</v>
      </c>
      <c r="B543" t="s">
        <v>1791</v>
      </c>
      <c r="C543" t="s">
        <v>1792</v>
      </c>
      <c r="D543" t="s">
        <v>1596</v>
      </c>
      <c r="E543">
        <v>0</v>
      </c>
      <c r="F543" t="str">
        <f>HYPERLINK("https://github.com/ankidroid/Anki-Android/issues/3265", "show")</f>
        <v>show</v>
      </c>
      <c r="G543" t="str">
        <f t="shared" ref="G543:G606" si="4">HYPERLINK("https://github.com/ankidroid/Anki-Android", "show")</f>
        <v>show</v>
      </c>
      <c r="H543" t="str">
        <f t="shared" ref="H543:H606" si="5">HYPERLINK("https://github.com/ankidroid/Anki-Android/releases", "show")</f>
        <v>show</v>
      </c>
      <c r="I543">
        <v>0</v>
      </c>
      <c r="J543">
        <v>0</v>
      </c>
      <c r="K543">
        <v>0</v>
      </c>
      <c r="L543">
        <v>0</v>
      </c>
      <c r="M543" t="s">
        <v>43</v>
      </c>
    </row>
    <row r="544" spans="1:13" hidden="1" x14ac:dyDescent="0.15">
      <c r="A544" t="s">
        <v>1793</v>
      </c>
      <c r="B544" t="s">
        <v>1794</v>
      </c>
      <c r="C544" t="s">
        <v>1795</v>
      </c>
      <c r="D544" t="s">
        <v>1596</v>
      </c>
      <c r="E544">
        <v>0</v>
      </c>
      <c r="F544" t="str">
        <f>HYPERLINK("https://github.com/ankidroid/Anki-Android/issues/3264", "show")</f>
        <v>show</v>
      </c>
      <c r="G544" t="str">
        <f t="shared" si="4"/>
        <v>show</v>
      </c>
      <c r="H544" t="str">
        <f t="shared" si="5"/>
        <v>show</v>
      </c>
      <c r="I544">
        <v>0</v>
      </c>
      <c r="J544">
        <v>0</v>
      </c>
      <c r="K544">
        <v>0</v>
      </c>
      <c r="L544">
        <v>0</v>
      </c>
      <c r="M544" t="s">
        <v>43</v>
      </c>
    </row>
    <row r="545" spans="1:13" x14ac:dyDescent="0.15">
      <c r="A545" t="s">
        <v>1796</v>
      </c>
      <c r="B545" t="s">
        <v>1797</v>
      </c>
      <c r="C545" t="s">
        <v>1798</v>
      </c>
      <c r="D545" t="s">
        <v>1596</v>
      </c>
      <c r="E545">
        <v>0</v>
      </c>
      <c r="F545" t="str">
        <f>HYPERLINK("https://github.com/ankidroid/Anki-Android/issues/3258", "show")</f>
        <v>show</v>
      </c>
      <c r="G545" t="str">
        <f t="shared" si="4"/>
        <v>show</v>
      </c>
      <c r="H545" t="str">
        <f t="shared" si="5"/>
        <v>show</v>
      </c>
      <c r="I545">
        <v>0</v>
      </c>
      <c r="J545">
        <v>1</v>
      </c>
      <c r="K545">
        <v>0</v>
      </c>
      <c r="L545">
        <v>0</v>
      </c>
      <c r="M545" t="s">
        <v>139</v>
      </c>
    </row>
    <row r="546" spans="1:13" x14ac:dyDescent="0.15">
      <c r="A546" t="s">
        <v>1799</v>
      </c>
      <c r="B546" t="s">
        <v>1800</v>
      </c>
      <c r="C546" t="s">
        <v>1801</v>
      </c>
      <c r="D546" t="s">
        <v>1596</v>
      </c>
      <c r="E546">
        <v>0</v>
      </c>
      <c r="F546" t="str">
        <f>HYPERLINK("https://github.com/ankidroid/Anki-Android/issues/3254", "show")</f>
        <v>show</v>
      </c>
      <c r="G546" t="str">
        <f t="shared" si="4"/>
        <v>show</v>
      </c>
      <c r="H546" t="str">
        <f t="shared" si="5"/>
        <v>show</v>
      </c>
      <c r="I546">
        <v>0</v>
      </c>
      <c r="J546">
        <v>1</v>
      </c>
      <c r="K546">
        <v>0</v>
      </c>
      <c r="L546">
        <v>0</v>
      </c>
      <c r="M546" t="s">
        <v>139</v>
      </c>
    </row>
    <row r="547" spans="1:13" hidden="1" x14ac:dyDescent="0.15">
      <c r="A547" t="s">
        <v>1802</v>
      </c>
      <c r="B547" t="s">
        <v>1803</v>
      </c>
      <c r="C547" t="s">
        <v>1804</v>
      </c>
      <c r="D547" t="s">
        <v>1596</v>
      </c>
      <c r="E547">
        <v>1170</v>
      </c>
      <c r="F547" t="str">
        <f>HYPERLINK("https://github.com/ankidroid/Anki-Android/issues/3253", "show")</f>
        <v>show</v>
      </c>
      <c r="G547" t="str">
        <f t="shared" si="4"/>
        <v>show</v>
      </c>
      <c r="H547" t="str">
        <f t="shared" si="5"/>
        <v>show</v>
      </c>
      <c r="I547">
        <v>0</v>
      </c>
      <c r="J547">
        <v>0</v>
      </c>
      <c r="K547">
        <v>0</v>
      </c>
      <c r="L547">
        <v>0</v>
      </c>
      <c r="M547" t="s">
        <v>43</v>
      </c>
    </row>
    <row r="548" spans="1:13" hidden="1" x14ac:dyDescent="0.15">
      <c r="A548" t="s">
        <v>1805</v>
      </c>
      <c r="B548" t="s">
        <v>1806</v>
      </c>
      <c r="C548" t="s">
        <v>1807</v>
      </c>
      <c r="D548" t="s">
        <v>1596</v>
      </c>
      <c r="E548">
        <v>0</v>
      </c>
      <c r="F548" t="str">
        <f>HYPERLINK("https://github.com/ankidroid/Anki-Android/issues/3251", "show")</f>
        <v>show</v>
      </c>
      <c r="G548" t="str">
        <f t="shared" si="4"/>
        <v>show</v>
      </c>
      <c r="H548" t="str">
        <f t="shared" si="5"/>
        <v>show</v>
      </c>
      <c r="I548">
        <v>0</v>
      </c>
      <c r="J548">
        <v>0</v>
      </c>
      <c r="K548">
        <v>0</v>
      </c>
      <c r="L548">
        <v>0</v>
      </c>
      <c r="M548" t="s">
        <v>43</v>
      </c>
    </row>
    <row r="549" spans="1:13" x14ac:dyDescent="0.15">
      <c r="A549" t="s">
        <v>1808</v>
      </c>
      <c r="B549" t="s">
        <v>1809</v>
      </c>
      <c r="C549" t="s">
        <v>1810</v>
      </c>
      <c r="D549" t="s">
        <v>1596</v>
      </c>
      <c r="E549">
        <v>0</v>
      </c>
      <c r="F549" t="str">
        <f>HYPERLINK("https://github.com/ankidroid/Anki-Android/issues/3247", "show")</f>
        <v>show</v>
      </c>
      <c r="G549" t="str">
        <f t="shared" si="4"/>
        <v>show</v>
      </c>
      <c r="H549" t="str">
        <f t="shared" si="5"/>
        <v>show</v>
      </c>
      <c r="I549">
        <v>0</v>
      </c>
      <c r="J549">
        <v>1</v>
      </c>
      <c r="K549">
        <v>0</v>
      </c>
      <c r="L549">
        <v>0</v>
      </c>
      <c r="M549" t="s">
        <v>139</v>
      </c>
    </row>
    <row r="550" spans="1:13" x14ac:dyDescent="0.15">
      <c r="A550" t="s">
        <v>1811</v>
      </c>
      <c r="B550" t="s">
        <v>1812</v>
      </c>
      <c r="C550" t="s">
        <v>1813</v>
      </c>
      <c r="D550" t="s">
        <v>1596</v>
      </c>
      <c r="E550">
        <v>0</v>
      </c>
      <c r="F550" t="str">
        <f>HYPERLINK("https://github.com/ankidroid/Anki-Android/issues/3246", "show")</f>
        <v>show</v>
      </c>
      <c r="G550" t="str">
        <f t="shared" si="4"/>
        <v>show</v>
      </c>
      <c r="H550" t="str">
        <f t="shared" si="5"/>
        <v>show</v>
      </c>
      <c r="I550">
        <v>0</v>
      </c>
      <c r="J550">
        <v>1</v>
      </c>
      <c r="K550">
        <v>0</v>
      </c>
      <c r="L550">
        <v>0</v>
      </c>
      <c r="M550" t="s">
        <v>139</v>
      </c>
    </row>
    <row r="551" spans="1:13" x14ac:dyDescent="0.15">
      <c r="A551" t="s">
        <v>1814</v>
      </c>
      <c r="B551" t="s">
        <v>1815</v>
      </c>
      <c r="C551" t="s">
        <v>1816</v>
      </c>
      <c r="D551" t="s">
        <v>1596</v>
      </c>
      <c r="E551">
        <v>0</v>
      </c>
      <c r="F551" t="str">
        <f>HYPERLINK("https://github.com/ankidroid/Anki-Android/issues/3245", "show")</f>
        <v>show</v>
      </c>
      <c r="G551" t="str">
        <f t="shared" si="4"/>
        <v>show</v>
      </c>
      <c r="H551" t="str">
        <f t="shared" si="5"/>
        <v>show</v>
      </c>
      <c r="I551">
        <v>0</v>
      </c>
      <c r="J551">
        <v>1</v>
      </c>
      <c r="K551">
        <v>0</v>
      </c>
      <c r="L551">
        <v>0</v>
      </c>
      <c r="M551" t="s">
        <v>139</v>
      </c>
    </row>
    <row r="552" spans="1:13" hidden="1" x14ac:dyDescent="0.15">
      <c r="A552" t="s">
        <v>1817</v>
      </c>
      <c r="B552" t="s">
        <v>1818</v>
      </c>
      <c r="C552" t="s">
        <v>1819</v>
      </c>
      <c r="D552" t="s">
        <v>1596</v>
      </c>
      <c r="E552">
        <v>0</v>
      </c>
      <c r="F552" t="str">
        <f>HYPERLINK("https://github.com/ankidroid/Anki-Android/issues/3244", "show")</f>
        <v>show</v>
      </c>
      <c r="G552" t="str">
        <f t="shared" si="4"/>
        <v>show</v>
      </c>
      <c r="H552" t="str">
        <f t="shared" si="5"/>
        <v>show</v>
      </c>
      <c r="I552">
        <v>1</v>
      </c>
      <c r="J552">
        <v>1</v>
      </c>
      <c r="K552">
        <v>0</v>
      </c>
      <c r="L552">
        <v>0</v>
      </c>
      <c r="M552" t="s">
        <v>48</v>
      </c>
    </row>
    <row r="553" spans="1:13" hidden="1" x14ac:dyDescent="0.15">
      <c r="A553" t="s">
        <v>1820</v>
      </c>
      <c r="B553" t="s">
        <v>1821</v>
      </c>
      <c r="C553" t="s">
        <v>1822</v>
      </c>
      <c r="D553" t="s">
        <v>1596</v>
      </c>
      <c r="E553">
        <v>0</v>
      </c>
      <c r="F553" t="str">
        <f>HYPERLINK("https://github.com/ankidroid/Anki-Android/issues/3238", "show")</f>
        <v>show</v>
      </c>
      <c r="G553" t="str">
        <f t="shared" si="4"/>
        <v>show</v>
      </c>
      <c r="H553" t="str">
        <f t="shared" si="5"/>
        <v>show</v>
      </c>
      <c r="I553">
        <v>1</v>
      </c>
      <c r="J553">
        <v>0</v>
      </c>
      <c r="K553">
        <v>0</v>
      </c>
      <c r="L553">
        <v>0</v>
      </c>
      <c r="M553" t="s">
        <v>17</v>
      </c>
    </row>
    <row r="554" spans="1:13" hidden="1" x14ac:dyDescent="0.15">
      <c r="A554" t="s">
        <v>1823</v>
      </c>
      <c r="B554" t="s">
        <v>1824</v>
      </c>
      <c r="C554" t="s">
        <v>1825</v>
      </c>
      <c r="D554" t="s">
        <v>1596</v>
      </c>
      <c r="E554">
        <v>0</v>
      </c>
      <c r="F554" t="str">
        <f>HYPERLINK("https://github.com/ankidroid/Anki-Android/issues/3235", "show")</f>
        <v>show</v>
      </c>
      <c r="G554" t="str">
        <f t="shared" si="4"/>
        <v>show</v>
      </c>
      <c r="H554" t="str">
        <f t="shared" si="5"/>
        <v>show</v>
      </c>
      <c r="I554">
        <v>1</v>
      </c>
      <c r="J554">
        <v>0</v>
      </c>
      <c r="K554">
        <v>0</v>
      </c>
      <c r="L554">
        <v>0</v>
      </c>
      <c r="M554" t="s">
        <v>17</v>
      </c>
    </row>
    <row r="555" spans="1:13" hidden="1" x14ac:dyDescent="0.15">
      <c r="A555" t="s">
        <v>1826</v>
      </c>
      <c r="B555" t="s">
        <v>1827</v>
      </c>
      <c r="C555" t="s">
        <v>1828</v>
      </c>
      <c r="D555" t="s">
        <v>1596</v>
      </c>
      <c r="E555">
        <v>0</v>
      </c>
      <c r="F555" t="str">
        <f>HYPERLINK("https://github.com/ankidroid/Anki-Android/issues/3232", "show")</f>
        <v>show</v>
      </c>
      <c r="G555" t="str">
        <f t="shared" si="4"/>
        <v>show</v>
      </c>
      <c r="H555" t="str">
        <f t="shared" si="5"/>
        <v>show</v>
      </c>
      <c r="I555">
        <v>1</v>
      </c>
      <c r="J555">
        <v>1</v>
      </c>
      <c r="K555">
        <v>0</v>
      </c>
      <c r="L555">
        <v>0</v>
      </c>
      <c r="M555" t="s">
        <v>48</v>
      </c>
    </row>
    <row r="556" spans="1:13" hidden="1" x14ac:dyDescent="0.15">
      <c r="A556" t="s">
        <v>1829</v>
      </c>
      <c r="B556" t="s">
        <v>1830</v>
      </c>
      <c r="C556" t="s">
        <v>1831</v>
      </c>
      <c r="D556" t="s">
        <v>1596</v>
      </c>
      <c r="E556">
        <v>0</v>
      </c>
      <c r="F556" t="str">
        <f>HYPERLINK("https://github.com/ankidroid/Anki-Android/issues/3226", "show")</f>
        <v>show</v>
      </c>
      <c r="G556" t="str">
        <f t="shared" si="4"/>
        <v>show</v>
      </c>
      <c r="H556" t="str">
        <f t="shared" si="5"/>
        <v>show</v>
      </c>
      <c r="I556">
        <v>0</v>
      </c>
      <c r="J556">
        <v>0</v>
      </c>
      <c r="K556">
        <v>0</v>
      </c>
      <c r="L556">
        <v>0</v>
      </c>
      <c r="M556" t="s">
        <v>43</v>
      </c>
    </row>
    <row r="557" spans="1:13" hidden="1" x14ac:dyDescent="0.15">
      <c r="A557" t="s">
        <v>1832</v>
      </c>
      <c r="B557" t="s">
        <v>1833</v>
      </c>
      <c r="C557" t="s">
        <v>1834</v>
      </c>
      <c r="D557" t="s">
        <v>1596</v>
      </c>
      <c r="E557">
        <v>0</v>
      </c>
      <c r="F557" t="str">
        <f>HYPERLINK("https://github.com/ankidroid/Anki-Android/issues/3224", "show")</f>
        <v>show</v>
      </c>
      <c r="G557" t="str">
        <f t="shared" si="4"/>
        <v>show</v>
      </c>
      <c r="H557" t="str">
        <f t="shared" si="5"/>
        <v>show</v>
      </c>
      <c r="I557">
        <v>1</v>
      </c>
      <c r="J557">
        <v>0</v>
      </c>
      <c r="K557">
        <v>0</v>
      </c>
      <c r="L557">
        <v>0</v>
      </c>
      <c r="M557" t="s">
        <v>17</v>
      </c>
    </row>
    <row r="558" spans="1:13" x14ac:dyDescent="0.15">
      <c r="A558" t="s">
        <v>1835</v>
      </c>
      <c r="B558" t="s">
        <v>1836</v>
      </c>
      <c r="C558" t="s">
        <v>1837</v>
      </c>
      <c r="D558" t="s">
        <v>1596</v>
      </c>
      <c r="E558">
        <v>0</v>
      </c>
      <c r="F558" t="str">
        <f>HYPERLINK("https://github.com/ankidroid/Anki-Android/issues/3221", "show")</f>
        <v>show</v>
      </c>
      <c r="G558" t="str">
        <f t="shared" si="4"/>
        <v>show</v>
      </c>
      <c r="H558" t="str">
        <f t="shared" si="5"/>
        <v>show</v>
      </c>
      <c r="I558">
        <v>0</v>
      </c>
      <c r="J558">
        <v>1</v>
      </c>
      <c r="K558">
        <v>0</v>
      </c>
      <c r="L558">
        <v>0</v>
      </c>
      <c r="M558" t="s">
        <v>139</v>
      </c>
    </row>
    <row r="559" spans="1:13" hidden="1" x14ac:dyDescent="0.15">
      <c r="A559" t="s">
        <v>1838</v>
      </c>
      <c r="B559" t="s">
        <v>1839</v>
      </c>
      <c r="C559" t="s">
        <v>1840</v>
      </c>
      <c r="D559" t="s">
        <v>1596</v>
      </c>
      <c r="E559">
        <v>0</v>
      </c>
      <c r="F559" t="str">
        <f>HYPERLINK("https://github.com/ankidroid/Anki-Android/issues/3220", "show")</f>
        <v>show</v>
      </c>
      <c r="G559" t="str">
        <f t="shared" si="4"/>
        <v>show</v>
      </c>
      <c r="H559" t="str">
        <f t="shared" si="5"/>
        <v>show</v>
      </c>
      <c r="I559">
        <v>1</v>
      </c>
      <c r="J559">
        <v>1</v>
      </c>
      <c r="K559">
        <v>0</v>
      </c>
      <c r="L559">
        <v>0</v>
      </c>
      <c r="M559" t="s">
        <v>48</v>
      </c>
    </row>
    <row r="560" spans="1:13" x14ac:dyDescent="0.15">
      <c r="A560" t="s">
        <v>1841</v>
      </c>
      <c r="B560" t="s">
        <v>1842</v>
      </c>
      <c r="C560" t="s">
        <v>1843</v>
      </c>
      <c r="D560" t="s">
        <v>1596</v>
      </c>
      <c r="E560">
        <v>0</v>
      </c>
      <c r="F560" t="str">
        <f>HYPERLINK("https://github.com/ankidroid/Anki-Android/issues/3219", "show")</f>
        <v>show</v>
      </c>
      <c r="G560" t="str">
        <f t="shared" si="4"/>
        <v>show</v>
      </c>
      <c r="H560" t="str">
        <f t="shared" si="5"/>
        <v>show</v>
      </c>
      <c r="I560">
        <v>0</v>
      </c>
      <c r="J560">
        <v>1</v>
      </c>
      <c r="K560">
        <v>0</v>
      </c>
      <c r="L560">
        <v>0</v>
      </c>
      <c r="M560" t="s">
        <v>139</v>
      </c>
    </row>
    <row r="561" spans="1:13" hidden="1" x14ac:dyDescent="0.15">
      <c r="A561" t="s">
        <v>1844</v>
      </c>
      <c r="B561" t="s">
        <v>1845</v>
      </c>
      <c r="C561" t="s">
        <v>1846</v>
      </c>
      <c r="D561" t="s">
        <v>1596</v>
      </c>
      <c r="E561">
        <v>0</v>
      </c>
      <c r="F561" t="str">
        <f>HYPERLINK("https://github.com/ankidroid/Anki-Android/issues/3218", "show")</f>
        <v>show</v>
      </c>
      <c r="G561" t="str">
        <f t="shared" si="4"/>
        <v>show</v>
      </c>
      <c r="H561" t="str">
        <f t="shared" si="5"/>
        <v>show</v>
      </c>
      <c r="I561">
        <v>0</v>
      </c>
      <c r="J561">
        <v>0</v>
      </c>
      <c r="K561">
        <v>0</v>
      </c>
      <c r="L561">
        <v>0</v>
      </c>
      <c r="M561" t="s">
        <v>43</v>
      </c>
    </row>
    <row r="562" spans="1:13" x14ac:dyDescent="0.15">
      <c r="A562" t="s">
        <v>1847</v>
      </c>
      <c r="B562" t="s">
        <v>1848</v>
      </c>
      <c r="C562" t="s">
        <v>1849</v>
      </c>
      <c r="D562" t="s">
        <v>1596</v>
      </c>
      <c r="E562">
        <v>0</v>
      </c>
      <c r="F562" t="str">
        <f>HYPERLINK("https://github.com/ankidroid/Anki-Android/issues/3209", "show")</f>
        <v>show</v>
      </c>
      <c r="G562" t="str">
        <f t="shared" si="4"/>
        <v>show</v>
      </c>
      <c r="H562" t="str">
        <f t="shared" si="5"/>
        <v>show</v>
      </c>
      <c r="I562">
        <v>0</v>
      </c>
      <c r="J562">
        <v>1</v>
      </c>
      <c r="K562">
        <v>0</v>
      </c>
      <c r="L562">
        <v>0</v>
      </c>
      <c r="M562" t="s">
        <v>139</v>
      </c>
    </row>
    <row r="563" spans="1:13" hidden="1" x14ac:dyDescent="0.15">
      <c r="A563" t="s">
        <v>1850</v>
      </c>
      <c r="B563" t="s">
        <v>1851</v>
      </c>
      <c r="C563" t="s">
        <v>1852</v>
      </c>
      <c r="D563" t="s">
        <v>1596</v>
      </c>
      <c r="E563">
        <v>0</v>
      </c>
      <c r="F563" t="str">
        <f>HYPERLINK("https://github.com/ankidroid/Anki-Android/issues/3207", "show")</f>
        <v>show</v>
      </c>
      <c r="G563" t="str">
        <f t="shared" si="4"/>
        <v>show</v>
      </c>
      <c r="H563" t="str">
        <f t="shared" si="5"/>
        <v>show</v>
      </c>
      <c r="I563">
        <v>0</v>
      </c>
      <c r="J563">
        <v>0</v>
      </c>
      <c r="K563">
        <v>0</v>
      </c>
      <c r="L563">
        <v>0</v>
      </c>
      <c r="M563" t="s">
        <v>43</v>
      </c>
    </row>
    <row r="564" spans="1:13" x14ac:dyDescent="0.15">
      <c r="A564" t="s">
        <v>1853</v>
      </c>
      <c r="B564" t="s">
        <v>1854</v>
      </c>
      <c r="C564" t="s">
        <v>1855</v>
      </c>
      <c r="D564" t="s">
        <v>1596</v>
      </c>
      <c r="E564">
        <v>0</v>
      </c>
      <c r="F564" t="str">
        <f>HYPERLINK("https://github.com/ankidroid/Anki-Android/issues/3204", "show")</f>
        <v>show</v>
      </c>
      <c r="G564" t="str">
        <f t="shared" si="4"/>
        <v>show</v>
      </c>
      <c r="H564" t="str">
        <f t="shared" si="5"/>
        <v>show</v>
      </c>
      <c r="I564">
        <v>0</v>
      </c>
      <c r="J564">
        <v>1</v>
      </c>
      <c r="K564">
        <v>0</v>
      </c>
      <c r="L564">
        <v>0</v>
      </c>
      <c r="M564" t="s">
        <v>139</v>
      </c>
    </row>
    <row r="565" spans="1:13" hidden="1" x14ac:dyDescent="0.15">
      <c r="A565" t="s">
        <v>1856</v>
      </c>
      <c r="B565" t="s">
        <v>1857</v>
      </c>
      <c r="C565" t="s">
        <v>1858</v>
      </c>
      <c r="D565" t="s">
        <v>1596</v>
      </c>
      <c r="E565">
        <v>0</v>
      </c>
      <c r="F565" t="str">
        <f>HYPERLINK("https://github.com/ankidroid/Anki-Android/issues/3203", "show")</f>
        <v>show</v>
      </c>
      <c r="G565" t="str">
        <f t="shared" si="4"/>
        <v>show</v>
      </c>
      <c r="H565" t="str">
        <f t="shared" si="5"/>
        <v>show</v>
      </c>
      <c r="I565">
        <v>1</v>
      </c>
      <c r="J565">
        <v>1</v>
      </c>
      <c r="K565">
        <v>0</v>
      </c>
      <c r="L565">
        <v>0</v>
      </c>
      <c r="M565" t="s">
        <v>48</v>
      </c>
    </row>
    <row r="566" spans="1:13" x14ac:dyDescent="0.15">
      <c r="A566" t="s">
        <v>1859</v>
      </c>
      <c r="B566" t="s">
        <v>1860</v>
      </c>
      <c r="C566" t="s">
        <v>1861</v>
      </c>
      <c r="D566" t="s">
        <v>1596</v>
      </c>
      <c r="E566">
        <v>0</v>
      </c>
      <c r="F566" t="str">
        <f>HYPERLINK("https://github.com/ankidroid/Anki-Android/issues/3198", "show")</f>
        <v>show</v>
      </c>
      <c r="G566" t="str">
        <f t="shared" si="4"/>
        <v>show</v>
      </c>
      <c r="H566" t="str">
        <f t="shared" si="5"/>
        <v>show</v>
      </c>
      <c r="I566">
        <v>0</v>
      </c>
      <c r="J566">
        <v>1</v>
      </c>
      <c r="K566">
        <v>0</v>
      </c>
      <c r="L566">
        <v>0</v>
      </c>
      <c r="M566" t="s">
        <v>139</v>
      </c>
    </row>
    <row r="567" spans="1:13" x14ac:dyDescent="0.15">
      <c r="A567" t="s">
        <v>1862</v>
      </c>
      <c r="B567" t="s">
        <v>1863</v>
      </c>
      <c r="C567" t="s">
        <v>1864</v>
      </c>
      <c r="D567" t="s">
        <v>1596</v>
      </c>
      <c r="E567">
        <v>0</v>
      </c>
      <c r="F567" t="str">
        <f>HYPERLINK("https://github.com/ankidroid/Anki-Android/issues/3196", "show")</f>
        <v>show</v>
      </c>
      <c r="G567" t="str">
        <f t="shared" si="4"/>
        <v>show</v>
      </c>
      <c r="H567" t="str">
        <f t="shared" si="5"/>
        <v>show</v>
      </c>
      <c r="I567">
        <v>0</v>
      </c>
      <c r="J567">
        <v>1</v>
      </c>
      <c r="K567">
        <v>0</v>
      </c>
      <c r="L567">
        <v>0</v>
      </c>
      <c r="M567" t="s">
        <v>139</v>
      </c>
    </row>
    <row r="568" spans="1:13" x14ac:dyDescent="0.15">
      <c r="A568" t="s">
        <v>1865</v>
      </c>
      <c r="B568" t="s">
        <v>1866</v>
      </c>
      <c r="C568" t="s">
        <v>1867</v>
      </c>
      <c r="D568" t="s">
        <v>1596</v>
      </c>
      <c r="E568">
        <v>0</v>
      </c>
      <c r="F568" t="str">
        <f>HYPERLINK("https://github.com/ankidroid/Anki-Android/issues/3194", "show")</f>
        <v>show</v>
      </c>
      <c r="G568" t="str">
        <f t="shared" si="4"/>
        <v>show</v>
      </c>
      <c r="H568" t="str">
        <f t="shared" si="5"/>
        <v>show</v>
      </c>
      <c r="I568">
        <v>0</v>
      </c>
      <c r="J568">
        <v>1</v>
      </c>
      <c r="K568">
        <v>0</v>
      </c>
      <c r="L568">
        <v>0</v>
      </c>
      <c r="M568" t="s">
        <v>139</v>
      </c>
    </row>
    <row r="569" spans="1:13" hidden="1" x14ac:dyDescent="0.15">
      <c r="A569" t="s">
        <v>1868</v>
      </c>
      <c r="B569" t="s">
        <v>1869</v>
      </c>
      <c r="C569" t="s">
        <v>1870</v>
      </c>
      <c r="D569" t="s">
        <v>1596</v>
      </c>
      <c r="E569">
        <v>0</v>
      </c>
      <c r="F569" t="str">
        <f>HYPERLINK("https://github.com/ankidroid/Anki-Android/issues/3190", "show")</f>
        <v>show</v>
      </c>
      <c r="G569" t="str">
        <f t="shared" si="4"/>
        <v>show</v>
      </c>
      <c r="H569" t="str">
        <f t="shared" si="5"/>
        <v>show</v>
      </c>
      <c r="I569">
        <v>0</v>
      </c>
      <c r="J569">
        <v>0</v>
      </c>
      <c r="K569">
        <v>0</v>
      </c>
      <c r="L569">
        <v>1</v>
      </c>
      <c r="M569" t="s">
        <v>581</v>
      </c>
    </row>
    <row r="570" spans="1:13" hidden="1" x14ac:dyDescent="0.15">
      <c r="A570" t="s">
        <v>1871</v>
      </c>
      <c r="B570" t="s">
        <v>1872</v>
      </c>
      <c r="C570" t="s">
        <v>1873</v>
      </c>
      <c r="D570" t="s">
        <v>1596</v>
      </c>
      <c r="E570">
        <v>0</v>
      </c>
      <c r="F570" t="str">
        <f>HYPERLINK("https://github.com/ankidroid/Anki-Android/issues/3186", "show")</f>
        <v>show</v>
      </c>
      <c r="G570" t="str">
        <f t="shared" si="4"/>
        <v>show</v>
      </c>
      <c r="H570" t="str">
        <f t="shared" si="5"/>
        <v>show</v>
      </c>
      <c r="I570">
        <v>0</v>
      </c>
      <c r="J570">
        <v>0</v>
      </c>
      <c r="K570">
        <v>0</v>
      </c>
      <c r="L570">
        <v>0</v>
      </c>
      <c r="M570" t="s">
        <v>43</v>
      </c>
    </row>
    <row r="571" spans="1:13" x14ac:dyDescent="0.15">
      <c r="A571" t="s">
        <v>1874</v>
      </c>
      <c r="B571" t="s">
        <v>1875</v>
      </c>
      <c r="C571" t="s">
        <v>1876</v>
      </c>
      <c r="D571" t="s">
        <v>1596</v>
      </c>
      <c r="E571">
        <v>0</v>
      </c>
      <c r="F571" t="str">
        <f>HYPERLINK("https://github.com/ankidroid/Anki-Android/issues/3185", "show")</f>
        <v>show</v>
      </c>
      <c r="G571" t="str">
        <f t="shared" si="4"/>
        <v>show</v>
      </c>
      <c r="H571" t="str">
        <f t="shared" si="5"/>
        <v>show</v>
      </c>
      <c r="I571">
        <v>0</v>
      </c>
      <c r="J571">
        <v>1</v>
      </c>
      <c r="K571">
        <v>0</v>
      </c>
      <c r="L571">
        <v>0</v>
      </c>
      <c r="M571" t="s">
        <v>139</v>
      </c>
    </row>
    <row r="572" spans="1:13" hidden="1" x14ac:dyDescent="0.15">
      <c r="A572" t="s">
        <v>1877</v>
      </c>
      <c r="B572" t="s">
        <v>1878</v>
      </c>
      <c r="C572" t="s">
        <v>1879</v>
      </c>
      <c r="D572" t="s">
        <v>1596</v>
      </c>
      <c r="E572">
        <v>0</v>
      </c>
      <c r="F572" t="str">
        <f>HYPERLINK("https://github.com/ankidroid/Anki-Android/issues/3184", "show")</f>
        <v>show</v>
      </c>
      <c r="G572" t="str">
        <f t="shared" si="4"/>
        <v>show</v>
      </c>
      <c r="H572" t="str">
        <f t="shared" si="5"/>
        <v>show</v>
      </c>
      <c r="I572">
        <v>1</v>
      </c>
      <c r="J572">
        <v>0</v>
      </c>
      <c r="K572">
        <v>0</v>
      </c>
      <c r="L572">
        <v>0</v>
      </c>
      <c r="M572" t="s">
        <v>17</v>
      </c>
    </row>
    <row r="573" spans="1:13" x14ac:dyDescent="0.15">
      <c r="A573" t="s">
        <v>1880</v>
      </c>
      <c r="B573" t="s">
        <v>1881</v>
      </c>
      <c r="C573" t="s">
        <v>1882</v>
      </c>
      <c r="D573" t="s">
        <v>1596</v>
      </c>
      <c r="E573">
        <v>0</v>
      </c>
      <c r="F573" t="str">
        <f>HYPERLINK("https://github.com/ankidroid/Anki-Android/issues/3183", "show")</f>
        <v>show</v>
      </c>
      <c r="G573" t="str">
        <f t="shared" si="4"/>
        <v>show</v>
      </c>
      <c r="H573" t="str">
        <f t="shared" si="5"/>
        <v>show</v>
      </c>
      <c r="I573">
        <v>0</v>
      </c>
      <c r="J573">
        <v>1</v>
      </c>
      <c r="K573">
        <v>0</v>
      </c>
      <c r="L573">
        <v>0</v>
      </c>
      <c r="M573" t="s">
        <v>139</v>
      </c>
    </row>
    <row r="574" spans="1:13" hidden="1" x14ac:dyDescent="0.15">
      <c r="A574" t="s">
        <v>1883</v>
      </c>
      <c r="B574" t="s">
        <v>1863</v>
      </c>
      <c r="C574" t="s">
        <v>1884</v>
      </c>
      <c r="D574" t="s">
        <v>1596</v>
      </c>
      <c r="E574">
        <v>0</v>
      </c>
      <c r="F574" t="str">
        <f>HYPERLINK("https://github.com/ankidroid/Anki-Android/issues/3178", "show")</f>
        <v>show</v>
      </c>
      <c r="G574" t="str">
        <f t="shared" si="4"/>
        <v>show</v>
      </c>
      <c r="H574" t="str">
        <f t="shared" si="5"/>
        <v>show</v>
      </c>
      <c r="I574">
        <v>0</v>
      </c>
      <c r="J574">
        <v>0</v>
      </c>
      <c r="K574">
        <v>0</v>
      </c>
      <c r="L574">
        <v>0</v>
      </c>
      <c r="M574" t="s">
        <v>43</v>
      </c>
    </row>
    <row r="575" spans="1:13" hidden="1" x14ac:dyDescent="0.15">
      <c r="A575" t="s">
        <v>1885</v>
      </c>
      <c r="B575" t="s">
        <v>1886</v>
      </c>
      <c r="C575" t="s">
        <v>1887</v>
      </c>
      <c r="D575" t="s">
        <v>1596</v>
      </c>
      <c r="E575">
        <v>0</v>
      </c>
      <c r="F575" t="str">
        <f>HYPERLINK("https://github.com/ankidroid/Anki-Android/issues/3174", "show")</f>
        <v>show</v>
      </c>
      <c r="G575" t="str">
        <f t="shared" si="4"/>
        <v>show</v>
      </c>
      <c r="H575" t="str">
        <f t="shared" si="5"/>
        <v>show</v>
      </c>
      <c r="I575">
        <v>1</v>
      </c>
      <c r="J575">
        <v>1</v>
      </c>
      <c r="K575">
        <v>0</v>
      </c>
      <c r="L575">
        <v>0</v>
      </c>
      <c r="M575" t="s">
        <v>48</v>
      </c>
    </row>
    <row r="576" spans="1:13" x14ac:dyDescent="0.15">
      <c r="A576" t="s">
        <v>1888</v>
      </c>
      <c r="B576" t="s">
        <v>1889</v>
      </c>
      <c r="C576" t="s">
        <v>1890</v>
      </c>
      <c r="D576" t="s">
        <v>1596</v>
      </c>
      <c r="E576">
        <v>0</v>
      </c>
      <c r="F576" t="str">
        <f>HYPERLINK("https://github.com/ankidroid/Anki-Android/issues/3173", "show")</f>
        <v>show</v>
      </c>
      <c r="G576" t="str">
        <f t="shared" si="4"/>
        <v>show</v>
      </c>
      <c r="H576" t="str">
        <f t="shared" si="5"/>
        <v>show</v>
      </c>
      <c r="I576">
        <v>0</v>
      </c>
      <c r="J576">
        <v>1</v>
      </c>
      <c r="K576">
        <v>0</v>
      </c>
      <c r="L576">
        <v>0</v>
      </c>
      <c r="M576" t="s">
        <v>139</v>
      </c>
    </row>
    <row r="577" spans="1:13" hidden="1" x14ac:dyDescent="0.15">
      <c r="A577" t="s">
        <v>1891</v>
      </c>
      <c r="B577" t="s">
        <v>1892</v>
      </c>
      <c r="C577" t="s">
        <v>1893</v>
      </c>
      <c r="D577" t="s">
        <v>1596</v>
      </c>
      <c r="E577">
        <v>0</v>
      </c>
      <c r="F577" t="str">
        <f>HYPERLINK("https://github.com/ankidroid/Anki-Android/issues/3170", "show")</f>
        <v>show</v>
      </c>
      <c r="G577" t="str">
        <f t="shared" si="4"/>
        <v>show</v>
      </c>
      <c r="H577" t="str">
        <f t="shared" si="5"/>
        <v>show</v>
      </c>
      <c r="I577">
        <v>1</v>
      </c>
      <c r="J577">
        <v>1</v>
      </c>
      <c r="K577">
        <v>0</v>
      </c>
      <c r="L577">
        <v>1</v>
      </c>
      <c r="M577" t="s">
        <v>1894</v>
      </c>
    </row>
    <row r="578" spans="1:13" x14ac:dyDescent="0.15">
      <c r="A578" t="s">
        <v>1895</v>
      </c>
      <c r="B578" t="s">
        <v>1896</v>
      </c>
      <c r="C578" t="s">
        <v>1897</v>
      </c>
      <c r="D578" t="s">
        <v>1596</v>
      </c>
      <c r="E578">
        <v>0</v>
      </c>
      <c r="F578" t="str">
        <f>HYPERLINK("https://github.com/ankidroid/Anki-Android/issues/3167", "show")</f>
        <v>show</v>
      </c>
      <c r="G578" t="str">
        <f t="shared" si="4"/>
        <v>show</v>
      </c>
      <c r="H578" t="str">
        <f t="shared" si="5"/>
        <v>show</v>
      </c>
      <c r="I578">
        <v>0</v>
      </c>
      <c r="J578">
        <v>1</v>
      </c>
      <c r="K578">
        <v>0</v>
      </c>
      <c r="L578">
        <v>0</v>
      </c>
      <c r="M578" t="s">
        <v>139</v>
      </c>
    </row>
    <row r="579" spans="1:13" x14ac:dyDescent="0.15">
      <c r="A579" t="s">
        <v>1898</v>
      </c>
      <c r="B579" t="s">
        <v>1899</v>
      </c>
      <c r="C579" t="s">
        <v>1900</v>
      </c>
      <c r="D579" t="s">
        <v>1596</v>
      </c>
      <c r="E579">
        <v>0</v>
      </c>
      <c r="F579" t="str">
        <f>HYPERLINK("https://github.com/ankidroid/Anki-Android/issues/3164", "show")</f>
        <v>show</v>
      </c>
      <c r="G579" t="str">
        <f t="shared" si="4"/>
        <v>show</v>
      </c>
      <c r="H579" t="str">
        <f t="shared" si="5"/>
        <v>show</v>
      </c>
      <c r="I579">
        <v>0</v>
      </c>
      <c r="J579">
        <v>1</v>
      </c>
      <c r="K579">
        <v>0</v>
      </c>
      <c r="L579">
        <v>0</v>
      </c>
      <c r="M579" t="s">
        <v>139</v>
      </c>
    </row>
    <row r="580" spans="1:13" x14ac:dyDescent="0.15">
      <c r="A580" t="s">
        <v>1901</v>
      </c>
      <c r="B580" t="s">
        <v>1902</v>
      </c>
      <c r="C580" t="s">
        <v>1903</v>
      </c>
      <c r="D580" t="s">
        <v>1596</v>
      </c>
      <c r="E580">
        <v>0</v>
      </c>
      <c r="F580" t="str">
        <f>HYPERLINK("https://github.com/ankidroid/Anki-Android/issues/3163", "show")</f>
        <v>show</v>
      </c>
      <c r="G580" t="str">
        <f t="shared" si="4"/>
        <v>show</v>
      </c>
      <c r="H580" t="str">
        <f t="shared" si="5"/>
        <v>show</v>
      </c>
      <c r="I580">
        <v>0</v>
      </c>
      <c r="J580">
        <v>1</v>
      </c>
      <c r="K580">
        <v>0</v>
      </c>
      <c r="L580">
        <v>0</v>
      </c>
      <c r="M580" t="s">
        <v>139</v>
      </c>
    </row>
    <row r="581" spans="1:13" hidden="1" x14ac:dyDescent="0.15">
      <c r="A581" t="s">
        <v>1904</v>
      </c>
      <c r="B581" t="s">
        <v>1905</v>
      </c>
      <c r="C581" t="s">
        <v>1906</v>
      </c>
      <c r="D581" t="s">
        <v>1596</v>
      </c>
      <c r="E581">
        <v>0</v>
      </c>
      <c r="F581" t="str">
        <f>HYPERLINK("https://github.com/ankidroid/Anki-Android/issues/3159", "show")</f>
        <v>show</v>
      </c>
      <c r="G581" t="str">
        <f t="shared" si="4"/>
        <v>show</v>
      </c>
      <c r="H581" t="str">
        <f t="shared" si="5"/>
        <v>show</v>
      </c>
      <c r="I581">
        <v>1</v>
      </c>
      <c r="J581">
        <v>1</v>
      </c>
      <c r="K581">
        <v>0</v>
      </c>
      <c r="L581">
        <v>0</v>
      </c>
      <c r="M581" t="s">
        <v>48</v>
      </c>
    </row>
    <row r="582" spans="1:13" hidden="1" x14ac:dyDescent="0.15">
      <c r="A582" t="s">
        <v>1907</v>
      </c>
      <c r="B582" t="s">
        <v>1908</v>
      </c>
      <c r="C582" t="s">
        <v>1909</v>
      </c>
      <c r="D582" t="s">
        <v>1596</v>
      </c>
      <c r="E582">
        <v>0</v>
      </c>
      <c r="F582" t="str">
        <f>HYPERLINK("https://github.com/ankidroid/Anki-Android/issues/3157", "show")</f>
        <v>show</v>
      </c>
      <c r="G582" t="str">
        <f t="shared" si="4"/>
        <v>show</v>
      </c>
      <c r="H582" t="str">
        <f t="shared" si="5"/>
        <v>show</v>
      </c>
      <c r="I582">
        <v>0</v>
      </c>
      <c r="J582">
        <v>0</v>
      </c>
      <c r="K582">
        <v>0</v>
      </c>
      <c r="L582">
        <v>0</v>
      </c>
      <c r="M582" t="s">
        <v>43</v>
      </c>
    </row>
    <row r="583" spans="1:13" hidden="1" x14ac:dyDescent="0.15">
      <c r="A583" t="s">
        <v>1910</v>
      </c>
      <c r="B583" t="s">
        <v>1911</v>
      </c>
      <c r="C583" t="s">
        <v>1912</v>
      </c>
      <c r="D583" t="s">
        <v>1596</v>
      </c>
      <c r="E583">
        <v>0</v>
      </c>
      <c r="F583" t="str">
        <f>HYPERLINK("https://github.com/ankidroid/Anki-Android/issues/3156", "show")</f>
        <v>show</v>
      </c>
      <c r="G583" t="str">
        <f t="shared" si="4"/>
        <v>show</v>
      </c>
      <c r="H583" t="str">
        <f t="shared" si="5"/>
        <v>show</v>
      </c>
      <c r="I583">
        <v>1</v>
      </c>
      <c r="J583">
        <v>1</v>
      </c>
      <c r="K583">
        <v>0</v>
      </c>
      <c r="L583">
        <v>0</v>
      </c>
      <c r="M583" t="s">
        <v>48</v>
      </c>
    </row>
    <row r="584" spans="1:13" hidden="1" x14ac:dyDescent="0.15">
      <c r="A584" t="s">
        <v>1913</v>
      </c>
      <c r="B584" t="s">
        <v>1914</v>
      </c>
      <c r="C584" t="s">
        <v>1915</v>
      </c>
      <c r="D584" t="s">
        <v>1596</v>
      </c>
      <c r="E584">
        <v>0</v>
      </c>
      <c r="F584" t="str">
        <f>HYPERLINK("https://github.com/ankidroid/Anki-Android/issues/3153", "show")</f>
        <v>show</v>
      </c>
      <c r="G584" t="str">
        <f t="shared" si="4"/>
        <v>show</v>
      </c>
      <c r="H584" t="str">
        <f t="shared" si="5"/>
        <v>show</v>
      </c>
      <c r="I584">
        <v>0</v>
      </c>
      <c r="J584">
        <v>0</v>
      </c>
      <c r="K584">
        <v>0</v>
      </c>
      <c r="L584">
        <v>0</v>
      </c>
      <c r="M584" t="s">
        <v>43</v>
      </c>
    </row>
    <row r="585" spans="1:13" hidden="1" x14ac:dyDescent="0.15">
      <c r="A585" t="s">
        <v>1916</v>
      </c>
      <c r="B585" t="s">
        <v>1917</v>
      </c>
      <c r="C585" t="s">
        <v>1918</v>
      </c>
      <c r="D585" t="s">
        <v>1596</v>
      </c>
      <c r="E585">
        <v>0</v>
      </c>
      <c r="F585" t="str">
        <f>HYPERLINK("https://github.com/ankidroid/Anki-Android/issues/3152", "show")</f>
        <v>show</v>
      </c>
      <c r="G585" t="str">
        <f t="shared" si="4"/>
        <v>show</v>
      </c>
      <c r="H585" t="str">
        <f t="shared" si="5"/>
        <v>show</v>
      </c>
      <c r="I585">
        <v>0</v>
      </c>
      <c r="J585">
        <v>0</v>
      </c>
      <c r="K585">
        <v>0</v>
      </c>
      <c r="L585">
        <v>0</v>
      </c>
      <c r="M585" t="s">
        <v>43</v>
      </c>
    </row>
    <row r="586" spans="1:13" x14ac:dyDescent="0.15">
      <c r="A586" t="s">
        <v>1919</v>
      </c>
      <c r="B586" t="s">
        <v>1920</v>
      </c>
      <c r="C586" t="s">
        <v>1921</v>
      </c>
      <c r="D586" t="s">
        <v>1596</v>
      </c>
      <c r="E586">
        <v>0</v>
      </c>
      <c r="F586" t="str">
        <f>HYPERLINK("https://github.com/ankidroid/Anki-Android/issues/3149", "show")</f>
        <v>show</v>
      </c>
      <c r="G586" t="str">
        <f t="shared" si="4"/>
        <v>show</v>
      </c>
      <c r="H586" t="str">
        <f t="shared" si="5"/>
        <v>show</v>
      </c>
      <c r="I586">
        <v>0</v>
      </c>
      <c r="J586">
        <v>1</v>
      </c>
      <c r="K586">
        <v>0</v>
      </c>
      <c r="L586">
        <v>0</v>
      </c>
      <c r="M586" t="s">
        <v>139</v>
      </c>
    </row>
    <row r="587" spans="1:13" x14ac:dyDescent="0.15">
      <c r="A587" t="s">
        <v>1922</v>
      </c>
      <c r="B587" t="s">
        <v>1923</v>
      </c>
      <c r="C587" t="s">
        <v>1924</v>
      </c>
      <c r="D587" t="s">
        <v>1596</v>
      </c>
      <c r="E587">
        <v>92</v>
      </c>
      <c r="F587" t="str">
        <f>HYPERLINK("https://github.com/ankidroid/Anki-Android/issues/3148", "show")</f>
        <v>show</v>
      </c>
      <c r="G587" t="str">
        <f t="shared" si="4"/>
        <v>show</v>
      </c>
      <c r="H587" t="str">
        <f t="shared" si="5"/>
        <v>show</v>
      </c>
      <c r="I587">
        <v>0</v>
      </c>
      <c r="J587">
        <v>1</v>
      </c>
      <c r="K587">
        <v>0</v>
      </c>
      <c r="L587">
        <v>0</v>
      </c>
      <c r="M587" t="s">
        <v>139</v>
      </c>
    </row>
    <row r="588" spans="1:13" x14ac:dyDescent="0.15">
      <c r="A588" t="s">
        <v>1925</v>
      </c>
      <c r="B588" t="s">
        <v>1926</v>
      </c>
      <c r="C588" t="s">
        <v>1927</v>
      </c>
      <c r="D588" t="s">
        <v>1596</v>
      </c>
      <c r="E588">
        <v>0</v>
      </c>
      <c r="F588" t="str">
        <f>HYPERLINK("https://github.com/ankidroid/Anki-Android/issues/3146", "show")</f>
        <v>show</v>
      </c>
      <c r="G588" t="str">
        <f t="shared" si="4"/>
        <v>show</v>
      </c>
      <c r="H588" t="str">
        <f t="shared" si="5"/>
        <v>show</v>
      </c>
      <c r="I588">
        <v>0</v>
      </c>
      <c r="J588">
        <v>1</v>
      </c>
      <c r="K588">
        <v>0</v>
      </c>
      <c r="L588">
        <v>0</v>
      </c>
      <c r="M588" t="s">
        <v>139</v>
      </c>
    </row>
    <row r="589" spans="1:13" hidden="1" x14ac:dyDescent="0.15">
      <c r="A589" t="s">
        <v>1928</v>
      </c>
      <c r="B589" t="s">
        <v>1929</v>
      </c>
      <c r="C589" t="s">
        <v>1930</v>
      </c>
      <c r="D589" t="s">
        <v>1596</v>
      </c>
      <c r="E589">
        <v>0</v>
      </c>
      <c r="F589" t="str">
        <f>HYPERLINK("https://github.com/ankidroid/Anki-Android/issues/3144", "show")</f>
        <v>show</v>
      </c>
      <c r="G589" t="str">
        <f t="shared" si="4"/>
        <v>show</v>
      </c>
      <c r="H589" t="str">
        <f t="shared" si="5"/>
        <v>show</v>
      </c>
      <c r="I589">
        <v>0</v>
      </c>
      <c r="J589">
        <v>0</v>
      </c>
      <c r="K589">
        <v>0</v>
      </c>
      <c r="L589">
        <v>0</v>
      </c>
      <c r="M589" t="s">
        <v>43</v>
      </c>
    </row>
    <row r="590" spans="1:13" x14ac:dyDescent="0.15">
      <c r="A590" t="s">
        <v>1931</v>
      </c>
      <c r="B590" t="s">
        <v>1932</v>
      </c>
      <c r="C590" t="s">
        <v>1933</v>
      </c>
      <c r="D590" t="s">
        <v>1596</v>
      </c>
      <c r="E590">
        <v>0</v>
      </c>
      <c r="F590" t="str">
        <f>HYPERLINK("https://github.com/ankidroid/Anki-Android/issues/3142", "show")</f>
        <v>show</v>
      </c>
      <c r="G590" t="str">
        <f t="shared" si="4"/>
        <v>show</v>
      </c>
      <c r="H590" t="str">
        <f t="shared" si="5"/>
        <v>show</v>
      </c>
      <c r="I590">
        <v>0</v>
      </c>
      <c r="J590">
        <v>1</v>
      </c>
      <c r="K590">
        <v>0</v>
      </c>
      <c r="L590">
        <v>0</v>
      </c>
      <c r="M590" t="s">
        <v>139</v>
      </c>
    </row>
    <row r="591" spans="1:13" hidden="1" x14ac:dyDescent="0.15">
      <c r="A591" t="s">
        <v>1934</v>
      </c>
      <c r="B591" t="s">
        <v>1935</v>
      </c>
      <c r="C591" t="s">
        <v>1936</v>
      </c>
      <c r="D591" t="s">
        <v>1596</v>
      </c>
      <c r="E591">
        <v>1170</v>
      </c>
      <c r="F591" t="str">
        <f>HYPERLINK("https://github.com/ankidroid/Anki-Android/issues/3138", "show")</f>
        <v>show</v>
      </c>
      <c r="G591" t="str">
        <f t="shared" si="4"/>
        <v>show</v>
      </c>
      <c r="H591" t="str">
        <f t="shared" si="5"/>
        <v>show</v>
      </c>
      <c r="I591">
        <v>0</v>
      </c>
      <c r="J591">
        <v>0</v>
      </c>
      <c r="K591">
        <v>0</v>
      </c>
      <c r="L591">
        <v>1</v>
      </c>
      <c r="M591" t="s">
        <v>581</v>
      </c>
    </row>
    <row r="592" spans="1:13" x14ac:dyDescent="0.15">
      <c r="A592" t="s">
        <v>1937</v>
      </c>
      <c r="B592" t="s">
        <v>1938</v>
      </c>
      <c r="C592" t="s">
        <v>1939</v>
      </c>
      <c r="D592" t="s">
        <v>1596</v>
      </c>
      <c r="E592">
        <v>381</v>
      </c>
      <c r="F592" t="str">
        <f>HYPERLINK("https://github.com/ankidroid/Anki-Android/issues/3127", "show")</f>
        <v>show</v>
      </c>
      <c r="G592" t="str">
        <f t="shared" si="4"/>
        <v>show</v>
      </c>
      <c r="H592" t="str">
        <f t="shared" si="5"/>
        <v>show</v>
      </c>
      <c r="I592">
        <v>0</v>
      </c>
      <c r="J592">
        <v>1</v>
      </c>
      <c r="K592">
        <v>0</v>
      </c>
      <c r="L592">
        <v>0</v>
      </c>
      <c r="M592" t="s">
        <v>139</v>
      </c>
    </row>
    <row r="593" spans="1:13" x14ac:dyDescent="0.15">
      <c r="A593" t="s">
        <v>1940</v>
      </c>
      <c r="B593" t="s">
        <v>1941</v>
      </c>
      <c r="C593" t="s">
        <v>1942</v>
      </c>
      <c r="D593" t="s">
        <v>1596</v>
      </c>
      <c r="E593">
        <v>0</v>
      </c>
      <c r="F593" t="str">
        <f>HYPERLINK("https://github.com/ankidroid/Anki-Android/issues/3121", "show")</f>
        <v>show</v>
      </c>
      <c r="G593" t="str">
        <f t="shared" si="4"/>
        <v>show</v>
      </c>
      <c r="H593" t="str">
        <f t="shared" si="5"/>
        <v>show</v>
      </c>
      <c r="I593">
        <v>0</v>
      </c>
      <c r="J593">
        <v>1</v>
      </c>
      <c r="K593">
        <v>0</v>
      </c>
      <c r="L593">
        <v>0</v>
      </c>
      <c r="M593" t="s">
        <v>139</v>
      </c>
    </row>
    <row r="594" spans="1:13" hidden="1" x14ac:dyDescent="0.15">
      <c r="A594" t="s">
        <v>1943</v>
      </c>
      <c r="B594" t="s">
        <v>1944</v>
      </c>
      <c r="C594" t="s">
        <v>1945</v>
      </c>
      <c r="D594" t="s">
        <v>1596</v>
      </c>
      <c r="E594">
        <v>0</v>
      </c>
      <c r="F594" t="str">
        <f>HYPERLINK("https://github.com/ankidroid/Anki-Android/issues/3119", "show")</f>
        <v>show</v>
      </c>
      <c r="G594" t="str">
        <f t="shared" si="4"/>
        <v>show</v>
      </c>
      <c r="H594" t="str">
        <f t="shared" si="5"/>
        <v>show</v>
      </c>
      <c r="I594">
        <v>0</v>
      </c>
      <c r="J594">
        <v>0</v>
      </c>
      <c r="K594">
        <v>0</v>
      </c>
      <c r="L594">
        <v>0</v>
      </c>
      <c r="M594" t="s">
        <v>43</v>
      </c>
    </row>
    <row r="595" spans="1:13" hidden="1" x14ac:dyDescent="0.15">
      <c r="A595" t="s">
        <v>1946</v>
      </c>
      <c r="B595" t="s">
        <v>1947</v>
      </c>
      <c r="C595" t="s">
        <v>1948</v>
      </c>
      <c r="D595" t="s">
        <v>1596</v>
      </c>
      <c r="E595">
        <v>0</v>
      </c>
      <c r="F595" t="str">
        <f>HYPERLINK("https://github.com/ankidroid/Anki-Android/issues/3117", "show")</f>
        <v>show</v>
      </c>
      <c r="G595" t="str">
        <f t="shared" si="4"/>
        <v>show</v>
      </c>
      <c r="H595" t="str">
        <f t="shared" si="5"/>
        <v>show</v>
      </c>
      <c r="I595">
        <v>1</v>
      </c>
      <c r="J595">
        <v>1</v>
      </c>
      <c r="K595">
        <v>0</v>
      </c>
      <c r="L595">
        <v>1</v>
      </c>
      <c r="M595" t="s">
        <v>1894</v>
      </c>
    </row>
    <row r="596" spans="1:13" hidden="1" x14ac:dyDescent="0.15">
      <c r="A596" t="s">
        <v>1949</v>
      </c>
      <c r="B596" t="s">
        <v>1950</v>
      </c>
      <c r="C596" t="s">
        <v>1951</v>
      </c>
      <c r="D596" t="s">
        <v>1596</v>
      </c>
      <c r="E596">
        <v>0</v>
      </c>
      <c r="F596" t="str">
        <f>HYPERLINK("https://github.com/ankidroid/Anki-Android/issues/3116", "show")</f>
        <v>show</v>
      </c>
      <c r="G596" t="str">
        <f t="shared" si="4"/>
        <v>show</v>
      </c>
      <c r="H596" t="str">
        <f t="shared" si="5"/>
        <v>show</v>
      </c>
      <c r="I596">
        <v>0</v>
      </c>
      <c r="J596">
        <v>0</v>
      </c>
      <c r="K596">
        <v>0</v>
      </c>
      <c r="L596">
        <v>0</v>
      </c>
      <c r="M596" t="s">
        <v>43</v>
      </c>
    </row>
    <row r="597" spans="1:13" hidden="1" x14ac:dyDescent="0.15">
      <c r="A597" t="s">
        <v>1952</v>
      </c>
      <c r="B597" t="s">
        <v>1953</v>
      </c>
      <c r="C597" t="s">
        <v>1954</v>
      </c>
      <c r="D597" t="s">
        <v>1596</v>
      </c>
      <c r="E597">
        <v>0</v>
      </c>
      <c r="F597" t="str">
        <f>HYPERLINK("https://github.com/ankidroid/Anki-Android/issues/3113", "show")</f>
        <v>show</v>
      </c>
      <c r="G597" t="str">
        <f t="shared" si="4"/>
        <v>show</v>
      </c>
      <c r="H597" t="str">
        <f t="shared" si="5"/>
        <v>show</v>
      </c>
      <c r="I597">
        <v>0</v>
      </c>
      <c r="J597">
        <v>0</v>
      </c>
      <c r="K597">
        <v>0</v>
      </c>
      <c r="L597">
        <v>0</v>
      </c>
      <c r="M597" t="s">
        <v>43</v>
      </c>
    </row>
    <row r="598" spans="1:13" x14ac:dyDescent="0.15">
      <c r="A598" t="s">
        <v>1955</v>
      </c>
      <c r="B598" t="s">
        <v>1956</v>
      </c>
      <c r="C598" t="s">
        <v>1957</v>
      </c>
      <c r="D598" t="s">
        <v>1596</v>
      </c>
      <c r="E598">
        <v>0</v>
      </c>
      <c r="F598" t="str">
        <f>HYPERLINK("https://github.com/ankidroid/Anki-Android/issues/3105", "show")</f>
        <v>show</v>
      </c>
      <c r="G598" t="str">
        <f t="shared" si="4"/>
        <v>show</v>
      </c>
      <c r="H598" t="str">
        <f t="shared" si="5"/>
        <v>show</v>
      </c>
      <c r="I598">
        <v>0</v>
      </c>
      <c r="J598">
        <v>1</v>
      </c>
      <c r="K598">
        <v>0</v>
      </c>
      <c r="L598">
        <v>0</v>
      </c>
      <c r="M598" t="s">
        <v>139</v>
      </c>
    </row>
    <row r="599" spans="1:13" hidden="1" x14ac:dyDescent="0.15">
      <c r="A599" t="s">
        <v>1958</v>
      </c>
      <c r="B599" t="s">
        <v>1959</v>
      </c>
      <c r="C599" t="s">
        <v>1960</v>
      </c>
      <c r="D599" t="s">
        <v>1596</v>
      </c>
      <c r="E599">
        <v>0</v>
      </c>
      <c r="F599" t="str">
        <f>HYPERLINK("https://github.com/ankidroid/Anki-Android/issues/3104", "show")</f>
        <v>show</v>
      </c>
      <c r="G599" t="str">
        <f t="shared" si="4"/>
        <v>show</v>
      </c>
      <c r="H599" t="str">
        <f t="shared" si="5"/>
        <v>show</v>
      </c>
      <c r="I599">
        <v>0</v>
      </c>
      <c r="J599">
        <v>0</v>
      </c>
      <c r="K599">
        <v>0</v>
      </c>
      <c r="L599">
        <v>0</v>
      </c>
      <c r="M599" t="s">
        <v>43</v>
      </c>
    </row>
    <row r="600" spans="1:13" hidden="1" x14ac:dyDescent="0.15">
      <c r="A600" t="s">
        <v>1961</v>
      </c>
      <c r="B600" t="s">
        <v>1962</v>
      </c>
      <c r="C600" t="s">
        <v>1963</v>
      </c>
      <c r="D600" t="s">
        <v>1596</v>
      </c>
      <c r="E600">
        <v>0</v>
      </c>
      <c r="F600" t="str">
        <f>HYPERLINK("https://github.com/ankidroid/Anki-Android/issues/3102", "show")</f>
        <v>show</v>
      </c>
      <c r="G600" t="str">
        <f t="shared" si="4"/>
        <v>show</v>
      </c>
      <c r="H600" t="str">
        <f t="shared" si="5"/>
        <v>show</v>
      </c>
      <c r="I600">
        <v>0</v>
      </c>
      <c r="J600">
        <v>0</v>
      </c>
      <c r="K600">
        <v>0</v>
      </c>
      <c r="L600">
        <v>0</v>
      </c>
      <c r="M600" t="s">
        <v>43</v>
      </c>
    </row>
    <row r="601" spans="1:13" hidden="1" x14ac:dyDescent="0.15">
      <c r="A601" t="s">
        <v>1964</v>
      </c>
      <c r="B601" t="s">
        <v>1965</v>
      </c>
      <c r="C601" t="s">
        <v>1966</v>
      </c>
      <c r="D601" t="s">
        <v>1596</v>
      </c>
      <c r="E601">
        <v>0</v>
      </c>
      <c r="F601" t="str">
        <f>HYPERLINK("https://github.com/ankidroid/Anki-Android/issues/3100", "show")</f>
        <v>show</v>
      </c>
      <c r="G601" t="str">
        <f t="shared" si="4"/>
        <v>show</v>
      </c>
      <c r="H601" t="str">
        <f t="shared" si="5"/>
        <v>show</v>
      </c>
      <c r="I601">
        <v>1</v>
      </c>
      <c r="J601">
        <v>0</v>
      </c>
      <c r="K601">
        <v>0</v>
      </c>
      <c r="L601">
        <v>0</v>
      </c>
      <c r="M601" t="s">
        <v>17</v>
      </c>
    </row>
    <row r="602" spans="1:13" x14ac:dyDescent="0.15">
      <c r="A602" t="s">
        <v>1967</v>
      </c>
      <c r="B602" t="s">
        <v>1968</v>
      </c>
      <c r="C602" t="s">
        <v>1969</v>
      </c>
      <c r="D602" t="s">
        <v>1596</v>
      </c>
      <c r="E602">
        <v>92</v>
      </c>
      <c r="F602" t="str">
        <f>HYPERLINK("https://github.com/ankidroid/Anki-Android/issues/3098", "show")</f>
        <v>show</v>
      </c>
      <c r="G602" t="str">
        <f t="shared" si="4"/>
        <v>show</v>
      </c>
      <c r="H602" t="str">
        <f t="shared" si="5"/>
        <v>show</v>
      </c>
      <c r="I602">
        <v>0</v>
      </c>
      <c r="J602">
        <v>1</v>
      </c>
      <c r="K602">
        <v>0</v>
      </c>
      <c r="L602">
        <v>0</v>
      </c>
      <c r="M602" t="s">
        <v>139</v>
      </c>
    </row>
    <row r="603" spans="1:13" hidden="1" x14ac:dyDescent="0.15">
      <c r="A603" t="s">
        <v>1970</v>
      </c>
      <c r="B603" t="s">
        <v>1971</v>
      </c>
      <c r="C603" t="s">
        <v>1972</v>
      </c>
      <c r="D603" t="s">
        <v>1596</v>
      </c>
      <c r="E603">
        <v>0</v>
      </c>
      <c r="F603" t="str">
        <f>HYPERLINK("https://github.com/ankidroid/Anki-Android/issues/3088", "show")</f>
        <v>show</v>
      </c>
      <c r="G603" t="str">
        <f t="shared" si="4"/>
        <v>show</v>
      </c>
      <c r="H603" t="str">
        <f t="shared" si="5"/>
        <v>show</v>
      </c>
      <c r="I603">
        <v>0</v>
      </c>
      <c r="J603">
        <v>0</v>
      </c>
      <c r="K603">
        <v>0</v>
      </c>
      <c r="L603">
        <v>1</v>
      </c>
      <c r="M603" t="s">
        <v>581</v>
      </c>
    </row>
    <row r="604" spans="1:13" hidden="1" x14ac:dyDescent="0.15">
      <c r="A604" t="s">
        <v>1973</v>
      </c>
      <c r="B604" t="s">
        <v>1974</v>
      </c>
      <c r="C604" t="s">
        <v>1975</v>
      </c>
      <c r="D604" t="s">
        <v>1596</v>
      </c>
      <c r="E604">
        <v>0</v>
      </c>
      <c r="F604" t="str">
        <f>HYPERLINK("https://github.com/ankidroid/Anki-Android/issues/3084", "show")</f>
        <v>show</v>
      </c>
      <c r="G604" t="str">
        <f t="shared" si="4"/>
        <v>show</v>
      </c>
      <c r="H604" t="str">
        <f t="shared" si="5"/>
        <v>show</v>
      </c>
      <c r="I604">
        <v>0</v>
      </c>
      <c r="J604">
        <v>1</v>
      </c>
      <c r="K604">
        <v>0</v>
      </c>
      <c r="L604">
        <v>1</v>
      </c>
      <c r="M604" t="s">
        <v>1732</v>
      </c>
    </row>
    <row r="605" spans="1:13" hidden="1" x14ac:dyDescent="0.15">
      <c r="A605" t="s">
        <v>1976</v>
      </c>
      <c r="B605" t="s">
        <v>1977</v>
      </c>
      <c r="C605" t="s">
        <v>1978</v>
      </c>
      <c r="D605" t="s">
        <v>1596</v>
      </c>
      <c r="E605">
        <v>187</v>
      </c>
      <c r="F605" t="str">
        <f>HYPERLINK("https://github.com/ankidroid/Anki-Android/issues/3081", "show")</f>
        <v>show</v>
      </c>
      <c r="G605" t="str">
        <f t="shared" si="4"/>
        <v>show</v>
      </c>
      <c r="H605" t="str">
        <f t="shared" si="5"/>
        <v>show</v>
      </c>
      <c r="I605">
        <v>1</v>
      </c>
      <c r="J605">
        <v>1</v>
      </c>
      <c r="K605">
        <v>0</v>
      </c>
      <c r="L605">
        <v>0</v>
      </c>
      <c r="M605" t="s">
        <v>48</v>
      </c>
    </row>
    <row r="606" spans="1:13" x14ac:dyDescent="0.15">
      <c r="A606" t="s">
        <v>1979</v>
      </c>
      <c r="B606" t="s">
        <v>1980</v>
      </c>
      <c r="C606" t="s">
        <v>1981</v>
      </c>
      <c r="D606" t="s">
        <v>1596</v>
      </c>
      <c r="E606">
        <v>0</v>
      </c>
      <c r="F606" t="str">
        <f>HYPERLINK("https://github.com/ankidroid/Anki-Android/issues/3078", "show")</f>
        <v>show</v>
      </c>
      <c r="G606" t="str">
        <f t="shared" si="4"/>
        <v>show</v>
      </c>
      <c r="H606" t="str">
        <f t="shared" si="5"/>
        <v>show</v>
      </c>
      <c r="I606">
        <v>0</v>
      </c>
      <c r="J606">
        <v>1</v>
      </c>
      <c r="K606">
        <v>0</v>
      </c>
      <c r="L606">
        <v>0</v>
      </c>
      <c r="M606" t="s">
        <v>139</v>
      </c>
    </row>
    <row r="607" spans="1:13" hidden="1" x14ac:dyDescent="0.15">
      <c r="A607" t="s">
        <v>1982</v>
      </c>
      <c r="B607" t="s">
        <v>1983</v>
      </c>
      <c r="C607" t="s">
        <v>1984</v>
      </c>
      <c r="D607" t="s">
        <v>1596</v>
      </c>
      <c r="E607">
        <v>0</v>
      </c>
      <c r="F607" t="str">
        <f>HYPERLINK("https://github.com/ankidroid/Anki-Android/issues/3076", "show")</f>
        <v>show</v>
      </c>
      <c r="G607" t="str">
        <f t="shared" ref="G607:G670" si="6">HYPERLINK("https://github.com/ankidroid/Anki-Android", "show")</f>
        <v>show</v>
      </c>
      <c r="H607" t="str">
        <f t="shared" ref="H607:H670" si="7">HYPERLINK("https://github.com/ankidroid/Anki-Android/releases", "show")</f>
        <v>show</v>
      </c>
      <c r="I607">
        <v>0</v>
      </c>
      <c r="J607">
        <v>0</v>
      </c>
      <c r="K607">
        <v>0</v>
      </c>
      <c r="L607">
        <v>0</v>
      </c>
      <c r="M607" t="s">
        <v>43</v>
      </c>
    </row>
    <row r="608" spans="1:13" hidden="1" x14ac:dyDescent="0.15">
      <c r="A608" t="s">
        <v>1985</v>
      </c>
      <c r="B608" t="s">
        <v>1986</v>
      </c>
      <c r="C608" t="s">
        <v>1987</v>
      </c>
      <c r="D608" t="s">
        <v>1596</v>
      </c>
      <c r="E608">
        <v>0</v>
      </c>
      <c r="F608" t="str">
        <f>HYPERLINK("https://github.com/ankidroid/Anki-Android/issues/3075", "show")</f>
        <v>show</v>
      </c>
      <c r="G608" t="str">
        <f t="shared" si="6"/>
        <v>show</v>
      </c>
      <c r="H608" t="str">
        <f t="shared" si="7"/>
        <v>show</v>
      </c>
      <c r="I608">
        <v>0</v>
      </c>
      <c r="J608">
        <v>0</v>
      </c>
      <c r="K608">
        <v>0</v>
      </c>
      <c r="L608">
        <v>0</v>
      </c>
      <c r="M608" t="s">
        <v>43</v>
      </c>
    </row>
    <row r="609" spans="1:13" x14ac:dyDescent="0.15">
      <c r="A609" t="s">
        <v>1988</v>
      </c>
      <c r="B609" t="s">
        <v>1989</v>
      </c>
      <c r="C609" t="s">
        <v>1990</v>
      </c>
      <c r="D609" t="s">
        <v>1596</v>
      </c>
      <c r="E609">
        <v>187</v>
      </c>
      <c r="F609" t="str">
        <f>HYPERLINK("https://github.com/ankidroid/Anki-Android/issues/3072", "show")</f>
        <v>show</v>
      </c>
      <c r="G609" t="str">
        <f t="shared" si="6"/>
        <v>show</v>
      </c>
      <c r="H609" t="str">
        <f t="shared" si="7"/>
        <v>show</v>
      </c>
      <c r="I609">
        <v>0</v>
      </c>
      <c r="J609">
        <v>1</v>
      </c>
      <c r="K609">
        <v>0</v>
      </c>
      <c r="L609">
        <v>0</v>
      </c>
      <c r="M609" t="s">
        <v>139</v>
      </c>
    </row>
    <row r="610" spans="1:13" x14ac:dyDescent="0.15">
      <c r="A610" t="s">
        <v>1991</v>
      </c>
      <c r="B610" t="s">
        <v>1992</v>
      </c>
      <c r="C610" t="s">
        <v>1993</v>
      </c>
      <c r="D610" t="s">
        <v>1596</v>
      </c>
      <c r="E610">
        <v>0</v>
      </c>
      <c r="F610" t="str">
        <f>HYPERLINK("https://github.com/ankidroid/Anki-Android/issues/3070", "show")</f>
        <v>show</v>
      </c>
      <c r="G610" t="str">
        <f t="shared" si="6"/>
        <v>show</v>
      </c>
      <c r="H610" t="str">
        <f t="shared" si="7"/>
        <v>show</v>
      </c>
      <c r="I610">
        <v>0</v>
      </c>
      <c r="J610">
        <v>1</v>
      </c>
      <c r="K610">
        <v>0</v>
      </c>
      <c r="L610">
        <v>0</v>
      </c>
      <c r="M610" t="s">
        <v>139</v>
      </c>
    </row>
    <row r="611" spans="1:13" x14ac:dyDescent="0.15">
      <c r="A611" t="s">
        <v>1994</v>
      </c>
      <c r="B611" t="s">
        <v>1995</v>
      </c>
      <c r="C611" t="s">
        <v>1996</v>
      </c>
      <c r="D611" t="s">
        <v>1596</v>
      </c>
      <c r="E611">
        <v>0</v>
      </c>
      <c r="F611" t="str">
        <f>HYPERLINK("https://github.com/ankidroid/Anki-Android/issues/3069", "show")</f>
        <v>show</v>
      </c>
      <c r="G611" t="str">
        <f t="shared" si="6"/>
        <v>show</v>
      </c>
      <c r="H611" t="str">
        <f t="shared" si="7"/>
        <v>show</v>
      </c>
      <c r="I611">
        <v>0</v>
      </c>
      <c r="J611">
        <v>1</v>
      </c>
      <c r="K611">
        <v>0</v>
      </c>
      <c r="L611">
        <v>0</v>
      </c>
      <c r="M611" t="s">
        <v>139</v>
      </c>
    </row>
    <row r="612" spans="1:13" x14ac:dyDescent="0.15">
      <c r="A612" t="s">
        <v>1997</v>
      </c>
      <c r="B612" t="s">
        <v>1998</v>
      </c>
      <c r="C612" t="s">
        <v>1999</v>
      </c>
      <c r="D612" t="s">
        <v>1596</v>
      </c>
      <c r="E612">
        <v>0</v>
      </c>
      <c r="F612" t="str">
        <f>HYPERLINK("https://github.com/ankidroid/Anki-Android/issues/3067", "show")</f>
        <v>show</v>
      </c>
      <c r="G612" t="str">
        <f t="shared" si="6"/>
        <v>show</v>
      </c>
      <c r="H612" t="str">
        <f t="shared" si="7"/>
        <v>show</v>
      </c>
      <c r="I612">
        <v>0</v>
      </c>
      <c r="J612">
        <v>1</v>
      </c>
      <c r="K612">
        <v>0</v>
      </c>
      <c r="L612">
        <v>0</v>
      </c>
      <c r="M612" t="s">
        <v>139</v>
      </c>
    </row>
    <row r="613" spans="1:13" hidden="1" x14ac:dyDescent="0.15">
      <c r="A613" t="s">
        <v>2000</v>
      </c>
      <c r="B613" t="s">
        <v>2001</v>
      </c>
      <c r="C613" t="s">
        <v>2002</v>
      </c>
      <c r="D613" t="s">
        <v>1596</v>
      </c>
      <c r="E613">
        <v>0</v>
      </c>
      <c r="F613" t="str">
        <f>HYPERLINK("https://github.com/ankidroid/Anki-Android/issues/3061", "show")</f>
        <v>show</v>
      </c>
      <c r="G613" t="str">
        <f t="shared" si="6"/>
        <v>show</v>
      </c>
      <c r="H613" t="str">
        <f t="shared" si="7"/>
        <v>show</v>
      </c>
      <c r="I613">
        <v>0</v>
      </c>
      <c r="J613">
        <v>0</v>
      </c>
      <c r="K613">
        <v>0</v>
      </c>
      <c r="L613">
        <v>1</v>
      </c>
      <c r="M613" t="s">
        <v>581</v>
      </c>
    </row>
    <row r="614" spans="1:13" x14ac:dyDescent="0.15">
      <c r="A614" t="s">
        <v>2003</v>
      </c>
      <c r="B614" t="s">
        <v>2004</v>
      </c>
      <c r="C614" t="s">
        <v>2005</v>
      </c>
      <c r="D614" t="s">
        <v>1596</v>
      </c>
      <c r="E614">
        <v>0</v>
      </c>
      <c r="F614" t="str">
        <f>HYPERLINK("https://github.com/ankidroid/Anki-Android/issues/3058", "show")</f>
        <v>show</v>
      </c>
      <c r="G614" t="str">
        <f t="shared" si="6"/>
        <v>show</v>
      </c>
      <c r="H614" t="str">
        <f t="shared" si="7"/>
        <v>show</v>
      </c>
      <c r="I614">
        <v>0</v>
      </c>
      <c r="J614">
        <v>1</v>
      </c>
      <c r="K614">
        <v>0</v>
      </c>
      <c r="L614">
        <v>0</v>
      </c>
      <c r="M614" t="s">
        <v>139</v>
      </c>
    </row>
    <row r="615" spans="1:13" hidden="1" x14ac:dyDescent="0.15">
      <c r="A615" t="s">
        <v>2006</v>
      </c>
      <c r="B615" t="s">
        <v>2007</v>
      </c>
      <c r="C615" t="s">
        <v>2008</v>
      </c>
      <c r="D615" t="s">
        <v>1596</v>
      </c>
      <c r="E615">
        <v>0</v>
      </c>
      <c r="F615" t="str">
        <f>HYPERLINK("https://github.com/ankidroid/Anki-Android/issues/3052", "show")</f>
        <v>show</v>
      </c>
      <c r="G615" t="str">
        <f t="shared" si="6"/>
        <v>show</v>
      </c>
      <c r="H615" t="str">
        <f t="shared" si="7"/>
        <v>show</v>
      </c>
      <c r="I615">
        <v>0</v>
      </c>
      <c r="J615">
        <v>1</v>
      </c>
      <c r="K615">
        <v>0</v>
      </c>
      <c r="L615">
        <v>1</v>
      </c>
      <c r="M615" t="s">
        <v>1732</v>
      </c>
    </row>
    <row r="616" spans="1:13" hidden="1" x14ac:dyDescent="0.15">
      <c r="A616" t="s">
        <v>2009</v>
      </c>
      <c r="B616" t="s">
        <v>2010</v>
      </c>
      <c r="C616" t="s">
        <v>2011</v>
      </c>
      <c r="D616" t="s">
        <v>1596</v>
      </c>
      <c r="E616">
        <v>0</v>
      </c>
      <c r="F616" t="str">
        <f>HYPERLINK("https://github.com/ankidroid/Anki-Android/issues/3048", "show")</f>
        <v>show</v>
      </c>
      <c r="G616" t="str">
        <f t="shared" si="6"/>
        <v>show</v>
      </c>
      <c r="H616" t="str">
        <f t="shared" si="7"/>
        <v>show</v>
      </c>
      <c r="I616">
        <v>1</v>
      </c>
      <c r="J616">
        <v>1</v>
      </c>
      <c r="K616">
        <v>0</v>
      </c>
      <c r="L616">
        <v>0</v>
      </c>
      <c r="M616" t="s">
        <v>48</v>
      </c>
    </row>
    <row r="617" spans="1:13" hidden="1" x14ac:dyDescent="0.15">
      <c r="A617" t="s">
        <v>2012</v>
      </c>
      <c r="B617" t="s">
        <v>2013</v>
      </c>
      <c r="C617" t="s">
        <v>2014</v>
      </c>
      <c r="D617" t="s">
        <v>1596</v>
      </c>
      <c r="E617">
        <v>92</v>
      </c>
      <c r="F617" t="str">
        <f>HYPERLINK("https://github.com/ankidroid/Anki-Android/issues/3046", "show")</f>
        <v>show</v>
      </c>
      <c r="G617" t="str">
        <f t="shared" si="6"/>
        <v>show</v>
      </c>
      <c r="H617" t="str">
        <f t="shared" si="7"/>
        <v>show</v>
      </c>
      <c r="I617">
        <v>0</v>
      </c>
      <c r="J617">
        <v>0</v>
      </c>
      <c r="K617">
        <v>0</v>
      </c>
      <c r="L617">
        <v>0</v>
      </c>
      <c r="M617" t="s">
        <v>43</v>
      </c>
    </row>
    <row r="618" spans="1:13" hidden="1" x14ac:dyDescent="0.15">
      <c r="A618" t="s">
        <v>2015</v>
      </c>
      <c r="B618" t="s">
        <v>2016</v>
      </c>
      <c r="C618" t="s">
        <v>2017</v>
      </c>
      <c r="D618" t="s">
        <v>1596</v>
      </c>
      <c r="E618">
        <v>0</v>
      </c>
      <c r="F618" t="str">
        <f>HYPERLINK("https://github.com/ankidroid/Anki-Android/issues/3042", "show")</f>
        <v>show</v>
      </c>
      <c r="G618" t="str">
        <f t="shared" si="6"/>
        <v>show</v>
      </c>
      <c r="H618" t="str">
        <f t="shared" si="7"/>
        <v>show</v>
      </c>
      <c r="I618">
        <v>1</v>
      </c>
      <c r="J618">
        <v>1</v>
      </c>
      <c r="K618">
        <v>0</v>
      </c>
      <c r="L618">
        <v>0</v>
      </c>
      <c r="M618" t="s">
        <v>48</v>
      </c>
    </row>
    <row r="619" spans="1:13" hidden="1" x14ac:dyDescent="0.15">
      <c r="A619" t="s">
        <v>2018</v>
      </c>
      <c r="B619" t="s">
        <v>2019</v>
      </c>
      <c r="C619" t="s">
        <v>2020</v>
      </c>
      <c r="D619" t="s">
        <v>1596</v>
      </c>
      <c r="E619">
        <v>0</v>
      </c>
      <c r="F619" t="str">
        <f>HYPERLINK("https://github.com/ankidroid/Anki-Android/issues/3040", "show")</f>
        <v>show</v>
      </c>
      <c r="G619" t="str">
        <f t="shared" si="6"/>
        <v>show</v>
      </c>
      <c r="H619" t="str">
        <f t="shared" si="7"/>
        <v>show</v>
      </c>
      <c r="I619">
        <v>0</v>
      </c>
      <c r="J619">
        <v>0</v>
      </c>
      <c r="K619">
        <v>0</v>
      </c>
      <c r="L619">
        <v>0</v>
      </c>
      <c r="M619" t="s">
        <v>43</v>
      </c>
    </row>
    <row r="620" spans="1:13" x14ac:dyDescent="0.15">
      <c r="A620" t="s">
        <v>2021</v>
      </c>
      <c r="B620" t="s">
        <v>2022</v>
      </c>
      <c r="C620" t="s">
        <v>2023</v>
      </c>
      <c r="D620" t="s">
        <v>1596</v>
      </c>
      <c r="E620">
        <v>0</v>
      </c>
      <c r="F620" t="str">
        <f>HYPERLINK("https://github.com/ankidroid/Anki-Android/issues/3037", "show")</f>
        <v>show</v>
      </c>
      <c r="G620" t="str">
        <f t="shared" si="6"/>
        <v>show</v>
      </c>
      <c r="H620" t="str">
        <f t="shared" si="7"/>
        <v>show</v>
      </c>
      <c r="I620">
        <v>0</v>
      </c>
      <c r="J620">
        <v>1</v>
      </c>
      <c r="K620">
        <v>0</v>
      </c>
      <c r="L620">
        <v>0</v>
      </c>
      <c r="M620" t="s">
        <v>139</v>
      </c>
    </row>
    <row r="621" spans="1:13" hidden="1" x14ac:dyDescent="0.15">
      <c r="A621" t="s">
        <v>2024</v>
      </c>
      <c r="B621" t="s">
        <v>2025</v>
      </c>
      <c r="C621" t="s">
        <v>2026</v>
      </c>
      <c r="D621" t="s">
        <v>1596</v>
      </c>
      <c r="E621">
        <v>187</v>
      </c>
      <c r="F621" t="str">
        <f>HYPERLINK("https://github.com/ankidroid/Anki-Android/issues/3036", "show")</f>
        <v>show</v>
      </c>
      <c r="G621" t="str">
        <f t="shared" si="6"/>
        <v>show</v>
      </c>
      <c r="H621" t="str">
        <f t="shared" si="7"/>
        <v>show</v>
      </c>
      <c r="I621">
        <v>0</v>
      </c>
      <c r="J621">
        <v>1</v>
      </c>
      <c r="K621">
        <v>1</v>
      </c>
      <c r="L621">
        <v>0</v>
      </c>
      <c r="M621" t="s">
        <v>699</v>
      </c>
    </row>
    <row r="622" spans="1:13" hidden="1" x14ac:dyDescent="0.15">
      <c r="A622" t="s">
        <v>2027</v>
      </c>
      <c r="B622" t="s">
        <v>2028</v>
      </c>
      <c r="C622" t="s">
        <v>2029</v>
      </c>
      <c r="D622" t="s">
        <v>1596</v>
      </c>
      <c r="E622">
        <v>0</v>
      </c>
      <c r="F622" t="str">
        <f>HYPERLINK("https://github.com/ankidroid/Anki-Android/issues/3024", "show")</f>
        <v>show</v>
      </c>
      <c r="G622" t="str">
        <f t="shared" si="6"/>
        <v>show</v>
      </c>
      <c r="H622" t="str">
        <f t="shared" si="7"/>
        <v>show</v>
      </c>
      <c r="I622">
        <v>0</v>
      </c>
      <c r="J622">
        <v>1</v>
      </c>
      <c r="K622">
        <v>0</v>
      </c>
      <c r="L622">
        <v>1</v>
      </c>
      <c r="M622" t="s">
        <v>1732</v>
      </c>
    </row>
    <row r="623" spans="1:13" hidden="1" x14ac:dyDescent="0.15">
      <c r="A623" t="s">
        <v>2030</v>
      </c>
      <c r="B623" t="s">
        <v>2031</v>
      </c>
      <c r="C623" t="s">
        <v>2032</v>
      </c>
      <c r="D623" t="s">
        <v>1596</v>
      </c>
      <c r="E623">
        <v>187</v>
      </c>
      <c r="F623" t="str">
        <f>HYPERLINK("https://github.com/ankidroid/Anki-Android/issues/3010", "show")</f>
        <v>show</v>
      </c>
      <c r="G623" t="str">
        <f t="shared" si="6"/>
        <v>show</v>
      </c>
      <c r="H623" t="str">
        <f t="shared" si="7"/>
        <v>show</v>
      </c>
      <c r="I623">
        <v>0</v>
      </c>
      <c r="J623">
        <v>0</v>
      </c>
      <c r="K623">
        <v>0</v>
      </c>
      <c r="L623">
        <v>0</v>
      </c>
      <c r="M623" t="s">
        <v>43</v>
      </c>
    </row>
    <row r="624" spans="1:13" hidden="1" x14ac:dyDescent="0.15">
      <c r="A624" t="s">
        <v>2033</v>
      </c>
      <c r="B624" t="s">
        <v>2034</v>
      </c>
      <c r="C624" t="s">
        <v>2035</v>
      </c>
      <c r="D624" t="s">
        <v>1596</v>
      </c>
      <c r="E624">
        <v>0</v>
      </c>
      <c r="F624" t="str">
        <f>HYPERLINK("https://github.com/ankidroid/Anki-Android/issues/3004", "show")</f>
        <v>show</v>
      </c>
      <c r="G624" t="str">
        <f t="shared" si="6"/>
        <v>show</v>
      </c>
      <c r="H624" t="str">
        <f t="shared" si="7"/>
        <v>show</v>
      </c>
      <c r="I624">
        <v>0</v>
      </c>
      <c r="J624">
        <v>1</v>
      </c>
      <c r="K624">
        <v>0</v>
      </c>
      <c r="L624">
        <v>1</v>
      </c>
      <c r="M624" t="s">
        <v>1732</v>
      </c>
    </row>
    <row r="625" spans="1:13" x14ac:dyDescent="0.15">
      <c r="A625" t="s">
        <v>2036</v>
      </c>
      <c r="B625" t="s">
        <v>2037</v>
      </c>
      <c r="C625" t="s">
        <v>2038</v>
      </c>
      <c r="D625" t="s">
        <v>1596</v>
      </c>
      <c r="E625">
        <v>0</v>
      </c>
      <c r="F625" t="str">
        <f>HYPERLINK("https://github.com/ankidroid/Anki-Android/issues/2990", "show")</f>
        <v>show</v>
      </c>
      <c r="G625" t="str">
        <f t="shared" si="6"/>
        <v>show</v>
      </c>
      <c r="H625" t="str">
        <f t="shared" si="7"/>
        <v>show</v>
      </c>
      <c r="I625">
        <v>0</v>
      </c>
      <c r="J625">
        <v>1</v>
      </c>
      <c r="K625">
        <v>0</v>
      </c>
      <c r="L625">
        <v>0</v>
      </c>
      <c r="M625" t="s">
        <v>139</v>
      </c>
    </row>
    <row r="626" spans="1:13" x14ac:dyDescent="0.15">
      <c r="A626" t="s">
        <v>2039</v>
      </c>
      <c r="B626" t="s">
        <v>2040</v>
      </c>
      <c r="C626" t="s">
        <v>2041</v>
      </c>
      <c r="D626" t="s">
        <v>1596</v>
      </c>
      <c r="E626">
        <v>0</v>
      </c>
      <c r="F626" t="str">
        <f>HYPERLINK("https://github.com/ankidroid/Anki-Android/issues/2988", "show")</f>
        <v>show</v>
      </c>
      <c r="G626" t="str">
        <f t="shared" si="6"/>
        <v>show</v>
      </c>
      <c r="H626" t="str">
        <f t="shared" si="7"/>
        <v>show</v>
      </c>
      <c r="I626">
        <v>0</v>
      </c>
      <c r="J626">
        <v>1</v>
      </c>
      <c r="K626">
        <v>0</v>
      </c>
      <c r="L626">
        <v>0</v>
      </c>
      <c r="M626" t="s">
        <v>139</v>
      </c>
    </row>
    <row r="627" spans="1:13" hidden="1" x14ac:dyDescent="0.15">
      <c r="A627" t="s">
        <v>2042</v>
      </c>
      <c r="B627" t="s">
        <v>2043</v>
      </c>
      <c r="C627" t="s">
        <v>2044</v>
      </c>
      <c r="D627" t="s">
        <v>1596</v>
      </c>
      <c r="E627">
        <v>0</v>
      </c>
      <c r="F627" t="str">
        <f>HYPERLINK("https://github.com/ankidroid/Anki-Android/issues/2987", "show")</f>
        <v>show</v>
      </c>
      <c r="G627" t="str">
        <f t="shared" si="6"/>
        <v>show</v>
      </c>
      <c r="H627" t="str">
        <f t="shared" si="7"/>
        <v>show</v>
      </c>
      <c r="I627">
        <v>0</v>
      </c>
      <c r="J627">
        <v>1</v>
      </c>
      <c r="K627">
        <v>0</v>
      </c>
      <c r="L627">
        <v>1</v>
      </c>
      <c r="M627" t="s">
        <v>1732</v>
      </c>
    </row>
    <row r="628" spans="1:13" hidden="1" x14ac:dyDescent="0.15">
      <c r="A628" t="s">
        <v>2045</v>
      </c>
      <c r="B628" t="s">
        <v>2046</v>
      </c>
      <c r="C628" t="s">
        <v>2047</v>
      </c>
      <c r="D628" t="s">
        <v>1596</v>
      </c>
      <c r="E628">
        <v>0</v>
      </c>
      <c r="F628" t="str">
        <f>HYPERLINK("https://github.com/ankidroid/Anki-Android/issues/2986", "show")</f>
        <v>show</v>
      </c>
      <c r="G628" t="str">
        <f t="shared" si="6"/>
        <v>show</v>
      </c>
      <c r="H628" t="str">
        <f t="shared" si="7"/>
        <v>show</v>
      </c>
      <c r="I628">
        <v>0</v>
      </c>
      <c r="J628">
        <v>0</v>
      </c>
      <c r="K628">
        <v>0</v>
      </c>
      <c r="L628">
        <v>0</v>
      </c>
      <c r="M628" t="s">
        <v>43</v>
      </c>
    </row>
    <row r="629" spans="1:13" hidden="1" x14ac:dyDescent="0.15">
      <c r="A629" t="s">
        <v>2048</v>
      </c>
      <c r="B629" t="s">
        <v>2049</v>
      </c>
      <c r="C629" t="s">
        <v>2050</v>
      </c>
      <c r="D629" t="s">
        <v>1596</v>
      </c>
      <c r="E629">
        <v>0</v>
      </c>
      <c r="F629" t="str">
        <f>HYPERLINK("https://github.com/ankidroid/Anki-Android/issues/2985", "show")</f>
        <v>show</v>
      </c>
      <c r="G629" t="str">
        <f t="shared" si="6"/>
        <v>show</v>
      </c>
      <c r="H629" t="str">
        <f t="shared" si="7"/>
        <v>show</v>
      </c>
      <c r="I629">
        <v>0</v>
      </c>
      <c r="J629">
        <v>0</v>
      </c>
      <c r="K629">
        <v>0</v>
      </c>
      <c r="L629">
        <v>1</v>
      </c>
      <c r="M629" t="s">
        <v>581</v>
      </c>
    </row>
    <row r="630" spans="1:13" x14ac:dyDescent="0.15">
      <c r="A630" t="s">
        <v>2051</v>
      </c>
      <c r="B630" t="s">
        <v>2052</v>
      </c>
      <c r="C630" t="s">
        <v>2053</v>
      </c>
      <c r="D630" t="s">
        <v>1596</v>
      </c>
      <c r="E630">
        <v>187</v>
      </c>
      <c r="F630" t="str">
        <f>HYPERLINK("https://github.com/ankidroid/Anki-Android/issues/2978", "show")</f>
        <v>show</v>
      </c>
      <c r="G630" t="str">
        <f t="shared" si="6"/>
        <v>show</v>
      </c>
      <c r="H630" t="str">
        <f t="shared" si="7"/>
        <v>show</v>
      </c>
      <c r="I630">
        <v>0</v>
      </c>
      <c r="J630">
        <v>1</v>
      </c>
      <c r="K630">
        <v>0</v>
      </c>
      <c r="L630">
        <v>0</v>
      </c>
      <c r="M630" t="s">
        <v>139</v>
      </c>
    </row>
    <row r="631" spans="1:13" x14ac:dyDescent="0.15">
      <c r="A631" t="s">
        <v>2054</v>
      </c>
      <c r="B631" t="s">
        <v>2055</v>
      </c>
      <c r="C631" t="s">
        <v>2056</v>
      </c>
      <c r="D631" t="s">
        <v>1596</v>
      </c>
      <c r="E631">
        <v>0</v>
      </c>
      <c r="F631" t="str">
        <f>HYPERLINK("https://github.com/ankidroid/Anki-Android/issues/2977", "show")</f>
        <v>show</v>
      </c>
      <c r="G631" t="str">
        <f t="shared" si="6"/>
        <v>show</v>
      </c>
      <c r="H631" t="str">
        <f t="shared" si="7"/>
        <v>show</v>
      </c>
      <c r="I631">
        <v>0</v>
      </c>
      <c r="J631">
        <v>1</v>
      </c>
      <c r="K631">
        <v>0</v>
      </c>
      <c r="L631">
        <v>0</v>
      </c>
      <c r="M631" t="s">
        <v>139</v>
      </c>
    </row>
    <row r="632" spans="1:13" x14ac:dyDescent="0.15">
      <c r="A632" t="s">
        <v>2057</v>
      </c>
      <c r="B632" t="s">
        <v>2058</v>
      </c>
      <c r="C632" t="s">
        <v>2059</v>
      </c>
      <c r="D632" t="s">
        <v>1596</v>
      </c>
      <c r="E632">
        <v>0</v>
      </c>
      <c r="F632" t="str">
        <f>HYPERLINK("https://github.com/ankidroid/Anki-Android/issues/2976", "show")</f>
        <v>show</v>
      </c>
      <c r="G632" t="str">
        <f t="shared" si="6"/>
        <v>show</v>
      </c>
      <c r="H632" t="str">
        <f t="shared" si="7"/>
        <v>show</v>
      </c>
      <c r="I632">
        <v>0</v>
      </c>
      <c r="J632">
        <v>1</v>
      </c>
      <c r="K632">
        <v>0</v>
      </c>
      <c r="L632">
        <v>0</v>
      </c>
      <c r="M632" t="s">
        <v>139</v>
      </c>
    </row>
    <row r="633" spans="1:13" x14ac:dyDescent="0.15">
      <c r="A633" t="s">
        <v>2060</v>
      </c>
      <c r="B633" t="s">
        <v>2061</v>
      </c>
      <c r="C633" t="s">
        <v>2062</v>
      </c>
      <c r="D633" t="s">
        <v>1596</v>
      </c>
      <c r="E633">
        <v>0</v>
      </c>
      <c r="F633" t="str">
        <f>HYPERLINK("https://github.com/ankidroid/Anki-Android/issues/2975", "show")</f>
        <v>show</v>
      </c>
      <c r="G633" t="str">
        <f t="shared" si="6"/>
        <v>show</v>
      </c>
      <c r="H633" t="str">
        <f t="shared" si="7"/>
        <v>show</v>
      </c>
      <c r="I633">
        <v>0</v>
      </c>
      <c r="J633">
        <v>1</v>
      </c>
      <c r="K633">
        <v>0</v>
      </c>
      <c r="L633">
        <v>0</v>
      </c>
      <c r="M633" t="s">
        <v>139</v>
      </c>
    </row>
    <row r="634" spans="1:13" hidden="1" x14ac:dyDescent="0.15">
      <c r="A634" t="s">
        <v>2063</v>
      </c>
      <c r="B634" t="s">
        <v>2064</v>
      </c>
      <c r="C634" t="s">
        <v>2065</v>
      </c>
      <c r="D634" t="s">
        <v>1596</v>
      </c>
      <c r="E634">
        <v>92</v>
      </c>
      <c r="F634" t="str">
        <f>HYPERLINK("https://github.com/ankidroid/Anki-Android/issues/2972", "show")</f>
        <v>show</v>
      </c>
      <c r="G634" t="str">
        <f t="shared" si="6"/>
        <v>show</v>
      </c>
      <c r="H634" t="str">
        <f t="shared" si="7"/>
        <v>show</v>
      </c>
      <c r="I634">
        <v>0</v>
      </c>
      <c r="J634">
        <v>0</v>
      </c>
      <c r="K634">
        <v>0</v>
      </c>
      <c r="L634">
        <v>1</v>
      </c>
      <c r="M634" t="s">
        <v>581</v>
      </c>
    </row>
    <row r="635" spans="1:13" x14ac:dyDescent="0.15">
      <c r="A635" t="s">
        <v>2066</v>
      </c>
      <c r="B635" t="s">
        <v>2067</v>
      </c>
      <c r="C635" t="s">
        <v>2068</v>
      </c>
      <c r="D635" t="s">
        <v>1596</v>
      </c>
      <c r="E635">
        <v>0</v>
      </c>
      <c r="F635" t="str">
        <f>HYPERLINK("https://github.com/ankidroid/Anki-Android/issues/2970", "show")</f>
        <v>show</v>
      </c>
      <c r="G635" t="str">
        <f t="shared" si="6"/>
        <v>show</v>
      </c>
      <c r="H635" t="str">
        <f t="shared" si="7"/>
        <v>show</v>
      </c>
      <c r="I635">
        <v>0</v>
      </c>
      <c r="J635">
        <v>1</v>
      </c>
      <c r="K635">
        <v>0</v>
      </c>
      <c r="L635">
        <v>0</v>
      </c>
      <c r="M635" t="s">
        <v>139</v>
      </c>
    </row>
    <row r="636" spans="1:13" hidden="1" x14ac:dyDescent="0.15">
      <c r="A636" t="s">
        <v>2069</v>
      </c>
      <c r="B636" t="s">
        <v>2070</v>
      </c>
      <c r="C636" t="s">
        <v>2071</v>
      </c>
      <c r="D636" t="s">
        <v>1596</v>
      </c>
      <c r="E636">
        <v>0</v>
      </c>
      <c r="F636" t="str">
        <f>HYPERLINK("https://github.com/ankidroid/Anki-Android/issues/2967", "show")</f>
        <v>show</v>
      </c>
      <c r="G636" t="str">
        <f t="shared" si="6"/>
        <v>show</v>
      </c>
      <c r="H636" t="str">
        <f t="shared" si="7"/>
        <v>show</v>
      </c>
      <c r="I636">
        <v>0</v>
      </c>
      <c r="J636">
        <v>0</v>
      </c>
      <c r="K636">
        <v>0</v>
      </c>
      <c r="L636">
        <v>0</v>
      </c>
      <c r="M636" t="s">
        <v>43</v>
      </c>
    </row>
    <row r="637" spans="1:13" x14ac:dyDescent="0.15">
      <c r="A637" t="s">
        <v>2072</v>
      </c>
      <c r="B637" t="s">
        <v>2073</v>
      </c>
      <c r="C637" t="s">
        <v>2074</v>
      </c>
      <c r="D637" t="s">
        <v>1596</v>
      </c>
      <c r="E637">
        <v>0</v>
      </c>
      <c r="F637" t="str">
        <f>HYPERLINK("https://github.com/ankidroid/Anki-Android/issues/2966", "show")</f>
        <v>show</v>
      </c>
      <c r="G637" t="str">
        <f t="shared" si="6"/>
        <v>show</v>
      </c>
      <c r="H637" t="str">
        <f t="shared" si="7"/>
        <v>show</v>
      </c>
      <c r="I637">
        <v>0</v>
      </c>
      <c r="J637">
        <v>1</v>
      </c>
      <c r="K637">
        <v>0</v>
      </c>
      <c r="L637">
        <v>0</v>
      </c>
      <c r="M637" t="s">
        <v>139</v>
      </c>
    </row>
    <row r="638" spans="1:13" x14ac:dyDescent="0.15">
      <c r="A638" t="s">
        <v>2075</v>
      </c>
      <c r="B638" t="s">
        <v>2076</v>
      </c>
      <c r="C638" t="s">
        <v>2077</v>
      </c>
      <c r="D638" t="s">
        <v>1596</v>
      </c>
      <c r="E638">
        <v>0</v>
      </c>
      <c r="F638" t="str">
        <f>HYPERLINK("https://github.com/ankidroid/Anki-Android/issues/2964", "show")</f>
        <v>show</v>
      </c>
      <c r="G638" t="str">
        <f t="shared" si="6"/>
        <v>show</v>
      </c>
      <c r="H638" t="str">
        <f t="shared" si="7"/>
        <v>show</v>
      </c>
      <c r="I638">
        <v>0</v>
      </c>
      <c r="J638">
        <v>1</v>
      </c>
      <c r="K638">
        <v>0</v>
      </c>
      <c r="L638">
        <v>0</v>
      </c>
      <c r="M638" t="s">
        <v>139</v>
      </c>
    </row>
    <row r="639" spans="1:13" x14ac:dyDescent="0.15">
      <c r="A639" t="s">
        <v>2078</v>
      </c>
      <c r="B639" t="s">
        <v>2079</v>
      </c>
      <c r="C639" t="s">
        <v>2080</v>
      </c>
      <c r="D639" t="s">
        <v>1596</v>
      </c>
      <c r="E639">
        <v>187</v>
      </c>
      <c r="F639" t="str">
        <f>HYPERLINK("https://github.com/ankidroid/Anki-Android/issues/2963", "show")</f>
        <v>show</v>
      </c>
      <c r="G639" t="str">
        <f t="shared" si="6"/>
        <v>show</v>
      </c>
      <c r="H639" t="str">
        <f t="shared" si="7"/>
        <v>show</v>
      </c>
      <c r="I639">
        <v>0</v>
      </c>
      <c r="J639">
        <v>1</v>
      </c>
      <c r="K639">
        <v>0</v>
      </c>
      <c r="L639">
        <v>0</v>
      </c>
      <c r="M639" t="s">
        <v>139</v>
      </c>
    </row>
    <row r="640" spans="1:13" hidden="1" x14ac:dyDescent="0.15">
      <c r="A640" t="s">
        <v>2081</v>
      </c>
      <c r="B640" t="s">
        <v>2082</v>
      </c>
      <c r="C640" t="s">
        <v>2083</v>
      </c>
      <c r="D640" t="s">
        <v>1596</v>
      </c>
      <c r="E640">
        <v>0</v>
      </c>
      <c r="F640" t="str">
        <f>HYPERLINK("https://github.com/ankidroid/Anki-Android/issues/2960", "show")</f>
        <v>show</v>
      </c>
      <c r="G640" t="str">
        <f t="shared" si="6"/>
        <v>show</v>
      </c>
      <c r="H640" t="str">
        <f t="shared" si="7"/>
        <v>show</v>
      </c>
      <c r="I640">
        <v>0</v>
      </c>
      <c r="J640">
        <v>0</v>
      </c>
      <c r="K640">
        <v>0</v>
      </c>
      <c r="L640">
        <v>1</v>
      </c>
      <c r="M640" t="s">
        <v>581</v>
      </c>
    </row>
    <row r="641" spans="1:13" x14ac:dyDescent="0.15">
      <c r="A641" t="s">
        <v>2084</v>
      </c>
      <c r="B641" t="s">
        <v>2085</v>
      </c>
      <c r="C641" t="s">
        <v>2086</v>
      </c>
      <c r="D641" t="s">
        <v>1596</v>
      </c>
      <c r="E641">
        <v>0</v>
      </c>
      <c r="F641" t="str">
        <f>HYPERLINK("https://github.com/ankidroid/Anki-Android/issues/2957", "show")</f>
        <v>show</v>
      </c>
      <c r="G641" t="str">
        <f t="shared" si="6"/>
        <v>show</v>
      </c>
      <c r="H641" t="str">
        <f t="shared" si="7"/>
        <v>show</v>
      </c>
      <c r="I641">
        <v>0</v>
      </c>
      <c r="J641">
        <v>1</v>
      </c>
      <c r="K641">
        <v>0</v>
      </c>
      <c r="L641">
        <v>0</v>
      </c>
      <c r="M641" t="s">
        <v>139</v>
      </c>
    </row>
    <row r="642" spans="1:13" x14ac:dyDescent="0.15">
      <c r="A642" t="s">
        <v>2087</v>
      </c>
      <c r="B642" t="s">
        <v>2088</v>
      </c>
      <c r="C642" t="s">
        <v>2089</v>
      </c>
      <c r="D642" t="s">
        <v>1596</v>
      </c>
      <c r="E642">
        <v>0</v>
      </c>
      <c r="F642" t="str">
        <f>HYPERLINK("https://github.com/ankidroid/Anki-Android/issues/2955", "show")</f>
        <v>show</v>
      </c>
      <c r="G642" t="str">
        <f t="shared" si="6"/>
        <v>show</v>
      </c>
      <c r="H642" t="str">
        <f t="shared" si="7"/>
        <v>show</v>
      </c>
      <c r="I642">
        <v>0</v>
      </c>
      <c r="J642">
        <v>1</v>
      </c>
      <c r="K642">
        <v>0</v>
      </c>
      <c r="L642">
        <v>0</v>
      </c>
      <c r="M642" t="s">
        <v>139</v>
      </c>
    </row>
    <row r="643" spans="1:13" x14ac:dyDescent="0.15">
      <c r="A643" t="s">
        <v>2090</v>
      </c>
      <c r="B643" t="s">
        <v>2091</v>
      </c>
      <c r="C643" t="s">
        <v>2092</v>
      </c>
      <c r="D643" t="s">
        <v>1596</v>
      </c>
      <c r="E643">
        <v>0</v>
      </c>
      <c r="F643" t="str">
        <f>HYPERLINK("https://github.com/ankidroid/Anki-Android/issues/2949", "show")</f>
        <v>show</v>
      </c>
      <c r="G643" t="str">
        <f t="shared" si="6"/>
        <v>show</v>
      </c>
      <c r="H643" t="str">
        <f t="shared" si="7"/>
        <v>show</v>
      </c>
      <c r="I643">
        <v>0</v>
      </c>
      <c r="J643">
        <v>1</v>
      </c>
      <c r="K643">
        <v>0</v>
      </c>
      <c r="L643">
        <v>0</v>
      </c>
      <c r="M643" t="s">
        <v>139</v>
      </c>
    </row>
    <row r="644" spans="1:13" x14ac:dyDescent="0.15">
      <c r="A644" t="s">
        <v>2093</v>
      </c>
      <c r="B644" t="s">
        <v>2094</v>
      </c>
      <c r="C644" t="s">
        <v>2095</v>
      </c>
      <c r="D644" t="s">
        <v>1596</v>
      </c>
      <c r="E644">
        <v>0</v>
      </c>
      <c r="F644" t="str">
        <f>HYPERLINK("https://github.com/ankidroid/Anki-Android/issues/2948", "show")</f>
        <v>show</v>
      </c>
      <c r="G644" t="str">
        <f t="shared" si="6"/>
        <v>show</v>
      </c>
      <c r="H644" t="str">
        <f t="shared" si="7"/>
        <v>show</v>
      </c>
      <c r="I644">
        <v>0</v>
      </c>
      <c r="J644">
        <v>1</v>
      </c>
      <c r="K644">
        <v>0</v>
      </c>
      <c r="L644">
        <v>0</v>
      </c>
      <c r="M644" t="s">
        <v>139</v>
      </c>
    </row>
    <row r="645" spans="1:13" hidden="1" x14ac:dyDescent="0.15">
      <c r="A645" t="s">
        <v>2096</v>
      </c>
      <c r="B645" t="s">
        <v>2097</v>
      </c>
      <c r="C645" t="s">
        <v>2098</v>
      </c>
      <c r="D645" t="s">
        <v>1596</v>
      </c>
      <c r="E645">
        <v>0</v>
      </c>
      <c r="F645" t="str">
        <f>HYPERLINK("https://github.com/ankidroid/Anki-Android/issues/2946", "show")</f>
        <v>show</v>
      </c>
      <c r="G645" t="str">
        <f t="shared" si="6"/>
        <v>show</v>
      </c>
      <c r="H645" t="str">
        <f t="shared" si="7"/>
        <v>show</v>
      </c>
      <c r="I645">
        <v>0</v>
      </c>
      <c r="J645">
        <v>0</v>
      </c>
      <c r="K645">
        <v>0</v>
      </c>
      <c r="L645">
        <v>0</v>
      </c>
      <c r="M645" t="s">
        <v>43</v>
      </c>
    </row>
    <row r="646" spans="1:13" x14ac:dyDescent="0.15">
      <c r="A646" t="s">
        <v>2099</v>
      </c>
      <c r="B646" t="s">
        <v>2100</v>
      </c>
      <c r="C646" t="s">
        <v>2101</v>
      </c>
      <c r="D646" t="s">
        <v>1596</v>
      </c>
      <c r="E646">
        <v>0</v>
      </c>
      <c r="F646" t="str">
        <f>HYPERLINK("https://github.com/ankidroid/Anki-Android/issues/2942", "show")</f>
        <v>show</v>
      </c>
      <c r="G646" t="str">
        <f t="shared" si="6"/>
        <v>show</v>
      </c>
      <c r="H646" t="str">
        <f t="shared" si="7"/>
        <v>show</v>
      </c>
      <c r="I646">
        <v>0</v>
      </c>
      <c r="J646">
        <v>1</v>
      </c>
      <c r="K646">
        <v>0</v>
      </c>
      <c r="L646">
        <v>0</v>
      </c>
      <c r="M646" t="s">
        <v>139</v>
      </c>
    </row>
    <row r="647" spans="1:13" x14ac:dyDescent="0.15">
      <c r="A647" t="s">
        <v>2102</v>
      </c>
      <c r="B647" t="s">
        <v>2103</v>
      </c>
      <c r="C647" t="s">
        <v>2104</v>
      </c>
      <c r="D647" t="s">
        <v>1596</v>
      </c>
      <c r="E647">
        <v>0</v>
      </c>
      <c r="F647" t="str">
        <f>HYPERLINK("https://github.com/ankidroid/Anki-Android/issues/2933", "show")</f>
        <v>show</v>
      </c>
      <c r="G647" t="str">
        <f t="shared" si="6"/>
        <v>show</v>
      </c>
      <c r="H647" t="str">
        <f t="shared" si="7"/>
        <v>show</v>
      </c>
      <c r="I647">
        <v>0</v>
      </c>
      <c r="J647">
        <v>1</v>
      </c>
      <c r="K647">
        <v>0</v>
      </c>
      <c r="L647">
        <v>0</v>
      </c>
      <c r="M647" t="s">
        <v>139</v>
      </c>
    </row>
    <row r="648" spans="1:13" x14ac:dyDescent="0.15">
      <c r="A648" t="s">
        <v>2105</v>
      </c>
      <c r="B648" t="s">
        <v>2106</v>
      </c>
      <c r="C648" t="s">
        <v>2107</v>
      </c>
      <c r="D648" t="s">
        <v>1596</v>
      </c>
      <c r="E648">
        <v>1779</v>
      </c>
      <c r="F648" t="str">
        <f>HYPERLINK("https://github.com/ankidroid/Anki-Android/issues/2932", "show")</f>
        <v>show</v>
      </c>
      <c r="G648" t="str">
        <f t="shared" si="6"/>
        <v>show</v>
      </c>
      <c r="H648" t="str">
        <f t="shared" si="7"/>
        <v>show</v>
      </c>
      <c r="I648">
        <v>0</v>
      </c>
      <c r="J648">
        <v>1</v>
      </c>
      <c r="K648">
        <v>0</v>
      </c>
      <c r="L648">
        <v>0</v>
      </c>
      <c r="M648" t="s">
        <v>139</v>
      </c>
    </row>
    <row r="649" spans="1:13" hidden="1" x14ac:dyDescent="0.15">
      <c r="A649" t="s">
        <v>2108</v>
      </c>
      <c r="B649" t="s">
        <v>2109</v>
      </c>
      <c r="C649" t="s">
        <v>2110</v>
      </c>
      <c r="D649" t="s">
        <v>1596</v>
      </c>
      <c r="E649">
        <v>0</v>
      </c>
      <c r="F649" t="str">
        <f>HYPERLINK("https://github.com/ankidroid/Anki-Android/issues/2926", "show")</f>
        <v>show</v>
      </c>
      <c r="G649" t="str">
        <f t="shared" si="6"/>
        <v>show</v>
      </c>
      <c r="H649" t="str">
        <f t="shared" si="7"/>
        <v>show</v>
      </c>
      <c r="I649">
        <v>0</v>
      </c>
      <c r="J649">
        <v>0</v>
      </c>
      <c r="K649">
        <v>0</v>
      </c>
      <c r="L649">
        <v>0</v>
      </c>
      <c r="M649" t="s">
        <v>43</v>
      </c>
    </row>
    <row r="650" spans="1:13" hidden="1" x14ac:dyDescent="0.15">
      <c r="A650" t="s">
        <v>2111</v>
      </c>
      <c r="B650" t="s">
        <v>2112</v>
      </c>
      <c r="C650" t="s">
        <v>2113</v>
      </c>
      <c r="D650" t="s">
        <v>1596</v>
      </c>
      <c r="E650">
        <v>0</v>
      </c>
      <c r="F650" t="str">
        <f>HYPERLINK("https://github.com/ankidroid/Anki-Android/issues/2924", "show")</f>
        <v>show</v>
      </c>
      <c r="G650" t="str">
        <f t="shared" si="6"/>
        <v>show</v>
      </c>
      <c r="H650" t="str">
        <f t="shared" si="7"/>
        <v>show</v>
      </c>
      <c r="I650">
        <v>1</v>
      </c>
      <c r="J650">
        <v>0</v>
      </c>
      <c r="K650">
        <v>0</v>
      </c>
      <c r="L650">
        <v>1</v>
      </c>
      <c r="M650" t="s">
        <v>29</v>
      </c>
    </row>
    <row r="651" spans="1:13" hidden="1" x14ac:dyDescent="0.15">
      <c r="A651" t="s">
        <v>2114</v>
      </c>
      <c r="B651" t="s">
        <v>2115</v>
      </c>
      <c r="C651" t="s">
        <v>2116</v>
      </c>
      <c r="D651" t="s">
        <v>1596</v>
      </c>
      <c r="E651">
        <v>0</v>
      </c>
      <c r="F651" t="str">
        <f>HYPERLINK("https://github.com/ankidroid/Anki-Android/issues/2921", "show")</f>
        <v>show</v>
      </c>
      <c r="G651" t="str">
        <f t="shared" si="6"/>
        <v>show</v>
      </c>
      <c r="H651" t="str">
        <f t="shared" si="7"/>
        <v>show</v>
      </c>
      <c r="I651">
        <v>1</v>
      </c>
      <c r="J651">
        <v>1</v>
      </c>
      <c r="K651">
        <v>0</v>
      </c>
      <c r="L651">
        <v>0</v>
      </c>
      <c r="M651" t="s">
        <v>48</v>
      </c>
    </row>
    <row r="652" spans="1:13" x14ac:dyDescent="0.15">
      <c r="A652" t="s">
        <v>2117</v>
      </c>
      <c r="B652" t="s">
        <v>2118</v>
      </c>
      <c r="C652" t="s">
        <v>2119</v>
      </c>
      <c r="D652" t="s">
        <v>1596</v>
      </c>
      <c r="E652">
        <v>0</v>
      </c>
      <c r="F652" t="str">
        <f>HYPERLINK("https://github.com/ankidroid/Anki-Android/issues/2919", "show")</f>
        <v>show</v>
      </c>
      <c r="G652" t="str">
        <f t="shared" si="6"/>
        <v>show</v>
      </c>
      <c r="H652" t="str">
        <f t="shared" si="7"/>
        <v>show</v>
      </c>
      <c r="I652">
        <v>0</v>
      </c>
      <c r="J652">
        <v>1</v>
      </c>
      <c r="K652">
        <v>0</v>
      </c>
      <c r="L652">
        <v>0</v>
      </c>
      <c r="M652" t="s">
        <v>139</v>
      </c>
    </row>
    <row r="653" spans="1:13" x14ac:dyDescent="0.15">
      <c r="A653" t="s">
        <v>2120</v>
      </c>
      <c r="B653" t="s">
        <v>2121</v>
      </c>
      <c r="C653" t="s">
        <v>2122</v>
      </c>
      <c r="D653" t="s">
        <v>1596</v>
      </c>
      <c r="E653">
        <v>0</v>
      </c>
      <c r="F653" t="str">
        <f>HYPERLINK("https://github.com/ankidroid/Anki-Android/issues/2917", "show")</f>
        <v>show</v>
      </c>
      <c r="G653" t="str">
        <f t="shared" si="6"/>
        <v>show</v>
      </c>
      <c r="H653" t="str">
        <f t="shared" si="7"/>
        <v>show</v>
      </c>
      <c r="I653">
        <v>0</v>
      </c>
      <c r="J653">
        <v>1</v>
      </c>
      <c r="K653">
        <v>0</v>
      </c>
      <c r="L653">
        <v>0</v>
      </c>
      <c r="M653" t="s">
        <v>139</v>
      </c>
    </row>
    <row r="654" spans="1:13" hidden="1" x14ac:dyDescent="0.15">
      <c r="A654" t="s">
        <v>2123</v>
      </c>
      <c r="B654" t="s">
        <v>2124</v>
      </c>
      <c r="C654" t="s">
        <v>2125</v>
      </c>
      <c r="D654" t="s">
        <v>1596</v>
      </c>
      <c r="E654">
        <v>0</v>
      </c>
      <c r="F654" t="str">
        <f>HYPERLINK("https://github.com/ankidroid/Anki-Android/issues/2915", "show")</f>
        <v>show</v>
      </c>
      <c r="G654" t="str">
        <f t="shared" si="6"/>
        <v>show</v>
      </c>
      <c r="H654" t="str">
        <f t="shared" si="7"/>
        <v>show</v>
      </c>
      <c r="I654">
        <v>1</v>
      </c>
      <c r="J654">
        <v>1</v>
      </c>
      <c r="K654">
        <v>0</v>
      </c>
      <c r="L654">
        <v>0</v>
      </c>
      <c r="M654" t="s">
        <v>48</v>
      </c>
    </row>
    <row r="655" spans="1:13" hidden="1" x14ac:dyDescent="0.15">
      <c r="A655" t="s">
        <v>2126</v>
      </c>
      <c r="B655" t="s">
        <v>2127</v>
      </c>
      <c r="C655" t="s">
        <v>2128</v>
      </c>
      <c r="D655" t="s">
        <v>1596</v>
      </c>
      <c r="E655">
        <v>0</v>
      </c>
      <c r="F655" t="str">
        <f>HYPERLINK("https://github.com/ankidroid/Anki-Android/issues/2911", "show")</f>
        <v>show</v>
      </c>
      <c r="G655" t="str">
        <f t="shared" si="6"/>
        <v>show</v>
      </c>
      <c r="H655" t="str">
        <f t="shared" si="7"/>
        <v>show</v>
      </c>
      <c r="I655">
        <v>0</v>
      </c>
      <c r="J655">
        <v>0</v>
      </c>
      <c r="K655">
        <v>0</v>
      </c>
      <c r="L655">
        <v>0</v>
      </c>
      <c r="M655" t="s">
        <v>43</v>
      </c>
    </row>
    <row r="656" spans="1:13" hidden="1" x14ac:dyDescent="0.15">
      <c r="A656" t="s">
        <v>2129</v>
      </c>
      <c r="B656" t="s">
        <v>2130</v>
      </c>
      <c r="C656" t="s">
        <v>2131</v>
      </c>
      <c r="D656" t="s">
        <v>1596</v>
      </c>
      <c r="E656">
        <v>0</v>
      </c>
      <c r="F656" t="str">
        <f>HYPERLINK("https://github.com/ankidroid/Anki-Android/issues/2910", "show")</f>
        <v>show</v>
      </c>
      <c r="G656" t="str">
        <f t="shared" si="6"/>
        <v>show</v>
      </c>
      <c r="H656" t="str">
        <f t="shared" si="7"/>
        <v>show</v>
      </c>
      <c r="I656">
        <v>1</v>
      </c>
      <c r="J656">
        <v>0</v>
      </c>
      <c r="K656">
        <v>0</v>
      </c>
      <c r="L656">
        <v>0</v>
      </c>
      <c r="M656" t="s">
        <v>17</v>
      </c>
    </row>
    <row r="657" spans="1:13" hidden="1" x14ac:dyDescent="0.15">
      <c r="A657" t="s">
        <v>2132</v>
      </c>
      <c r="B657" t="s">
        <v>2133</v>
      </c>
      <c r="C657" t="s">
        <v>2134</v>
      </c>
      <c r="D657" t="s">
        <v>1596</v>
      </c>
      <c r="E657">
        <v>0</v>
      </c>
      <c r="F657" t="str">
        <f>HYPERLINK("https://github.com/ankidroid/Anki-Android/issues/2909", "show")</f>
        <v>show</v>
      </c>
      <c r="G657" t="str">
        <f t="shared" si="6"/>
        <v>show</v>
      </c>
      <c r="H657" t="str">
        <f t="shared" si="7"/>
        <v>show</v>
      </c>
      <c r="I657">
        <v>1</v>
      </c>
      <c r="J657">
        <v>0</v>
      </c>
      <c r="K657">
        <v>0</v>
      </c>
      <c r="L657">
        <v>0</v>
      </c>
      <c r="M657" t="s">
        <v>17</v>
      </c>
    </row>
    <row r="658" spans="1:13" hidden="1" x14ac:dyDescent="0.15">
      <c r="A658" t="s">
        <v>2135</v>
      </c>
      <c r="B658" t="s">
        <v>2136</v>
      </c>
      <c r="C658" t="s">
        <v>2137</v>
      </c>
      <c r="D658" t="s">
        <v>1596</v>
      </c>
      <c r="E658">
        <v>0</v>
      </c>
      <c r="F658" t="str">
        <f>HYPERLINK("https://github.com/ankidroid/Anki-Android/issues/2907", "show")</f>
        <v>show</v>
      </c>
      <c r="G658" t="str">
        <f t="shared" si="6"/>
        <v>show</v>
      </c>
      <c r="H658" t="str">
        <f t="shared" si="7"/>
        <v>show</v>
      </c>
      <c r="I658">
        <v>0</v>
      </c>
      <c r="J658">
        <v>0</v>
      </c>
      <c r="K658">
        <v>0</v>
      </c>
      <c r="L658">
        <v>0</v>
      </c>
      <c r="M658" t="s">
        <v>43</v>
      </c>
    </row>
    <row r="659" spans="1:13" hidden="1" x14ac:dyDescent="0.15">
      <c r="A659" t="s">
        <v>2138</v>
      </c>
      <c r="B659" t="s">
        <v>2139</v>
      </c>
      <c r="C659" t="s">
        <v>2140</v>
      </c>
      <c r="D659" t="s">
        <v>1596</v>
      </c>
      <c r="E659">
        <v>0</v>
      </c>
      <c r="F659" t="str">
        <f>HYPERLINK("https://github.com/ankidroid/Anki-Android/issues/2906", "show")</f>
        <v>show</v>
      </c>
      <c r="G659" t="str">
        <f t="shared" si="6"/>
        <v>show</v>
      </c>
      <c r="H659" t="str">
        <f t="shared" si="7"/>
        <v>show</v>
      </c>
      <c r="I659">
        <v>1</v>
      </c>
      <c r="J659">
        <v>1</v>
      </c>
      <c r="K659">
        <v>1</v>
      </c>
      <c r="L659">
        <v>0</v>
      </c>
      <c r="M659" t="s">
        <v>59</v>
      </c>
    </row>
    <row r="660" spans="1:13" x14ac:dyDescent="0.15">
      <c r="A660" t="s">
        <v>2141</v>
      </c>
      <c r="B660" t="s">
        <v>2142</v>
      </c>
      <c r="C660" t="s">
        <v>2143</v>
      </c>
      <c r="D660" t="s">
        <v>1596</v>
      </c>
      <c r="E660">
        <v>1170</v>
      </c>
      <c r="F660" t="str">
        <f>HYPERLINK("https://github.com/ankidroid/Anki-Android/issues/2903", "show")</f>
        <v>show</v>
      </c>
      <c r="G660" t="str">
        <f t="shared" si="6"/>
        <v>show</v>
      </c>
      <c r="H660" t="str">
        <f t="shared" si="7"/>
        <v>show</v>
      </c>
      <c r="I660">
        <v>0</v>
      </c>
      <c r="J660">
        <v>1</v>
      </c>
      <c r="K660">
        <v>0</v>
      </c>
      <c r="L660">
        <v>0</v>
      </c>
      <c r="M660" t="s">
        <v>139</v>
      </c>
    </row>
    <row r="661" spans="1:13" x14ac:dyDescent="0.15">
      <c r="A661" t="s">
        <v>2144</v>
      </c>
      <c r="B661" t="s">
        <v>2145</v>
      </c>
      <c r="C661" t="s">
        <v>2146</v>
      </c>
      <c r="D661" t="s">
        <v>1596</v>
      </c>
      <c r="E661">
        <v>179</v>
      </c>
      <c r="F661" t="str">
        <f>HYPERLINK("https://github.com/ankidroid/Anki-Android/issues/2902", "show")</f>
        <v>show</v>
      </c>
      <c r="G661" t="str">
        <f t="shared" si="6"/>
        <v>show</v>
      </c>
      <c r="H661" t="str">
        <f t="shared" si="7"/>
        <v>show</v>
      </c>
      <c r="I661">
        <v>0</v>
      </c>
      <c r="J661">
        <v>1</v>
      </c>
      <c r="K661">
        <v>0</v>
      </c>
      <c r="L661">
        <v>0</v>
      </c>
      <c r="M661" t="s">
        <v>139</v>
      </c>
    </row>
    <row r="662" spans="1:13" hidden="1" x14ac:dyDescent="0.15">
      <c r="A662" t="s">
        <v>2147</v>
      </c>
      <c r="B662" t="s">
        <v>2148</v>
      </c>
      <c r="C662" t="s">
        <v>2149</v>
      </c>
      <c r="D662" t="s">
        <v>1596</v>
      </c>
      <c r="E662">
        <v>186</v>
      </c>
      <c r="F662" t="str">
        <f>HYPERLINK("https://github.com/ankidroid/Anki-Android/issues/2901", "show")</f>
        <v>show</v>
      </c>
      <c r="G662" t="str">
        <f t="shared" si="6"/>
        <v>show</v>
      </c>
      <c r="H662" t="str">
        <f t="shared" si="7"/>
        <v>show</v>
      </c>
      <c r="I662">
        <v>0</v>
      </c>
      <c r="J662">
        <v>1</v>
      </c>
      <c r="K662">
        <v>0</v>
      </c>
      <c r="L662">
        <v>1</v>
      </c>
      <c r="M662" t="s">
        <v>1732</v>
      </c>
    </row>
    <row r="663" spans="1:13" x14ac:dyDescent="0.15">
      <c r="A663" t="s">
        <v>2150</v>
      </c>
      <c r="B663" t="s">
        <v>2151</v>
      </c>
      <c r="C663" t="s">
        <v>2152</v>
      </c>
      <c r="D663" t="s">
        <v>1596</v>
      </c>
      <c r="E663">
        <v>186</v>
      </c>
      <c r="F663" t="str">
        <f>HYPERLINK("https://github.com/ankidroid/Anki-Android/issues/2896", "show")</f>
        <v>show</v>
      </c>
      <c r="G663" t="str">
        <f t="shared" si="6"/>
        <v>show</v>
      </c>
      <c r="H663" t="str">
        <f t="shared" si="7"/>
        <v>show</v>
      </c>
      <c r="I663">
        <v>0</v>
      </c>
      <c r="J663">
        <v>1</v>
      </c>
      <c r="K663">
        <v>0</v>
      </c>
      <c r="L663">
        <v>0</v>
      </c>
      <c r="M663" t="s">
        <v>139</v>
      </c>
    </row>
    <row r="664" spans="1:13" hidden="1" x14ac:dyDescent="0.15">
      <c r="A664" t="s">
        <v>2153</v>
      </c>
      <c r="B664" t="s">
        <v>2154</v>
      </c>
      <c r="C664" t="s">
        <v>2155</v>
      </c>
      <c r="D664" t="s">
        <v>1596</v>
      </c>
      <c r="E664">
        <v>0</v>
      </c>
      <c r="F664" t="str">
        <f>HYPERLINK("https://github.com/ankidroid/Anki-Android/issues/2895", "show")</f>
        <v>show</v>
      </c>
      <c r="G664" t="str">
        <f t="shared" si="6"/>
        <v>show</v>
      </c>
      <c r="H664" t="str">
        <f t="shared" si="7"/>
        <v>show</v>
      </c>
      <c r="I664">
        <v>0</v>
      </c>
      <c r="J664">
        <v>1</v>
      </c>
      <c r="K664">
        <v>0</v>
      </c>
      <c r="L664">
        <v>1</v>
      </c>
      <c r="M664" t="s">
        <v>1732</v>
      </c>
    </row>
    <row r="665" spans="1:13" hidden="1" x14ac:dyDescent="0.15">
      <c r="A665" t="s">
        <v>2156</v>
      </c>
      <c r="B665" t="s">
        <v>2157</v>
      </c>
      <c r="C665" t="s">
        <v>2158</v>
      </c>
      <c r="D665" t="s">
        <v>1596</v>
      </c>
      <c r="E665">
        <v>0</v>
      </c>
      <c r="F665" t="str">
        <f>HYPERLINK("https://github.com/ankidroid/Anki-Android/issues/2884", "show")</f>
        <v>show</v>
      </c>
      <c r="G665" t="str">
        <f t="shared" si="6"/>
        <v>show</v>
      </c>
      <c r="H665" t="str">
        <f t="shared" si="7"/>
        <v>show</v>
      </c>
      <c r="I665">
        <v>1</v>
      </c>
      <c r="J665">
        <v>1</v>
      </c>
      <c r="K665">
        <v>0</v>
      </c>
      <c r="L665">
        <v>0</v>
      </c>
      <c r="M665" t="s">
        <v>48</v>
      </c>
    </row>
    <row r="666" spans="1:13" hidden="1" x14ac:dyDescent="0.15">
      <c r="A666" t="s">
        <v>2159</v>
      </c>
      <c r="B666" t="s">
        <v>2160</v>
      </c>
      <c r="C666" t="s">
        <v>2161</v>
      </c>
      <c r="D666" t="s">
        <v>1596</v>
      </c>
      <c r="E666">
        <v>0</v>
      </c>
      <c r="F666" t="str">
        <f>HYPERLINK("https://github.com/ankidroid/Anki-Android/issues/2883", "show")</f>
        <v>show</v>
      </c>
      <c r="G666" t="str">
        <f t="shared" si="6"/>
        <v>show</v>
      </c>
      <c r="H666" t="str">
        <f t="shared" si="7"/>
        <v>show</v>
      </c>
      <c r="I666">
        <v>0</v>
      </c>
      <c r="J666">
        <v>0</v>
      </c>
      <c r="K666">
        <v>0</v>
      </c>
      <c r="L666">
        <v>0</v>
      </c>
      <c r="M666" t="s">
        <v>43</v>
      </c>
    </row>
    <row r="667" spans="1:13" hidden="1" x14ac:dyDescent="0.15">
      <c r="A667" t="s">
        <v>2162</v>
      </c>
      <c r="B667" t="s">
        <v>2163</v>
      </c>
      <c r="C667" t="s">
        <v>2164</v>
      </c>
      <c r="D667" t="s">
        <v>1596</v>
      </c>
      <c r="E667">
        <v>0</v>
      </c>
      <c r="F667" t="str">
        <f>HYPERLINK("https://github.com/ankidroid/Anki-Android/issues/2878", "show")</f>
        <v>show</v>
      </c>
      <c r="G667" t="str">
        <f t="shared" si="6"/>
        <v>show</v>
      </c>
      <c r="H667" t="str">
        <f t="shared" si="7"/>
        <v>show</v>
      </c>
      <c r="I667">
        <v>0</v>
      </c>
      <c r="J667">
        <v>0</v>
      </c>
      <c r="K667">
        <v>0</v>
      </c>
      <c r="L667">
        <v>0</v>
      </c>
      <c r="M667" t="s">
        <v>43</v>
      </c>
    </row>
    <row r="668" spans="1:13" hidden="1" x14ac:dyDescent="0.15">
      <c r="A668" t="s">
        <v>2165</v>
      </c>
      <c r="B668" t="s">
        <v>2166</v>
      </c>
      <c r="C668" t="s">
        <v>2167</v>
      </c>
      <c r="D668" t="s">
        <v>1596</v>
      </c>
      <c r="E668">
        <v>0</v>
      </c>
      <c r="F668" t="str">
        <f>HYPERLINK("https://github.com/ankidroid/Anki-Android/issues/2873", "show")</f>
        <v>show</v>
      </c>
      <c r="G668" t="str">
        <f t="shared" si="6"/>
        <v>show</v>
      </c>
      <c r="H668" t="str">
        <f t="shared" si="7"/>
        <v>show</v>
      </c>
      <c r="I668">
        <v>0</v>
      </c>
      <c r="J668">
        <v>0</v>
      </c>
      <c r="K668">
        <v>0</v>
      </c>
      <c r="L668">
        <v>1</v>
      </c>
      <c r="M668" t="s">
        <v>581</v>
      </c>
    </row>
    <row r="669" spans="1:13" hidden="1" x14ac:dyDescent="0.15">
      <c r="A669" t="s">
        <v>2168</v>
      </c>
      <c r="B669" t="s">
        <v>2169</v>
      </c>
      <c r="C669" t="s">
        <v>2170</v>
      </c>
      <c r="D669" t="s">
        <v>1596</v>
      </c>
      <c r="E669">
        <v>0</v>
      </c>
      <c r="F669" t="str">
        <f>HYPERLINK("https://github.com/ankidroid/Anki-Android/issues/2872", "show")</f>
        <v>show</v>
      </c>
      <c r="G669" t="str">
        <f t="shared" si="6"/>
        <v>show</v>
      </c>
      <c r="H669" t="str">
        <f t="shared" si="7"/>
        <v>show</v>
      </c>
      <c r="I669">
        <v>0</v>
      </c>
      <c r="J669">
        <v>0</v>
      </c>
      <c r="K669">
        <v>0</v>
      </c>
      <c r="L669">
        <v>0</v>
      </c>
      <c r="M669" t="s">
        <v>43</v>
      </c>
    </row>
    <row r="670" spans="1:13" hidden="1" x14ac:dyDescent="0.15">
      <c r="A670" t="s">
        <v>2171</v>
      </c>
      <c r="B670" t="s">
        <v>2172</v>
      </c>
      <c r="C670" t="s">
        <v>2173</v>
      </c>
      <c r="D670" t="s">
        <v>1596</v>
      </c>
      <c r="E670">
        <v>0</v>
      </c>
      <c r="F670" t="str">
        <f>HYPERLINK("https://github.com/ankidroid/Anki-Android/issues/2871", "show")</f>
        <v>show</v>
      </c>
      <c r="G670" t="str">
        <f t="shared" si="6"/>
        <v>show</v>
      </c>
      <c r="H670" t="str">
        <f t="shared" si="7"/>
        <v>show</v>
      </c>
      <c r="I670">
        <v>1</v>
      </c>
      <c r="J670">
        <v>1</v>
      </c>
      <c r="K670">
        <v>0</v>
      </c>
      <c r="L670">
        <v>0</v>
      </c>
      <c r="M670" t="s">
        <v>48</v>
      </c>
    </row>
    <row r="671" spans="1:13" hidden="1" x14ac:dyDescent="0.15">
      <c r="A671" t="s">
        <v>2174</v>
      </c>
      <c r="B671" t="s">
        <v>2175</v>
      </c>
      <c r="C671" t="s">
        <v>2176</v>
      </c>
      <c r="D671" t="s">
        <v>1596</v>
      </c>
      <c r="E671">
        <v>92</v>
      </c>
      <c r="F671" t="str">
        <f>HYPERLINK("https://github.com/ankidroid/Anki-Android/issues/2869", "show")</f>
        <v>show</v>
      </c>
      <c r="G671" t="str">
        <f t="shared" ref="G671:G734" si="8">HYPERLINK("https://github.com/ankidroid/Anki-Android", "show")</f>
        <v>show</v>
      </c>
      <c r="H671" t="str">
        <f t="shared" ref="H671:H734" si="9">HYPERLINK("https://github.com/ankidroid/Anki-Android/releases", "show")</f>
        <v>show</v>
      </c>
      <c r="I671">
        <v>1</v>
      </c>
      <c r="J671">
        <v>0</v>
      </c>
      <c r="K671">
        <v>0</v>
      </c>
      <c r="L671">
        <v>0</v>
      </c>
      <c r="M671" t="s">
        <v>17</v>
      </c>
    </row>
    <row r="672" spans="1:13" x14ac:dyDescent="0.15">
      <c r="A672" t="s">
        <v>2177</v>
      </c>
      <c r="B672" t="s">
        <v>2178</v>
      </c>
      <c r="C672" t="s">
        <v>2179</v>
      </c>
      <c r="D672" t="s">
        <v>1596</v>
      </c>
      <c r="E672">
        <v>0</v>
      </c>
      <c r="F672" t="str">
        <f>HYPERLINK("https://github.com/ankidroid/Anki-Android/issues/2866", "show")</f>
        <v>show</v>
      </c>
      <c r="G672" t="str">
        <f t="shared" si="8"/>
        <v>show</v>
      </c>
      <c r="H672" t="str">
        <f t="shared" si="9"/>
        <v>show</v>
      </c>
      <c r="I672">
        <v>0</v>
      </c>
      <c r="J672">
        <v>1</v>
      </c>
      <c r="K672">
        <v>0</v>
      </c>
      <c r="L672">
        <v>0</v>
      </c>
      <c r="M672" t="s">
        <v>139</v>
      </c>
    </row>
    <row r="673" spans="1:13" x14ac:dyDescent="0.15">
      <c r="A673" t="s">
        <v>2180</v>
      </c>
      <c r="B673" t="s">
        <v>2181</v>
      </c>
      <c r="C673" t="s">
        <v>2182</v>
      </c>
      <c r="D673" t="s">
        <v>1596</v>
      </c>
      <c r="E673">
        <v>0</v>
      </c>
      <c r="F673" t="str">
        <f>HYPERLINK("https://github.com/ankidroid/Anki-Android/issues/2861", "show")</f>
        <v>show</v>
      </c>
      <c r="G673" t="str">
        <f t="shared" si="8"/>
        <v>show</v>
      </c>
      <c r="H673" t="str">
        <f t="shared" si="9"/>
        <v>show</v>
      </c>
      <c r="I673">
        <v>0</v>
      </c>
      <c r="J673">
        <v>1</v>
      </c>
      <c r="K673">
        <v>0</v>
      </c>
      <c r="L673">
        <v>0</v>
      </c>
      <c r="M673" t="s">
        <v>139</v>
      </c>
    </row>
    <row r="674" spans="1:13" hidden="1" x14ac:dyDescent="0.15">
      <c r="A674" t="s">
        <v>2183</v>
      </c>
      <c r="B674" t="s">
        <v>2184</v>
      </c>
      <c r="C674" t="s">
        <v>2185</v>
      </c>
      <c r="D674" t="s">
        <v>1596</v>
      </c>
      <c r="E674">
        <v>0</v>
      </c>
      <c r="F674" t="str">
        <f>HYPERLINK("https://github.com/ankidroid/Anki-Android/issues/2860", "show")</f>
        <v>show</v>
      </c>
      <c r="G674" t="str">
        <f t="shared" si="8"/>
        <v>show</v>
      </c>
      <c r="H674" t="str">
        <f t="shared" si="9"/>
        <v>show</v>
      </c>
      <c r="I674">
        <v>1</v>
      </c>
      <c r="J674">
        <v>1</v>
      </c>
      <c r="K674">
        <v>0</v>
      </c>
      <c r="L674">
        <v>0</v>
      </c>
      <c r="M674" t="s">
        <v>48</v>
      </c>
    </row>
    <row r="675" spans="1:13" hidden="1" x14ac:dyDescent="0.15">
      <c r="A675" t="s">
        <v>2186</v>
      </c>
      <c r="B675" t="s">
        <v>2187</v>
      </c>
      <c r="C675" t="s">
        <v>2188</v>
      </c>
      <c r="D675" t="s">
        <v>1596</v>
      </c>
      <c r="E675">
        <v>0</v>
      </c>
      <c r="F675" t="str">
        <f>HYPERLINK("https://github.com/ankidroid/Anki-Android/issues/2857", "show")</f>
        <v>show</v>
      </c>
      <c r="G675" t="str">
        <f t="shared" si="8"/>
        <v>show</v>
      </c>
      <c r="H675" t="str">
        <f t="shared" si="9"/>
        <v>show</v>
      </c>
      <c r="I675">
        <v>1</v>
      </c>
      <c r="J675">
        <v>1</v>
      </c>
      <c r="K675">
        <v>0</v>
      </c>
      <c r="L675">
        <v>1</v>
      </c>
      <c r="M675" t="s">
        <v>1894</v>
      </c>
    </row>
    <row r="676" spans="1:13" x14ac:dyDescent="0.15">
      <c r="A676" t="s">
        <v>2189</v>
      </c>
      <c r="B676" t="s">
        <v>2190</v>
      </c>
      <c r="C676" t="s">
        <v>2191</v>
      </c>
      <c r="D676" t="s">
        <v>1596</v>
      </c>
      <c r="E676">
        <v>0</v>
      </c>
      <c r="F676" t="str">
        <f>HYPERLINK("https://github.com/ankidroid/Anki-Android/issues/2855", "show")</f>
        <v>show</v>
      </c>
      <c r="G676" t="str">
        <f t="shared" si="8"/>
        <v>show</v>
      </c>
      <c r="H676" t="str">
        <f t="shared" si="9"/>
        <v>show</v>
      </c>
      <c r="I676">
        <v>0</v>
      </c>
      <c r="J676">
        <v>1</v>
      </c>
      <c r="K676">
        <v>0</v>
      </c>
      <c r="L676">
        <v>0</v>
      </c>
      <c r="M676" t="s">
        <v>139</v>
      </c>
    </row>
    <row r="677" spans="1:13" x14ac:dyDescent="0.15">
      <c r="A677" t="s">
        <v>2192</v>
      </c>
      <c r="B677" t="s">
        <v>2193</v>
      </c>
      <c r="C677" t="s">
        <v>2194</v>
      </c>
      <c r="D677" t="s">
        <v>1596</v>
      </c>
      <c r="E677">
        <v>0</v>
      </c>
      <c r="F677" t="str">
        <f>HYPERLINK("https://github.com/ankidroid/Anki-Android/issues/2852", "show")</f>
        <v>show</v>
      </c>
      <c r="G677" t="str">
        <f t="shared" si="8"/>
        <v>show</v>
      </c>
      <c r="H677" t="str">
        <f t="shared" si="9"/>
        <v>show</v>
      </c>
      <c r="I677">
        <v>0</v>
      </c>
      <c r="J677">
        <v>1</v>
      </c>
      <c r="K677">
        <v>0</v>
      </c>
      <c r="L677">
        <v>0</v>
      </c>
      <c r="M677" t="s">
        <v>139</v>
      </c>
    </row>
    <row r="678" spans="1:13" x14ac:dyDescent="0.15">
      <c r="A678" t="s">
        <v>2195</v>
      </c>
      <c r="B678" t="s">
        <v>2196</v>
      </c>
      <c r="C678" t="s">
        <v>2197</v>
      </c>
      <c r="D678" t="s">
        <v>1596</v>
      </c>
      <c r="E678">
        <v>0</v>
      </c>
      <c r="F678" t="str">
        <f>HYPERLINK("https://github.com/ankidroid/Anki-Android/issues/2850", "show")</f>
        <v>show</v>
      </c>
      <c r="G678" t="str">
        <f t="shared" si="8"/>
        <v>show</v>
      </c>
      <c r="H678" t="str">
        <f t="shared" si="9"/>
        <v>show</v>
      </c>
      <c r="I678">
        <v>0</v>
      </c>
      <c r="J678">
        <v>1</v>
      </c>
      <c r="K678">
        <v>0</v>
      </c>
      <c r="L678">
        <v>0</v>
      </c>
      <c r="M678" t="s">
        <v>139</v>
      </c>
    </row>
    <row r="679" spans="1:13" hidden="1" x14ac:dyDescent="0.15">
      <c r="A679" t="s">
        <v>2198</v>
      </c>
      <c r="B679" t="s">
        <v>2199</v>
      </c>
      <c r="C679" t="s">
        <v>2200</v>
      </c>
      <c r="D679" t="s">
        <v>1596</v>
      </c>
      <c r="E679">
        <v>0</v>
      </c>
      <c r="F679" t="str">
        <f>HYPERLINK("https://github.com/ankidroid/Anki-Android/issues/2848", "show")</f>
        <v>show</v>
      </c>
      <c r="G679" t="str">
        <f t="shared" si="8"/>
        <v>show</v>
      </c>
      <c r="H679" t="str">
        <f t="shared" si="9"/>
        <v>show</v>
      </c>
      <c r="I679">
        <v>1</v>
      </c>
      <c r="J679">
        <v>1</v>
      </c>
      <c r="K679">
        <v>0</v>
      </c>
      <c r="L679">
        <v>0</v>
      </c>
      <c r="M679" t="s">
        <v>48</v>
      </c>
    </row>
    <row r="680" spans="1:13" x14ac:dyDescent="0.15">
      <c r="A680" t="s">
        <v>2201</v>
      </c>
      <c r="B680" t="s">
        <v>2202</v>
      </c>
      <c r="C680" t="s">
        <v>2203</v>
      </c>
      <c r="D680" t="s">
        <v>1596</v>
      </c>
      <c r="E680">
        <v>0</v>
      </c>
      <c r="F680" t="str">
        <f>HYPERLINK("https://github.com/ankidroid/Anki-Android/issues/2845", "show")</f>
        <v>show</v>
      </c>
      <c r="G680" t="str">
        <f t="shared" si="8"/>
        <v>show</v>
      </c>
      <c r="H680" t="str">
        <f t="shared" si="9"/>
        <v>show</v>
      </c>
      <c r="I680">
        <v>0</v>
      </c>
      <c r="J680">
        <v>1</v>
      </c>
      <c r="K680">
        <v>0</v>
      </c>
      <c r="L680">
        <v>0</v>
      </c>
      <c r="M680" t="s">
        <v>139</v>
      </c>
    </row>
    <row r="681" spans="1:13" hidden="1" x14ac:dyDescent="0.15">
      <c r="A681" t="s">
        <v>2204</v>
      </c>
      <c r="B681" t="s">
        <v>2205</v>
      </c>
      <c r="C681" t="s">
        <v>2206</v>
      </c>
      <c r="D681" t="s">
        <v>1596</v>
      </c>
      <c r="E681">
        <v>0</v>
      </c>
      <c r="F681" t="str">
        <f>HYPERLINK("https://github.com/ankidroid/Anki-Android/issues/2835", "show")</f>
        <v>show</v>
      </c>
      <c r="G681" t="str">
        <f t="shared" si="8"/>
        <v>show</v>
      </c>
      <c r="H681" t="str">
        <f t="shared" si="9"/>
        <v>show</v>
      </c>
      <c r="I681">
        <v>0</v>
      </c>
      <c r="J681">
        <v>0</v>
      </c>
      <c r="K681">
        <v>0</v>
      </c>
      <c r="L681">
        <v>0</v>
      </c>
      <c r="M681" t="s">
        <v>43</v>
      </c>
    </row>
    <row r="682" spans="1:13" x14ac:dyDescent="0.15">
      <c r="A682" t="s">
        <v>2207</v>
      </c>
      <c r="B682" t="s">
        <v>2208</v>
      </c>
      <c r="C682" t="s">
        <v>2209</v>
      </c>
      <c r="D682" t="s">
        <v>1596</v>
      </c>
      <c r="E682">
        <v>0</v>
      </c>
      <c r="F682" t="str">
        <f>HYPERLINK("https://github.com/ankidroid/Anki-Android/issues/2833", "show")</f>
        <v>show</v>
      </c>
      <c r="G682" t="str">
        <f t="shared" si="8"/>
        <v>show</v>
      </c>
      <c r="H682" t="str">
        <f t="shared" si="9"/>
        <v>show</v>
      </c>
      <c r="I682">
        <v>0</v>
      </c>
      <c r="J682">
        <v>1</v>
      </c>
      <c r="K682">
        <v>0</v>
      </c>
      <c r="L682">
        <v>0</v>
      </c>
      <c r="M682" t="s">
        <v>139</v>
      </c>
    </row>
    <row r="683" spans="1:13" x14ac:dyDescent="0.15">
      <c r="A683" t="s">
        <v>2210</v>
      </c>
      <c r="B683" t="s">
        <v>2211</v>
      </c>
      <c r="C683" t="s">
        <v>2212</v>
      </c>
      <c r="D683" t="s">
        <v>1596</v>
      </c>
      <c r="E683">
        <v>0</v>
      </c>
      <c r="F683" t="str">
        <f>HYPERLINK("https://github.com/ankidroid/Anki-Android/issues/2830", "show")</f>
        <v>show</v>
      </c>
      <c r="G683" t="str">
        <f t="shared" si="8"/>
        <v>show</v>
      </c>
      <c r="H683" t="str">
        <f t="shared" si="9"/>
        <v>show</v>
      </c>
      <c r="I683">
        <v>0</v>
      </c>
      <c r="J683">
        <v>1</v>
      </c>
      <c r="K683">
        <v>0</v>
      </c>
      <c r="L683">
        <v>0</v>
      </c>
      <c r="M683" t="s">
        <v>139</v>
      </c>
    </row>
    <row r="684" spans="1:13" hidden="1" x14ac:dyDescent="0.15">
      <c r="A684" t="s">
        <v>2213</v>
      </c>
      <c r="B684" t="s">
        <v>2214</v>
      </c>
      <c r="C684" t="s">
        <v>2215</v>
      </c>
      <c r="D684" t="s">
        <v>1596</v>
      </c>
      <c r="E684">
        <v>1055</v>
      </c>
      <c r="F684" t="str">
        <f>HYPERLINK("https://github.com/ankidroid/Anki-Android/issues/2827", "show")</f>
        <v>show</v>
      </c>
      <c r="G684" t="str">
        <f t="shared" si="8"/>
        <v>show</v>
      </c>
      <c r="H684" t="str">
        <f t="shared" si="9"/>
        <v>show</v>
      </c>
      <c r="I684">
        <v>1</v>
      </c>
      <c r="J684">
        <v>0</v>
      </c>
      <c r="K684">
        <v>0</v>
      </c>
      <c r="L684">
        <v>0</v>
      </c>
      <c r="M684" t="s">
        <v>17</v>
      </c>
    </row>
    <row r="685" spans="1:13" hidden="1" x14ac:dyDescent="0.15">
      <c r="A685" t="s">
        <v>2216</v>
      </c>
      <c r="B685" t="s">
        <v>2217</v>
      </c>
      <c r="C685" t="s">
        <v>2218</v>
      </c>
      <c r="D685" t="s">
        <v>1596</v>
      </c>
      <c r="E685">
        <v>0</v>
      </c>
      <c r="F685" t="str">
        <f>HYPERLINK("https://github.com/ankidroid/Anki-Android/issues/2826", "show")</f>
        <v>show</v>
      </c>
      <c r="G685" t="str">
        <f t="shared" si="8"/>
        <v>show</v>
      </c>
      <c r="H685" t="str">
        <f t="shared" si="9"/>
        <v>show</v>
      </c>
      <c r="I685">
        <v>1</v>
      </c>
      <c r="J685">
        <v>0</v>
      </c>
      <c r="K685">
        <v>1</v>
      </c>
      <c r="L685">
        <v>0</v>
      </c>
      <c r="M685" t="s">
        <v>64</v>
      </c>
    </row>
    <row r="686" spans="1:13" x14ac:dyDescent="0.15">
      <c r="A686" t="s">
        <v>2219</v>
      </c>
      <c r="B686" t="s">
        <v>2220</v>
      </c>
      <c r="C686" t="s">
        <v>2221</v>
      </c>
      <c r="D686" t="s">
        <v>1596</v>
      </c>
      <c r="E686">
        <v>0</v>
      </c>
      <c r="F686" t="str">
        <f>HYPERLINK("https://github.com/ankidroid/Anki-Android/issues/2824", "show")</f>
        <v>show</v>
      </c>
      <c r="G686" t="str">
        <f t="shared" si="8"/>
        <v>show</v>
      </c>
      <c r="H686" t="str">
        <f t="shared" si="9"/>
        <v>show</v>
      </c>
      <c r="I686">
        <v>0</v>
      </c>
      <c r="J686">
        <v>1</v>
      </c>
      <c r="K686">
        <v>0</v>
      </c>
      <c r="L686">
        <v>0</v>
      </c>
      <c r="M686" t="s">
        <v>139</v>
      </c>
    </row>
    <row r="687" spans="1:13" hidden="1" x14ac:dyDescent="0.15">
      <c r="A687" t="s">
        <v>2222</v>
      </c>
      <c r="B687" t="s">
        <v>2223</v>
      </c>
      <c r="C687" t="s">
        <v>2224</v>
      </c>
      <c r="D687" t="s">
        <v>1596</v>
      </c>
      <c r="E687">
        <v>0</v>
      </c>
      <c r="F687" t="str">
        <f>HYPERLINK("https://github.com/ankidroid/Anki-Android/issues/2823", "show")</f>
        <v>show</v>
      </c>
      <c r="G687" t="str">
        <f t="shared" si="8"/>
        <v>show</v>
      </c>
      <c r="H687" t="str">
        <f t="shared" si="9"/>
        <v>show</v>
      </c>
      <c r="I687">
        <v>0</v>
      </c>
      <c r="J687">
        <v>0</v>
      </c>
      <c r="K687">
        <v>0</v>
      </c>
      <c r="L687">
        <v>0</v>
      </c>
      <c r="M687" t="s">
        <v>43</v>
      </c>
    </row>
    <row r="688" spans="1:13" hidden="1" x14ac:dyDescent="0.15">
      <c r="A688" t="s">
        <v>2225</v>
      </c>
      <c r="B688" t="s">
        <v>2226</v>
      </c>
      <c r="C688" t="s">
        <v>2227</v>
      </c>
      <c r="D688" t="s">
        <v>1596</v>
      </c>
      <c r="E688">
        <v>0</v>
      </c>
      <c r="F688" t="str">
        <f>HYPERLINK("https://github.com/ankidroid/Anki-Android/issues/2820", "show")</f>
        <v>show</v>
      </c>
      <c r="G688" t="str">
        <f t="shared" si="8"/>
        <v>show</v>
      </c>
      <c r="H688" t="str">
        <f t="shared" si="9"/>
        <v>show</v>
      </c>
      <c r="I688">
        <v>0</v>
      </c>
      <c r="J688">
        <v>0</v>
      </c>
      <c r="K688">
        <v>0</v>
      </c>
      <c r="L688">
        <v>0</v>
      </c>
      <c r="M688" t="s">
        <v>43</v>
      </c>
    </row>
    <row r="689" spans="1:13" hidden="1" x14ac:dyDescent="0.15">
      <c r="A689" t="s">
        <v>2228</v>
      </c>
      <c r="B689" t="s">
        <v>2229</v>
      </c>
      <c r="C689" t="s">
        <v>2230</v>
      </c>
      <c r="D689" t="s">
        <v>1596</v>
      </c>
      <c r="E689">
        <v>0</v>
      </c>
      <c r="F689" t="str">
        <f>HYPERLINK("https://github.com/ankidroid/Anki-Android/issues/2817", "show")</f>
        <v>show</v>
      </c>
      <c r="G689" t="str">
        <f t="shared" si="8"/>
        <v>show</v>
      </c>
      <c r="H689" t="str">
        <f t="shared" si="9"/>
        <v>show</v>
      </c>
      <c r="I689">
        <v>0</v>
      </c>
      <c r="J689">
        <v>0</v>
      </c>
      <c r="K689">
        <v>0</v>
      </c>
      <c r="L689">
        <v>0</v>
      </c>
      <c r="M689" t="s">
        <v>43</v>
      </c>
    </row>
    <row r="690" spans="1:13" hidden="1" x14ac:dyDescent="0.15">
      <c r="A690" t="s">
        <v>2231</v>
      </c>
      <c r="B690" t="s">
        <v>2232</v>
      </c>
      <c r="C690" t="s">
        <v>2233</v>
      </c>
      <c r="D690" t="s">
        <v>1596</v>
      </c>
      <c r="E690">
        <v>0</v>
      </c>
      <c r="F690" t="str">
        <f>HYPERLINK("https://github.com/ankidroid/Anki-Android/issues/2815", "show")</f>
        <v>show</v>
      </c>
      <c r="G690" t="str">
        <f t="shared" si="8"/>
        <v>show</v>
      </c>
      <c r="H690" t="str">
        <f t="shared" si="9"/>
        <v>show</v>
      </c>
      <c r="I690">
        <v>1</v>
      </c>
      <c r="J690">
        <v>0</v>
      </c>
      <c r="K690">
        <v>0</v>
      </c>
      <c r="L690">
        <v>0</v>
      </c>
      <c r="M690" t="s">
        <v>17</v>
      </c>
    </row>
    <row r="691" spans="1:13" hidden="1" x14ac:dyDescent="0.15">
      <c r="A691" t="s">
        <v>2234</v>
      </c>
      <c r="B691" t="s">
        <v>2235</v>
      </c>
      <c r="C691" t="s">
        <v>2236</v>
      </c>
      <c r="D691" t="s">
        <v>1596</v>
      </c>
      <c r="E691">
        <v>0</v>
      </c>
      <c r="F691" t="str">
        <f>HYPERLINK("https://github.com/ankidroid/Anki-Android/issues/2811", "show")</f>
        <v>show</v>
      </c>
      <c r="G691" t="str">
        <f t="shared" si="8"/>
        <v>show</v>
      </c>
      <c r="H691" t="str">
        <f t="shared" si="9"/>
        <v>show</v>
      </c>
      <c r="I691">
        <v>0</v>
      </c>
      <c r="J691">
        <v>0</v>
      </c>
      <c r="K691">
        <v>0</v>
      </c>
      <c r="L691">
        <v>0</v>
      </c>
      <c r="M691" t="s">
        <v>43</v>
      </c>
    </row>
    <row r="692" spans="1:13" x14ac:dyDescent="0.15">
      <c r="A692" t="s">
        <v>2237</v>
      </c>
      <c r="B692" t="s">
        <v>2238</v>
      </c>
      <c r="C692" t="s">
        <v>2239</v>
      </c>
      <c r="D692" t="s">
        <v>1596</v>
      </c>
      <c r="E692">
        <v>0</v>
      </c>
      <c r="F692" t="str">
        <f>HYPERLINK("https://github.com/ankidroid/Anki-Android/issues/2809", "show")</f>
        <v>show</v>
      </c>
      <c r="G692" t="str">
        <f t="shared" si="8"/>
        <v>show</v>
      </c>
      <c r="H692" t="str">
        <f t="shared" si="9"/>
        <v>show</v>
      </c>
      <c r="I692">
        <v>0</v>
      </c>
      <c r="J692">
        <v>1</v>
      </c>
      <c r="K692">
        <v>0</v>
      </c>
      <c r="L692">
        <v>0</v>
      </c>
      <c r="M692" t="s">
        <v>139</v>
      </c>
    </row>
    <row r="693" spans="1:13" hidden="1" x14ac:dyDescent="0.15">
      <c r="A693" t="s">
        <v>2240</v>
      </c>
      <c r="B693" t="s">
        <v>2241</v>
      </c>
      <c r="C693" t="s">
        <v>2242</v>
      </c>
      <c r="D693" t="s">
        <v>1596</v>
      </c>
      <c r="E693">
        <v>0</v>
      </c>
      <c r="F693" t="str">
        <f>HYPERLINK("https://github.com/ankidroid/Anki-Android/issues/2807", "show")</f>
        <v>show</v>
      </c>
      <c r="G693" t="str">
        <f t="shared" si="8"/>
        <v>show</v>
      </c>
      <c r="H693" t="str">
        <f t="shared" si="9"/>
        <v>show</v>
      </c>
      <c r="I693">
        <v>0</v>
      </c>
      <c r="J693">
        <v>0</v>
      </c>
      <c r="K693">
        <v>0</v>
      </c>
      <c r="L693">
        <v>0</v>
      </c>
      <c r="M693" t="s">
        <v>43</v>
      </c>
    </row>
    <row r="694" spans="1:13" hidden="1" x14ac:dyDescent="0.15">
      <c r="A694" t="s">
        <v>2243</v>
      </c>
      <c r="B694" t="s">
        <v>2244</v>
      </c>
      <c r="C694" t="s">
        <v>2245</v>
      </c>
      <c r="D694" t="s">
        <v>1596</v>
      </c>
      <c r="E694">
        <v>0</v>
      </c>
      <c r="F694" t="str">
        <f>HYPERLINK("https://github.com/ankidroid/Anki-Android/issues/2800", "show")</f>
        <v>show</v>
      </c>
      <c r="G694" t="str">
        <f t="shared" si="8"/>
        <v>show</v>
      </c>
      <c r="H694" t="str">
        <f t="shared" si="9"/>
        <v>show</v>
      </c>
      <c r="I694">
        <v>0</v>
      </c>
      <c r="J694">
        <v>0</v>
      </c>
      <c r="K694">
        <v>0</v>
      </c>
      <c r="L694">
        <v>0</v>
      </c>
      <c r="M694" t="s">
        <v>43</v>
      </c>
    </row>
    <row r="695" spans="1:13" x14ac:dyDescent="0.15">
      <c r="A695" t="s">
        <v>2246</v>
      </c>
      <c r="B695" t="s">
        <v>2247</v>
      </c>
      <c r="C695" t="s">
        <v>2248</v>
      </c>
      <c r="D695" t="s">
        <v>1596</v>
      </c>
      <c r="E695">
        <v>0</v>
      </c>
      <c r="F695" t="str">
        <f>HYPERLINK("https://github.com/ankidroid/Anki-Android/issues/2799", "show")</f>
        <v>show</v>
      </c>
      <c r="G695" t="str">
        <f t="shared" si="8"/>
        <v>show</v>
      </c>
      <c r="H695" t="str">
        <f t="shared" si="9"/>
        <v>show</v>
      </c>
      <c r="I695">
        <v>0</v>
      </c>
      <c r="J695">
        <v>1</v>
      </c>
      <c r="K695">
        <v>0</v>
      </c>
      <c r="L695">
        <v>0</v>
      </c>
      <c r="M695" t="s">
        <v>139</v>
      </c>
    </row>
    <row r="696" spans="1:13" x14ac:dyDescent="0.15">
      <c r="A696" t="s">
        <v>2249</v>
      </c>
      <c r="B696" t="s">
        <v>2250</v>
      </c>
      <c r="C696" t="s">
        <v>2251</v>
      </c>
      <c r="D696" t="s">
        <v>1596</v>
      </c>
      <c r="E696">
        <v>0</v>
      </c>
      <c r="F696" t="str">
        <f>HYPERLINK("https://github.com/ankidroid/Anki-Android/issues/2798", "show")</f>
        <v>show</v>
      </c>
      <c r="G696" t="str">
        <f t="shared" si="8"/>
        <v>show</v>
      </c>
      <c r="H696" t="str">
        <f t="shared" si="9"/>
        <v>show</v>
      </c>
      <c r="I696">
        <v>0</v>
      </c>
      <c r="J696">
        <v>1</v>
      </c>
      <c r="K696">
        <v>0</v>
      </c>
      <c r="L696">
        <v>0</v>
      </c>
      <c r="M696" t="s">
        <v>139</v>
      </c>
    </row>
    <row r="697" spans="1:13" x14ac:dyDescent="0.15">
      <c r="A697" t="s">
        <v>2252</v>
      </c>
      <c r="B697" t="s">
        <v>2253</v>
      </c>
      <c r="C697" t="s">
        <v>2254</v>
      </c>
      <c r="D697" t="s">
        <v>1596</v>
      </c>
      <c r="E697">
        <v>449</v>
      </c>
      <c r="F697" t="str">
        <f>HYPERLINK("https://github.com/ankidroid/Anki-Android/issues/2797", "show")</f>
        <v>show</v>
      </c>
      <c r="G697" t="str">
        <f t="shared" si="8"/>
        <v>show</v>
      </c>
      <c r="H697" t="str">
        <f t="shared" si="9"/>
        <v>show</v>
      </c>
      <c r="I697">
        <v>0</v>
      </c>
      <c r="J697">
        <v>1</v>
      </c>
      <c r="K697">
        <v>0</v>
      </c>
      <c r="L697">
        <v>0</v>
      </c>
      <c r="M697" t="s">
        <v>139</v>
      </c>
    </row>
    <row r="698" spans="1:13" x14ac:dyDescent="0.15">
      <c r="A698" t="s">
        <v>2255</v>
      </c>
      <c r="B698" t="s">
        <v>2256</v>
      </c>
      <c r="C698" t="s">
        <v>2257</v>
      </c>
      <c r="D698" t="s">
        <v>1596</v>
      </c>
      <c r="E698">
        <v>0</v>
      </c>
      <c r="F698" t="str">
        <f>HYPERLINK("https://github.com/ankidroid/Anki-Android/issues/2793", "show")</f>
        <v>show</v>
      </c>
      <c r="G698" t="str">
        <f t="shared" si="8"/>
        <v>show</v>
      </c>
      <c r="H698" t="str">
        <f t="shared" si="9"/>
        <v>show</v>
      </c>
      <c r="I698">
        <v>0</v>
      </c>
      <c r="J698">
        <v>1</v>
      </c>
      <c r="K698">
        <v>0</v>
      </c>
      <c r="L698">
        <v>0</v>
      </c>
      <c r="M698" t="s">
        <v>139</v>
      </c>
    </row>
    <row r="699" spans="1:13" hidden="1" x14ac:dyDescent="0.15">
      <c r="A699" t="s">
        <v>2258</v>
      </c>
      <c r="B699" t="s">
        <v>2259</v>
      </c>
      <c r="C699" t="s">
        <v>2260</v>
      </c>
      <c r="D699" t="s">
        <v>1596</v>
      </c>
      <c r="E699">
        <v>0</v>
      </c>
      <c r="F699" t="str">
        <f>HYPERLINK("https://github.com/ankidroid/Anki-Android/issues/2789", "show")</f>
        <v>show</v>
      </c>
      <c r="G699" t="str">
        <f t="shared" si="8"/>
        <v>show</v>
      </c>
      <c r="H699" t="str">
        <f t="shared" si="9"/>
        <v>show</v>
      </c>
      <c r="I699">
        <v>0</v>
      </c>
      <c r="J699">
        <v>0</v>
      </c>
      <c r="K699">
        <v>0</v>
      </c>
      <c r="L699">
        <v>0</v>
      </c>
      <c r="M699" t="s">
        <v>43</v>
      </c>
    </row>
    <row r="700" spans="1:13" hidden="1" x14ac:dyDescent="0.15">
      <c r="A700" t="s">
        <v>2261</v>
      </c>
      <c r="B700" t="s">
        <v>2262</v>
      </c>
      <c r="C700" t="s">
        <v>2263</v>
      </c>
      <c r="D700" t="s">
        <v>1596</v>
      </c>
      <c r="E700">
        <v>0</v>
      </c>
      <c r="F700" t="str">
        <f>HYPERLINK("https://github.com/ankidroid/Anki-Android/issues/2787", "show")</f>
        <v>show</v>
      </c>
      <c r="G700" t="str">
        <f t="shared" si="8"/>
        <v>show</v>
      </c>
      <c r="H700" t="str">
        <f t="shared" si="9"/>
        <v>show</v>
      </c>
      <c r="I700">
        <v>0</v>
      </c>
      <c r="J700">
        <v>0</v>
      </c>
      <c r="K700">
        <v>0</v>
      </c>
      <c r="L700">
        <v>0</v>
      </c>
      <c r="M700" t="s">
        <v>43</v>
      </c>
    </row>
    <row r="701" spans="1:13" hidden="1" x14ac:dyDescent="0.15">
      <c r="A701" t="s">
        <v>2264</v>
      </c>
      <c r="B701" t="s">
        <v>2265</v>
      </c>
      <c r="C701" t="s">
        <v>2266</v>
      </c>
      <c r="D701" t="s">
        <v>1596</v>
      </c>
      <c r="E701">
        <v>0</v>
      </c>
      <c r="F701" t="str">
        <f>HYPERLINK("https://github.com/ankidroid/Anki-Android/issues/2784", "show")</f>
        <v>show</v>
      </c>
      <c r="G701" t="str">
        <f t="shared" si="8"/>
        <v>show</v>
      </c>
      <c r="H701" t="str">
        <f t="shared" si="9"/>
        <v>show</v>
      </c>
      <c r="I701">
        <v>0</v>
      </c>
      <c r="J701">
        <v>0</v>
      </c>
      <c r="K701">
        <v>0</v>
      </c>
      <c r="L701">
        <v>1</v>
      </c>
      <c r="M701" t="s">
        <v>581</v>
      </c>
    </row>
    <row r="702" spans="1:13" x14ac:dyDescent="0.15">
      <c r="A702" t="s">
        <v>2267</v>
      </c>
      <c r="B702" t="s">
        <v>2268</v>
      </c>
      <c r="C702" t="s">
        <v>2269</v>
      </c>
      <c r="D702" t="s">
        <v>1596</v>
      </c>
      <c r="E702">
        <v>0</v>
      </c>
      <c r="F702" t="str">
        <f>HYPERLINK("https://github.com/ankidroid/Anki-Android/issues/2783", "show")</f>
        <v>show</v>
      </c>
      <c r="G702" t="str">
        <f t="shared" si="8"/>
        <v>show</v>
      </c>
      <c r="H702" t="str">
        <f t="shared" si="9"/>
        <v>show</v>
      </c>
      <c r="I702">
        <v>0</v>
      </c>
      <c r="J702">
        <v>1</v>
      </c>
      <c r="K702">
        <v>0</v>
      </c>
      <c r="L702">
        <v>0</v>
      </c>
      <c r="M702" t="s">
        <v>139</v>
      </c>
    </row>
    <row r="703" spans="1:13" x14ac:dyDescent="0.15">
      <c r="A703" t="s">
        <v>2270</v>
      </c>
      <c r="B703" t="s">
        <v>2271</v>
      </c>
      <c r="C703" t="s">
        <v>2272</v>
      </c>
      <c r="D703" t="s">
        <v>1596</v>
      </c>
      <c r="E703">
        <v>0</v>
      </c>
      <c r="F703" t="str">
        <f>HYPERLINK("https://github.com/ankidroid/Anki-Android/issues/2782", "show")</f>
        <v>show</v>
      </c>
      <c r="G703" t="str">
        <f t="shared" si="8"/>
        <v>show</v>
      </c>
      <c r="H703" t="str">
        <f t="shared" si="9"/>
        <v>show</v>
      </c>
      <c r="I703">
        <v>0</v>
      </c>
      <c r="J703">
        <v>1</v>
      </c>
      <c r="K703">
        <v>0</v>
      </c>
      <c r="L703">
        <v>0</v>
      </c>
      <c r="M703" t="s">
        <v>139</v>
      </c>
    </row>
    <row r="704" spans="1:13" hidden="1" x14ac:dyDescent="0.15">
      <c r="A704" t="s">
        <v>2273</v>
      </c>
      <c r="B704" t="s">
        <v>2274</v>
      </c>
      <c r="C704" t="s">
        <v>2275</v>
      </c>
      <c r="D704" t="s">
        <v>1596</v>
      </c>
      <c r="E704">
        <v>0</v>
      </c>
      <c r="F704" t="str">
        <f>HYPERLINK("https://github.com/ankidroid/Anki-Android/issues/2781", "show")</f>
        <v>show</v>
      </c>
      <c r="G704" t="str">
        <f t="shared" si="8"/>
        <v>show</v>
      </c>
      <c r="H704" t="str">
        <f t="shared" si="9"/>
        <v>show</v>
      </c>
      <c r="I704">
        <v>0</v>
      </c>
      <c r="J704">
        <v>1</v>
      </c>
      <c r="K704">
        <v>0</v>
      </c>
      <c r="L704">
        <v>1</v>
      </c>
      <c r="M704" t="s">
        <v>1732</v>
      </c>
    </row>
    <row r="705" spans="1:13" x14ac:dyDescent="0.15">
      <c r="A705" t="s">
        <v>2276</v>
      </c>
      <c r="B705" t="s">
        <v>2277</v>
      </c>
      <c r="C705" t="s">
        <v>2278</v>
      </c>
      <c r="D705" t="s">
        <v>1596</v>
      </c>
      <c r="E705">
        <v>186</v>
      </c>
      <c r="F705" t="str">
        <f>HYPERLINK("https://github.com/ankidroid/Anki-Android/issues/2778", "show")</f>
        <v>show</v>
      </c>
      <c r="G705" t="str">
        <f t="shared" si="8"/>
        <v>show</v>
      </c>
      <c r="H705" t="str">
        <f t="shared" si="9"/>
        <v>show</v>
      </c>
      <c r="I705">
        <v>0</v>
      </c>
      <c r="J705">
        <v>1</v>
      </c>
      <c r="K705">
        <v>0</v>
      </c>
      <c r="L705">
        <v>0</v>
      </c>
      <c r="M705" t="s">
        <v>139</v>
      </c>
    </row>
    <row r="706" spans="1:13" hidden="1" x14ac:dyDescent="0.15">
      <c r="A706" t="s">
        <v>2279</v>
      </c>
      <c r="B706" t="s">
        <v>2280</v>
      </c>
      <c r="C706" t="s">
        <v>2281</v>
      </c>
      <c r="D706" t="s">
        <v>1596</v>
      </c>
      <c r="E706">
        <v>0</v>
      </c>
      <c r="F706" t="str">
        <f>HYPERLINK("https://github.com/ankidroid/Anki-Android/issues/2774", "show")</f>
        <v>show</v>
      </c>
      <c r="G706" t="str">
        <f t="shared" si="8"/>
        <v>show</v>
      </c>
      <c r="H706" t="str">
        <f t="shared" si="9"/>
        <v>show</v>
      </c>
      <c r="I706">
        <v>0</v>
      </c>
      <c r="J706">
        <v>0</v>
      </c>
      <c r="K706">
        <v>0</v>
      </c>
      <c r="L706">
        <v>0</v>
      </c>
      <c r="M706" t="s">
        <v>43</v>
      </c>
    </row>
    <row r="707" spans="1:13" hidden="1" x14ac:dyDescent="0.15">
      <c r="A707" t="s">
        <v>2282</v>
      </c>
      <c r="B707" t="s">
        <v>2283</v>
      </c>
      <c r="C707" t="s">
        <v>2284</v>
      </c>
      <c r="D707" t="s">
        <v>1596</v>
      </c>
      <c r="E707">
        <v>0</v>
      </c>
      <c r="F707" t="str">
        <f>HYPERLINK("https://github.com/ankidroid/Anki-Android/issues/2771", "show")</f>
        <v>show</v>
      </c>
      <c r="G707" t="str">
        <f t="shared" si="8"/>
        <v>show</v>
      </c>
      <c r="H707" t="str">
        <f t="shared" si="9"/>
        <v>show</v>
      </c>
      <c r="I707">
        <v>1</v>
      </c>
      <c r="J707">
        <v>1</v>
      </c>
      <c r="K707">
        <v>0</v>
      </c>
      <c r="L707">
        <v>0</v>
      </c>
      <c r="M707" t="s">
        <v>48</v>
      </c>
    </row>
    <row r="708" spans="1:13" x14ac:dyDescent="0.15">
      <c r="A708" t="s">
        <v>2285</v>
      </c>
      <c r="B708" t="s">
        <v>2286</v>
      </c>
      <c r="C708" t="s">
        <v>2287</v>
      </c>
      <c r="D708" t="s">
        <v>1596</v>
      </c>
      <c r="E708">
        <v>0</v>
      </c>
      <c r="F708" t="str">
        <f>HYPERLINK("https://github.com/ankidroid/Anki-Android/issues/2770", "show")</f>
        <v>show</v>
      </c>
      <c r="G708" t="str">
        <f t="shared" si="8"/>
        <v>show</v>
      </c>
      <c r="H708" t="str">
        <f t="shared" si="9"/>
        <v>show</v>
      </c>
      <c r="I708">
        <v>0</v>
      </c>
      <c r="J708">
        <v>1</v>
      </c>
      <c r="K708">
        <v>0</v>
      </c>
      <c r="L708">
        <v>0</v>
      </c>
      <c r="M708" t="s">
        <v>139</v>
      </c>
    </row>
    <row r="709" spans="1:13" hidden="1" x14ac:dyDescent="0.15">
      <c r="A709" t="s">
        <v>2288</v>
      </c>
      <c r="B709" t="s">
        <v>2289</v>
      </c>
      <c r="C709" t="s">
        <v>2290</v>
      </c>
      <c r="D709" t="s">
        <v>1596</v>
      </c>
      <c r="E709">
        <v>0</v>
      </c>
      <c r="F709" t="str">
        <f>HYPERLINK("https://github.com/ankidroid/Anki-Android/issues/2766", "show")</f>
        <v>show</v>
      </c>
      <c r="G709" t="str">
        <f t="shared" si="8"/>
        <v>show</v>
      </c>
      <c r="H709" t="str">
        <f t="shared" si="9"/>
        <v>show</v>
      </c>
      <c r="I709">
        <v>1</v>
      </c>
      <c r="J709">
        <v>1</v>
      </c>
      <c r="K709">
        <v>0</v>
      </c>
      <c r="L709">
        <v>0</v>
      </c>
      <c r="M709" t="s">
        <v>48</v>
      </c>
    </row>
    <row r="710" spans="1:13" hidden="1" x14ac:dyDescent="0.15">
      <c r="A710" t="s">
        <v>2291</v>
      </c>
      <c r="B710" t="s">
        <v>2292</v>
      </c>
      <c r="C710" t="s">
        <v>2293</v>
      </c>
      <c r="D710" t="s">
        <v>1596</v>
      </c>
      <c r="E710">
        <v>0</v>
      </c>
      <c r="F710" t="str">
        <f>HYPERLINK("https://github.com/ankidroid/Anki-Android/issues/2765", "show")</f>
        <v>show</v>
      </c>
      <c r="G710" t="str">
        <f t="shared" si="8"/>
        <v>show</v>
      </c>
      <c r="H710" t="str">
        <f t="shared" si="9"/>
        <v>show</v>
      </c>
      <c r="I710">
        <v>1</v>
      </c>
      <c r="J710">
        <v>1</v>
      </c>
      <c r="K710">
        <v>0</v>
      </c>
      <c r="L710">
        <v>0</v>
      </c>
      <c r="M710" t="s">
        <v>48</v>
      </c>
    </row>
    <row r="711" spans="1:13" hidden="1" x14ac:dyDescent="0.15">
      <c r="A711" t="s">
        <v>2294</v>
      </c>
      <c r="B711" t="s">
        <v>2295</v>
      </c>
      <c r="C711" t="s">
        <v>2296</v>
      </c>
      <c r="D711" t="s">
        <v>1596</v>
      </c>
      <c r="E711">
        <v>0</v>
      </c>
      <c r="F711" t="str">
        <f>HYPERLINK("https://github.com/ankidroid/Anki-Android/issues/2764", "show")</f>
        <v>show</v>
      </c>
      <c r="G711" t="str">
        <f t="shared" si="8"/>
        <v>show</v>
      </c>
      <c r="H711" t="str">
        <f t="shared" si="9"/>
        <v>show</v>
      </c>
      <c r="I711">
        <v>0</v>
      </c>
      <c r="J711">
        <v>0</v>
      </c>
      <c r="K711">
        <v>0</v>
      </c>
      <c r="L711">
        <v>0</v>
      </c>
      <c r="M711" t="s">
        <v>43</v>
      </c>
    </row>
    <row r="712" spans="1:13" x14ac:dyDescent="0.15">
      <c r="A712" t="s">
        <v>2297</v>
      </c>
      <c r="B712" t="s">
        <v>2298</v>
      </c>
      <c r="C712" t="s">
        <v>2299</v>
      </c>
      <c r="D712" t="s">
        <v>1596</v>
      </c>
      <c r="E712">
        <v>0</v>
      </c>
      <c r="F712" t="str">
        <f>HYPERLINK("https://github.com/ankidroid/Anki-Android/issues/2759", "show")</f>
        <v>show</v>
      </c>
      <c r="G712" t="str">
        <f t="shared" si="8"/>
        <v>show</v>
      </c>
      <c r="H712" t="str">
        <f t="shared" si="9"/>
        <v>show</v>
      </c>
      <c r="I712">
        <v>0</v>
      </c>
      <c r="J712">
        <v>1</v>
      </c>
      <c r="K712">
        <v>0</v>
      </c>
      <c r="L712">
        <v>0</v>
      </c>
      <c r="M712" t="s">
        <v>139</v>
      </c>
    </row>
    <row r="713" spans="1:13" hidden="1" x14ac:dyDescent="0.15">
      <c r="A713" t="s">
        <v>2300</v>
      </c>
      <c r="B713" t="s">
        <v>2301</v>
      </c>
      <c r="C713" t="s">
        <v>2302</v>
      </c>
      <c r="D713" t="s">
        <v>1596</v>
      </c>
      <c r="E713">
        <v>0</v>
      </c>
      <c r="F713" t="str">
        <f>HYPERLINK("https://github.com/ankidroid/Anki-Android/issues/2755", "show")</f>
        <v>show</v>
      </c>
      <c r="G713" t="str">
        <f t="shared" si="8"/>
        <v>show</v>
      </c>
      <c r="H713" t="str">
        <f t="shared" si="9"/>
        <v>show</v>
      </c>
      <c r="I713">
        <v>0</v>
      </c>
      <c r="J713">
        <v>0</v>
      </c>
      <c r="K713">
        <v>0</v>
      </c>
      <c r="L713">
        <v>0</v>
      </c>
      <c r="M713" t="s">
        <v>43</v>
      </c>
    </row>
    <row r="714" spans="1:13" x14ac:dyDescent="0.15">
      <c r="A714" t="s">
        <v>2303</v>
      </c>
      <c r="B714" t="s">
        <v>2304</v>
      </c>
      <c r="C714" t="s">
        <v>2305</v>
      </c>
      <c r="D714" t="s">
        <v>1596</v>
      </c>
      <c r="E714">
        <v>0</v>
      </c>
      <c r="F714" t="str">
        <f>HYPERLINK("https://github.com/ankidroid/Anki-Android/issues/2754", "show")</f>
        <v>show</v>
      </c>
      <c r="G714" t="str">
        <f t="shared" si="8"/>
        <v>show</v>
      </c>
      <c r="H714" t="str">
        <f t="shared" si="9"/>
        <v>show</v>
      </c>
      <c r="I714">
        <v>0</v>
      </c>
      <c r="J714">
        <v>1</v>
      </c>
      <c r="K714">
        <v>0</v>
      </c>
      <c r="L714">
        <v>0</v>
      </c>
      <c r="M714" t="s">
        <v>139</v>
      </c>
    </row>
    <row r="715" spans="1:13" hidden="1" x14ac:dyDescent="0.15">
      <c r="A715" t="s">
        <v>2306</v>
      </c>
      <c r="B715" t="s">
        <v>2307</v>
      </c>
      <c r="C715" t="s">
        <v>2308</v>
      </c>
      <c r="D715" t="s">
        <v>1596</v>
      </c>
      <c r="E715">
        <v>0</v>
      </c>
      <c r="F715" t="str">
        <f>HYPERLINK("https://github.com/ankidroid/Anki-Android/issues/2751", "show")</f>
        <v>show</v>
      </c>
      <c r="G715" t="str">
        <f t="shared" si="8"/>
        <v>show</v>
      </c>
      <c r="H715" t="str">
        <f t="shared" si="9"/>
        <v>show</v>
      </c>
      <c r="I715">
        <v>1</v>
      </c>
      <c r="J715">
        <v>1</v>
      </c>
      <c r="K715">
        <v>0</v>
      </c>
      <c r="L715">
        <v>0</v>
      </c>
      <c r="M715" t="s">
        <v>48</v>
      </c>
    </row>
    <row r="716" spans="1:13" x14ac:dyDescent="0.15">
      <c r="A716" t="s">
        <v>2309</v>
      </c>
      <c r="B716" t="s">
        <v>2310</v>
      </c>
      <c r="C716" t="s">
        <v>2311</v>
      </c>
      <c r="D716" t="s">
        <v>1596</v>
      </c>
      <c r="E716">
        <v>0</v>
      </c>
      <c r="F716" t="str">
        <f>HYPERLINK("https://github.com/ankidroid/Anki-Android/issues/2750", "show")</f>
        <v>show</v>
      </c>
      <c r="G716" t="str">
        <f t="shared" si="8"/>
        <v>show</v>
      </c>
      <c r="H716" t="str">
        <f t="shared" si="9"/>
        <v>show</v>
      </c>
      <c r="I716">
        <v>0</v>
      </c>
      <c r="J716">
        <v>1</v>
      </c>
      <c r="K716">
        <v>0</v>
      </c>
      <c r="L716">
        <v>0</v>
      </c>
      <c r="M716" t="s">
        <v>139</v>
      </c>
    </row>
    <row r="717" spans="1:13" x14ac:dyDescent="0.15">
      <c r="A717" t="s">
        <v>2312</v>
      </c>
      <c r="B717" t="s">
        <v>2313</v>
      </c>
      <c r="C717" t="s">
        <v>2314</v>
      </c>
      <c r="D717" t="s">
        <v>1596</v>
      </c>
      <c r="E717">
        <v>0</v>
      </c>
      <c r="F717" t="str">
        <f>HYPERLINK("https://github.com/ankidroid/Anki-Android/issues/2749", "show")</f>
        <v>show</v>
      </c>
      <c r="G717" t="str">
        <f t="shared" si="8"/>
        <v>show</v>
      </c>
      <c r="H717" t="str">
        <f t="shared" si="9"/>
        <v>show</v>
      </c>
      <c r="I717">
        <v>0</v>
      </c>
      <c r="J717">
        <v>1</v>
      </c>
      <c r="K717">
        <v>0</v>
      </c>
      <c r="L717">
        <v>0</v>
      </c>
      <c r="M717" t="s">
        <v>139</v>
      </c>
    </row>
    <row r="718" spans="1:13" hidden="1" x14ac:dyDescent="0.15">
      <c r="A718" t="s">
        <v>2315</v>
      </c>
      <c r="B718" t="s">
        <v>2316</v>
      </c>
      <c r="C718" t="s">
        <v>2317</v>
      </c>
      <c r="D718" t="s">
        <v>1596</v>
      </c>
      <c r="E718">
        <v>0</v>
      </c>
      <c r="F718" t="str">
        <f>HYPERLINK("https://github.com/ankidroid/Anki-Android/issues/2748", "show")</f>
        <v>show</v>
      </c>
      <c r="G718" t="str">
        <f t="shared" si="8"/>
        <v>show</v>
      </c>
      <c r="H718" t="str">
        <f t="shared" si="9"/>
        <v>show</v>
      </c>
      <c r="I718">
        <v>0</v>
      </c>
      <c r="J718">
        <v>0</v>
      </c>
      <c r="K718">
        <v>0</v>
      </c>
      <c r="L718">
        <v>0</v>
      </c>
      <c r="M718" t="s">
        <v>43</v>
      </c>
    </row>
    <row r="719" spans="1:13" x14ac:dyDescent="0.15">
      <c r="A719" t="s">
        <v>2318</v>
      </c>
      <c r="B719" t="s">
        <v>2319</v>
      </c>
      <c r="C719" t="s">
        <v>2320</v>
      </c>
      <c r="D719" t="s">
        <v>1596</v>
      </c>
      <c r="E719">
        <v>0</v>
      </c>
      <c r="F719" t="str">
        <f>HYPERLINK("https://github.com/ankidroid/Anki-Android/issues/2747", "show")</f>
        <v>show</v>
      </c>
      <c r="G719" t="str">
        <f t="shared" si="8"/>
        <v>show</v>
      </c>
      <c r="H719" t="str">
        <f t="shared" si="9"/>
        <v>show</v>
      </c>
      <c r="I719">
        <v>0</v>
      </c>
      <c r="J719">
        <v>1</v>
      </c>
      <c r="K719">
        <v>0</v>
      </c>
      <c r="L719">
        <v>0</v>
      </c>
      <c r="M719" t="s">
        <v>139</v>
      </c>
    </row>
    <row r="720" spans="1:13" x14ac:dyDescent="0.15">
      <c r="A720" t="s">
        <v>2321</v>
      </c>
      <c r="B720" t="s">
        <v>2322</v>
      </c>
      <c r="C720" t="s">
        <v>2323</v>
      </c>
      <c r="D720" t="s">
        <v>1596</v>
      </c>
      <c r="E720">
        <v>0</v>
      </c>
      <c r="F720" t="str">
        <f>HYPERLINK("https://github.com/ankidroid/Anki-Android/issues/2745", "show")</f>
        <v>show</v>
      </c>
      <c r="G720" t="str">
        <f t="shared" si="8"/>
        <v>show</v>
      </c>
      <c r="H720" t="str">
        <f t="shared" si="9"/>
        <v>show</v>
      </c>
      <c r="I720">
        <v>0</v>
      </c>
      <c r="J720">
        <v>1</v>
      </c>
      <c r="K720">
        <v>0</v>
      </c>
      <c r="L720">
        <v>0</v>
      </c>
      <c r="M720" t="s">
        <v>139</v>
      </c>
    </row>
    <row r="721" spans="1:13" hidden="1" x14ac:dyDescent="0.15">
      <c r="A721" t="s">
        <v>2324</v>
      </c>
      <c r="B721" t="s">
        <v>2325</v>
      </c>
      <c r="C721" t="s">
        <v>2326</v>
      </c>
      <c r="D721" t="s">
        <v>1596</v>
      </c>
      <c r="E721">
        <v>0</v>
      </c>
      <c r="F721" t="str">
        <f>HYPERLINK("https://github.com/ankidroid/Anki-Android/issues/2742", "show")</f>
        <v>show</v>
      </c>
      <c r="G721" t="str">
        <f t="shared" si="8"/>
        <v>show</v>
      </c>
      <c r="H721" t="str">
        <f t="shared" si="9"/>
        <v>show</v>
      </c>
      <c r="I721">
        <v>1</v>
      </c>
      <c r="J721">
        <v>0</v>
      </c>
      <c r="K721">
        <v>0</v>
      </c>
      <c r="L721">
        <v>0</v>
      </c>
      <c r="M721" t="s">
        <v>17</v>
      </c>
    </row>
    <row r="722" spans="1:13" x14ac:dyDescent="0.15">
      <c r="A722" t="s">
        <v>2327</v>
      </c>
      <c r="B722" t="s">
        <v>2328</v>
      </c>
      <c r="C722" t="s">
        <v>2329</v>
      </c>
      <c r="D722" t="s">
        <v>1596</v>
      </c>
      <c r="E722">
        <v>0</v>
      </c>
      <c r="F722" t="str">
        <f>HYPERLINK("https://github.com/ankidroid/Anki-Android/issues/2740", "show")</f>
        <v>show</v>
      </c>
      <c r="G722" t="str">
        <f t="shared" si="8"/>
        <v>show</v>
      </c>
      <c r="H722" t="str">
        <f t="shared" si="9"/>
        <v>show</v>
      </c>
      <c r="I722">
        <v>0</v>
      </c>
      <c r="J722">
        <v>1</v>
      </c>
      <c r="K722">
        <v>0</v>
      </c>
      <c r="L722">
        <v>0</v>
      </c>
      <c r="M722" t="s">
        <v>139</v>
      </c>
    </row>
    <row r="723" spans="1:13" hidden="1" x14ac:dyDescent="0.15">
      <c r="A723" t="s">
        <v>2330</v>
      </c>
      <c r="B723" t="s">
        <v>2331</v>
      </c>
      <c r="C723" t="s">
        <v>2332</v>
      </c>
      <c r="D723" t="s">
        <v>1596</v>
      </c>
      <c r="E723">
        <v>0</v>
      </c>
      <c r="F723" t="str">
        <f>HYPERLINK("https://github.com/ankidroid/Anki-Android/issues/2739", "show")</f>
        <v>show</v>
      </c>
      <c r="G723" t="str">
        <f t="shared" si="8"/>
        <v>show</v>
      </c>
      <c r="H723" t="str">
        <f t="shared" si="9"/>
        <v>show</v>
      </c>
      <c r="I723">
        <v>1</v>
      </c>
      <c r="J723">
        <v>0</v>
      </c>
      <c r="K723">
        <v>0</v>
      </c>
      <c r="L723">
        <v>0</v>
      </c>
      <c r="M723" t="s">
        <v>17</v>
      </c>
    </row>
    <row r="724" spans="1:13" hidden="1" x14ac:dyDescent="0.15">
      <c r="A724" t="s">
        <v>2333</v>
      </c>
      <c r="B724" t="s">
        <v>2334</v>
      </c>
      <c r="C724" t="s">
        <v>2335</v>
      </c>
      <c r="D724" t="s">
        <v>1596</v>
      </c>
      <c r="E724">
        <v>0</v>
      </c>
      <c r="F724" t="str">
        <f>HYPERLINK("https://github.com/ankidroid/Anki-Android/issues/2734", "show")</f>
        <v>show</v>
      </c>
      <c r="G724" t="str">
        <f t="shared" si="8"/>
        <v>show</v>
      </c>
      <c r="H724" t="str">
        <f t="shared" si="9"/>
        <v>show</v>
      </c>
      <c r="I724">
        <v>0</v>
      </c>
      <c r="J724">
        <v>0</v>
      </c>
      <c r="K724">
        <v>0</v>
      </c>
      <c r="L724">
        <v>0</v>
      </c>
      <c r="M724" t="s">
        <v>43</v>
      </c>
    </row>
    <row r="725" spans="1:13" x14ac:dyDescent="0.15">
      <c r="A725" t="s">
        <v>2336</v>
      </c>
      <c r="B725" t="s">
        <v>2337</v>
      </c>
      <c r="C725" t="s">
        <v>2338</v>
      </c>
      <c r="D725" t="s">
        <v>1596</v>
      </c>
      <c r="E725">
        <v>0</v>
      </c>
      <c r="F725" t="str">
        <f>HYPERLINK("https://github.com/ankidroid/Anki-Android/issues/2733", "show")</f>
        <v>show</v>
      </c>
      <c r="G725" t="str">
        <f t="shared" si="8"/>
        <v>show</v>
      </c>
      <c r="H725" t="str">
        <f t="shared" si="9"/>
        <v>show</v>
      </c>
      <c r="I725">
        <v>0</v>
      </c>
      <c r="J725">
        <v>1</v>
      </c>
      <c r="K725">
        <v>0</v>
      </c>
      <c r="L725">
        <v>0</v>
      </c>
      <c r="M725" t="s">
        <v>139</v>
      </c>
    </row>
    <row r="726" spans="1:13" hidden="1" x14ac:dyDescent="0.15">
      <c r="A726" t="s">
        <v>2339</v>
      </c>
      <c r="B726" t="s">
        <v>2340</v>
      </c>
      <c r="C726" t="s">
        <v>2341</v>
      </c>
      <c r="D726" t="s">
        <v>1596</v>
      </c>
      <c r="E726">
        <v>0</v>
      </c>
      <c r="F726" t="str">
        <f>HYPERLINK("https://github.com/ankidroid/Anki-Android/issues/2726", "show")</f>
        <v>show</v>
      </c>
      <c r="G726" t="str">
        <f t="shared" si="8"/>
        <v>show</v>
      </c>
      <c r="H726" t="str">
        <f t="shared" si="9"/>
        <v>show</v>
      </c>
      <c r="I726">
        <v>1</v>
      </c>
      <c r="J726">
        <v>0</v>
      </c>
      <c r="K726">
        <v>0</v>
      </c>
      <c r="L726">
        <v>0</v>
      </c>
      <c r="M726" t="s">
        <v>17</v>
      </c>
    </row>
    <row r="727" spans="1:13" hidden="1" x14ac:dyDescent="0.15">
      <c r="A727" t="s">
        <v>2342</v>
      </c>
      <c r="B727" t="s">
        <v>2343</v>
      </c>
      <c r="C727" t="s">
        <v>2344</v>
      </c>
      <c r="D727" t="s">
        <v>1596</v>
      </c>
      <c r="E727">
        <v>0</v>
      </c>
      <c r="F727" t="str">
        <f>HYPERLINK("https://github.com/ankidroid/Anki-Android/issues/2719", "show")</f>
        <v>show</v>
      </c>
      <c r="G727" t="str">
        <f t="shared" si="8"/>
        <v>show</v>
      </c>
      <c r="H727" t="str">
        <f t="shared" si="9"/>
        <v>show</v>
      </c>
      <c r="I727">
        <v>1</v>
      </c>
      <c r="J727">
        <v>0</v>
      </c>
      <c r="K727">
        <v>0</v>
      </c>
      <c r="L727">
        <v>0</v>
      </c>
      <c r="M727" t="s">
        <v>17</v>
      </c>
    </row>
    <row r="728" spans="1:13" hidden="1" x14ac:dyDescent="0.15">
      <c r="A728" t="s">
        <v>2345</v>
      </c>
      <c r="B728" t="s">
        <v>2346</v>
      </c>
      <c r="C728" t="s">
        <v>2347</v>
      </c>
      <c r="D728" t="s">
        <v>1596</v>
      </c>
      <c r="E728">
        <v>0</v>
      </c>
      <c r="F728" t="str">
        <f>HYPERLINK("https://github.com/ankidroid/Anki-Android/issues/2718", "show")</f>
        <v>show</v>
      </c>
      <c r="G728" t="str">
        <f t="shared" si="8"/>
        <v>show</v>
      </c>
      <c r="H728" t="str">
        <f t="shared" si="9"/>
        <v>show</v>
      </c>
      <c r="I728">
        <v>1</v>
      </c>
      <c r="J728">
        <v>1</v>
      </c>
      <c r="K728">
        <v>0</v>
      </c>
      <c r="L728">
        <v>0</v>
      </c>
      <c r="M728" t="s">
        <v>48</v>
      </c>
    </row>
    <row r="729" spans="1:13" hidden="1" x14ac:dyDescent="0.15">
      <c r="A729" t="s">
        <v>2348</v>
      </c>
      <c r="B729" t="s">
        <v>2349</v>
      </c>
      <c r="C729" t="s">
        <v>2350</v>
      </c>
      <c r="D729" t="s">
        <v>1596</v>
      </c>
      <c r="E729">
        <v>0</v>
      </c>
      <c r="F729" t="str">
        <f>HYPERLINK("https://github.com/ankidroid/Anki-Android/issues/2717", "show")</f>
        <v>show</v>
      </c>
      <c r="G729" t="str">
        <f t="shared" si="8"/>
        <v>show</v>
      </c>
      <c r="H729" t="str">
        <f t="shared" si="9"/>
        <v>show</v>
      </c>
      <c r="I729">
        <v>0</v>
      </c>
      <c r="J729">
        <v>0</v>
      </c>
      <c r="K729">
        <v>0</v>
      </c>
      <c r="L729">
        <v>1</v>
      </c>
      <c r="M729" t="s">
        <v>581</v>
      </c>
    </row>
    <row r="730" spans="1:13" x14ac:dyDescent="0.15">
      <c r="A730" t="s">
        <v>2351</v>
      </c>
      <c r="B730" t="s">
        <v>2352</v>
      </c>
      <c r="C730" t="s">
        <v>2353</v>
      </c>
      <c r="D730" t="s">
        <v>1596</v>
      </c>
      <c r="E730">
        <v>0</v>
      </c>
      <c r="F730" t="str">
        <f>HYPERLINK("https://github.com/ankidroid/Anki-Android/issues/2716", "show")</f>
        <v>show</v>
      </c>
      <c r="G730" t="str">
        <f t="shared" si="8"/>
        <v>show</v>
      </c>
      <c r="H730" t="str">
        <f t="shared" si="9"/>
        <v>show</v>
      </c>
      <c r="I730">
        <v>0</v>
      </c>
      <c r="J730">
        <v>1</v>
      </c>
      <c r="K730">
        <v>0</v>
      </c>
      <c r="L730">
        <v>0</v>
      </c>
      <c r="M730" t="s">
        <v>139</v>
      </c>
    </row>
    <row r="731" spans="1:13" hidden="1" x14ac:dyDescent="0.15">
      <c r="A731" t="s">
        <v>2354</v>
      </c>
      <c r="B731" t="s">
        <v>2355</v>
      </c>
      <c r="C731" t="s">
        <v>2356</v>
      </c>
      <c r="D731" t="s">
        <v>1596</v>
      </c>
      <c r="E731">
        <v>0</v>
      </c>
      <c r="F731" t="str">
        <f>HYPERLINK("https://github.com/ankidroid/Anki-Android/issues/2714", "show")</f>
        <v>show</v>
      </c>
      <c r="G731" t="str">
        <f t="shared" si="8"/>
        <v>show</v>
      </c>
      <c r="H731" t="str">
        <f t="shared" si="9"/>
        <v>show</v>
      </c>
      <c r="I731">
        <v>0</v>
      </c>
      <c r="J731">
        <v>0</v>
      </c>
      <c r="K731">
        <v>0</v>
      </c>
      <c r="L731">
        <v>0</v>
      </c>
      <c r="M731" t="s">
        <v>43</v>
      </c>
    </row>
    <row r="732" spans="1:13" hidden="1" x14ac:dyDescent="0.15">
      <c r="A732" t="s">
        <v>2357</v>
      </c>
      <c r="B732" t="s">
        <v>2358</v>
      </c>
      <c r="C732" t="s">
        <v>2359</v>
      </c>
      <c r="D732" t="s">
        <v>1596</v>
      </c>
      <c r="E732">
        <v>0</v>
      </c>
      <c r="F732" t="str">
        <f>HYPERLINK("https://github.com/ankidroid/Anki-Android/issues/2710", "show")</f>
        <v>show</v>
      </c>
      <c r="G732" t="str">
        <f t="shared" si="8"/>
        <v>show</v>
      </c>
      <c r="H732" t="str">
        <f t="shared" si="9"/>
        <v>show</v>
      </c>
      <c r="I732">
        <v>0</v>
      </c>
      <c r="J732">
        <v>0</v>
      </c>
      <c r="K732">
        <v>0</v>
      </c>
      <c r="L732">
        <v>0</v>
      </c>
      <c r="M732" t="s">
        <v>43</v>
      </c>
    </row>
    <row r="733" spans="1:13" hidden="1" x14ac:dyDescent="0.15">
      <c r="A733" t="s">
        <v>2360</v>
      </c>
      <c r="B733" t="s">
        <v>2361</v>
      </c>
      <c r="C733" t="s">
        <v>2362</v>
      </c>
      <c r="D733" t="s">
        <v>1596</v>
      </c>
      <c r="E733">
        <v>0</v>
      </c>
      <c r="F733" t="str">
        <f>HYPERLINK("https://github.com/ankidroid/Anki-Android/issues/2706", "show")</f>
        <v>show</v>
      </c>
      <c r="G733" t="str">
        <f t="shared" si="8"/>
        <v>show</v>
      </c>
      <c r="H733" t="str">
        <f t="shared" si="9"/>
        <v>show</v>
      </c>
      <c r="I733">
        <v>0</v>
      </c>
      <c r="J733">
        <v>0</v>
      </c>
      <c r="K733">
        <v>0</v>
      </c>
      <c r="L733">
        <v>0</v>
      </c>
      <c r="M733" t="s">
        <v>43</v>
      </c>
    </row>
    <row r="734" spans="1:13" x14ac:dyDescent="0.15">
      <c r="A734" t="s">
        <v>2363</v>
      </c>
      <c r="B734" t="s">
        <v>2364</v>
      </c>
      <c r="C734" t="s">
        <v>2365</v>
      </c>
      <c r="D734" t="s">
        <v>1596</v>
      </c>
      <c r="E734">
        <v>0</v>
      </c>
      <c r="F734" t="str">
        <f>HYPERLINK("https://github.com/ankidroid/Anki-Android/issues/2702", "show")</f>
        <v>show</v>
      </c>
      <c r="G734" t="str">
        <f t="shared" si="8"/>
        <v>show</v>
      </c>
      <c r="H734" t="str">
        <f t="shared" si="9"/>
        <v>show</v>
      </c>
      <c r="I734">
        <v>0</v>
      </c>
      <c r="J734">
        <v>1</v>
      </c>
      <c r="K734">
        <v>0</v>
      </c>
      <c r="L734">
        <v>0</v>
      </c>
      <c r="M734" t="s">
        <v>139</v>
      </c>
    </row>
    <row r="735" spans="1:13" hidden="1" x14ac:dyDescent="0.15">
      <c r="A735" t="s">
        <v>2366</v>
      </c>
      <c r="B735" t="s">
        <v>2367</v>
      </c>
      <c r="C735" t="s">
        <v>2368</v>
      </c>
      <c r="D735" t="s">
        <v>1596</v>
      </c>
      <c r="E735">
        <v>0</v>
      </c>
      <c r="F735" t="str">
        <f>HYPERLINK("https://github.com/ankidroid/Anki-Android/issues/2697", "show")</f>
        <v>show</v>
      </c>
      <c r="G735" t="str">
        <f t="shared" ref="G735:G798" si="10">HYPERLINK("https://github.com/ankidroid/Anki-Android", "show")</f>
        <v>show</v>
      </c>
      <c r="H735" t="str">
        <f t="shared" ref="H735:H798" si="11">HYPERLINK("https://github.com/ankidroid/Anki-Android/releases", "show")</f>
        <v>show</v>
      </c>
      <c r="I735">
        <v>1</v>
      </c>
      <c r="J735">
        <v>0</v>
      </c>
      <c r="K735">
        <v>0</v>
      </c>
      <c r="L735">
        <v>0</v>
      </c>
      <c r="M735" t="s">
        <v>17</v>
      </c>
    </row>
    <row r="736" spans="1:13" hidden="1" x14ac:dyDescent="0.15">
      <c r="A736" t="s">
        <v>2369</v>
      </c>
      <c r="B736" t="s">
        <v>2370</v>
      </c>
      <c r="C736" t="s">
        <v>2371</v>
      </c>
      <c r="D736" t="s">
        <v>1596</v>
      </c>
      <c r="E736">
        <v>0</v>
      </c>
      <c r="F736" t="str">
        <f>HYPERLINK("https://github.com/ankidroid/Anki-Android/issues/2696", "show")</f>
        <v>show</v>
      </c>
      <c r="G736" t="str">
        <f t="shared" si="10"/>
        <v>show</v>
      </c>
      <c r="H736" t="str">
        <f t="shared" si="11"/>
        <v>show</v>
      </c>
      <c r="I736">
        <v>1</v>
      </c>
      <c r="J736">
        <v>1</v>
      </c>
      <c r="K736">
        <v>0</v>
      </c>
      <c r="L736">
        <v>0</v>
      </c>
      <c r="M736" t="s">
        <v>48</v>
      </c>
    </row>
    <row r="737" spans="1:13" hidden="1" x14ac:dyDescent="0.15">
      <c r="A737" t="s">
        <v>2372</v>
      </c>
      <c r="B737" t="s">
        <v>2373</v>
      </c>
      <c r="C737" t="s">
        <v>2374</v>
      </c>
      <c r="D737" t="s">
        <v>1596</v>
      </c>
      <c r="E737">
        <v>0</v>
      </c>
      <c r="F737" t="str">
        <f>HYPERLINK("https://github.com/ankidroid/Anki-Android/issues/2692", "show")</f>
        <v>show</v>
      </c>
      <c r="G737" t="str">
        <f t="shared" si="10"/>
        <v>show</v>
      </c>
      <c r="H737" t="str">
        <f t="shared" si="11"/>
        <v>show</v>
      </c>
      <c r="I737">
        <v>0</v>
      </c>
      <c r="J737">
        <v>1</v>
      </c>
      <c r="K737">
        <v>0</v>
      </c>
      <c r="L737">
        <v>1</v>
      </c>
      <c r="M737" t="s">
        <v>1732</v>
      </c>
    </row>
    <row r="738" spans="1:13" x14ac:dyDescent="0.15">
      <c r="A738" t="s">
        <v>2375</v>
      </c>
      <c r="B738" t="s">
        <v>2376</v>
      </c>
      <c r="C738" t="s">
        <v>2377</v>
      </c>
      <c r="D738" t="s">
        <v>1596</v>
      </c>
      <c r="E738">
        <v>0</v>
      </c>
      <c r="F738" t="str">
        <f>HYPERLINK("https://github.com/ankidroid/Anki-Android/issues/2690", "show")</f>
        <v>show</v>
      </c>
      <c r="G738" t="str">
        <f t="shared" si="10"/>
        <v>show</v>
      </c>
      <c r="H738" t="str">
        <f t="shared" si="11"/>
        <v>show</v>
      </c>
      <c r="I738">
        <v>0</v>
      </c>
      <c r="J738">
        <v>1</v>
      </c>
      <c r="K738">
        <v>0</v>
      </c>
      <c r="L738">
        <v>0</v>
      </c>
      <c r="M738" t="s">
        <v>139</v>
      </c>
    </row>
    <row r="739" spans="1:13" x14ac:dyDescent="0.15">
      <c r="A739" t="s">
        <v>2378</v>
      </c>
      <c r="B739" t="s">
        <v>2379</v>
      </c>
      <c r="C739" t="s">
        <v>2380</v>
      </c>
      <c r="D739" t="s">
        <v>1596</v>
      </c>
      <c r="E739">
        <v>0</v>
      </c>
      <c r="F739" t="str">
        <f>HYPERLINK("https://github.com/ankidroid/Anki-Android/issues/2688", "show")</f>
        <v>show</v>
      </c>
      <c r="G739" t="str">
        <f t="shared" si="10"/>
        <v>show</v>
      </c>
      <c r="H739" t="str">
        <f t="shared" si="11"/>
        <v>show</v>
      </c>
      <c r="I739">
        <v>0</v>
      </c>
      <c r="J739">
        <v>1</v>
      </c>
      <c r="K739">
        <v>0</v>
      </c>
      <c r="L739">
        <v>0</v>
      </c>
      <c r="M739" t="s">
        <v>139</v>
      </c>
    </row>
    <row r="740" spans="1:13" hidden="1" x14ac:dyDescent="0.15">
      <c r="A740" t="s">
        <v>2381</v>
      </c>
      <c r="B740" t="s">
        <v>2382</v>
      </c>
      <c r="C740" t="s">
        <v>2383</v>
      </c>
      <c r="D740" t="s">
        <v>1596</v>
      </c>
      <c r="E740">
        <v>0</v>
      </c>
      <c r="F740" t="str">
        <f>HYPERLINK("https://github.com/ankidroid/Anki-Android/issues/2686", "show")</f>
        <v>show</v>
      </c>
      <c r="G740" t="str">
        <f t="shared" si="10"/>
        <v>show</v>
      </c>
      <c r="H740" t="str">
        <f t="shared" si="11"/>
        <v>show</v>
      </c>
      <c r="I740">
        <v>0</v>
      </c>
      <c r="J740">
        <v>0</v>
      </c>
      <c r="K740">
        <v>0</v>
      </c>
      <c r="L740">
        <v>0</v>
      </c>
      <c r="M740" t="s">
        <v>43</v>
      </c>
    </row>
    <row r="741" spans="1:13" hidden="1" x14ac:dyDescent="0.15">
      <c r="A741" t="s">
        <v>2384</v>
      </c>
      <c r="B741" t="s">
        <v>2385</v>
      </c>
      <c r="C741" t="s">
        <v>2386</v>
      </c>
      <c r="D741" t="s">
        <v>1596</v>
      </c>
      <c r="E741">
        <v>0</v>
      </c>
      <c r="F741" t="str">
        <f>HYPERLINK("https://github.com/ankidroid/Anki-Android/issues/2681", "show")</f>
        <v>show</v>
      </c>
      <c r="G741" t="str">
        <f t="shared" si="10"/>
        <v>show</v>
      </c>
      <c r="H741" t="str">
        <f t="shared" si="11"/>
        <v>show</v>
      </c>
      <c r="I741">
        <v>1</v>
      </c>
      <c r="J741">
        <v>1</v>
      </c>
      <c r="K741">
        <v>0</v>
      </c>
      <c r="L741">
        <v>0</v>
      </c>
      <c r="M741" t="s">
        <v>48</v>
      </c>
    </row>
    <row r="742" spans="1:13" hidden="1" x14ac:dyDescent="0.15">
      <c r="A742" t="s">
        <v>2387</v>
      </c>
      <c r="B742" t="s">
        <v>2388</v>
      </c>
      <c r="C742" t="s">
        <v>2389</v>
      </c>
      <c r="D742" t="s">
        <v>1596</v>
      </c>
      <c r="E742">
        <v>186</v>
      </c>
      <c r="F742" t="str">
        <f>HYPERLINK("https://github.com/ankidroid/Anki-Android/issues/2680", "show")</f>
        <v>show</v>
      </c>
      <c r="G742" t="str">
        <f t="shared" si="10"/>
        <v>show</v>
      </c>
      <c r="H742" t="str">
        <f t="shared" si="11"/>
        <v>show</v>
      </c>
      <c r="I742">
        <v>1</v>
      </c>
      <c r="J742">
        <v>0</v>
      </c>
      <c r="K742">
        <v>0</v>
      </c>
      <c r="L742">
        <v>0</v>
      </c>
      <c r="M742" t="s">
        <v>17</v>
      </c>
    </row>
    <row r="743" spans="1:13" x14ac:dyDescent="0.15">
      <c r="A743" t="s">
        <v>2390</v>
      </c>
      <c r="B743" t="s">
        <v>2391</v>
      </c>
      <c r="C743" t="s">
        <v>2392</v>
      </c>
      <c r="D743" t="s">
        <v>1596</v>
      </c>
      <c r="E743">
        <v>0</v>
      </c>
      <c r="F743" t="str">
        <f>HYPERLINK("https://github.com/ankidroid/Anki-Android/issues/2678", "show")</f>
        <v>show</v>
      </c>
      <c r="G743" t="str">
        <f t="shared" si="10"/>
        <v>show</v>
      </c>
      <c r="H743" t="str">
        <f t="shared" si="11"/>
        <v>show</v>
      </c>
      <c r="I743">
        <v>0</v>
      </c>
      <c r="J743">
        <v>1</v>
      </c>
      <c r="K743">
        <v>0</v>
      </c>
      <c r="L743">
        <v>0</v>
      </c>
      <c r="M743" t="s">
        <v>139</v>
      </c>
    </row>
    <row r="744" spans="1:13" x14ac:dyDescent="0.15">
      <c r="A744" t="s">
        <v>2393</v>
      </c>
      <c r="B744" t="s">
        <v>2394</v>
      </c>
      <c r="C744" t="s">
        <v>2395</v>
      </c>
      <c r="D744" t="s">
        <v>1596</v>
      </c>
      <c r="E744">
        <v>186</v>
      </c>
      <c r="F744" t="str">
        <f>HYPERLINK("https://github.com/ankidroid/Anki-Android/issues/2677", "show")</f>
        <v>show</v>
      </c>
      <c r="G744" t="str">
        <f t="shared" si="10"/>
        <v>show</v>
      </c>
      <c r="H744" t="str">
        <f t="shared" si="11"/>
        <v>show</v>
      </c>
      <c r="I744">
        <v>0</v>
      </c>
      <c r="J744">
        <v>1</v>
      </c>
      <c r="K744">
        <v>0</v>
      </c>
      <c r="L744">
        <v>0</v>
      </c>
      <c r="M744" t="s">
        <v>139</v>
      </c>
    </row>
    <row r="745" spans="1:13" hidden="1" x14ac:dyDescent="0.15">
      <c r="A745" t="s">
        <v>2396</v>
      </c>
      <c r="B745" t="s">
        <v>2397</v>
      </c>
      <c r="C745" t="s">
        <v>2398</v>
      </c>
      <c r="D745" t="s">
        <v>1596</v>
      </c>
      <c r="E745">
        <v>0</v>
      </c>
      <c r="F745" t="str">
        <f>HYPERLINK("https://github.com/ankidroid/Anki-Android/issues/2675", "show")</f>
        <v>show</v>
      </c>
      <c r="G745" t="str">
        <f t="shared" si="10"/>
        <v>show</v>
      </c>
      <c r="H745" t="str">
        <f t="shared" si="11"/>
        <v>show</v>
      </c>
      <c r="I745">
        <v>0</v>
      </c>
      <c r="J745">
        <v>0</v>
      </c>
      <c r="K745">
        <v>0</v>
      </c>
      <c r="L745">
        <v>0</v>
      </c>
      <c r="M745" t="s">
        <v>43</v>
      </c>
    </row>
    <row r="746" spans="1:13" hidden="1" x14ac:dyDescent="0.15">
      <c r="A746" t="s">
        <v>2399</v>
      </c>
      <c r="B746" t="s">
        <v>2400</v>
      </c>
      <c r="C746" t="s">
        <v>2401</v>
      </c>
      <c r="D746" t="s">
        <v>1596</v>
      </c>
      <c r="E746">
        <v>0</v>
      </c>
      <c r="F746" t="str">
        <f>HYPERLINK("https://github.com/ankidroid/Anki-Android/issues/2674", "show")</f>
        <v>show</v>
      </c>
      <c r="G746" t="str">
        <f t="shared" si="10"/>
        <v>show</v>
      </c>
      <c r="H746" t="str">
        <f t="shared" si="11"/>
        <v>show</v>
      </c>
      <c r="I746">
        <v>0</v>
      </c>
      <c r="J746">
        <v>1</v>
      </c>
      <c r="K746">
        <v>0</v>
      </c>
      <c r="L746">
        <v>1</v>
      </c>
      <c r="M746" t="s">
        <v>1732</v>
      </c>
    </row>
    <row r="747" spans="1:13" x14ac:dyDescent="0.15">
      <c r="A747" t="s">
        <v>2402</v>
      </c>
      <c r="B747" t="s">
        <v>2403</v>
      </c>
      <c r="C747" t="s">
        <v>2404</v>
      </c>
      <c r="D747" t="s">
        <v>1596</v>
      </c>
      <c r="E747">
        <v>0</v>
      </c>
      <c r="F747" t="str">
        <f>HYPERLINK("https://github.com/ankidroid/Anki-Android/issues/2673", "show")</f>
        <v>show</v>
      </c>
      <c r="G747" t="str">
        <f t="shared" si="10"/>
        <v>show</v>
      </c>
      <c r="H747" t="str">
        <f t="shared" si="11"/>
        <v>show</v>
      </c>
      <c r="I747">
        <v>0</v>
      </c>
      <c r="J747">
        <v>1</v>
      </c>
      <c r="K747">
        <v>0</v>
      </c>
      <c r="L747">
        <v>0</v>
      </c>
      <c r="M747" t="s">
        <v>139</v>
      </c>
    </row>
    <row r="748" spans="1:13" hidden="1" x14ac:dyDescent="0.15">
      <c r="A748" t="s">
        <v>2405</v>
      </c>
      <c r="B748" t="s">
        <v>2406</v>
      </c>
      <c r="C748" t="s">
        <v>2407</v>
      </c>
      <c r="D748" t="s">
        <v>1596</v>
      </c>
      <c r="E748">
        <v>0</v>
      </c>
      <c r="F748" t="str">
        <f>HYPERLINK("https://github.com/ankidroid/Anki-Android/issues/2670", "show")</f>
        <v>show</v>
      </c>
      <c r="G748" t="str">
        <f t="shared" si="10"/>
        <v>show</v>
      </c>
      <c r="H748" t="str">
        <f t="shared" si="11"/>
        <v>show</v>
      </c>
      <c r="I748">
        <v>0</v>
      </c>
      <c r="J748">
        <v>0</v>
      </c>
      <c r="K748">
        <v>0</v>
      </c>
      <c r="L748">
        <v>0</v>
      </c>
      <c r="M748" t="s">
        <v>43</v>
      </c>
    </row>
    <row r="749" spans="1:13" x14ac:dyDescent="0.15">
      <c r="A749" t="s">
        <v>2408</v>
      </c>
      <c r="B749" t="s">
        <v>2409</v>
      </c>
      <c r="C749" t="s">
        <v>2410</v>
      </c>
      <c r="D749" t="s">
        <v>1596</v>
      </c>
      <c r="E749">
        <v>0</v>
      </c>
      <c r="F749" t="str">
        <f>HYPERLINK("https://github.com/ankidroid/Anki-Android/issues/2668", "show")</f>
        <v>show</v>
      </c>
      <c r="G749" t="str">
        <f t="shared" si="10"/>
        <v>show</v>
      </c>
      <c r="H749" t="str">
        <f t="shared" si="11"/>
        <v>show</v>
      </c>
      <c r="I749">
        <v>0</v>
      </c>
      <c r="J749">
        <v>1</v>
      </c>
      <c r="K749">
        <v>0</v>
      </c>
      <c r="L749">
        <v>0</v>
      </c>
      <c r="M749" t="s">
        <v>139</v>
      </c>
    </row>
    <row r="750" spans="1:13" x14ac:dyDescent="0.15">
      <c r="A750" t="s">
        <v>2411</v>
      </c>
      <c r="B750" t="s">
        <v>2412</v>
      </c>
      <c r="C750" t="s">
        <v>2413</v>
      </c>
      <c r="D750" t="s">
        <v>1596</v>
      </c>
      <c r="E750">
        <v>1546</v>
      </c>
      <c r="F750" t="str">
        <f>HYPERLINK("https://github.com/ankidroid/Anki-Android/issues/2660", "show")</f>
        <v>show</v>
      </c>
      <c r="G750" t="str">
        <f t="shared" si="10"/>
        <v>show</v>
      </c>
      <c r="H750" t="str">
        <f t="shared" si="11"/>
        <v>show</v>
      </c>
      <c r="I750">
        <v>0</v>
      </c>
      <c r="J750">
        <v>1</v>
      </c>
      <c r="K750">
        <v>0</v>
      </c>
      <c r="L750">
        <v>0</v>
      </c>
      <c r="M750" t="s">
        <v>139</v>
      </c>
    </row>
    <row r="751" spans="1:13" x14ac:dyDescent="0.15">
      <c r="A751" t="s">
        <v>2414</v>
      </c>
      <c r="B751" t="s">
        <v>2415</v>
      </c>
      <c r="C751" t="s">
        <v>2416</v>
      </c>
      <c r="D751" t="s">
        <v>1596</v>
      </c>
      <c r="E751">
        <v>186</v>
      </c>
      <c r="F751" t="str">
        <f>HYPERLINK("https://github.com/ankidroid/Anki-Android/issues/2657", "show")</f>
        <v>show</v>
      </c>
      <c r="G751" t="str">
        <f t="shared" si="10"/>
        <v>show</v>
      </c>
      <c r="H751" t="str">
        <f t="shared" si="11"/>
        <v>show</v>
      </c>
      <c r="I751">
        <v>0</v>
      </c>
      <c r="J751">
        <v>1</v>
      </c>
      <c r="K751">
        <v>0</v>
      </c>
      <c r="L751">
        <v>0</v>
      </c>
      <c r="M751" t="s">
        <v>139</v>
      </c>
    </row>
    <row r="752" spans="1:13" hidden="1" x14ac:dyDescent="0.15">
      <c r="A752" t="s">
        <v>2417</v>
      </c>
      <c r="B752" t="s">
        <v>2418</v>
      </c>
      <c r="C752" t="s">
        <v>2419</v>
      </c>
      <c r="D752" t="s">
        <v>1596</v>
      </c>
      <c r="E752">
        <v>0</v>
      </c>
      <c r="F752" t="str">
        <f>HYPERLINK("https://github.com/ankidroid/Anki-Android/issues/2656", "show")</f>
        <v>show</v>
      </c>
      <c r="G752" t="str">
        <f t="shared" si="10"/>
        <v>show</v>
      </c>
      <c r="H752" t="str">
        <f t="shared" si="11"/>
        <v>show</v>
      </c>
      <c r="I752">
        <v>1</v>
      </c>
      <c r="J752">
        <v>1</v>
      </c>
      <c r="K752">
        <v>0</v>
      </c>
      <c r="L752">
        <v>0</v>
      </c>
      <c r="M752" t="s">
        <v>48</v>
      </c>
    </row>
    <row r="753" spans="1:13" x14ac:dyDescent="0.15">
      <c r="A753" t="s">
        <v>2420</v>
      </c>
      <c r="B753" t="s">
        <v>2421</v>
      </c>
      <c r="C753" t="s">
        <v>2422</v>
      </c>
      <c r="D753" t="s">
        <v>1596</v>
      </c>
      <c r="E753">
        <v>0</v>
      </c>
      <c r="F753" t="str">
        <f>HYPERLINK("https://github.com/ankidroid/Anki-Android/issues/2652", "show")</f>
        <v>show</v>
      </c>
      <c r="G753" t="str">
        <f t="shared" si="10"/>
        <v>show</v>
      </c>
      <c r="H753" t="str">
        <f t="shared" si="11"/>
        <v>show</v>
      </c>
      <c r="I753">
        <v>0</v>
      </c>
      <c r="J753">
        <v>1</v>
      </c>
      <c r="K753">
        <v>0</v>
      </c>
      <c r="L753">
        <v>0</v>
      </c>
      <c r="M753" t="s">
        <v>139</v>
      </c>
    </row>
    <row r="754" spans="1:13" x14ac:dyDescent="0.15">
      <c r="A754" t="s">
        <v>2423</v>
      </c>
      <c r="B754" t="s">
        <v>2424</v>
      </c>
      <c r="C754" t="s">
        <v>2425</v>
      </c>
      <c r="D754" t="s">
        <v>1596</v>
      </c>
      <c r="E754">
        <v>0</v>
      </c>
      <c r="F754" t="str">
        <f>HYPERLINK("https://github.com/ankidroid/Anki-Android/issues/2648", "show")</f>
        <v>show</v>
      </c>
      <c r="G754" t="str">
        <f t="shared" si="10"/>
        <v>show</v>
      </c>
      <c r="H754" t="str">
        <f t="shared" si="11"/>
        <v>show</v>
      </c>
      <c r="I754">
        <v>0</v>
      </c>
      <c r="J754">
        <v>1</v>
      </c>
      <c r="K754">
        <v>0</v>
      </c>
      <c r="L754">
        <v>0</v>
      </c>
      <c r="M754" t="s">
        <v>139</v>
      </c>
    </row>
    <row r="755" spans="1:13" hidden="1" x14ac:dyDescent="0.15">
      <c r="A755" t="s">
        <v>2426</v>
      </c>
      <c r="B755" t="s">
        <v>2427</v>
      </c>
      <c r="C755" t="s">
        <v>2428</v>
      </c>
      <c r="D755" t="s">
        <v>1596</v>
      </c>
      <c r="E755">
        <v>0</v>
      </c>
      <c r="F755" t="str">
        <f>HYPERLINK("https://github.com/ankidroid/Anki-Android/issues/2645", "show")</f>
        <v>show</v>
      </c>
      <c r="G755" t="str">
        <f t="shared" si="10"/>
        <v>show</v>
      </c>
      <c r="H755" t="str">
        <f t="shared" si="11"/>
        <v>show</v>
      </c>
      <c r="I755">
        <v>1</v>
      </c>
      <c r="J755">
        <v>0</v>
      </c>
      <c r="K755">
        <v>0</v>
      </c>
      <c r="L755">
        <v>0</v>
      </c>
      <c r="M755" t="s">
        <v>17</v>
      </c>
    </row>
    <row r="756" spans="1:13" hidden="1" x14ac:dyDescent="0.15">
      <c r="A756" t="s">
        <v>2429</v>
      </c>
      <c r="B756" t="s">
        <v>2430</v>
      </c>
      <c r="C756" t="s">
        <v>2431</v>
      </c>
      <c r="D756" t="s">
        <v>1596</v>
      </c>
      <c r="E756">
        <v>0</v>
      </c>
      <c r="F756" t="str">
        <f>HYPERLINK("https://github.com/ankidroid/Anki-Android/issues/2644", "show")</f>
        <v>show</v>
      </c>
      <c r="G756" t="str">
        <f t="shared" si="10"/>
        <v>show</v>
      </c>
      <c r="H756" t="str">
        <f t="shared" si="11"/>
        <v>show</v>
      </c>
      <c r="I756">
        <v>1</v>
      </c>
      <c r="J756">
        <v>0</v>
      </c>
      <c r="K756">
        <v>0</v>
      </c>
      <c r="L756">
        <v>0</v>
      </c>
      <c r="M756" t="s">
        <v>17</v>
      </c>
    </row>
    <row r="757" spans="1:13" hidden="1" x14ac:dyDescent="0.15">
      <c r="A757" t="s">
        <v>2432</v>
      </c>
      <c r="B757" t="s">
        <v>2433</v>
      </c>
      <c r="C757" t="s">
        <v>2434</v>
      </c>
      <c r="D757" t="s">
        <v>1596</v>
      </c>
      <c r="E757">
        <v>0</v>
      </c>
      <c r="F757" t="str">
        <f>HYPERLINK("https://github.com/ankidroid/Anki-Android/issues/2641", "show")</f>
        <v>show</v>
      </c>
      <c r="G757" t="str">
        <f t="shared" si="10"/>
        <v>show</v>
      </c>
      <c r="H757" t="str">
        <f t="shared" si="11"/>
        <v>show</v>
      </c>
      <c r="I757">
        <v>0</v>
      </c>
      <c r="J757">
        <v>0</v>
      </c>
      <c r="K757">
        <v>0</v>
      </c>
      <c r="L757">
        <v>1</v>
      </c>
      <c r="M757" t="s">
        <v>581</v>
      </c>
    </row>
    <row r="758" spans="1:13" x14ac:dyDescent="0.15">
      <c r="A758" t="s">
        <v>2435</v>
      </c>
      <c r="B758" t="s">
        <v>2436</v>
      </c>
      <c r="C758" t="s">
        <v>2437</v>
      </c>
      <c r="D758" t="s">
        <v>1596</v>
      </c>
      <c r="E758">
        <v>0</v>
      </c>
      <c r="F758" t="str">
        <f>HYPERLINK("https://github.com/ankidroid/Anki-Android/issues/2639", "show")</f>
        <v>show</v>
      </c>
      <c r="G758" t="str">
        <f t="shared" si="10"/>
        <v>show</v>
      </c>
      <c r="H758" t="str">
        <f t="shared" si="11"/>
        <v>show</v>
      </c>
      <c r="I758">
        <v>0</v>
      </c>
      <c r="J758">
        <v>1</v>
      </c>
      <c r="K758">
        <v>0</v>
      </c>
      <c r="L758">
        <v>0</v>
      </c>
      <c r="M758" t="s">
        <v>139</v>
      </c>
    </row>
    <row r="759" spans="1:13" x14ac:dyDescent="0.15">
      <c r="A759" t="s">
        <v>2438</v>
      </c>
      <c r="B759" t="s">
        <v>2439</v>
      </c>
      <c r="C759" t="s">
        <v>2440</v>
      </c>
      <c r="D759" t="s">
        <v>1596</v>
      </c>
      <c r="E759">
        <v>0</v>
      </c>
      <c r="F759" t="str">
        <f>HYPERLINK("https://github.com/ankidroid/Anki-Android/issues/2638", "show")</f>
        <v>show</v>
      </c>
      <c r="G759" t="str">
        <f t="shared" si="10"/>
        <v>show</v>
      </c>
      <c r="H759" t="str">
        <f t="shared" si="11"/>
        <v>show</v>
      </c>
      <c r="I759">
        <v>0</v>
      </c>
      <c r="J759">
        <v>1</v>
      </c>
      <c r="K759">
        <v>0</v>
      </c>
      <c r="L759">
        <v>0</v>
      </c>
      <c r="M759" t="s">
        <v>139</v>
      </c>
    </row>
    <row r="760" spans="1:13" hidden="1" x14ac:dyDescent="0.15">
      <c r="A760" t="s">
        <v>2441</v>
      </c>
      <c r="B760" t="s">
        <v>2442</v>
      </c>
      <c r="C760" t="s">
        <v>2443</v>
      </c>
      <c r="D760" t="s">
        <v>1596</v>
      </c>
      <c r="E760">
        <v>0</v>
      </c>
      <c r="F760" t="str">
        <f>HYPERLINK("https://github.com/ankidroid/Anki-Android/issues/2637", "show")</f>
        <v>show</v>
      </c>
      <c r="G760" t="str">
        <f t="shared" si="10"/>
        <v>show</v>
      </c>
      <c r="H760" t="str">
        <f t="shared" si="11"/>
        <v>show</v>
      </c>
      <c r="I760">
        <v>1</v>
      </c>
      <c r="J760">
        <v>1</v>
      </c>
      <c r="K760">
        <v>0</v>
      </c>
      <c r="L760">
        <v>0</v>
      </c>
      <c r="M760" t="s">
        <v>48</v>
      </c>
    </row>
    <row r="761" spans="1:13" hidden="1" x14ac:dyDescent="0.15">
      <c r="A761" t="s">
        <v>2444</v>
      </c>
      <c r="B761" t="s">
        <v>2445</v>
      </c>
      <c r="C761" t="s">
        <v>2446</v>
      </c>
      <c r="D761" t="s">
        <v>1596</v>
      </c>
      <c r="E761">
        <v>0</v>
      </c>
      <c r="F761" t="str">
        <f>HYPERLINK("https://github.com/ankidroid/Anki-Android/issues/2636", "show")</f>
        <v>show</v>
      </c>
      <c r="G761" t="str">
        <f t="shared" si="10"/>
        <v>show</v>
      </c>
      <c r="H761" t="str">
        <f t="shared" si="11"/>
        <v>show</v>
      </c>
      <c r="I761">
        <v>0</v>
      </c>
      <c r="J761">
        <v>0</v>
      </c>
      <c r="K761">
        <v>0</v>
      </c>
      <c r="L761">
        <v>0</v>
      </c>
      <c r="M761" t="s">
        <v>43</v>
      </c>
    </row>
    <row r="762" spans="1:13" hidden="1" x14ac:dyDescent="0.15">
      <c r="A762" t="s">
        <v>2447</v>
      </c>
      <c r="B762" t="s">
        <v>2448</v>
      </c>
      <c r="C762" t="s">
        <v>2449</v>
      </c>
      <c r="D762" t="s">
        <v>1596</v>
      </c>
      <c r="E762">
        <v>0</v>
      </c>
      <c r="F762" t="str">
        <f>HYPERLINK("https://github.com/ankidroid/Anki-Android/issues/2629", "show")</f>
        <v>show</v>
      </c>
      <c r="G762" t="str">
        <f t="shared" si="10"/>
        <v>show</v>
      </c>
      <c r="H762" t="str">
        <f t="shared" si="11"/>
        <v>show</v>
      </c>
      <c r="I762">
        <v>0</v>
      </c>
      <c r="J762">
        <v>0</v>
      </c>
      <c r="K762">
        <v>0</v>
      </c>
      <c r="L762">
        <v>0</v>
      </c>
      <c r="M762" t="s">
        <v>43</v>
      </c>
    </row>
    <row r="763" spans="1:13" x14ac:dyDescent="0.15">
      <c r="A763" t="s">
        <v>2450</v>
      </c>
      <c r="B763" t="s">
        <v>2451</v>
      </c>
      <c r="C763" t="s">
        <v>2452</v>
      </c>
      <c r="D763" t="s">
        <v>1596</v>
      </c>
      <c r="E763">
        <v>0</v>
      </c>
      <c r="F763" t="str">
        <f>HYPERLINK("https://github.com/ankidroid/Anki-Android/issues/2628", "show")</f>
        <v>show</v>
      </c>
      <c r="G763" t="str">
        <f t="shared" si="10"/>
        <v>show</v>
      </c>
      <c r="H763" t="str">
        <f t="shared" si="11"/>
        <v>show</v>
      </c>
      <c r="I763">
        <v>0</v>
      </c>
      <c r="J763">
        <v>1</v>
      </c>
      <c r="K763">
        <v>0</v>
      </c>
      <c r="L763">
        <v>0</v>
      </c>
      <c r="M763" t="s">
        <v>139</v>
      </c>
    </row>
    <row r="764" spans="1:13" x14ac:dyDescent="0.15">
      <c r="A764" t="s">
        <v>2453</v>
      </c>
      <c r="B764" t="s">
        <v>2454</v>
      </c>
      <c r="C764" t="s">
        <v>2455</v>
      </c>
      <c r="D764" t="s">
        <v>1596</v>
      </c>
      <c r="E764">
        <v>0</v>
      </c>
      <c r="F764" t="str">
        <f>HYPERLINK("https://github.com/ankidroid/Anki-Android/issues/2625", "show")</f>
        <v>show</v>
      </c>
      <c r="G764" t="str">
        <f t="shared" si="10"/>
        <v>show</v>
      </c>
      <c r="H764" t="str">
        <f t="shared" si="11"/>
        <v>show</v>
      </c>
      <c r="I764">
        <v>0</v>
      </c>
      <c r="J764">
        <v>1</v>
      </c>
      <c r="K764">
        <v>0</v>
      </c>
      <c r="L764">
        <v>0</v>
      </c>
      <c r="M764" t="s">
        <v>139</v>
      </c>
    </row>
    <row r="765" spans="1:13" hidden="1" x14ac:dyDescent="0.15">
      <c r="A765" t="s">
        <v>2456</v>
      </c>
      <c r="B765" t="s">
        <v>2457</v>
      </c>
      <c r="C765" t="s">
        <v>2458</v>
      </c>
      <c r="D765" t="s">
        <v>1596</v>
      </c>
      <c r="E765">
        <v>0</v>
      </c>
      <c r="F765" t="str">
        <f>HYPERLINK("https://github.com/ankidroid/Anki-Android/issues/2619", "show")</f>
        <v>show</v>
      </c>
      <c r="G765" t="str">
        <f t="shared" si="10"/>
        <v>show</v>
      </c>
      <c r="H765" t="str">
        <f t="shared" si="11"/>
        <v>show</v>
      </c>
      <c r="I765">
        <v>0</v>
      </c>
      <c r="J765">
        <v>0</v>
      </c>
      <c r="K765">
        <v>0</v>
      </c>
      <c r="L765">
        <v>0</v>
      </c>
      <c r="M765" t="s">
        <v>43</v>
      </c>
    </row>
    <row r="766" spans="1:13" x14ac:dyDescent="0.15">
      <c r="A766" t="s">
        <v>2459</v>
      </c>
      <c r="B766" t="s">
        <v>2460</v>
      </c>
      <c r="C766" t="s">
        <v>2461</v>
      </c>
      <c r="D766" t="s">
        <v>1596</v>
      </c>
      <c r="E766">
        <v>0</v>
      </c>
      <c r="F766" t="str">
        <f>HYPERLINK("https://github.com/ankidroid/Anki-Android/issues/2615", "show")</f>
        <v>show</v>
      </c>
      <c r="G766" t="str">
        <f t="shared" si="10"/>
        <v>show</v>
      </c>
      <c r="H766" t="str">
        <f t="shared" si="11"/>
        <v>show</v>
      </c>
      <c r="I766">
        <v>0</v>
      </c>
      <c r="J766">
        <v>1</v>
      </c>
      <c r="K766">
        <v>0</v>
      </c>
      <c r="L766">
        <v>0</v>
      </c>
      <c r="M766" t="s">
        <v>139</v>
      </c>
    </row>
    <row r="767" spans="1:13" hidden="1" x14ac:dyDescent="0.15">
      <c r="A767" t="s">
        <v>2462</v>
      </c>
      <c r="B767" t="s">
        <v>2463</v>
      </c>
      <c r="C767" t="s">
        <v>2464</v>
      </c>
      <c r="D767" t="s">
        <v>1596</v>
      </c>
      <c r="E767">
        <v>0</v>
      </c>
      <c r="F767" t="str">
        <f>HYPERLINK("https://github.com/ankidroid/Anki-Android/issues/2612", "show")</f>
        <v>show</v>
      </c>
      <c r="G767" t="str">
        <f t="shared" si="10"/>
        <v>show</v>
      </c>
      <c r="H767" t="str">
        <f t="shared" si="11"/>
        <v>show</v>
      </c>
      <c r="I767">
        <v>1</v>
      </c>
      <c r="J767">
        <v>0</v>
      </c>
      <c r="K767">
        <v>0</v>
      </c>
      <c r="L767">
        <v>0</v>
      </c>
      <c r="M767" t="s">
        <v>17</v>
      </c>
    </row>
    <row r="768" spans="1:13" x14ac:dyDescent="0.15">
      <c r="A768" t="s">
        <v>2465</v>
      </c>
      <c r="B768" t="s">
        <v>2466</v>
      </c>
      <c r="C768" t="s">
        <v>2467</v>
      </c>
      <c r="D768" t="s">
        <v>1596</v>
      </c>
      <c r="E768">
        <v>0</v>
      </c>
      <c r="F768" t="str">
        <f>HYPERLINK("https://github.com/ankidroid/Anki-Android/issues/2606", "show")</f>
        <v>show</v>
      </c>
      <c r="G768" t="str">
        <f t="shared" si="10"/>
        <v>show</v>
      </c>
      <c r="H768" t="str">
        <f t="shared" si="11"/>
        <v>show</v>
      </c>
      <c r="I768">
        <v>0</v>
      </c>
      <c r="J768">
        <v>1</v>
      </c>
      <c r="K768">
        <v>0</v>
      </c>
      <c r="L768">
        <v>0</v>
      </c>
      <c r="M768" t="s">
        <v>139</v>
      </c>
    </row>
    <row r="769" spans="1:13" x14ac:dyDescent="0.15">
      <c r="A769" t="s">
        <v>2468</v>
      </c>
      <c r="B769" t="s">
        <v>2469</v>
      </c>
      <c r="C769" t="s">
        <v>2470</v>
      </c>
      <c r="D769" t="s">
        <v>1596</v>
      </c>
      <c r="E769">
        <v>0</v>
      </c>
      <c r="F769" t="str">
        <f>HYPERLINK("https://github.com/ankidroid/Anki-Android/issues/2603", "show")</f>
        <v>show</v>
      </c>
      <c r="G769" t="str">
        <f t="shared" si="10"/>
        <v>show</v>
      </c>
      <c r="H769" t="str">
        <f t="shared" si="11"/>
        <v>show</v>
      </c>
      <c r="I769">
        <v>0</v>
      </c>
      <c r="J769">
        <v>1</v>
      </c>
      <c r="K769">
        <v>0</v>
      </c>
      <c r="L769">
        <v>0</v>
      </c>
      <c r="M769" t="s">
        <v>139</v>
      </c>
    </row>
    <row r="770" spans="1:13" x14ac:dyDescent="0.15">
      <c r="A770" t="s">
        <v>2471</v>
      </c>
      <c r="B770" t="s">
        <v>2472</v>
      </c>
      <c r="C770" t="s">
        <v>2473</v>
      </c>
      <c r="D770" t="s">
        <v>1596</v>
      </c>
      <c r="E770">
        <v>0</v>
      </c>
      <c r="F770" t="str">
        <f>HYPERLINK("https://github.com/ankidroid/Anki-Android/issues/2602", "show")</f>
        <v>show</v>
      </c>
      <c r="G770" t="str">
        <f t="shared" si="10"/>
        <v>show</v>
      </c>
      <c r="H770" t="str">
        <f t="shared" si="11"/>
        <v>show</v>
      </c>
      <c r="I770">
        <v>0</v>
      </c>
      <c r="J770">
        <v>1</v>
      </c>
      <c r="K770">
        <v>0</v>
      </c>
      <c r="L770">
        <v>0</v>
      </c>
      <c r="M770" t="s">
        <v>139</v>
      </c>
    </row>
    <row r="771" spans="1:13" x14ac:dyDescent="0.15">
      <c r="A771" t="s">
        <v>2474</v>
      </c>
      <c r="B771" t="s">
        <v>2475</v>
      </c>
      <c r="C771" t="s">
        <v>2476</v>
      </c>
      <c r="D771" t="s">
        <v>1596</v>
      </c>
      <c r="E771">
        <v>0</v>
      </c>
      <c r="F771" t="str">
        <f>HYPERLINK("https://github.com/ankidroid/Anki-Android/issues/2601", "show")</f>
        <v>show</v>
      </c>
      <c r="G771" t="str">
        <f t="shared" si="10"/>
        <v>show</v>
      </c>
      <c r="H771" t="str">
        <f t="shared" si="11"/>
        <v>show</v>
      </c>
      <c r="I771">
        <v>0</v>
      </c>
      <c r="J771">
        <v>1</v>
      </c>
      <c r="K771">
        <v>0</v>
      </c>
      <c r="L771">
        <v>0</v>
      </c>
      <c r="M771" t="s">
        <v>139</v>
      </c>
    </row>
    <row r="772" spans="1:13" hidden="1" x14ac:dyDescent="0.15">
      <c r="A772" t="s">
        <v>2477</v>
      </c>
      <c r="B772" t="s">
        <v>2478</v>
      </c>
      <c r="C772" t="s">
        <v>2479</v>
      </c>
      <c r="D772" t="s">
        <v>1596</v>
      </c>
      <c r="E772">
        <v>0</v>
      </c>
      <c r="F772" t="str">
        <f>HYPERLINK("https://github.com/ankidroid/Anki-Android/issues/2598", "show")</f>
        <v>show</v>
      </c>
      <c r="G772" t="str">
        <f t="shared" si="10"/>
        <v>show</v>
      </c>
      <c r="H772" t="str">
        <f t="shared" si="11"/>
        <v>show</v>
      </c>
      <c r="I772">
        <v>0</v>
      </c>
      <c r="J772">
        <v>0</v>
      </c>
      <c r="K772">
        <v>0</v>
      </c>
      <c r="L772">
        <v>0</v>
      </c>
      <c r="M772" t="s">
        <v>43</v>
      </c>
    </row>
    <row r="773" spans="1:13" x14ac:dyDescent="0.15">
      <c r="A773" t="s">
        <v>2480</v>
      </c>
      <c r="B773" t="s">
        <v>2481</v>
      </c>
      <c r="C773" t="s">
        <v>2482</v>
      </c>
      <c r="D773" t="s">
        <v>1596</v>
      </c>
      <c r="E773">
        <v>0</v>
      </c>
      <c r="F773" t="str">
        <f>HYPERLINK("https://github.com/ankidroid/Anki-Android/issues/2597", "show")</f>
        <v>show</v>
      </c>
      <c r="G773" t="str">
        <f t="shared" si="10"/>
        <v>show</v>
      </c>
      <c r="H773" t="str">
        <f t="shared" si="11"/>
        <v>show</v>
      </c>
      <c r="I773">
        <v>0</v>
      </c>
      <c r="J773">
        <v>1</v>
      </c>
      <c r="K773">
        <v>0</v>
      </c>
      <c r="L773">
        <v>0</v>
      </c>
      <c r="M773" t="s">
        <v>139</v>
      </c>
    </row>
    <row r="774" spans="1:13" x14ac:dyDescent="0.15">
      <c r="A774" t="s">
        <v>2483</v>
      </c>
      <c r="B774" t="s">
        <v>2484</v>
      </c>
      <c r="C774" t="s">
        <v>2485</v>
      </c>
      <c r="D774" t="s">
        <v>1596</v>
      </c>
      <c r="E774">
        <v>0</v>
      </c>
      <c r="F774" t="str">
        <f>HYPERLINK("https://github.com/ankidroid/Anki-Android/issues/2596", "show")</f>
        <v>show</v>
      </c>
      <c r="G774" t="str">
        <f t="shared" si="10"/>
        <v>show</v>
      </c>
      <c r="H774" t="str">
        <f t="shared" si="11"/>
        <v>show</v>
      </c>
      <c r="I774">
        <v>0</v>
      </c>
      <c r="J774">
        <v>1</v>
      </c>
      <c r="K774">
        <v>0</v>
      </c>
      <c r="L774">
        <v>0</v>
      </c>
      <c r="M774" t="s">
        <v>139</v>
      </c>
    </row>
    <row r="775" spans="1:13" hidden="1" x14ac:dyDescent="0.15">
      <c r="A775" t="s">
        <v>2486</v>
      </c>
      <c r="B775" t="s">
        <v>2487</v>
      </c>
      <c r="C775" t="s">
        <v>2488</v>
      </c>
      <c r="D775" t="s">
        <v>1596</v>
      </c>
      <c r="E775">
        <v>0</v>
      </c>
      <c r="F775" t="str">
        <f>HYPERLINK("https://github.com/ankidroid/Anki-Android/issues/2595", "show")</f>
        <v>show</v>
      </c>
      <c r="G775" t="str">
        <f t="shared" si="10"/>
        <v>show</v>
      </c>
      <c r="H775" t="str">
        <f t="shared" si="11"/>
        <v>show</v>
      </c>
      <c r="I775">
        <v>0</v>
      </c>
      <c r="J775">
        <v>1</v>
      </c>
      <c r="K775">
        <v>0</v>
      </c>
      <c r="L775">
        <v>1</v>
      </c>
      <c r="M775" t="s">
        <v>1732</v>
      </c>
    </row>
    <row r="776" spans="1:13" hidden="1" x14ac:dyDescent="0.15">
      <c r="A776" t="s">
        <v>2489</v>
      </c>
      <c r="B776" t="s">
        <v>2490</v>
      </c>
      <c r="C776" t="s">
        <v>2491</v>
      </c>
      <c r="D776" t="s">
        <v>1596</v>
      </c>
      <c r="E776">
        <v>0</v>
      </c>
      <c r="F776" t="str">
        <f>HYPERLINK("https://github.com/ankidroid/Anki-Android/issues/2592", "show")</f>
        <v>show</v>
      </c>
      <c r="G776" t="str">
        <f t="shared" si="10"/>
        <v>show</v>
      </c>
      <c r="H776" t="str">
        <f t="shared" si="11"/>
        <v>show</v>
      </c>
      <c r="I776">
        <v>1</v>
      </c>
      <c r="J776">
        <v>0</v>
      </c>
      <c r="K776">
        <v>0</v>
      </c>
      <c r="L776">
        <v>0</v>
      </c>
      <c r="M776" t="s">
        <v>17</v>
      </c>
    </row>
    <row r="777" spans="1:13" x14ac:dyDescent="0.15">
      <c r="A777" t="s">
        <v>2492</v>
      </c>
      <c r="B777" t="s">
        <v>2493</v>
      </c>
      <c r="C777" t="s">
        <v>2494</v>
      </c>
      <c r="D777" t="s">
        <v>1596</v>
      </c>
      <c r="E777">
        <v>0</v>
      </c>
      <c r="F777" t="str">
        <f>HYPERLINK("https://github.com/ankidroid/Anki-Android/issues/2583", "show")</f>
        <v>show</v>
      </c>
      <c r="G777" t="str">
        <f t="shared" si="10"/>
        <v>show</v>
      </c>
      <c r="H777" t="str">
        <f t="shared" si="11"/>
        <v>show</v>
      </c>
      <c r="I777">
        <v>0</v>
      </c>
      <c r="J777">
        <v>1</v>
      </c>
      <c r="K777">
        <v>0</v>
      </c>
      <c r="L777">
        <v>0</v>
      </c>
      <c r="M777" t="s">
        <v>139</v>
      </c>
    </row>
    <row r="778" spans="1:13" x14ac:dyDescent="0.15">
      <c r="A778" t="s">
        <v>2495</v>
      </c>
      <c r="B778" t="s">
        <v>2496</v>
      </c>
      <c r="C778" t="s">
        <v>2497</v>
      </c>
      <c r="D778" t="s">
        <v>1596</v>
      </c>
      <c r="E778">
        <v>0</v>
      </c>
      <c r="F778" t="str">
        <f>HYPERLINK("https://github.com/ankidroid/Anki-Android/issues/2579", "show")</f>
        <v>show</v>
      </c>
      <c r="G778" t="str">
        <f t="shared" si="10"/>
        <v>show</v>
      </c>
      <c r="H778" t="str">
        <f t="shared" si="11"/>
        <v>show</v>
      </c>
      <c r="I778">
        <v>0</v>
      </c>
      <c r="J778">
        <v>1</v>
      </c>
      <c r="K778">
        <v>0</v>
      </c>
      <c r="L778">
        <v>0</v>
      </c>
      <c r="M778" t="s">
        <v>139</v>
      </c>
    </row>
    <row r="779" spans="1:13" hidden="1" x14ac:dyDescent="0.15">
      <c r="A779" t="s">
        <v>2498</v>
      </c>
      <c r="B779" t="s">
        <v>2499</v>
      </c>
      <c r="C779" t="s">
        <v>2500</v>
      </c>
      <c r="D779" t="s">
        <v>1596</v>
      </c>
      <c r="E779">
        <v>0</v>
      </c>
      <c r="F779" t="str">
        <f>HYPERLINK("https://github.com/ankidroid/Anki-Android/issues/2573", "show")</f>
        <v>show</v>
      </c>
      <c r="G779" t="str">
        <f t="shared" si="10"/>
        <v>show</v>
      </c>
      <c r="H779" t="str">
        <f t="shared" si="11"/>
        <v>show</v>
      </c>
      <c r="I779">
        <v>1</v>
      </c>
      <c r="J779">
        <v>0</v>
      </c>
      <c r="K779">
        <v>0</v>
      </c>
      <c r="L779">
        <v>0</v>
      </c>
      <c r="M779" t="s">
        <v>17</v>
      </c>
    </row>
    <row r="780" spans="1:13" hidden="1" x14ac:dyDescent="0.15">
      <c r="A780" t="s">
        <v>2501</v>
      </c>
      <c r="B780" t="s">
        <v>2502</v>
      </c>
      <c r="C780" t="s">
        <v>2503</v>
      </c>
      <c r="D780" t="s">
        <v>1596</v>
      </c>
      <c r="E780">
        <v>0</v>
      </c>
      <c r="F780" t="str">
        <f>HYPERLINK("https://github.com/ankidroid/Anki-Android/issues/2572", "show")</f>
        <v>show</v>
      </c>
      <c r="G780" t="str">
        <f t="shared" si="10"/>
        <v>show</v>
      </c>
      <c r="H780" t="str">
        <f t="shared" si="11"/>
        <v>show</v>
      </c>
      <c r="I780">
        <v>1</v>
      </c>
      <c r="J780">
        <v>1</v>
      </c>
      <c r="K780">
        <v>0</v>
      </c>
      <c r="L780">
        <v>0</v>
      </c>
      <c r="M780" t="s">
        <v>48</v>
      </c>
    </row>
    <row r="781" spans="1:13" hidden="1" x14ac:dyDescent="0.15">
      <c r="A781" t="s">
        <v>2504</v>
      </c>
      <c r="B781" t="s">
        <v>2505</v>
      </c>
      <c r="C781" t="s">
        <v>2506</v>
      </c>
      <c r="D781" t="s">
        <v>1596</v>
      </c>
      <c r="E781">
        <v>0</v>
      </c>
      <c r="F781" t="str">
        <f>HYPERLINK("https://github.com/ankidroid/Anki-Android/issues/2571", "show")</f>
        <v>show</v>
      </c>
      <c r="G781" t="str">
        <f t="shared" si="10"/>
        <v>show</v>
      </c>
      <c r="H781" t="str">
        <f t="shared" si="11"/>
        <v>show</v>
      </c>
      <c r="I781">
        <v>1</v>
      </c>
      <c r="J781">
        <v>1</v>
      </c>
      <c r="K781">
        <v>0</v>
      </c>
      <c r="L781">
        <v>0</v>
      </c>
      <c r="M781" t="s">
        <v>48</v>
      </c>
    </row>
    <row r="782" spans="1:13" x14ac:dyDescent="0.15">
      <c r="A782" t="s">
        <v>2507</v>
      </c>
      <c r="B782" t="s">
        <v>2508</v>
      </c>
      <c r="C782" t="s">
        <v>2509</v>
      </c>
      <c r="D782" t="s">
        <v>1596</v>
      </c>
      <c r="E782">
        <v>0</v>
      </c>
      <c r="F782" t="str">
        <f>HYPERLINK("https://github.com/ankidroid/Anki-Android/issues/2570", "show")</f>
        <v>show</v>
      </c>
      <c r="G782" t="str">
        <f t="shared" si="10"/>
        <v>show</v>
      </c>
      <c r="H782" t="str">
        <f t="shared" si="11"/>
        <v>show</v>
      </c>
      <c r="I782">
        <v>0</v>
      </c>
      <c r="J782">
        <v>1</v>
      </c>
      <c r="K782">
        <v>0</v>
      </c>
      <c r="L782">
        <v>0</v>
      </c>
      <c r="M782" t="s">
        <v>139</v>
      </c>
    </row>
    <row r="783" spans="1:13" hidden="1" x14ac:dyDescent="0.15">
      <c r="A783" t="s">
        <v>2510</v>
      </c>
      <c r="B783" t="s">
        <v>2511</v>
      </c>
      <c r="C783" t="s">
        <v>2512</v>
      </c>
      <c r="D783" t="s">
        <v>1596</v>
      </c>
      <c r="E783">
        <v>0</v>
      </c>
      <c r="F783" t="str">
        <f>HYPERLINK("https://github.com/ankidroid/Anki-Android/issues/2568", "show")</f>
        <v>show</v>
      </c>
      <c r="G783" t="str">
        <f t="shared" si="10"/>
        <v>show</v>
      </c>
      <c r="H783" t="str">
        <f t="shared" si="11"/>
        <v>show</v>
      </c>
      <c r="I783">
        <v>1</v>
      </c>
      <c r="J783">
        <v>1</v>
      </c>
      <c r="K783">
        <v>0</v>
      </c>
      <c r="L783">
        <v>0</v>
      </c>
      <c r="M783" t="s">
        <v>48</v>
      </c>
    </row>
    <row r="784" spans="1:13" hidden="1" x14ac:dyDescent="0.15">
      <c r="A784" t="s">
        <v>2513</v>
      </c>
      <c r="B784" t="s">
        <v>2514</v>
      </c>
      <c r="C784" t="s">
        <v>2515</v>
      </c>
      <c r="D784" t="s">
        <v>1596</v>
      </c>
      <c r="E784">
        <v>0</v>
      </c>
      <c r="F784" t="str">
        <f>HYPERLINK("https://github.com/ankidroid/Anki-Android/issues/2567", "show")</f>
        <v>show</v>
      </c>
      <c r="G784" t="str">
        <f t="shared" si="10"/>
        <v>show</v>
      </c>
      <c r="H784" t="str">
        <f t="shared" si="11"/>
        <v>show</v>
      </c>
      <c r="I784">
        <v>1</v>
      </c>
      <c r="J784">
        <v>0</v>
      </c>
      <c r="K784">
        <v>0</v>
      </c>
      <c r="L784">
        <v>0</v>
      </c>
      <c r="M784" t="s">
        <v>17</v>
      </c>
    </row>
    <row r="785" spans="1:13" hidden="1" x14ac:dyDescent="0.15">
      <c r="A785" t="s">
        <v>2516</v>
      </c>
      <c r="B785" t="s">
        <v>2517</v>
      </c>
      <c r="C785" t="s">
        <v>2518</v>
      </c>
      <c r="D785" t="s">
        <v>1596</v>
      </c>
      <c r="E785">
        <v>0</v>
      </c>
      <c r="F785" t="str">
        <f>HYPERLINK("https://github.com/ankidroid/Anki-Android/issues/2566", "show")</f>
        <v>show</v>
      </c>
      <c r="G785" t="str">
        <f t="shared" si="10"/>
        <v>show</v>
      </c>
      <c r="H785" t="str">
        <f t="shared" si="11"/>
        <v>show</v>
      </c>
      <c r="I785">
        <v>0</v>
      </c>
      <c r="J785">
        <v>0</v>
      </c>
      <c r="K785">
        <v>0</v>
      </c>
      <c r="L785">
        <v>0</v>
      </c>
      <c r="M785" t="s">
        <v>43</v>
      </c>
    </row>
    <row r="786" spans="1:13" x14ac:dyDescent="0.15">
      <c r="A786" t="s">
        <v>2519</v>
      </c>
      <c r="B786" t="s">
        <v>2520</v>
      </c>
      <c r="C786" t="s">
        <v>2521</v>
      </c>
      <c r="D786" t="s">
        <v>1596</v>
      </c>
      <c r="E786">
        <v>0</v>
      </c>
      <c r="F786" t="str">
        <f>HYPERLINK("https://github.com/ankidroid/Anki-Android/issues/2564", "show")</f>
        <v>show</v>
      </c>
      <c r="G786" t="str">
        <f t="shared" si="10"/>
        <v>show</v>
      </c>
      <c r="H786" t="str">
        <f t="shared" si="11"/>
        <v>show</v>
      </c>
      <c r="I786">
        <v>0</v>
      </c>
      <c r="J786">
        <v>1</v>
      </c>
      <c r="K786">
        <v>0</v>
      </c>
      <c r="L786">
        <v>0</v>
      </c>
      <c r="M786" t="s">
        <v>139</v>
      </c>
    </row>
    <row r="787" spans="1:13" hidden="1" x14ac:dyDescent="0.15">
      <c r="A787" t="s">
        <v>2522</v>
      </c>
      <c r="B787" t="s">
        <v>2523</v>
      </c>
      <c r="C787" t="s">
        <v>2524</v>
      </c>
      <c r="D787" t="s">
        <v>1596</v>
      </c>
      <c r="E787">
        <v>0</v>
      </c>
      <c r="F787" t="str">
        <f>HYPERLINK("https://github.com/ankidroid/Anki-Android/issues/2563", "show")</f>
        <v>show</v>
      </c>
      <c r="G787" t="str">
        <f t="shared" si="10"/>
        <v>show</v>
      </c>
      <c r="H787" t="str">
        <f t="shared" si="11"/>
        <v>show</v>
      </c>
      <c r="I787">
        <v>1</v>
      </c>
      <c r="J787">
        <v>1</v>
      </c>
      <c r="K787">
        <v>0</v>
      </c>
      <c r="L787">
        <v>0</v>
      </c>
      <c r="M787" t="s">
        <v>48</v>
      </c>
    </row>
    <row r="788" spans="1:13" x14ac:dyDescent="0.15">
      <c r="A788" t="s">
        <v>2525</v>
      </c>
      <c r="B788" t="s">
        <v>2526</v>
      </c>
      <c r="C788" t="s">
        <v>2527</v>
      </c>
      <c r="D788" t="s">
        <v>1596</v>
      </c>
      <c r="E788">
        <v>0</v>
      </c>
      <c r="F788" t="str">
        <f>HYPERLINK("https://github.com/ankidroid/Anki-Android/issues/2561", "show")</f>
        <v>show</v>
      </c>
      <c r="G788" t="str">
        <f t="shared" si="10"/>
        <v>show</v>
      </c>
      <c r="H788" t="str">
        <f t="shared" si="11"/>
        <v>show</v>
      </c>
      <c r="I788">
        <v>0</v>
      </c>
      <c r="J788">
        <v>1</v>
      </c>
      <c r="K788">
        <v>0</v>
      </c>
      <c r="L788">
        <v>0</v>
      </c>
      <c r="M788" t="s">
        <v>139</v>
      </c>
    </row>
    <row r="789" spans="1:13" hidden="1" x14ac:dyDescent="0.15">
      <c r="A789" t="s">
        <v>2528</v>
      </c>
      <c r="B789" t="s">
        <v>2529</v>
      </c>
      <c r="C789" t="s">
        <v>2530</v>
      </c>
      <c r="D789" t="s">
        <v>1596</v>
      </c>
      <c r="E789">
        <v>0</v>
      </c>
      <c r="F789" t="str">
        <f>HYPERLINK("https://github.com/ankidroid/Anki-Android/issues/2560", "show")</f>
        <v>show</v>
      </c>
      <c r="G789" t="str">
        <f t="shared" si="10"/>
        <v>show</v>
      </c>
      <c r="H789" t="str">
        <f t="shared" si="11"/>
        <v>show</v>
      </c>
      <c r="I789">
        <v>0</v>
      </c>
      <c r="J789">
        <v>0</v>
      </c>
      <c r="K789">
        <v>0</v>
      </c>
      <c r="L789">
        <v>0</v>
      </c>
      <c r="M789" t="s">
        <v>43</v>
      </c>
    </row>
    <row r="790" spans="1:13" x14ac:dyDescent="0.15">
      <c r="A790" t="s">
        <v>2531</v>
      </c>
      <c r="B790" t="s">
        <v>2532</v>
      </c>
      <c r="C790" t="s">
        <v>2533</v>
      </c>
      <c r="D790" t="s">
        <v>1596</v>
      </c>
      <c r="E790">
        <v>0</v>
      </c>
      <c r="F790" t="str">
        <f>HYPERLINK("https://github.com/ankidroid/Anki-Android/issues/2559", "show")</f>
        <v>show</v>
      </c>
      <c r="G790" t="str">
        <f t="shared" si="10"/>
        <v>show</v>
      </c>
      <c r="H790" t="str">
        <f t="shared" si="11"/>
        <v>show</v>
      </c>
      <c r="I790">
        <v>0</v>
      </c>
      <c r="J790">
        <v>1</v>
      </c>
      <c r="K790">
        <v>0</v>
      </c>
      <c r="L790">
        <v>0</v>
      </c>
      <c r="M790" t="s">
        <v>139</v>
      </c>
    </row>
    <row r="791" spans="1:13" x14ac:dyDescent="0.15">
      <c r="A791" t="s">
        <v>2534</v>
      </c>
      <c r="B791" t="s">
        <v>2535</v>
      </c>
      <c r="C791" t="s">
        <v>2536</v>
      </c>
      <c r="D791" t="s">
        <v>1596</v>
      </c>
      <c r="E791">
        <v>0</v>
      </c>
      <c r="F791" t="str">
        <f>HYPERLINK("https://github.com/ankidroid/Anki-Android/issues/2558", "show")</f>
        <v>show</v>
      </c>
      <c r="G791" t="str">
        <f t="shared" si="10"/>
        <v>show</v>
      </c>
      <c r="H791" t="str">
        <f t="shared" si="11"/>
        <v>show</v>
      </c>
      <c r="I791">
        <v>0</v>
      </c>
      <c r="J791">
        <v>1</v>
      </c>
      <c r="K791">
        <v>0</v>
      </c>
      <c r="L791">
        <v>0</v>
      </c>
      <c r="M791" t="s">
        <v>139</v>
      </c>
    </row>
    <row r="792" spans="1:13" x14ac:dyDescent="0.15">
      <c r="A792" t="s">
        <v>2537</v>
      </c>
      <c r="B792" t="s">
        <v>2538</v>
      </c>
      <c r="C792" t="s">
        <v>2539</v>
      </c>
      <c r="D792" t="s">
        <v>1596</v>
      </c>
      <c r="E792">
        <v>0</v>
      </c>
      <c r="F792" t="str">
        <f>HYPERLINK("https://github.com/ankidroid/Anki-Android/issues/2551", "show")</f>
        <v>show</v>
      </c>
      <c r="G792" t="str">
        <f t="shared" si="10"/>
        <v>show</v>
      </c>
      <c r="H792" t="str">
        <f t="shared" si="11"/>
        <v>show</v>
      </c>
      <c r="I792">
        <v>0</v>
      </c>
      <c r="J792">
        <v>1</v>
      </c>
      <c r="K792">
        <v>0</v>
      </c>
      <c r="L792">
        <v>0</v>
      </c>
      <c r="M792" t="s">
        <v>139</v>
      </c>
    </row>
    <row r="793" spans="1:13" hidden="1" x14ac:dyDescent="0.15">
      <c r="A793" t="s">
        <v>2540</v>
      </c>
      <c r="B793" t="s">
        <v>2541</v>
      </c>
      <c r="C793" t="s">
        <v>2542</v>
      </c>
      <c r="D793" t="s">
        <v>1596</v>
      </c>
      <c r="E793">
        <v>0</v>
      </c>
      <c r="F793" t="str">
        <f>HYPERLINK("https://github.com/ankidroid/Anki-Android/issues/2539", "show")</f>
        <v>show</v>
      </c>
      <c r="G793" t="str">
        <f t="shared" si="10"/>
        <v>show</v>
      </c>
      <c r="H793" t="str">
        <f t="shared" si="11"/>
        <v>show</v>
      </c>
      <c r="I793">
        <v>0</v>
      </c>
      <c r="J793">
        <v>0</v>
      </c>
      <c r="K793">
        <v>0</v>
      </c>
      <c r="L793">
        <v>0</v>
      </c>
      <c r="M793" t="s">
        <v>43</v>
      </c>
    </row>
    <row r="794" spans="1:13" hidden="1" x14ac:dyDescent="0.15">
      <c r="A794" t="s">
        <v>2543</v>
      </c>
      <c r="B794" t="s">
        <v>2544</v>
      </c>
      <c r="C794" t="s">
        <v>2545</v>
      </c>
      <c r="D794" t="s">
        <v>1596</v>
      </c>
      <c r="E794">
        <v>0</v>
      </c>
      <c r="F794" t="str">
        <f>HYPERLINK("https://github.com/ankidroid/Anki-Android/issues/2534", "show")</f>
        <v>show</v>
      </c>
      <c r="G794" t="str">
        <f t="shared" si="10"/>
        <v>show</v>
      </c>
      <c r="H794" t="str">
        <f t="shared" si="11"/>
        <v>show</v>
      </c>
      <c r="I794">
        <v>1</v>
      </c>
      <c r="J794">
        <v>0</v>
      </c>
      <c r="K794">
        <v>0</v>
      </c>
      <c r="L794">
        <v>0</v>
      </c>
      <c r="M794" t="s">
        <v>17</v>
      </c>
    </row>
    <row r="795" spans="1:13" hidden="1" x14ac:dyDescent="0.15">
      <c r="A795" t="s">
        <v>2546</v>
      </c>
      <c r="B795" t="s">
        <v>2547</v>
      </c>
      <c r="C795" t="s">
        <v>2548</v>
      </c>
      <c r="D795" t="s">
        <v>1596</v>
      </c>
      <c r="E795">
        <v>0</v>
      </c>
      <c r="F795" t="str">
        <f>HYPERLINK("https://github.com/ankidroid/Anki-Android/issues/2530", "show")</f>
        <v>show</v>
      </c>
      <c r="G795" t="str">
        <f t="shared" si="10"/>
        <v>show</v>
      </c>
      <c r="H795" t="str">
        <f t="shared" si="11"/>
        <v>show</v>
      </c>
      <c r="I795">
        <v>1</v>
      </c>
      <c r="J795">
        <v>0</v>
      </c>
      <c r="K795">
        <v>0</v>
      </c>
      <c r="L795">
        <v>0</v>
      </c>
      <c r="M795" t="s">
        <v>17</v>
      </c>
    </row>
    <row r="796" spans="1:13" x14ac:dyDescent="0.15">
      <c r="A796" t="s">
        <v>2549</v>
      </c>
      <c r="B796" t="s">
        <v>2550</v>
      </c>
      <c r="C796" t="s">
        <v>2551</v>
      </c>
      <c r="D796" t="s">
        <v>1596</v>
      </c>
      <c r="E796">
        <v>0</v>
      </c>
      <c r="F796" t="str">
        <f>HYPERLINK("https://github.com/ankidroid/Anki-Android/issues/2529", "show")</f>
        <v>show</v>
      </c>
      <c r="G796" t="str">
        <f t="shared" si="10"/>
        <v>show</v>
      </c>
      <c r="H796" t="str">
        <f t="shared" si="11"/>
        <v>show</v>
      </c>
      <c r="I796">
        <v>0</v>
      </c>
      <c r="J796">
        <v>1</v>
      </c>
      <c r="K796">
        <v>0</v>
      </c>
      <c r="L796">
        <v>0</v>
      </c>
      <c r="M796" t="s">
        <v>139</v>
      </c>
    </row>
    <row r="797" spans="1:13" hidden="1" x14ac:dyDescent="0.15">
      <c r="A797" t="s">
        <v>2552</v>
      </c>
      <c r="B797" t="s">
        <v>2553</v>
      </c>
      <c r="C797" t="s">
        <v>2554</v>
      </c>
      <c r="D797" t="s">
        <v>1596</v>
      </c>
      <c r="E797">
        <v>0</v>
      </c>
      <c r="F797" t="str">
        <f>HYPERLINK("https://github.com/ankidroid/Anki-Android/issues/2528", "show")</f>
        <v>show</v>
      </c>
      <c r="G797" t="str">
        <f t="shared" si="10"/>
        <v>show</v>
      </c>
      <c r="H797" t="str">
        <f t="shared" si="11"/>
        <v>show</v>
      </c>
      <c r="I797">
        <v>1</v>
      </c>
      <c r="J797">
        <v>0</v>
      </c>
      <c r="K797">
        <v>0</v>
      </c>
      <c r="L797">
        <v>0</v>
      </c>
      <c r="M797" t="s">
        <v>17</v>
      </c>
    </row>
    <row r="798" spans="1:13" hidden="1" x14ac:dyDescent="0.15">
      <c r="A798" t="s">
        <v>2555</v>
      </c>
      <c r="B798" t="s">
        <v>2556</v>
      </c>
      <c r="C798" t="s">
        <v>2557</v>
      </c>
      <c r="D798" t="s">
        <v>1596</v>
      </c>
      <c r="E798">
        <v>0</v>
      </c>
      <c r="F798" t="str">
        <f>HYPERLINK("https://github.com/ankidroid/Anki-Android/issues/2522", "show")</f>
        <v>show</v>
      </c>
      <c r="G798" t="str">
        <f t="shared" si="10"/>
        <v>show</v>
      </c>
      <c r="H798" t="str">
        <f t="shared" si="11"/>
        <v>show</v>
      </c>
      <c r="I798">
        <v>0</v>
      </c>
      <c r="J798">
        <v>0</v>
      </c>
      <c r="K798">
        <v>0</v>
      </c>
      <c r="L798">
        <v>0</v>
      </c>
      <c r="M798" t="s">
        <v>43</v>
      </c>
    </row>
    <row r="799" spans="1:13" x14ac:dyDescent="0.15">
      <c r="A799" t="s">
        <v>2558</v>
      </c>
      <c r="B799" t="s">
        <v>2559</v>
      </c>
      <c r="C799" t="s">
        <v>2560</v>
      </c>
      <c r="D799" t="s">
        <v>1596</v>
      </c>
      <c r="E799">
        <v>0</v>
      </c>
      <c r="F799" t="str">
        <f>HYPERLINK("https://github.com/ankidroid/Anki-Android/issues/2517", "show")</f>
        <v>show</v>
      </c>
      <c r="G799" t="str">
        <f t="shared" ref="G799:G851" si="12">HYPERLINK("https://github.com/ankidroid/Anki-Android", "show")</f>
        <v>show</v>
      </c>
      <c r="H799" t="str">
        <f t="shared" ref="H799:H851" si="13">HYPERLINK("https://github.com/ankidroid/Anki-Android/releases", "show")</f>
        <v>show</v>
      </c>
      <c r="I799">
        <v>0</v>
      </c>
      <c r="J799">
        <v>1</v>
      </c>
      <c r="K799">
        <v>0</v>
      </c>
      <c r="L799">
        <v>0</v>
      </c>
      <c r="M799" t="s">
        <v>139</v>
      </c>
    </row>
    <row r="800" spans="1:13" x14ac:dyDescent="0.15">
      <c r="A800" t="s">
        <v>2561</v>
      </c>
      <c r="B800" t="s">
        <v>2562</v>
      </c>
      <c r="C800" t="s">
        <v>2563</v>
      </c>
      <c r="D800" t="s">
        <v>1596</v>
      </c>
      <c r="E800">
        <v>0</v>
      </c>
      <c r="F800" t="str">
        <f>HYPERLINK("https://github.com/ankidroid/Anki-Android/issues/2516", "show")</f>
        <v>show</v>
      </c>
      <c r="G800" t="str">
        <f t="shared" si="12"/>
        <v>show</v>
      </c>
      <c r="H800" t="str">
        <f t="shared" si="13"/>
        <v>show</v>
      </c>
      <c r="I800">
        <v>0</v>
      </c>
      <c r="J800">
        <v>1</v>
      </c>
      <c r="K800">
        <v>0</v>
      </c>
      <c r="L800">
        <v>0</v>
      </c>
      <c r="M800" t="s">
        <v>139</v>
      </c>
    </row>
    <row r="801" spans="1:13" hidden="1" x14ac:dyDescent="0.15">
      <c r="A801" t="s">
        <v>2564</v>
      </c>
      <c r="B801" t="s">
        <v>2565</v>
      </c>
      <c r="C801" t="s">
        <v>2566</v>
      </c>
      <c r="D801" t="s">
        <v>1596</v>
      </c>
      <c r="E801">
        <v>0</v>
      </c>
      <c r="F801" t="str">
        <f>HYPERLINK("https://github.com/ankidroid/Anki-Android/issues/2515", "show")</f>
        <v>show</v>
      </c>
      <c r="G801" t="str">
        <f t="shared" si="12"/>
        <v>show</v>
      </c>
      <c r="H801" t="str">
        <f t="shared" si="13"/>
        <v>show</v>
      </c>
      <c r="I801">
        <v>0</v>
      </c>
      <c r="J801">
        <v>0</v>
      </c>
      <c r="K801">
        <v>0</v>
      </c>
      <c r="L801">
        <v>0</v>
      </c>
      <c r="M801" t="s">
        <v>43</v>
      </c>
    </row>
    <row r="802" spans="1:13" x14ac:dyDescent="0.15">
      <c r="A802" t="s">
        <v>2567</v>
      </c>
      <c r="B802" t="s">
        <v>2568</v>
      </c>
      <c r="C802" t="s">
        <v>2569</v>
      </c>
      <c r="D802" t="s">
        <v>1596</v>
      </c>
      <c r="E802">
        <v>0</v>
      </c>
      <c r="F802" t="str">
        <f>HYPERLINK("https://github.com/ankidroid/Anki-Android/issues/2513", "show")</f>
        <v>show</v>
      </c>
      <c r="G802" t="str">
        <f t="shared" si="12"/>
        <v>show</v>
      </c>
      <c r="H802" t="str">
        <f t="shared" si="13"/>
        <v>show</v>
      </c>
      <c r="I802">
        <v>0</v>
      </c>
      <c r="J802">
        <v>1</v>
      </c>
      <c r="K802">
        <v>0</v>
      </c>
      <c r="L802">
        <v>0</v>
      </c>
      <c r="M802" t="s">
        <v>139</v>
      </c>
    </row>
    <row r="803" spans="1:13" hidden="1" x14ac:dyDescent="0.15">
      <c r="A803" t="s">
        <v>2570</v>
      </c>
      <c r="B803" t="s">
        <v>2571</v>
      </c>
      <c r="C803" t="s">
        <v>2572</v>
      </c>
      <c r="D803" t="s">
        <v>1596</v>
      </c>
      <c r="E803">
        <v>0</v>
      </c>
      <c r="F803" t="str">
        <f>HYPERLINK("https://github.com/ankidroid/Anki-Android/issues/2509", "show")</f>
        <v>show</v>
      </c>
      <c r="G803" t="str">
        <f t="shared" si="12"/>
        <v>show</v>
      </c>
      <c r="H803" t="str">
        <f t="shared" si="13"/>
        <v>show</v>
      </c>
      <c r="I803">
        <v>0</v>
      </c>
      <c r="J803">
        <v>0</v>
      </c>
      <c r="K803">
        <v>0</v>
      </c>
      <c r="L803">
        <v>0</v>
      </c>
      <c r="M803" t="s">
        <v>43</v>
      </c>
    </row>
    <row r="804" spans="1:13" hidden="1" x14ac:dyDescent="0.15">
      <c r="A804" t="s">
        <v>2573</v>
      </c>
      <c r="B804" t="s">
        <v>2574</v>
      </c>
      <c r="C804" t="s">
        <v>2575</v>
      </c>
      <c r="D804" t="s">
        <v>1596</v>
      </c>
      <c r="E804">
        <v>0</v>
      </c>
      <c r="F804" t="str">
        <f>HYPERLINK("https://github.com/ankidroid/Anki-Android/issues/2505", "show")</f>
        <v>show</v>
      </c>
      <c r="G804" t="str">
        <f t="shared" si="12"/>
        <v>show</v>
      </c>
      <c r="H804" t="str">
        <f t="shared" si="13"/>
        <v>show</v>
      </c>
      <c r="I804">
        <v>1</v>
      </c>
      <c r="J804">
        <v>1</v>
      </c>
      <c r="K804">
        <v>0</v>
      </c>
      <c r="L804">
        <v>0</v>
      </c>
      <c r="M804" t="s">
        <v>48</v>
      </c>
    </row>
    <row r="805" spans="1:13" hidden="1" x14ac:dyDescent="0.15">
      <c r="A805" t="s">
        <v>2576</v>
      </c>
      <c r="B805" t="s">
        <v>2577</v>
      </c>
      <c r="C805" t="s">
        <v>2578</v>
      </c>
      <c r="D805" t="s">
        <v>1596</v>
      </c>
      <c r="E805">
        <v>0</v>
      </c>
      <c r="F805" t="str">
        <f>HYPERLINK("https://github.com/ankidroid/Anki-Android/issues/2502", "show")</f>
        <v>show</v>
      </c>
      <c r="G805" t="str">
        <f t="shared" si="12"/>
        <v>show</v>
      </c>
      <c r="H805" t="str">
        <f t="shared" si="13"/>
        <v>show</v>
      </c>
      <c r="I805">
        <v>0</v>
      </c>
      <c r="J805">
        <v>0</v>
      </c>
      <c r="K805">
        <v>0</v>
      </c>
      <c r="L805">
        <v>1</v>
      </c>
      <c r="M805" t="s">
        <v>581</v>
      </c>
    </row>
    <row r="806" spans="1:13" hidden="1" x14ac:dyDescent="0.15">
      <c r="A806" t="s">
        <v>2579</v>
      </c>
      <c r="B806" t="s">
        <v>2580</v>
      </c>
      <c r="C806" t="s">
        <v>2581</v>
      </c>
      <c r="D806" t="s">
        <v>1596</v>
      </c>
      <c r="E806">
        <v>0</v>
      </c>
      <c r="F806" t="str">
        <f>HYPERLINK("https://github.com/ankidroid/Anki-Android/issues/2500", "show")</f>
        <v>show</v>
      </c>
      <c r="G806" t="str">
        <f t="shared" si="12"/>
        <v>show</v>
      </c>
      <c r="H806" t="str">
        <f t="shared" si="13"/>
        <v>show</v>
      </c>
      <c r="I806">
        <v>1</v>
      </c>
      <c r="J806">
        <v>1</v>
      </c>
      <c r="K806">
        <v>0</v>
      </c>
      <c r="L806">
        <v>0</v>
      </c>
      <c r="M806" t="s">
        <v>48</v>
      </c>
    </row>
    <row r="807" spans="1:13" x14ac:dyDescent="0.15">
      <c r="A807" t="s">
        <v>2582</v>
      </c>
      <c r="B807" t="s">
        <v>2583</v>
      </c>
      <c r="C807" t="s">
        <v>2584</v>
      </c>
      <c r="D807" t="s">
        <v>1596</v>
      </c>
      <c r="E807">
        <v>0</v>
      </c>
      <c r="F807" t="str">
        <f>HYPERLINK("https://github.com/ankidroid/Anki-Android/issues/2497", "show")</f>
        <v>show</v>
      </c>
      <c r="G807" t="str">
        <f t="shared" si="12"/>
        <v>show</v>
      </c>
      <c r="H807" t="str">
        <f t="shared" si="13"/>
        <v>show</v>
      </c>
      <c r="I807">
        <v>0</v>
      </c>
      <c r="J807">
        <v>1</v>
      </c>
      <c r="K807">
        <v>0</v>
      </c>
      <c r="L807">
        <v>0</v>
      </c>
      <c r="M807" t="s">
        <v>139</v>
      </c>
    </row>
    <row r="808" spans="1:13" x14ac:dyDescent="0.15">
      <c r="A808" t="s">
        <v>2585</v>
      </c>
      <c r="B808" t="s">
        <v>2586</v>
      </c>
      <c r="C808" t="s">
        <v>2587</v>
      </c>
      <c r="D808" t="s">
        <v>1596</v>
      </c>
      <c r="E808">
        <v>0</v>
      </c>
      <c r="F808" t="str">
        <f>HYPERLINK("https://github.com/ankidroid/Anki-Android/issues/2496", "show")</f>
        <v>show</v>
      </c>
      <c r="G808" t="str">
        <f t="shared" si="12"/>
        <v>show</v>
      </c>
      <c r="H808" t="str">
        <f t="shared" si="13"/>
        <v>show</v>
      </c>
      <c r="I808">
        <v>0</v>
      </c>
      <c r="J808">
        <v>1</v>
      </c>
      <c r="K808">
        <v>0</v>
      </c>
      <c r="L808">
        <v>0</v>
      </c>
      <c r="M808" t="s">
        <v>139</v>
      </c>
    </row>
    <row r="809" spans="1:13" hidden="1" x14ac:dyDescent="0.15">
      <c r="A809" t="s">
        <v>2588</v>
      </c>
      <c r="B809" t="s">
        <v>2589</v>
      </c>
      <c r="C809" t="s">
        <v>2590</v>
      </c>
      <c r="D809" t="s">
        <v>1596</v>
      </c>
      <c r="E809">
        <v>0</v>
      </c>
      <c r="F809" t="str">
        <f>HYPERLINK("https://github.com/ankidroid/Anki-Android/issues/2495", "show")</f>
        <v>show</v>
      </c>
      <c r="G809" t="str">
        <f t="shared" si="12"/>
        <v>show</v>
      </c>
      <c r="H809" t="str">
        <f t="shared" si="13"/>
        <v>show</v>
      </c>
      <c r="I809">
        <v>0</v>
      </c>
      <c r="J809">
        <v>0</v>
      </c>
      <c r="K809">
        <v>0</v>
      </c>
      <c r="L809">
        <v>0</v>
      </c>
      <c r="M809" t="s">
        <v>43</v>
      </c>
    </row>
    <row r="810" spans="1:13" x14ac:dyDescent="0.15">
      <c r="A810" t="s">
        <v>2591</v>
      </c>
      <c r="B810" t="s">
        <v>2592</v>
      </c>
      <c r="C810" t="s">
        <v>2593</v>
      </c>
      <c r="D810" t="s">
        <v>1596</v>
      </c>
      <c r="E810">
        <v>0</v>
      </c>
      <c r="F810" t="str">
        <f>HYPERLINK("https://github.com/ankidroid/Anki-Android/issues/2492", "show")</f>
        <v>show</v>
      </c>
      <c r="G810" t="str">
        <f t="shared" si="12"/>
        <v>show</v>
      </c>
      <c r="H810" t="str">
        <f t="shared" si="13"/>
        <v>show</v>
      </c>
      <c r="I810">
        <v>0</v>
      </c>
      <c r="J810">
        <v>1</v>
      </c>
      <c r="K810">
        <v>0</v>
      </c>
      <c r="L810">
        <v>0</v>
      </c>
      <c r="M810" t="s">
        <v>139</v>
      </c>
    </row>
    <row r="811" spans="1:13" x14ac:dyDescent="0.15">
      <c r="A811" t="s">
        <v>2594</v>
      </c>
      <c r="B811" t="s">
        <v>2595</v>
      </c>
      <c r="C811" t="s">
        <v>2596</v>
      </c>
      <c r="D811" t="s">
        <v>1596</v>
      </c>
      <c r="E811">
        <v>0</v>
      </c>
      <c r="F811" t="str">
        <f>HYPERLINK("https://github.com/ankidroid/Anki-Android/issues/2487", "show")</f>
        <v>show</v>
      </c>
      <c r="G811" t="str">
        <f t="shared" si="12"/>
        <v>show</v>
      </c>
      <c r="H811" t="str">
        <f t="shared" si="13"/>
        <v>show</v>
      </c>
      <c r="I811">
        <v>0</v>
      </c>
      <c r="J811">
        <v>1</v>
      </c>
      <c r="K811">
        <v>0</v>
      </c>
      <c r="L811">
        <v>0</v>
      </c>
      <c r="M811" t="s">
        <v>139</v>
      </c>
    </row>
    <row r="812" spans="1:13" x14ac:dyDescent="0.15">
      <c r="A812" t="s">
        <v>2597</v>
      </c>
      <c r="B812" t="s">
        <v>2598</v>
      </c>
      <c r="C812" t="s">
        <v>2599</v>
      </c>
      <c r="D812" t="s">
        <v>1596</v>
      </c>
      <c r="E812">
        <v>0</v>
      </c>
      <c r="F812" t="str">
        <f>HYPERLINK("https://github.com/ankidroid/Anki-Android/issues/2486", "show")</f>
        <v>show</v>
      </c>
      <c r="G812" t="str">
        <f t="shared" si="12"/>
        <v>show</v>
      </c>
      <c r="H812" t="str">
        <f t="shared" si="13"/>
        <v>show</v>
      </c>
      <c r="I812">
        <v>0</v>
      </c>
      <c r="J812">
        <v>1</v>
      </c>
      <c r="K812">
        <v>0</v>
      </c>
      <c r="L812">
        <v>0</v>
      </c>
      <c r="M812" t="s">
        <v>139</v>
      </c>
    </row>
    <row r="813" spans="1:13" hidden="1" x14ac:dyDescent="0.15">
      <c r="A813" t="s">
        <v>2600</v>
      </c>
      <c r="B813" t="s">
        <v>2601</v>
      </c>
      <c r="C813" t="s">
        <v>2602</v>
      </c>
      <c r="D813" t="s">
        <v>1596</v>
      </c>
      <c r="E813">
        <v>1056</v>
      </c>
      <c r="F813" t="str">
        <f>HYPERLINK("https://github.com/ankidroid/Anki-Android/issues/2485", "show")</f>
        <v>show</v>
      </c>
      <c r="G813" t="str">
        <f t="shared" si="12"/>
        <v>show</v>
      </c>
      <c r="H813" t="str">
        <f t="shared" si="13"/>
        <v>show</v>
      </c>
      <c r="I813">
        <v>0</v>
      </c>
      <c r="J813">
        <v>0</v>
      </c>
      <c r="K813">
        <v>0</v>
      </c>
      <c r="L813">
        <v>0</v>
      </c>
      <c r="M813" t="s">
        <v>43</v>
      </c>
    </row>
    <row r="814" spans="1:13" x14ac:dyDescent="0.15">
      <c r="A814" t="s">
        <v>2603</v>
      </c>
      <c r="B814" t="s">
        <v>2604</v>
      </c>
      <c r="C814" t="s">
        <v>2605</v>
      </c>
      <c r="D814" t="s">
        <v>1596</v>
      </c>
      <c r="E814">
        <v>186</v>
      </c>
      <c r="F814" t="str">
        <f>HYPERLINK("https://github.com/ankidroid/Anki-Android/issues/2481", "show")</f>
        <v>show</v>
      </c>
      <c r="G814" t="str">
        <f t="shared" si="12"/>
        <v>show</v>
      </c>
      <c r="H814" t="str">
        <f t="shared" si="13"/>
        <v>show</v>
      </c>
      <c r="I814">
        <v>0</v>
      </c>
      <c r="J814">
        <v>1</v>
      </c>
      <c r="K814">
        <v>0</v>
      </c>
      <c r="L814">
        <v>0</v>
      </c>
      <c r="M814" t="s">
        <v>139</v>
      </c>
    </row>
    <row r="815" spans="1:13" hidden="1" x14ac:dyDescent="0.15">
      <c r="A815" t="s">
        <v>2606</v>
      </c>
      <c r="B815" t="s">
        <v>2607</v>
      </c>
      <c r="C815" t="s">
        <v>2608</v>
      </c>
      <c r="D815" t="s">
        <v>1596</v>
      </c>
      <c r="E815">
        <v>0</v>
      </c>
      <c r="F815" t="str">
        <f>HYPERLINK("https://github.com/ankidroid/Anki-Android/issues/2480", "show")</f>
        <v>show</v>
      </c>
      <c r="G815" t="str">
        <f t="shared" si="12"/>
        <v>show</v>
      </c>
      <c r="H815" t="str">
        <f t="shared" si="13"/>
        <v>show</v>
      </c>
      <c r="I815">
        <v>1</v>
      </c>
      <c r="J815">
        <v>1</v>
      </c>
      <c r="K815">
        <v>0</v>
      </c>
      <c r="L815">
        <v>0</v>
      </c>
      <c r="M815" t="s">
        <v>48</v>
      </c>
    </row>
    <row r="816" spans="1:13" hidden="1" x14ac:dyDescent="0.15">
      <c r="A816" t="s">
        <v>2609</v>
      </c>
      <c r="B816" t="s">
        <v>2610</v>
      </c>
      <c r="C816" t="s">
        <v>2611</v>
      </c>
      <c r="D816" t="s">
        <v>1596</v>
      </c>
      <c r="E816">
        <v>0</v>
      </c>
      <c r="F816" t="str">
        <f>HYPERLINK("https://github.com/ankidroid/Anki-Android/issues/2476", "show")</f>
        <v>show</v>
      </c>
      <c r="G816" t="str">
        <f t="shared" si="12"/>
        <v>show</v>
      </c>
      <c r="H816" t="str">
        <f t="shared" si="13"/>
        <v>show</v>
      </c>
      <c r="I816">
        <v>0</v>
      </c>
      <c r="J816">
        <v>0</v>
      </c>
      <c r="K816">
        <v>0</v>
      </c>
      <c r="L816">
        <v>0</v>
      </c>
      <c r="M816" t="s">
        <v>43</v>
      </c>
    </row>
    <row r="817" spans="1:13" hidden="1" x14ac:dyDescent="0.15">
      <c r="A817" t="s">
        <v>2612</v>
      </c>
      <c r="B817" t="s">
        <v>2613</v>
      </c>
      <c r="C817" t="s">
        <v>2614</v>
      </c>
      <c r="D817" t="s">
        <v>1596</v>
      </c>
      <c r="E817">
        <v>0</v>
      </c>
      <c r="F817" t="str">
        <f>HYPERLINK("https://github.com/ankidroid/Anki-Android/issues/2466", "show")</f>
        <v>show</v>
      </c>
      <c r="G817" t="str">
        <f t="shared" si="12"/>
        <v>show</v>
      </c>
      <c r="H817" t="str">
        <f t="shared" si="13"/>
        <v>show</v>
      </c>
      <c r="I817">
        <v>0</v>
      </c>
      <c r="J817">
        <v>0</v>
      </c>
      <c r="K817">
        <v>0</v>
      </c>
      <c r="L817">
        <v>0</v>
      </c>
      <c r="M817" t="s">
        <v>43</v>
      </c>
    </row>
    <row r="818" spans="1:13" hidden="1" x14ac:dyDescent="0.15">
      <c r="A818" t="s">
        <v>2615</v>
      </c>
      <c r="B818" t="s">
        <v>2616</v>
      </c>
      <c r="C818" t="s">
        <v>2617</v>
      </c>
      <c r="D818" t="s">
        <v>1596</v>
      </c>
      <c r="E818">
        <v>0</v>
      </c>
      <c r="F818" t="str">
        <f>HYPERLINK("https://github.com/ankidroid/Anki-Android/issues/2461", "show")</f>
        <v>show</v>
      </c>
      <c r="G818" t="str">
        <f t="shared" si="12"/>
        <v>show</v>
      </c>
      <c r="H818" t="str">
        <f t="shared" si="13"/>
        <v>show</v>
      </c>
      <c r="I818">
        <v>0</v>
      </c>
      <c r="J818">
        <v>1</v>
      </c>
      <c r="K818">
        <v>0</v>
      </c>
      <c r="L818">
        <v>1</v>
      </c>
      <c r="M818" t="s">
        <v>1732</v>
      </c>
    </row>
    <row r="819" spans="1:13" x14ac:dyDescent="0.15">
      <c r="A819" t="s">
        <v>2618</v>
      </c>
      <c r="B819" t="s">
        <v>2619</v>
      </c>
      <c r="C819" t="s">
        <v>2620</v>
      </c>
      <c r="D819" t="s">
        <v>1596</v>
      </c>
      <c r="E819">
        <v>0</v>
      </c>
      <c r="F819" t="str">
        <f>HYPERLINK("https://github.com/ankidroid/Anki-Android/issues/2460", "show")</f>
        <v>show</v>
      </c>
      <c r="G819" t="str">
        <f t="shared" si="12"/>
        <v>show</v>
      </c>
      <c r="H819" t="str">
        <f t="shared" si="13"/>
        <v>show</v>
      </c>
      <c r="I819">
        <v>0</v>
      </c>
      <c r="J819">
        <v>1</v>
      </c>
      <c r="K819">
        <v>0</v>
      </c>
      <c r="L819">
        <v>0</v>
      </c>
      <c r="M819" t="s">
        <v>139</v>
      </c>
    </row>
    <row r="820" spans="1:13" hidden="1" x14ac:dyDescent="0.15">
      <c r="A820" t="s">
        <v>2621</v>
      </c>
      <c r="B820" t="s">
        <v>2622</v>
      </c>
      <c r="C820" t="s">
        <v>2623</v>
      </c>
      <c r="D820" t="s">
        <v>1596</v>
      </c>
      <c r="E820">
        <v>0</v>
      </c>
      <c r="F820" t="str">
        <f>HYPERLINK("https://github.com/ankidroid/Anki-Android/issues/2454", "show")</f>
        <v>show</v>
      </c>
      <c r="G820" t="str">
        <f t="shared" si="12"/>
        <v>show</v>
      </c>
      <c r="H820" t="str">
        <f t="shared" si="13"/>
        <v>show</v>
      </c>
      <c r="I820">
        <v>1</v>
      </c>
      <c r="J820">
        <v>1</v>
      </c>
      <c r="K820">
        <v>0</v>
      </c>
      <c r="L820">
        <v>0</v>
      </c>
      <c r="M820" t="s">
        <v>48</v>
      </c>
    </row>
    <row r="821" spans="1:13" hidden="1" x14ac:dyDescent="0.15">
      <c r="A821" t="s">
        <v>2624</v>
      </c>
      <c r="B821" t="s">
        <v>2625</v>
      </c>
      <c r="C821" t="s">
        <v>2626</v>
      </c>
      <c r="D821" t="s">
        <v>1596</v>
      </c>
      <c r="E821">
        <v>0</v>
      </c>
      <c r="F821" t="str">
        <f>HYPERLINK("https://github.com/ankidroid/Anki-Android/issues/2453", "show")</f>
        <v>show</v>
      </c>
      <c r="G821" t="str">
        <f t="shared" si="12"/>
        <v>show</v>
      </c>
      <c r="H821" t="str">
        <f t="shared" si="13"/>
        <v>show</v>
      </c>
      <c r="I821">
        <v>1</v>
      </c>
      <c r="J821">
        <v>0</v>
      </c>
      <c r="K821">
        <v>1</v>
      </c>
      <c r="L821">
        <v>0</v>
      </c>
      <c r="M821" t="s">
        <v>64</v>
      </c>
    </row>
    <row r="822" spans="1:13" hidden="1" x14ac:dyDescent="0.15">
      <c r="A822" t="s">
        <v>2627</v>
      </c>
      <c r="B822" t="s">
        <v>2628</v>
      </c>
      <c r="C822" t="s">
        <v>2629</v>
      </c>
      <c r="D822" t="s">
        <v>1596</v>
      </c>
      <c r="E822">
        <v>0</v>
      </c>
      <c r="F822" t="str">
        <f>HYPERLINK("https://github.com/ankidroid/Anki-Android/issues/2451", "show")</f>
        <v>show</v>
      </c>
      <c r="G822" t="str">
        <f t="shared" si="12"/>
        <v>show</v>
      </c>
      <c r="H822" t="str">
        <f t="shared" si="13"/>
        <v>show</v>
      </c>
      <c r="I822">
        <v>0</v>
      </c>
      <c r="J822">
        <v>0</v>
      </c>
      <c r="K822">
        <v>0</v>
      </c>
      <c r="L822">
        <v>0</v>
      </c>
      <c r="M822" t="s">
        <v>43</v>
      </c>
    </row>
    <row r="823" spans="1:13" hidden="1" x14ac:dyDescent="0.15">
      <c r="A823" t="s">
        <v>2630</v>
      </c>
      <c r="B823" t="s">
        <v>2631</v>
      </c>
      <c r="C823" t="s">
        <v>2632</v>
      </c>
      <c r="D823" t="s">
        <v>1596</v>
      </c>
      <c r="E823">
        <v>0</v>
      </c>
      <c r="F823" t="str">
        <f>HYPERLINK("https://github.com/ankidroid/Anki-Android/issues/2450", "show")</f>
        <v>show</v>
      </c>
      <c r="G823" t="str">
        <f t="shared" si="12"/>
        <v>show</v>
      </c>
      <c r="H823" t="str">
        <f t="shared" si="13"/>
        <v>show</v>
      </c>
      <c r="I823">
        <v>0</v>
      </c>
      <c r="J823">
        <v>0</v>
      </c>
      <c r="K823">
        <v>0</v>
      </c>
      <c r="L823">
        <v>0</v>
      </c>
      <c r="M823" t="s">
        <v>43</v>
      </c>
    </row>
    <row r="824" spans="1:13" hidden="1" x14ac:dyDescent="0.15">
      <c r="A824" t="s">
        <v>2633</v>
      </c>
      <c r="B824" t="s">
        <v>2634</v>
      </c>
      <c r="C824" t="s">
        <v>2635</v>
      </c>
      <c r="D824" t="s">
        <v>1596</v>
      </c>
      <c r="E824">
        <v>0</v>
      </c>
      <c r="F824" t="str">
        <f>HYPERLINK("https://github.com/ankidroid/Anki-Android/issues/2448", "show")</f>
        <v>show</v>
      </c>
      <c r="G824" t="str">
        <f t="shared" si="12"/>
        <v>show</v>
      </c>
      <c r="H824" t="str">
        <f t="shared" si="13"/>
        <v>show</v>
      </c>
      <c r="I824">
        <v>0</v>
      </c>
      <c r="J824">
        <v>0</v>
      </c>
      <c r="K824">
        <v>0</v>
      </c>
      <c r="L824">
        <v>0</v>
      </c>
      <c r="M824" t="s">
        <v>43</v>
      </c>
    </row>
    <row r="825" spans="1:13" hidden="1" x14ac:dyDescent="0.15">
      <c r="A825" t="s">
        <v>2636</v>
      </c>
      <c r="B825" t="s">
        <v>2637</v>
      </c>
      <c r="C825" t="s">
        <v>2638</v>
      </c>
      <c r="D825" t="s">
        <v>1596</v>
      </c>
      <c r="E825">
        <v>0</v>
      </c>
      <c r="F825" t="str">
        <f>HYPERLINK("https://github.com/ankidroid/Anki-Android/issues/2447", "show")</f>
        <v>show</v>
      </c>
      <c r="G825" t="str">
        <f t="shared" si="12"/>
        <v>show</v>
      </c>
      <c r="H825" t="str">
        <f t="shared" si="13"/>
        <v>show</v>
      </c>
      <c r="I825">
        <v>0</v>
      </c>
      <c r="J825">
        <v>0</v>
      </c>
      <c r="K825">
        <v>0</v>
      </c>
      <c r="L825">
        <v>0</v>
      </c>
      <c r="M825" t="s">
        <v>43</v>
      </c>
    </row>
    <row r="826" spans="1:13" x14ac:dyDescent="0.15">
      <c r="A826" t="s">
        <v>2639</v>
      </c>
      <c r="B826" t="s">
        <v>2640</v>
      </c>
      <c r="C826" t="s">
        <v>2641</v>
      </c>
      <c r="D826" t="s">
        <v>1596</v>
      </c>
      <c r="E826">
        <v>0</v>
      </c>
      <c r="F826" t="str">
        <f>HYPERLINK("https://github.com/ankidroid/Anki-Android/issues/2443", "show")</f>
        <v>show</v>
      </c>
      <c r="G826" t="str">
        <f t="shared" si="12"/>
        <v>show</v>
      </c>
      <c r="H826" t="str">
        <f t="shared" si="13"/>
        <v>show</v>
      </c>
      <c r="I826">
        <v>0</v>
      </c>
      <c r="J826">
        <v>1</v>
      </c>
      <c r="K826">
        <v>0</v>
      </c>
      <c r="L826">
        <v>0</v>
      </c>
      <c r="M826" t="s">
        <v>139</v>
      </c>
    </row>
    <row r="827" spans="1:13" x14ac:dyDescent="0.15">
      <c r="A827" t="s">
        <v>2642</v>
      </c>
      <c r="B827" t="s">
        <v>2643</v>
      </c>
      <c r="C827" t="s">
        <v>2644</v>
      </c>
      <c r="D827" t="s">
        <v>1596</v>
      </c>
      <c r="E827">
        <v>0</v>
      </c>
      <c r="F827" t="str">
        <f>HYPERLINK("https://github.com/ankidroid/Anki-Android/issues/2442", "show")</f>
        <v>show</v>
      </c>
      <c r="G827" t="str">
        <f t="shared" si="12"/>
        <v>show</v>
      </c>
      <c r="H827" t="str">
        <f t="shared" si="13"/>
        <v>show</v>
      </c>
      <c r="I827">
        <v>0</v>
      </c>
      <c r="J827">
        <v>1</v>
      </c>
      <c r="K827">
        <v>0</v>
      </c>
      <c r="L827">
        <v>0</v>
      </c>
      <c r="M827" t="s">
        <v>139</v>
      </c>
    </row>
    <row r="828" spans="1:13" x14ac:dyDescent="0.15">
      <c r="A828" t="s">
        <v>2645</v>
      </c>
      <c r="B828" t="s">
        <v>2646</v>
      </c>
      <c r="C828" t="s">
        <v>2647</v>
      </c>
      <c r="D828" t="s">
        <v>1596</v>
      </c>
      <c r="E828">
        <v>0</v>
      </c>
      <c r="F828" t="str">
        <f>HYPERLINK("https://github.com/ankidroid/Anki-Android/issues/2441", "show")</f>
        <v>show</v>
      </c>
      <c r="G828" t="str">
        <f t="shared" si="12"/>
        <v>show</v>
      </c>
      <c r="H828" t="str">
        <f t="shared" si="13"/>
        <v>show</v>
      </c>
      <c r="I828">
        <v>0</v>
      </c>
      <c r="J828">
        <v>1</v>
      </c>
      <c r="K828">
        <v>0</v>
      </c>
      <c r="L828">
        <v>0</v>
      </c>
      <c r="M828" t="s">
        <v>139</v>
      </c>
    </row>
    <row r="829" spans="1:13" hidden="1" x14ac:dyDescent="0.15">
      <c r="A829" t="s">
        <v>2648</v>
      </c>
      <c r="B829" t="s">
        <v>2649</v>
      </c>
      <c r="C829" t="s">
        <v>2650</v>
      </c>
      <c r="D829" t="s">
        <v>1596</v>
      </c>
      <c r="E829">
        <v>0</v>
      </c>
      <c r="F829" t="str">
        <f>HYPERLINK("https://github.com/ankidroid/Anki-Android/issues/2440", "show")</f>
        <v>show</v>
      </c>
      <c r="G829" t="str">
        <f t="shared" si="12"/>
        <v>show</v>
      </c>
      <c r="H829" t="str">
        <f t="shared" si="13"/>
        <v>show</v>
      </c>
      <c r="I829">
        <v>0</v>
      </c>
      <c r="J829">
        <v>0</v>
      </c>
      <c r="K829">
        <v>0</v>
      </c>
      <c r="L829">
        <v>0</v>
      </c>
      <c r="M829" t="s">
        <v>43</v>
      </c>
    </row>
    <row r="830" spans="1:13" x14ac:dyDescent="0.15">
      <c r="A830" t="s">
        <v>2651</v>
      </c>
      <c r="B830" t="s">
        <v>2652</v>
      </c>
      <c r="C830" t="s">
        <v>2653</v>
      </c>
      <c r="D830" t="s">
        <v>1596</v>
      </c>
      <c r="E830">
        <v>0</v>
      </c>
      <c r="F830" t="str">
        <f>HYPERLINK("https://github.com/ankidroid/Anki-Android/issues/2438", "show")</f>
        <v>show</v>
      </c>
      <c r="G830" t="str">
        <f t="shared" si="12"/>
        <v>show</v>
      </c>
      <c r="H830" t="str">
        <f t="shared" si="13"/>
        <v>show</v>
      </c>
      <c r="I830">
        <v>0</v>
      </c>
      <c r="J830">
        <v>1</v>
      </c>
      <c r="K830">
        <v>0</v>
      </c>
      <c r="L830">
        <v>0</v>
      </c>
      <c r="M830" t="s">
        <v>139</v>
      </c>
    </row>
    <row r="831" spans="1:13" hidden="1" x14ac:dyDescent="0.15">
      <c r="A831" t="s">
        <v>2654</v>
      </c>
      <c r="B831" t="s">
        <v>2655</v>
      </c>
      <c r="C831" t="s">
        <v>2656</v>
      </c>
      <c r="D831" t="s">
        <v>1596</v>
      </c>
      <c r="E831">
        <v>0</v>
      </c>
      <c r="F831" t="str">
        <f>HYPERLINK("https://github.com/ankidroid/Anki-Android/issues/2435", "show")</f>
        <v>show</v>
      </c>
      <c r="G831" t="str">
        <f t="shared" si="12"/>
        <v>show</v>
      </c>
      <c r="H831" t="str">
        <f t="shared" si="13"/>
        <v>show</v>
      </c>
      <c r="I831">
        <v>0</v>
      </c>
      <c r="J831">
        <v>0</v>
      </c>
      <c r="K831">
        <v>0</v>
      </c>
      <c r="L831">
        <v>0</v>
      </c>
      <c r="M831" t="s">
        <v>43</v>
      </c>
    </row>
    <row r="832" spans="1:13" hidden="1" x14ac:dyDescent="0.15">
      <c r="A832" t="s">
        <v>2657</v>
      </c>
      <c r="B832" t="s">
        <v>2658</v>
      </c>
      <c r="C832" t="s">
        <v>2659</v>
      </c>
      <c r="D832" t="s">
        <v>1596</v>
      </c>
      <c r="E832">
        <v>0</v>
      </c>
      <c r="F832" t="str">
        <f>HYPERLINK("https://github.com/ankidroid/Anki-Android/issues/2434", "show")</f>
        <v>show</v>
      </c>
      <c r="G832" t="str">
        <f t="shared" si="12"/>
        <v>show</v>
      </c>
      <c r="H832" t="str">
        <f t="shared" si="13"/>
        <v>show</v>
      </c>
      <c r="I832">
        <v>1</v>
      </c>
      <c r="J832">
        <v>1</v>
      </c>
      <c r="K832">
        <v>0</v>
      </c>
      <c r="L832">
        <v>0</v>
      </c>
      <c r="M832" t="s">
        <v>48</v>
      </c>
    </row>
    <row r="833" spans="1:13" x14ac:dyDescent="0.15">
      <c r="A833" t="s">
        <v>2660</v>
      </c>
      <c r="B833" t="s">
        <v>2661</v>
      </c>
      <c r="C833" t="s">
        <v>2662</v>
      </c>
      <c r="D833" t="s">
        <v>1596</v>
      </c>
      <c r="E833">
        <v>0</v>
      </c>
      <c r="F833" t="str">
        <f>HYPERLINK("https://github.com/ankidroid/Anki-Android/issues/2433", "show")</f>
        <v>show</v>
      </c>
      <c r="G833" t="str">
        <f t="shared" si="12"/>
        <v>show</v>
      </c>
      <c r="H833" t="str">
        <f t="shared" si="13"/>
        <v>show</v>
      </c>
      <c r="I833">
        <v>0</v>
      </c>
      <c r="J833">
        <v>1</v>
      </c>
      <c r="K833">
        <v>0</v>
      </c>
      <c r="L833">
        <v>0</v>
      </c>
      <c r="M833" t="s">
        <v>139</v>
      </c>
    </row>
    <row r="834" spans="1:13" hidden="1" x14ac:dyDescent="0.15">
      <c r="A834" t="s">
        <v>2663</v>
      </c>
      <c r="B834" t="s">
        <v>2664</v>
      </c>
      <c r="C834" t="s">
        <v>2665</v>
      </c>
      <c r="D834" t="s">
        <v>1596</v>
      </c>
      <c r="E834">
        <v>0</v>
      </c>
      <c r="F834" t="str">
        <f>HYPERLINK("https://github.com/ankidroid/Anki-Android/issues/2431", "show")</f>
        <v>show</v>
      </c>
      <c r="G834" t="str">
        <f t="shared" si="12"/>
        <v>show</v>
      </c>
      <c r="H834" t="str">
        <f t="shared" si="13"/>
        <v>show</v>
      </c>
      <c r="I834">
        <v>0</v>
      </c>
      <c r="J834">
        <v>0</v>
      </c>
      <c r="K834">
        <v>0</v>
      </c>
      <c r="L834">
        <v>0</v>
      </c>
      <c r="M834" t="s">
        <v>43</v>
      </c>
    </row>
    <row r="835" spans="1:13" hidden="1" x14ac:dyDescent="0.15">
      <c r="A835" t="s">
        <v>2666</v>
      </c>
      <c r="B835" t="s">
        <v>2667</v>
      </c>
      <c r="C835" t="s">
        <v>2668</v>
      </c>
      <c r="D835" t="s">
        <v>1596</v>
      </c>
      <c r="E835">
        <v>0</v>
      </c>
      <c r="F835" t="str">
        <f>HYPERLINK("https://github.com/ankidroid/Anki-Android/issues/2430", "show")</f>
        <v>show</v>
      </c>
      <c r="G835" t="str">
        <f t="shared" si="12"/>
        <v>show</v>
      </c>
      <c r="H835" t="str">
        <f t="shared" si="13"/>
        <v>show</v>
      </c>
      <c r="I835">
        <v>1</v>
      </c>
      <c r="J835">
        <v>1</v>
      </c>
      <c r="K835">
        <v>0</v>
      </c>
      <c r="L835">
        <v>0</v>
      </c>
      <c r="M835" t="s">
        <v>48</v>
      </c>
    </row>
    <row r="836" spans="1:13" hidden="1" x14ac:dyDescent="0.15">
      <c r="A836" t="s">
        <v>2669</v>
      </c>
      <c r="B836" t="s">
        <v>2670</v>
      </c>
      <c r="C836" t="s">
        <v>2671</v>
      </c>
      <c r="D836" t="s">
        <v>1596</v>
      </c>
      <c r="E836">
        <v>0</v>
      </c>
      <c r="F836" t="str">
        <f>HYPERLINK("https://github.com/ankidroid/Anki-Android/issues/2429", "show")</f>
        <v>show</v>
      </c>
      <c r="G836" t="str">
        <f t="shared" si="12"/>
        <v>show</v>
      </c>
      <c r="H836" t="str">
        <f t="shared" si="13"/>
        <v>show</v>
      </c>
      <c r="I836">
        <v>1</v>
      </c>
      <c r="J836">
        <v>1</v>
      </c>
      <c r="K836">
        <v>0</v>
      </c>
      <c r="L836">
        <v>0</v>
      </c>
      <c r="M836" t="s">
        <v>48</v>
      </c>
    </row>
    <row r="837" spans="1:13" hidden="1" x14ac:dyDescent="0.15">
      <c r="A837" t="s">
        <v>2672</v>
      </c>
      <c r="B837" t="s">
        <v>2673</v>
      </c>
      <c r="C837" t="s">
        <v>2674</v>
      </c>
      <c r="D837" t="s">
        <v>1596</v>
      </c>
      <c r="E837">
        <v>0</v>
      </c>
      <c r="F837" t="str">
        <f>HYPERLINK("https://github.com/ankidroid/Anki-Android/issues/2428", "show")</f>
        <v>show</v>
      </c>
      <c r="G837" t="str">
        <f t="shared" si="12"/>
        <v>show</v>
      </c>
      <c r="H837" t="str">
        <f t="shared" si="13"/>
        <v>show</v>
      </c>
      <c r="I837">
        <v>1</v>
      </c>
      <c r="J837">
        <v>1</v>
      </c>
      <c r="K837">
        <v>0</v>
      </c>
      <c r="L837">
        <v>0</v>
      </c>
      <c r="M837" t="s">
        <v>48</v>
      </c>
    </row>
    <row r="838" spans="1:13" x14ac:dyDescent="0.15">
      <c r="A838" t="s">
        <v>2675</v>
      </c>
      <c r="B838" t="s">
        <v>2676</v>
      </c>
      <c r="C838" t="s">
        <v>2677</v>
      </c>
      <c r="D838" t="s">
        <v>1596</v>
      </c>
      <c r="E838">
        <v>1440</v>
      </c>
      <c r="F838" t="str">
        <f>HYPERLINK("https://github.com/ankidroid/Anki-Android/issues/2427", "show")</f>
        <v>show</v>
      </c>
      <c r="G838" t="str">
        <f t="shared" si="12"/>
        <v>show</v>
      </c>
      <c r="H838" t="str">
        <f t="shared" si="13"/>
        <v>show</v>
      </c>
      <c r="I838">
        <v>0</v>
      </c>
      <c r="J838">
        <v>1</v>
      </c>
      <c r="K838">
        <v>0</v>
      </c>
      <c r="L838">
        <v>0</v>
      </c>
      <c r="M838" t="s">
        <v>139</v>
      </c>
    </row>
    <row r="839" spans="1:13" x14ac:dyDescent="0.15">
      <c r="A839" t="s">
        <v>2678</v>
      </c>
      <c r="B839" t="s">
        <v>2679</v>
      </c>
      <c r="C839" t="s">
        <v>2680</v>
      </c>
      <c r="D839" t="s">
        <v>1596</v>
      </c>
      <c r="E839">
        <v>0</v>
      </c>
      <c r="F839" t="str">
        <f>HYPERLINK("https://github.com/ankidroid/Anki-Android/issues/2425", "show")</f>
        <v>show</v>
      </c>
      <c r="G839" t="str">
        <f t="shared" si="12"/>
        <v>show</v>
      </c>
      <c r="H839" t="str">
        <f t="shared" si="13"/>
        <v>show</v>
      </c>
      <c r="I839">
        <v>0</v>
      </c>
      <c r="J839">
        <v>1</v>
      </c>
      <c r="K839">
        <v>0</v>
      </c>
      <c r="L839">
        <v>0</v>
      </c>
      <c r="M839" t="s">
        <v>139</v>
      </c>
    </row>
    <row r="840" spans="1:13" hidden="1" x14ac:dyDescent="0.15">
      <c r="A840" t="s">
        <v>2681</v>
      </c>
      <c r="B840" t="s">
        <v>2682</v>
      </c>
      <c r="C840" t="s">
        <v>2683</v>
      </c>
      <c r="D840" t="s">
        <v>1596</v>
      </c>
      <c r="E840">
        <v>0</v>
      </c>
      <c r="F840" t="str">
        <f>HYPERLINK("https://github.com/ankidroid/Anki-Android/issues/2424", "show")</f>
        <v>show</v>
      </c>
      <c r="G840" t="str">
        <f t="shared" si="12"/>
        <v>show</v>
      </c>
      <c r="H840" t="str">
        <f t="shared" si="13"/>
        <v>show</v>
      </c>
      <c r="I840">
        <v>0</v>
      </c>
      <c r="J840">
        <v>0</v>
      </c>
      <c r="K840">
        <v>0</v>
      </c>
      <c r="L840">
        <v>0</v>
      </c>
      <c r="M840" t="s">
        <v>43</v>
      </c>
    </row>
    <row r="841" spans="1:13" hidden="1" x14ac:dyDescent="0.15">
      <c r="A841" t="s">
        <v>2684</v>
      </c>
      <c r="B841" t="s">
        <v>2685</v>
      </c>
      <c r="C841" t="s">
        <v>2686</v>
      </c>
      <c r="D841" t="s">
        <v>1596</v>
      </c>
      <c r="E841">
        <v>0</v>
      </c>
      <c r="F841" t="str">
        <f>HYPERLINK("https://github.com/ankidroid/Anki-Android/issues/2422", "show")</f>
        <v>show</v>
      </c>
      <c r="G841" t="str">
        <f t="shared" si="12"/>
        <v>show</v>
      </c>
      <c r="H841" t="str">
        <f t="shared" si="13"/>
        <v>show</v>
      </c>
      <c r="I841">
        <v>0</v>
      </c>
      <c r="J841">
        <v>0</v>
      </c>
      <c r="K841">
        <v>0</v>
      </c>
      <c r="L841">
        <v>0</v>
      </c>
      <c r="M841" t="s">
        <v>43</v>
      </c>
    </row>
    <row r="842" spans="1:13" x14ac:dyDescent="0.15">
      <c r="A842" t="s">
        <v>2687</v>
      </c>
      <c r="B842" t="s">
        <v>2688</v>
      </c>
      <c r="C842" t="s">
        <v>2689</v>
      </c>
      <c r="D842" t="s">
        <v>1596</v>
      </c>
      <c r="E842">
        <v>0</v>
      </c>
      <c r="F842" t="str">
        <f>HYPERLINK("https://github.com/ankidroid/Anki-Android/issues/2418", "show")</f>
        <v>show</v>
      </c>
      <c r="G842" t="str">
        <f t="shared" si="12"/>
        <v>show</v>
      </c>
      <c r="H842" t="str">
        <f t="shared" si="13"/>
        <v>show</v>
      </c>
      <c r="I842">
        <v>0</v>
      </c>
      <c r="J842">
        <v>1</v>
      </c>
      <c r="K842">
        <v>0</v>
      </c>
      <c r="L842">
        <v>0</v>
      </c>
      <c r="M842" t="s">
        <v>139</v>
      </c>
    </row>
    <row r="843" spans="1:13" x14ac:dyDescent="0.15">
      <c r="A843" t="s">
        <v>2690</v>
      </c>
      <c r="B843" t="s">
        <v>2691</v>
      </c>
      <c r="C843" t="s">
        <v>2692</v>
      </c>
      <c r="D843" t="s">
        <v>1596</v>
      </c>
      <c r="E843">
        <v>0</v>
      </c>
      <c r="F843" t="str">
        <f>HYPERLINK("https://github.com/ankidroid/Anki-Android/issues/2417", "show")</f>
        <v>show</v>
      </c>
      <c r="G843" t="str">
        <f t="shared" si="12"/>
        <v>show</v>
      </c>
      <c r="H843" t="str">
        <f t="shared" si="13"/>
        <v>show</v>
      </c>
      <c r="I843">
        <v>0</v>
      </c>
      <c r="J843">
        <v>1</v>
      </c>
      <c r="K843">
        <v>0</v>
      </c>
      <c r="L843">
        <v>0</v>
      </c>
      <c r="M843" t="s">
        <v>139</v>
      </c>
    </row>
    <row r="844" spans="1:13" hidden="1" x14ac:dyDescent="0.15">
      <c r="A844" t="s">
        <v>2693</v>
      </c>
      <c r="B844" t="s">
        <v>2694</v>
      </c>
      <c r="C844" t="s">
        <v>2695</v>
      </c>
      <c r="D844" t="s">
        <v>1596</v>
      </c>
      <c r="E844">
        <v>0</v>
      </c>
      <c r="F844" t="str">
        <f>HYPERLINK("https://github.com/ankidroid/Anki-Android/issues/2415", "show")</f>
        <v>show</v>
      </c>
      <c r="G844" t="str">
        <f t="shared" si="12"/>
        <v>show</v>
      </c>
      <c r="H844" t="str">
        <f t="shared" si="13"/>
        <v>show</v>
      </c>
      <c r="I844">
        <v>1</v>
      </c>
      <c r="J844">
        <v>0</v>
      </c>
      <c r="K844">
        <v>0</v>
      </c>
      <c r="L844">
        <v>0</v>
      </c>
      <c r="M844" t="s">
        <v>17</v>
      </c>
    </row>
    <row r="845" spans="1:13" x14ac:dyDescent="0.15">
      <c r="A845" t="s">
        <v>2696</v>
      </c>
      <c r="B845" t="s">
        <v>2697</v>
      </c>
      <c r="C845" t="s">
        <v>2698</v>
      </c>
      <c r="D845" t="s">
        <v>1596</v>
      </c>
      <c r="E845">
        <v>0</v>
      </c>
      <c r="F845" t="str">
        <f>HYPERLINK("https://github.com/ankidroid/Anki-Android/issues/2409", "show")</f>
        <v>show</v>
      </c>
      <c r="G845" t="str">
        <f t="shared" si="12"/>
        <v>show</v>
      </c>
      <c r="H845" t="str">
        <f t="shared" si="13"/>
        <v>show</v>
      </c>
      <c r="I845">
        <v>0</v>
      </c>
      <c r="J845">
        <v>1</v>
      </c>
      <c r="K845">
        <v>0</v>
      </c>
      <c r="L845">
        <v>0</v>
      </c>
      <c r="M845" t="s">
        <v>139</v>
      </c>
    </row>
    <row r="846" spans="1:13" x14ac:dyDescent="0.15">
      <c r="A846" t="s">
        <v>2699</v>
      </c>
      <c r="B846" t="s">
        <v>2700</v>
      </c>
      <c r="C846" t="s">
        <v>2701</v>
      </c>
      <c r="D846" t="s">
        <v>1596</v>
      </c>
      <c r="E846">
        <v>0</v>
      </c>
      <c r="F846" t="str">
        <f>HYPERLINK("https://github.com/ankidroid/Anki-Android/issues/2408", "show")</f>
        <v>show</v>
      </c>
      <c r="G846" t="str">
        <f t="shared" si="12"/>
        <v>show</v>
      </c>
      <c r="H846" t="str">
        <f t="shared" si="13"/>
        <v>show</v>
      </c>
      <c r="I846">
        <v>0</v>
      </c>
      <c r="J846">
        <v>1</v>
      </c>
      <c r="K846">
        <v>0</v>
      </c>
      <c r="L846">
        <v>0</v>
      </c>
      <c r="M846" t="s">
        <v>139</v>
      </c>
    </row>
    <row r="847" spans="1:13" hidden="1" x14ac:dyDescent="0.15">
      <c r="A847" t="s">
        <v>2702</v>
      </c>
      <c r="B847" t="s">
        <v>2703</v>
      </c>
      <c r="C847" t="s">
        <v>2704</v>
      </c>
      <c r="D847" t="s">
        <v>1596</v>
      </c>
      <c r="E847">
        <v>0</v>
      </c>
      <c r="F847" t="str">
        <f>HYPERLINK("https://github.com/ankidroid/Anki-Android/issues/2407", "show")</f>
        <v>show</v>
      </c>
      <c r="G847" t="str">
        <f t="shared" si="12"/>
        <v>show</v>
      </c>
      <c r="H847" t="str">
        <f t="shared" si="13"/>
        <v>show</v>
      </c>
      <c r="I847">
        <v>0</v>
      </c>
      <c r="J847">
        <v>0</v>
      </c>
      <c r="K847">
        <v>0</v>
      </c>
      <c r="L847">
        <v>0</v>
      </c>
      <c r="M847" t="s">
        <v>43</v>
      </c>
    </row>
    <row r="848" spans="1:13" x14ac:dyDescent="0.15">
      <c r="A848" t="s">
        <v>2705</v>
      </c>
      <c r="B848" t="s">
        <v>2706</v>
      </c>
      <c r="C848" t="s">
        <v>2707</v>
      </c>
      <c r="D848" t="s">
        <v>1596</v>
      </c>
      <c r="E848">
        <v>0</v>
      </c>
      <c r="F848" t="str">
        <f>HYPERLINK("https://github.com/ankidroid/Anki-Android/issues/2406", "show")</f>
        <v>show</v>
      </c>
      <c r="G848" t="str">
        <f t="shared" si="12"/>
        <v>show</v>
      </c>
      <c r="H848" t="str">
        <f t="shared" si="13"/>
        <v>show</v>
      </c>
      <c r="I848">
        <v>0</v>
      </c>
      <c r="J848">
        <v>1</v>
      </c>
      <c r="K848">
        <v>0</v>
      </c>
      <c r="L848">
        <v>0</v>
      </c>
      <c r="M848" t="s">
        <v>139</v>
      </c>
    </row>
    <row r="849" spans="1:13" hidden="1" x14ac:dyDescent="0.15">
      <c r="A849" t="s">
        <v>2708</v>
      </c>
      <c r="B849" t="s">
        <v>2709</v>
      </c>
      <c r="C849" t="s">
        <v>2710</v>
      </c>
      <c r="D849" t="s">
        <v>1596</v>
      </c>
      <c r="E849">
        <v>0</v>
      </c>
      <c r="F849" t="str">
        <f>HYPERLINK("https://github.com/ankidroid/Anki-Android/issues/2404", "show")</f>
        <v>show</v>
      </c>
      <c r="G849" t="str">
        <f t="shared" si="12"/>
        <v>show</v>
      </c>
      <c r="H849" t="str">
        <f t="shared" si="13"/>
        <v>show</v>
      </c>
      <c r="I849">
        <v>1</v>
      </c>
      <c r="J849">
        <v>1</v>
      </c>
      <c r="K849">
        <v>0</v>
      </c>
      <c r="L849">
        <v>0</v>
      </c>
      <c r="M849" t="s">
        <v>48</v>
      </c>
    </row>
    <row r="850" spans="1:13" x14ac:dyDescent="0.15">
      <c r="A850" t="s">
        <v>2711</v>
      </c>
      <c r="B850" t="s">
        <v>2712</v>
      </c>
      <c r="C850" t="s">
        <v>2713</v>
      </c>
      <c r="D850" t="s">
        <v>1596</v>
      </c>
      <c r="E850">
        <v>0</v>
      </c>
      <c r="F850" t="str">
        <f>HYPERLINK("https://github.com/ankidroid/Anki-Android/issues/2403", "show")</f>
        <v>show</v>
      </c>
      <c r="G850" t="str">
        <f t="shared" si="12"/>
        <v>show</v>
      </c>
      <c r="H850" t="str">
        <f t="shared" si="13"/>
        <v>show</v>
      </c>
      <c r="I850">
        <v>0</v>
      </c>
      <c r="J850">
        <v>1</v>
      </c>
      <c r="K850">
        <v>0</v>
      </c>
      <c r="L850">
        <v>0</v>
      </c>
      <c r="M850" t="s">
        <v>139</v>
      </c>
    </row>
    <row r="851" spans="1:13" hidden="1" x14ac:dyDescent="0.15">
      <c r="A851" t="s">
        <v>2714</v>
      </c>
      <c r="B851" t="s">
        <v>2715</v>
      </c>
      <c r="C851" t="s">
        <v>2716</v>
      </c>
      <c r="D851" t="s">
        <v>1596</v>
      </c>
      <c r="E851">
        <v>0</v>
      </c>
      <c r="F851" t="str">
        <f>HYPERLINK("https://github.com/ankidroid/Anki-Android/issues/2400", "show")</f>
        <v>show</v>
      </c>
      <c r="G851" t="str">
        <f t="shared" si="12"/>
        <v>show</v>
      </c>
      <c r="H851" t="str">
        <f t="shared" si="13"/>
        <v>show</v>
      </c>
      <c r="I851">
        <v>1</v>
      </c>
      <c r="J851">
        <v>1</v>
      </c>
      <c r="K851">
        <v>0</v>
      </c>
      <c r="L851">
        <v>0</v>
      </c>
      <c r="M851" t="s">
        <v>48</v>
      </c>
    </row>
    <row r="852" spans="1:13" hidden="1" x14ac:dyDescent="0.15">
      <c r="A852" t="s">
        <v>2717</v>
      </c>
      <c r="B852" t="s">
        <v>2718</v>
      </c>
      <c r="C852" t="s">
        <v>2719</v>
      </c>
      <c r="D852" t="s">
        <v>2720</v>
      </c>
      <c r="E852">
        <v>0</v>
      </c>
      <c r="F852" t="str">
        <f>HYPERLINK("https://github.com/Fermat-ORG/fermat-framework/issues/970", "show")</f>
        <v>show</v>
      </c>
      <c r="G852" t="str">
        <f>HYPERLINK("https://github.com/Fermat-ORG/fermat-framework", "show")</f>
        <v>show</v>
      </c>
      <c r="H852" t="str">
        <f>HYPERLINK("https://github.com/Fermat-ORG/fermat-framework/releases", "show")</f>
        <v>show</v>
      </c>
      <c r="I852">
        <v>0</v>
      </c>
      <c r="J852">
        <v>0</v>
      </c>
      <c r="K852">
        <v>1</v>
      </c>
      <c r="L852">
        <v>0</v>
      </c>
      <c r="M852" t="s">
        <v>122</v>
      </c>
    </row>
    <row r="853" spans="1:13" hidden="1" x14ac:dyDescent="0.15">
      <c r="A853" t="s">
        <v>2721</v>
      </c>
      <c r="B853" t="s">
        <v>2722</v>
      </c>
      <c r="C853" t="s">
        <v>2723</v>
      </c>
      <c r="D853" t="s">
        <v>2720</v>
      </c>
      <c r="E853">
        <v>0</v>
      </c>
      <c r="F853" t="str">
        <f>HYPERLINK("https://github.com/Fermat-ORG/fermat-framework/issues/967", "show")</f>
        <v>show</v>
      </c>
      <c r="G853" t="str">
        <f>HYPERLINK("https://github.com/Fermat-ORG/fermat-framework", "show")</f>
        <v>show</v>
      </c>
      <c r="H853" t="str">
        <f>HYPERLINK("https://github.com/Fermat-ORG/fermat-framework/releases", "show")</f>
        <v>show</v>
      </c>
      <c r="I853">
        <v>0</v>
      </c>
      <c r="J853">
        <v>1</v>
      </c>
      <c r="K853">
        <v>1</v>
      </c>
      <c r="L853">
        <v>0</v>
      </c>
      <c r="M853" t="s">
        <v>699</v>
      </c>
    </row>
    <row r="854" spans="1:13" hidden="1" x14ac:dyDescent="0.15">
      <c r="A854" t="s">
        <v>2724</v>
      </c>
      <c r="B854" t="s">
        <v>2725</v>
      </c>
      <c r="C854" t="s">
        <v>2726</v>
      </c>
      <c r="D854" t="s">
        <v>2720</v>
      </c>
      <c r="E854">
        <v>60</v>
      </c>
      <c r="F854" t="str">
        <f>HYPERLINK("https://github.com/Bathlamos/RTDC/issues/73", "show")</f>
        <v>show</v>
      </c>
      <c r="G854" t="str">
        <f>HYPERLINK("https://github.com/Bathlamos/RTDC", "show")</f>
        <v>show</v>
      </c>
      <c r="H854" t="str">
        <f>HYPERLINK("https://github.com/Bathlamos/RTDC/releases", "show")</f>
        <v>show</v>
      </c>
      <c r="I854">
        <v>1</v>
      </c>
      <c r="J854">
        <v>0</v>
      </c>
      <c r="K854">
        <v>1</v>
      </c>
      <c r="L854">
        <v>0</v>
      </c>
      <c r="M854" t="s">
        <v>64</v>
      </c>
    </row>
    <row r="855" spans="1:13" hidden="1" x14ac:dyDescent="0.15">
      <c r="A855" t="s">
        <v>2727</v>
      </c>
      <c r="B855" t="s">
        <v>2728</v>
      </c>
      <c r="C855" t="s">
        <v>2729</v>
      </c>
      <c r="D855" t="s">
        <v>2730</v>
      </c>
      <c r="E855">
        <v>10</v>
      </c>
      <c r="F855" t="str">
        <f>HYPERLINK("https://github.com/koral--/android-gif-drawable/issues/194", "show")</f>
        <v>show</v>
      </c>
      <c r="G855" t="str">
        <f>HYPERLINK("https://github.com/koral--/android-gif-drawable", "show")</f>
        <v>show</v>
      </c>
      <c r="H855" t="str">
        <f>HYPERLINK("https://github.com/koral--/android-gif-drawable/releases", "show")</f>
        <v>show</v>
      </c>
      <c r="I855">
        <v>1</v>
      </c>
      <c r="J855">
        <v>0</v>
      </c>
      <c r="K855">
        <v>0</v>
      </c>
      <c r="L855">
        <v>1</v>
      </c>
      <c r="M855" t="s">
        <v>29</v>
      </c>
    </row>
    <row r="856" spans="1:13" hidden="1" x14ac:dyDescent="0.15">
      <c r="A856" t="s">
        <v>2731</v>
      </c>
      <c r="B856" t="s">
        <v>2732</v>
      </c>
      <c r="C856" t="s">
        <v>2733</v>
      </c>
      <c r="D856" t="s">
        <v>2734</v>
      </c>
      <c r="E856">
        <v>225</v>
      </c>
      <c r="F856" t="str">
        <f>HYPERLINK("https://github.com/gdg-x/frisbee/issues/447", "show")</f>
        <v>show</v>
      </c>
      <c r="G856" t="str">
        <f>HYPERLINK("https://github.com/gdg-x/frisbee", "show")</f>
        <v>show</v>
      </c>
      <c r="H856" t="str">
        <f>HYPERLINK("https://github.com/gdg-x/frisbee/releases", "show")</f>
        <v>show</v>
      </c>
      <c r="I856">
        <v>0</v>
      </c>
      <c r="J856">
        <v>0</v>
      </c>
      <c r="K856">
        <v>0</v>
      </c>
      <c r="L856">
        <v>0</v>
      </c>
      <c r="M856" t="s">
        <v>43</v>
      </c>
    </row>
    <row r="857" spans="1:13" hidden="1" x14ac:dyDescent="0.15">
      <c r="A857" t="s">
        <v>2735</v>
      </c>
      <c r="B857" t="s">
        <v>2736</v>
      </c>
      <c r="C857" t="s">
        <v>2737</v>
      </c>
      <c r="D857" t="s">
        <v>2738</v>
      </c>
      <c r="E857">
        <v>1</v>
      </c>
      <c r="F857" t="str">
        <f>HYPERLINK("https://github.com/CellularPrivacy/Android-IMSI-Catcher-Detector/issues/595", "show")</f>
        <v>show</v>
      </c>
      <c r="G857" t="str">
        <f>HYPERLINK("https://github.com/CellularPrivacy/Android-IMSI-Catcher-Detector", "show")</f>
        <v>show</v>
      </c>
      <c r="H857" t="str">
        <f>HYPERLINK("https://github.com/CellularPrivacy/Android-IMSI-Catcher-Detector/releases", "show")</f>
        <v>show</v>
      </c>
      <c r="I857">
        <v>0</v>
      </c>
      <c r="J857">
        <v>0</v>
      </c>
      <c r="K857">
        <v>0</v>
      </c>
      <c r="L857">
        <v>0</v>
      </c>
      <c r="M857" t="s">
        <v>43</v>
      </c>
    </row>
    <row r="858" spans="1:13" hidden="1" x14ac:dyDescent="0.15">
      <c r="A858" t="s">
        <v>2739</v>
      </c>
      <c r="B858" t="s">
        <v>2740</v>
      </c>
      <c r="C858" t="s">
        <v>2741</v>
      </c>
      <c r="D858" t="s">
        <v>2738</v>
      </c>
      <c r="E858">
        <v>37</v>
      </c>
      <c r="F858" t="str">
        <f>HYPERLINK("https://github.com/ukanth/afwall/issues/399", "show")</f>
        <v>show</v>
      </c>
      <c r="G858" t="str">
        <f>HYPERLINK("https://github.com/ukanth/afwall", "show")</f>
        <v>show</v>
      </c>
      <c r="H858" t="str">
        <f>HYPERLINK("https://github.com/ukanth/afwall/releases", "show")</f>
        <v>show</v>
      </c>
      <c r="I858">
        <v>1</v>
      </c>
      <c r="J858">
        <v>0</v>
      </c>
      <c r="K858">
        <v>0</v>
      </c>
      <c r="L858">
        <v>0</v>
      </c>
      <c r="M858" t="s">
        <v>17</v>
      </c>
    </row>
    <row r="859" spans="1:13" hidden="1" x14ac:dyDescent="0.15">
      <c r="A859" t="s">
        <v>2742</v>
      </c>
      <c r="B859" t="s">
        <v>2743</v>
      </c>
      <c r="C859" t="s">
        <v>2744</v>
      </c>
      <c r="D859" t="s">
        <v>2738</v>
      </c>
      <c r="E859">
        <v>173</v>
      </c>
      <c r="F859" t="str">
        <f>HYPERLINK("https://github.com/gdg-x/frisbee/issues/457", "show")</f>
        <v>show</v>
      </c>
      <c r="G859" t="str">
        <f>HYPERLINK("https://github.com/gdg-x/frisbee", "show")</f>
        <v>show</v>
      </c>
      <c r="H859" t="str">
        <f>HYPERLINK("https://github.com/gdg-x/frisbee/releases", "show")</f>
        <v>show</v>
      </c>
      <c r="I859">
        <v>0</v>
      </c>
      <c r="J859">
        <v>0</v>
      </c>
      <c r="K859">
        <v>0</v>
      </c>
      <c r="L859">
        <v>0</v>
      </c>
      <c r="M859" t="s">
        <v>43</v>
      </c>
    </row>
    <row r="860" spans="1:13" hidden="1" x14ac:dyDescent="0.15">
      <c r="A860" t="s">
        <v>2745</v>
      </c>
      <c r="B860" t="s">
        <v>2746</v>
      </c>
      <c r="C860" t="s">
        <v>2747</v>
      </c>
      <c r="D860" t="s">
        <v>2748</v>
      </c>
      <c r="E860">
        <v>17</v>
      </c>
      <c r="F860" t="str">
        <f>HYPERLINK("https://github.com/Cardshifter/Cardshifter/issues/337", "show")</f>
        <v>show</v>
      </c>
      <c r="G860" t="str">
        <f>HYPERLINK("https://github.com/Cardshifter/Cardshifter", "show")</f>
        <v>show</v>
      </c>
      <c r="H860" t="str">
        <f>HYPERLINK("https://github.com/Cardshifter/Cardshifter/releases", "show")</f>
        <v>show</v>
      </c>
      <c r="I860">
        <v>0</v>
      </c>
      <c r="J860">
        <v>1</v>
      </c>
      <c r="K860">
        <v>1</v>
      </c>
      <c r="L860">
        <v>1</v>
      </c>
      <c r="M860" t="s">
        <v>427</v>
      </c>
    </row>
    <row r="861" spans="1:13" hidden="1" x14ac:dyDescent="0.15">
      <c r="A861" t="s">
        <v>2749</v>
      </c>
      <c r="B861" t="s">
        <v>2750</v>
      </c>
      <c r="C861" t="s">
        <v>2751</v>
      </c>
      <c r="D861" t="s">
        <v>2748</v>
      </c>
      <c r="E861">
        <v>0</v>
      </c>
      <c r="F861" t="str">
        <f>HYPERLINK("https://github.com/Ereza/CustomActivityOnCrash/issues/9", "show")</f>
        <v>show</v>
      </c>
      <c r="G861" t="str">
        <f>HYPERLINK("https://github.com/Ereza/CustomActivityOnCrash", "show")</f>
        <v>show</v>
      </c>
      <c r="H861" t="str">
        <f>HYPERLINK("https://github.com/Ereza/CustomActivityOnCrash/releases", "show")</f>
        <v>show</v>
      </c>
      <c r="I861">
        <v>1</v>
      </c>
      <c r="J861">
        <v>0</v>
      </c>
      <c r="K861">
        <v>0</v>
      </c>
      <c r="L861">
        <v>0</v>
      </c>
      <c r="M861" t="s">
        <v>17</v>
      </c>
    </row>
    <row r="862" spans="1:13" hidden="1" x14ac:dyDescent="0.15">
      <c r="A862" t="s">
        <v>2752</v>
      </c>
      <c r="B862" t="s">
        <v>2753</v>
      </c>
      <c r="C862" t="s">
        <v>2754</v>
      </c>
      <c r="D862" t="s">
        <v>2748</v>
      </c>
      <c r="E862">
        <v>0</v>
      </c>
      <c r="F862" t="str">
        <f>HYPERLINK("https://github.com/CellularPrivacy/Android-IMSI-Catcher-Detector/issues/596", "show")</f>
        <v>show</v>
      </c>
      <c r="G862" t="str">
        <f>HYPERLINK("https://github.com/CellularPrivacy/Android-IMSI-Catcher-Detector", "show")</f>
        <v>show</v>
      </c>
      <c r="H862" t="str">
        <f>HYPERLINK("https://github.com/CellularPrivacy/Android-IMSI-Catcher-Detector/releases", "show")</f>
        <v>show</v>
      </c>
      <c r="I862">
        <v>0</v>
      </c>
      <c r="J862">
        <v>0</v>
      </c>
      <c r="K862">
        <v>0</v>
      </c>
      <c r="L862">
        <v>0</v>
      </c>
      <c r="M862" t="s">
        <v>43</v>
      </c>
    </row>
    <row r="863" spans="1:13" hidden="1" x14ac:dyDescent="0.15">
      <c r="A863" t="s">
        <v>2755</v>
      </c>
      <c r="B863" t="s">
        <v>2756</v>
      </c>
      <c r="C863" t="s">
        <v>2757</v>
      </c>
      <c r="D863" t="s">
        <v>2748</v>
      </c>
      <c r="E863">
        <v>5</v>
      </c>
      <c r="F863" t="str">
        <f>HYPERLINK("https://github.com/koral--/android-gif-drawable/issues/196", "show")</f>
        <v>show</v>
      </c>
      <c r="G863" t="str">
        <f>HYPERLINK("https://github.com/koral--/android-gif-drawable", "show")</f>
        <v>show</v>
      </c>
      <c r="H863" t="str">
        <f>HYPERLINK("https://github.com/koral--/android-gif-drawable/releases", "show")</f>
        <v>show</v>
      </c>
      <c r="I863">
        <v>0</v>
      </c>
      <c r="J863">
        <v>0</v>
      </c>
      <c r="K863">
        <v>0</v>
      </c>
      <c r="L863">
        <v>0</v>
      </c>
      <c r="M863" t="s">
        <v>43</v>
      </c>
    </row>
    <row r="864" spans="1:13" hidden="1" x14ac:dyDescent="0.15">
      <c r="A864" t="s">
        <v>2758</v>
      </c>
      <c r="B864" t="s">
        <v>2759</v>
      </c>
      <c r="C864" t="s">
        <v>2760</v>
      </c>
      <c r="D864" t="s">
        <v>2761</v>
      </c>
      <c r="E864">
        <v>0</v>
      </c>
      <c r="F864" t="str">
        <f>HYPERLINK("https://github.com/dimagi/commcare-android/issues/483", "show")</f>
        <v>show</v>
      </c>
      <c r="G864" t="str">
        <f>HYPERLINK("https://github.com/dimagi/commcare-android", "show")</f>
        <v>show</v>
      </c>
      <c r="H864" t="str">
        <f>HYPERLINK("https://github.com/dimagi/commcare-android/releases", "show")</f>
        <v>show</v>
      </c>
      <c r="I864">
        <v>0</v>
      </c>
      <c r="J864">
        <v>0</v>
      </c>
      <c r="K864">
        <v>0</v>
      </c>
      <c r="L864">
        <v>0</v>
      </c>
      <c r="M864" t="s">
        <v>43</v>
      </c>
    </row>
    <row r="865" spans="1:13" hidden="1" x14ac:dyDescent="0.15">
      <c r="A865" t="s">
        <v>2762</v>
      </c>
      <c r="B865" t="s">
        <v>2763</v>
      </c>
      <c r="C865" t="s">
        <v>2764</v>
      </c>
      <c r="D865" t="s">
        <v>2761</v>
      </c>
      <c r="E865">
        <v>111</v>
      </c>
      <c r="F865" t="str">
        <f>HYPERLINK("https://github.com/enviroCar/enviroCar-app/issues/258", "show")</f>
        <v>show</v>
      </c>
      <c r="G865" t="str">
        <f>HYPERLINK("https://github.com/enviroCar/enviroCar-app", "show")</f>
        <v>show</v>
      </c>
      <c r="H865" t="str">
        <f>HYPERLINK("https://github.com/enviroCar/enviroCar-app/releases", "show")</f>
        <v>show</v>
      </c>
      <c r="I865">
        <v>0</v>
      </c>
      <c r="J865">
        <v>0</v>
      </c>
      <c r="K865">
        <v>0</v>
      </c>
      <c r="L865">
        <v>0</v>
      </c>
      <c r="M865" t="s">
        <v>43</v>
      </c>
    </row>
    <row r="866" spans="1:13" hidden="1" x14ac:dyDescent="0.15">
      <c r="A866" t="s">
        <v>2765</v>
      </c>
      <c r="B866" t="s">
        <v>2766</v>
      </c>
      <c r="C866" t="s">
        <v>2767</v>
      </c>
      <c r="D866" t="s">
        <v>2768</v>
      </c>
      <c r="E866">
        <v>270</v>
      </c>
      <c r="F866" t="str">
        <f>HYPERLINK("https://github.com/mixpanel/mixpanel-android/issues/251", "show")</f>
        <v>show</v>
      </c>
      <c r="G866" t="str">
        <f>HYPERLINK("https://github.com/mixpanel/mixpanel-android", "show")</f>
        <v>show</v>
      </c>
      <c r="H866" t="str">
        <f>HYPERLINK("https://github.com/mixpanel/mixpanel-android/releases", "show")</f>
        <v>show</v>
      </c>
      <c r="I866">
        <v>1</v>
      </c>
      <c r="J866">
        <v>0</v>
      </c>
      <c r="K866">
        <v>1</v>
      </c>
      <c r="L866">
        <v>0</v>
      </c>
      <c r="M866" t="s">
        <v>64</v>
      </c>
    </row>
    <row r="867" spans="1:13" x14ac:dyDescent="0.15">
      <c r="A867" t="s">
        <v>2769</v>
      </c>
      <c r="B867" t="s">
        <v>2770</v>
      </c>
      <c r="C867" t="s">
        <v>2771</v>
      </c>
      <c r="D867" t="s">
        <v>2768</v>
      </c>
      <c r="E867">
        <v>41</v>
      </c>
      <c r="F867" t="str">
        <f>HYPERLINK("https://github.com/mrmans0n/smart-adapters/issues/5", "show")</f>
        <v>show</v>
      </c>
      <c r="G867" t="str">
        <f>HYPERLINK("https://github.com/mrmans0n/smart-adapters", "show")</f>
        <v>show</v>
      </c>
      <c r="H867" t="str">
        <f>HYPERLINK("https://github.com/mrmans0n/smart-adapters/releases", "show")</f>
        <v>show</v>
      </c>
      <c r="I867">
        <v>0</v>
      </c>
      <c r="J867">
        <v>1</v>
      </c>
      <c r="K867">
        <v>0</v>
      </c>
      <c r="L867">
        <v>0</v>
      </c>
      <c r="M867" t="s">
        <v>139</v>
      </c>
    </row>
    <row r="868" spans="1:13" hidden="1" x14ac:dyDescent="0.15">
      <c r="A868" t="s">
        <v>2772</v>
      </c>
      <c r="B868" t="s">
        <v>2773</v>
      </c>
      <c r="C868" t="s">
        <v>2774</v>
      </c>
      <c r="D868" t="s">
        <v>2768</v>
      </c>
      <c r="E868">
        <v>581</v>
      </c>
      <c r="F868" t="str">
        <f>HYPERLINK("https://github.com/NineWorlds/serenity-android/issues/302", "show")</f>
        <v>show</v>
      </c>
      <c r="G868" t="str">
        <f>HYPERLINK("https://github.com/NineWorlds/serenity-android", "show")</f>
        <v>show</v>
      </c>
      <c r="H868" t="str">
        <f>HYPERLINK("https://github.com/NineWorlds/serenity-android/releases", "show")</f>
        <v>show</v>
      </c>
      <c r="I868">
        <v>1</v>
      </c>
      <c r="J868">
        <v>0</v>
      </c>
      <c r="K868">
        <v>0</v>
      </c>
      <c r="L868">
        <v>0</v>
      </c>
      <c r="M868" t="s">
        <v>17</v>
      </c>
    </row>
    <row r="869" spans="1:13" hidden="1" x14ac:dyDescent="0.15">
      <c r="A869" t="s">
        <v>2775</v>
      </c>
      <c r="B869" t="s">
        <v>2776</v>
      </c>
      <c r="C869" t="s">
        <v>2777</v>
      </c>
      <c r="D869" t="s">
        <v>2768</v>
      </c>
      <c r="E869">
        <v>35</v>
      </c>
      <c r="F869" t="str">
        <f>HYPERLINK("https://github.com/google/ExoPlayer/issues/694", "show")</f>
        <v>show</v>
      </c>
      <c r="G869" t="str">
        <f>HYPERLINK("https://github.com/google/ExoPlayer", "show")</f>
        <v>show</v>
      </c>
      <c r="H869" t="str">
        <f>HYPERLINK("https://github.com/google/ExoPlayer/releases", "show")</f>
        <v>show</v>
      </c>
      <c r="I869">
        <v>1</v>
      </c>
      <c r="J869">
        <v>0</v>
      </c>
      <c r="K869">
        <v>0</v>
      </c>
      <c r="L869">
        <v>0</v>
      </c>
      <c r="M869" t="s">
        <v>17</v>
      </c>
    </row>
    <row r="870" spans="1:13" hidden="1" x14ac:dyDescent="0.15">
      <c r="A870" t="s">
        <v>2778</v>
      </c>
      <c r="B870" t="s">
        <v>2779</v>
      </c>
      <c r="C870" t="s">
        <v>2780</v>
      </c>
      <c r="D870" t="s">
        <v>2768</v>
      </c>
      <c r="E870">
        <v>162</v>
      </c>
      <c r="F870" t="str">
        <f>HYPERLINK("https://github.com/google/ExoPlayer/issues/693", "show")</f>
        <v>show</v>
      </c>
      <c r="G870" t="str">
        <f>HYPERLINK("https://github.com/google/ExoPlayer", "show")</f>
        <v>show</v>
      </c>
      <c r="H870" t="str">
        <f>HYPERLINK("https://github.com/google/ExoPlayer/releases", "show")</f>
        <v>show</v>
      </c>
      <c r="I870">
        <v>1</v>
      </c>
      <c r="J870">
        <v>0</v>
      </c>
      <c r="K870">
        <v>0</v>
      </c>
      <c r="L870">
        <v>0</v>
      </c>
      <c r="M870" t="s">
        <v>17</v>
      </c>
    </row>
    <row r="871" spans="1:13" hidden="1" x14ac:dyDescent="0.15">
      <c r="A871" t="s">
        <v>2781</v>
      </c>
      <c r="B871" t="s">
        <v>2782</v>
      </c>
      <c r="C871" t="s">
        <v>2783</v>
      </c>
      <c r="D871" t="s">
        <v>2784</v>
      </c>
      <c r="E871">
        <v>5</v>
      </c>
      <c r="F871" t="str">
        <f>HYPERLINK("https://github.com/federicoiosue/Omni-Notes/issues/190", "show")</f>
        <v>show</v>
      </c>
      <c r="G871" t="str">
        <f>HYPERLINK("https://github.com/federicoiosue/Omni-Notes", "show")</f>
        <v>show</v>
      </c>
      <c r="H871" t="str">
        <f>HYPERLINK("https://github.com/federicoiosue/Omni-Notes/releases", "show")</f>
        <v>show</v>
      </c>
      <c r="I871">
        <v>1</v>
      </c>
      <c r="J871">
        <v>0</v>
      </c>
      <c r="K871">
        <v>0</v>
      </c>
      <c r="L871">
        <v>0</v>
      </c>
      <c r="M871" t="s">
        <v>17</v>
      </c>
    </row>
    <row r="872" spans="1:13" x14ac:dyDescent="0.15">
      <c r="A872" t="s">
        <v>2785</v>
      </c>
      <c r="B872" t="s">
        <v>2786</v>
      </c>
      <c r="C872" t="s">
        <v>2787</v>
      </c>
      <c r="D872" t="s">
        <v>2788</v>
      </c>
      <c r="E872">
        <v>21</v>
      </c>
      <c r="F872" t="str">
        <f>HYPERLINK("https://github.com/nerzhul/ncsms-android/issues/64", "show")</f>
        <v>show</v>
      </c>
      <c r="G872" t="str">
        <f>HYPERLINK("https://github.com/nerzhul/ncsms-android", "show")</f>
        <v>show</v>
      </c>
      <c r="H872" t="str">
        <f>HYPERLINK("https://github.com/nerzhul/ncsms-android/releases", "show")</f>
        <v>show</v>
      </c>
      <c r="I872">
        <v>0</v>
      </c>
      <c r="J872">
        <v>1</v>
      </c>
      <c r="K872">
        <v>0</v>
      </c>
      <c r="L872">
        <v>0</v>
      </c>
      <c r="M872" t="s">
        <v>139</v>
      </c>
    </row>
    <row r="873" spans="1:13" hidden="1" x14ac:dyDescent="0.15">
      <c r="A873" t="s">
        <v>2789</v>
      </c>
      <c r="B873" t="s">
        <v>2790</v>
      </c>
      <c r="C873" t="s">
        <v>2791</v>
      </c>
      <c r="D873" t="s">
        <v>2792</v>
      </c>
      <c r="E873">
        <v>4</v>
      </c>
      <c r="F873" t="str">
        <f>HYPERLINK("https://github.com/ConnectSDK/Connect-SDK-Android/issues/290", "show")</f>
        <v>show</v>
      </c>
      <c r="G873" t="str">
        <f>HYPERLINK("https://github.com/ConnectSDK/Connect-SDK-Android", "show")</f>
        <v>show</v>
      </c>
      <c r="H873" t="str">
        <f>HYPERLINK("https://github.com/ConnectSDK/Connect-SDK-Android/releases", "show")</f>
        <v>show</v>
      </c>
      <c r="I873">
        <v>1</v>
      </c>
      <c r="J873">
        <v>0</v>
      </c>
      <c r="K873">
        <v>0</v>
      </c>
      <c r="L873">
        <v>0</v>
      </c>
      <c r="M873" t="s">
        <v>17</v>
      </c>
    </row>
    <row r="874" spans="1:13" hidden="1" x14ac:dyDescent="0.15">
      <c r="A874" t="s">
        <v>2793</v>
      </c>
      <c r="B874" t="s">
        <v>2794</v>
      </c>
      <c r="C874" t="s">
        <v>2795</v>
      </c>
      <c r="D874" t="s">
        <v>2792</v>
      </c>
      <c r="E874">
        <v>1</v>
      </c>
      <c r="F874" t="str">
        <f>HYPERLINK("https://github.com/Cloudkibo/Android/issues/26", "show")</f>
        <v>show</v>
      </c>
      <c r="G874" t="str">
        <f>HYPERLINK("https://github.com/Cloudkibo/Android", "show")</f>
        <v>show</v>
      </c>
      <c r="H874" t="str">
        <f>HYPERLINK("https://github.com/Cloudkibo/Android/releases", "show")</f>
        <v>show</v>
      </c>
      <c r="I874">
        <v>1</v>
      </c>
      <c r="J874">
        <v>0</v>
      </c>
      <c r="K874">
        <v>0</v>
      </c>
      <c r="L874">
        <v>0</v>
      </c>
      <c r="M874" t="s">
        <v>17</v>
      </c>
    </row>
    <row r="875" spans="1:13" hidden="1" x14ac:dyDescent="0.15">
      <c r="A875" t="s">
        <v>2796</v>
      </c>
      <c r="B875" t="s">
        <v>2797</v>
      </c>
      <c r="C875" t="s">
        <v>2798</v>
      </c>
      <c r="D875" t="s">
        <v>2792</v>
      </c>
      <c r="E875">
        <v>0</v>
      </c>
      <c r="F875" t="str">
        <f>HYPERLINK("https://github.com/Ereza/CustomActivityOnCrash/issues/12", "show")</f>
        <v>show</v>
      </c>
      <c r="G875" t="str">
        <f>HYPERLINK("https://github.com/Ereza/CustomActivityOnCrash", "show")</f>
        <v>show</v>
      </c>
      <c r="H875" t="str">
        <f>HYPERLINK("https://github.com/Ereza/CustomActivityOnCrash/releases", "show")</f>
        <v>show</v>
      </c>
      <c r="I875">
        <v>0</v>
      </c>
      <c r="J875">
        <v>0</v>
      </c>
      <c r="K875">
        <v>0</v>
      </c>
      <c r="L875">
        <v>0</v>
      </c>
      <c r="M875" t="s">
        <v>43</v>
      </c>
    </row>
    <row r="876" spans="1:13" hidden="1" x14ac:dyDescent="0.15">
      <c r="A876" t="s">
        <v>2799</v>
      </c>
      <c r="B876" t="s">
        <v>2800</v>
      </c>
      <c r="C876" t="s">
        <v>2801</v>
      </c>
      <c r="D876" t="s">
        <v>2792</v>
      </c>
      <c r="E876">
        <v>18</v>
      </c>
      <c r="F876" t="str">
        <f>HYPERLINK("https://github.com/zhuowei/MCPELauncher/issues/264", "show")</f>
        <v>show</v>
      </c>
      <c r="G876" t="str">
        <f>HYPERLINK("https://github.com/zhuowei/MCPELauncher", "show")</f>
        <v>show</v>
      </c>
      <c r="H876" t="str">
        <f>HYPERLINK("https://github.com/zhuowei/MCPELauncher/releases", "show")</f>
        <v>show</v>
      </c>
      <c r="I876">
        <v>0</v>
      </c>
      <c r="J876">
        <v>0</v>
      </c>
      <c r="K876">
        <v>0</v>
      </c>
      <c r="L876">
        <v>0</v>
      </c>
      <c r="M876" t="s">
        <v>43</v>
      </c>
    </row>
    <row r="877" spans="1:13" hidden="1" x14ac:dyDescent="0.15">
      <c r="A877" t="s">
        <v>2802</v>
      </c>
      <c r="B877" t="s">
        <v>2803</v>
      </c>
      <c r="C877" t="s">
        <v>2804</v>
      </c>
      <c r="D877" t="s">
        <v>2805</v>
      </c>
      <c r="E877">
        <v>2</v>
      </c>
      <c r="F877" t="str">
        <f>HYPERLINK("https://github.com/fossasia/open-event-droidgen/issues/70", "show")</f>
        <v>show</v>
      </c>
      <c r="G877" t="str">
        <f>HYPERLINK("https://github.com/fossasia/open-event-droidgen", "show")</f>
        <v>show</v>
      </c>
      <c r="H877" t="str">
        <f>HYPERLINK("https://github.com/fossasia/open-event-droidgen/releases", "show")</f>
        <v>show</v>
      </c>
      <c r="I877">
        <v>1</v>
      </c>
      <c r="J877">
        <v>0</v>
      </c>
      <c r="K877">
        <v>0</v>
      </c>
      <c r="L877">
        <v>0</v>
      </c>
      <c r="M877" t="s">
        <v>17</v>
      </c>
    </row>
    <row r="878" spans="1:13" hidden="1" x14ac:dyDescent="0.15">
      <c r="A878" t="s">
        <v>2806</v>
      </c>
      <c r="B878" t="s">
        <v>2807</v>
      </c>
      <c r="C878" t="s">
        <v>2808</v>
      </c>
      <c r="D878" t="s">
        <v>2809</v>
      </c>
      <c r="E878">
        <v>0</v>
      </c>
      <c r="F878" t="str">
        <f>HYPERLINK("https://github.com/google/google-authenticator-android/issues/31", "show")</f>
        <v>show</v>
      </c>
      <c r="G878" t="str">
        <f>HYPERLINK("https://github.com/google/google-authenticator-android", "show")</f>
        <v>show</v>
      </c>
      <c r="H878" t="str">
        <f>HYPERLINK("https://github.com/google/google-authenticator-android/releases", "show")</f>
        <v>show</v>
      </c>
      <c r="I878">
        <v>1</v>
      </c>
      <c r="J878">
        <v>0</v>
      </c>
      <c r="K878">
        <v>0</v>
      </c>
      <c r="L878">
        <v>0</v>
      </c>
      <c r="M878" t="s">
        <v>17</v>
      </c>
    </row>
    <row r="879" spans="1:13" hidden="1" x14ac:dyDescent="0.15">
      <c r="A879" t="s">
        <v>2810</v>
      </c>
      <c r="B879" t="s">
        <v>2811</v>
      </c>
      <c r="C879" t="s">
        <v>2812</v>
      </c>
      <c r="D879" t="s">
        <v>2809</v>
      </c>
      <c r="E879">
        <v>2</v>
      </c>
      <c r="F879" t="str">
        <f>HYPERLINK("https://github.com/uPhyca/stetho-realm/issues/6", "show")</f>
        <v>show</v>
      </c>
      <c r="G879" t="str">
        <f>HYPERLINK("https://github.com/uPhyca/stetho-realm", "show")</f>
        <v>show</v>
      </c>
      <c r="H879" t="str">
        <f>HYPERLINK("https://github.com/uPhyca/stetho-realm/releases", "show")</f>
        <v>show</v>
      </c>
      <c r="I879">
        <v>1</v>
      </c>
      <c r="J879">
        <v>0</v>
      </c>
      <c r="K879">
        <v>1</v>
      </c>
      <c r="L879">
        <v>0</v>
      </c>
      <c r="M879" t="s">
        <v>64</v>
      </c>
    </row>
    <row r="880" spans="1:13" hidden="1" x14ac:dyDescent="0.15">
      <c r="A880" t="s">
        <v>2813</v>
      </c>
      <c r="B880" t="s">
        <v>2814</v>
      </c>
      <c r="C880" t="s">
        <v>2815</v>
      </c>
      <c r="D880" t="s">
        <v>2809</v>
      </c>
      <c r="E880">
        <v>0</v>
      </c>
      <c r="F880" t="str">
        <f>HYPERLINK("https://github.com/geftimov/android-patternview/issues/5", "show")</f>
        <v>show</v>
      </c>
      <c r="G880" t="str">
        <f>HYPERLINK("https://github.com/geftimov/android-patternview", "show")</f>
        <v>show</v>
      </c>
      <c r="H880" t="str">
        <f>HYPERLINK("https://github.com/geftimov/android-patternview/releases", "show")</f>
        <v>show</v>
      </c>
      <c r="I880">
        <v>1</v>
      </c>
      <c r="J880">
        <v>0</v>
      </c>
      <c r="K880">
        <v>0</v>
      </c>
      <c r="L880">
        <v>0</v>
      </c>
      <c r="M880" t="s">
        <v>17</v>
      </c>
    </row>
    <row r="881" spans="1:13" hidden="1" x14ac:dyDescent="0.15">
      <c r="A881" t="s">
        <v>2816</v>
      </c>
      <c r="B881" t="s">
        <v>2817</v>
      </c>
      <c r="C881" t="s">
        <v>2818</v>
      </c>
      <c r="D881" t="s">
        <v>2819</v>
      </c>
      <c r="E881">
        <v>1</v>
      </c>
      <c r="F881" t="str">
        <f>HYPERLINK("https://github.com/Fleker/CumulusTV/issues/29", "show")</f>
        <v>show</v>
      </c>
      <c r="G881" t="str">
        <f>HYPERLINK("https://github.com/Fleker/CumulusTV", "show")</f>
        <v>show</v>
      </c>
      <c r="H881" t="str">
        <f>HYPERLINK("https://github.com/Fleker/CumulusTV/releases", "show")</f>
        <v>show</v>
      </c>
      <c r="I881">
        <v>0</v>
      </c>
      <c r="J881">
        <v>0</v>
      </c>
      <c r="K881">
        <v>1</v>
      </c>
      <c r="L881">
        <v>0</v>
      </c>
      <c r="M881" t="s">
        <v>122</v>
      </c>
    </row>
    <row r="882" spans="1:13" hidden="1" x14ac:dyDescent="0.15">
      <c r="A882" t="s">
        <v>2820</v>
      </c>
      <c r="B882" t="s">
        <v>2821</v>
      </c>
      <c r="C882" t="s">
        <v>2822</v>
      </c>
      <c r="D882" t="s">
        <v>2819</v>
      </c>
      <c r="E882">
        <v>16</v>
      </c>
      <c r="F882" t="str">
        <f>HYPERLINK("https://github.com/Fleker/CumulusTV/issues/28", "show")</f>
        <v>show</v>
      </c>
      <c r="G882" t="str">
        <f>HYPERLINK("https://github.com/Fleker/CumulusTV", "show")</f>
        <v>show</v>
      </c>
      <c r="H882" t="str">
        <f>HYPERLINK("https://github.com/Fleker/CumulusTV/releases", "show")</f>
        <v>show</v>
      </c>
      <c r="I882">
        <v>0</v>
      </c>
      <c r="J882">
        <v>0</v>
      </c>
      <c r="K882">
        <v>1</v>
      </c>
      <c r="L882">
        <v>0</v>
      </c>
      <c r="M882" t="s">
        <v>122</v>
      </c>
    </row>
    <row r="883" spans="1:13" hidden="1" x14ac:dyDescent="0.15">
      <c r="A883" t="s">
        <v>2823</v>
      </c>
      <c r="B883" t="s">
        <v>2824</v>
      </c>
      <c r="C883" t="s">
        <v>2825</v>
      </c>
      <c r="D883" t="s">
        <v>2819</v>
      </c>
      <c r="E883">
        <v>83</v>
      </c>
      <c r="F883" t="str">
        <f>HYPERLINK("https://github.com/bumptech/glide/issues/578", "show")</f>
        <v>show</v>
      </c>
      <c r="G883" t="str">
        <f>HYPERLINK("https://github.com/bumptech/glide", "show")</f>
        <v>show</v>
      </c>
      <c r="H883" t="str">
        <f>HYPERLINK("https://github.com/bumptech/glide/releases", "show")</f>
        <v>show</v>
      </c>
      <c r="I883">
        <v>0</v>
      </c>
      <c r="J883">
        <v>0</v>
      </c>
      <c r="K883">
        <v>1</v>
      </c>
      <c r="L883">
        <v>0</v>
      </c>
      <c r="M883" t="s">
        <v>122</v>
      </c>
    </row>
    <row r="884" spans="1:13" hidden="1" x14ac:dyDescent="0.15">
      <c r="A884" t="s">
        <v>2826</v>
      </c>
      <c r="B884" t="s">
        <v>2827</v>
      </c>
      <c r="C884" t="s">
        <v>2828</v>
      </c>
      <c r="D884" t="s">
        <v>2829</v>
      </c>
      <c r="E884">
        <v>10</v>
      </c>
      <c r="F884" t="str">
        <f>HYPERLINK("https://github.com/evernote/evernote-sdk-android/issues/50", "show")</f>
        <v>show</v>
      </c>
      <c r="G884" t="str">
        <f>HYPERLINK("https://github.com/evernote/evernote-sdk-android", "show")</f>
        <v>show</v>
      </c>
      <c r="H884" t="str">
        <f>HYPERLINK("https://github.com/evernote/evernote-sdk-android/releases", "show")</f>
        <v>show</v>
      </c>
      <c r="I884">
        <v>1</v>
      </c>
      <c r="J884">
        <v>0</v>
      </c>
      <c r="K884">
        <v>1</v>
      </c>
      <c r="L884">
        <v>0</v>
      </c>
      <c r="M884" t="s">
        <v>64</v>
      </c>
    </row>
    <row r="885" spans="1:13" hidden="1" x14ac:dyDescent="0.15">
      <c r="A885" t="s">
        <v>2830</v>
      </c>
      <c r="B885" t="s">
        <v>2831</v>
      </c>
      <c r="C885" t="s">
        <v>2832</v>
      </c>
      <c r="D885" t="s">
        <v>2833</v>
      </c>
      <c r="E885">
        <v>200</v>
      </c>
      <c r="F885" t="str">
        <f>HYPERLINK("https://github.com/groundupworks/wings/issues/30", "show")</f>
        <v>show</v>
      </c>
      <c r="G885" t="str">
        <f>HYPERLINK("https://github.com/groundupworks/wings", "show")</f>
        <v>show</v>
      </c>
      <c r="H885" t="str">
        <f>HYPERLINK("https://github.com/groundupworks/wings/releases", "show")</f>
        <v>show</v>
      </c>
      <c r="I885">
        <v>1</v>
      </c>
      <c r="J885">
        <v>0</v>
      </c>
      <c r="K885">
        <v>0</v>
      </c>
      <c r="L885">
        <v>0</v>
      </c>
      <c r="M885" t="s">
        <v>17</v>
      </c>
    </row>
    <row r="886" spans="1:13" hidden="1" x14ac:dyDescent="0.15">
      <c r="A886" t="s">
        <v>2834</v>
      </c>
      <c r="B886" t="s">
        <v>2835</v>
      </c>
      <c r="C886" t="s">
        <v>2836</v>
      </c>
      <c r="D886" t="s">
        <v>2833</v>
      </c>
      <c r="E886">
        <v>5</v>
      </c>
      <c r="F886" t="str">
        <f>HYPERLINK("https://github.com/Cloudkibo/Android/issues/27", "show")</f>
        <v>show</v>
      </c>
      <c r="G886" t="str">
        <f>HYPERLINK("https://github.com/Cloudkibo/Android", "show")</f>
        <v>show</v>
      </c>
      <c r="H886" t="str">
        <f>HYPERLINK("https://github.com/Cloudkibo/Android/releases", "show")</f>
        <v>show</v>
      </c>
      <c r="I886">
        <v>1</v>
      </c>
      <c r="J886">
        <v>0</v>
      </c>
      <c r="K886">
        <v>0</v>
      </c>
      <c r="L886">
        <v>0</v>
      </c>
      <c r="M886" t="s">
        <v>17</v>
      </c>
    </row>
    <row r="887" spans="1:13" hidden="1" x14ac:dyDescent="0.15">
      <c r="A887" t="s">
        <v>2837</v>
      </c>
      <c r="B887" t="s">
        <v>2838</v>
      </c>
      <c r="C887" t="s">
        <v>2839</v>
      </c>
      <c r="D887" t="s">
        <v>2840</v>
      </c>
      <c r="E887">
        <v>8</v>
      </c>
      <c r="F887" t="str">
        <f>HYPERLINK("https://github.com/Cloudkibo/Android/issues/46", "show")</f>
        <v>show</v>
      </c>
      <c r="G887" t="str">
        <f>HYPERLINK("https://github.com/Cloudkibo/Android", "show")</f>
        <v>show</v>
      </c>
      <c r="H887" t="str">
        <f>HYPERLINK("https://github.com/Cloudkibo/Android/releases", "show")</f>
        <v>show</v>
      </c>
      <c r="I887">
        <v>1</v>
      </c>
      <c r="J887">
        <v>0</v>
      </c>
      <c r="K887">
        <v>0</v>
      </c>
      <c r="L887">
        <v>0</v>
      </c>
      <c r="M887" t="s">
        <v>17</v>
      </c>
    </row>
    <row r="888" spans="1:13" hidden="1" x14ac:dyDescent="0.15">
      <c r="A888" t="s">
        <v>2841</v>
      </c>
      <c r="B888" t="s">
        <v>2842</v>
      </c>
      <c r="C888" t="s">
        <v>2843</v>
      </c>
      <c r="D888" t="s">
        <v>2840</v>
      </c>
      <c r="E888">
        <v>7</v>
      </c>
      <c r="F888" t="str">
        <f>HYPERLINK("https://github.com/Cloudkibo/Android/issues/45", "show")</f>
        <v>show</v>
      </c>
      <c r="G888" t="str">
        <f>HYPERLINK("https://github.com/Cloudkibo/Android", "show")</f>
        <v>show</v>
      </c>
      <c r="H888" t="str">
        <f>HYPERLINK("https://github.com/Cloudkibo/Android/releases", "show")</f>
        <v>show</v>
      </c>
      <c r="I888">
        <v>1</v>
      </c>
      <c r="J888">
        <v>0</v>
      </c>
      <c r="K888">
        <v>0</v>
      </c>
      <c r="L888">
        <v>1</v>
      </c>
      <c r="M888" t="s">
        <v>29</v>
      </c>
    </row>
    <row r="889" spans="1:13" hidden="1" x14ac:dyDescent="0.15">
      <c r="A889" t="s">
        <v>2844</v>
      </c>
      <c r="B889" t="s">
        <v>2845</v>
      </c>
      <c r="C889" t="s">
        <v>2846</v>
      </c>
      <c r="D889" t="s">
        <v>2847</v>
      </c>
      <c r="E889">
        <v>106</v>
      </c>
      <c r="F889" t="str">
        <f>HYPERLINK("https://github.com/square/okhttp/issues/1807", "show")</f>
        <v>show</v>
      </c>
      <c r="G889" t="str">
        <f>HYPERLINK("https://github.com/square/okhttp", "show")</f>
        <v>show</v>
      </c>
      <c r="H889" t="str">
        <f>HYPERLINK("https://github.com/square/okhttp/releases", "show")</f>
        <v>show</v>
      </c>
      <c r="I889">
        <v>0</v>
      </c>
      <c r="J889">
        <v>0</v>
      </c>
      <c r="K889">
        <v>0</v>
      </c>
      <c r="L889">
        <v>0</v>
      </c>
      <c r="M889" t="s">
        <v>43</v>
      </c>
    </row>
    <row r="890" spans="1:13" hidden="1" x14ac:dyDescent="0.15">
      <c r="A890" t="s">
        <v>2848</v>
      </c>
      <c r="B890" t="s">
        <v>2849</v>
      </c>
      <c r="D890" t="s">
        <v>2850</v>
      </c>
      <c r="E890">
        <v>3</v>
      </c>
      <c r="F890" t="str">
        <f>HYPERLINK("https://github.com/kabouzeid/Phonograph/issues/57", "show")</f>
        <v>show</v>
      </c>
      <c r="G890" t="str">
        <f>HYPERLINK("https://github.com/kabouzeid/Phonograph", "show")</f>
        <v>show</v>
      </c>
      <c r="H890" t="str">
        <f>HYPERLINK("https://github.com/kabouzeid/Phonograph/releases", "show")</f>
        <v>show</v>
      </c>
      <c r="I890">
        <v>1</v>
      </c>
      <c r="J890">
        <v>0</v>
      </c>
      <c r="K890">
        <v>0</v>
      </c>
      <c r="L890">
        <v>0</v>
      </c>
      <c r="M890" t="s">
        <v>17</v>
      </c>
    </row>
    <row r="891" spans="1:13" hidden="1" x14ac:dyDescent="0.15">
      <c r="A891" t="s">
        <v>2851</v>
      </c>
      <c r="B891" t="s">
        <v>2852</v>
      </c>
      <c r="C891" t="s">
        <v>2853</v>
      </c>
      <c r="D891" t="s">
        <v>2850</v>
      </c>
      <c r="E891">
        <v>27</v>
      </c>
      <c r="F891" t="str">
        <f>HYPERLINK("https://github.com/bumptech/glide/issues/586", "show")</f>
        <v>show</v>
      </c>
      <c r="G891" t="str">
        <f>HYPERLINK("https://github.com/bumptech/glide", "show")</f>
        <v>show</v>
      </c>
      <c r="H891" t="str">
        <f>HYPERLINK("https://github.com/bumptech/glide/releases", "show")</f>
        <v>show</v>
      </c>
      <c r="I891">
        <v>1</v>
      </c>
      <c r="J891">
        <v>0</v>
      </c>
      <c r="K891">
        <v>1</v>
      </c>
      <c r="L891">
        <v>0</v>
      </c>
      <c r="M891" t="s">
        <v>64</v>
      </c>
    </row>
    <row r="892" spans="1:13" hidden="1" x14ac:dyDescent="0.15">
      <c r="A892" t="s">
        <v>2854</v>
      </c>
      <c r="B892" t="s">
        <v>2855</v>
      </c>
      <c r="C892" t="s">
        <v>2856</v>
      </c>
      <c r="D892" t="s">
        <v>2857</v>
      </c>
      <c r="E892">
        <v>1</v>
      </c>
      <c r="F892" t="str">
        <f>HYPERLINK("https://github.com/JordanMoffat/KitchenPal/issues/13", "show")</f>
        <v>show</v>
      </c>
      <c r="G892" t="str">
        <f>HYPERLINK("https://github.com/JordanMoffat/KitchenPal", "show")</f>
        <v>show</v>
      </c>
      <c r="H892" t="str">
        <f>HYPERLINK("https://github.com/JordanMoffat/KitchenPal/releases", "show")</f>
        <v>show</v>
      </c>
      <c r="I892">
        <v>1</v>
      </c>
      <c r="J892">
        <v>0</v>
      </c>
      <c r="K892">
        <v>0</v>
      </c>
      <c r="L892">
        <v>0</v>
      </c>
      <c r="M892" t="s">
        <v>17</v>
      </c>
    </row>
    <row r="893" spans="1:13" hidden="1" x14ac:dyDescent="0.15">
      <c r="A893" t="s">
        <v>2858</v>
      </c>
      <c r="B893" t="s">
        <v>2859</v>
      </c>
      <c r="C893" t="s">
        <v>2860</v>
      </c>
      <c r="D893" t="s">
        <v>2857</v>
      </c>
      <c r="E893">
        <v>38</v>
      </c>
      <c r="F893" t="str">
        <f>HYPERLINK("https://github.com/aikuma/aikuma/issues/528", "show")</f>
        <v>show</v>
      </c>
      <c r="G893" t="str">
        <f>HYPERLINK("https://github.com/aikuma/aikuma", "show")</f>
        <v>show</v>
      </c>
      <c r="H893" t="str">
        <f>HYPERLINK("https://github.com/aikuma/aikuma/releases", "show")</f>
        <v>show</v>
      </c>
      <c r="I893">
        <v>1</v>
      </c>
      <c r="J893">
        <v>0</v>
      </c>
      <c r="K893">
        <v>0</v>
      </c>
      <c r="L893">
        <v>0</v>
      </c>
      <c r="M893" t="s">
        <v>17</v>
      </c>
    </row>
    <row r="894" spans="1:13" hidden="1" x14ac:dyDescent="0.15">
      <c r="A894" t="s">
        <v>2861</v>
      </c>
      <c r="B894" t="s">
        <v>2862</v>
      </c>
      <c r="C894" t="s">
        <v>2863</v>
      </c>
      <c r="D894" t="s">
        <v>2857</v>
      </c>
      <c r="E894">
        <v>159</v>
      </c>
      <c r="F894" t="str">
        <f>HYPERLINK("https://github.com/ZieIony/Carbon/issues/130", "show")</f>
        <v>show</v>
      </c>
      <c r="G894" t="str">
        <f>HYPERLINK("https://github.com/ZieIony/Carbon", "show")</f>
        <v>show</v>
      </c>
      <c r="H894" t="str">
        <f>HYPERLINK("https://github.com/ZieIony/Carbon/releases", "show")</f>
        <v>show</v>
      </c>
      <c r="I894">
        <v>0</v>
      </c>
      <c r="J894">
        <v>0</v>
      </c>
      <c r="K894">
        <v>1</v>
      </c>
      <c r="L894">
        <v>0</v>
      </c>
      <c r="M894" t="s">
        <v>122</v>
      </c>
    </row>
    <row r="895" spans="1:13" hidden="1" x14ac:dyDescent="0.15">
      <c r="A895" t="s">
        <v>2864</v>
      </c>
      <c r="B895" t="s">
        <v>2865</v>
      </c>
      <c r="C895" t="s">
        <v>2866</v>
      </c>
      <c r="D895" t="s">
        <v>2867</v>
      </c>
      <c r="E895">
        <v>1</v>
      </c>
      <c r="F895" t="str">
        <f>HYPERLINK("https://github.com/projectbuendia/client/issues/2", "show")</f>
        <v>show</v>
      </c>
      <c r="G895" t="str">
        <f>HYPERLINK("https://github.com/projectbuendia/client", "show")</f>
        <v>show</v>
      </c>
      <c r="H895" t="str">
        <f>HYPERLINK("https://github.com/projectbuendia/client/releases", "show")</f>
        <v>show</v>
      </c>
      <c r="I895">
        <v>1</v>
      </c>
      <c r="J895">
        <v>0</v>
      </c>
      <c r="K895">
        <v>0</v>
      </c>
      <c r="L895">
        <v>0</v>
      </c>
      <c r="M895" t="s">
        <v>17</v>
      </c>
    </row>
    <row r="896" spans="1:13" hidden="1" x14ac:dyDescent="0.15">
      <c r="A896" t="s">
        <v>2868</v>
      </c>
      <c r="B896" t="s">
        <v>2869</v>
      </c>
      <c r="C896" t="s">
        <v>2870</v>
      </c>
      <c r="D896" t="s">
        <v>2867</v>
      </c>
      <c r="E896">
        <v>8</v>
      </c>
      <c r="F896" t="str">
        <f>HYPERLINK("https://github.com/Fermat-ORG/fermat-framework/issues/1306", "show")</f>
        <v>show</v>
      </c>
      <c r="G896" t="str">
        <f>HYPERLINK("https://github.com/Fermat-ORG/fermat-framework", "show")</f>
        <v>show</v>
      </c>
      <c r="H896" t="str">
        <f>HYPERLINK("https://github.com/Fermat-ORG/fermat-framework/releases", "show")</f>
        <v>show</v>
      </c>
      <c r="I896">
        <v>1</v>
      </c>
      <c r="J896">
        <v>0</v>
      </c>
      <c r="K896">
        <v>0</v>
      </c>
      <c r="L896">
        <v>0</v>
      </c>
      <c r="M896" t="s">
        <v>17</v>
      </c>
    </row>
    <row r="897" spans="1:13" hidden="1" x14ac:dyDescent="0.15">
      <c r="A897" t="s">
        <v>2871</v>
      </c>
      <c r="B897" t="s">
        <v>2872</v>
      </c>
      <c r="C897" t="s">
        <v>2873</v>
      </c>
      <c r="D897" t="s">
        <v>2874</v>
      </c>
      <c r="E897">
        <v>203</v>
      </c>
      <c r="F897" t="str">
        <f>HYPERLINK("https://github.com/saulmm/CoordinatorBehaviorExample/issues/2", "show")</f>
        <v>show</v>
      </c>
      <c r="G897" t="str">
        <f>HYPERLINK("https://github.com/saulmm/CoordinatorBehaviorExample", "show")</f>
        <v>show</v>
      </c>
      <c r="H897" t="str">
        <f>HYPERLINK("https://github.com/saulmm/CoordinatorBehaviorExample/releases", "show")</f>
        <v>show</v>
      </c>
      <c r="I897">
        <v>1</v>
      </c>
      <c r="J897">
        <v>1</v>
      </c>
      <c r="K897">
        <v>1</v>
      </c>
      <c r="L897">
        <v>1</v>
      </c>
      <c r="M897" t="s">
        <v>2875</v>
      </c>
    </row>
    <row r="898" spans="1:13" x14ac:dyDescent="0.15">
      <c r="A898" t="s">
        <v>2876</v>
      </c>
      <c r="B898" t="s">
        <v>2877</v>
      </c>
      <c r="C898" t="s">
        <v>2878</v>
      </c>
      <c r="D898" t="s">
        <v>2879</v>
      </c>
      <c r="E898">
        <v>163</v>
      </c>
      <c r="F898" t="str">
        <f>HYPERLINK("https://github.com/cymcsg/UltimateRecyclerView/issues/170", "show")</f>
        <v>show</v>
      </c>
      <c r="G898" t="str">
        <f>HYPERLINK("https://github.com/cymcsg/UltimateRecyclerView", "show")</f>
        <v>show</v>
      </c>
      <c r="H898" t="str">
        <f>HYPERLINK("https://github.com/cymcsg/UltimateRecyclerView/releases", "show")</f>
        <v>show</v>
      </c>
      <c r="I898">
        <v>0</v>
      </c>
      <c r="J898">
        <v>1</v>
      </c>
      <c r="K898">
        <v>0</v>
      </c>
      <c r="L898">
        <v>0</v>
      </c>
      <c r="M898" t="s">
        <v>139</v>
      </c>
    </row>
    <row r="899" spans="1:13" hidden="1" x14ac:dyDescent="0.15">
      <c r="A899" t="s">
        <v>2880</v>
      </c>
      <c r="B899" t="s">
        <v>2881</v>
      </c>
      <c r="C899" t="s">
        <v>2882</v>
      </c>
      <c r="D899" t="s">
        <v>2883</v>
      </c>
      <c r="E899">
        <v>0</v>
      </c>
      <c r="F899" t="str">
        <f>HYPERLINK("https://github.com/SandersForPresident/BernieAppAndroid/issues/3", "show")</f>
        <v>show</v>
      </c>
      <c r="G899" t="str">
        <f>HYPERLINK("https://github.com/SandersForPresident/BernieAppAndroid", "show")</f>
        <v>show</v>
      </c>
      <c r="H899" t="str">
        <f>HYPERLINK("https://github.com/SandersForPresident/BernieAppAndroid/releases", "show")</f>
        <v>show</v>
      </c>
      <c r="I899">
        <v>1</v>
      </c>
      <c r="J899">
        <v>0</v>
      </c>
      <c r="K899">
        <v>0</v>
      </c>
      <c r="L899">
        <v>0</v>
      </c>
      <c r="M899" t="s">
        <v>17</v>
      </c>
    </row>
    <row r="900" spans="1:13" hidden="1" x14ac:dyDescent="0.15">
      <c r="A900" t="s">
        <v>2884</v>
      </c>
      <c r="B900" t="s">
        <v>2885</v>
      </c>
      <c r="C900" t="s">
        <v>2886</v>
      </c>
      <c r="D900" t="s">
        <v>2887</v>
      </c>
      <c r="E900">
        <v>5</v>
      </c>
      <c r="F900" t="str">
        <f>HYPERLINK("https://github.com/Berlin-Vegan/berlin-vegan-guide/issues/36", "show")</f>
        <v>show</v>
      </c>
      <c r="G900" t="str">
        <f>HYPERLINK("https://github.com/Berlin-Vegan/berlin-vegan-guide", "show")</f>
        <v>show</v>
      </c>
      <c r="H900" t="str">
        <f>HYPERLINK("https://github.com/Berlin-Vegan/berlin-vegan-guide/releases", "show")</f>
        <v>show</v>
      </c>
      <c r="I900">
        <v>1</v>
      </c>
      <c r="J900">
        <v>0</v>
      </c>
      <c r="K900">
        <v>1</v>
      </c>
      <c r="L900">
        <v>0</v>
      </c>
      <c r="M900" t="s">
        <v>64</v>
      </c>
    </row>
    <row r="901" spans="1:13" hidden="1" x14ac:dyDescent="0.15">
      <c r="A901" t="s">
        <v>2888</v>
      </c>
      <c r="B901" t="s">
        <v>2889</v>
      </c>
      <c r="C901" t="s">
        <v>2890</v>
      </c>
      <c r="D901" t="s">
        <v>2887</v>
      </c>
      <c r="E901">
        <v>43</v>
      </c>
      <c r="F901" t="str">
        <f>HYPERLINK("https://github.com/itzikBraun/TutorialView/issues/11", "show")</f>
        <v>show</v>
      </c>
      <c r="G901" t="str">
        <f>HYPERLINK("https://github.com/itzikBraun/TutorialView", "show")</f>
        <v>show</v>
      </c>
      <c r="H901" t="str">
        <f>HYPERLINK("https://github.com/itzikBraun/TutorialView/releases", "show")</f>
        <v>show</v>
      </c>
      <c r="I901">
        <v>1</v>
      </c>
      <c r="J901">
        <v>0</v>
      </c>
      <c r="K901">
        <v>1</v>
      </c>
      <c r="L901">
        <v>0</v>
      </c>
      <c r="M901" t="s">
        <v>64</v>
      </c>
    </row>
    <row r="902" spans="1:13" hidden="1" x14ac:dyDescent="0.15">
      <c r="A902" t="s">
        <v>2891</v>
      </c>
      <c r="B902" t="s">
        <v>2892</v>
      </c>
      <c r="C902" t="s">
        <v>2893</v>
      </c>
      <c r="D902" t="s">
        <v>2894</v>
      </c>
      <c r="E902">
        <v>34</v>
      </c>
      <c r="F902" t="str">
        <f>HYPERLINK("https://github.com/unfoldingWord-dev/uw-android/issues/110", "show")</f>
        <v>show</v>
      </c>
      <c r="G902" t="str">
        <f>HYPERLINK("https://github.com/unfoldingWord-dev/uw-android", "show")</f>
        <v>show</v>
      </c>
      <c r="H902" t="str">
        <f>HYPERLINK("https://github.com/unfoldingWord-dev/uw-android/releases", "show")</f>
        <v>show</v>
      </c>
      <c r="I902">
        <v>1</v>
      </c>
      <c r="J902">
        <v>0</v>
      </c>
      <c r="K902">
        <v>0</v>
      </c>
      <c r="L902">
        <v>0</v>
      </c>
      <c r="M902" t="s">
        <v>17</v>
      </c>
    </row>
    <row r="903" spans="1:13" hidden="1" x14ac:dyDescent="0.15">
      <c r="A903" t="s">
        <v>2895</v>
      </c>
      <c r="B903" t="s">
        <v>2896</v>
      </c>
      <c r="C903" t="s">
        <v>2897</v>
      </c>
      <c r="D903" t="s">
        <v>2894</v>
      </c>
      <c r="E903">
        <v>388</v>
      </c>
      <c r="F903" t="str">
        <f>HYPERLINK("https://github.com/square/okhttp/issues/1826", "show")</f>
        <v>show</v>
      </c>
      <c r="G903" t="str">
        <f>HYPERLINK("https://github.com/square/okhttp", "show")</f>
        <v>show</v>
      </c>
      <c r="H903" t="str">
        <f>HYPERLINK("https://github.com/square/okhttp/releases", "show")</f>
        <v>show</v>
      </c>
      <c r="I903">
        <v>1</v>
      </c>
      <c r="J903">
        <v>0</v>
      </c>
      <c r="K903">
        <v>1</v>
      </c>
      <c r="L903">
        <v>0</v>
      </c>
      <c r="M903" t="s">
        <v>64</v>
      </c>
    </row>
    <row r="904" spans="1:13" hidden="1" x14ac:dyDescent="0.15">
      <c r="A904" t="s">
        <v>2898</v>
      </c>
      <c r="B904" t="s">
        <v>2899</v>
      </c>
      <c r="D904" t="s">
        <v>2900</v>
      </c>
      <c r="E904">
        <v>4</v>
      </c>
      <c r="F904" t="str">
        <f>HYPERLINK("https://github.com/HWComputerScience/iHW-Android/issues/19", "show")</f>
        <v>show</v>
      </c>
      <c r="G904" t="str">
        <f>HYPERLINK("https://github.com/HWComputerScience/iHW-Android", "show")</f>
        <v>show</v>
      </c>
      <c r="H904" t="str">
        <f>HYPERLINK("https://github.com/HWComputerScience/iHW-Android/releases", "show")</f>
        <v>show</v>
      </c>
      <c r="I904">
        <v>0</v>
      </c>
      <c r="J904">
        <v>0</v>
      </c>
      <c r="K904">
        <v>0</v>
      </c>
      <c r="L904">
        <v>0</v>
      </c>
      <c r="M904" t="s">
        <v>43</v>
      </c>
    </row>
    <row r="905" spans="1:13" hidden="1" x14ac:dyDescent="0.15">
      <c r="A905" t="s">
        <v>2901</v>
      </c>
      <c r="B905" t="s">
        <v>2902</v>
      </c>
      <c r="C905" t="s">
        <v>2903</v>
      </c>
      <c r="D905" t="s">
        <v>2900</v>
      </c>
      <c r="E905">
        <v>1907</v>
      </c>
      <c r="F905" t="str">
        <f>HYPERLINK("https://github.com/jMonkeyEngine/jmonkeyengine/issues/322", "show")</f>
        <v>show</v>
      </c>
      <c r="G905" t="str">
        <f>HYPERLINK("https://github.com/jMonkeyEngine/jmonkeyengine", "show")</f>
        <v>show</v>
      </c>
      <c r="H905" t="str">
        <f>HYPERLINK("https://github.com/jMonkeyEngine/jmonkeyengine/releases", "show")</f>
        <v>show</v>
      </c>
      <c r="I905">
        <v>1</v>
      </c>
      <c r="J905">
        <v>0</v>
      </c>
      <c r="K905">
        <v>1</v>
      </c>
      <c r="L905">
        <v>0</v>
      </c>
      <c r="M905" t="s">
        <v>64</v>
      </c>
    </row>
    <row r="906" spans="1:13" hidden="1" x14ac:dyDescent="0.15">
      <c r="A906" t="s">
        <v>2904</v>
      </c>
      <c r="B906" t="s">
        <v>2905</v>
      </c>
      <c r="C906" t="s">
        <v>2906</v>
      </c>
      <c r="D906" t="s">
        <v>2900</v>
      </c>
      <c r="E906">
        <v>10</v>
      </c>
      <c r="F906" t="str">
        <f>HYPERLINK("https://github.com/erickok/transdroid/issues/235", "show")</f>
        <v>show</v>
      </c>
      <c r="G906" t="str">
        <f>HYPERLINK("https://github.com/erickok/transdroid", "show")</f>
        <v>show</v>
      </c>
      <c r="H906" t="str">
        <f>HYPERLINK("https://github.com/erickok/transdroid/releases", "show")</f>
        <v>show</v>
      </c>
      <c r="I906">
        <v>1</v>
      </c>
      <c r="J906">
        <v>0</v>
      </c>
      <c r="K906">
        <v>0</v>
      </c>
      <c r="L906">
        <v>0</v>
      </c>
      <c r="M906" t="s">
        <v>17</v>
      </c>
    </row>
    <row r="907" spans="1:13" hidden="1" x14ac:dyDescent="0.15">
      <c r="A907" t="s">
        <v>2907</v>
      </c>
      <c r="B907" t="s">
        <v>2908</v>
      </c>
      <c r="C907" t="s">
        <v>2909</v>
      </c>
      <c r="D907" t="s">
        <v>2910</v>
      </c>
      <c r="E907">
        <v>2</v>
      </c>
      <c r="F907" t="str">
        <f>HYPERLINK("https://github.com/souliss/soulissapp/issues/32", "show")</f>
        <v>show</v>
      </c>
      <c r="G907" t="str">
        <f>HYPERLINK("https://github.com/souliss/soulissapp", "show")</f>
        <v>show</v>
      </c>
      <c r="H907" t="str">
        <f>HYPERLINK("https://github.com/souliss/soulissapp/releases", "show")</f>
        <v>show</v>
      </c>
      <c r="I907">
        <v>1</v>
      </c>
      <c r="J907">
        <v>0</v>
      </c>
      <c r="K907">
        <v>0</v>
      </c>
      <c r="L907">
        <v>0</v>
      </c>
      <c r="M907" t="s">
        <v>17</v>
      </c>
    </row>
    <row r="908" spans="1:13" hidden="1" x14ac:dyDescent="0.15">
      <c r="A908" t="s">
        <v>2911</v>
      </c>
      <c r="B908" t="s">
        <v>2912</v>
      </c>
      <c r="C908" t="s">
        <v>2913</v>
      </c>
      <c r="D908" t="s">
        <v>2914</v>
      </c>
      <c r="E908">
        <v>102</v>
      </c>
      <c r="F908" t="str">
        <f>HYPERLINK("https://github.com/OneBusAway/onebusaway-android/issues/289", "show")</f>
        <v>show</v>
      </c>
      <c r="G908" t="str">
        <f>HYPERLINK("https://github.com/OneBusAway/onebusaway-android", "show")</f>
        <v>show</v>
      </c>
      <c r="H908" t="str">
        <f>HYPERLINK("https://github.com/OneBusAway/onebusaway-android/releases", "show")</f>
        <v>show</v>
      </c>
      <c r="I908">
        <v>1</v>
      </c>
      <c r="J908">
        <v>1</v>
      </c>
      <c r="K908">
        <v>1</v>
      </c>
      <c r="L908">
        <v>0</v>
      </c>
      <c r="M908" t="s">
        <v>59</v>
      </c>
    </row>
    <row r="909" spans="1:13" x14ac:dyDescent="0.15">
      <c r="A909" t="s">
        <v>2915</v>
      </c>
      <c r="B909" t="s">
        <v>2916</v>
      </c>
      <c r="C909" t="s">
        <v>2917</v>
      </c>
      <c r="D909" t="s">
        <v>2914</v>
      </c>
      <c r="E909">
        <v>0</v>
      </c>
      <c r="F909" t="str">
        <f>HYPERLINK("https://github.com/marverenic/Jockey/issues/22", "show")</f>
        <v>show</v>
      </c>
      <c r="G909" t="str">
        <f>HYPERLINK("https://github.com/marverenic/Jockey", "show")</f>
        <v>show</v>
      </c>
      <c r="H909" t="str">
        <f>HYPERLINK("https://github.com/marverenic/Jockey/releases", "show")</f>
        <v>show</v>
      </c>
      <c r="I909">
        <v>0</v>
      </c>
      <c r="J909">
        <v>1</v>
      </c>
      <c r="K909">
        <v>0</v>
      </c>
      <c r="L909">
        <v>0</v>
      </c>
      <c r="M909" t="s">
        <v>139</v>
      </c>
    </row>
    <row r="910" spans="1:13" hidden="1" x14ac:dyDescent="0.15">
      <c r="A910" t="s">
        <v>2918</v>
      </c>
      <c r="B910" t="s">
        <v>2919</v>
      </c>
      <c r="C910" t="s">
        <v>2920</v>
      </c>
      <c r="D910" t="s">
        <v>2914</v>
      </c>
      <c r="E910">
        <v>34</v>
      </c>
      <c r="F910" t="str">
        <f>HYPERLINK("https://github.com/boxme/SquareCamera/issues/26", "show")</f>
        <v>show</v>
      </c>
      <c r="G910" t="str">
        <f>HYPERLINK("https://github.com/boxme/SquareCamera", "show")</f>
        <v>show</v>
      </c>
      <c r="H910" t="str">
        <f>HYPERLINK("https://github.com/boxme/SquareCamera/releases", "show")</f>
        <v>show</v>
      </c>
      <c r="I910">
        <v>0</v>
      </c>
      <c r="J910">
        <v>0</v>
      </c>
      <c r="K910">
        <v>0</v>
      </c>
      <c r="L910">
        <v>0</v>
      </c>
      <c r="M910" t="s">
        <v>43</v>
      </c>
    </row>
    <row r="911" spans="1:13" hidden="1" x14ac:dyDescent="0.15">
      <c r="A911" t="s">
        <v>2921</v>
      </c>
      <c r="B911" t="s">
        <v>2922</v>
      </c>
      <c r="C911" t="s">
        <v>2923</v>
      </c>
      <c r="D911" t="s">
        <v>2924</v>
      </c>
      <c r="E911">
        <v>104</v>
      </c>
      <c r="F911" t="str">
        <f>HYPERLINK("https://github.com/iBotPeaches/Apktool/issues/1031", "show")</f>
        <v>show</v>
      </c>
      <c r="G911" t="str">
        <f>HYPERLINK("https://github.com/iBotPeaches/Apktool", "show")</f>
        <v>show</v>
      </c>
      <c r="H911" t="str">
        <f>HYPERLINK("https://github.com/iBotPeaches/Apktool/releases", "show")</f>
        <v>show</v>
      </c>
      <c r="I911">
        <v>1</v>
      </c>
      <c r="J911">
        <v>0</v>
      </c>
      <c r="K911">
        <v>1</v>
      </c>
      <c r="L911">
        <v>0</v>
      </c>
      <c r="M911" t="s">
        <v>64</v>
      </c>
    </row>
    <row r="912" spans="1:13" hidden="1" x14ac:dyDescent="0.15">
      <c r="A912" t="s">
        <v>2925</v>
      </c>
      <c r="B912" t="s">
        <v>2926</v>
      </c>
      <c r="C912" t="s">
        <v>2927</v>
      </c>
      <c r="D912" t="s">
        <v>2924</v>
      </c>
      <c r="E912">
        <v>20</v>
      </c>
      <c r="F912" t="str">
        <f>HYPERLINK("https://github.com/Mishiranu/Dashchan/issues/11", "show")</f>
        <v>show</v>
      </c>
      <c r="G912" t="str">
        <f>HYPERLINK("https://github.com/Mishiranu/Dashchan", "show")</f>
        <v>show</v>
      </c>
      <c r="H912" t="str">
        <f>HYPERLINK("https://github.com/Mishiranu/Dashchan/releases", "show")</f>
        <v>show</v>
      </c>
      <c r="I912">
        <v>1</v>
      </c>
      <c r="J912">
        <v>0</v>
      </c>
      <c r="K912">
        <v>0</v>
      </c>
      <c r="L912">
        <v>0</v>
      </c>
      <c r="M912" t="s">
        <v>17</v>
      </c>
    </row>
    <row r="913" spans="1:13" hidden="1" x14ac:dyDescent="0.15">
      <c r="A913" t="s">
        <v>2928</v>
      </c>
      <c r="B913" t="s">
        <v>2929</v>
      </c>
      <c r="C913" t="s">
        <v>2930</v>
      </c>
      <c r="D913" t="s">
        <v>2924</v>
      </c>
      <c r="E913">
        <v>41</v>
      </c>
      <c r="F913" t="str">
        <f>HYPERLINK("https://github.com/unfoldingWord-dev/translationKeyboard/issues/48", "show")</f>
        <v>show</v>
      </c>
      <c r="G913" t="str">
        <f>HYPERLINK("https://github.com/unfoldingWord-dev/translationKeyboard", "show")</f>
        <v>show</v>
      </c>
      <c r="H913" t="str">
        <f>HYPERLINK("https://github.com/unfoldingWord-dev/translationKeyboard/releases", "show")</f>
        <v>show</v>
      </c>
      <c r="I913">
        <v>0</v>
      </c>
      <c r="J913">
        <v>0</v>
      </c>
      <c r="K913">
        <v>1</v>
      </c>
      <c r="L913">
        <v>0</v>
      </c>
      <c r="M913" t="s">
        <v>122</v>
      </c>
    </row>
    <row r="914" spans="1:13" hidden="1" x14ac:dyDescent="0.15">
      <c r="A914" t="s">
        <v>2931</v>
      </c>
      <c r="B914" t="s">
        <v>2932</v>
      </c>
      <c r="C914" t="s">
        <v>2933</v>
      </c>
      <c r="D914" t="s">
        <v>2934</v>
      </c>
      <c r="E914">
        <v>492</v>
      </c>
      <c r="F914" t="str">
        <f>HYPERLINK("https://github.com/Fleker/CumulusTV/issues/44", "show")</f>
        <v>show</v>
      </c>
      <c r="G914" t="str">
        <f>HYPERLINK("https://github.com/Fleker/CumulusTV", "show")</f>
        <v>show</v>
      </c>
      <c r="H914" t="str">
        <f>HYPERLINK("https://github.com/Fleker/CumulusTV/releases", "show")</f>
        <v>show</v>
      </c>
      <c r="I914">
        <v>1</v>
      </c>
      <c r="J914">
        <v>0</v>
      </c>
      <c r="K914">
        <v>0</v>
      </c>
      <c r="L914">
        <v>0</v>
      </c>
      <c r="M914" t="s">
        <v>17</v>
      </c>
    </row>
    <row r="915" spans="1:13" hidden="1" x14ac:dyDescent="0.15">
      <c r="A915" t="s">
        <v>2935</v>
      </c>
      <c r="B915" t="s">
        <v>2936</v>
      </c>
      <c r="C915" t="s">
        <v>2937</v>
      </c>
      <c r="D915" t="s">
        <v>2938</v>
      </c>
      <c r="E915">
        <v>24</v>
      </c>
      <c r="F915" t="str">
        <f>HYPERLINK("https://github.com/k9mail/k-9/issues/771", "show")</f>
        <v>show</v>
      </c>
      <c r="G915" t="str">
        <f>HYPERLINK("https://github.com/k9mail/k-9", "show")</f>
        <v>show</v>
      </c>
      <c r="H915" t="str">
        <f>HYPERLINK("https://github.com/k9mail/k-9/releases", "show")</f>
        <v>show</v>
      </c>
      <c r="I915">
        <v>1</v>
      </c>
      <c r="J915">
        <v>1</v>
      </c>
      <c r="K915">
        <v>0</v>
      </c>
      <c r="L915">
        <v>0</v>
      </c>
      <c r="M915" t="s">
        <v>48</v>
      </c>
    </row>
    <row r="916" spans="1:13" hidden="1" x14ac:dyDescent="0.15">
      <c r="A916" t="s">
        <v>2939</v>
      </c>
      <c r="B916" t="s">
        <v>2940</v>
      </c>
      <c r="C916" t="s">
        <v>2941</v>
      </c>
      <c r="D916" t="s">
        <v>2942</v>
      </c>
      <c r="E916">
        <v>380</v>
      </c>
      <c r="F916" t="str">
        <f>HYPERLINK("https://github.com/square/okhttp/issues/1838", "show")</f>
        <v>show</v>
      </c>
      <c r="G916" t="str">
        <f>HYPERLINK("https://github.com/square/okhttp", "show")</f>
        <v>show</v>
      </c>
      <c r="H916" t="str">
        <f>HYPERLINK("https://github.com/square/okhttp/releases", "show")</f>
        <v>show</v>
      </c>
      <c r="I916">
        <v>0</v>
      </c>
      <c r="J916">
        <v>0</v>
      </c>
      <c r="K916">
        <v>0</v>
      </c>
      <c r="L916">
        <v>0</v>
      </c>
      <c r="M916" t="s">
        <v>43</v>
      </c>
    </row>
    <row r="917" spans="1:13" hidden="1" x14ac:dyDescent="0.15">
      <c r="A917" t="s">
        <v>2943</v>
      </c>
      <c r="B917" t="s">
        <v>2944</v>
      </c>
      <c r="C917" t="s">
        <v>2945</v>
      </c>
      <c r="D917" t="s">
        <v>2942</v>
      </c>
      <c r="E917">
        <v>227</v>
      </c>
      <c r="F917" t="str">
        <f>HYPERLINK("https://github.com/daparker/checkvalve/issues/3", "show")</f>
        <v>show</v>
      </c>
      <c r="G917" t="str">
        <f>HYPERLINK("https://github.com/daparker/checkvalve", "show")</f>
        <v>show</v>
      </c>
      <c r="H917" t="str">
        <f>HYPERLINK("https://github.com/daparker/checkvalve/releases", "show")</f>
        <v>show</v>
      </c>
      <c r="I917">
        <v>1</v>
      </c>
      <c r="J917">
        <v>0</v>
      </c>
      <c r="K917">
        <v>1</v>
      </c>
      <c r="L917">
        <v>0</v>
      </c>
      <c r="M917" t="s">
        <v>64</v>
      </c>
    </row>
    <row r="918" spans="1:13" hidden="1" x14ac:dyDescent="0.15">
      <c r="A918" t="s">
        <v>2946</v>
      </c>
      <c r="B918" t="s">
        <v>2947</v>
      </c>
      <c r="C918" t="s">
        <v>2948</v>
      </c>
      <c r="D918" t="s">
        <v>2942</v>
      </c>
      <c r="E918">
        <v>0</v>
      </c>
      <c r="F918" t="str">
        <f>HYPERLINK("https://github.com/facebook/stetho/issues/274", "show")</f>
        <v>show</v>
      </c>
      <c r="G918" t="str">
        <f>HYPERLINK("https://github.com/facebook/stetho", "show")</f>
        <v>show</v>
      </c>
      <c r="H918" t="str">
        <f>HYPERLINK("https://github.com/facebook/stetho/releases", "show")</f>
        <v>show</v>
      </c>
      <c r="I918">
        <v>0</v>
      </c>
      <c r="J918">
        <v>0</v>
      </c>
      <c r="K918">
        <v>0</v>
      </c>
      <c r="L918">
        <v>0</v>
      </c>
      <c r="M918" t="s">
        <v>43</v>
      </c>
    </row>
    <row r="919" spans="1:13" hidden="1" x14ac:dyDescent="0.15">
      <c r="A919" t="s">
        <v>2949</v>
      </c>
      <c r="B919" t="s">
        <v>2950</v>
      </c>
      <c r="C919" t="s">
        <v>2951</v>
      </c>
      <c r="D919" t="s">
        <v>2942</v>
      </c>
      <c r="E919">
        <v>0</v>
      </c>
      <c r="F919" t="str">
        <f>HYPERLINK("https://github.com/facebook/stetho/issues/272", "show")</f>
        <v>show</v>
      </c>
      <c r="G919" t="str">
        <f>HYPERLINK("https://github.com/facebook/stetho", "show")</f>
        <v>show</v>
      </c>
      <c r="H919" t="str">
        <f>HYPERLINK("https://github.com/facebook/stetho/releases", "show")</f>
        <v>show</v>
      </c>
      <c r="I919">
        <v>0</v>
      </c>
      <c r="J919">
        <v>0</v>
      </c>
      <c r="K919">
        <v>1</v>
      </c>
      <c r="L919">
        <v>0</v>
      </c>
      <c r="M919" t="s">
        <v>122</v>
      </c>
    </row>
    <row r="920" spans="1:13" hidden="1" x14ac:dyDescent="0.15">
      <c r="A920" t="s">
        <v>2952</v>
      </c>
      <c r="B920" t="s">
        <v>2953</v>
      </c>
      <c r="D920" t="s">
        <v>2942</v>
      </c>
      <c r="E920">
        <v>0</v>
      </c>
      <c r="F920" t="str">
        <f>HYPERLINK("https://github.com/moneymanagerex/android-money-manager-ex/issues/472", "show")</f>
        <v>show</v>
      </c>
      <c r="G920" t="str">
        <f>HYPERLINK("https://github.com/moneymanagerex/android-money-manager-ex", "show")</f>
        <v>show</v>
      </c>
      <c r="H920" t="str">
        <f>HYPERLINK("https://github.com/moneymanagerex/android-money-manager-ex/releases", "show")</f>
        <v>show</v>
      </c>
      <c r="I920">
        <v>0</v>
      </c>
      <c r="J920">
        <v>0</v>
      </c>
      <c r="K920">
        <v>0</v>
      </c>
      <c r="L920">
        <v>0</v>
      </c>
      <c r="M920" t="s">
        <v>43</v>
      </c>
    </row>
    <row r="921" spans="1:13" hidden="1" x14ac:dyDescent="0.15">
      <c r="A921" t="s">
        <v>2954</v>
      </c>
      <c r="B921" t="s">
        <v>2955</v>
      </c>
      <c r="D921" t="s">
        <v>2942</v>
      </c>
      <c r="E921">
        <v>0</v>
      </c>
      <c r="F921" t="str">
        <f>HYPERLINK("https://github.com/jt19056/Notey/issues/75", "show")</f>
        <v>show</v>
      </c>
      <c r="G921" t="str">
        <f>HYPERLINK("https://github.com/jt19056/Notey", "show")</f>
        <v>show</v>
      </c>
      <c r="H921" t="str">
        <f>HYPERLINK("https://github.com/jt19056/Notey/releases", "show")</f>
        <v>show</v>
      </c>
      <c r="I921">
        <v>0</v>
      </c>
      <c r="J921">
        <v>0</v>
      </c>
      <c r="K921">
        <v>1</v>
      </c>
      <c r="L921">
        <v>0</v>
      </c>
      <c r="M921" t="s">
        <v>122</v>
      </c>
    </row>
    <row r="922" spans="1:13" hidden="1" x14ac:dyDescent="0.15">
      <c r="A922" t="s">
        <v>2956</v>
      </c>
      <c r="B922" t="s">
        <v>2957</v>
      </c>
      <c r="C922" t="s">
        <v>2958</v>
      </c>
      <c r="D922" t="s">
        <v>2959</v>
      </c>
      <c r="E922">
        <v>12</v>
      </c>
      <c r="F922" t="str">
        <f>HYPERLINK("https://github.com/Cloudkibo/Android/issues/56", "show")</f>
        <v>show</v>
      </c>
      <c r="G922" t="str">
        <f>HYPERLINK("https://github.com/Cloudkibo/Android", "show")</f>
        <v>show</v>
      </c>
      <c r="H922" t="str">
        <f>HYPERLINK("https://github.com/Cloudkibo/Android/releases", "show")</f>
        <v>show</v>
      </c>
      <c r="I922">
        <v>1</v>
      </c>
      <c r="J922">
        <v>0</v>
      </c>
      <c r="K922">
        <v>0</v>
      </c>
      <c r="L922">
        <v>0</v>
      </c>
      <c r="M922" t="s">
        <v>17</v>
      </c>
    </row>
    <row r="923" spans="1:13" hidden="1" x14ac:dyDescent="0.15">
      <c r="A923" t="s">
        <v>2960</v>
      </c>
      <c r="B923" t="s">
        <v>2961</v>
      </c>
      <c r="C923" t="s">
        <v>2962</v>
      </c>
      <c r="D923" t="s">
        <v>2959</v>
      </c>
      <c r="E923">
        <v>15</v>
      </c>
      <c r="F923" t="str">
        <f>HYPERLINK("https://github.com/Mishiranu/Dashchan/issues/12", "show")</f>
        <v>show</v>
      </c>
      <c r="G923" t="str">
        <f>HYPERLINK("https://github.com/Mishiranu/Dashchan", "show")</f>
        <v>show</v>
      </c>
      <c r="H923" t="str">
        <f>HYPERLINK("https://github.com/Mishiranu/Dashchan/releases", "show")</f>
        <v>show</v>
      </c>
      <c r="I923">
        <v>1</v>
      </c>
      <c r="J923">
        <v>0</v>
      </c>
      <c r="K923">
        <v>0</v>
      </c>
      <c r="L923">
        <v>0</v>
      </c>
      <c r="M923" t="s">
        <v>17</v>
      </c>
    </row>
    <row r="924" spans="1:13" hidden="1" x14ac:dyDescent="0.15">
      <c r="A924" t="s">
        <v>2963</v>
      </c>
      <c r="B924" t="s">
        <v>2964</v>
      </c>
      <c r="D924" t="s">
        <v>2965</v>
      </c>
      <c r="E924">
        <v>0</v>
      </c>
      <c r="F924" t="str">
        <f>HYPERLINK("https://github.com/fossasia/open-event-droidgen/issues/80", "show")</f>
        <v>show</v>
      </c>
      <c r="G924" t="str">
        <f>HYPERLINK("https://github.com/fossasia/open-event-droidgen", "show")</f>
        <v>show</v>
      </c>
      <c r="H924" t="str">
        <f>HYPERLINK("https://github.com/fossasia/open-event-droidgen/releases", "show")</f>
        <v>show</v>
      </c>
      <c r="I924">
        <v>1</v>
      </c>
      <c r="J924">
        <v>0</v>
      </c>
      <c r="K924">
        <v>0</v>
      </c>
      <c r="L924">
        <v>0</v>
      </c>
      <c r="M924" t="s">
        <v>17</v>
      </c>
    </row>
    <row r="925" spans="1:13" hidden="1" x14ac:dyDescent="0.15">
      <c r="A925" t="s">
        <v>2966</v>
      </c>
      <c r="B925" t="s">
        <v>2967</v>
      </c>
      <c r="C925" t="s">
        <v>2968</v>
      </c>
      <c r="D925" t="s">
        <v>2965</v>
      </c>
      <c r="E925">
        <v>351</v>
      </c>
      <c r="F925" t="str">
        <f>HYPERLINK("https://github.com/BitPrepared/prbm-mobile/issues/1", "show")</f>
        <v>show</v>
      </c>
      <c r="G925" t="str">
        <f>HYPERLINK("https://github.com/BitPrepared/prbm-mobile", "show")</f>
        <v>show</v>
      </c>
      <c r="H925" t="str">
        <f>HYPERLINK("https://github.com/BitPrepared/prbm-mobile/releases", "show")</f>
        <v>show</v>
      </c>
      <c r="I925">
        <v>0</v>
      </c>
      <c r="J925">
        <v>0</v>
      </c>
      <c r="K925">
        <v>0</v>
      </c>
      <c r="L925">
        <v>0</v>
      </c>
      <c r="M925" t="s">
        <v>43</v>
      </c>
    </row>
    <row r="926" spans="1:13" hidden="1" x14ac:dyDescent="0.15">
      <c r="A926" t="s">
        <v>2969</v>
      </c>
      <c r="B926" t="s">
        <v>2970</v>
      </c>
      <c r="C926" t="s">
        <v>2971</v>
      </c>
      <c r="D926" t="s">
        <v>2972</v>
      </c>
      <c r="E926">
        <v>492</v>
      </c>
      <c r="F926" t="str">
        <f>HYPERLINK("https://github.com/vanilla-music/vanilla/issues/202", "show")</f>
        <v>show</v>
      </c>
      <c r="G926" t="str">
        <f>HYPERLINK("https://github.com/vanilla-music/vanilla", "show")</f>
        <v>show</v>
      </c>
      <c r="H926" t="str">
        <f>HYPERLINK("https://github.com/vanilla-music/vanilla/releases", "show")</f>
        <v>show</v>
      </c>
      <c r="I926">
        <v>1</v>
      </c>
      <c r="J926">
        <v>0</v>
      </c>
      <c r="K926">
        <v>1</v>
      </c>
      <c r="L926">
        <v>0</v>
      </c>
      <c r="M926" t="s">
        <v>64</v>
      </c>
    </row>
    <row r="927" spans="1:13" hidden="1" x14ac:dyDescent="0.15">
      <c r="A927" t="s">
        <v>2973</v>
      </c>
      <c r="B927" t="s">
        <v>2974</v>
      </c>
      <c r="C927" t="s">
        <v>2975</v>
      </c>
      <c r="D927" t="s">
        <v>2972</v>
      </c>
      <c r="E927">
        <v>71</v>
      </c>
      <c r="F927" t="str">
        <f>HYPERLINK("https://github.com/umano/AndroidSlidingUpPanel/issues/536", "show")</f>
        <v>show</v>
      </c>
      <c r="G927" t="str">
        <f>HYPERLINK("https://github.com/umano/AndroidSlidingUpPanel", "show")</f>
        <v>show</v>
      </c>
      <c r="H927" t="str">
        <f>HYPERLINK("https://github.com/umano/AndroidSlidingUpPanel/releases", "show")</f>
        <v>show</v>
      </c>
      <c r="I927">
        <v>0</v>
      </c>
      <c r="J927">
        <v>0</v>
      </c>
      <c r="K927">
        <v>0</v>
      </c>
      <c r="L927">
        <v>0</v>
      </c>
      <c r="M927" t="s">
        <v>43</v>
      </c>
    </row>
    <row r="928" spans="1:13" hidden="1" x14ac:dyDescent="0.15">
      <c r="A928" t="s">
        <v>2976</v>
      </c>
      <c r="B928" t="s">
        <v>2977</v>
      </c>
      <c r="C928" t="s">
        <v>2978</v>
      </c>
      <c r="D928" t="s">
        <v>2972</v>
      </c>
      <c r="E928">
        <v>1854</v>
      </c>
      <c r="F928" t="str">
        <f>HYPERLINK("https://github.com/k9mail/k-9/issues/783", "show")</f>
        <v>show</v>
      </c>
      <c r="G928" t="str">
        <f>HYPERLINK("https://github.com/k9mail/k-9", "show")</f>
        <v>show</v>
      </c>
      <c r="H928" t="str">
        <f>HYPERLINK("https://github.com/k9mail/k-9/releases", "show")</f>
        <v>show</v>
      </c>
      <c r="I928">
        <v>1</v>
      </c>
      <c r="J928">
        <v>0</v>
      </c>
      <c r="K928">
        <v>0</v>
      </c>
      <c r="L928">
        <v>0</v>
      </c>
      <c r="M928" t="s">
        <v>17</v>
      </c>
    </row>
    <row r="929" spans="1:13" hidden="1" x14ac:dyDescent="0.15">
      <c r="A929" t="s">
        <v>2979</v>
      </c>
      <c r="B929" t="s">
        <v>2980</v>
      </c>
      <c r="C929" t="s">
        <v>2981</v>
      </c>
      <c r="D929" t="s">
        <v>2982</v>
      </c>
      <c r="E929">
        <v>10</v>
      </c>
      <c r="F929" t="str">
        <f>HYPERLINK("https://github.com/uPhyca/stetho-realm/issues/7", "show")</f>
        <v>show</v>
      </c>
      <c r="G929" t="str">
        <f>HYPERLINK("https://github.com/uPhyca/stetho-realm", "show")</f>
        <v>show</v>
      </c>
      <c r="H929" t="str">
        <f>HYPERLINK("https://github.com/uPhyca/stetho-realm/releases", "show")</f>
        <v>show</v>
      </c>
      <c r="I929">
        <v>1</v>
      </c>
      <c r="J929">
        <v>0</v>
      </c>
      <c r="K929">
        <v>1</v>
      </c>
      <c r="L929">
        <v>0</v>
      </c>
      <c r="M929" t="s">
        <v>64</v>
      </c>
    </row>
    <row r="930" spans="1:13" hidden="1" x14ac:dyDescent="0.15">
      <c r="A930" t="s">
        <v>2983</v>
      </c>
      <c r="B930" t="s">
        <v>2984</v>
      </c>
      <c r="D930" t="s">
        <v>2985</v>
      </c>
      <c r="E930">
        <v>8</v>
      </c>
      <c r="F930" t="str">
        <f>HYPERLINK("https://github.com/Cloudkibo/Android/issues/59", "show")</f>
        <v>show</v>
      </c>
      <c r="G930" t="str">
        <f>HYPERLINK("https://github.com/Cloudkibo/Android", "show")</f>
        <v>show</v>
      </c>
      <c r="H930" t="str">
        <f>HYPERLINK("https://github.com/Cloudkibo/Android/releases", "show")</f>
        <v>show</v>
      </c>
      <c r="I930">
        <v>0</v>
      </c>
      <c r="J930">
        <v>0</v>
      </c>
      <c r="K930">
        <v>0</v>
      </c>
      <c r="L930">
        <v>1</v>
      </c>
      <c r="M930" t="s">
        <v>581</v>
      </c>
    </row>
    <row r="931" spans="1:13" hidden="1" x14ac:dyDescent="0.15">
      <c r="A931" t="s">
        <v>2986</v>
      </c>
      <c r="B931" t="s">
        <v>2987</v>
      </c>
      <c r="C931" t="s">
        <v>2988</v>
      </c>
      <c r="D931" t="s">
        <v>2985</v>
      </c>
      <c r="E931">
        <v>100</v>
      </c>
      <c r="F931" t="str">
        <f>HYPERLINK("https://github.com/openbmap/radiocells-scanner-android/issues/95", "show")</f>
        <v>show</v>
      </c>
      <c r="G931" t="str">
        <f>HYPERLINK("https://github.com/openbmap/radiocells-scanner-android", "show")</f>
        <v>show</v>
      </c>
      <c r="H931" t="str">
        <f>HYPERLINK("https://github.com/openbmap/radiocells-scanner-android/releases", "show")</f>
        <v>show</v>
      </c>
      <c r="I931">
        <v>1</v>
      </c>
      <c r="J931">
        <v>0</v>
      </c>
      <c r="K931">
        <v>0</v>
      </c>
      <c r="L931">
        <v>0</v>
      </c>
      <c r="M931" t="s">
        <v>17</v>
      </c>
    </row>
    <row r="932" spans="1:13" hidden="1" x14ac:dyDescent="0.15">
      <c r="A932" t="s">
        <v>2989</v>
      </c>
      <c r="B932" t="s">
        <v>2990</v>
      </c>
      <c r="C932" t="s">
        <v>2991</v>
      </c>
      <c r="D932" t="s">
        <v>2985</v>
      </c>
      <c r="E932">
        <v>22</v>
      </c>
      <c r="F932" t="str">
        <f>HYPERLINK("https://github.com/WycliffeAssociates/translationRecorder/issues/54", "show")</f>
        <v>show</v>
      </c>
      <c r="G932" t="str">
        <f>HYPERLINK("https://github.com/WycliffeAssociates/translationRecorder", "show")</f>
        <v>show</v>
      </c>
      <c r="H932" t="str">
        <f>HYPERLINK("https://github.com/WycliffeAssociates/translationRecorder/releases", "show")</f>
        <v>show</v>
      </c>
      <c r="I932">
        <v>1</v>
      </c>
      <c r="J932">
        <v>0</v>
      </c>
      <c r="K932">
        <v>0</v>
      </c>
      <c r="L932">
        <v>0</v>
      </c>
      <c r="M932" t="s">
        <v>17</v>
      </c>
    </row>
    <row r="933" spans="1:13" hidden="1" x14ac:dyDescent="0.15">
      <c r="A933" t="s">
        <v>2992</v>
      </c>
      <c r="B933" t="s">
        <v>2993</v>
      </c>
      <c r="C933" t="s">
        <v>2994</v>
      </c>
      <c r="D933" t="s">
        <v>2985</v>
      </c>
      <c r="E933">
        <v>1</v>
      </c>
      <c r="F933" t="str">
        <f>HYPERLINK("https://github.com/pushtorefresh/storio/issues/509", "show")</f>
        <v>show</v>
      </c>
      <c r="G933" t="str">
        <f>HYPERLINK("https://github.com/pushtorefresh/storio", "show")</f>
        <v>show</v>
      </c>
      <c r="H933" t="str">
        <f>HYPERLINK("https://github.com/pushtorefresh/storio/releases", "show")</f>
        <v>show</v>
      </c>
      <c r="I933">
        <v>1</v>
      </c>
      <c r="J933">
        <v>0</v>
      </c>
      <c r="K933">
        <v>1</v>
      </c>
      <c r="L933">
        <v>0</v>
      </c>
      <c r="M933" t="s">
        <v>64</v>
      </c>
    </row>
    <row r="934" spans="1:13" hidden="1" x14ac:dyDescent="0.15">
      <c r="A934" t="s">
        <v>2995</v>
      </c>
      <c r="B934" t="s">
        <v>2996</v>
      </c>
      <c r="C934" t="s">
        <v>2997</v>
      </c>
      <c r="D934" t="s">
        <v>2985</v>
      </c>
      <c r="E934">
        <v>279</v>
      </c>
      <c r="F934" t="str">
        <f>HYPERLINK("https://github.com/andybalaam/rabbit-escape/issues/9", "show")</f>
        <v>show</v>
      </c>
      <c r="G934" t="str">
        <f>HYPERLINK("https://github.com/andybalaam/rabbit-escape", "show")</f>
        <v>show</v>
      </c>
      <c r="H934" t="str">
        <f>HYPERLINK("https://github.com/andybalaam/rabbit-escape/releases", "show")</f>
        <v>show</v>
      </c>
      <c r="I934">
        <v>0</v>
      </c>
      <c r="J934">
        <v>0</v>
      </c>
      <c r="K934">
        <v>0</v>
      </c>
      <c r="L934">
        <v>0</v>
      </c>
      <c r="M934" t="s">
        <v>43</v>
      </c>
    </row>
    <row r="935" spans="1:13" hidden="1" x14ac:dyDescent="0.15">
      <c r="A935" t="s">
        <v>2998</v>
      </c>
      <c r="B935" t="s">
        <v>2999</v>
      </c>
      <c r="C935" t="s">
        <v>3000</v>
      </c>
      <c r="D935" t="s">
        <v>3001</v>
      </c>
      <c r="E935">
        <v>4</v>
      </c>
      <c r="F935" t="str">
        <f>HYPERLINK("https://github.com/unfoldingWord-dev/uw-android/issues/122", "show")</f>
        <v>show</v>
      </c>
      <c r="G935" t="str">
        <f>HYPERLINK("https://github.com/unfoldingWord-dev/uw-android", "show")</f>
        <v>show</v>
      </c>
      <c r="H935" t="str">
        <f>HYPERLINK("https://github.com/unfoldingWord-dev/uw-android/releases", "show")</f>
        <v>show</v>
      </c>
      <c r="I935">
        <v>1</v>
      </c>
      <c r="J935">
        <v>0</v>
      </c>
      <c r="K935">
        <v>0</v>
      </c>
      <c r="L935">
        <v>0</v>
      </c>
      <c r="M935" t="s">
        <v>17</v>
      </c>
    </row>
    <row r="936" spans="1:13" hidden="1" x14ac:dyDescent="0.15">
      <c r="A936" t="s">
        <v>3002</v>
      </c>
      <c r="B936" t="s">
        <v>3003</v>
      </c>
      <c r="C936" t="s">
        <v>3004</v>
      </c>
      <c r="D936" t="s">
        <v>3001</v>
      </c>
      <c r="E936">
        <v>12</v>
      </c>
      <c r="F936" t="str">
        <f>HYPERLINK("https://github.com/AppLozic/Applozic-Android-SDK/issues/25", "show")</f>
        <v>show</v>
      </c>
      <c r="G936" t="str">
        <f>HYPERLINK("https://github.com/AppLozic/Applozic-Android-SDK", "show")</f>
        <v>show</v>
      </c>
      <c r="H936" t="str">
        <f>HYPERLINK("https://github.com/AppLozic/Applozic-Android-SDK/releases", "show")</f>
        <v>show</v>
      </c>
      <c r="I936">
        <v>1</v>
      </c>
      <c r="J936">
        <v>1</v>
      </c>
      <c r="K936">
        <v>0</v>
      </c>
      <c r="L936">
        <v>0</v>
      </c>
      <c r="M936" t="s">
        <v>48</v>
      </c>
    </row>
    <row r="937" spans="1:13" hidden="1" x14ac:dyDescent="0.15">
      <c r="A937" t="s">
        <v>3005</v>
      </c>
      <c r="B937" t="s">
        <v>3006</v>
      </c>
      <c r="C937" t="s">
        <v>3007</v>
      </c>
      <c r="D937" t="s">
        <v>3008</v>
      </c>
      <c r="E937">
        <v>0</v>
      </c>
      <c r="F937" t="str">
        <f>HYPERLINK("https://github.com/h6ah4i/android-tablayouthelper/issues/5", "show")</f>
        <v>show</v>
      </c>
      <c r="G937" t="str">
        <f>HYPERLINK("https://github.com/h6ah4i/android-tablayouthelper", "show")</f>
        <v>show</v>
      </c>
      <c r="H937" t="str">
        <f>HYPERLINK("https://github.com/h6ah4i/android-tablayouthelper/releases", "show")</f>
        <v>show</v>
      </c>
      <c r="I937">
        <v>1</v>
      </c>
      <c r="J937">
        <v>0</v>
      </c>
      <c r="K937">
        <v>0</v>
      </c>
      <c r="L937">
        <v>0</v>
      </c>
      <c r="M937" t="s">
        <v>17</v>
      </c>
    </row>
    <row r="938" spans="1:13" hidden="1" x14ac:dyDescent="0.15">
      <c r="A938" t="s">
        <v>3009</v>
      </c>
      <c r="B938" t="s">
        <v>3010</v>
      </c>
      <c r="C938" t="s">
        <v>3011</v>
      </c>
      <c r="D938" t="s">
        <v>3008</v>
      </c>
      <c r="E938">
        <v>3</v>
      </c>
      <c r="F938" t="str">
        <f>HYPERLINK("https://github.com/IFTTT/SparkleMotion/issues/37", "show")</f>
        <v>show</v>
      </c>
      <c r="G938" t="str">
        <f>HYPERLINK("https://github.com/IFTTT/SparkleMotion", "show")</f>
        <v>show</v>
      </c>
      <c r="H938" t="str">
        <f>HYPERLINK("https://github.com/IFTTT/SparkleMotion/releases", "show")</f>
        <v>show</v>
      </c>
      <c r="I938">
        <v>1</v>
      </c>
      <c r="J938">
        <v>0</v>
      </c>
      <c r="K938">
        <v>0</v>
      </c>
      <c r="L938">
        <v>0</v>
      </c>
      <c r="M938" t="s">
        <v>17</v>
      </c>
    </row>
    <row r="939" spans="1:13" hidden="1" x14ac:dyDescent="0.15">
      <c r="A939" t="s">
        <v>3012</v>
      </c>
      <c r="B939" t="s">
        <v>3013</v>
      </c>
      <c r="C939" t="s">
        <v>3014</v>
      </c>
      <c r="D939" t="s">
        <v>3015</v>
      </c>
      <c r="E939">
        <v>2</v>
      </c>
      <c r="F939" t="str">
        <f>HYPERLINK("https://github.com/Neamar/KISS/issues/237", "show")</f>
        <v>show</v>
      </c>
      <c r="G939" t="str">
        <f>HYPERLINK("https://github.com/Neamar/KISS", "show")</f>
        <v>show</v>
      </c>
      <c r="H939" t="str">
        <f>HYPERLINK("https://github.com/Neamar/KISS/releases", "show")</f>
        <v>show</v>
      </c>
      <c r="I939">
        <v>1</v>
      </c>
      <c r="J939">
        <v>0</v>
      </c>
      <c r="K939">
        <v>0</v>
      </c>
      <c r="L939">
        <v>0</v>
      </c>
      <c r="M939" t="s">
        <v>17</v>
      </c>
    </row>
    <row r="940" spans="1:13" hidden="1" x14ac:dyDescent="0.15">
      <c r="A940" t="s">
        <v>3016</v>
      </c>
      <c r="B940" t="s">
        <v>3017</v>
      </c>
      <c r="C940" t="s">
        <v>3018</v>
      </c>
      <c r="D940" t="s">
        <v>3015</v>
      </c>
      <c r="E940">
        <v>6</v>
      </c>
      <c r="F940" t="str">
        <f>HYPERLINK("https://github.com/EmergentOrganization/cell-rpg/issues/52", "show")</f>
        <v>show</v>
      </c>
      <c r="G940" t="str">
        <f>HYPERLINK("https://github.com/EmergentOrganization/cell-rpg", "show")</f>
        <v>show</v>
      </c>
      <c r="H940" t="str">
        <f>HYPERLINK("https://github.com/EmergentOrganization/cell-rpg/releases", "show")</f>
        <v>show</v>
      </c>
      <c r="I940">
        <v>0</v>
      </c>
      <c r="J940">
        <v>0</v>
      </c>
      <c r="K940">
        <v>0</v>
      </c>
      <c r="L940">
        <v>0</v>
      </c>
      <c r="M940" t="s">
        <v>43</v>
      </c>
    </row>
    <row r="941" spans="1:13" hidden="1" x14ac:dyDescent="0.15">
      <c r="A941" t="s">
        <v>3019</v>
      </c>
      <c r="B941" t="s">
        <v>3020</v>
      </c>
      <c r="C941" t="s">
        <v>3021</v>
      </c>
      <c r="D941" t="s">
        <v>3015</v>
      </c>
      <c r="E941">
        <v>0</v>
      </c>
      <c r="F941" t="str">
        <f>HYPERLINK("https://github.com/madsbf/launcher/issues/15", "show")</f>
        <v>show</v>
      </c>
      <c r="G941" t="str">
        <f>HYPERLINK("https://github.com/madsbf/launcher", "show")</f>
        <v>show</v>
      </c>
      <c r="H941" t="str">
        <f>HYPERLINK("https://github.com/madsbf/launcher/releases", "show")</f>
        <v>show</v>
      </c>
      <c r="I941">
        <v>1</v>
      </c>
      <c r="J941">
        <v>0</v>
      </c>
      <c r="K941">
        <v>0</v>
      </c>
      <c r="L941">
        <v>0</v>
      </c>
      <c r="M941" t="s">
        <v>17</v>
      </c>
    </row>
    <row r="942" spans="1:13" hidden="1" x14ac:dyDescent="0.15">
      <c r="A942" t="s">
        <v>3022</v>
      </c>
      <c r="B942" t="s">
        <v>3023</v>
      </c>
      <c r="C942" t="s">
        <v>3024</v>
      </c>
      <c r="D942" t="s">
        <v>3025</v>
      </c>
      <c r="E942">
        <v>0</v>
      </c>
      <c r="F942" t="str">
        <f>HYPERLINK("https://github.com/EmergentOrganization/cell-rpg/issues/57", "show")</f>
        <v>show</v>
      </c>
      <c r="G942" t="str">
        <f>HYPERLINK("https://github.com/EmergentOrganization/cell-rpg", "show")</f>
        <v>show</v>
      </c>
      <c r="H942" t="str">
        <f>HYPERLINK("https://github.com/EmergentOrganization/cell-rpg/releases", "show")</f>
        <v>show</v>
      </c>
      <c r="I942">
        <v>1</v>
      </c>
      <c r="J942">
        <v>0</v>
      </c>
      <c r="K942">
        <v>0</v>
      </c>
      <c r="L942">
        <v>0</v>
      </c>
      <c r="M942" t="s">
        <v>17</v>
      </c>
    </row>
    <row r="943" spans="1:13" hidden="1" x14ac:dyDescent="0.15">
      <c r="A943" t="s">
        <v>3026</v>
      </c>
      <c r="B943" t="s">
        <v>3027</v>
      </c>
      <c r="C943" t="s">
        <v>3028</v>
      </c>
      <c r="D943" t="s">
        <v>3025</v>
      </c>
      <c r="E943">
        <v>15</v>
      </c>
      <c r="F943" t="str">
        <f>HYPERLINK("https://github.com/mattford/scoutlink/issues/8", "show")</f>
        <v>show</v>
      </c>
      <c r="G943" t="str">
        <f>HYPERLINK("https://github.com/mattford/scoutlink", "show")</f>
        <v>show</v>
      </c>
      <c r="H943" t="str">
        <f>HYPERLINK("https://github.com/mattford/scoutlink/releases", "show")</f>
        <v>show</v>
      </c>
      <c r="I943">
        <v>0</v>
      </c>
      <c r="J943">
        <v>0</v>
      </c>
      <c r="K943">
        <v>0</v>
      </c>
      <c r="L943">
        <v>0</v>
      </c>
      <c r="M943" t="s">
        <v>43</v>
      </c>
    </row>
    <row r="944" spans="1:13" hidden="1" x14ac:dyDescent="0.15">
      <c r="A944" t="s">
        <v>3029</v>
      </c>
      <c r="B944" t="s">
        <v>3030</v>
      </c>
      <c r="C944" t="s">
        <v>3031</v>
      </c>
      <c r="D944" t="s">
        <v>3032</v>
      </c>
      <c r="E944">
        <v>1</v>
      </c>
      <c r="F944" t="str">
        <f>HYPERLINK("https://github.com/bumptech/glide/issues/625", "show")</f>
        <v>show</v>
      </c>
      <c r="G944" t="str">
        <f>HYPERLINK("https://github.com/bumptech/glide", "show")</f>
        <v>show</v>
      </c>
      <c r="H944" t="str">
        <f>HYPERLINK("https://github.com/bumptech/glide/releases", "show")</f>
        <v>show</v>
      </c>
      <c r="I944">
        <v>0</v>
      </c>
      <c r="J944">
        <v>0</v>
      </c>
      <c r="K944">
        <v>1</v>
      </c>
      <c r="L944">
        <v>0</v>
      </c>
      <c r="M944" t="s">
        <v>122</v>
      </c>
    </row>
    <row r="945" spans="1:13" hidden="1" x14ac:dyDescent="0.15">
      <c r="A945" t="s">
        <v>3033</v>
      </c>
      <c r="B945" t="s">
        <v>3034</v>
      </c>
      <c r="C945" t="s">
        <v>3035</v>
      </c>
      <c r="D945" t="s">
        <v>3032</v>
      </c>
      <c r="E945">
        <v>128</v>
      </c>
      <c r="F945" t="str">
        <f>HYPERLINK("https://github.com/mrmans0n/smart-location-lib/issues/86", "show")</f>
        <v>show</v>
      </c>
      <c r="G945" t="str">
        <f>HYPERLINK("https://github.com/mrmans0n/smart-location-lib", "show")</f>
        <v>show</v>
      </c>
      <c r="H945" t="str">
        <f>HYPERLINK("https://github.com/mrmans0n/smart-location-lib/releases", "show")</f>
        <v>show</v>
      </c>
      <c r="I945">
        <v>0</v>
      </c>
      <c r="J945">
        <v>0</v>
      </c>
      <c r="K945">
        <v>1</v>
      </c>
      <c r="L945">
        <v>0</v>
      </c>
      <c r="M945" t="s">
        <v>122</v>
      </c>
    </row>
    <row r="946" spans="1:13" hidden="1" x14ac:dyDescent="0.15">
      <c r="A946" t="s">
        <v>3036</v>
      </c>
      <c r="B946" t="s">
        <v>3037</v>
      </c>
      <c r="C946" t="s">
        <v>3038</v>
      </c>
      <c r="D946" t="s">
        <v>3039</v>
      </c>
      <c r="E946">
        <v>1</v>
      </c>
      <c r="F946" t="str">
        <f>HYPERLINK("https://github.com/mvysny/aedict/issues/567", "show")</f>
        <v>show</v>
      </c>
      <c r="G946" t="str">
        <f>HYPERLINK("https://github.com/mvysny/aedict", "show")</f>
        <v>show</v>
      </c>
      <c r="H946" t="str">
        <f>HYPERLINK("https://github.com/mvysny/aedict/releases", "show")</f>
        <v>show</v>
      </c>
      <c r="I946">
        <v>0</v>
      </c>
      <c r="J946">
        <v>0</v>
      </c>
      <c r="K946">
        <v>0</v>
      </c>
      <c r="L946">
        <v>0</v>
      </c>
      <c r="M946" t="s">
        <v>43</v>
      </c>
    </row>
    <row r="947" spans="1:13" hidden="1" x14ac:dyDescent="0.15">
      <c r="A947" t="s">
        <v>3040</v>
      </c>
      <c r="B947" t="s">
        <v>3041</v>
      </c>
      <c r="C947" t="s">
        <v>3042</v>
      </c>
      <c r="D947" t="s">
        <v>3039</v>
      </c>
      <c r="E947">
        <v>6</v>
      </c>
      <c r="F947" t="str">
        <f>HYPERLINK("https://github.com/AppLozic/Applozic-Android-SDK/issues/33", "show")</f>
        <v>show</v>
      </c>
      <c r="G947" t="str">
        <f>HYPERLINK("https://github.com/AppLozic/Applozic-Android-SDK", "show")</f>
        <v>show</v>
      </c>
      <c r="H947" t="str">
        <f>HYPERLINK("https://github.com/AppLozic/Applozic-Android-SDK/releases", "show")</f>
        <v>show</v>
      </c>
      <c r="I947">
        <v>0</v>
      </c>
      <c r="J947">
        <v>0</v>
      </c>
      <c r="K947">
        <v>1</v>
      </c>
      <c r="L947">
        <v>0</v>
      </c>
      <c r="M947" t="s">
        <v>122</v>
      </c>
    </row>
    <row r="948" spans="1:13" hidden="1" x14ac:dyDescent="0.15">
      <c r="A948" t="s">
        <v>3043</v>
      </c>
      <c r="B948" t="s">
        <v>3044</v>
      </c>
      <c r="C948" t="s">
        <v>3045</v>
      </c>
      <c r="D948" t="s">
        <v>3039</v>
      </c>
      <c r="E948">
        <v>31</v>
      </c>
      <c r="F948" t="str">
        <f>HYPERLINK("https://github.com/Fleker/CumulusTV/issues/47", "show")</f>
        <v>show</v>
      </c>
      <c r="G948" t="str">
        <f>HYPERLINK("https://github.com/Fleker/CumulusTV", "show")</f>
        <v>show</v>
      </c>
      <c r="H948" t="str">
        <f>HYPERLINK("https://github.com/Fleker/CumulusTV/releases", "show")</f>
        <v>show</v>
      </c>
      <c r="I948">
        <v>0</v>
      </c>
      <c r="J948">
        <v>0</v>
      </c>
      <c r="K948">
        <v>1</v>
      </c>
      <c r="L948">
        <v>0</v>
      </c>
      <c r="M948" t="s">
        <v>122</v>
      </c>
    </row>
    <row r="949" spans="1:13" hidden="1" x14ac:dyDescent="0.15">
      <c r="A949" t="s">
        <v>3046</v>
      </c>
      <c r="B949" t="s">
        <v>3047</v>
      </c>
      <c r="C949" t="s">
        <v>3048</v>
      </c>
      <c r="D949" t="s">
        <v>3049</v>
      </c>
      <c r="E949">
        <v>6</v>
      </c>
      <c r="F949" t="str">
        <f>HYPERLINK("https://github.com/colegarien/SDDTermProject/issues/28", "show")</f>
        <v>show</v>
      </c>
      <c r="G949" t="str">
        <f>HYPERLINK("https://github.com/colegarien/SDDTermProject", "show")</f>
        <v>show</v>
      </c>
      <c r="H949" t="str">
        <f>HYPERLINK("https://github.com/colegarien/SDDTermProject/releases", "show")</f>
        <v>show</v>
      </c>
      <c r="I949">
        <v>1</v>
      </c>
      <c r="J949">
        <v>0</v>
      </c>
      <c r="K949">
        <v>0</v>
      </c>
      <c r="L949">
        <v>0</v>
      </c>
      <c r="M949" t="s">
        <v>17</v>
      </c>
    </row>
    <row r="950" spans="1:13" hidden="1" x14ac:dyDescent="0.15">
      <c r="A950" t="s">
        <v>3050</v>
      </c>
      <c r="B950" t="s">
        <v>3051</v>
      </c>
      <c r="C950" t="s">
        <v>3052</v>
      </c>
      <c r="D950" t="s">
        <v>3049</v>
      </c>
      <c r="E950">
        <v>1</v>
      </c>
      <c r="F950" t="str">
        <f>HYPERLINK("https://github.com/evant/binding-collection-adapter/issues/17", "show")</f>
        <v>show</v>
      </c>
      <c r="G950" t="str">
        <f>HYPERLINK("https://github.com/evant/binding-collection-adapter", "show")</f>
        <v>show</v>
      </c>
      <c r="H950" t="str">
        <f>HYPERLINK("https://github.com/evant/binding-collection-adapter/releases", "show")</f>
        <v>show</v>
      </c>
      <c r="I950">
        <v>1</v>
      </c>
      <c r="J950">
        <v>0</v>
      </c>
      <c r="K950">
        <v>0</v>
      </c>
      <c r="L950">
        <v>0</v>
      </c>
      <c r="M950" t="s">
        <v>17</v>
      </c>
    </row>
    <row r="951" spans="1:13" hidden="1" x14ac:dyDescent="0.15">
      <c r="A951" t="s">
        <v>3053</v>
      </c>
      <c r="B951" t="s">
        <v>3054</v>
      </c>
      <c r="D951" t="s">
        <v>3049</v>
      </c>
      <c r="E951">
        <v>5</v>
      </c>
      <c r="F951" t="str">
        <f>HYPERLINK("https://github.com/Bathlamos/RTDC/issues/84", "show")</f>
        <v>show</v>
      </c>
      <c r="G951" t="str">
        <f>HYPERLINK("https://github.com/Bathlamos/RTDC", "show")</f>
        <v>show</v>
      </c>
      <c r="H951" t="str">
        <f>HYPERLINK("https://github.com/Bathlamos/RTDC/releases", "show")</f>
        <v>show</v>
      </c>
      <c r="I951">
        <v>1</v>
      </c>
      <c r="J951">
        <v>0</v>
      </c>
      <c r="K951">
        <v>0</v>
      </c>
      <c r="L951">
        <v>0</v>
      </c>
      <c r="M951" t="s">
        <v>17</v>
      </c>
    </row>
    <row r="952" spans="1:13" hidden="1" x14ac:dyDescent="0.15">
      <c r="A952" t="s">
        <v>3055</v>
      </c>
      <c r="B952" t="s">
        <v>3056</v>
      </c>
      <c r="C952" t="s">
        <v>3057</v>
      </c>
      <c r="D952" t="s">
        <v>3049</v>
      </c>
      <c r="E952">
        <v>0</v>
      </c>
      <c r="F952" t="str">
        <f>HYPERLINK("https://github.com/Neamar/KISS/issues/251", "show")</f>
        <v>show</v>
      </c>
      <c r="G952" t="str">
        <f>HYPERLINK("https://github.com/Neamar/KISS", "show")</f>
        <v>show</v>
      </c>
      <c r="H952" t="str">
        <f>HYPERLINK("https://github.com/Neamar/KISS/releases", "show")</f>
        <v>show</v>
      </c>
      <c r="I952">
        <v>0</v>
      </c>
      <c r="J952">
        <v>0</v>
      </c>
      <c r="K952">
        <v>1</v>
      </c>
      <c r="L952">
        <v>0</v>
      </c>
      <c r="M952" t="s">
        <v>122</v>
      </c>
    </row>
    <row r="953" spans="1:13" hidden="1" x14ac:dyDescent="0.15">
      <c r="A953" t="s">
        <v>3058</v>
      </c>
      <c r="B953" t="s">
        <v>3059</v>
      </c>
      <c r="C953" t="s">
        <v>3060</v>
      </c>
      <c r="D953" t="s">
        <v>3061</v>
      </c>
      <c r="E953">
        <v>8</v>
      </c>
      <c r="F953" t="str">
        <f>HYPERLINK("https://github.com/parse-community/ParseUI-Android/issues/75", "show")</f>
        <v>show</v>
      </c>
      <c r="G953" t="str">
        <f>HYPERLINK("https://github.com/parse-community/ParseUI-Android", "show")</f>
        <v>show</v>
      </c>
      <c r="H953" t="str">
        <f>HYPERLINK("https://github.com/parse-community/ParseUI-Android/releases", "show")</f>
        <v>show</v>
      </c>
      <c r="I953">
        <v>1</v>
      </c>
      <c r="J953">
        <v>0</v>
      </c>
      <c r="K953">
        <v>0</v>
      </c>
      <c r="L953">
        <v>0</v>
      </c>
      <c r="M953" t="s">
        <v>17</v>
      </c>
    </row>
    <row r="954" spans="1:13" hidden="1" x14ac:dyDescent="0.15">
      <c r="A954" t="s">
        <v>3062</v>
      </c>
      <c r="B954" t="s">
        <v>3063</v>
      </c>
      <c r="C954" t="s">
        <v>3064</v>
      </c>
      <c r="D954" t="s">
        <v>3061</v>
      </c>
      <c r="E954">
        <v>1</v>
      </c>
      <c r="F954" t="str">
        <f>HYPERLINK("https://github.com/AppLozic/Applozic-Android-SDK/issues/43", "show")</f>
        <v>show</v>
      </c>
      <c r="G954" t="str">
        <f>HYPERLINK("https://github.com/AppLozic/Applozic-Android-SDK", "show")</f>
        <v>show</v>
      </c>
      <c r="H954" t="str">
        <f>HYPERLINK("https://github.com/AppLozic/Applozic-Android-SDK/releases", "show")</f>
        <v>show</v>
      </c>
      <c r="I954">
        <v>0</v>
      </c>
      <c r="J954">
        <v>0</v>
      </c>
      <c r="K954">
        <v>1</v>
      </c>
      <c r="L954">
        <v>0</v>
      </c>
      <c r="M954" t="s">
        <v>122</v>
      </c>
    </row>
    <row r="955" spans="1:13" hidden="1" x14ac:dyDescent="0.15">
      <c r="A955" t="s">
        <v>3065</v>
      </c>
      <c r="B955" t="s">
        <v>3066</v>
      </c>
      <c r="D955" t="s">
        <v>3061</v>
      </c>
      <c r="E955">
        <v>25</v>
      </c>
      <c r="F955" t="str">
        <f>HYPERLINK("https://github.com/the-blue-alliance/the-blue-alliance-android/issues/470", "show")</f>
        <v>show</v>
      </c>
      <c r="G955" t="str">
        <f>HYPERLINK("https://github.com/the-blue-alliance/the-blue-alliance-android", "show")</f>
        <v>show</v>
      </c>
      <c r="H955" t="str">
        <f>HYPERLINK("https://github.com/the-blue-alliance/the-blue-alliance-android/releases", "show")</f>
        <v>show</v>
      </c>
      <c r="I955">
        <v>1</v>
      </c>
      <c r="J955">
        <v>0</v>
      </c>
      <c r="K955">
        <v>0</v>
      </c>
      <c r="L955">
        <v>0</v>
      </c>
      <c r="M955" t="s">
        <v>17</v>
      </c>
    </row>
    <row r="956" spans="1:13" hidden="1" x14ac:dyDescent="0.15">
      <c r="A956" t="s">
        <v>3067</v>
      </c>
      <c r="B956" t="s">
        <v>3068</v>
      </c>
      <c r="C956" t="s">
        <v>3069</v>
      </c>
      <c r="D956" t="s">
        <v>3070</v>
      </c>
      <c r="E956">
        <v>2</v>
      </c>
      <c r="F956" t="str">
        <f>HYPERLINK("https://github.com/Cloudkibo/Android/issues/62", "show")</f>
        <v>show</v>
      </c>
      <c r="G956" t="str">
        <f>HYPERLINK("https://github.com/Cloudkibo/Android", "show")</f>
        <v>show</v>
      </c>
      <c r="H956" t="str">
        <f>HYPERLINK("https://github.com/Cloudkibo/Android/releases", "show")</f>
        <v>show</v>
      </c>
      <c r="I956">
        <v>1</v>
      </c>
      <c r="J956">
        <v>0</v>
      </c>
      <c r="K956">
        <v>0</v>
      </c>
      <c r="L956">
        <v>0</v>
      </c>
      <c r="M956" t="s">
        <v>17</v>
      </c>
    </row>
    <row r="957" spans="1:13" hidden="1" x14ac:dyDescent="0.15">
      <c r="A957" t="s">
        <v>3071</v>
      </c>
      <c r="B957" t="s">
        <v>3072</v>
      </c>
      <c r="D957" t="s">
        <v>3070</v>
      </c>
      <c r="E957">
        <v>14</v>
      </c>
      <c r="F957" t="str">
        <f>HYPERLINK("https://github.com/guilhermesgb/marqueeto/issues/17", "show")</f>
        <v>show</v>
      </c>
      <c r="G957" t="str">
        <f>HYPERLINK("https://github.com/guilhermesgb/marqueeto", "show")</f>
        <v>show</v>
      </c>
      <c r="H957" t="str">
        <f>HYPERLINK("https://github.com/guilhermesgb/marqueeto/releases", "show")</f>
        <v>show</v>
      </c>
      <c r="I957">
        <v>1</v>
      </c>
      <c r="J957">
        <v>0</v>
      </c>
      <c r="K957">
        <v>1</v>
      </c>
      <c r="L957">
        <v>0</v>
      </c>
      <c r="M957" t="s">
        <v>64</v>
      </c>
    </row>
    <row r="958" spans="1:13" hidden="1" x14ac:dyDescent="0.15">
      <c r="A958" t="s">
        <v>3073</v>
      </c>
      <c r="B958" t="s">
        <v>3074</v>
      </c>
      <c r="C958" t="s">
        <v>3075</v>
      </c>
      <c r="D958" t="s">
        <v>3070</v>
      </c>
      <c r="E958">
        <v>0</v>
      </c>
      <c r="F958" t="str">
        <f>HYPERLINK("https://github.com/OneBusAway/onebusaway-android/issues/293", "show")</f>
        <v>show</v>
      </c>
      <c r="G958" t="str">
        <f>HYPERLINK("https://github.com/OneBusAway/onebusaway-android", "show")</f>
        <v>show</v>
      </c>
      <c r="H958" t="str">
        <f>HYPERLINK("https://github.com/OneBusAway/onebusaway-android/releases", "show")</f>
        <v>show</v>
      </c>
      <c r="I958">
        <v>1</v>
      </c>
      <c r="J958">
        <v>0</v>
      </c>
      <c r="K958">
        <v>1</v>
      </c>
      <c r="L958">
        <v>0</v>
      </c>
      <c r="M958" t="s">
        <v>64</v>
      </c>
    </row>
    <row r="959" spans="1:13" hidden="1" x14ac:dyDescent="0.15">
      <c r="A959" t="s">
        <v>3076</v>
      </c>
      <c r="B959" t="s">
        <v>3077</v>
      </c>
      <c r="D959" t="s">
        <v>3070</v>
      </c>
      <c r="E959">
        <v>6</v>
      </c>
      <c r="F959" t="str">
        <f>HYPERLINK("https://github.com/AppLozic/Applozic-Android-SDK/issues/46", "show")</f>
        <v>show</v>
      </c>
      <c r="G959" t="str">
        <f>HYPERLINK("https://github.com/AppLozic/Applozic-Android-SDK", "show")</f>
        <v>show</v>
      </c>
      <c r="H959" t="str">
        <f>HYPERLINK("https://github.com/AppLozic/Applozic-Android-SDK/releases", "show")</f>
        <v>show</v>
      </c>
      <c r="I959">
        <v>1</v>
      </c>
      <c r="J959">
        <v>0</v>
      </c>
      <c r="K959">
        <v>0</v>
      </c>
      <c r="L959">
        <v>0</v>
      </c>
      <c r="M959" t="s">
        <v>17</v>
      </c>
    </row>
    <row r="960" spans="1:13" hidden="1" x14ac:dyDescent="0.15">
      <c r="A960" t="s">
        <v>3078</v>
      </c>
      <c r="B960" t="s">
        <v>3079</v>
      </c>
      <c r="C960" t="s">
        <v>3080</v>
      </c>
      <c r="D960" t="s">
        <v>3081</v>
      </c>
      <c r="E960">
        <v>3</v>
      </c>
      <c r="F960" t="str">
        <f>HYPERLINK("https://github.com/kontalk/androidclient/issues/550", "show")</f>
        <v>show</v>
      </c>
      <c r="G960" t="str">
        <f>HYPERLINK("https://github.com/kontalk/androidclient", "show")</f>
        <v>show</v>
      </c>
      <c r="H960" t="str">
        <f>HYPERLINK("https://github.com/kontalk/androidclient/releases", "show")</f>
        <v>show</v>
      </c>
      <c r="I960">
        <v>1</v>
      </c>
      <c r="J960">
        <v>0</v>
      </c>
      <c r="K960">
        <v>0</v>
      </c>
      <c r="L960">
        <v>0</v>
      </c>
      <c r="M960" t="s">
        <v>17</v>
      </c>
    </row>
    <row r="961" spans="1:13" hidden="1" x14ac:dyDescent="0.15">
      <c r="A961" t="s">
        <v>3082</v>
      </c>
      <c r="B961" t="s">
        <v>3083</v>
      </c>
      <c r="C961" t="s">
        <v>3084</v>
      </c>
      <c r="D961" t="s">
        <v>3085</v>
      </c>
      <c r="E961">
        <v>0</v>
      </c>
      <c r="F961" t="str">
        <f>HYPERLINK("https://github.com/JordanMoffat/KitchenPal/issues/32", "show")</f>
        <v>show</v>
      </c>
      <c r="G961" t="str">
        <f>HYPERLINK("https://github.com/JordanMoffat/KitchenPal", "show")</f>
        <v>show</v>
      </c>
      <c r="H961" t="str">
        <f>HYPERLINK("https://github.com/JordanMoffat/KitchenPal/releases", "show")</f>
        <v>show</v>
      </c>
      <c r="I961">
        <v>1</v>
      </c>
      <c r="J961">
        <v>0</v>
      </c>
      <c r="K961">
        <v>0</v>
      </c>
      <c r="L961">
        <v>0</v>
      </c>
      <c r="M961" t="s">
        <v>17</v>
      </c>
    </row>
    <row r="962" spans="1:13" hidden="1" x14ac:dyDescent="0.15">
      <c r="A962" t="s">
        <v>3086</v>
      </c>
      <c r="B962" t="s">
        <v>3087</v>
      </c>
      <c r="C962" t="s">
        <v>3088</v>
      </c>
      <c r="D962" t="s">
        <v>3085</v>
      </c>
      <c r="E962">
        <v>1</v>
      </c>
      <c r="F962" t="str">
        <f>HYPERLINK("https://github.com/dhammikamare/OfferME/issues/2", "show")</f>
        <v>show</v>
      </c>
      <c r="G962" t="str">
        <f>HYPERLINK("https://github.com/dhammikamare/OfferME", "show")</f>
        <v>show</v>
      </c>
      <c r="H962" t="str">
        <f>HYPERLINK("https://github.com/dhammikamare/OfferME/releases", "show")</f>
        <v>show</v>
      </c>
      <c r="I962">
        <v>1</v>
      </c>
      <c r="J962">
        <v>0</v>
      </c>
      <c r="K962">
        <v>0</v>
      </c>
      <c r="L962">
        <v>0</v>
      </c>
      <c r="M962" t="s">
        <v>17</v>
      </c>
    </row>
    <row r="963" spans="1:13" hidden="1" x14ac:dyDescent="0.15">
      <c r="A963" t="s">
        <v>3089</v>
      </c>
      <c r="B963" t="s">
        <v>3090</v>
      </c>
      <c r="C963" t="s">
        <v>3091</v>
      </c>
      <c r="D963" t="s">
        <v>3092</v>
      </c>
      <c r="E963">
        <v>5</v>
      </c>
      <c r="F963" t="str">
        <f>HYPERLINK("https://github.com/Fachschaft07/fs-android-app/issues/28", "show")</f>
        <v>show</v>
      </c>
      <c r="G963" t="str">
        <f>HYPERLINK("https://github.com/Fachschaft07/fs-android-app", "show")</f>
        <v>show</v>
      </c>
      <c r="H963" t="str">
        <f>HYPERLINK("https://github.com/Fachschaft07/fs-android-app/releases", "show")</f>
        <v>show</v>
      </c>
      <c r="I963">
        <v>1</v>
      </c>
      <c r="J963">
        <v>0</v>
      </c>
      <c r="K963">
        <v>0</v>
      </c>
      <c r="L963">
        <v>0</v>
      </c>
      <c r="M963" t="s">
        <v>17</v>
      </c>
    </row>
    <row r="964" spans="1:13" hidden="1" x14ac:dyDescent="0.15">
      <c r="A964" t="s">
        <v>3093</v>
      </c>
      <c r="B964" t="s">
        <v>3094</v>
      </c>
      <c r="C964" t="s">
        <v>3095</v>
      </c>
      <c r="D964" t="s">
        <v>3092</v>
      </c>
      <c r="E964">
        <v>242</v>
      </c>
      <c r="F964" t="str">
        <f>HYPERLINK("https://github.com/Abestanis/APython/issues/10", "show")</f>
        <v>show</v>
      </c>
      <c r="G964" t="str">
        <f>HYPERLINK("https://github.com/Abestanis/APython", "show")</f>
        <v>show</v>
      </c>
      <c r="H964" t="str">
        <f>HYPERLINK("https://github.com/Abestanis/APython/releases", "show")</f>
        <v>show</v>
      </c>
      <c r="I964">
        <v>1</v>
      </c>
      <c r="J964">
        <v>0</v>
      </c>
      <c r="K964">
        <v>0</v>
      </c>
      <c r="L964">
        <v>0</v>
      </c>
      <c r="M964" t="s">
        <v>17</v>
      </c>
    </row>
    <row r="965" spans="1:13" hidden="1" x14ac:dyDescent="0.15">
      <c r="A965" t="s">
        <v>3096</v>
      </c>
      <c r="B965" t="s">
        <v>3097</v>
      </c>
      <c r="C965" t="s">
        <v>3098</v>
      </c>
      <c r="D965" t="s">
        <v>3092</v>
      </c>
      <c r="E965">
        <v>27</v>
      </c>
      <c r="F965" t="str">
        <f>HYPERLINK("https://github.com/cSploit/android/issues/254", "show")</f>
        <v>show</v>
      </c>
      <c r="G965" t="str">
        <f>HYPERLINK("https://github.com/cSploit/android", "show")</f>
        <v>show</v>
      </c>
      <c r="H965" t="str">
        <f>HYPERLINK("https://github.com/cSploit/android/releases", "show")</f>
        <v>show</v>
      </c>
      <c r="I965">
        <v>1</v>
      </c>
      <c r="J965">
        <v>0</v>
      </c>
      <c r="K965">
        <v>0</v>
      </c>
      <c r="L965">
        <v>0</v>
      </c>
      <c r="M965" t="s">
        <v>17</v>
      </c>
    </row>
    <row r="966" spans="1:13" hidden="1" x14ac:dyDescent="0.15">
      <c r="A966" t="s">
        <v>3099</v>
      </c>
      <c r="B966" t="s">
        <v>3100</v>
      </c>
      <c r="C966" t="s">
        <v>3101</v>
      </c>
      <c r="D966" t="s">
        <v>3092</v>
      </c>
      <c r="E966">
        <v>0</v>
      </c>
      <c r="F966" t="str">
        <f>HYPERLINK("https://github.com/JordanMoffat/KitchenPal/issues/36", "show")</f>
        <v>show</v>
      </c>
      <c r="G966" t="str">
        <f>HYPERLINK("https://github.com/JordanMoffat/KitchenPal", "show")</f>
        <v>show</v>
      </c>
      <c r="H966" t="str">
        <f>HYPERLINK("https://github.com/JordanMoffat/KitchenPal/releases", "show")</f>
        <v>show</v>
      </c>
      <c r="I966">
        <v>0</v>
      </c>
      <c r="J966">
        <v>0</v>
      </c>
      <c r="K966">
        <v>0</v>
      </c>
      <c r="L966">
        <v>0</v>
      </c>
      <c r="M966" t="s">
        <v>43</v>
      </c>
    </row>
    <row r="967" spans="1:13" hidden="1" x14ac:dyDescent="0.15">
      <c r="A967" t="s">
        <v>3102</v>
      </c>
      <c r="B967" t="s">
        <v>3103</v>
      </c>
      <c r="C967" t="s">
        <v>3104</v>
      </c>
      <c r="D967" t="s">
        <v>3105</v>
      </c>
      <c r="E967">
        <v>0</v>
      </c>
      <c r="F967" t="str">
        <f>HYPERLINK("https://github.com/turing-tech/MaterialScrollBar/issues/12", "show")</f>
        <v>show</v>
      </c>
      <c r="G967" t="str">
        <f>HYPERLINK("https://github.com/turing-tech/MaterialScrollBar", "show")</f>
        <v>show</v>
      </c>
      <c r="H967" t="str">
        <f>HYPERLINK("https://github.com/turing-tech/MaterialScrollBar/releases", "show")</f>
        <v>show</v>
      </c>
      <c r="I967">
        <v>0</v>
      </c>
      <c r="J967">
        <v>0</v>
      </c>
      <c r="K967">
        <v>0</v>
      </c>
      <c r="L967">
        <v>0</v>
      </c>
      <c r="M967" t="s">
        <v>43</v>
      </c>
    </row>
    <row r="968" spans="1:13" hidden="1" x14ac:dyDescent="0.15">
      <c r="A968" t="s">
        <v>3106</v>
      </c>
      <c r="B968" t="s">
        <v>3107</v>
      </c>
      <c r="D968" t="s">
        <v>3105</v>
      </c>
      <c r="E968">
        <v>19</v>
      </c>
      <c r="F968" t="str">
        <f>HYPERLINK("https://github.com/DigitalCampus/oppia-mobile-android/issues/470", "show")</f>
        <v>show</v>
      </c>
      <c r="G968" t="str">
        <f>HYPERLINK("https://github.com/DigitalCampus/oppia-mobile-android", "show")</f>
        <v>show</v>
      </c>
      <c r="H968" t="str">
        <f>HYPERLINK("https://github.com/DigitalCampus/oppia-mobile-android/releases", "show")</f>
        <v>show</v>
      </c>
      <c r="I968">
        <v>1</v>
      </c>
      <c r="J968">
        <v>0</v>
      </c>
      <c r="K968">
        <v>1</v>
      </c>
      <c r="L968">
        <v>0</v>
      </c>
      <c r="M968" t="s">
        <v>64</v>
      </c>
    </row>
    <row r="969" spans="1:13" hidden="1" x14ac:dyDescent="0.15">
      <c r="A969" t="s">
        <v>3108</v>
      </c>
      <c r="B969" t="s">
        <v>3109</v>
      </c>
      <c r="C969" t="s">
        <v>3110</v>
      </c>
      <c r="D969" t="s">
        <v>3111</v>
      </c>
      <c r="E969">
        <v>12</v>
      </c>
      <c r="F969" t="str">
        <f>HYPERLINK("https://github.com/projectbuendia/client/issues/31", "show")</f>
        <v>show</v>
      </c>
      <c r="G969" t="str">
        <f>HYPERLINK("https://github.com/projectbuendia/client", "show")</f>
        <v>show</v>
      </c>
      <c r="H969" t="str">
        <f>HYPERLINK("https://github.com/projectbuendia/client/releases", "show")</f>
        <v>show</v>
      </c>
      <c r="I969">
        <v>0</v>
      </c>
      <c r="J969">
        <v>0</v>
      </c>
      <c r="K969">
        <v>0</v>
      </c>
      <c r="L969">
        <v>0</v>
      </c>
      <c r="M969" t="s">
        <v>43</v>
      </c>
    </row>
    <row r="970" spans="1:13" hidden="1" x14ac:dyDescent="0.15">
      <c r="A970" t="s">
        <v>3112</v>
      </c>
      <c r="B970" t="s">
        <v>3113</v>
      </c>
      <c r="C970" t="s">
        <v>3114</v>
      </c>
      <c r="D970" t="s">
        <v>3111</v>
      </c>
      <c r="E970">
        <v>2</v>
      </c>
      <c r="F970" t="str">
        <f>HYPERLINK("https://github.com/cgeo/cgeo/issues/5204", "show")</f>
        <v>show</v>
      </c>
      <c r="G970" t="str">
        <f>HYPERLINK("https://github.com/cgeo/cgeo", "show")</f>
        <v>show</v>
      </c>
      <c r="H970" t="str">
        <f>HYPERLINK("https://github.com/cgeo/cgeo/releases", "show")</f>
        <v>show</v>
      </c>
      <c r="I970">
        <v>1</v>
      </c>
      <c r="J970">
        <v>0</v>
      </c>
      <c r="K970">
        <v>1</v>
      </c>
      <c r="L970">
        <v>0</v>
      </c>
      <c r="M970" t="s">
        <v>64</v>
      </c>
    </row>
    <row r="971" spans="1:13" hidden="1" x14ac:dyDescent="0.15">
      <c r="A971" t="s">
        <v>3115</v>
      </c>
      <c r="B971" t="s">
        <v>3116</v>
      </c>
      <c r="C971" t="s">
        <v>3117</v>
      </c>
      <c r="D971" t="s">
        <v>3111</v>
      </c>
      <c r="E971">
        <v>0</v>
      </c>
      <c r="F971" t="str">
        <f>HYPERLINK("https://github.com/AppLozic/Applozic-Android-SDK/issues/48", "show")</f>
        <v>show</v>
      </c>
      <c r="G971" t="str">
        <f>HYPERLINK("https://github.com/AppLozic/Applozic-Android-SDK", "show")</f>
        <v>show</v>
      </c>
      <c r="H971" t="str">
        <f>HYPERLINK("https://github.com/AppLozic/Applozic-Android-SDK/releases", "show")</f>
        <v>show</v>
      </c>
      <c r="I971">
        <v>1</v>
      </c>
      <c r="J971">
        <v>1</v>
      </c>
      <c r="K971">
        <v>0</v>
      </c>
      <c r="L971">
        <v>0</v>
      </c>
      <c r="M971" t="s">
        <v>48</v>
      </c>
    </row>
    <row r="972" spans="1:13" hidden="1" x14ac:dyDescent="0.15">
      <c r="A972" t="s">
        <v>3118</v>
      </c>
      <c r="B972" t="s">
        <v>3119</v>
      </c>
      <c r="C972" t="s">
        <v>3120</v>
      </c>
      <c r="D972" t="s">
        <v>3111</v>
      </c>
      <c r="E972">
        <v>0</v>
      </c>
      <c r="F972" t="str">
        <f>HYPERLINK("https://github.com/OneBusAway/onebusaway-android/issues/300", "show")</f>
        <v>show</v>
      </c>
      <c r="G972" t="str">
        <f>HYPERLINK("https://github.com/OneBusAway/onebusaway-android", "show")</f>
        <v>show</v>
      </c>
      <c r="H972" t="str">
        <f>HYPERLINK("https://github.com/OneBusAway/onebusaway-android/releases", "show")</f>
        <v>show</v>
      </c>
      <c r="I972">
        <v>0</v>
      </c>
      <c r="J972">
        <v>0</v>
      </c>
      <c r="K972">
        <v>1</v>
      </c>
      <c r="L972">
        <v>0</v>
      </c>
      <c r="M972" t="s">
        <v>122</v>
      </c>
    </row>
    <row r="973" spans="1:13" hidden="1" x14ac:dyDescent="0.15">
      <c r="A973" t="s">
        <v>3121</v>
      </c>
      <c r="B973" t="s">
        <v>3122</v>
      </c>
      <c r="C973" t="s">
        <v>3123</v>
      </c>
      <c r="D973" t="s">
        <v>3124</v>
      </c>
      <c r="E973">
        <v>55</v>
      </c>
      <c r="F973" t="str">
        <f>HYPERLINK("https://github.com/CellularPrivacy/Android-IMSI-Catcher-Detector/issues/620", "show")</f>
        <v>show</v>
      </c>
      <c r="G973" t="str">
        <f>HYPERLINK("https://github.com/CellularPrivacy/Android-IMSI-Catcher-Detector", "show")</f>
        <v>show</v>
      </c>
      <c r="H973" t="str">
        <f>HYPERLINK("https://github.com/CellularPrivacy/Android-IMSI-Catcher-Detector/releases", "show")</f>
        <v>show</v>
      </c>
      <c r="I973">
        <v>0</v>
      </c>
      <c r="J973">
        <v>1</v>
      </c>
      <c r="K973">
        <v>1</v>
      </c>
      <c r="L973">
        <v>0</v>
      </c>
      <c r="M973" t="s">
        <v>699</v>
      </c>
    </row>
    <row r="974" spans="1:13" hidden="1" x14ac:dyDescent="0.15">
      <c r="A974" t="s">
        <v>3125</v>
      </c>
      <c r="B974" t="s">
        <v>3126</v>
      </c>
      <c r="C974" t="s">
        <v>3127</v>
      </c>
      <c r="D974" t="s">
        <v>3128</v>
      </c>
      <c r="E974">
        <v>16</v>
      </c>
      <c r="F974" t="str">
        <f>HYPERLINK("https://github.com/EmergentOrganization/cell-rpg/issues/68", "show")</f>
        <v>show</v>
      </c>
      <c r="G974" t="str">
        <f>HYPERLINK("https://github.com/EmergentOrganization/cell-rpg", "show")</f>
        <v>show</v>
      </c>
      <c r="H974" t="str">
        <f>HYPERLINK("https://github.com/EmergentOrganization/cell-rpg/releases", "show")</f>
        <v>show</v>
      </c>
      <c r="I974">
        <v>1</v>
      </c>
      <c r="J974">
        <v>0</v>
      </c>
      <c r="K974">
        <v>0</v>
      </c>
      <c r="L974">
        <v>0</v>
      </c>
      <c r="M974" t="s">
        <v>17</v>
      </c>
    </row>
    <row r="975" spans="1:13" hidden="1" x14ac:dyDescent="0.15">
      <c r="A975" t="s">
        <v>3129</v>
      </c>
      <c r="B975" t="s">
        <v>3130</v>
      </c>
      <c r="C975" t="s">
        <v>3131</v>
      </c>
      <c r="D975" t="s">
        <v>3128</v>
      </c>
      <c r="E975">
        <v>8</v>
      </c>
      <c r="F975" t="str">
        <f>HYPERLINK("https://github.com/dsaltares/libgdx-cookbook/issues/10", "show")</f>
        <v>show</v>
      </c>
      <c r="G975" t="str">
        <f>HYPERLINK("https://github.com/dsaltares/libgdx-cookbook", "show")</f>
        <v>show</v>
      </c>
      <c r="H975" t="str">
        <f>HYPERLINK("https://github.com/dsaltares/libgdx-cookbook/releases", "show")</f>
        <v>show</v>
      </c>
      <c r="I975">
        <v>0</v>
      </c>
      <c r="J975">
        <v>0</v>
      </c>
      <c r="K975">
        <v>1</v>
      </c>
      <c r="L975">
        <v>0</v>
      </c>
      <c r="M975" t="s">
        <v>122</v>
      </c>
    </row>
    <row r="976" spans="1:13" hidden="1" x14ac:dyDescent="0.15">
      <c r="A976" t="s">
        <v>3132</v>
      </c>
      <c r="B976" t="s">
        <v>3133</v>
      </c>
      <c r="C976" t="s">
        <v>3134</v>
      </c>
      <c r="D976" t="s">
        <v>3128</v>
      </c>
      <c r="E976">
        <v>7</v>
      </c>
      <c r="F976" t="str">
        <f>HYPERLINK("https://github.com/h6ah4i/android-advancedrecyclerview/issues/115", "show")</f>
        <v>show</v>
      </c>
      <c r="G976" t="str">
        <f>HYPERLINK("https://github.com/h6ah4i/android-advancedrecyclerview", "show")</f>
        <v>show</v>
      </c>
      <c r="H976" t="str">
        <f>HYPERLINK("https://github.com/h6ah4i/android-advancedrecyclerview/releases", "show")</f>
        <v>show</v>
      </c>
      <c r="I976">
        <v>1</v>
      </c>
      <c r="J976">
        <v>0</v>
      </c>
      <c r="K976">
        <v>1</v>
      </c>
      <c r="L976">
        <v>0</v>
      </c>
      <c r="M976" t="s">
        <v>64</v>
      </c>
    </row>
    <row r="977" spans="1:13" hidden="1" x14ac:dyDescent="0.15">
      <c r="A977" t="s">
        <v>3135</v>
      </c>
      <c r="B977" t="s">
        <v>3136</v>
      </c>
      <c r="C977" t="s">
        <v>3137</v>
      </c>
      <c r="D977" t="s">
        <v>3128</v>
      </c>
      <c r="E977">
        <v>0</v>
      </c>
      <c r="F977" t="str">
        <f>HYPERLINK("https://github.com/Andrew67/DdrFinder/issues/7", "show")</f>
        <v>show</v>
      </c>
      <c r="G977" t="str">
        <f>HYPERLINK("https://github.com/Andrew67/DdrFinder", "show")</f>
        <v>show</v>
      </c>
      <c r="H977" t="str">
        <f>HYPERLINK("https://github.com/Andrew67/DdrFinder/releases", "show")</f>
        <v>show</v>
      </c>
      <c r="I977">
        <v>0</v>
      </c>
      <c r="J977">
        <v>0</v>
      </c>
      <c r="K977">
        <v>0</v>
      </c>
      <c r="L977">
        <v>0</v>
      </c>
      <c r="M977" t="s">
        <v>43</v>
      </c>
    </row>
    <row r="978" spans="1:13" hidden="1" x14ac:dyDescent="0.15">
      <c r="A978" t="s">
        <v>3138</v>
      </c>
      <c r="B978" t="s">
        <v>3139</v>
      </c>
      <c r="C978" t="s">
        <v>3140</v>
      </c>
      <c r="D978" t="s">
        <v>3141</v>
      </c>
      <c r="E978">
        <v>4</v>
      </c>
      <c r="F978" t="str">
        <f>HYPERLINK("https://github.com/Cloudkibo/Android/issues/65", "show")</f>
        <v>show</v>
      </c>
      <c r="G978" t="str">
        <f>HYPERLINK("https://github.com/Cloudkibo/Android", "show")</f>
        <v>show</v>
      </c>
      <c r="H978" t="str">
        <f>HYPERLINK("https://github.com/Cloudkibo/Android/releases", "show")</f>
        <v>show</v>
      </c>
      <c r="I978">
        <v>0</v>
      </c>
      <c r="J978">
        <v>0</v>
      </c>
      <c r="K978">
        <v>0</v>
      </c>
      <c r="L978">
        <v>0</v>
      </c>
      <c r="M978" t="s">
        <v>43</v>
      </c>
    </row>
    <row r="979" spans="1:13" hidden="1" x14ac:dyDescent="0.15">
      <c r="A979" t="s">
        <v>3142</v>
      </c>
      <c r="B979" t="s">
        <v>3143</v>
      </c>
      <c r="C979" t="s">
        <v>3144</v>
      </c>
      <c r="D979" t="s">
        <v>3141</v>
      </c>
      <c r="E979">
        <v>8</v>
      </c>
      <c r="F979" t="str">
        <f>HYPERLINK("https://github.com/colegarien/SDDTermProject/issues/53", "show")</f>
        <v>show</v>
      </c>
      <c r="G979" t="str">
        <f>HYPERLINK("https://github.com/colegarien/SDDTermProject", "show")</f>
        <v>show</v>
      </c>
      <c r="H979" t="str">
        <f>HYPERLINK("https://github.com/colegarien/SDDTermProject/releases", "show")</f>
        <v>show</v>
      </c>
      <c r="I979">
        <v>1</v>
      </c>
      <c r="J979">
        <v>0</v>
      </c>
      <c r="K979">
        <v>0</v>
      </c>
      <c r="L979">
        <v>0</v>
      </c>
      <c r="M979" t="s">
        <v>17</v>
      </c>
    </row>
    <row r="980" spans="1:13" hidden="1" x14ac:dyDescent="0.15">
      <c r="A980" t="s">
        <v>3145</v>
      </c>
      <c r="B980" t="s">
        <v>3146</v>
      </c>
      <c r="C980" t="s">
        <v>3147</v>
      </c>
      <c r="D980" t="s">
        <v>3141</v>
      </c>
      <c r="E980">
        <v>6</v>
      </c>
      <c r="F980" t="str">
        <f>HYPERLINK("https://github.com/cSploit/android/issues/327", "show")</f>
        <v>show</v>
      </c>
      <c r="G980" t="str">
        <f>HYPERLINK("https://github.com/cSploit/android", "show")</f>
        <v>show</v>
      </c>
      <c r="H980" t="str">
        <f>HYPERLINK("https://github.com/cSploit/android/releases", "show")</f>
        <v>show</v>
      </c>
      <c r="I980">
        <v>1</v>
      </c>
      <c r="J980">
        <v>0</v>
      </c>
      <c r="K980">
        <v>0</v>
      </c>
      <c r="L980">
        <v>0</v>
      </c>
      <c r="M980" t="s">
        <v>17</v>
      </c>
    </row>
    <row r="981" spans="1:13" hidden="1" x14ac:dyDescent="0.15">
      <c r="A981" t="s">
        <v>3148</v>
      </c>
      <c r="B981" t="s">
        <v>3149</v>
      </c>
      <c r="C981" t="s">
        <v>3150</v>
      </c>
      <c r="D981" t="s">
        <v>3141</v>
      </c>
      <c r="E981">
        <v>0</v>
      </c>
      <c r="F981" t="str">
        <f>HYPERLINK("https://github.com/OneBusAway/onebusaway-android/issues/317", "show")</f>
        <v>show</v>
      </c>
      <c r="G981" t="str">
        <f>HYPERLINK("https://github.com/OneBusAway/onebusaway-android", "show")</f>
        <v>show</v>
      </c>
      <c r="H981" t="str">
        <f>HYPERLINK("https://github.com/OneBusAway/onebusaway-android/releases", "show")</f>
        <v>show</v>
      </c>
      <c r="I981">
        <v>1</v>
      </c>
      <c r="J981">
        <v>0</v>
      </c>
      <c r="K981">
        <v>1</v>
      </c>
      <c r="L981">
        <v>0</v>
      </c>
      <c r="M981" t="s">
        <v>64</v>
      </c>
    </row>
    <row r="982" spans="1:13" hidden="1" x14ac:dyDescent="0.15">
      <c r="A982" t="s">
        <v>3151</v>
      </c>
      <c r="B982" t="s">
        <v>3152</v>
      </c>
      <c r="C982" t="s">
        <v>3153</v>
      </c>
      <c r="D982" t="s">
        <v>3154</v>
      </c>
      <c r="E982">
        <v>33</v>
      </c>
      <c r="F982" t="str">
        <f>HYPERLINK("https://github.com/tbruyelle/RxPermissions/issues/3", "show")</f>
        <v>show</v>
      </c>
      <c r="G982" t="str">
        <f>HYPERLINK("https://github.com/tbruyelle/RxPermissions", "show")</f>
        <v>show</v>
      </c>
      <c r="H982" t="str">
        <f>HYPERLINK("https://github.com/tbruyelle/RxPermissions/releases", "show")</f>
        <v>show</v>
      </c>
      <c r="I982">
        <v>1</v>
      </c>
      <c r="J982">
        <v>0</v>
      </c>
      <c r="K982">
        <v>1</v>
      </c>
      <c r="L982">
        <v>0</v>
      </c>
      <c r="M982" t="s">
        <v>64</v>
      </c>
    </row>
    <row r="983" spans="1:13" hidden="1" x14ac:dyDescent="0.15">
      <c r="A983" t="s">
        <v>3155</v>
      </c>
      <c r="B983" t="s">
        <v>3156</v>
      </c>
      <c r="C983" t="s">
        <v>3157</v>
      </c>
      <c r="D983" t="s">
        <v>3154</v>
      </c>
      <c r="E983">
        <v>0</v>
      </c>
      <c r="F983" t="str">
        <f>HYPERLINK("https://github.com/dimagi/commcare-android/issues/662", "show")</f>
        <v>show</v>
      </c>
      <c r="G983" t="str">
        <f>HYPERLINK("https://github.com/dimagi/commcare-android", "show")</f>
        <v>show</v>
      </c>
      <c r="H983" t="str">
        <f>HYPERLINK("https://github.com/dimagi/commcare-android/releases", "show")</f>
        <v>show</v>
      </c>
      <c r="I983">
        <v>1</v>
      </c>
      <c r="J983">
        <v>0</v>
      </c>
      <c r="K983">
        <v>0</v>
      </c>
      <c r="L983">
        <v>0</v>
      </c>
      <c r="M983" t="s">
        <v>17</v>
      </c>
    </row>
    <row r="984" spans="1:13" hidden="1" x14ac:dyDescent="0.15">
      <c r="A984" t="s">
        <v>3158</v>
      </c>
      <c r="B984" t="s">
        <v>3159</v>
      </c>
      <c r="C984" t="s">
        <v>3160</v>
      </c>
      <c r="D984" t="s">
        <v>3154</v>
      </c>
      <c r="E984">
        <v>0</v>
      </c>
      <c r="F984" t="str">
        <f>HYPERLINK("https://github.com/fesch/CanZE/issues/50", "show")</f>
        <v>show</v>
      </c>
      <c r="G984" t="str">
        <f>HYPERLINK("https://github.com/fesch/CanZE", "show")</f>
        <v>show</v>
      </c>
      <c r="H984" t="str">
        <f>HYPERLINK("https://github.com/fesch/CanZE/releases", "show")</f>
        <v>show</v>
      </c>
      <c r="I984">
        <v>1</v>
      </c>
      <c r="J984">
        <v>0</v>
      </c>
      <c r="K984">
        <v>0</v>
      </c>
      <c r="L984">
        <v>0</v>
      </c>
      <c r="M984" t="s">
        <v>17</v>
      </c>
    </row>
    <row r="985" spans="1:13" hidden="1" x14ac:dyDescent="0.15">
      <c r="A985" t="s">
        <v>3161</v>
      </c>
      <c r="B985" t="s">
        <v>3162</v>
      </c>
      <c r="C985" t="s">
        <v>3163</v>
      </c>
      <c r="D985" t="s">
        <v>3164</v>
      </c>
      <c r="E985">
        <v>0</v>
      </c>
      <c r="F985" t="str">
        <f>HYPERLINK("https://github.com/fesch/CanZE/issues/54", "show")</f>
        <v>show</v>
      </c>
      <c r="G985" t="str">
        <f>HYPERLINK("https://github.com/fesch/CanZE", "show")</f>
        <v>show</v>
      </c>
      <c r="H985" t="str">
        <f>HYPERLINK("https://github.com/fesch/CanZE/releases", "show")</f>
        <v>show</v>
      </c>
      <c r="I985">
        <v>0</v>
      </c>
      <c r="J985">
        <v>0</v>
      </c>
      <c r="K985">
        <v>0</v>
      </c>
      <c r="L985">
        <v>0</v>
      </c>
      <c r="M985" t="s">
        <v>43</v>
      </c>
    </row>
    <row r="986" spans="1:13" hidden="1" x14ac:dyDescent="0.15">
      <c r="A986" t="s">
        <v>3165</v>
      </c>
      <c r="B986" t="s">
        <v>3166</v>
      </c>
      <c r="C986" t="s">
        <v>3167</v>
      </c>
      <c r="D986" t="s">
        <v>3164</v>
      </c>
      <c r="E986">
        <v>15</v>
      </c>
      <c r="F986" t="str">
        <f>HYPERLINK("https://github.com/segmentio/analytics-android/issues/358", "show")</f>
        <v>show</v>
      </c>
      <c r="G986" t="str">
        <f>HYPERLINK("https://github.com/segmentio/analytics-android", "show")</f>
        <v>show</v>
      </c>
      <c r="H986" t="str">
        <f>HYPERLINK("https://github.com/segmentio/analytics-android/releases", "show")</f>
        <v>show</v>
      </c>
      <c r="I986">
        <v>0</v>
      </c>
      <c r="J986">
        <v>0</v>
      </c>
      <c r="K986">
        <v>1</v>
      </c>
      <c r="L986">
        <v>0</v>
      </c>
      <c r="M986" t="s">
        <v>122</v>
      </c>
    </row>
    <row r="987" spans="1:13" hidden="1" x14ac:dyDescent="0.15">
      <c r="A987" t="s">
        <v>3168</v>
      </c>
      <c r="B987" t="s">
        <v>3169</v>
      </c>
      <c r="C987" t="s">
        <v>3170</v>
      </c>
      <c r="D987" t="s">
        <v>3164</v>
      </c>
      <c r="E987">
        <v>159</v>
      </c>
      <c r="F987" t="str">
        <f>HYPERLINK("https://github.com/souliss/soulissapp/issues/77", "show")</f>
        <v>show</v>
      </c>
      <c r="G987" t="str">
        <f>HYPERLINK("https://github.com/souliss/soulissapp", "show")</f>
        <v>show</v>
      </c>
      <c r="H987" t="str">
        <f>HYPERLINK("https://github.com/souliss/soulissapp/releases", "show")</f>
        <v>show</v>
      </c>
      <c r="I987">
        <v>1</v>
      </c>
      <c r="J987">
        <v>0</v>
      </c>
      <c r="K987">
        <v>0</v>
      </c>
      <c r="L987">
        <v>0</v>
      </c>
      <c r="M987" t="s">
        <v>17</v>
      </c>
    </row>
    <row r="988" spans="1:13" hidden="1" x14ac:dyDescent="0.15">
      <c r="A988" t="s">
        <v>3171</v>
      </c>
      <c r="B988" t="s">
        <v>3172</v>
      </c>
      <c r="C988" t="s">
        <v>3173</v>
      </c>
      <c r="D988" t="s">
        <v>3174</v>
      </c>
      <c r="E988">
        <v>0</v>
      </c>
      <c r="F988" t="str">
        <f>HYPERLINK("https://github.com/mvysny/aedict/issues/572", "show")</f>
        <v>show</v>
      </c>
      <c r="G988" t="str">
        <f>HYPERLINK("https://github.com/mvysny/aedict", "show")</f>
        <v>show</v>
      </c>
      <c r="H988" t="str">
        <f>HYPERLINK("https://github.com/mvysny/aedict/releases", "show")</f>
        <v>show</v>
      </c>
      <c r="I988">
        <v>1</v>
      </c>
      <c r="J988">
        <v>0</v>
      </c>
      <c r="K988">
        <v>1</v>
      </c>
      <c r="L988">
        <v>0</v>
      </c>
      <c r="M988" t="s">
        <v>64</v>
      </c>
    </row>
    <row r="989" spans="1:13" hidden="1" x14ac:dyDescent="0.15">
      <c r="A989" t="s">
        <v>3175</v>
      </c>
      <c r="B989" t="s">
        <v>3176</v>
      </c>
      <c r="C989" t="s">
        <v>3177</v>
      </c>
      <c r="D989" t="s">
        <v>3178</v>
      </c>
      <c r="E989">
        <v>0</v>
      </c>
      <c r="F989" t="str">
        <f>HYPERLINK("https://github.com/zhanghai/MaterialProgressBar/issues/7", "show")</f>
        <v>show</v>
      </c>
      <c r="G989" t="str">
        <f>HYPERLINK("https://github.com/zhanghai/MaterialProgressBar", "show")</f>
        <v>show</v>
      </c>
      <c r="H989" t="str">
        <f>HYPERLINK("https://github.com/zhanghai/MaterialProgressBar/releases", "show")</f>
        <v>show</v>
      </c>
      <c r="I989">
        <v>0</v>
      </c>
      <c r="J989">
        <v>0</v>
      </c>
      <c r="K989">
        <v>1</v>
      </c>
      <c r="L989">
        <v>0</v>
      </c>
      <c r="M989" t="s">
        <v>122</v>
      </c>
    </row>
    <row r="990" spans="1:13" hidden="1" x14ac:dyDescent="0.15">
      <c r="A990" t="s">
        <v>3179</v>
      </c>
      <c r="B990" t="s">
        <v>3180</v>
      </c>
      <c r="D990" t="s">
        <v>3181</v>
      </c>
      <c r="E990">
        <v>1</v>
      </c>
      <c r="F990" t="str">
        <f>HYPERLINK("https://github.com/RSDT/joti/issues/20", "show")</f>
        <v>show</v>
      </c>
      <c r="G990" t="str">
        <f>HYPERLINK("https://github.com/RSDT/joti", "show")</f>
        <v>show</v>
      </c>
      <c r="H990" t="str">
        <f>HYPERLINK("https://github.com/RSDT/joti/releases", "show")</f>
        <v>show</v>
      </c>
      <c r="I990">
        <v>0</v>
      </c>
      <c r="J990">
        <v>0</v>
      </c>
      <c r="K990">
        <v>1</v>
      </c>
      <c r="L990">
        <v>0</v>
      </c>
      <c r="M990" t="s">
        <v>122</v>
      </c>
    </row>
    <row r="991" spans="1:13" hidden="1" x14ac:dyDescent="0.15">
      <c r="A991" t="s">
        <v>3182</v>
      </c>
      <c r="B991" t="s">
        <v>3183</v>
      </c>
      <c r="C991" t="s">
        <v>3184</v>
      </c>
      <c r="D991" t="s">
        <v>3181</v>
      </c>
      <c r="E991">
        <v>910</v>
      </c>
      <c r="F991" t="str">
        <f>HYPERLINK("https://github.com/orhanobut/hawk/issues/92", "show")</f>
        <v>show</v>
      </c>
      <c r="G991" t="str">
        <f>HYPERLINK("https://github.com/orhanobut/hawk", "show")</f>
        <v>show</v>
      </c>
      <c r="H991" t="str">
        <f>HYPERLINK("https://github.com/orhanobut/hawk/releases", "show")</f>
        <v>show</v>
      </c>
      <c r="I991">
        <v>1</v>
      </c>
      <c r="J991">
        <v>0</v>
      </c>
      <c r="K991">
        <v>1</v>
      </c>
      <c r="L991">
        <v>0</v>
      </c>
      <c r="M991" t="s">
        <v>64</v>
      </c>
    </row>
    <row r="992" spans="1:13" hidden="1" x14ac:dyDescent="0.15">
      <c r="A992" t="s">
        <v>3185</v>
      </c>
      <c r="B992" t="s">
        <v>3186</v>
      </c>
      <c r="C992" t="s">
        <v>3187</v>
      </c>
      <c r="D992" t="s">
        <v>3181</v>
      </c>
      <c r="E992">
        <v>2</v>
      </c>
      <c r="F992" t="str">
        <f>HYPERLINK("https://github.com/smarek/Simple-Dilbert/issues/23", "show")</f>
        <v>show</v>
      </c>
      <c r="G992" t="str">
        <f>HYPERLINK("https://github.com/smarek/Simple-Dilbert", "show")</f>
        <v>show</v>
      </c>
      <c r="H992" t="str">
        <f>HYPERLINK("https://github.com/smarek/Simple-Dilbert/releases", "show")</f>
        <v>show</v>
      </c>
      <c r="I992">
        <v>1</v>
      </c>
      <c r="J992">
        <v>0</v>
      </c>
      <c r="K992">
        <v>1</v>
      </c>
      <c r="L992">
        <v>0</v>
      </c>
      <c r="M992" t="s">
        <v>64</v>
      </c>
    </row>
    <row r="993" spans="1:13" hidden="1" x14ac:dyDescent="0.15">
      <c r="A993" t="s">
        <v>3188</v>
      </c>
      <c r="B993" t="s">
        <v>3189</v>
      </c>
      <c r="C993" t="s">
        <v>3190</v>
      </c>
      <c r="D993" t="s">
        <v>3191</v>
      </c>
      <c r="E993">
        <v>173</v>
      </c>
      <c r="F993" t="str">
        <f>HYPERLINK("https://github.com/syncthing/syncthing-android/issues/464", "show")</f>
        <v>show</v>
      </c>
      <c r="G993" t="str">
        <f>HYPERLINK("https://github.com/syncthing/syncthing-android", "show")</f>
        <v>show</v>
      </c>
      <c r="H993" t="str">
        <f>HYPERLINK("https://github.com/syncthing/syncthing-android/releases", "show")</f>
        <v>show</v>
      </c>
      <c r="I993">
        <v>0</v>
      </c>
      <c r="J993">
        <v>0</v>
      </c>
      <c r="K993">
        <v>0</v>
      </c>
      <c r="L993">
        <v>1</v>
      </c>
      <c r="M993" t="s">
        <v>581</v>
      </c>
    </row>
    <row r="994" spans="1:13" hidden="1" x14ac:dyDescent="0.15">
      <c r="A994" t="s">
        <v>3192</v>
      </c>
      <c r="B994" t="s">
        <v>3193</v>
      </c>
      <c r="C994" t="s">
        <v>3194</v>
      </c>
      <c r="D994" t="s">
        <v>3191</v>
      </c>
      <c r="E994">
        <v>6</v>
      </c>
      <c r="F994" t="str">
        <f>HYPERLINK("https://github.com/fesch/CanZE/issues/80", "show")</f>
        <v>show</v>
      </c>
      <c r="G994" t="str">
        <f>HYPERLINK("https://github.com/fesch/CanZE", "show")</f>
        <v>show</v>
      </c>
      <c r="H994" t="str">
        <f>HYPERLINK("https://github.com/fesch/CanZE/releases", "show")</f>
        <v>show</v>
      </c>
      <c r="I994">
        <v>1</v>
      </c>
      <c r="J994">
        <v>0</v>
      </c>
      <c r="K994">
        <v>0</v>
      </c>
      <c r="L994">
        <v>0</v>
      </c>
      <c r="M994" t="s">
        <v>17</v>
      </c>
    </row>
    <row r="995" spans="1:13" hidden="1" x14ac:dyDescent="0.15">
      <c r="A995" t="s">
        <v>3195</v>
      </c>
      <c r="B995" t="s">
        <v>3196</v>
      </c>
      <c r="C995" t="s">
        <v>3197</v>
      </c>
      <c r="D995" t="s">
        <v>3198</v>
      </c>
      <c r="E995">
        <v>5</v>
      </c>
      <c r="F995" t="str">
        <f>HYPERLINK("https://github.com/ccrama/Slide/issues/7", "show")</f>
        <v>show</v>
      </c>
      <c r="G995" t="str">
        <f>HYPERLINK("https://github.com/ccrama/Slide", "show")</f>
        <v>show</v>
      </c>
      <c r="H995" t="str">
        <f>HYPERLINK("https://github.com/ccrama/Slide/releases", "show")</f>
        <v>show</v>
      </c>
      <c r="I995">
        <v>1</v>
      </c>
      <c r="J995">
        <v>0</v>
      </c>
      <c r="K995">
        <v>0</v>
      </c>
      <c r="L995">
        <v>0</v>
      </c>
      <c r="M995" t="s">
        <v>17</v>
      </c>
    </row>
    <row r="996" spans="1:13" hidden="1" x14ac:dyDescent="0.15">
      <c r="A996" t="s">
        <v>3199</v>
      </c>
      <c r="B996" t="s">
        <v>3200</v>
      </c>
      <c r="C996" t="s">
        <v>3201</v>
      </c>
      <c r="D996" t="s">
        <v>3198</v>
      </c>
      <c r="E996">
        <v>9</v>
      </c>
      <c r="F996" t="str">
        <f>HYPERLINK("https://github.com/fesch/CanZE/issues/89", "show")</f>
        <v>show</v>
      </c>
      <c r="G996" t="str">
        <f>HYPERLINK("https://github.com/fesch/CanZE", "show")</f>
        <v>show</v>
      </c>
      <c r="H996" t="str">
        <f>HYPERLINK("https://github.com/fesch/CanZE/releases", "show")</f>
        <v>show</v>
      </c>
      <c r="I996">
        <v>1</v>
      </c>
      <c r="J996">
        <v>0</v>
      </c>
      <c r="K996">
        <v>0</v>
      </c>
      <c r="L996">
        <v>0</v>
      </c>
      <c r="M996" t="s">
        <v>17</v>
      </c>
    </row>
    <row r="997" spans="1:13" hidden="1" x14ac:dyDescent="0.15">
      <c r="A997" t="s">
        <v>3202</v>
      </c>
      <c r="B997" t="s">
        <v>3203</v>
      </c>
      <c r="C997" t="s">
        <v>3204</v>
      </c>
      <c r="D997" t="s">
        <v>3198</v>
      </c>
      <c r="E997">
        <v>29</v>
      </c>
      <c r="F997" t="str">
        <f>HYPERLINK("https://github.com/gre/gl-react-native-v2/issues/16", "show")</f>
        <v>show</v>
      </c>
      <c r="G997" t="str">
        <f>HYPERLINK("https://github.com/gre/gl-react-native-v2", "show")</f>
        <v>show</v>
      </c>
      <c r="H997" t="str">
        <f>HYPERLINK("https://github.com/gre/gl-react-native-v2/releases", "show")</f>
        <v>show</v>
      </c>
      <c r="I997">
        <v>0</v>
      </c>
      <c r="J997">
        <v>0</v>
      </c>
      <c r="K997">
        <v>0</v>
      </c>
      <c r="L997">
        <v>0</v>
      </c>
      <c r="M997" t="s">
        <v>43</v>
      </c>
    </row>
    <row r="998" spans="1:13" hidden="1" x14ac:dyDescent="0.15">
      <c r="A998" t="s">
        <v>3205</v>
      </c>
      <c r="B998" t="s">
        <v>3206</v>
      </c>
      <c r="C998" t="s">
        <v>3207</v>
      </c>
      <c r="D998" t="s">
        <v>3198</v>
      </c>
      <c r="E998">
        <v>0</v>
      </c>
      <c r="F998" t="str">
        <f>HYPERLINK("https://github.com/mvysny/aedict/issues/574", "show")</f>
        <v>show</v>
      </c>
      <c r="G998" t="str">
        <f>HYPERLINK("https://github.com/mvysny/aedict", "show")</f>
        <v>show</v>
      </c>
      <c r="H998" t="str">
        <f>HYPERLINK("https://github.com/mvysny/aedict/releases", "show")</f>
        <v>show</v>
      </c>
      <c r="I998">
        <v>1</v>
      </c>
      <c r="J998">
        <v>0</v>
      </c>
      <c r="K998">
        <v>1</v>
      </c>
      <c r="L998">
        <v>0</v>
      </c>
      <c r="M998" t="s">
        <v>64</v>
      </c>
    </row>
    <row r="999" spans="1:13" hidden="1" x14ac:dyDescent="0.15">
      <c r="A999" t="s">
        <v>3208</v>
      </c>
      <c r="B999" t="s">
        <v>3209</v>
      </c>
      <c r="C999" t="s">
        <v>3210</v>
      </c>
      <c r="D999" t="s">
        <v>3211</v>
      </c>
      <c r="E999">
        <v>20</v>
      </c>
      <c r="F999" t="str">
        <f>HYPERLINK("https://github.com/projectbuendia/client/issues/61", "show")</f>
        <v>show</v>
      </c>
      <c r="G999" t="str">
        <f>HYPERLINK("https://github.com/projectbuendia/client", "show")</f>
        <v>show</v>
      </c>
      <c r="H999" t="str">
        <f>HYPERLINK("https://github.com/projectbuendia/client/releases", "show")</f>
        <v>show</v>
      </c>
      <c r="I999">
        <v>1</v>
      </c>
      <c r="J999">
        <v>1</v>
      </c>
      <c r="K999">
        <v>1</v>
      </c>
      <c r="L999">
        <v>0</v>
      </c>
      <c r="M999" t="s">
        <v>59</v>
      </c>
    </row>
    <row r="1000" spans="1:13" hidden="1" x14ac:dyDescent="0.15">
      <c r="A1000" t="s">
        <v>3212</v>
      </c>
      <c r="B1000" t="s">
        <v>3213</v>
      </c>
      <c r="D1000" t="s">
        <v>3211</v>
      </c>
      <c r="E1000">
        <v>4</v>
      </c>
      <c r="F1000" t="str">
        <f>HYPERLINK("https://github.com/ccrama/Slide/issues/18", "show")</f>
        <v>show</v>
      </c>
      <c r="G1000" t="str">
        <f>HYPERLINK("https://github.com/ccrama/Slide", "show")</f>
        <v>show</v>
      </c>
      <c r="H1000" t="str">
        <f>HYPERLINK("https://github.com/ccrama/Slide/releases", "show")</f>
        <v>show</v>
      </c>
      <c r="I1000">
        <v>1</v>
      </c>
      <c r="J1000">
        <v>0</v>
      </c>
      <c r="K1000">
        <v>0</v>
      </c>
      <c r="L1000">
        <v>0</v>
      </c>
      <c r="M1000" t="s">
        <v>17</v>
      </c>
    </row>
    <row r="1001" spans="1:13" hidden="1" x14ac:dyDescent="0.15">
      <c r="A1001" t="s">
        <v>3214</v>
      </c>
      <c r="B1001" t="s">
        <v>3215</v>
      </c>
      <c r="C1001" t="s">
        <v>3216</v>
      </c>
      <c r="D1001" t="s">
        <v>3211</v>
      </c>
      <c r="E1001">
        <v>1</v>
      </c>
      <c r="F1001" t="str">
        <f>HYPERLINK("https://github.com/ccrama/Slide/issues/17", "show")</f>
        <v>show</v>
      </c>
      <c r="G1001" t="str">
        <f>HYPERLINK("https://github.com/ccrama/Slide", "show")</f>
        <v>show</v>
      </c>
      <c r="H1001" t="str">
        <f>HYPERLINK("https://github.com/ccrama/Slide/releases", "show")</f>
        <v>show</v>
      </c>
      <c r="I1001">
        <v>1</v>
      </c>
      <c r="J1001">
        <v>0</v>
      </c>
      <c r="K1001">
        <v>0</v>
      </c>
      <c r="L1001">
        <v>0</v>
      </c>
      <c r="M1001" t="s">
        <v>17</v>
      </c>
    </row>
    <row r="1002" spans="1:13" hidden="1" x14ac:dyDescent="0.15">
      <c r="A1002" t="s">
        <v>3217</v>
      </c>
      <c r="B1002" t="s">
        <v>3218</v>
      </c>
      <c r="D1002" t="s">
        <v>3211</v>
      </c>
      <c r="E1002">
        <v>1</v>
      </c>
      <c r="F1002" t="str">
        <f>HYPERLINK("https://github.com/ccrama/Slide/issues/15", "show")</f>
        <v>show</v>
      </c>
      <c r="G1002" t="str">
        <f>HYPERLINK("https://github.com/ccrama/Slide", "show")</f>
        <v>show</v>
      </c>
      <c r="H1002" t="str">
        <f>HYPERLINK("https://github.com/ccrama/Slide/releases", "show")</f>
        <v>show</v>
      </c>
      <c r="I1002">
        <v>0</v>
      </c>
      <c r="J1002">
        <v>0</v>
      </c>
      <c r="K1002">
        <v>0</v>
      </c>
      <c r="L1002">
        <v>0</v>
      </c>
      <c r="M1002" t="s">
        <v>43</v>
      </c>
    </row>
    <row r="1003" spans="1:13" hidden="1" x14ac:dyDescent="0.15">
      <c r="A1003" t="s">
        <v>3219</v>
      </c>
      <c r="B1003" t="s">
        <v>3220</v>
      </c>
      <c r="C1003" t="s">
        <v>3221</v>
      </c>
      <c r="D1003" t="s">
        <v>3211</v>
      </c>
      <c r="E1003">
        <v>5</v>
      </c>
      <c r="F1003" t="str">
        <f>HYPERLINK("https://github.com/scottyab/secure-preferences/issues/31", "show")</f>
        <v>show</v>
      </c>
      <c r="G1003" t="str">
        <f>HYPERLINK("https://github.com/scottyab/secure-preferences", "show")</f>
        <v>show</v>
      </c>
      <c r="H1003" t="str">
        <f>HYPERLINK("https://github.com/scottyab/secure-preferences/releases", "show")</f>
        <v>show</v>
      </c>
      <c r="I1003">
        <v>1</v>
      </c>
      <c r="J1003">
        <v>0</v>
      </c>
      <c r="K1003">
        <v>1</v>
      </c>
      <c r="L1003">
        <v>0</v>
      </c>
      <c r="M1003" t="s">
        <v>64</v>
      </c>
    </row>
    <row r="1004" spans="1:13" hidden="1" x14ac:dyDescent="0.15">
      <c r="A1004" t="s">
        <v>3222</v>
      </c>
      <c r="B1004" t="s">
        <v>3223</v>
      </c>
      <c r="C1004" t="s">
        <v>3224</v>
      </c>
      <c r="D1004" t="s">
        <v>3211</v>
      </c>
      <c r="E1004">
        <v>180</v>
      </c>
      <c r="F1004" t="str">
        <f>HYPERLINK("https://github.com/cymcsg/UltimateRecyclerView/issues/208", "show")</f>
        <v>show</v>
      </c>
      <c r="G1004" t="str">
        <f>HYPERLINK("https://github.com/cymcsg/UltimateRecyclerView", "show")</f>
        <v>show</v>
      </c>
      <c r="H1004" t="str">
        <f>HYPERLINK("https://github.com/cymcsg/UltimateRecyclerView/releases", "show")</f>
        <v>show</v>
      </c>
      <c r="I1004">
        <v>1</v>
      </c>
      <c r="J1004">
        <v>0</v>
      </c>
      <c r="K1004">
        <v>0</v>
      </c>
      <c r="L1004">
        <v>0</v>
      </c>
      <c r="M1004" t="s">
        <v>17</v>
      </c>
    </row>
    <row r="1005" spans="1:13" hidden="1" x14ac:dyDescent="0.15">
      <c r="A1005" t="s">
        <v>3225</v>
      </c>
      <c r="B1005" t="s">
        <v>3226</v>
      </c>
      <c r="C1005" t="s">
        <v>3227</v>
      </c>
      <c r="D1005" t="s">
        <v>3211</v>
      </c>
      <c r="E1005">
        <v>0</v>
      </c>
      <c r="F1005" t="str">
        <f>HYPERLINK("https://github.com/ccrama/Slide/issues/10", "show")</f>
        <v>show</v>
      </c>
      <c r="G1005" t="str">
        <f>HYPERLINK("https://github.com/ccrama/Slide", "show")</f>
        <v>show</v>
      </c>
      <c r="H1005" t="str">
        <f>HYPERLINK("https://github.com/ccrama/Slide/releases", "show")</f>
        <v>show</v>
      </c>
      <c r="I1005">
        <v>1</v>
      </c>
      <c r="J1005">
        <v>0</v>
      </c>
      <c r="K1005">
        <v>0</v>
      </c>
      <c r="L1005">
        <v>1</v>
      </c>
      <c r="M1005" t="s">
        <v>29</v>
      </c>
    </row>
    <row r="1006" spans="1:13" hidden="1" x14ac:dyDescent="0.15">
      <c r="A1006" t="s">
        <v>3228</v>
      </c>
      <c r="B1006" t="s">
        <v>3229</v>
      </c>
      <c r="C1006" t="s">
        <v>3230</v>
      </c>
      <c r="D1006" t="s">
        <v>3211</v>
      </c>
      <c r="E1006">
        <v>0</v>
      </c>
      <c r="F1006" t="str">
        <f>HYPERLINK("https://github.com/ccrama/Slide/issues/9", "show")</f>
        <v>show</v>
      </c>
      <c r="G1006" t="str">
        <f>HYPERLINK("https://github.com/ccrama/Slide", "show")</f>
        <v>show</v>
      </c>
      <c r="H1006" t="str">
        <f>HYPERLINK("https://github.com/ccrama/Slide/releases", "show")</f>
        <v>show</v>
      </c>
      <c r="I1006">
        <v>1</v>
      </c>
      <c r="J1006">
        <v>0</v>
      </c>
      <c r="K1006">
        <v>0</v>
      </c>
      <c r="L1006">
        <v>0</v>
      </c>
      <c r="M1006" t="s">
        <v>17</v>
      </c>
    </row>
    <row r="1007" spans="1:13" hidden="1" x14ac:dyDescent="0.15">
      <c r="A1007" t="s">
        <v>3231</v>
      </c>
      <c r="B1007" t="s">
        <v>3232</v>
      </c>
      <c r="C1007" t="s">
        <v>3233</v>
      </c>
      <c r="D1007" t="s">
        <v>3234</v>
      </c>
      <c r="E1007">
        <v>6</v>
      </c>
      <c r="F1007" t="str">
        <f>HYPERLINK("https://github.com/ccrama/Slide/issues/24", "show")</f>
        <v>show</v>
      </c>
      <c r="G1007" t="str">
        <f>HYPERLINK("https://github.com/ccrama/Slide", "show")</f>
        <v>show</v>
      </c>
      <c r="H1007" t="str">
        <f>HYPERLINK("https://github.com/ccrama/Slide/releases", "show")</f>
        <v>show</v>
      </c>
      <c r="I1007">
        <v>1</v>
      </c>
      <c r="J1007">
        <v>0</v>
      </c>
      <c r="K1007">
        <v>0</v>
      </c>
      <c r="L1007">
        <v>0</v>
      </c>
      <c r="M1007" t="s">
        <v>17</v>
      </c>
    </row>
    <row r="1008" spans="1:13" hidden="1" x14ac:dyDescent="0.15">
      <c r="A1008" t="s">
        <v>3235</v>
      </c>
      <c r="B1008" t="s">
        <v>3236</v>
      </c>
      <c r="C1008" t="s">
        <v>3237</v>
      </c>
      <c r="D1008" t="s">
        <v>3234</v>
      </c>
      <c r="E1008">
        <v>7</v>
      </c>
      <c r="F1008" t="str">
        <f>HYPERLINK("https://github.com/QuadFlask/colorpicker/issues/37", "show")</f>
        <v>show</v>
      </c>
      <c r="G1008" t="str">
        <f>HYPERLINK("https://github.com/QuadFlask/colorpicker", "show")</f>
        <v>show</v>
      </c>
      <c r="H1008" t="str">
        <f>HYPERLINK("https://github.com/QuadFlask/colorpicker/releases", "show")</f>
        <v>show</v>
      </c>
      <c r="I1008">
        <v>1</v>
      </c>
      <c r="J1008">
        <v>0</v>
      </c>
      <c r="K1008">
        <v>0</v>
      </c>
      <c r="L1008">
        <v>0</v>
      </c>
      <c r="M1008" t="s">
        <v>17</v>
      </c>
    </row>
    <row r="1009" spans="1:13" hidden="1" x14ac:dyDescent="0.15">
      <c r="A1009" t="s">
        <v>3238</v>
      </c>
      <c r="B1009" t="s">
        <v>3239</v>
      </c>
      <c r="C1009" t="s">
        <v>3240</v>
      </c>
      <c r="D1009" t="s">
        <v>3241</v>
      </c>
      <c r="E1009">
        <v>100</v>
      </c>
      <c r="F1009" t="str">
        <f>HYPERLINK("https://github.com/mvysny/aedict/issues/575", "show")</f>
        <v>show</v>
      </c>
      <c r="G1009" t="str">
        <f>HYPERLINK("https://github.com/mvysny/aedict", "show")</f>
        <v>show</v>
      </c>
      <c r="H1009" t="str">
        <f>HYPERLINK("https://github.com/mvysny/aedict/releases", "show")</f>
        <v>show</v>
      </c>
      <c r="I1009">
        <v>1</v>
      </c>
      <c r="J1009">
        <v>0</v>
      </c>
      <c r="K1009">
        <v>0</v>
      </c>
      <c r="L1009">
        <v>0</v>
      </c>
      <c r="M1009" t="s">
        <v>17</v>
      </c>
    </row>
    <row r="1010" spans="1:13" hidden="1" x14ac:dyDescent="0.15">
      <c r="A1010" t="s">
        <v>3242</v>
      </c>
      <c r="B1010" t="s">
        <v>3243</v>
      </c>
      <c r="D1010" t="s">
        <v>3241</v>
      </c>
      <c r="E1010">
        <v>2</v>
      </c>
      <c r="F1010" t="str">
        <f>HYPERLINK("https://github.com/ccrama/Slide/issues/33", "show")</f>
        <v>show</v>
      </c>
      <c r="G1010" t="str">
        <f>HYPERLINK("https://github.com/ccrama/Slide", "show")</f>
        <v>show</v>
      </c>
      <c r="H1010" t="str">
        <f>HYPERLINK("https://github.com/ccrama/Slide/releases", "show")</f>
        <v>show</v>
      </c>
      <c r="I1010">
        <v>1</v>
      </c>
      <c r="J1010">
        <v>0</v>
      </c>
      <c r="K1010">
        <v>0</v>
      </c>
      <c r="L1010">
        <v>0</v>
      </c>
      <c r="M1010" t="s">
        <v>17</v>
      </c>
    </row>
    <row r="1011" spans="1:13" hidden="1" x14ac:dyDescent="0.15">
      <c r="A1011" t="s">
        <v>3244</v>
      </c>
      <c r="B1011" t="s">
        <v>3245</v>
      </c>
      <c r="C1011" t="s">
        <v>3246</v>
      </c>
      <c r="D1011" t="s">
        <v>3241</v>
      </c>
      <c r="E1011">
        <v>99</v>
      </c>
      <c r="F1011" t="str">
        <f>HYPERLINK("https://github.com/k9mail/k-9/issues/839", "show")</f>
        <v>show</v>
      </c>
      <c r="G1011" t="str">
        <f>HYPERLINK("https://github.com/k9mail/k-9", "show")</f>
        <v>show</v>
      </c>
      <c r="H1011" t="str">
        <f>HYPERLINK("https://github.com/k9mail/k-9/releases", "show")</f>
        <v>show</v>
      </c>
      <c r="I1011">
        <v>1</v>
      </c>
      <c r="J1011">
        <v>0</v>
      </c>
      <c r="K1011">
        <v>0</v>
      </c>
      <c r="L1011">
        <v>0</v>
      </c>
      <c r="M1011" t="s">
        <v>17</v>
      </c>
    </row>
    <row r="1012" spans="1:13" hidden="1" x14ac:dyDescent="0.15">
      <c r="A1012" t="s">
        <v>3247</v>
      </c>
      <c r="B1012" t="s">
        <v>3248</v>
      </c>
      <c r="C1012" t="s">
        <v>3249</v>
      </c>
      <c r="D1012" t="s">
        <v>3250</v>
      </c>
      <c r="E1012">
        <v>5</v>
      </c>
      <c r="F1012" t="str">
        <f>HYPERLINK("https://github.com/ccrama/Slide/issues/42", "show")</f>
        <v>show</v>
      </c>
      <c r="G1012" t="str">
        <f>HYPERLINK("https://github.com/ccrama/Slide", "show")</f>
        <v>show</v>
      </c>
      <c r="H1012" t="str">
        <f>HYPERLINK("https://github.com/ccrama/Slide/releases", "show")</f>
        <v>show</v>
      </c>
      <c r="I1012">
        <v>1</v>
      </c>
      <c r="J1012">
        <v>0</v>
      </c>
      <c r="K1012">
        <v>0</v>
      </c>
      <c r="L1012">
        <v>0</v>
      </c>
      <c r="M1012" t="s">
        <v>17</v>
      </c>
    </row>
    <row r="1013" spans="1:13" hidden="1" x14ac:dyDescent="0.15">
      <c r="A1013" t="s">
        <v>3251</v>
      </c>
      <c r="B1013" t="s">
        <v>3252</v>
      </c>
      <c r="C1013" t="s">
        <v>3253</v>
      </c>
      <c r="D1013" t="s">
        <v>3254</v>
      </c>
      <c r="E1013">
        <v>0</v>
      </c>
      <c r="F1013" t="str">
        <f>HYPERLINK("https://github.com/fesch/CanZE/issues/101", "show")</f>
        <v>show</v>
      </c>
      <c r="G1013" t="str">
        <f>HYPERLINK("https://github.com/fesch/CanZE", "show")</f>
        <v>show</v>
      </c>
      <c r="H1013" t="str">
        <f>HYPERLINK("https://github.com/fesch/CanZE/releases", "show")</f>
        <v>show</v>
      </c>
      <c r="I1013">
        <v>1</v>
      </c>
      <c r="J1013">
        <v>0</v>
      </c>
      <c r="K1013">
        <v>0</v>
      </c>
      <c r="L1013">
        <v>0</v>
      </c>
      <c r="M1013" t="s">
        <v>17</v>
      </c>
    </row>
    <row r="1014" spans="1:13" hidden="1" x14ac:dyDescent="0.15">
      <c r="A1014" t="s">
        <v>3255</v>
      </c>
      <c r="B1014" t="s">
        <v>3256</v>
      </c>
      <c r="C1014" t="s">
        <v>3257</v>
      </c>
      <c r="D1014" t="s">
        <v>3254</v>
      </c>
      <c r="E1014">
        <v>20</v>
      </c>
      <c r="F1014" t="str">
        <f>HYPERLINK("https://github.com/square/okhttp/issues/1921", "show")</f>
        <v>show</v>
      </c>
      <c r="G1014" t="str">
        <f>HYPERLINK("https://github.com/square/okhttp", "show")</f>
        <v>show</v>
      </c>
      <c r="H1014" t="str">
        <f>HYPERLINK("https://github.com/square/okhttp/releases", "show")</f>
        <v>show</v>
      </c>
      <c r="I1014">
        <v>0</v>
      </c>
      <c r="J1014">
        <v>0</v>
      </c>
      <c r="K1014">
        <v>1</v>
      </c>
      <c r="L1014">
        <v>0</v>
      </c>
      <c r="M1014" t="s">
        <v>122</v>
      </c>
    </row>
    <row r="1015" spans="1:13" hidden="1" x14ac:dyDescent="0.15">
      <c r="A1015" t="s">
        <v>3258</v>
      </c>
      <c r="B1015" t="s">
        <v>3259</v>
      </c>
      <c r="C1015" t="s">
        <v>3260</v>
      </c>
      <c r="D1015" t="s">
        <v>3254</v>
      </c>
      <c r="E1015">
        <v>75</v>
      </c>
      <c r="F1015" t="str">
        <f>HYPERLINK("https://github.com/ltGuillaume/DroidShows/issues/4", "show")</f>
        <v>show</v>
      </c>
      <c r="G1015" t="str">
        <f>HYPERLINK("https://github.com/ltGuillaume/DroidShows", "show")</f>
        <v>show</v>
      </c>
      <c r="H1015" t="str">
        <f>HYPERLINK("https://github.com/ltGuillaume/DroidShows/releases", "show")</f>
        <v>show</v>
      </c>
      <c r="I1015">
        <v>1</v>
      </c>
      <c r="J1015">
        <v>0</v>
      </c>
      <c r="K1015">
        <v>0</v>
      </c>
      <c r="L1015">
        <v>0</v>
      </c>
      <c r="M1015" t="s">
        <v>17</v>
      </c>
    </row>
    <row r="1016" spans="1:13" hidden="1" x14ac:dyDescent="0.15">
      <c r="A1016" t="s">
        <v>3261</v>
      </c>
      <c r="B1016" t="s">
        <v>3262</v>
      </c>
      <c r="C1016" t="s">
        <v>3263</v>
      </c>
      <c r="D1016" t="s">
        <v>3254</v>
      </c>
      <c r="E1016">
        <v>0</v>
      </c>
      <c r="F1016" t="str">
        <f>HYPERLINK("https://github.com/ccrama/Slide/issues/58", "show")</f>
        <v>show</v>
      </c>
      <c r="G1016" t="str">
        <f>HYPERLINK("https://github.com/ccrama/Slide", "show")</f>
        <v>show</v>
      </c>
      <c r="H1016" t="str">
        <f>HYPERLINK("https://github.com/ccrama/Slide/releases", "show")</f>
        <v>show</v>
      </c>
      <c r="I1016">
        <v>1</v>
      </c>
      <c r="J1016">
        <v>0</v>
      </c>
      <c r="K1016">
        <v>0</v>
      </c>
      <c r="L1016">
        <v>0</v>
      </c>
      <c r="M1016" t="s">
        <v>17</v>
      </c>
    </row>
    <row r="1017" spans="1:13" hidden="1" x14ac:dyDescent="0.15">
      <c r="A1017" t="s">
        <v>3264</v>
      </c>
      <c r="B1017" t="s">
        <v>3265</v>
      </c>
      <c r="C1017" t="s">
        <v>3266</v>
      </c>
      <c r="D1017" t="s">
        <v>3254</v>
      </c>
      <c r="E1017">
        <v>0</v>
      </c>
      <c r="F1017" t="str">
        <f>HYPERLINK("https://github.com/ccrama/Slide/issues/52", "show")</f>
        <v>show</v>
      </c>
      <c r="G1017" t="str">
        <f>HYPERLINK("https://github.com/ccrama/Slide", "show")</f>
        <v>show</v>
      </c>
      <c r="H1017" t="str">
        <f>HYPERLINK("https://github.com/ccrama/Slide/releases", "show")</f>
        <v>show</v>
      </c>
      <c r="I1017">
        <v>1</v>
      </c>
      <c r="J1017">
        <v>0</v>
      </c>
      <c r="K1017">
        <v>0</v>
      </c>
      <c r="L1017">
        <v>0</v>
      </c>
      <c r="M1017" t="s">
        <v>17</v>
      </c>
    </row>
    <row r="1018" spans="1:13" hidden="1" x14ac:dyDescent="0.15">
      <c r="A1018" t="s">
        <v>3267</v>
      </c>
      <c r="B1018" t="s">
        <v>3268</v>
      </c>
      <c r="C1018" t="s">
        <v>3269</v>
      </c>
      <c r="D1018" t="s">
        <v>3254</v>
      </c>
      <c r="E1018">
        <v>0</v>
      </c>
      <c r="F1018" t="str">
        <f>HYPERLINK("https://github.com/ccrama/Slide/issues/51", "show")</f>
        <v>show</v>
      </c>
      <c r="G1018" t="str">
        <f>HYPERLINK("https://github.com/ccrama/Slide", "show")</f>
        <v>show</v>
      </c>
      <c r="H1018" t="str">
        <f>HYPERLINK("https://github.com/ccrama/Slide/releases", "show")</f>
        <v>show</v>
      </c>
      <c r="I1018">
        <v>1</v>
      </c>
      <c r="J1018">
        <v>0</v>
      </c>
      <c r="K1018">
        <v>0</v>
      </c>
      <c r="L1018">
        <v>0</v>
      </c>
      <c r="M1018" t="s">
        <v>17</v>
      </c>
    </row>
    <row r="1019" spans="1:13" hidden="1" x14ac:dyDescent="0.15">
      <c r="A1019" t="s">
        <v>3270</v>
      </c>
      <c r="B1019" t="s">
        <v>3271</v>
      </c>
      <c r="C1019" t="s">
        <v>3272</v>
      </c>
      <c r="D1019" t="s">
        <v>3273</v>
      </c>
      <c r="E1019">
        <v>697</v>
      </c>
      <c r="F1019" t="str">
        <f>HYPERLINK("https://github.com/bumptech/glide/issues/684", "show")</f>
        <v>show</v>
      </c>
      <c r="G1019" t="str">
        <f>HYPERLINK("https://github.com/bumptech/glide", "show")</f>
        <v>show</v>
      </c>
      <c r="H1019" t="str">
        <f>HYPERLINK("https://github.com/bumptech/glide/releases", "show")</f>
        <v>show</v>
      </c>
      <c r="I1019">
        <v>1</v>
      </c>
      <c r="J1019">
        <v>0</v>
      </c>
      <c r="K1019">
        <v>0</v>
      </c>
      <c r="L1019">
        <v>0</v>
      </c>
      <c r="M1019" t="s">
        <v>17</v>
      </c>
    </row>
    <row r="1020" spans="1:13" hidden="1" x14ac:dyDescent="0.15">
      <c r="A1020" t="s">
        <v>3274</v>
      </c>
      <c r="B1020" t="s">
        <v>3275</v>
      </c>
      <c r="C1020" t="s">
        <v>3276</v>
      </c>
      <c r="D1020" t="s">
        <v>3273</v>
      </c>
      <c r="E1020">
        <v>34</v>
      </c>
      <c r="F1020" t="str">
        <f>HYPERLINK("https://github.com/ccrama/Slide/issues/67", "show")</f>
        <v>show</v>
      </c>
      <c r="G1020" t="str">
        <f>HYPERLINK("https://github.com/ccrama/Slide", "show")</f>
        <v>show</v>
      </c>
      <c r="H1020" t="str">
        <f>HYPERLINK("https://github.com/ccrama/Slide/releases", "show")</f>
        <v>show</v>
      </c>
      <c r="I1020">
        <v>1</v>
      </c>
      <c r="J1020">
        <v>0</v>
      </c>
      <c r="K1020">
        <v>0</v>
      </c>
      <c r="L1020">
        <v>0</v>
      </c>
      <c r="M1020" t="s">
        <v>17</v>
      </c>
    </row>
    <row r="1021" spans="1:13" hidden="1" x14ac:dyDescent="0.15">
      <c r="A1021" t="s">
        <v>3277</v>
      </c>
      <c r="B1021" t="s">
        <v>3278</v>
      </c>
      <c r="C1021" t="s">
        <v>3279</v>
      </c>
      <c r="D1021" t="s">
        <v>3273</v>
      </c>
      <c r="E1021">
        <v>3</v>
      </c>
      <c r="F1021" t="str">
        <f>HYPERLINK("https://github.com/ccrama/Slide/issues/64", "show")</f>
        <v>show</v>
      </c>
      <c r="G1021" t="str">
        <f>HYPERLINK("https://github.com/ccrama/Slide", "show")</f>
        <v>show</v>
      </c>
      <c r="H1021" t="str">
        <f>HYPERLINK("https://github.com/ccrama/Slide/releases", "show")</f>
        <v>show</v>
      </c>
      <c r="I1021">
        <v>1</v>
      </c>
      <c r="J1021">
        <v>0</v>
      </c>
      <c r="K1021">
        <v>0</v>
      </c>
      <c r="L1021">
        <v>0</v>
      </c>
      <c r="M1021" t="s">
        <v>17</v>
      </c>
    </row>
    <row r="1022" spans="1:13" hidden="1" x14ac:dyDescent="0.15">
      <c r="A1022" t="s">
        <v>3280</v>
      </c>
      <c r="B1022" t="s">
        <v>3281</v>
      </c>
      <c r="C1022" t="s">
        <v>3282</v>
      </c>
      <c r="D1022" t="s">
        <v>3273</v>
      </c>
      <c r="E1022">
        <v>0</v>
      </c>
      <c r="F1022" t="str">
        <f>HYPERLINK("https://github.com/ccrama/Slide/issues/63", "show")</f>
        <v>show</v>
      </c>
      <c r="G1022" t="str">
        <f>HYPERLINK("https://github.com/ccrama/Slide", "show")</f>
        <v>show</v>
      </c>
      <c r="H1022" t="str">
        <f>HYPERLINK("https://github.com/ccrama/Slide/releases", "show")</f>
        <v>show</v>
      </c>
      <c r="I1022">
        <v>0</v>
      </c>
      <c r="J1022">
        <v>0</v>
      </c>
      <c r="K1022">
        <v>0</v>
      </c>
      <c r="L1022">
        <v>0</v>
      </c>
      <c r="M1022" t="s">
        <v>43</v>
      </c>
    </row>
    <row r="1023" spans="1:13" hidden="1" x14ac:dyDescent="0.15">
      <c r="A1023" t="s">
        <v>3283</v>
      </c>
      <c r="B1023" t="s">
        <v>3284</v>
      </c>
      <c r="C1023" t="s">
        <v>504</v>
      </c>
      <c r="D1023" t="s">
        <v>3273</v>
      </c>
      <c r="E1023">
        <v>16</v>
      </c>
      <c r="F1023" t="str">
        <f>HYPERLINK("https://github.com/elan-ev/StudIPAndroidApp/issues/102", "show")</f>
        <v>show</v>
      </c>
      <c r="G1023" t="str">
        <f>HYPERLINK("https://github.com/elan-ev/StudIPAndroidApp", "show")</f>
        <v>show</v>
      </c>
      <c r="H1023" t="str">
        <f>HYPERLINK("https://github.com/elan-ev/StudIPAndroidApp/releases", "show")</f>
        <v>show</v>
      </c>
      <c r="I1023">
        <v>1</v>
      </c>
      <c r="J1023">
        <v>0</v>
      </c>
      <c r="K1023">
        <v>0</v>
      </c>
      <c r="L1023">
        <v>0</v>
      </c>
      <c r="M1023" t="s">
        <v>17</v>
      </c>
    </row>
    <row r="1024" spans="1:13" hidden="1" x14ac:dyDescent="0.15">
      <c r="A1024" t="s">
        <v>3285</v>
      </c>
      <c r="B1024" t="s">
        <v>3286</v>
      </c>
      <c r="C1024" t="s">
        <v>3287</v>
      </c>
      <c r="D1024" t="s">
        <v>3288</v>
      </c>
      <c r="E1024">
        <v>66</v>
      </c>
      <c r="F1024" t="str">
        <f>HYPERLINK("https://github.com/Etar-Group/Etar-Calendar/issues/12", "show")</f>
        <v>show</v>
      </c>
      <c r="G1024" t="str">
        <f>HYPERLINK("https://github.com/Etar-Group/Etar-Calendar", "show")</f>
        <v>show</v>
      </c>
      <c r="H1024" t="str">
        <f>HYPERLINK("https://github.com/Etar-Group/Etar-Calendar/releases", "show")</f>
        <v>show</v>
      </c>
      <c r="I1024">
        <v>0</v>
      </c>
      <c r="J1024">
        <v>1</v>
      </c>
      <c r="K1024">
        <v>1</v>
      </c>
      <c r="L1024">
        <v>1</v>
      </c>
      <c r="M1024" t="s">
        <v>427</v>
      </c>
    </row>
    <row r="1025" spans="1:13" hidden="1" x14ac:dyDescent="0.15">
      <c r="A1025" t="s">
        <v>3289</v>
      </c>
      <c r="B1025" t="s">
        <v>3152</v>
      </c>
      <c r="C1025" t="s">
        <v>3290</v>
      </c>
      <c r="D1025" t="s">
        <v>3288</v>
      </c>
      <c r="E1025">
        <v>57</v>
      </c>
      <c r="F1025" t="str">
        <f>HYPERLINK("https://github.com/saulmm/Avengers/issues/7", "show")</f>
        <v>show</v>
      </c>
      <c r="G1025" t="str">
        <f>HYPERLINK("https://github.com/saulmm/Avengers", "show")</f>
        <v>show</v>
      </c>
      <c r="H1025" t="str">
        <f>HYPERLINK("https://github.com/saulmm/Avengers/releases", "show")</f>
        <v>show</v>
      </c>
      <c r="I1025">
        <v>1</v>
      </c>
      <c r="J1025">
        <v>0</v>
      </c>
      <c r="K1025">
        <v>1</v>
      </c>
      <c r="L1025">
        <v>0</v>
      </c>
      <c r="M1025" t="s">
        <v>64</v>
      </c>
    </row>
    <row r="1026" spans="1:13" hidden="1" x14ac:dyDescent="0.15">
      <c r="A1026" t="s">
        <v>3291</v>
      </c>
      <c r="B1026" t="s">
        <v>3292</v>
      </c>
      <c r="C1026" t="s">
        <v>3293</v>
      </c>
      <c r="D1026" t="s">
        <v>3288</v>
      </c>
      <c r="E1026">
        <v>0</v>
      </c>
      <c r="F1026" t="str">
        <f>HYPERLINK("https://github.com/ccrama/Slide/issues/72", "show")</f>
        <v>show</v>
      </c>
      <c r="G1026" t="str">
        <f>HYPERLINK("https://github.com/ccrama/Slide", "show")</f>
        <v>show</v>
      </c>
      <c r="H1026" t="str">
        <f>HYPERLINK("https://github.com/ccrama/Slide/releases", "show")</f>
        <v>show</v>
      </c>
      <c r="I1026">
        <v>1</v>
      </c>
      <c r="J1026">
        <v>0</v>
      </c>
      <c r="K1026">
        <v>0</v>
      </c>
      <c r="L1026">
        <v>0</v>
      </c>
      <c r="M1026" t="s">
        <v>17</v>
      </c>
    </row>
    <row r="1027" spans="1:13" hidden="1" x14ac:dyDescent="0.15">
      <c r="A1027" t="s">
        <v>3294</v>
      </c>
      <c r="B1027" t="s">
        <v>3295</v>
      </c>
      <c r="C1027" t="s">
        <v>3296</v>
      </c>
      <c r="D1027" t="s">
        <v>3297</v>
      </c>
      <c r="E1027">
        <v>1083</v>
      </c>
      <c r="F1027" t="str">
        <f>HYPERLINK("https://github.com/jMonkeyEngine/jmonkeyengine/issues/367", "show")</f>
        <v>show</v>
      </c>
      <c r="G1027" t="str">
        <f>HYPERLINK("https://github.com/jMonkeyEngine/jmonkeyengine", "show")</f>
        <v>show</v>
      </c>
      <c r="H1027" t="str">
        <f>HYPERLINK("https://github.com/jMonkeyEngine/jmonkeyengine/releases", "show")</f>
        <v>show</v>
      </c>
      <c r="I1027">
        <v>1</v>
      </c>
      <c r="J1027">
        <v>0</v>
      </c>
      <c r="K1027">
        <v>0</v>
      </c>
      <c r="L1027">
        <v>0</v>
      </c>
      <c r="M1027" t="s">
        <v>17</v>
      </c>
    </row>
    <row r="1028" spans="1:13" hidden="1" x14ac:dyDescent="0.15">
      <c r="A1028" t="s">
        <v>3298</v>
      </c>
      <c r="B1028" t="s">
        <v>3299</v>
      </c>
      <c r="C1028" t="s">
        <v>3300</v>
      </c>
      <c r="D1028" t="s">
        <v>3301</v>
      </c>
      <c r="E1028">
        <v>33</v>
      </c>
      <c r="F1028" t="str">
        <f>HYPERLINK("https://github.com/ccrama/Slide/issues/115", "show")</f>
        <v>show</v>
      </c>
      <c r="G1028" t="str">
        <f>HYPERLINK("https://github.com/ccrama/Slide", "show")</f>
        <v>show</v>
      </c>
      <c r="H1028" t="str">
        <f>HYPERLINK("https://github.com/ccrama/Slide/releases", "show")</f>
        <v>show</v>
      </c>
      <c r="I1028">
        <v>1</v>
      </c>
      <c r="J1028">
        <v>0</v>
      </c>
      <c r="K1028">
        <v>0</v>
      </c>
      <c r="L1028">
        <v>0</v>
      </c>
      <c r="M1028" t="s">
        <v>17</v>
      </c>
    </row>
    <row r="1029" spans="1:13" hidden="1" x14ac:dyDescent="0.15">
      <c r="A1029" t="s">
        <v>3302</v>
      </c>
      <c r="B1029" t="s">
        <v>3303</v>
      </c>
      <c r="C1029" t="s">
        <v>3304</v>
      </c>
      <c r="D1029" t="s">
        <v>3301</v>
      </c>
      <c r="E1029">
        <v>28</v>
      </c>
      <c r="F1029" t="str">
        <f>HYPERLINK("https://github.com/pylerSM/XInstaller/issues/25", "show")</f>
        <v>show</v>
      </c>
      <c r="G1029" t="str">
        <f>HYPERLINK("https://github.com/pylerSM/XInstaller", "show")</f>
        <v>show</v>
      </c>
      <c r="H1029" t="str">
        <f>HYPERLINK("https://github.com/pylerSM/XInstaller/releases", "show")</f>
        <v>show</v>
      </c>
      <c r="I1029">
        <v>1</v>
      </c>
      <c r="J1029">
        <v>0</v>
      </c>
      <c r="K1029">
        <v>0</v>
      </c>
      <c r="L1029">
        <v>0</v>
      </c>
      <c r="M1029" t="s">
        <v>17</v>
      </c>
    </row>
    <row r="1030" spans="1:13" hidden="1" x14ac:dyDescent="0.15">
      <c r="A1030" t="s">
        <v>3305</v>
      </c>
      <c r="B1030" t="s">
        <v>3306</v>
      </c>
      <c r="C1030" t="s">
        <v>3307</v>
      </c>
      <c r="D1030" t="s">
        <v>3301</v>
      </c>
      <c r="E1030">
        <v>67</v>
      </c>
      <c r="F1030" t="str">
        <f>HYPERLINK("https://github.com/b2renger/PdDroidPublisher/issues/34", "show")</f>
        <v>show</v>
      </c>
      <c r="G1030" t="str">
        <f>HYPERLINK("https://github.com/b2renger/PdDroidPublisher", "show")</f>
        <v>show</v>
      </c>
      <c r="H1030" t="str">
        <f>HYPERLINK("https://github.com/b2renger/PdDroidPublisher/releases", "show")</f>
        <v>show</v>
      </c>
      <c r="I1030">
        <v>1</v>
      </c>
      <c r="J1030">
        <v>0</v>
      </c>
      <c r="K1030">
        <v>0</v>
      </c>
      <c r="L1030">
        <v>0</v>
      </c>
      <c r="M1030" t="s">
        <v>17</v>
      </c>
    </row>
    <row r="1031" spans="1:13" hidden="1" x14ac:dyDescent="0.15">
      <c r="A1031" t="s">
        <v>3308</v>
      </c>
      <c r="B1031" t="s">
        <v>3309</v>
      </c>
      <c r="C1031" t="s">
        <v>3310</v>
      </c>
      <c r="D1031" t="s">
        <v>3311</v>
      </c>
      <c r="E1031">
        <v>1174</v>
      </c>
      <c r="F1031" t="str">
        <f>HYPERLINK("https://github.com/opensensorhub/osh-android/issues/2", "show")</f>
        <v>show</v>
      </c>
      <c r="G1031" t="str">
        <f>HYPERLINK("https://github.com/opensensorhub/osh-android", "show")</f>
        <v>show</v>
      </c>
      <c r="H1031" t="str">
        <f>HYPERLINK("https://github.com/opensensorhub/osh-android/releases", "show")</f>
        <v>show</v>
      </c>
      <c r="I1031">
        <v>1</v>
      </c>
      <c r="J1031">
        <v>0</v>
      </c>
      <c r="K1031">
        <v>0</v>
      </c>
      <c r="L1031">
        <v>0</v>
      </c>
      <c r="M1031" t="s">
        <v>17</v>
      </c>
    </row>
    <row r="1032" spans="1:13" hidden="1" x14ac:dyDescent="0.15">
      <c r="A1032" t="s">
        <v>3312</v>
      </c>
      <c r="B1032" t="s">
        <v>3313</v>
      </c>
      <c r="C1032" t="s">
        <v>3314</v>
      </c>
      <c r="D1032" t="s">
        <v>3311</v>
      </c>
      <c r="E1032">
        <v>2</v>
      </c>
      <c r="F1032" t="str">
        <f>HYPERLINK("https://github.com/ccrama/Slide/issues/124", "show")</f>
        <v>show</v>
      </c>
      <c r="G1032" t="str">
        <f>HYPERLINK("https://github.com/ccrama/Slide", "show")</f>
        <v>show</v>
      </c>
      <c r="H1032" t="str">
        <f>HYPERLINK("https://github.com/ccrama/Slide/releases", "show")</f>
        <v>show</v>
      </c>
      <c r="I1032">
        <v>1</v>
      </c>
      <c r="J1032">
        <v>0</v>
      </c>
      <c r="K1032">
        <v>1</v>
      </c>
      <c r="L1032">
        <v>0</v>
      </c>
      <c r="M1032" t="s">
        <v>64</v>
      </c>
    </row>
    <row r="1033" spans="1:13" hidden="1" x14ac:dyDescent="0.15">
      <c r="A1033" t="s">
        <v>3315</v>
      </c>
      <c r="B1033" t="s">
        <v>3316</v>
      </c>
      <c r="C1033" t="s">
        <v>3317</v>
      </c>
      <c r="D1033" t="s">
        <v>3311</v>
      </c>
      <c r="E1033">
        <v>2</v>
      </c>
      <c r="F1033" t="str">
        <f>HYPERLINK("https://github.com/dimagi/commcare-android/issues/705", "show")</f>
        <v>show</v>
      </c>
      <c r="G1033" t="str">
        <f>HYPERLINK("https://github.com/dimagi/commcare-android", "show")</f>
        <v>show</v>
      </c>
      <c r="H1033" t="str">
        <f>HYPERLINK("https://github.com/dimagi/commcare-android/releases", "show")</f>
        <v>show</v>
      </c>
      <c r="I1033">
        <v>0</v>
      </c>
      <c r="J1033">
        <v>0</v>
      </c>
      <c r="K1033">
        <v>0</v>
      </c>
      <c r="L1033">
        <v>1</v>
      </c>
      <c r="M1033" t="s">
        <v>581</v>
      </c>
    </row>
    <row r="1034" spans="1:13" hidden="1" x14ac:dyDescent="0.15">
      <c r="A1034" t="s">
        <v>3318</v>
      </c>
      <c r="B1034" t="s">
        <v>3319</v>
      </c>
      <c r="C1034" t="s">
        <v>3320</v>
      </c>
      <c r="D1034" t="s">
        <v>3311</v>
      </c>
      <c r="E1034">
        <v>0</v>
      </c>
      <c r="F1034" t="str">
        <f>HYPERLINK("https://github.com/b2renger/PdDroidPublisher/issues/43", "show")</f>
        <v>show</v>
      </c>
      <c r="G1034" t="str">
        <f>HYPERLINK("https://github.com/b2renger/PdDroidPublisher", "show")</f>
        <v>show</v>
      </c>
      <c r="H1034" t="str">
        <f>HYPERLINK("https://github.com/b2renger/PdDroidPublisher/releases", "show")</f>
        <v>show</v>
      </c>
      <c r="I1034">
        <v>0</v>
      </c>
      <c r="J1034">
        <v>0</v>
      </c>
      <c r="K1034">
        <v>0</v>
      </c>
      <c r="L1034">
        <v>0</v>
      </c>
      <c r="M1034" t="s">
        <v>43</v>
      </c>
    </row>
    <row r="1035" spans="1:13" hidden="1" x14ac:dyDescent="0.15">
      <c r="A1035" t="s">
        <v>3321</v>
      </c>
      <c r="B1035" t="s">
        <v>3322</v>
      </c>
      <c r="C1035" t="s">
        <v>3323</v>
      </c>
      <c r="D1035" t="s">
        <v>3311</v>
      </c>
      <c r="E1035">
        <v>1</v>
      </c>
      <c r="F1035" t="str">
        <f>HYPERLINK("https://github.com/pylerSM/XInstaller/issues/26", "show")</f>
        <v>show</v>
      </c>
      <c r="G1035" t="str">
        <f>HYPERLINK("https://github.com/pylerSM/XInstaller", "show")</f>
        <v>show</v>
      </c>
      <c r="H1035" t="str">
        <f>HYPERLINK("https://github.com/pylerSM/XInstaller/releases", "show")</f>
        <v>show</v>
      </c>
      <c r="I1035">
        <v>1</v>
      </c>
      <c r="J1035">
        <v>0</v>
      </c>
      <c r="K1035">
        <v>1</v>
      </c>
      <c r="L1035">
        <v>0</v>
      </c>
      <c r="M1035" t="s">
        <v>64</v>
      </c>
    </row>
    <row r="1036" spans="1:13" hidden="1" x14ac:dyDescent="0.15">
      <c r="A1036" t="s">
        <v>3324</v>
      </c>
      <c r="B1036" t="s">
        <v>3325</v>
      </c>
      <c r="C1036" t="s">
        <v>3326</v>
      </c>
      <c r="D1036" t="s">
        <v>3327</v>
      </c>
      <c r="E1036">
        <v>1</v>
      </c>
      <c r="F1036" t="str">
        <f>HYPERLINK("https://github.com/ccrama/Slide/issues/159", "show")</f>
        <v>show</v>
      </c>
      <c r="G1036" t="str">
        <f>HYPERLINK("https://github.com/ccrama/Slide", "show")</f>
        <v>show</v>
      </c>
      <c r="H1036" t="str">
        <f>HYPERLINK("https://github.com/ccrama/Slide/releases", "show")</f>
        <v>show</v>
      </c>
      <c r="I1036">
        <v>1</v>
      </c>
      <c r="J1036">
        <v>0</v>
      </c>
      <c r="K1036">
        <v>1</v>
      </c>
      <c r="L1036">
        <v>0</v>
      </c>
      <c r="M1036" t="s">
        <v>64</v>
      </c>
    </row>
    <row r="1037" spans="1:13" hidden="1" x14ac:dyDescent="0.15">
      <c r="A1037" t="s">
        <v>3328</v>
      </c>
      <c r="B1037" t="s">
        <v>3329</v>
      </c>
      <c r="C1037" t="s">
        <v>3330</v>
      </c>
      <c r="D1037" t="s">
        <v>3327</v>
      </c>
      <c r="E1037">
        <v>1</v>
      </c>
      <c r="F1037" t="str">
        <f>HYPERLINK("https://github.com/Bathlamos/RTDC/issues/109", "show")</f>
        <v>show</v>
      </c>
      <c r="G1037" t="str">
        <f>HYPERLINK("https://github.com/Bathlamos/RTDC", "show")</f>
        <v>show</v>
      </c>
      <c r="H1037" t="str">
        <f>HYPERLINK("https://github.com/Bathlamos/RTDC/releases", "show")</f>
        <v>show</v>
      </c>
      <c r="I1037">
        <v>1</v>
      </c>
      <c r="J1037">
        <v>0</v>
      </c>
      <c r="K1037">
        <v>0</v>
      </c>
      <c r="L1037">
        <v>0</v>
      </c>
      <c r="M1037" t="s">
        <v>17</v>
      </c>
    </row>
    <row r="1038" spans="1:13" x14ac:dyDescent="0.15">
      <c r="A1038" t="s">
        <v>3331</v>
      </c>
      <c r="B1038" t="s">
        <v>3332</v>
      </c>
      <c r="C1038" t="s">
        <v>3333</v>
      </c>
      <c r="D1038" t="s">
        <v>3327</v>
      </c>
      <c r="E1038">
        <v>91</v>
      </c>
      <c r="F1038" t="str">
        <f>HYPERLINK("https://github.com/ccrama/Slide/issues/153", "show")</f>
        <v>show</v>
      </c>
      <c r="G1038" t="str">
        <f>HYPERLINK("https://github.com/ccrama/Slide", "show")</f>
        <v>show</v>
      </c>
      <c r="H1038" t="str">
        <f>HYPERLINK("https://github.com/ccrama/Slide/releases", "show")</f>
        <v>show</v>
      </c>
      <c r="I1038">
        <v>0</v>
      </c>
      <c r="J1038">
        <v>1</v>
      </c>
      <c r="K1038">
        <v>0</v>
      </c>
      <c r="L1038">
        <v>0</v>
      </c>
      <c r="M1038" t="s">
        <v>139</v>
      </c>
    </row>
    <row r="1039" spans="1:13" hidden="1" x14ac:dyDescent="0.15">
      <c r="A1039" t="s">
        <v>3334</v>
      </c>
      <c r="B1039" t="s">
        <v>3335</v>
      </c>
      <c r="C1039" t="s">
        <v>3336</v>
      </c>
      <c r="D1039" t="s">
        <v>3327</v>
      </c>
      <c r="E1039">
        <v>1</v>
      </c>
      <c r="F1039" t="str">
        <f>HYPERLINK("https://github.com/ccrama/Slide/issues/145", "show")</f>
        <v>show</v>
      </c>
      <c r="G1039" t="str">
        <f>HYPERLINK("https://github.com/ccrama/Slide", "show")</f>
        <v>show</v>
      </c>
      <c r="H1039" t="str">
        <f>HYPERLINK("https://github.com/ccrama/Slide/releases", "show")</f>
        <v>show</v>
      </c>
      <c r="I1039">
        <v>1</v>
      </c>
      <c r="J1039">
        <v>0</v>
      </c>
      <c r="K1039">
        <v>1</v>
      </c>
      <c r="L1039">
        <v>0</v>
      </c>
      <c r="M1039" t="s">
        <v>64</v>
      </c>
    </row>
    <row r="1040" spans="1:13" hidden="1" x14ac:dyDescent="0.15">
      <c r="A1040" t="s">
        <v>3337</v>
      </c>
      <c r="B1040" t="s">
        <v>3338</v>
      </c>
      <c r="C1040" t="s">
        <v>3339</v>
      </c>
      <c r="D1040" t="s">
        <v>3327</v>
      </c>
      <c r="E1040">
        <v>0</v>
      </c>
      <c r="F1040" t="str">
        <f>HYPERLINK("https://github.com/chteuchteu/Munin-for-Android/issues/28", "show")</f>
        <v>show</v>
      </c>
      <c r="G1040" t="str">
        <f>HYPERLINK("https://github.com/chteuchteu/Munin-for-Android", "show")</f>
        <v>show</v>
      </c>
      <c r="H1040" t="str">
        <f>HYPERLINK("https://github.com/chteuchteu/Munin-for-Android/releases", "show")</f>
        <v>show</v>
      </c>
      <c r="I1040">
        <v>0</v>
      </c>
      <c r="J1040">
        <v>0</v>
      </c>
      <c r="K1040">
        <v>0</v>
      </c>
      <c r="L1040">
        <v>0</v>
      </c>
      <c r="M1040" t="s">
        <v>43</v>
      </c>
    </row>
    <row r="1041" spans="1:13" hidden="1" x14ac:dyDescent="0.15">
      <c r="A1041" t="s">
        <v>3340</v>
      </c>
      <c r="B1041" t="s">
        <v>3341</v>
      </c>
      <c r="D1041" t="s">
        <v>3327</v>
      </c>
      <c r="E1041">
        <v>6</v>
      </c>
      <c r="F1041" t="str">
        <f>HYPERLINK("https://github.com/ccrama/Slide/issues/140", "show")</f>
        <v>show</v>
      </c>
      <c r="G1041" t="str">
        <f>HYPERLINK("https://github.com/ccrama/Slide", "show")</f>
        <v>show</v>
      </c>
      <c r="H1041" t="str">
        <f>HYPERLINK("https://github.com/ccrama/Slide/releases", "show")</f>
        <v>show</v>
      </c>
      <c r="I1041">
        <v>1</v>
      </c>
      <c r="J1041">
        <v>0</v>
      </c>
      <c r="K1041">
        <v>0</v>
      </c>
      <c r="L1041">
        <v>0</v>
      </c>
      <c r="M1041" t="s">
        <v>17</v>
      </c>
    </row>
    <row r="1042" spans="1:13" hidden="1" x14ac:dyDescent="0.15">
      <c r="A1042" t="s">
        <v>3342</v>
      </c>
      <c r="B1042" t="s">
        <v>3343</v>
      </c>
      <c r="C1042" t="s">
        <v>3344</v>
      </c>
      <c r="D1042" t="s">
        <v>3345</v>
      </c>
      <c r="E1042">
        <v>0</v>
      </c>
      <c r="F1042" t="str">
        <f>HYPERLINK("https://github.com/syncthing/syncthing-android/issues/467", "show")</f>
        <v>show</v>
      </c>
      <c r="G1042" t="str">
        <f>HYPERLINK("https://github.com/syncthing/syncthing-android", "show")</f>
        <v>show</v>
      </c>
      <c r="H1042" t="str">
        <f>HYPERLINK("https://github.com/syncthing/syncthing-android/releases", "show")</f>
        <v>show</v>
      </c>
      <c r="I1042">
        <v>1</v>
      </c>
      <c r="J1042">
        <v>0</v>
      </c>
      <c r="K1042">
        <v>1</v>
      </c>
      <c r="L1042">
        <v>0</v>
      </c>
      <c r="M1042" t="s">
        <v>64</v>
      </c>
    </row>
    <row r="1043" spans="1:13" hidden="1" x14ac:dyDescent="0.15">
      <c r="A1043" t="s">
        <v>3346</v>
      </c>
      <c r="B1043" t="s">
        <v>3347</v>
      </c>
      <c r="C1043" t="s">
        <v>3348</v>
      </c>
      <c r="D1043" t="s">
        <v>3345</v>
      </c>
      <c r="E1043">
        <v>265</v>
      </c>
      <c r="F1043" t="str">
        <f>HYPERLINK("https://github.com/michael-rapp/AndroidMaterialPreferences/issues/2", "show")</f>
        <v>show</v>
      </c>
      <c r="G1043" t="str">
        <f>HYPERLINK("https://github.com/michael-rapp/AndroidMaterialPreferences", "show")</f>
        <v>show</v>
      </c>
      <c r="H1043" t="str">
        <f>HYPERLINK("https://github.com/michael-rapp/AndroidMaterialPreferences/releases", "show")</f>
        <v>show</v>
      </c>
      <c r="I1043">
        <v>1</v>
      </c>
      <c r="J1043">
        <v>0</v>
      </c>
      <c r="K1043">
        <v>0</v>
      </c>
      <c r="L1043">
        <v>0</v>
      </c>
      <c r="M1043" t="s">
        <v>17</v>
      </c>
    </row>
    <row r="1044" spans="1:13" hidden="1" x14ac:dyDescent="0.15">
      <c r="A1044" t="s">
        <v>3349</v>
      </c>
      <c r="B1044" t="s">
        <v>3350</v>
      </c>
      <c r="C1044" t="s">
        <v>3351</v>
      </c>
      <c r="D1044" t="s">
        <v>3345</v>
      </c>
      <c r="E1044">
        <v>0</v>
      </c>
      <c r="F1044" t="str">
        <f>HYPERLINK("https://github.com/michael-rapp/AndroidMaterialPreferences/issues/1", "show")</f>
        <v>show</v>
      </c>
      <c r="G1044" t="str">
        <f>HYPERLINK("https://github.com/michael-rapp/AndroidMaterialPreferences", "show")</f>
        <v>show</v>
      </c>
      <c r="H1044" t="str">
        <f>HYPERLINK("https://github.com/michael-rapp/AndroidMaterialPreferences/releases", "show")</f>
        <v>show</v>
      </c>
      <c r="I1044">
        <v>1</v>
      </c>
      <c r="J1044">
        <v>0</v>
      </c>
      <c r="K1044">
        <v>0</v>
      </c>
      <c r="L1044">
        <v>0</v>
      </c>
      <c r="M1044" t="s">
        <v>17</v>
      </c>
    </row>
    <row r="1045" spans="1:13" hidden="1" x14ac:dyDescent="0.15">
      <c r="A1045" t="s">
        <v>3352</v>
      </c>
      <c r="B1045" t="s">
        <v>3353</v>
      </c>
      <c r="C1045" t="s">
        <v>3354</v>
      </c>
      <c r="D1045" t="s">
        <v>3345</v>
      </c>
      <c r="E1045">
        <v>1</v>
      </c>
      <c r="F1045" t="str">
        <f>HYPERLINK("https://github.com/zhanghai/MaterialProgressBar/issues/8", "show")</f>
        <v>show</v>
      </c>
      <c r="G1045" t="str">
        <f>HYPERLINK("https://github.com/zhanghai/MaterialProgressBar", "show")</f>
        <v>show</v>
      </c>
      <c r="H1045" t="str">
        <f>HYPERLINK("https://github.com/zhanghai/MaterialProgressBar/releases", "show")</f>
        <v>show</v>
      </c>
      <c r="I1045">
        <v>1</v>
      </c>
      <c r="J1045">
        <v>0</v>
      </c>
      <c r="K1045">
        <v>1</v>
      </c>
      <c r="L1045">
        <v>0</v>
      </c>
      <c r="M1045" t="s">
        <v>64</v>
      </c>
    </row>
    <row r="1046" spans="1:13" hidden="1" x14ac:dyDescent="0.15">
      <c r="A1046" t="s">
        <v>3355</v>
      </c>
      <c r="B1046" t="s">
        <v>3356</v>
      </c>
      <c r="C1046" t="s">
        <v>3357</v>
      </c>
      <c r="D1046" t="s">
        <v>3345</v>
      </c>
      <c r="E1046">
        <v>11</v>
      </c>
      <c r="F1046" t="str">
        <f>HYPERLINK("https://github.com/Bathlamos/RTDC/issues/110", "show")</f>
        <v>show</v>
      </c>
      <c r="G1046" t="str">
        <f>HYPERLINK("https://github.com/Bathlamos/RTDC", "show")</f>
        <v>show</v>
      </c>
      <c r="H1046" t="str">
        <f>HYPERLINK("https://github.com/Bathlamos/RTDC/releases", "show")</f>
        <v>show</v>
      </c>
      <c r="I1046">
        <v>1</v>
      </c>
      <c r="J1046">
        <v>0</v>
      </c>
      <c r="K1046">
        <v>0</v>
      </c>
      <c r="L1046">
        <v>0</v>
      </c>
      <c r="M1046" t="s">
        <v>17</v>
      </c>
    </row>
    <row r="1047" spans="1:13" hidden="1" x14ac:dyDescent="0.15">
      <c r="A1047" t="s">
        <v>3358</v>
      </c>
      <c r="B1047" t="s">
        <v>3359</v>
      </c>
      <c r="C1047" t="s">
        <v>3360</v>
      </c>
      <c r="D1047" t="s">
        <v>3361</v>
      </c>
      <c r="E1047">
        <v>1</v>
      </c>
      <c r="F1047" t="str">
        <f>HYPERLINK("https://github.com/dimagi/commcare-android/issues/713", "show")</f>
        <v>show</v>
      </c>
      <c r="G1047" t="str">
        <f>HYPERLINK("https://github.com/dimagi/commcare-android", "show")</f>
        <v>show</v>
      </c>
      <c r="H1047" t="str">
        <f>HYPERLINK("https://github.com/dimagi/commcare-android/releases", "show")</f>
        <v>show</v>
      </c>
      <c r="I1047">
        <v>0</v>
      </c>
      <c r="J1047">
        <v>0</v>
      </c>
      <c r="K1047">
        <v>0</v>
      </c>
      <c r="L1047">
        <v>0</v>
      </c>
      <c r="M1047" t="s">
        <v>43</v>
      </c>
    </row>
    <row r="1048" spans="1:13" hidden="1" x14ac:dyDescent="0.15">
      <c r="A1048" t="s">
        <v>3362</v>
      </c>
      <c r="B1048" t="s">
        <v>3363</v>
      </c>
      <c r="C1048" t="s">
        <v>3364</v>
      </c>
      <c r="D1048" t="s">
        <v>3361</v>
      </c>
      <c r="E1048">
        <v>66</v>
      </c>
      <c r="F1048" t="str">
        <f>HYPERLINK("https://github.com/andybalaam/rabbit-escape/issues/116", "show")</f>
        <v>show</v>
      </c>
      <c r="G1048" t="str">
        <f>HYPERLINK("https://github.com/andybalaam/rabbit-escape", "show")</f>
        <v>show</v>
      </c>
      <c r="H1048" t="str">
        <f>HYPERLINK("https://github.com/andybalaam/rabbit-escape/releases", "show")</f>
        <v>show</v>
      </c>
      <c r="I1048">
        <v>1</v>
      </c>
      <c r="J1048">
        <v>0</v>
      </c>
      <c r="K1048">
        <v>1</v>
      </c>
      <c r="L1048">
        <v>0</v>
      </c>
      <c r="M1048" t="s">
        <v>64</v>
      </c>
    </row>
    <row r="1049" spans="1:13" hidden="1" x14ac:dyDescent="0.15">
      <c r="A1049" t="s">
        <v>3365</v>
      </c>
      <c r="B1049" t="s">
        <v>3366</v>
      </c>
      <c r="C1049" t="s">
        <v>3367</v>
      </c>
      <c r="D1049" t="s">
        <v>3368</v>
      </c>
      <c r="E1049">
        <v>1</v>
      </c>
      <c r="F1049" t="str">
        <f>HYPERLINK("https://github.com/dimagi/commcare-android/issues/728", "show")</f>
        <v>show</v>
      </c>
      <c r="G1049" t="str">
        <f>HYPERLINK("https://github.com/dimagi/commcare-android", "show")</f>
        <v>show</v>
      </c>
      <c r="H1049" t="str">
        <f>HYPERLINK("https://github.com/dimagi/commcare-android/releases", "show")</f>
        <v>show</v>
      </c>
      <c r="I1049">
        <v>1</v>
      </c>
      <c r="J1049">
        <v>0</v>
      </c>
      <c r="K1049">
        <v>0</v>
      </c>
      <c r="L1049">
        <v>0</v>
      </c>
      <c r="M1049" t="s">
        <v>17</v>
      </c>
    </row>
    <row r="1050" spans="1:13" hidden="1" x14ac:dyDescent="0.15">
      <c r="A1050" t="s">
        <v>3369</v>
      </c>
      <c r="B1050" t="s">
        <v>3370</v>
      </c>
      <c r="C1050" t="s">
        <v>3371</v>
      </c>
      <c r="D1050" t="s">
        <v>3368</v>
      </c>
      <c r="E1050">
        <v>618</v>
      </c>
      <c r="F1050" t="str">
        <f>HYPERLINK("https://github.com/sromku/android-storage/issues/11", "show")</f>
        <v>show</v>
      </c>
      <c r="G1050" t="str">
        <f>HYPERLINK("https://github.com/sromku/android-storage", "show")</f>
        <v>show</v>
      </c>
      <c r="H1050" t="str">
        <f>HYPERLINK("https://github.com/sromku/android-storage/releases", "show")</f>
        <v>show</v>
      </c>
      <c r="I1050">
        <v>0</v>
      </c>
      <c r="J1050">
        <v>0</v>
      </c>
      <c r="K1050">
        <v>0</v>
      </c>
      <c r="L1050">
        <v>0</v>
      </c>
      <c r="M1050" t="s">
        <v>43</v>
      </c>
    </row>
    <row r="1051" spans="1:13" hidden="1" x14ac:dyDescent="0.15">
      <c r="A1051" t="s">
        <v>3372</v>
      </c>
      <c r="B1051" t="s">
        <v>3373</v>
      </c>
      <c r="C1051" t="s">
        <v>3374</v>
      </c>
      <c r="D1051" t="s">
        <v>3368</v>
      </c>
      <c r="E1051">
        <v>0</v>
      </c>
      <c r="F1051" t="str">
        <f>HYPERLINK("https://github.com/dimagi/commcare-android/issues/721", "show")</f>
        <v>show</v>
      </c>
      <c r="G1051" t="str">
        <f>HYPERLINK("https://github.com/dimagi/commcare-android", "show")</f>
        <v>show</v>
      </c>
      <c r="H1051" t="str">
        <f>HYPERLINK("https://github.com/dimagi/commcare-android/releases", "show")</f>
        <v>show</v>
      </c>
      <c r="I1051">
        <v>0</v>
      </c>
      <c r="J1051">
        <v>0</v>
      </c>
      <c r="K1051">
        <v>0</v>
      </c>
      <c r="L1051">
        <v>0</v>
      </c>
      <c r="M1051" t="s">
        <v>43</v>
      </c>
    </row>
    <row r="1052" spans="1:13" hidden="1" x14ac:dyDescent="0.15">
      <c r="A1052" t="s">
        <v>3375</v>
      </c>
      <c r="B1052" t="s">
        <v>3376</v>
      </c>
      <c r="C1052" t="s">
        <v>3377</v>
      </c>
      <c r="D1052" t="s">
        <v>3368</v>
      </c>
      <c r="E1052">
        <v>6</v>
      </c>
      <c r="F1052" t="str">
        <f>HYPERLINK("https://github.com/ccrama/Slide/issues/229", "show")</f>
        <v>show</v>
      </c>
      <c r="G1052" t="str">
        <f>HYPERLINK("https://github.com/ccrama/Slide", "show")</f>
        <v>show</v>
      </c>
      <c r="H1052" t="str">
        <f>HYPERLINK("https://github.com/ccrama/Slide/releases", "show")</f>
        <v>show</v>
      </c>
      <c r="I1052">
        <v>1</v>
      </c>
      <c r="J1052">
        <v>0</v>
      </c>
      <c r="K1052">
        <v>0</v>
      </c>
      <c r="L1052">
        <v>0</v>
      </c>
      <c r="M1052" t="s">
        <v>17</v>
      </c>
    </row>
    <row r="1053" spans="1:13" hidden="1" x14ac:dyDescent="0.15">
      <c r="A1053" t="s">
        <v>3378</v>
      </c>
      <c r="B1053" t="s">
        <v>3379</v>
      </c>
      <c r="C1053" t="s">
        <v>3380</v>
      </c>
      <c r="D1053" t="s">
        <v>3368</v>
      </c>
      <c r="E1053">
        <v>0</v>
      </c>
      <c r="F1053" t="str">
        <f>HYPERLINK("https://github.com/czlee/debatekeeper/issues/22", "show")</f>
        <v>show</v>
      </c>
      <c r="G1053" t="str">
        <f>HYPERLINK("https://github.com/czlee/debatekeeper", "show")</f>
        <v>show</v>
      </c>
      <c r="H1053" t="str">
        <f>HYPERLINK("https://github.com/czlee/debatekeeper/releases", "show")</f>
        <v>show</v>
      </c>
      <c r="I1053">
        <v>1</v>
      </c>
      <c r="J1053">
        <v>0</v>
      </c>
      <c r="K1053">
        <v>0</v>
      </c>
      <c r="L1053">
        <v>0</v>
      </c>
      <c r="M1053" t="s">
        <v>17</v>
      </c>
    </row>
    <row r="1054" spans="1:13" hidden="1" x14ac:dyDescent="0.15">
      <c r="A1054" t="s">
        <v>3381</v>
      </c>
      <c r="B1054" t="s">
        <v>3382</v>
      </c>
      <c r="C1054" t="s">
        <v>3383</v>
      </c>
      <c r="D1054" t="s">
        <v>3384</v>
      </c>
      <c r="E1054">
        <v>13</v>
      </c>
      <c r="F1054" t="str">
        <f>HYPERLINK("https://github.com/OneBusAway/onebusaway-android/issues/341", "show")</f>
        <v>show</v>
      </c>
      <c r="G1054" t="str">
        <f>HYPERLINK("https://github.com/OneBusAway/onebusaway-android", "show")</f>
        <v>show</v>
      </c>
      <c r="H1054" t="str">
        <f>HYPERLINK("https://github.com/OneBusAway/onebusaway-android/releases", "show")</f>
        <v>show</v>
      </c>
      <c r="I1054">
        <v>1</v>
      </c>
      <c r="J1054">
        <v>0</v>
      </c>
      <c r="K1054">
        <v>1</v>
      </c>
      <c r="L1054">
        <v>0</v>
      </c>
      <c r="M1054" t="s">
        <v>64</v>
      </c>
    </row>
    <row r="1055" spans="1:13" hidden="1" x14ac:dyDescent="0.15">
      <c r="A1055" t="s">
        <v>3385</v>
      </c>
      <c r="B1055" t="s">
        <v>3366</v>
      </c>
      <c r="C1055" t="s">
        <v>3386</v>
      </c>
      <c r="D1055" t="s">
        <v>3384</v>
      </c>
      <c r="E1055">
        <v>3</v>
      </c>
      <c r="F1055" t="str">
        <f>HYPERLINK("https://github.com/dimagi/commcare-android/issues/733", "show")</f>
        <v>show</v>
      </c>
      <c r="G1055" t="str">
        <f>HYPERLINK("https://github.com/dimagi/commcare-android", "show")</f>
        <v>show</v>
      </c>
      <c r="H1055" t="str">
        <f>HYPERLINK("https://github.com/dimagi/commcare-android/releases", "show")</f>
        <v>show</v>
      </c>
      <c r="I1055">
        <v>0</v>
      </c>
      <c r="J1055">
        <v>0</v>
      </c>
      <c r="K1055">
        <v>0</v>
      </c>
      <c r="L1055">
        <v>0</v>
      </c>
      <c r="M1055" t="s">
        <v>43</v>
      </c>
    </row>
    <row r="1056" spans="1:13" hidden="1" x14ac:dyDescent="0.15">
      <c r="A1056" t="s">
        <v>3387</v>
      </c>
      <c r="B1056" t="s">
        <v>3388</v>
      </c>
      <c r="C1056" t="s">
        <v>3389</v>
      </c>
      <c r="D1056" t="s">
        <v>3384</v>
      </c>
      <c r="E1056">
        <v>328</v>
      </c>
      <c r="F1056" t="str">
        <f>HYPERLINK("https://github.com/OpenTreeMap/otm-android/issues/226", "show")</f>
        <v>show</v>
      </c>
      <c r="G1056" t="str">
        <f>HYPERLINK("https://github.com/OpenTreeMap/otm-android", "show")</f>
        <v>show</v>
      </c>
      <c r="H1056" t="str">
        <f>HYPERLINK("https://github.com/OpenTreeMap/otm-android/releases", "show")</f>
        <v>show</v>
      </c>
      <c r="I1056">
        <v>1</v>
      </c>
      <c r="J1056">
        <v>0</v>
      </c>
      <c r="K1056">
        <v>0</v>
      </c>
      <c r="L1056">
        <v>0</v>
      </c>
      <c r="M1056" t="s">
        <v>17</v>
      </c>
    </row>
    <row r="1057" spans="1:13" hidden="1" x14ac:dyDescent="0.15">
      <c r="A1057" t="s">
        <v>3390</v>
      </c>
      <c r="B1057" t="s">
        <v>3391</v>
      </c>
      <c r="C1057" t="s">
        <v>3392</v>
      </c>
      <c r="D1057" t="s">
        <v>3384</v>
      </c>
      <c r="E1057">
        <v>1</v>
      </c>
      <c r="F1057" t="str">
        <f>HYPERLINK("https://github.com/robovm/robovm-store-app/issues/22", "show")</f>
        <v>show</v>
      </c>
      <c r="G1057" t="str">
        <f>HYPERLINK("https://github.com/robovm/robovm-store-app", "show")</f>
        <v>show</v>
      </c>
      <c r="H1057" t="str">
        <f>HYPERLINK("https://github.com/robovm/robovm-store-app/releases", "show")</f>
        <v>show</v>
      </c>
      <c r="I1057">
        <v>1</v>
      </c>
      <c r="J1057">
        <v>0</v>
      </c>
      <c r="K1057">
        <v>1</v>
      </c>
      <c r="L1057">
        <v>0</v>
      </c>
      <c r="M1057" t="s">
        <v>64</v>
      </c>
    </row>
    <row r="1058" spans="1:13" hidden="1" x14ac:dyDescent="0.15">
      <c r="A1058" t="s">
        <v>3393</v>
      </c>
      <c r="B1058" t="s">
        <v>3394</v>
      </c>
      <c r="C1058" t="s">
        <v>3395</v>
      </c>
      <c r="D1058" t="s">
        <v>3384</v>
      </c>
      <c r="E1058">
        <v>1</v>
      </c>
      <c r="F1058" t="str">
        <f>HYPERLINK("https://github.com/robovm/robovm-store-app/issues/20", "show")</f>
        <v>show</v>
      </c>
      <c r="G1058" t="str">
        <f>HYPERLINK("https://github.com/robovm/robovm-store-app", "show")</f>
        <v>show</v>
      </c>
      <c r="H1058" t="str">
        <f>HYPERLINK("https://github.com/robovm/robovm-store-app/releases", "show")</f>
        <v>show</v>
      </c>
      <c r="I1058">
        <v>1</v>
      </c>
      <c r="J1058">
        <v>0</v>
      </c>
      <c r="K1058">
        <v>1</v>
      </c>
      <c r="L1058">
        <v>0</v>
      </c>
      <c r="M1058" t="s">
        <v>64</v>
      </c>
    </row>
    <row r="1059" spans="1:13" hidden="1" x14ac:dyDescent="0.15">
      <c r="A1059" t="s">
        <v>3396</v>
      </c>
      <c r="B1059" t="s">
        <v>3397</v>
      </c>
      <c r="C1059" t="s">
        <v>3398</v>
      </c>
      <c r="D1059" t="s">
        <v>3399</v>
      </c>
      <c r="E1059">
        <v>1</v>
      </c>
      <c r="F1059" t="str">
        <f>HYPERLINK("https://github.com/ccrama/Slide/issues/244", "show")</f>
        <v>show</v>
      </c>
      <c r="G1059" t="str">
        <f>HYPERLINK("https://github.com/ccrama/Slide", "show")</f>
        <v>show</v>
      </c>
      <c r="H1059" t="str">
        <f>HYPERLINK("https://github.com/ccrama/Slide/releases", "show")</f>
        <v>show</v>
      </c>
      <c r="I1059">
        <v>1</v>
      </c>
      <c r="J1059">
        <v>0</v>
      </c>
      <c r="K1059">
        <v>1</v>
      </c>
      <c r="L1059">
        <v>0</v>
      </c>
      <c r="M1059" t="s">
        <v>64</v>
      </c>
    </row>
    <row r="1060" spans="1:13" hidden="1" x14ac:dyDescent="0.15">
      <c r="A1060" t="s">
        <v>3400</v>
      </c>
      <c r="B1060" t="s">
        <v>3401</v>
      </c>
      <c r="C1060" t="s">
        <v>3402</v>
      </c>
      <c r="D1060" t="s">
        <v>3403</v>
      </c>
      <c r="E1060">
        <v>2</v>
      </c>
      <c r="F1060" t="str">
        <f>HYPERLINK("https://github.com/rampage128/hombot-control/issues/6", "show")</f>
        <v>show</v>
      </c>
      <c r="G1060" t="str">
        <f>HYPERLINK("https://github.com/rampage128/hombot-control", "show")</f>
        <v>show</v>
      </c>
      <c r="H1060" t="str">
        <f>HYPERLINK("https://github.com/rampage128/hombot-control/releases", "show")</f>
        <v>show</v>
      </c>
      <c r="I1060">
        <v>1</v>
      </c>
      <c r="J1060">
        <v>0</v>
      </c>
      <c r="K1060">
        <v>0</v>
      </c>
      <c r="L1060">
        <v>0</v>
      </c>
      <c r="M1060" t="s">
        <v>17</v>
      </c>
    </row>
    <row r="1061" spans="1:13" hidden="1" x14ac:dyDescent="0.15">
      <c r="A1061" t="s">
        <v>3404</v>
      </c>
      <c r="B1061" t="s">
        <v>3405</v>
      </c>
      <c r="C1061" t="s">
        <v>3406</v>
      </c>
      <c r="D1061" t="s">
        <v>3403</v>
      </c>
      <c r="E1061">
        <v>12</v>
      </c>
      <c r="F1061" t="str">
        <f>HYPERLINK("https://github.com/ccrama/Slide/issues/270", "show")</f>
        <v>show</v>
      </c>
      <c r="G1061" t="str">
        <f>HYPERLINK("https://github.com/ccrama/Slide", "show")</f>
        <v>show</v>
      </c>
      <c r="H1061" t="str">
        <f>HYPERLINK("https://github.com/ccrama/Slide/releases", "show")</f>
        <v>show</v>
      </c>
      <c r="I1061">
        <v>1</v>
      </c>
      <c r="J1061">
        <v>0</v>
      </c>
      <c r="K1061">
        <v>1</v>
      </c>
      <c r="L1061">
        <v>0</v>
      </c>
      <c r="M1061" t="s">
        <v>64</v>
      </c>
    </row>
    <row r="1062" spans="1:13" hidden="1" x14ac:dyDescent="0.15">
      <c r="A1062" t="s">
        <v>3407</v>
      </c>
      <c r="B1062" t="s">
        <v>3408</v>
      </c>
      <c r="C1062" t="s">
        <v>3409</v>
      </c>
      <c r="D1062" t="s">
        <v>3403</v>
      </c>
      <c r="E1062">
        <v>2</v>
      </c>
      <c r="F1062" t="str">
        <f>HYPERLINK("https://github.com/ccrama/Slide/issues/265", "show")</f>
        <v>show</v>
      </c>
      <c r="G1062" t="str">
        <f>HYPERLINK("https://github.com/ccrama/Slide", "show")</f>
        <v>show</v>
      </c>
      <c r="H1062" t="str">
        <f>HYPERLINK("https://github.com/ccrama/Slide/releases", "show")</f>
        <v>show</v>
      </c>
      <c r="I1062">
        <v>1</v>
      </c>
      <c r="J1062">
        <v>0</v>
      </c>
      <c r="K1062">
        <v>1</v>
      </c>
      <c r="L1062">
        <v>1</v>
      </c>
      <c r="M1062" t="s">
        <v>1259</v>
      </c>
    </row>
    <row r="1063" spans="1:13" x14ac:dyDescent="0.15">
      <c r="A1063" t="s">
        <v>3410</v>
      </c>
      <c r="B1063" t="s">
        <v>3411</v>
      </c>
      <c r="C1063" t="s">
        <v>3412</v>
      </c>
      <c r="D1063" t="s">
        <v>3403</v>
      </c>
      <c r="E1063">
        <v>90</v>
      </c>
      <c r="F1063" t="str">
        <f>HYPERLINK("https://github.com/stefan-niedermann/nextcloud-notes/issues/34", "show")</f>
        <v>show</v>
      </c>
      <c r="G1063" t="str">
        <f>HYPERLINK("https://github.com/stefan-niedermann/nextcloud-notes", "show")</f>
        <v>show</v>
      </c>
      <c r="H1063" t="str">
        <f>HYPERLINK("https://github.com/stefan-niedermann/nextcloud-notes/releases", "show")</f>
        <v>show</v>
      </c>
      <c r="I1063">
        <v>0</v>
      </c>
      <c r="J1063">
        <v>1</v>
      </c>
      <c r="K1063">
        <v>0</v>
      </c>
      <c r="L1063">
        <v>0</v>
      </c>
      <c r="M1063" t="s">
        <v>139</v>
      </c>
    </row>
    <row r="1064" spans="1:13" hidden="1" x14ac:dyDescent="0.15">
      <c r="A1064" t="s">
        <v>3413</v>
      </c>
      <c r="B1064" t="s">
        <v>3414</v>
      </c>
      <c r="C1064" t="s">
        <v>3415</v>
      </c>
      <c r="D1064" t="s">
        <v>3403</v>
      </c>
      <c r="E1064">
        <v>259</v>
      </c>
      <c r="F1064" t="str">
        <f>HYPERLINK("https://github.com/Cloudkibo/Android/issues/74", "show")</f>
        <v>show</v>
      </c>
      <c r="G1064" t="str">
        <f>HYPERLINK("https://github.com/Cloudkibo/Android", "show")</f>
        <v>show</v>
      </c>
      <c r="H1064" t="str">
        <f>HYPERLINK("https://github.com/Cloudkibo/Android/releases", "show")</f>
        <v>show</v>
      </c>
      <c r="I1064">
        <v>1</v>
      </c>
      <c r="J1064">
        <v>0</v>
      </c>
      <c r="K1064">
        <v>0</v>
      </c>
      <c r="L1064">
        <v>0</v>
      </c>
      <c r="M1064" t="s">
        <v>17</v>
      </c>
    </row>
    <row r="1065" spans="1:13" hidden="1" x14ac:dyDescent="0.15">
      <c r="A1065" t="s">
        <v>3416</v>
      </c>
      <c r="B1065" t="s">
        <v>3417</v>
      </c>
      <c r="C1065" t="s">
        <v>3418</v>
      </c>
      <c r="D1065" t="s">
        <v>3403</v>
      </c>
      <c r="E1065">
        <v>3</v>
      </c>
      <c r="F1065" t="str">
        <f>HYPERLINK("https://github.com/ccrama/Slide/issues/255", "show")</f>
        <v>show</v>
      </c>
      <c r="G1065" t="str">
        <f>HYPERLINK("https://github.com/ccrama/Slide", "show")</f>
        <v>show</v>
      </c>
      <c r="H1065" t="str">
        <f>HYPERLINK("https://github.com/ccrama/Slide/releases", "show")</f>
        <v>show</v>
      </c>
      <c r="I1065">
        <v>1</v>
      </c>
      <c r="J1065">
        <v>0</v>
      </c>
      <c r="K1065">
        <v>0</v>
      </c>
      <c r="L1065">
        <v>0</v>
      </c>
      <c r="M1065" t="s">
        <v>17</v>
      </c>
    </row>
    <row r="1066" spans="1:13" hidden="1" x14ac:dyDescent="0.15">
      <c r="A1066" t="s">
        <v>3419</v>
      </c>
      <c r="B1066" t="s">
        <v>3420</v>
      </c>
      <c r="C1066" t="s">
        <v>3421</v>
      </c>
      <c r="D1066" t="s">
        <v>3403</v>
      </c>
      <c r="E1066">
        <v>2</v>
      </c>
      <c r="F1066" t="str">
        <f>HYPERLINK("https://github.com/ccrama/Slide/issues/246", "show")</f>
        <v>show</v>
      </c>
      <c r="G1066" t="str">
        <f>HYPERLINK("https://github.com/ccrama/Slide", "show")</f>
        <v>show</v>
      </c>
      <c r="H1066" t="str">
        <f>HYPERLINK("https://github.com/ccrama/Slide/releases", "show")</f>
        <v>show</v>
      </c>
      <c r="I1066">
        <v>1</v>
      </c>
      <c r="J1066">
        <v>0</v>
      </c>
      <c r="K1066">
        <v>1</v>
      </c>
      <c r="L1066">
        <v>0</v>
      </c>
      <c r="M1066" t="s">
        <v>64</v>
      </c>
    </row>
    <row r="1067" spans="1:13" hidden="1" x14ac:dyDescent="0.15">
      <c r="A1067" t="s">
        <v>3422</v>
      </c>
      <c r="B1067" t="s">
        <v>3423</v>
      </c>
      <c r="C1067" t="s">
        <v>3424</v>
      </c>
      <c r="D1067" t="s">
        <v>3425</v>
      </c>
      <c r="E1067">
        <v>1</v>
      </c>
      <c r="F1067" t="str">
        <f>HYPERLINK("https://github.com/syncthing/syncthing-android/issues/471", "show")</f>
        <v>show</v>
      </c>
      <c r="G1067" t="str">
        <f>HYPERLINK("https://github.com/syncthing/syncthing-android", "show")</f>
        <v>show</v>
      </c>
      <c r="H1067" t="str">
        <f>HYPERLINK("https://github.com/syncthing/syncthing-android/releases", "show")</f>
        <v>show</v>
      </c>
      <c r="I1067">
        <v>1</v>
      </c>
      <c r="J1067">
        <v>0</v>
      </c>
      <c r="K1067">
        <v>1</v>
      </c>
      <c r="L1067">
        <v>0</v>
      </c>
      <c r="M1067" t="s">
        <v>64</v>
      </c>
    </row>
    <row r="1068" spans="1:13" hidden="1" x14ac:dyDescent="0.15">
      <c r="A1068" t="s">
        <v>3426</v>
      </c>
      <c r="B1068" t="s">
        <v>3427</v>
      </c>
      <c r="C1068" t="s">
        <v>3428</v>
      </c>
      <c r="D1068" t="s">
        <v>3425</v>
      </c>
      <c r="E1068">
        <v>23</v>
      </c>
      <c r="F1068" t="str">
        <f>HYPERLINK("https://github.com/dmfs/opentasks/issues/171", "show")</f>
        <v>show</v>
      </c>
      <c r="G1068" t="str">
        <f>HYPERLINK("https://github.com/dmfs/opentasks", "show")</f>
        <v>show</v>
      </c>
      <c r="H1068" t="str">
        <f>HYPERLINK("https://github.com/dmfs/opentasks/releases", "show")</f>
        <v>show</v>
      </c>
      <c r="I1068">
        <v>0</v>
      </c>
      <c r="J1068">
        <v>0</v>
      </c>
      <c r="K1068">
        <v>0</v>
      </c>
      <c r="L1068">
        <v>0</v>
      </c>
      <c r="M1068" t="s">
        <v>43</v>
      </c>
    </row>
    <row r="1069" spans="1:13" hidden="1" x14ac:dyDescent="0.15">
      <c r="A1069" t="s">
        <v>3429</v>
      </c>
      <c r="B1069" t="s">
        <v>3430</v>
      </c>
      <c r="C1069" t="s">
        <v>3431</v>
      </c>
      <c r="D1069" t="s">
        <v>3425</v>
      </c>
      <c r="E1069">
        <v>2</v>
      </c>
      <c r="F1069" t="str">
        <f>HYPERLINK("https://github.com/dimagi/commcare-android/issues/744", "show")</f>
        <v>show</v>
      </c>
      <c r="G1069" t="str">
        <f>HYPERLINK("https://github.com/dimagi/commcare-android", "show")</f>
        <v>show</v>
      </c>
      <c r="H1069" t="str">
        <f>HYPERLINK("https://github.com/dimagi/commcare-android/releases", "show")</f>
        <v>show</v>
      </c>
      <c r="I1069">
        <v>1</v>
      </c>
      <c r="J1069">
        <v>0</v>
      </c>
      <c r="K1069">
        <v>0</v>
      </c>
      <c r="L1069">
        <v>0</v>
      </c>
      <c r="M1069" t="s">
        <v>17</v>
      </c>
    </row>
    <row r="1070" spans="1:13" hidden="1" x14ac:dyDescent="0.15">
      <c r="A1070" t="s">
        <v>3432</v>
      </c>
      <c r="B1070" t="s">
        <v>3433</v>
      </c>
      <c r="C1070" t="s">
        <v>3434</v>
      </c>
      <c r="D1070" t="s">
        <v>3425</v>
      </c>
      <c r="E1070">
        <v>1</v>
      </c>
      <c r="F1070" t="str">
        <f>HYPERLINK("https://github.com/dimagi/commcare-android/issues/743", "show")</f>
        <v>show</v>
      </c>
      <c r="G1070" t="str">
        <f>HYPERLINK("https://github.com/dimagi/commcare-android", "show")</f>
        <v>show</v>
      </c>
      <c r="H1070" t="str">
        <f>HYPERLINK("https://github.com/dimagi/commcare-android/releases", "show")</f>
        <v>show</v>
      </c>
      <c r="I1070">
        <v>1</v>
      </c>
      <c r="J1070">
        <v>0</v>
      </c>
      <c r="K1070">
        <v>0</v>
      </c>
      <c r="L1070">
        <v>0</v>
      </c>
      <c r="M1070" t="s">
        <v>17</v>
      </c>
    </row>
    <row r="1071" spans="1:13" hidden="1" x14ac:dyDescent="0.15">
      <c r="A1071" t="s">
        <v>3435</v>
      </c>
      <c r="B1071" t="s">
        <v>3436</v>
      </c>
      <c r="C1071" t="s">
        <v>3437</v>
      </c>
      <c r="D1071" t="s">
        <v>3425</v>
      </c>
      <c r="E1071">
        <v>0</v>
      </c>
      <c r="F1071" t="str">
        <f>HYPERLINK("https://github.com/dimagi/commcare-android/issues/739", "show")</f>
        <v>show</v>
      </c>
      <c r="G1071" t="str">
        <f>HYPERLINK("https://github.com/dimagi/commcare-android", "show")</f>
        <v>show</v>
      </c>
      <c r="H1071" t="str">
        <f>HYPERLINK("https://github.com/dimagi/commcare-android/releases", "show")</f>
        <v>show</v>
      </c>
      <c r="I1071">
        <v>1</v>
      </c>
      <c r="J1071">
        <v>0</v>
      </c>
      <c r="K1071">
        <v>0</v>
      </c>
      <c r="L1071">
        <v>0</v>
      </c>
      <c r="M1071" t="s">
        <v>17</v>
      </c>
    </row>
    <row r="1072" spans="1:13" hidden="1" x14ac:dyDescent="0.15">
      <c r="A1072" t="s">
        <v>3438</v>
      </c>
      <c r="B1072" t="s">
        <v>3439</v>
      </c>
      <c r="C1072" t="s">
        <v>3440</v>
      </c>
      <c r="D1072" t="s">
        <v>3425</v>
      </c>
      <c r="E1072">
        <v>14</v>
      </c>
      <c r="F1072" t="str">
        <f>HYPERLINK("https://github.com/syncthing/syncthing-android/issues/470", "show")</f>
        <v>show</v>
      </c>
      <c r="G1072" t="str">
        <f>HYPERLINK("https://github.com/syncthing/syncthing-android", "show")</f>
        <v>show</v>
      </c>
      <c r="H1072" t="str">
        <f>HYPERLINK("https://github.com/syncthing/syncthing-android/releases", "show")</f>
        <v>show</v>
      </c>
      <c r="I1072">
        <v>1</v>
      </c>
      <c r="J1072">
        <v>0</v>
      </c>
      <c r="K1072">
        <v>0</v>
      </c>
      <c r="L1072">
        <v>0</v>
      </c>
      <c r="M1072" t="s">
        <v>17</v>
      </c>
    </row>
    <row r="1073" spans="1:13" hidden="1" x14ac:dyDescent="0.15">
      <c r="A1073" t="s">
        <v>3441</v>
      </c>
      <c r="B1073" t="s">
        <v>3442</v>
      </c>
      <c r="C1073" t="s">
        <v>3443</v>
      </c>
      <c r="D1073" t="s">
        <v>3425</v>
      </c>
      <c r="E1073">
        <v>3</v>
      </c>
      <c r="F1073" t="str">
        <f>HYPERLINK("https://github.com/ccrama/Slide/issues/283", "show")</f>
        <v>show</v>
      </c>
      <c r="G1073" t="str">
        <f>HYPERLINK("https://github.com/ccrama/Slide", "show")</f>
        <v>show</v>
      </c>
      <c r="H1073" t="str">
        <f>HYPERLINK("https://github.com/ccrama/Slide/releases", "show")</f>
        <v>show</v>
      </c>
      <c r="I1073">
        <v>1</v>
      </c>
      <c r="J1073">
        <v>0</v>
      </c>
      <c r="K1073">
        <v>1</v>
      </c>
      <c r="L1073">
        <v>0</v>
      </c>
      <c r="M1073" t="s">
        <v>64</v>
      </c>
    </row>
    <row r="1074" spans="1:13" hidden="1" x14ac:dyDescent="0.15">
      <c r="A1074" t="s">
        <v>3444</v>
      </c>
      <c r="B1074" t="s">
        <v>3445</v>
      </c>
      <c r="C1074" t="s">
        <v>3446</v>
      </c>
      <c r="D1074" t="s">
        <v>3447</v>
      </c>
      <c r="E1074">
        <v>101</v>
      </c>
      <c r="F1074" t="str">
        <f>HYPERLINK("https://github.com/unfoldingWord-dev/uw-android/issues/143", "show")</f>
        <v>show</v>
      </c>
      <c r="G1074" t="str">
        <f>HYPERLINK("https://github.com/unfoldingWord-dev/uw-android", "show")</f>
        <v>show</v>
      </c>
      <c r="H1074" t="str">
        <f>HYPERLINK("https://github.com/unfoldingWord-dev/uw-android/releases", "show")</f>
        <v>show</v>
      </c>
      <c r="I1074">
        <v>0</v>
      </c>
      <c r="J1074">
        <v>0</v>
      </c>
      <c r="K1074">
        <v>0</v>
      </c>
      <c r="L1074">
        <v>0</v>
      </c>
      <c r="M1074" t="s">
        <v>43</v>
      </c>
    </row>
    <row r="1075" spans="1:13" hidden="1" x14ac:dyDescent="0.15">
      <c r="A1075" t="s">
        <v>3448</v>
      </c>
      <c r="B1075" t="s">
        <v>3449</v>
      </c>
      <c r="C1075" t="s">
        <v>3450</v>
      </c>
      <c r="D1075" t="s">
        <v>3447</v>
      </c>
      <c r="E1075">
        <v>9</v>
      </c>
      <c r="F1075" t="str">
        <f>HYPERLINK("https://github.com/dimagi/commcare-android/issues/751", "show")</f>
        <v>show</v>
      </c>
      <c r="G1075" t="str">
        <f>HYPERLINK("https://github.com/dimagi/commcare-android", "show")</f>
        <v>show</v>
      </c>
      <c r="H1075" t="str">
        <f>HYPERLINK("https://github.com/dimagi/commcare-android/releases", "show")</f>
        <v>show</v>
      </c>
      <c r="I1075">
        <v>0</v>
      </c>
      <c r="J1075">
        <v>0</v>
      </c>
      <c r="K1075">
        <v>0</v>
      </c>
      <c r="L1075">
        <v>1</v>
      </c>
      <c r="M1075" t="s">
        <v>581</v>
      </c>
    </row>
    <row r="1076" spans="1:13" hidden="1" x14ac:dyDescent="0.15">
      <c r="A1076" t="s">
        <v>3451</v>
      </c>
      <c r="B1076" t="s">
        <v>3452</v>
      </c>
      <c r="C1076" t="s">
        <v>3453</v>
      </c>
      <c r="D1076" t="s">
        <v>3447</v>
      </c>
      <c r="E1076">
        <v>0</v>
      </c>
      <c r="F1076" t="str">
        <f>HYPERLINK("https://github.com/OneBusAway/onebusaway-android/issues/342", "show")</f>
        <v>show</v>
      </c>
      <c r="G1076" t="str">
        <f>HYPERLINK("https://github.com/OneBusAway/onebusaway-android", "show")</f>
        <v>show</v>
      </c>
      <c r="H1076" t="str">
        <f>HYPERLINK("https://github.com/OneBusAway/onebusaway-android/releases", "show")</f>
        <v>show</v>
      </c>
      <c r="I1076">
        <v>1</v>
      </c>
      <c r="J1076">
        <v>0</v>
      </c>
      <c r="K1076">
        <v>1</v>
      </c>
      <c r="L1076">
        <v>0</v>
      </c>
      <c r="M1076" t="s">
        <v>64</v>
      </c>
    </row>
    <row r="1077" spans="1:13" hidden="1" x14ac:dyDescent="0.15">
      <c r="A1077" t="s">
        <v>3454</v>
      </c>
      <c r="B1077" t="s">
        <v>3455</v>
      </c>
      <c r="C1077" t="s">
        <v>3456</v>
      </c>
      <c r="D1077" t="s">
        <v>3457</v>
      </c>
      <c r="E1077">
        <v>1</v>
      </c>
      <c r="F1077" t="str">
        <f>HYPERLINK("https://github.com/TeamNewPipe/NewPipe/issues/62", "show")</f>
        <v>show</v>
      </c>
      <c r="G1077" t="str">
        <f>HYPERLINK("https://github.com/TeamNewPipe/NewPipe", "show")</f>
        <v>show</v>
      </c>
      <c r="H1077" t="str">
        <f>HYPERLINK("https://github.com/TeamNewPipe/NewPipe/releases", "show")</f>
        <v>show</v>
      </c>
      <c r="I1077">
        <v>1</v>
      </c>
      <c r="J1077">
        <v>0</v>
      </c>
      <c r="K1077">
        <v>0</v>
      </c>
      <c r="L1077">
        <v>0</v>
      </c>
      <c r="M1077" t="s">
        <v>17</v>
      </c>
    </row>
    <row r="1078" spans="1:13" hidden="1" x14ac:dyDescent="0.15">
      <c r="A1078" t="s">
        <v>3458</v>
      </c>
      <c r="B1078" t="s">
        <v>3459</v>
      </c>
      <c r="C1078" t="s">
        <v>3460</v>
      </c>
      <c r="D1078" t="s">
        <v>3457</v>
      </c>
      <c r="E1078">
        <v>1</v>
      </c>
      <c r="F1078" t="str">
        <f>HYPERLINK("https://github.com/projectbuendia/client/issues/103", "show")</f>
        <v>show</v>
      </c>
      <c r="G1078" t="str">
        <f>HYPERLINK("https://github.com/projectbuendia/client", "show")</f>
        <v>show</v>
      </c>
      <c r="H1078" t="str">
        <f>HYPERLINK("https://github.com/projectbuendia/client/releases", "show")</f>
        <v>show</v>
      </c>
      <c r="I1078">
        <v>1</v>
      </c>
      <c r="J1078">
        <v>0</v>
      </c>
      <c r="K1078">
        <v>0</v>
      </c>
      <c r="L1078">
        <v>0</v>
      </c>
      <c r="M1078" t="s">
        <v>17</v>
      </c>
    </row>
    <row r="1079" spans="1:13" hidden="1" x14ac:dyDescent="0.15">
      <c r="A1079" t="s">
        <v>3461</v>
      </c>
      <c r="B1079" t="s">
        <v>3462</v>
      </c>
      <c r="C1079" t="s">
        <v>3463</v>
      </c>
      <c r="D1079" t="s">
        <v>3457</v>
      </c>
      <c r="E1079">
        <v>0</v>
      </c>
      <c r="F1079" t="str">
        <f>HYPERLINK("https://github.com/dimagi/commcare-android/issues/756", "show")</f>
        <v>show</v>
      </c>
      <c r="G1079" t="str">
        <f>HYPERLINK("https://github.com/dimagi/commcare-android", "show")</f>
        <v>show</v>
      </c>
      <c r="H1079" t="str">
        <f>HYPERLINK("https://github.com/dimagi/commcare-android/releases", "show")</f>
        <v>show</v>
      </c>
      <c r="I1079">
        <v>1</v>
      </c>
      <c r="J1079">
        <v>0</v>
      </c>
      <c r="K1079">
        <v>0</v>
      </c>
      <c r="L1079">
        <v>0</v>
      </c>
      <c r="M1079" t="s">
        <v>17</v>
      </c>
    </row>
    <row r="1080" spans="1:13" hidden="1" x14ac:dyDescent="0.15">
      <c r="A1080" t="s">
        <v>3464</v>
      </c>
      <c r="B1080" t="s">
        <v>3465</v>
      </c>
      <c r="C1080" t="s">
        <v>3466</v>
      </c>
      <c r="D1080" t="s">
        <v>3457</v>
      </c>
      <c r="E1080">
        <v>77</v>
      </c>
      <c r="F1080" t="str">
        <f>HYPERLINK("https://github.com/k9mail/k-9/issues/871", "show")</f>
        <v>show</v>
      </c>
      <c r="G1080" t="str">
        <f>HYPERLINK("https://github.com/k9mail/k-9", "show")</f>
        <v>show</v>
      </c>
      <c r="H1080" t="str">
        <f>HYPERLINK("https://github.com/k9mail/k-9/releases", "show")</f>
        <v>show</v>
      </c>
      <c r="I1080">
        <v>1</v>
      </c>
      <c r="J1080">
        <v>0</v>
      </c>
      <c r="K1080">
        <v>0</v>
      </c>
      <c r="L1080">
        <v>0</v>
      </c>
      <c r="M1080" t="s">
        <v>17</v>
      </c>
    </row>
    <row r="1081" spans="1:13" hidden="1" x14ac:dyDescent="0.15">
      <c r="A1081" t="s">
        <v>3467</v>
      </c>
      <c r="B1081" t="s">
        <v>3468</v>
      </c>
      <c r="C1081" t="s">
        <v>3469</v>
      </c>
      <c r="D1081" t="s">
        <v>3457</v>
      </c>
      <c r="E1081">
        <v>0</v>
      </c>
      <c r="F1081" t="str">
        <f>HYPERLINK("https://github.com/unfoldingWord-dev/ts-android/issues/947", "show")</f>
        <v>show</v>
      </c>
      <c r="G1081" t="str">
        <f>HYPERLINK("https://github.com/unfoldingWord-dev/ts-android", "show")</f>
        <v>show</v>
      </c>
      <c r="H1081" t="str">
        <f>HYPERLINK("https://github.com/unfoldingWord-dev/ts-android/releases", "show")</f>
        <v>show</v>
      </c>
      <c r="I1081">
        <v>1</v>
      </c>
      <c r="J1081">
        <v>0</v>
      </c>
      <c r="K1081">
        <v>0</v>
      </c>
      <c r="L1081">
        <v>0</v>
      </c>
      <c r="M1081" t="s">
        <v>17</v>
      </c>
    </row>
    <row r="1082" spans="1:13" hidden="1" x14ac:dyDescent="0.15">
      <c r="A1082" t="s">
        <v>3470</v>
      </c>
      <c r="B1082" t="s">
        <v>3471</v>
      </c>
      <c r="C1082" t="s">
        <v>3472</v>
      </c>
      <c r="D1082" t="s">
        <v>3473</v>
      </c>
      <c r="E1082">
        <v>36</v>
      </c>
      <c r="F1082" t="str">
        <f>HYPERLINK("https://github.com/microg/GmsCore/issues/51", "show")</f>
        <v>show</v>
      </c>
      <c r="G1082" t="str">
        <f>HYPERLINK("https://github.com/microg/GmsCore", "show")</f>
        <v>show</v>
      </c>
      <c r="H1082" t="str">
        <f>HYPERLINK("https://github.com/microg/GmsCore/releases", "show")</f>
        <v>show</v>
      </c>
      <c r="I1082">
        <v>0</v>
      </c>
      <c r="J1082">
        <v>1</v>
      </c>
      <c r="K1082">
        <v>1</v>
      </c>
      <c r="L1082">
        <v>0</v>
      </c>
      <c r="M1082" t="s">
        <v>699</v>
      </c>
    </row>
    <row r="1083" spans="1:13" hidden="1" x14ac:dyDescent="0.15">
      <c r="A1083" t="s">
        <v>3474</v>
      </c>
      <c r="B1083" t="s">
        <v>3475</v>
      </c>
      <c r="C1083" t="s">
        <v>3476</v>
      </c>
      <c r="D1083" t="s">
        <v>3473</v>
      </c>
      <c r="E1083">
        <v>7</v>
      </c>
      <c r="F1083" t="str">
        <f>HYPERLINK("https://github.com/OneBusAway/onebusaway-android/issues/348", "show")</f>
        <v>show</v>
      </c>
      <c r="G1083" t="str">
        <f>HYPERLINK("https://github.com/OneBusAway/onebusaway-android", "show")</f>
        <v>show</v>
      </c>
      <c r="H1083" t="str">
        <f>HYPERLINK("https://github.com/OneBusAway/onebusaway-android/releases", "show")</f>
        <v>show</v>
      </c>
      <c r="I1083">
        <v>1</v>
      </c>
      <c r="J1083">
        <v>0</v>
      </c>
      <c r="K1083">
        <v>0</v>
      </c>
      <c r="L1083">
        <v>0</v>
      </c>
      <c r="M1083" t="s">
        <v>17</v>
      </c>
    </row>
    <row r="1084" spans="1:13" hidden="1" x14ac:dyDescent="0.15">
      <c r="A1084" t="s">
        <v>3477</v>
      </c>
      <c r="B1084" t="s">
        <v>3478</v>
      </c>
      <c r="C1084" t="s">
        <v>3479</v>
      </c>
      <c r="D1084" t="s">
        <v>3473</v>
      </c>
      <c r="E1084">
        <v>40</v>
      </c>
      <c r="F1084" t="str">
        <f>HYPERLINK("https://github.com/eclipsesource/J2V8/issues/100", "show")</f>
        <v>show</v>
      </c>
      <c r="G1084" t="str">
        <f>HYPERLINK("https://github.com/eclipsesource/J2V8", "show")</f>
        <v>show</v>
      </c>
      <c r="H1084" t="str">
        <f>HYPERLINK("https://github.com/eclipsesource/J2V8/releases", "show")</f>
        <v>show</v>
      </c>
      <c r="I1084">
        <v>1</v>
      </c>
      <c r="J1084">
        <v>0</v>
      </c>
      <c r="K1084">
        <v>0</v>
      </c>
      <c r="L1084">
        <v>0</v>
      </c>
      <c r="M1084" t="s">
        <v>17</v>
      </c>
    </row>
    <row r="1085" spans="1:13" hidden="1" x14ac:dyDescent="0.15">
      <c r="A1085" t="s">
        <v>3480</v>
      </c>
      <c r="B1085" t="s">
        <v>3481</v>
      </c>
      <c r="C1085" t="s">
        <v>3482</v>
      </c>
      <c r="D1085" t="s">
        <v>3483</v>
      </c>
      <c r="E1085">
        <v>31</v>
      </c>
      <c r="F1085" t="str">
        <f>HYPERLINK("https://github.com/cSploit/android/issues/480", "show")</f>
        <v>show</v>
      </c>
      <c r="G1085" t="str">
        <f>HYPERLINK("https://github.com/cSploit/android", "show")</f>
        <v>show</v>
      </c>
      <c r="H1085" t="str">
        <f>HYPERLINK("https://github.com/cSploit/android/releases", "show")</f>
        <v>show</v>
      </c>
      <c r="I1085">
        <v>1</v>
      </c>
      <c r="J1085">
        <v>1</v>
      </c>
      <c r="K1085">
        <v>0</v>
      </c>
      <c r="L1085">
        <v>0</v>
      </c>
      <c r="M1085" t="s">
        <v>48</v>
      </c>
    </row>
    <row r="1086" spans="1:13" hidden="1" x14ac:dyDescent="0.15">
      <c r="A1086" t="s">
        <v>3484</v>
      </c>
      <c r="B1086" t="s">
        <v>3485</v>
      </c>
      <c r="C1086" t="s">
        <v>3486</v>
      </c>
      <c r="D1086" t="s">
        <v>3483</v>
      </c>
      <c r="E1086">
        <v>6</v>
      </c>
      <c r="F1086" t="str">
        <f>HYPERLINK("https://github.com/OneBusAway/onebusaway-android/issues/351", "show")</f>
        <v>show</v>
      </c>
      <c r="G1086" t="str">
        <f>HYPERLINK("https://github.com/OneBusAway/onebusaway-android", "show")</f>
        <v>show</v>
      </c>
      <c r="H1086" t="str">
        <f>HYPERLINK("https://github.com/OneBusAway/onebusaway-android/releases", "show")</f>
        <v>show</v>
      </c>
      <c r="I1086">
        <v>1</v>
      </c>
      <c r="J1086">
        <v>0</v>
      </c>
      <c r="K1086">
        <v>0</v>
      </c>
      <c r="L1086">
        <v>0</v>
      </c>
      <c r="M1086" t="s">
        <v>17</v>
      </c>
    </row>
    <row r="1087" spans="1:13" hidden="1" x14ac:dyDescent="0.15">
      <c r="A1087" t="s">
        <v>3487</v>
      </c>
      <c r="B1087" t="s">
        <v>3488</v>
      </c>
      <c r="C1087" t="s">
        <v>3489</v>
      </c>
      <c r="D1087" t="s">
        <v>3483</v>
      </c>
      <c r="E1087">
        <v>7</v>
      </c>
      <c r="F1087" t="str">
        <f>HYPERLINK("https://github.com/OneBusAway/onebusaway-android/issues/350", "show")</f>
        <v>show</v>
      </c>
      <c r="G1087" t="str">
        <f>HYPERLINK("https://github.com/OneBusAway/onebusaway-android", "show")</f>
        <v>show</v>
      </c>
      <c r="H1087" t="str">
        <f>HYPERLINK("https://github.com/OneBusAway/onebusaway-android/releases", "show")</f>
        <v>show</v>
      </c>
      <c r="I1087">
        <v>1</v>
      </c>
      <c r="J1087">
        <v>0</v>
      </c>
      <c r="K1087">
        <v>1</v>
      </c>
      <c r="L1087">
        <v>0</v>
      </c>
      <c r="M1087" t="s">
        <v>64</v>
      </c>
    </row>
    <row r="1088" spans="1:13" hidden="1" x14ac:dyDescent="0.15">
      <c r="A1088" t="s">
        <v>3490</v>
      </c>
      <c r="B1088" t="s">
        <v>3491</v>
      </c>
      <c r="C1088" t="s">
        <v>3492</v>
      </c>
      <c r="D1088" t="s">
        <v>3483</v>
      </c>
      <c r="E1088">
        <v>10</v>
      </c>
      <c r="F1088" t="str">
        <f>HYPERLINK("https://github.com/Bathlamos/RTDC/issues/116", "show")</f>
        <v>show</v>
      </c>
      <c r="G1088" t="str">
        <f>HYPERLINK("https://github.com/Bathlamos/RTDC", "show")</f>
        <v>show</v>
      </c>
      <c r="H1088" t="str">
        <f>HYPERLINK("https://github.com/Bathlamos/RTDC/releases", "show")</f>
        <v>show</v>
      </c>
      <c r="I1088">
        <v>1</v>
      </c>
      <c r="J1088">
        <v>0</v>
      </c>
      <c r="K1088">
        <v>0</v>
      </c>
      <c r="L1088">
        <v>0</v>
      </c>
      <c r="M1088" t="s">
        <v>17</v>
      </c>
    </row>
    <row r="1089" spans="1:13" hidden="1" x14ac:dyDescent="0.15">
      <c r="A1089" t="s">
        <v>3493</v>
      </c>
      <c r="B1089" t="s">
        <v>3494</v>
      </c>
      <c r="C1089" t="s">
        <v>3495</v>
      </c>
      <c r="D1089" t="s">
        <v>3483</v>
      </c>
      <c r="E1089">
        <v>3</v>
      </c>
      <c r="F1089" t="str">
        <f>HYPERLINK("https://github.com/Fleker/CumulusTV/issues/68", "show")</f>
        <v>show</v>
      </c>
      <c r="G1089" t="str">
        <f>HYPERLINK("https://github.com/Fleker/CumulusTV", "show")</f>
        <v>show</v>
      </c>
      <c r="H1089" t="str">
        <f>HYPERLINK("https://github.com/Fleker/CumulusTV/releases", "show")</f>
        <v>show</v>
      </c>
      <c r="I1089">
        <v>1</v>
      </c>
      <c r="J1089">
        <v>0</v>
      </c>
      <c r="K1089">
        <v>1</v>
      </c>
      <c r="L1089">
        <v>0</v>
      </c>
      <c r="M1089" t="s">
        <v>64</v>
      </c>
    </row>
    <row r="1090" spans="1:13" hidden="1" x14ac:dyDescent="0.15">
      <c r="A1090" t="s">
        <v>3496</v>
      </c>
      <c r="B1090" t="s">
        <v>3497</v>
      </c>
      <c r="C1090" t="s">
        <v>3498</v>
      </c>
      <c r="D1090" t="s">
        <v>3483</v>
      </c>
      <c r="E1090">
        <v>27</v>
      </c>
      <c r="F1090" t="str">
        <f>HYPERLINK("https://github.com/Fleker/CumulusTV/issues/66", "show")</f>
        <v>show</v>
      </c>
      <c r="G1090" t="str">
        <f>HYPERLINK("https://github.com/Fleker/CumulusTV", "show")</f>
        <v>show</v>
      </c>
      <c r="H1090" t="str">
        <f>HYPERLINK("https://github.com/Fleker/CumulusTV/releases", "show")</f>
        <v>show</v>
      </c>
      <c r="I1090">
        <v>1</v>
      </c>
      <c r="J1090">
        <v>0</v>
      </c>
      <c r="K1090">
        <v>0</v>
      </c>
      <c r="L1090">
        <v>0</v>
      </c>
      <c r="M1090" t="s">
        <v>17</v>
      </c>
    </row>
    <row r="1091" spans="1:13" hidden="1" x14ac:dyDescent="0.15">
      <c r="A1091" t="s">
        <v>3499</v>
      </c>
      <c r="B1091" t="s">
        <v>3500</v>
      </c>
      <c r="C1091" t="s">
        <v>3501</v>
      </c>
      <c r="D1091" t="s">
        <v>3502</v>
      </c>
      <c r="E1091">
        <v>3</v>
      </c>
      <c r="F1091" t="str">
        <f>HYPERLINK("https://github.com/fesch/CanZE/issues/157", "show")</f>
        <v>show</v>
      </c>
      <c r="G1091" t="str">
        <f>HYPERLINK("https://github.com/fesch/CanZE", "show")</f>
        <v>show</v>
      </c>
      <c r="H1091" t="str">
        <f>HYPERLINK("https://github.com/fesch/CanZE/releases", "show")</f>
        <v>show</v>
      </c>
      <c r="I1091">
        <v>1</v>
      </c>
      <c r="J1091">
        <v>0</v>
      </c>
      <c r="K1091">
        <v>0</v>
      </c>
      <c r="L1091">
        <v>0</v>
      </c>
      <c r="M1091" t="s">
        <v>17</v>
      </c>
    </row>
    <row r="1092" spans="1:13" hidden="1" x14ac:dyDescent="0.15">
      <c r="A1092" t="s">
        <v>3503</v>
      </c>
      <c r="B1092" t="s">
        <v>3504</v>
      </c>
      <c r="C1092" t="s">
        <v>3505</v>
      </c>
      <c r="D1092" t="s">
        <v>3506</v>
      </c>
      <c r="E1092">
        <v>33</v>
      </c>
      <c r="F1092" t="str">
        <f>HYPERLINK("https://github.com/ccrama/Slide/issues/328", "show")</f>
        <v>show</v>
      </c>
      <c r="G1092" t="str">
        <f>HYPERLINK("https://github.com/ccrama/Slide", "show")</f>
        <v>show</v>
      </c>
      <c r="H1092" t="str">
        <f>HYPERLINK("https://github.com/ccrama/Slide/releases", "show")</f>
        <v>show</v>
      </c>
      <c r="I1092">
        <v>0</v>
      </c>
      <c r="J1092">
        <v>0</v>
      </c>
      <c r="K1092">
        <v>1</v>
      </c>
      <c r="L1092">
        <v>0</v>
      </c>
      <c r="M1092" t="s">
        <v>122</v>
      </c>
    </row>
    <row r="1093" spans="1:13" hidden="1" x14ac:dyDescent="0.15">
      <c r="A1093" t="s">
        <v>3507</v>
      </c>
      <c r="B1093" t="s">
        <v>3508</v>
      </c>
      <c r="C1093" t="s">
        <v>3509</v>
      </c>
      <c r="D1093" t="s">
        <v>3506</v>
      </c>
      <c r="E1093">
        <v>200</v>
      </c>
      <c r="F1093" t="str">
        <f>HYPERLINK("https://github.com/Cloudkibo/Android/issues/77", "show")</f>
        <v>show</v>
      </c>
      <c r="G1093" t="str">
        <f>HYPERLINK("https://github.com/Cloudkibo/Android", "show")</f>
        <v>show</v>
      </c>
      <c r="H1093" t="str">
        <f>HYPERLINK("https://github.com/Cloudkibo/Android/releases", "show")</f>
        <v>show</v>
      </c>
      <c r="I1093">
        <v>1</v>
      </c>
      <c r="J1093">
        <v>0</v>
      </c>
      <c r="K1093">
        <v>0</v>
      </c>
      <c r="L1093">
        <v>0</v>
      </c>
      <c r="M1093" t="s">
        <v>17</v>
      </c>
    </row>
    <row r="1094" spans="1:13" hidden="1" x14ac:dyDescent="0.15">
      <c r="A1094" t="s">
        <v>3510</v>
      </c>
      <c r="B1094" t="s">
        <v>3511</v>
      </c>
      <c r="C1094" t="s">
        <v>3512</v>
      </c>
      <c r="D1094" t="s">
        <v>3506</v>
      </c>
      <c r="E1094">
        <v>33</v>
      </c>
      <c r="F1094" t="str">
        <f>HYPERLINK("https://github.com/ccrama/Slide/issues/322", "show")</f>
        <v>show</v>
      </c>
      <c r="G1094" t="str">
        <f>HYPERLINK("https://github.com/ccrama/Slide", "show")</f>
        <v>show</v>
      </c>
      <c r="H1094" t="str">
        <f>HYPERLINK("https://github.com/ccrama/Slide/releases", "show")</f>
        <v>show</v>
      </c>
      <c r="I1094">
        <v>1</v>
      </c>
      <c r="J1094">
        <v>0</v>
      </c>
      <c r="K1094">
        <v>1</v>
      </c>
      <c r="L1094">
        <v>0</v>
      </c>
      <c r="M1094" t="s">
        <v>64</v>
      </c>
    </row>
    <row r="1095" spans="1:13" hidden="1" x14ac:dyDescent="0.15">
      <c r="A1095" t="s">
        <v>3513</v>
      </c>
      <c r="B1095" t="s">
        <v>3514</v>
      </c>
      <c r="C1095" t="s">
        <v>3515</v>
      </c>
      <c r="D1095" t="s">
        <v>3506</v>
      </c>
      <c r="E1095">
        <v>43</v>
      </c>
      <c r="F1095" t="str">
        <f>HYPERLINK("https://github.com/chennaione/sugar/issues/413", "show")</f>
        <v>show</v>
      </c>
      <c r="G1095" t="str">
        <f>HYPERLINK("https://github.com/chennaione/sugar", "show")</f>
        <v>show</v>
      </c>
      <c r="H1095" t="str">
        <f>HYPERLINK("https://github.com/chennaione/sugar/releases", "show")</f>
        <v>show</v>
      </c>
      <c r="I1095">
        <v>1</v>
      </c>
      <c r="J1095">
        <v>0</v>
      </c>
      <c r="K1095">
        <v>0</v>
      </c>
      <c r="L1095">
        <v>0</v>
      </c>
      <c r="M1095" t="s">
        <v>17</v>
      </c>
    </row>
    <row r="1096" spans="1:13" hidden="1" x14ac:dyDescent="0.15">
      <c r="A1096" t="s">
        <v>3516</v>
      </c>
      <c r="B1096" t="s">
        <v>3517</v>
      </c>
      <c r="C1096" t="s">
        <v>3518</v>
      </c>
      <c r="D1096" t="s">
        <v>3506</v>
      </c>
      <c r="E1096">
        <v>20</v>
      </c>
      <c r="F1096" t="str">
        <f>HYPERLINK("https://github.com/haiwen/seadroid/issues/437", "show")</f>
        <v>show</v>
      </c>
      <c r="G1096" t="str">
        <f>HYPERLINK("https://github.com/haiwen/seadroid", "show")</f>
        <v>show</v>
      </c>
      <c r="H1096" t="str">
        <f>HYPERLINK("https://github.com/haiwen/seadroid/releases", "show")</f>
        <v>show</v>
      </c>
      <c r="I1096">
        <v>1</v>
      </c>
      <c r="J1096">
        <v>0</v>
      </c>
      <c r="K1096">
        <v>0</v>
      </c>
      <c r="L1096">
        <v>0</v>
      </c>
      <c r="M1096" t="s">
        <v>17</v>
      </c>
    </row>
    <row r="1097" spans="1:13" hidden="1" x14ac:dyDescent="0.15">
      <c r="A1097" t="s">
        <v>3519</v>
      </c>
      <c r="B1097" t="s">
        <v>3520</v>
      </c>
      <c r="D1097" t="s">
        <v>3506</v>
      </c>
      <c r="E1097">
        <v>0</v>
      </c>
      <c r="F1097" t="str">
        <f>HYPERLINK("https://github.com/itachi1706/SingBuses/issues/29", "show")</f>
        <v>show</v>
      </c>
      <c r="G1097" t="str">
        <f>HYPERLINK("https://github.com/itachi1706/SingBuses", "show")</f>
        <v>show</v>
      </c>
      <c r="H1097" t="str">
        <f>HYPERLINK("https://github.com/itachi1706/SingBuses/releases", "show")</f>
        <v>show</v>
      </c>
      <c r="I1097">
        <v>1</v>
      </c>
      <c r="J1097">
        <v>0</v>
      </c>
      <c r="K1097">
        <v>0</v>
      </c>
      <c r="L1097">
        <v>0</v>
      </c>
      <c r="M1097" t="s">
        <v>17</v>
      </c>
    </row>
    <row r="1098" spans="1:13" hidden="1" x14ac:dyDescent="0.15">
      <c r="A1098" t="s">
        <v>3521</v>
      </c>
      <c r="B1098" t="s">
        <v>3522</v>
      </c>
      <c r="C1098" t="s">
        <v>3523</v>
      </c>
      <c r="D1098" t="s">
        <v>3506</v>
      </c>
      <c r="E1098">
        <v>4</v>
      </c>
      <c r="F1098" t="str">
        <f>HYPERLINK("https://github.com/ccrama/Slide/issues/320", "show")</f>
        <v>show</v>
      </c>
      <c r="G1098" t="str">
        <f>HYPERLINK("https://github.com/ccrama/Slide", "show")</f>
        <v>show</v>
      </c>
      <c r="H1098" t="str">
        <f>HYPERLINK("https://github.com/ccrama/Slide/releases", "show")</f>
        <v>show</v>
      </c>
      <c r="I1098">
        <v>1</v>
      </c>
      <c r="J1098">
        <v>0</v>
      </c>
      <c r="K1098">
        <v>0</v>
      </c>
      <c r="L1098">
        <v>0</v>
      </c>
      <c r="M1098" t="s">
        <v>17</v>
      </c>
    </row>
    <row r="1099" spans="1:13" hidden="1" x14ac:dyDescent="0.15">
      <c r="A1099" t="s">
        <v>3524</v>
      </c>
      <c r="B1099" t="s">
        <v>3525</v>
      </c>
      <c r="C1099" t="s">
        <v>3526</v>
      </c>
      <c r="D1099" t="s">
        <v>3506</v>
      </c>
      <c r="E1099">
        <v>0</v>
      </c>
      <c r="F1099" t="str">
        <f>HYPERLINK("https://github.com/ccrama/Slide/issues/316", "show")</f>
        <v>show</v>
      </c>
      <c r="G1099" t="str">
        <f>HYPERLINK("https://github.com/ccrama/Slide", "show")</f>
        <v>show</v>
      </c>
      <c r="H1099" t="str">
        <f>HYPERLINK("https://github.com/ccrama/Slide/releases", "show")</f>
        <v>show</v>
      </c>
      <c r="I1099">
        <v>1</v>
      </c>
      <c r="J1099">
        <v>0</v>
      </c>
      <c r="K1099">
        <v>1</v>
      </c>
      <c r="L1099">
        <v>0</v>
      </c>
      <c r="M1099" t="s">
        <v>64</v>
      </c>
    </row>
    <row r="1100" spans="1:13" hidden="1" x14ac:dyDescent="0.15">
      <c r="A1100" t="s">
        <v>3527</v>
      </c>
      <c r="B1100" t="s">
        <v>3528</v>
      </c>
      <c r="C1100" t="s">
        <v>3529</v>
      </c>
      <c r="D1100" t="s">
        <v>3530</v>
      </c>
      <c r="E1100">
        <v>10</v>
      </c>
      <c r="F1100" t="str">
        <f>HYPERLINK("https://github.com/bumptech/glide/issues/722", "show")</f>
        <v>show</v>
      </c>
      <c r="G1100" t="str">
        <f>HYPERLINK("https://github.com/bumptech/glide", "show")</f>
        <v>show</v>
      </c>
      <c r="H1100" t="str">
        <f>HYPERLINK("https://github.com/bumptech/glide/releases", "show")</f>
        <v>show</v>
      </c>
      <c r="I1100">
        <v>0</v>
      </c>
      <c r="J1100">
        <v>0</v>
      </c>
      <c r="K1100">
        <v>1</v>
      </c>
      <c r="L1100">
        <v>0</v>
      </c>
      <c r="M1100" t="s">
        <v>122</v>
      </c>
    </row>
    <row r="1101" spans="1:13" hidden="1" x14ac:dyDescent="0.15">
      <c r="A1101" t="s">
        <v>3531</v>
      </c>
      <c r="B1101" t="s">
        <v>3532</v>
      </c>
      <c r="C1101" t="s">
        <v>3533</v>
      </c>
      <c r="D1101" t="s">
        <v>3530</v>
      </c>
      <c r="E1101">
        <v>4</v>
      </c>
      <c r="F1101" t="str">
        <f>HYPERLINK("https://github.com/ccrama/Slide/issues/343", "show")</f>
        <v>show</v>
      </c>
      <c r="G1101" t="str">
        <f>HYPERLINK("https://github.com/ccrama/Slide", "show")</f>
        <v>show</v>
      </c>
      <c r="H1101" t="str">
        <f>HYPERLINK("https://github.com/ccrama/Slide/releases", "show")</f>
        <v>show</v>
      </c>
      <c r="I1101">
        <v>0</v>
      </c>
      <c r="J1101">
        <v>0</v>
      </c>
      <c r="K1101">
        <v>1</v>
      </c>
      <c r="L1101">
        <v>0</v>
      </c>
      <c r="M1101" t="s">
        <v>122</v>
      </c>
    </row>
    <row r="1102" spans="1:13" hidden="1" x14ac:dyDescent="0.15">
      <c r="A1102" t="s">
        <v>3534</v>
      </c>
      <c r="B1102" t="s">
        <v>3535</v>
      </c>
      <c r="C1102" t="s">
        <v>3536</v>
      </c>
      <c r="D1102" t="s">
        <v>3530</v>
      </c>
      <c r="E1102">
        <v>30</v>
      </c>
      <c r="F1102" t="str">
        <f>HYPERLINK("https://github.com/ccrama/Slide/issues/341", "show")</f>
        <v>show</v>
      </c>
      <c r="G1102" t="str">
        <f>HYPERLINK("https://github.com/ccrama/Slide", "show")</f>
        <v>show</v>
      </c>
      <c r="H1102" t="str">
        <f>HYPERLINK("https://github.com/ccrama/Slide/releases", "show")</f>
        <v>show</v>
      </c>
      <c r="I1102">
        <v>1</v>
      </c>
      <c r="J1102">
        <v>1</v>
      </c>
      <c r="K1102">
        <v>0</v>
      </c>
      <c r="L1102">
        <v>0</v>
      </c>
      <c r="M1102" t="s">
        <v>48</v>
      </c>
    </row>
    <row r="1103" spans="1:13" hidden="1" x14ac:dyDescent="0.15">
      <c r="A1103" t="s">
        <v>3537</v>
      </c>
      <c r="B1103" t="s">
        <v>3538</v>
      </c>
      <c r="C1103" t="s">
        <v>3539</v>
      </c>
      <c r="D1103" t="s">
        <v>3530</v>
      </c>
      <c r="E1103">
        <v>1</v>
      </c>
      <c r="F1103" t="str">
        <f>HYPERLINK("https://github.com/alexvasilkov/GestureViews/issues/3", "show")</f>
        <v>show</v>
      </c>
      <c r="G1103" t="str">
        <f>HYPERLINK("https://github.com/alexvasilkov/GestureViews", "show")</f>
        <v>show</v>
      </c>
      <c r="H1103" t="str">
        <f>HYPERLINK("https://github.com/alexvasilkov/GestureViews/releases", "show")</f>
        <v>show</v>
      </c>
      <c r="I1103">
        <v>1</v>
      </c>
      <c r="J1103">
        <v>0</v>
      </c>
      <c r="K1103">
        <v>0</v>
      </c>
      <c r="L1103">
        <v>0</v>
      </c>
      <c r="M1103" t="s">
        <v>17</v>
      </c>
    </row>
    <row r="1104" spans="1:13" hidden="1" x14ac:dyDescent="0.15">
      <c r="A1104" t="s">
        <v>3540</v>
      </c>
      <c r="B1104" t="s">
        <v>3541</v>
      </c>
      <c r="D1104" t="s">
        <v>3530</v>
      </c>
      <c r="E1104">
        <v>1</v>
      </c>
      <c r="F1104" t="str">
        <f>HYPERLINK("https://github.com/fesch/CanZE/issues/168", "show")</f>
        <v>show</v>
      </c>
      <c r="G1104" t="str">
        <f>HYPERLINK("https://github.com/fesch/CanZE", "show")</f>
        <v>show</v>
      </c>
      <c r="H1104" t="str">
        <f>HYPERLINK("https://github.com/fesch/CanZE/releases", "show")</f>
        <v>show</v>
      </c>
      <c r="I1104">
        <v>1</v>
      </c>
      <c r="J1104">
        <v>0</v>
      </c>
      <c r="K1104">
        <v>0</v>
      </c>
      <c r="L1104">
        <v>0</v>
      </c>
      <c r="M1104" t="s">
        <v>17</v>
      </c>
    </row>
    <row r="1105" spans="1:13" hidden="1" x14ac:dyDescent="0.15">
      <c r="A1105" t="s">
        <v>3542</v>
      </c>
      <c r="B1105" t="s">
        <v>3543</v>
      </c>
      <c r="C1105" t="s">
        <v>3544</v>
      </c>
      <c r="D1105" t="s">
        <v>3530</v>
      </c>
      <c r="E1105">
        <v>2</v>
      </c>
      <c r="F1105" t="str">
        <f>HYPERLINK("https://github.com/h6ah4i/android-advancedrecyclerview/issues/142", "show")</f>
        <v>show</v>
      </c>
      <c r="G1105" t="str">
        <f>HYPERLINK("https://github.com/h6ah4i/android-advancedrecyclerview", "show")</f>
        <v>show</v>
      </c>
      <c r="H1105" t="str">
        <f>HYPERLINK("https://github.com/h6ah4i/android-advancedrecyclerview/releases", "show")</f>
        <v>show</v>
      </c>
      <c r="I1105">
        <v>1</v>
      </c>
      <c r="J1105">
        <v>0</v>
      </c>
      <c r="K1105">
        <v>1</v>
      </c>
      <c r="L1105">
        <v>0</v>
      </c>
      <c r="M1105" t="s">
        <v>64</v>
      </c>
    </row>
    <row r="1106" spans="1:13" hidden="1" x14ac:dyDescent="0.15">
      <c r="A1106" t="s">
        <v>3545</v>
      </c>
      <c r="B1106" t="s">
        <v>3546</v>
      </c>
      <c r="C1106" t="s">
        <v>3547</v>
      </c>
      <c r="D1106" t="s">
        <v>3530</v>
      </c>
      <c r="E1106">
        <v>35</v>
      </c>
      <c r="F1106" t="str">
        <f>HYPERLINK("https://github.com/ccrama/Slide/issues/339", "show")</f>
        <v>show</v>
      </c>
      <c r="G1106" t="str">
        <f>HYPERLINK("https://github.com/ccrama/Slide", "show")</f>
        <v>show</v>
      </c>
      <c r="H1106" t="str">
        <f>HYPERLINK("https://github.com/ccrama/Slide/releases", "show")</f>
        <v>show</v>
      </c>
      <c r="I1106">
        <v>0</v>
      </c>
      <c r="J1106">
        <v>0</v>
      </c>
      <c r="K1106">
        <v>1</v>
      </c>
      <c r="L1106">
        <v>0</v>
      </c>
      <c r="M1106" t="s">
        <v>122</v>
      </c>
    </row>
    <row r="1107" spans="1:13" hidden="1" x14ac:dyDescent="0.15">
      <c r="A1107" t="s">
        <v>3548</v>
      </c>
      <c r="B1107" t="s">
        <v>3549</v>
      </c>
      <c r="C1107" t="s">
        <v>3550</v>
      </c>
      <c r="D1107" t="s">
        <v>3530</v>
      </c>
      <c r="E1107">
        <v>0</v>
      </c>
      <c r="F1107" t="str">
        <f>HYPERLINK("https://github.com/ccrama/Slide/issues/338", "show")</f>
        <v>show</v>
      </c>
      <c r="G1107" t="str">
        <f>HYPERLINK("https://github.com/ccrama/Slide", "show")</f>
        <v>show</v>
      </c>
      <c r="H1107" t="str">
        <f>HYPERLINK("https://github.com/ccrama/Slide/releases", "show")</f>
        <v>show</v>
      </c>
      <c r="I1107">
        <v>0</v>
      </c>
      <c r="J1107">
        <v>0</v>
      </c>
      <c r="K1107">
        <v>1</v>
      </c>
      <c r="L1107">
        <v>0</v>
      </c>
      <c r="M1107" t="s">
        <v>122</v>
      </c>
    </row>
    <row r="1108" spans="1:13" hidden="1" x14ac:dyDescent="0.15">
      <c r="A1108" t="s">
        <v>3551</v>
      </c>
      <c r="B1108" t="s">
        <v>3552</v>
      </c>
      <c r="C1108" t="s">
        <v>3553</v>
      </c>
      <c r="D1108" t="s">
        <v>3554</v>
      </c>
      <c r="E1108">
        <v>31</v>
      </c>
      <c r="F1108" t="str">
        <f>HYPERLINK("https://github.com/microg/GmsCore/issues/55", "show")</f>
        <v>show</v>
      </c>
      <c r="G1108" t="str">
        <f>HYPERLINK("https://github.com/microg/GmsCore", "show")</f>
        <v>show</v>
      </c>
      <c r="H1108" t="str">
        <f>HYPERLINK("https://github.com/microg/GmsCore/releases", "show")</f>
        <v>show</v>
      </c>
      <c r="I1108">
        <v>0</v>
      </c>
      <c r="J1108">
        <v>0</v>
      </c>
      <c r="K1108">
        <v>0</v>
      </c>
      <c r="L1108">
        <v>0</v>
      </c>
      <c r="M1108" t="s">
        <v>43</v>
      </c>
    </row>
    <row r="1109" spans="1:13" hidden="1" x14ac:dyDescent="0.15">
      <c r="A1109" t="s">
        <v>3555</v>
      </c>
      <c r="B1109" t="s">
        <v>3556</v>
      </c>
      <c r="C1109" t="s">
        <v>3557</v>
      </c>
      <c r="D1109" t="s">
        <v>3554</v>
      </c>
      <c r="E1109">
        <v>30</v>
      </c>
      <c r="F1109" t="str">
        <f>HYPERLINK("https://github.com/ongakuer/CircleIndicator/issues/36", "show")</f>
        <v>show</v>
      </c>
      <c r="G1109" t="str">
        <f>HYPERLINK("https://github.com/ongakuer/CircleIndicator", "show")</f>
        <v>show</v>
      </c>
      <c r="H1109" t="str">
        <f>HYPERLINK("https://github.com/ongakuer/CircleIndicator/releases", "show")</f>
        <v>show</v>
      </c>
      <c r="I1109">
        <v>1</v>
      </c>
      <c r="J1109">
        <v>0</v>
      </c>
      <c r="K1109">
        <v>0</v>
      </c>
      <c r="L1109">
        <v>0</v>
      </c>
      <c r="M1109" t="s">
        <v>17</v>
      </c>
    </row>
    <row r="1110" spans="1:13" hidden="1" x14ac:dyDescent="0.15">
      <c r="A1110" t="s">
        <v>3558</v>
      </c>
      <c r="B1110" t="s">
        <v>3559</v>
      </c>
      <c r="C1110" t="s">
        <v>3560</v>
      </c>
      <c r="D1110" t="s">
        <v>3561</v>
      </c>
      <c r="E1110">
        <v>0</v>
      </c>
      <c r="F1110" t="str">
        <f>HYPERLINK("https://github.com/Automattic/Automattic-Tracks-Android/issues/23", "show")</f>
        <v>show</v>
      </c>
      <c r="G1110" t="str">
        <f>HYPERLINK("https://github.com/Automattic/Automattic-Tracks-Android", "show")</f>
        <v>show</v>
      </c>
      <c r="H1110" t="str">
        <f>HYPERLINK("https://github.com/Automattic/Automattic-Tracks-Android/releases", "show")</f>
        <v>show</v>
      </c>
      <c r="I1110">
        <v>1</v>
      </c>
      <c r="J1110">
        <v>0</v>
      </c>
      <c r="K1110">
        <v>0</v>
      </c>
      <c r="L1110">
        <v>0</v>
      </c>
      <c r="M1110" t="s">
        <v>17</v>
      </c>
    </row>
    <row r="1111" spans="1:13" hidden="1" x14ac:dyDescent="0.15">
      <c r="A1111" t="s">
        <v>3562</v>
      </c>
      <c r="B1111" t="s">
        <v>3563</v>
      </c>
      <c r="C1111" t="s">
        <v>3564</v>
      </c>
      <c r="D1111" t="s">
        <v>3561</v>
      </c>
      <c r="E1111">
        <v>0</v>
      </c>
      <c r="F1111" t="str">
        <f>HYPERLINK("https://github.com/marverenic/Jockey/issues/28", "show")</f>
        <v>show</v>
      </c>
      <c r="G1111" t="str">
        <f>HYPERLINK("https://github.com/marverenic/Jockey", "show")</f>
        <v>show</v>
      </c>
      <c r="H1111" t="str">
        <f>HYPERLINK("https://github.com/marverenic/Jockey/releases", "show")</f>
        <v>show</v>
      </c>
      <c r="I1111">
        <v>1</v>
      </c>
      <c r="J1111">
        <v>0</v>
      </c>
      <c r="K1111">
        <v>0</v>
      </c>
      <c r="L1111">
        <v>1</v>
      </c>
      <c r="M1111" t="s">
        <v>29</v>
      </c>
    </row>
    <row r="1112" spans="1:13" hidden="1" x14ac:dyDescent="0.15">
      <c r="A1112" t="s">
        <v>3565</v>
      </c>
      <c r="B1112" t="s">
        <v>3566</v>
      </c>
      <c r="C1112" t="s">
        <v>3567</v>
      </c>
      <c r="D1112" t="s">
        <v>3568</v>
      </c>
      <c r="E1112">
        <v>0</v>
      </c>
      <c r="F1112" t="str">
        <f>HYPERLINK("https://github.com/IBM-MIL/IBM-Ready-App-for-Telecommunications/issues/9", "show")</f>
        <v>show</v>
      </c>
      <c r="G1112" t="str">
        <f>HYPERLINK("https://github.com/IBM-MIL/IBM-Ready-App-for-Telecommunications", "show")</f>
        <v>show</v>
      </c>
      <c r="H1112" t="str">
        <f>HYPERLINK("https://github.com/IBM-MIL/IBM-Ready-App-for-Telecommunications/releases", "show")</f>
        <v>show</v>
      </c>
      <c r="I1112">
        <v>1</v>
      </c>
      <c r="J1112">
        <v>1</v>
      </c>
      <c r="K1112">
        <v>0</v>
      </c>
      <c r="L1112">
        <v>0</v>
      </c>
      <c r="M1112" t="s">
        <v>48</v>
      </c>
    </row>
    <row r="1113" spans="1:13" hidden="1" x14ac:dyDescent="0.15">
      <c r="A1113" t="s">
        <v>3569</v>
      </c>
      <c r="B1113" t="s">
        <v>3570</v>
      </c>
      <c r="C1113" t="s">
        <v>3571</v>
      </c>
      <c r="D1113" t="s">
        <v>3568</v>
      </c>
      <c r="E1113">
        <v>42</v>
      </c>
      <c r="F1113" t="str">
        <f>HYPERLINK("https://github.com/orhanobut/hawk/issues/103", "show")</f>
        <v>show</v>
      </c>
      <c r="G1113" t="str">
        <f>HYPERLINK("https://github.com/orhanobut/hawk", "show")</f>
        <v>show</v>
      </c>
      <c r="H1113" t="str">
        <f>HYPERLINK("https://github.com/orhanobut/hawk/releases", "show")</f>
        <v>show</v>
      </c>
      <c r="I1113">
        <v>0</v>
      </c>
      <c r="J1113">
        <v>0</v>
      </c>
      <c r="K1113">
        <v>0</v>
      </c>
      <c r="L1113">
        <v>0</v>
      </c>
      <c r="M1113" t="s">
        <v>43</v>
      </c>
    </row>
    <row r="1114" spans="1:13" hidden="1" x14ac:dyDescent="0.15">
      <c r="A1114" t="s">
        <v>3572</v>
      </c>
      <c r="B1114" t="s">
        <v>3573</v>
      </c>
      <c r="C1114" t="s">
        <v>3574</v>
      </c>
      <c r="D1114" t="s">
        <v>3568</v>
      </c>
      <c r="E1114">
        <v>66</v>
      </c>
      <c r="F1114" t="str">
        <f>HYPERLINK("https://github.com/moneymanagerex/android-money-manager-ex/issues/608", "show")</f>
        <v>show</v>
      </c>
      <c r="G1114" t="str">
        <f>HYPERLINK("https://github.com/moneymanagerex/android-money-manager-ex", "show")</f>
        <v>show</v>
      </c>
      <c r="H1114" t="str">
        <f>HYPERLINK("https://github.com/moneymanagerex/android-money-manager-ex/releases", "show")</f>
        <v>show</v>
      </c>
      <c r="I1114">
        <v>1</v>
      </c>
      <c r="J1114">
        <v>0</v>
      </c>
      <c r="K1114">
        <v>1</v>
      </c>
      <c r="L1114">
        <v>0</v>
      </c>
      <c r="M1114" t="s">
        <v>64</v>
      </c>
    </row>
    <row r="1115" spans="1:13" hidden="1" x14ac:dyDescent="0.15">
      <c r="A1115" t="s">
        <v>3575</v>
      </c>
      <c r="B1115" t="s">
        <v>3576</v>
      </c>
      <c r="C1115" t="s">
        <v>3577</v>
      </c>
      <c r="D1115" t="s">
        <v>3568</v>
      </c>
      <c r="E1115">
        <v>18</v>
      </c>
      <c r="F1115" t="str">
        <f>HYPERLINK("https://github.com/h6ah4i/android-advancedrecyclerview/issues/145", "show")</f>
        <v>show</v>
      </c>
      <c r="G1115" t="str">
        <f>HYPERLINK("https://github.com/h6ah4i/android-advancedrecyclerview", "show")</f>
        <v>show</v>
      </c>
      <c r="H1115" t="str">
        <f>HYPERLINK("https://github.com/h6ah4i/android-advancedrecyclerview/releases", "show")</f>
        <v>show</v>
      </c>
      <c r="I1115">
        <v>1</v>
      </c>
      <c r="J1115">
        <v>0</v>
      </c>
      <c r="K1115">
        <v>1</v>
      </c>
      <c r="L1115">
        <v>0</v>
      </c>
      <c r="M1115" t="s">
        <v>64</v>
      </c>
    </row>
    <row r="1116" spans="1:13" hidden="1" x14ac:dyDescent="0.15">
      <c r="A1116" t="s">
        <v>3578</v>
      </c>
      <c r="B1116" t="s">
        <v>3579</v>
      </c>
      <c r="C1116" t="s">
        <v>3580</v>
      </c>
      <c r="D1116" t="s">
        <v>3568</v>
      </c>
      <c r="E1116">
        <v>1</v>
      </c>
      <c r="F1116" t="str">
        <f>HYPERLINK("https://github.com/ccrama/Slide/issues/364", "show")</f>
        <v>show</v>
      </c>
      <c r="G1116" t="str">
        <f>HYPERLINK("https://github.com/ccrama/Slide", "show")</f>
        <v>show</v>
      </c>
      <c r="H1116" t="str">
        <f>HYPERLINK("https://github.com/ccrama/Slide/releases", "show")</f>
        <v>show</v>
      </c>
      <c r="I1116">
        <v>1</v>
      </c>
      <c r="J1116">
        <v>0</v>
      </c>
      <c r="K1116">
        <v>1</v>
      </c>
      <c r="L1116">
        <v>0</v>
      </c>
      <c r="M1116" t="s">
        <v>64</v>
      </c>
    </row>
    <row r="1117" spans="1:13" hidden="1" x14ac:dyDescent="0.15">
      <c r="A1117" t="s">
        <v>3581</v>
      </c>
      <c r="B1117" t="s">
        <v>3582</v>
      </c>
      <c r="C1117" t="s">
        <v>3583</v>
      </c>
      <c r="D1117" t="s">
        <v>3584</v>
      </c>
      <c r="E1117">
        <v>9</v>
      </c>
      <c r="F1117" t="str">
        <f>HYPERLINK("https://github.com/SubstanceMobile/GEM/issues/20", "show")</f>
        <v>show</v>
      </c>
      <c r="G1117" t="str">
        <f>HYPERLINK("https://github.com/SubstanceMobile/GEM", "show")</f>
        <v>show</v>
      </c>
      <c r="H1117" t="str">
        <f>HYPERLINK("https://github.com/SubstanceMobile/GEM/releases", "show")</f>
        <v>show</v>
      </c>
      <c r="I1117">
        <v>1</v>
      </c>
      <c r="J1117">
        <v>0</v>
      </c>
      <c r="K1117">
        <v>0</v>
      </c>
      <c r="L1117">
        <v>0</v>
      </c>
      <c r="M1117" t="s">
        <v>17</v>
      </c>
    </row>
    <row r="1118" spans="1:13" hidden="1" x14ac:dyDescent="0.15">
      <c r="A1118" t="s">
        <v>3585</v>
      </c>
      <c r="B1118" t="s">
        <v>3586</v>
      </c>
      <c r="C1118" t="s">
        <v>3587</v>
      </c>
      <c r="D1118" t="s">
        <v>3584</v>
      </c>
      <c r="E1118">
        <v>61</v>
      </c>
      <c r="F1118" t="str">
        <f>HYPERLINK("https://github.com/ccrama/Slide/issues/381", "show")</f>
        <v>show</v>
      </c>
      <c r="G1118" t="str">
        <f>HYPERLINK("https://github.com/ccrama/Slide", "show")</f>
        <v>show</v>
      </c>
      <c r="H1118" t="str">
        <f>HYPERLINK("https://github.com/ccrama/Slide/releases", "show")</f>
        <v>show</v>
      </c>
      <c r="I1118">
        <v>1</v>
      </c>
      <c r="J1118">
        <v>0</v>
      </c>
      <c r="K1118">
        <v>1</v>
      </c>
      <c r="L1118">
        <v>0</v>
      </c>
      <c r="M1118" t="s">
        <v>64</v>
      </c>
    </row>
    <row r="1119" spans="1:13" hidden="1" x14ac:dyDescent="0.15">
      <c r="A1119" t="s">
        <v>3588</v>
      </c>
      <c r="B1119" t="s">
        <v>3589</v>
      </c>
      <c r="C1119" t="s">
        <v>3590</v>
      </c>
      <c r="D1119" t="s">
        <v>3584</v>
      </c>
      <c r="E1119">
        <v>0</v>
      </c>
      <c r="F1119" t="str">
        <f>HYPERLINK("https://github.com/dimagi/commcare-android/issues/783", "show")</f>
        <v>show</v>
      </c>
      <c r="G1119" t="str">
        <f>HYPERLINK("https://github.com/dimagi/commcare-android", "show")</f>
        <v>show</v>
      </c>
      <c r="H1119" t="str">
        <f>HYPERLINK("https://github.com/dimagi/commcare-android/releases", "show")</f>
        <v>show</v>
      </c>
      <c r="I1119">
        <v>1</v>
      </c>
      <c r="J1119">
        <v>0</v>
      </c>
      <c r="K1119">
        <v>0</v>
      </c>
      <c r="L1119">
        <v>0</v>
      </c>
      <c r="M1119" t="s">
        <v>17</v>
      </c>
    </row>
    <row r="1120" spans="1:13" hidden="1" x14ac:dyDescent="0.15">
      <c r="A1120" t="s">
        <v>3591</v>
      </c>
      <c r="B1120" t="s">
        <v>3592</v>
      </c>
      <c r="C1120" t="s">
        <v>3593</v>
      </c>
      <c r="D1120" t="s">
        <v>3584</v>
      </c>
      <c r="E1120">
        <v>4</v>
      </c>
      <c r="F1120" t="str">
        <f>HYPERLINK("https://github.com/SCCapstone/5chords/issues/17", "show")</f>
        <v>show</v>
      </c>
      <c r="G1120" t="str">
        <f>HYPERLINK("https://github.com/SCCapstone/5chords", "show")</f>
        <v>show</v>
      </c>
      <c r="H1120" t="str">
        <f>HYPERLINK("https://github.com/SCCapstone/5chords/releases", "show")</f>
        <v>show</v>
      </c>
      <c r="I1120">
        <v>1</v>
      </c>
      <c r="J1120">
        <v>0</v>
      </c>
      <c r="K1120">
        <v>0</v>
      </c>
      <c r="L1120">
        <v>0</v>
      </c>
      <c r="M1120" t="s">
        <v>17</v>
      </c>
    </row>
    <row r="1121" spans="1:13" hidden="1" x14ac:dyDescent="0.15">
      <c r="A1121" t="s">
        <v>3594</v>
      </c>
      <c r="B1121" t="s">
        <v>3595</v>
      </c>
      <c r="C1121" t="s">
        <v>3596</v>
      </c>
      <c r="D1121" t="s">
        <v>3584</v>
      </c>
      <c r="E1121">
        <v>85</v>
      </c>
      <c r="F1121" t="str">
        <f>HYPERLINK("https://github.com/SubstanceMobile/GEM/issues/19", "show")</f>
        <v>show</v>
      </c>
      <c r="G1121" t="str">
        <f>HYPERLINK("https://github.com/SubstanceMobile/GEM", "show")</f>
        <v>show</v>
      </c>
      <c r="H1121" t="str">
        <f>HYPERLINK("https://github.com/SubstanceMobile/GEM/releases", "show")</f>
        <v>show</v>
      </c>
      <c r="I1121">
        <v>1</v>
      </c>
      <c r="J1121">
        <v>0</v>
      </c>
      <c r="K1121">
        <v>0</v>
      </c>
      <c r="L1121">
        <v>0</v>
      </c>
      <c r="M1121" t="s">
        <v>17</v>
      </c>
    </row>
    <row r="1122" spans="1:13" hidden="1" x14ac:dyDescent="0.15">
      <c r="A1122" t="s">
        <v>3597</v>
      </c>
      <c r="B1122" t="s">
        <v>3598</v>
      </c>
      <c r="C1122" t="s">
        <v>3599</v>
      </c>
      <c r="D1122" t="s">
        <v>3600</v>
      </c>
      <c r="E1122">
        <v>1</v>
      </c>
      <c r="F1122" t="str">
        <f>HYPERLINK("https://github.com/ccrama/Slide/issues/423", "show")</f>
        <v>show</v>
      </c>
      <c r="G1122" t="str">
        <f>HYPERLINK("https://github.com/ccrama/Slide", "show")</f>
        <v>show</v>
      </c>
      <c r="H1122" t="str">
        <f>HYPERLINK("https://github.com/ccrama/Slide/releases", "show")</f>
        <v>show</v>
      </c>
      <c r="I1122">
        <v>1</v>
      </c>
      <c r="J1122">
        <v>0</v>
      </c>
      <c r="K1122">
        <v>0</v>
      </c>
      <c r="L1122">
        <v>0</v>
      </c>
      <c r="M1122" t="s">
        <v>17</v>
      </c>
    </row>
    <row r="1123" spans="1:13" hidden="1" x14ac:dyDescent="0.15">
      <c r="A1123" t="s">
        <v>3601</v>
      </c>
      <c r="B1123" t="s">
        <v>3602</v>
      </c>
      <c r="C1123" t="s">
        <v>3603</v>
      </c>
      <c r="D1123" t="s">
        <v>3600</v>
      </c>
      <c r="E1123">
        <v>1</v>
      </c>
      <c r="F1123" t="str">
        <f>HYPERLINK("https://github.com/ccrama/Slide/issues/422", "show")</f>
        <v>show</v>
      </c>
      <c r="G1123" t="str">
        <f>HYPERLINK("https://github.com/ccrama/Slide", "show")</f>
        <v>show</v>
      </c>
      <c r="H1123" t="str">
        <f>HYPERLINK("https://github.com/ccrama/Slide/releases", "show")</f>
        <v>show</v>
      </c>
      <c r="I1123">
        <v>1</v>
      </c>
      <c r="J1123">
        <v>0</v>
      </c>
      <c r="K1123">
        <v>0</v>
      </c>
      <c r="L1123">
        <v>0</v>
      </c>
      <c r="M1123" t="s">
        <v>17</v>
      </c>
    </row>
    <row r="1124" spans="1:13" hidden="1" x14ac:dyDescent="0.15">
      <c r="A1124" t="s">
        <v>3604</v>
      </c>
      <c r="B1124" t="s">
        <v>3605</v>
      </c>
      <c r="C1124" t="s">
        <v>3606</v>
      </c>
      <c r="D1124" t="s">
        <v>3600</v>
      </c>
      <c r="E1124">
        <v>1</v>
      </c>
      <c r="F1124" t="str">
        <f>HYPERLINK("https://github.com/ccrama/Slide/issues/416", "show")</f>
        <v>show</v>
      </c>
      <c r="G1124" t="str">
        <f>HYPERLINK("https://github.com/ccrama/Slide", "show")</f>
        <v>show</v>
      </c>
      <c r="H1124" t="str">
        <f>HYPERLINK("https://github.com/ccrama/Slide/releases", "show")</f>
        <v>show</v>
      </c>
      <c r="I1124">
        <v>1</v>
      </c>
      <c r="J1124">
        <v>0</v>
      </c>
      <c r="K1124">
        <v>0</v>
      </c>
      <c r="L1124">
        <v>0</v>
      </c>
      <c r="M1124" t="s">
        <v>17</v>
      </c>
    </row>
    <row r="1125" spans="1:13" hidden="1" x14ac:dyDescent="0.15">
      <c r="A1125" t="s">
        <v>3607</v>
      </c>
      <c r="B1125" t="s">
        <v>3608</v>
      </c>
      <c r="C1125" t="s">
        <v>3609</v>
      </c>
      <c r="D1125" t="s">
        <v>3600</v>
      </c>
      <c r="E1125">
        <v>0</v>
      </c>
      <c r="F1125" t="str">
        <f>HYPERLINK("https://github.com/ccrama/Slide/issues/399", "show")</f>
        <v>show</v>
      </c>
      <c r="G1125" t="str">
        <f>HYPERLINK("https://github.com/ccrama/Slide", "show")</f>
        <v>show</v>
      </c>
      <c r="H1125" t="str">
        <f>HYPERLINK("https://github.com/ccrama/Slide/releases", "show")</f>
        <v>show</v>
      </c>
      <c r="I1125">
        <v>1</v>
      </c>
      <c r="J1125">
        <v>0</v>
      </c>
      <c r="K1125">
        <v>1</v>
      </c>
      <c r="L1125">
        <v>0</v>
      </c>
      <c r="M1125" t="s">
        <v>64</v>
      </c>
    </row>
    <row r="1126" spans="1:13" hidden="1" x14ac:dyDescent="0.15">
      <c r="A1126" t="s">
        <v>3610</v>
      </c>
      <c r="B1126" t="s">
        <v>3611</v>
      </c>
      <c r="C1126" t="s">
        <v>3612</v>
      </c>
      <c r="D1126" t="s">
        <v>3600</v>
      </c>
      <c r="E1126">
        <v>84</v>
      </c>
      <c r="F1126" t="str">
        <f>HYPERLINK("https://github.com/square/okhttp/issues/1978", "show")</f>
        <v>show</v>
      </c>
      <c r="G1126" t="str">
        <f>HYPERLINK("https://github.com/square/okhttp", "show")</f>
        <v>show</v>
      </c>
      <c r="H1126" t="str">
        <f>HYPERLINK("https://github.com/square/okhttp/releases", "show")</f>
        <v>show</v>
      </c>
      <c r="I1126">
        <v>1</v>
      </c>
      <c r="J1126">
        <v>0</v>
      </c>
      <c r="K1126">
        <v>0</v>
      </c>
      <c r="L1126">
        <v>0</v>
      </c>
      <c r="M1126" t="s">
        <v>17</v>
      </c>
    </row>
    <row r="1127" spans="1:13" hidden="1" x14ac:dyDescent="0.15">
      <c r="A1127" t="s">
        <v>3613</v>
      </c>
      <c r="B1127" t="s">
        <v>3614</v>
      </c>
      <c r="C1127" t="s">
        <v>3615</v>
      </c>
      <c r="D1127" t="s">
        <v>3600</v>
      </c>
      <c r="E1127">
        <v>5</v>
      </c>
      <c r="F1127" t="str">
        <f>HYPERLINK("https://github.com/kentsay/Zurich-Velo-Challenge/issues/21", "show")</f>
        <v>show</v>
      </c>
      <c r="G1127" t="str">
        <f>HYPERLINK("https://github.com/kentsay/Zurich-Velo-Challenge", "show")</f>
        <v>show</v>
      </c>
      <c r="H1127" t="str">
        <f>HYPERLINK("https://github.com/kentsay/Zurich-Velo-Challenge/releases", "show")</f>
        <v>show</v>
      </c>
      <c r="I1127">
        <v>1</v>
      </c>
      <c r="J1127">
        <v>0</v>
      </c>
      <c r="K1127">
        <v>0</v>
      </c>
      <c r="L1127">
        <v>0</v>
      </c>
      <c r="M1127" t="s">
        <v>17</v>
      </c>
    </row>
    <row r="1128" spans="1:13" hidden="1" x14ac:dyDescent="0.15">
      <c r="A1128" t="s">
        <v>3616</v>
      </c>
      <c r="B1128" t="s">
        <v>3617</v>
      </c>
      <c r="C1128" t="s">
        <v>3618</v>
      </c>
      <c r="D1128" t="s">
        <v>3600</v>
      </c>
      <c r="E1128">
        <v>0</v>
      </c>
      <c r="F1128" t="str">
        <f>HYPERLINK("https://github.com/ccrama/Slide/issues/392", "show")</f>
        <v>show</v>
      </c>
      <c r="G1128" t="str">
        <f>HYPERLINK("https://github.com/ccrama/Slide", "show")</f>
        <v>show</v>
      </c>
      <c r="H1128" t="str">
        <f>HYPERLINK("https://github.com/ccrama/Slide/releases", "show")</f>
        <v>show</v>
      </c>
      <c r="I1128">
        <v>1</v>
      </c>
      <c r="J1128">
        <v>0</v>
      </c>
      <c r="K1128">
        <v>0</v>
      </c>
      <c r="L1128">
        <v>0</v>
      </c>
      <c r="M1128" t="s">
        <v>17</v>
      </c>
    </row>
    <row r="1129" spans="1:13" hidden="1" x14ac:dyDescent="0.15">
      <c r="A1129" t="s">
        <v>3619</v>
      </c>
      <c r="B1129" t="s">
        <v>3620</v>
      </c>
      <c r="C1129" t="s">
        <v>3621</v>
      </c>
      <c r="D1129" t="s">
        <v>3600</v>
      </c>
      <c r="E1129">
        <v>11</v>
      </c>
      <c r="F1129" t="str">
        <f>HYPERLINK("https://github.com/ccrama/Slide/issues/390", "show")</f>
        <v>show</v>
      </c>
      <c r="G1129" t="str">
        <f>HYPERLINK("https://github.com/ccrama/Slide", "show")</f>
        <v>show</v>
      </c>
      <c r="H1129" t="str">
        <f>HYPERLINK("https://github.com/ccrama/Slide/releases", "show")</f>
        <v>show</v>
      </c>
      <c r="I1129">
        <v>1</v>
      </c>
      <c r="J1129">
        <v>0</v>
      </c>
      <c r="K1129">
        <v>0</v>
      </c>
      <c r="L1129">
        <v>0</v>
      </c>
      <c r="M1129" t="s">
        <v>17</v>
      </c>
    </row>
    <row r="1130" spans="1:13" hidden="1" x14ac:dyDescent="0.15">
      <c r="A1130" t="s">
        <v>3622</v>
      </c>
      <c r="B1130" t="s">
        <v>3623</v>
      </c>
      <c r="C1130" t="s">
        <v>3624</v>
      </c>
      <c r="D1130" t="s">
        <v>3600</v>
      </c>
      <c r="E1130">
        <v>27</v>
      </c>
      <c r="F1130" t="str">
        <f>HYPERLINK("https://github.com/ccrama/Slide/issues/389", "show")</f>
        <v>show</v>
      </c>
      <c r="G1130" t="str">
        <f>HYPERLINK("https://github.com/ccrama/Slide", "show")</f>
        <v>show</v>
      </c>
      <c r="H1130" t="str">
        <f>HYPERLINK("https://github.com/ccrama/Slide/releases", "show")</f>
        <v>show</v>
      </c>
      <c r="I1130">
        <v>1</v>
      </c>
      <c r="J1130">
        <v>0</v>
      </c>
      <c r="K1130">
        <v>0</v>
      </c>
      <c r="L1130">
        <v>0</v>
      </c>
      <c r="M1130" t="s">
        <v>17</v>
      </c>
    </row>
    <row r="1131" spans="1:13" hidden="1" x14ac:dyDescent="0.15">
      <c r="A1131" t="s">
        <v>3625</v>
      </c>
      <c r="B1131" t="s">
        <v>3626</v>
      </c>
      <c r="C1131" t="s">
        <v>3627</v>
      </c>
      <c r="D1131" t="s">
        <v>3628</v>
      </c>
      <c r="E1131">
        <v>3</v>
      </c>
      <c r="F1131" t="str">
        <f>HYPERLINK("https://github.com/Mnkai/PGPClipper/issues/6", "show")</f>
        <v>show</v>
      </c>
      <c r="G1131" t="str">
        <f>HYPERLINK("https://github.com/Mnkai/PGPClipper", "show")</f>
        <v>show</v>
      </c>
      <c r="H1131" t="str">
        <f>HYPERLINK("https://github.com/Mnkai/PGPClipper/releases", "show")</f>
        <v>show</v>
      </c>
      <c r="I1131">
        <v>1</v>
      </c>
      <c r="J1131">
        <v>0</v>
      </c>
      <c r="K1131">
        <v>0</v>
      </c>
      <c r="L1131">
        <v>0</v>
      </c>
      <c r="M1131" t="s">
        <v>17</v>
      </c>
    </row>
    <row r="1132" spans="1:13" hidden="1" x14ac:dyDescent="0.15">
      <c r="A1132" t="s">
        <v>3629</v>
      </c>
      <c r="B1132" t="s">
        <v>3630</v>
      </c>
      <c r="C1132" t="s">
        <v>3631</v>
      </c>
      <c r="D1132" t="s">
        <v>3628</v>
      </c>
      <c r="E1132">
        <v>65</v>
      </c>
      <c r="F1132" t="str">
        <f>HYPERLINK("https://github.com/ccrama/Slide/issues/469", "show")</f>
        <v>show</v>
      </c>
      <c r="G1132" t="str">
        <f>HYPERLINK("https://github.com/ccrama/Slide", "show")</f>
        <v>show</v>
      </c>
      <c r="H1132" t="str">
        <f>HYPERLINK("https://github.com/ccrama/Slide/releases", "show")</f>
        <v>show</v>
      </c>
      <c r="I1132">
        <v>1</v>
      </c>
      <c r="J1132">
        <v>0</v>
      </c>
      <c r="K1132">
        <v>0</v>
      </c>
      <c r="L1132">
        <v>0</v>
      </c>
      <c r="M1132" t="s">
        <v>17</v>
      </c>
    </row>
    <row r="1133" spans="1:13" hidden="1" x14ac:dyDescent="0.15">
      <c r="A1133" t="s">
        <v>3632</v>
      </c>
      <c r="B1133" t="s">
        <v>3633</v>
      </c>
      <c r="C1133" t="s">
        <v>3634</v>
      </c>
      <c r="D1133" t="s">
        <v>3635</v>
      </c>
      <c r="E1133">
        <v>3</v>
      </c>
      <c r="F1133" t="str">
        <f>HYPERLINK("https://github.com/dimagi/commcare-android/issues/807", "show")</f>
        <v>show</v>
      </c>
      <c r="G1133" t="str">
        <f>HYPERLINK("https://github.com/dimagi/commcare-android", "show")</f>
        <v>show</v>
      </c>
      <c r="H1133" t="str">
        <f>HYPERLINK("https://github.com/dimagi/commcare-android/releases", "show")</f>
        <v>show</v>
      </c>
      <c r="I1133">
        <v>1</v>
      </c>
      <c r="J1133">
        <v>0</v>
      </c>
      <c r="K1133">
        <v>0</v>
      </c>
      <c r="L1133">
        <v>0</v>
      </c>
      <c r="M1133" t="s">
        <v>17</v>
      </c>
    </row>
    <row r="1134" spans="1:13" hidden="1" x14ac:dyDescent="0.15">
      <c r="A1134" t="s">
        <v>3636</v>
      </c>
      <c r="B1134" t="s">
        <v>3637</v>
      </c>
      <c r="C1134" t="s">
        <v>3638</v>
      </c>
      <c r="D1134" t="s">
        <v>3635</v>
      </c>
      <c r="E1134">
        <v>153</v>
      </c>
      <c r="F1134" t="str">
        <f>HYPERLINK("https://github.com/facebook/buck/issues/501", "show")</f>
        <v>show</v>
      </c>
      <c r="G1134" t="str">
        <f>HYPERLINK("https://github.com/facebook/buck", "show")</f>
        <v>show</v>
      </c>
      <c r="H1134" t="str">
        <f>HYPERLINK("https://github.com/facebook/buck/releases", "show")</f>
        <v>show</v>
      </c>
      <c r="I1134">
        <v>0</v>
      </c>
      <c r="J1134">
        <v>0</v>
      </c>
      <c r="K1134">
        <v>0</v>
      </c>
      <c r="L1134">
        <v>0</v>
      </c>
      <c r="M1134" t="s">
        <v>43</v>
      </c>
    </row>
    <row r="1135" spans="1:13" hidden="1" x14ac:dyDescent="0.15">
      <c r="A1135" t="s">
        <v>3639</v>
      </c>
      <c r="B1135" t="s">
        <v>3640</v>
      </c>
      <c r="C1135" t="s">
        <v>3641</v>
      </c>
      <c r="D1135" t="s">
        <v>3635</v>
      </c>
      <c r="E1135">
        <v>83</v>
      </c>
      <c r="F1135" t="str">
        <f>HYPERLINK("https://github.com/mixpanel/mixpanel-android/issues/284", "show")</f>
        <v>show</v>
      </c>
      <c r="G1135" t="str">
        <f>HYPERLINK("https://github.com/mixpanel/mixpanel-android", "show")</f>
        <v>show</v>
      </c>
      <c r="H1135" t="str">
        <f>HYPERLINK("https://github.com/mixpanel/mixpanel-android/releases", "show")</f>
        <v>show</v>
      </c>
      <c r="I1135">
        <v>1</v>
      </c>
      <c r="J1135">
        <v>0</v>
      </c>
      <c r="K1135">
        <v>1</v>
      </c>
      <c r="L1135">
        <v>0</v>
      </c>
      <c r="M1135" t="s">
        <v>64</v>
      </c>
    </row>
    <row r="1136" spans="1:13" hidden="1" x14ac:dyDescent="0.15">
      <c r="A1136" t="s">
        <v>3642</v>
      </c>
      <c r="B1136" t="s">
        <v>3643</v>
      </c>
      <c r="C1136" t="s">
        <v>3644</v>
      </c>
      <c r="D1136" t="s">
        <v>3645</v>
      </c>
      <c r="E1136">
        <v>5</v>
      </c>
      <c r="F1136" t="str">
        <f>HYPERLINK("https://github.com/shortcutmedia/shortcut-android-sdk/issues/1", "show")</f>
        <v>show</v>
      </c>
      <c r="G1136" t="str">
        <f>HYPERLINK("https://github.com/shortcutmedia/shortcut-android-sdk", "show")</f>
        <v>show</v>
      </c>
      <c r="H1136" t="str">
        <f>HYPERLINK("https://github.com/shortcutmedia/shortcut-android-sdk/releases", "show")</f>
        <v>show</v>
      </c>
      <c r="I1136">
        <v>1</v>
      </c>
      <c r="J1136">
        <v>0</v>
      </c>
      <c r="K1136">
        <v>0</v>
      </c>
      <c r="L1136">
        <v>0</v>
      </c>
      <c r="M1136" t="s">
        <v>17</v>
      </c>
    </row>
    <row r="1137" spans="1:13" hidden="1" x14ac:dyDescent="0.15">
      <c r="A1137" t="s">
        <v>3646</v>
      </c>
      <c r="B1137" t="s">
        <v>3647</v>
      </c>
      <c r="C1137" t="s">
        <v>3648</v>
      </c>
      <c r="D1137" t="s">
        <v>3645</v>
      </c>
      <c r="E1137">
        <v>9</v>
      </c>
      <c r="F1137" t="str">
        <f>HYPERLINK("https://github.com/ngageoint/geopackage-android/issues/16", "show")</f>
        <v>show</v>
      </c>
      <c r="G1137" t="str">
        <f>HYPERLINK("https://github.com/ngageoint/geopackage-android", "show")</f>
        <v>show</v>
      </c>
      <c r="H1137" t="str">
        <f>HYPERLINK("https://github.com/ngageoint/geopackage-android/releases", "show")</f>
        <v>show</v>
      </c>
      <c r="I1137">
        <v>1</v>
      </c>
      <c r="J1137">
        <v>0</v>
      </c>
      <c r="K1137">
        <v>0</v>
      </c>
      <c r="L1137">
        <v>0</v>
      </c>
      <c r="M1137" t="s">
        <v>17</v>
      </c>
    </row>
    <row r="1138" spans="1:13" hidden="1" x14ac:dyDescent="0.15">
      <c r="A1138" t="s">
        <v>3649</v>
      </c>
      <c r="B1138" t="s">
        <v>3650</v>
      </c>
      <c r="C1138" t="s">
        <v>3651</v>
      </c>
      <c r="D1138" t="s">
        <v>3645</v>
      </c>
      <c r="E1138">
        <v>64</v>
      </c>
      <c r="F1138" t="str">
        <f>HYPERLINK("https://github.com/moneymanagerex/android-money-manager-ex/issues/613", "show")</f>
        <v>show</v>
      </c>
      <c r="G1138" t="str">
        <f>HYPERLINK("https://github.com/moneymanagerex/android-money-manager-ex", "show")</f>
        <v>show</v>
      </c>
      <c r="H1138" t="str">
        <f>HYPERLINK("https://github.com/moneymanagerex/android-money-manager-ex/releases", "show")</f>
        <v>show</v>
      </c>
      <c r="I1138">
        <v>1</v>
      </c>
      <c r="J1138">
        <v>0</v>
      </c>
      <c r="K1138">
        <v>1</v>
      </c>
      <c r="L1138">
        <v>0</v>
      </c>
      <c r="M1138" t="s">
        <v>64</v>
      </c>
    </row>
    <row r="1139" spans="1:13" hidden="1" x14ac:dyDescent="0.15">
      <c r="A1139" t="s">
        <v>3652</v>
      </c>
      <c r="B1139" t="s">
        <v>3653</v>
      </c>
      <c r="C1139" t="s">
        <v>3654</v>
      </c>
      <c r="D1139" t="s">
        <v>3655</v>
      </c>
      <c r="E1139">
        <v>0</v>
      </c>
      <c r="F1139" t="str">
        <f>HYPERLINK("https://github.com/Mnkai/PGPClipper/issues/8", "show")</f>
        <v>show</v>
      </c>
      <c r="G1139" t="str">
        <f>HYPERLINK("https://github.com/Mnkai/PGPClipper", "show")</f>
        <v>show</v>
      </c>
      <c r="H1139" t="str">
        <f>HYPERLINK("https://github.com/Mnkai/PGPClipper/releases", "show")</f>
        <v>show</v>
      </c>
      <c r="I1139">
        <v>1</v>
      </c>
      <c r="J1139">
        <v>0</v>
      </c>
      <c r="K1139">
        <v>0</v>
      </c>
      <c r="L1139">
        <v>0</v>
      </c>
      <c r="M1139" t="s">
        <v>17</v>
      </c>
    </row>
    <row r="1140" spans="1:13" hidden="1" x14ac:dyDescent="0.15">
      <c r="A1140" t="s">
        <v>3656</v>
      </c>
      <c r="B1140" t="s">
        <v>3657</v>
      </c>
      <c r="C1140" t="s">
        <v>3658</v>
      </c>
      <c r="D1140" t="s">
        <v>3655</v>
      </c>
      <c r="E1140">
        <v>1</v>
      </c>
      <c r="F1140" t="str">
        <f>HYPERLINK("https://github.com/google/ExoPlayer/issues/952", "show")</f>
        <v>show</v>
      </c>
      <c r="G1140" t="str">
        <f>HYPERLINK("https://github.com/google/ExoPlayer", "show")</f>
        <v>show</v>
      </c>
      <c r="H1140" t="str">
        <f>HYPERLINK("https://github.com/google/ExoPlayer/releases", "show")</f>
        <v>show</v>
      </c>
      <c r="I1140">
        <v>1</v>
      </c>
      <c r="J1140">
        <v>0</v>
      </c>
      <c r="K1140">
        <v>0</v>
      </c>
      <c r="L1140">
        <v>0</v>
      </c>
      <c r="M1140" t="s">
        <v>17</v>
      </c>
    </row>
    <row r="1141" spans="1:13" hidden="1" x14ac:dyDescent="0.15">
      <c r="A1141" t="s">
        <v>3659</v>
      </c>
      <c r="B1141" t="s">
        <v>3660</v>
      </c>
      <c r="C1141" t="s">
        <v>3661</v>
      </c>
      <c r="D1141" t="s">
        <v>3655</v>
      </c>
      <c r="E1141">
        <v>5</v>
      </c>
      <c r="F1141" t="str">
        <f>HYPERLINK("https://github.com/CellularPrivacy/Android-IMSI-Catcher-Detector/issues/632", "show")</f>
        <v>show</v>
      </c>
      <c r="G1141" t="str">
        <f>HYPERLINK("https://github.com/CellularPrivacy/Android-IMSI-Catcher-Detector", "show")</f>
        <v>show</v>
      </c>
      <c r="H1141" t="str">
        <f>HYPERLINK("https://github.com/CellularPrivacy/Android-IMSI-Catcher-Detector/releases", "show")</f>
        <v>show</v>
      </c>
      <c r="I1141">
        <v>0</v>
      </c>
      <c r="J1141">
        <v>0</v>
      </c>
      <c r="K1141">
        <v>1</v>
      </c>
      <c r="L1141">
        <v>0</v>
      </c>
      <c r="M1141" t="s">
        <v>122</v>
      </c>
    </row>
    <row r="1142" spans="1:13" hidden="1" x14ac:dyDescent="0.15">
      <c r="A1142" t="s">
        <v>3662</v>
      </c>
      <c r="B1142" t="s">
        <v>3663</v>
      </c>
      <c r="D1142" t="s">
        <v>3655</v>
      </c>
      <c r="E1142">
        <v>7</v>
      </c>
      <c r="F1142" t="str">
        <f>HYPERLINK("https://github.com/bhwarren/PhotoCal/issues/60", "show")</f>
        <v>show</v>
      </c>
      <c r="G1142" t="str">
        <f>HYPERLINK("https://github.com/bhwarren/PhotoCal", "show")</f>
        <v>show</v>
      </c>
      <c r="H1142" t="str">
        <f>HYPERLINK("https://github.com/bhwarren/PhotoCal/releases", "show")</f>
        <v>show</v>
      </c>
      <c r="I1142">
        <v>0</v>
      </c>
      <c r="J1142">
        <v>0</v>
      </c>
      <c r="K1142">
        <v>0</v>
      </c>
      <c r="L1142">
        <v>0</v>
      </c>
      <c r="M1142" t="s">
        <v>43</v>
      </c>
    </row>
    <row r="1143" spans="1:13" hidden="1" x14ac:dyDescent="0.15">
      <c r="A1143" t="s">
        <v>3664</v>
      </c>
      <c r="B1143" t="s">
        <v>3665</v>
      </c>
      <c r="C1143" t="s">
        <v>3666</v>
      </c>
      <c r="D1143" t="s">
        <v>3655</v>
      </c>
      <c r="E1143">
        <v>0</v>
      </c>
      <c r="F1143" t="str">
        <f>HYPERLINK("https://github.com/ashqal/NightOwl/issues/2", "show")</f>
        <v>show</v>
      </c>
      <c r="G1143" t="str">
        <f>HYPERLINK("https://github.com/ashqal/NightOwl", "show")</f>
        <v>show</v>
      </c>
      <c r="H1143" t="str">
        <f>HYPERLINK("https://github.com/ashqal/NightOwl/releases", "show")</f>
        <v>show</v>
      </c>
      <c r="I1143">
        <v>1</v>
      </c>
      <c r="J1143">
        <v>0</v>
      </c>
      <c r="K1143">
        <v>0</v>
      </c>
      <c r="L1143">
        <v>0</v>
      </c>
      <c r="M1143" t="s">
        <v>17</v>
      </c>
    </row>
    <row r="1144" spans="1:13" hidden="1" x14ac:dyDescent="0.15">
      <c r="A1144" t="s">
        <v>3667</v>
      </c>
      <c r="B1144" t="s">
        <v>3668</v>
      </c>
      <c r="C1144" t="s">
        <v>3669</v>
      </c>
      <c r="D1144" t="s">
        <v>3670</v>
      </c>
      <c r="E1144">
        <v>8</v>
      </c>
      <c r="F1144" t="str">
        <f>HYPERLINK("https://github.com/HeadwayApp/How-To-Do-It-/issues/22", "show")</f>
        <v>show</v>
      </c>
      <c r="G1144" t="str">
        <f>HYPERLINK("https://github.com/HeadwayApp/How-To-Do-It-", "show")</f>
        <v>show</v>
      </c>
      <c r="H1144" t="str">
        <f>HYPERLINK("https://github.com/HeadwayApp/How-To-Do-It-/releases", "show")</f>
        <v>show</v>
      </c>
      <c r="I1144">
        <v>1</v>
      </c>
      <c r="J1144">
        <v>0</v>
      </c>
      <c r="K1144">
        <v>0</v>
      </c>
      <c r="L1144">
        <v>0</v>
      </c>
      <c r="M1144" t="s">
        <v>17</v>
      </c>
    </row>
    <row r="1145" spans="1:13" hidden="1" x14ac:dyDescent="0.15">
      <c r="A1145" t="s">
        <v>3671</v>
      </c>
      <c r="B1145" t="s">
        <v>3672</v>
      </c>
      <c r="C1145" t="s">
        <v>3673</v>
      </c>
      <c r="D1145" t="s">
        <v>3674</v>
      </c>
      <c r="E1145">
        <v>196</v>
      </c>
      <c r="F1145" t="str">
        <f>HYPERLINK("https://github.com/square/okhttp/issues/1998", "show")</f>
        <v>show</v>
      </c>
      <c r="G1145" t="str">
        <f>HYPERLINK("https://github.com/square/okhttp", "show")</f>
        <v>show</v>
      </c>
      <c r="H1145" t="str">
        <f>HYPERLINK("https://github.com/square/okhttp/releases", "show")</f>
        <v>show</v>
      </c>
      <c r="I1145">
        <v>1</v>
      </c>
      <c r="J1145">
        <v>0</v>
      </c>
      <c r="K1145">
        <v>1</v>
      </c>
      <c r="L1145">
        <v>0</v>
      </c>
      <c r="M1145" t="s">
        <v>64</v>
      </c>
    </row>
    <row r="1146" spans="1:13" hidden="1" x14ac:dyDescent="0.15">
      <c r="A1146" t="s">
        <v>3675</v>
      </c>
      <c r="B1146" t="s">
        <v>3676</v>
      </c>
      <c r="C1146" t="s">
        <v>3677</v>
      </c>
      <c r="D1146" t="s">
        <v>3674</v>
      </c>
      <c r="E1146">
        <v>0</v>
      </c>
      <c r="F1146" t="str">
        <f>HYPERLINK("https://github.com/AnimeNeko/Atarashii/issues/466", "show")</f>
        <v>show</v>
      </c>
      <c r="G1146" t="str">
        <f>HYPERLINK("https://github.com/AnimeNeko/Atarashii", "show")</f>
        <v>show</v>
      </c>
      <c r="H1146" t="str">
        <f>HYPERLINK("https://github.com/AnimeNeko/Atarashii/releases", "show")</f>
        <v>show</v>
      </c>
      <c r="I1146">
        <v>0</v>
      </c>
      <c r="J1146">
        <v>0</v>
      </c>
      <c r="K1146">
        <v>0</v>
      </c>
      <c r="L1146">
        <v>0</v>
      </c>
      <c r="M1146" t="s">
        <v>43</v>
      </c>
    </row>
    <row r="1147" spans="1:13" hidden="1" x14ac:dyDescent="0.15">
      <c r="A1147" t="s">
        <v>3678</v>
      </c>
      <c r="B1147" t="s">
        <v>3679</v>
      </c>
      <c r="C1147" t="s">
        <v>3680</v>
      </c>
      <c r="D1147" t="s">
        <v>3681</v>
      </c>
      <c r="E1147">
        <v>1</v>
      </c>
      <c r="F1147" t="str">
        <f>HYPERLINK("https://github.com/syncthing/syncthing-android/issues/499", "show")</f>
        <v>show</v>
      </c>
      <c r="G1147" t="str">
        <f>HYPERLINK("https://github.com/syncthing/syncthing-android", "show")</f>
        <v>show</v>
      </c>
      <c r="H1147" t="str">
        <f>HYPERLINK("https://github.com/syncthing/syncthing-android/releases", "show")</f>
        <v>show</v>
      </c>
      <c r="I1147">
        <v>1</v>
      </c>
      <c r="J1147">
        <v>0</v>
      </c>
      <c r="K1147">
        <v>0</v>
      </c>
      <c r="L1147">
        <v>0</v>
      </c>
      <c r="M1147" t="s">
        <v>17</v>
      </c>
    </row>
    <row r="1148" spans="1:13" hidden="1" x14ac:dyDescent="0.15">
      <c r="A1148" t="s">
        <v>3682</v>
      </c>
      <c r="B1148" t="s">
        <v>3683</v>
      </c>
      <c r="C1148" t="s">
        <v>3684</v>
      </c>
      <c r="D1148" t="s">
        <v>3681</v>
      </c>
      <c r="E1148">
        <v>889</v>
      </c>
      <c r="F1148" t="str">
        <f>HYPERLINK("https://github.com/syncthing/syncthing-android/issues/498", "show")</f>
        <v>show</v>
      </c>
      <c r="G1148" t="str">
        <f>HYPERLINK("https://github.com/syncthing/syncthing-android", "show")</f>
        <v>show</v>
      </c>
      <c r="H1148" t="str">
        <f>HYPERLINK("https://github.com/syncthing/syncthing-android/releases", "show")</f>
        <v>show</v>
      </c>
      <c r="I1148">
        <v>0</v>
      </c>
      <c r="J1148">
        <v>0</v>
      </c>
      <c r="K1148">
        <v>0</v>
      </c>
      <c r="L1148">
        <v>0</v>
      </c>
      <c r="M1148" t="s">
        <v>43</v>
      </c>
    </row>
    <row r="1149" spans="1:13" hidden="1" x14ac:dyDescent="0.15">
      <c r="A1149" t="s">
        <v>3685</v>
      </c>
      <c r="B1149" t="s">
        <v>3686</v>
      </c>
      <c r="D1149" t="s">
        <v>3687</v>
      </c>
      <c r="E1149">
        <v>0</v>
      </c>
      <c r="F1149" t="str">
        <f>HYPERLINK("https://github.com/ccrama/Slide/issues/572", "show")</f>
        <v>show</v>
      </c>
      <c r="G1149" t="str">
        <f>HYPERLINK("https://github.com/ccrama/Slide", "show")</f>
        <v>show</v>
      </c>
      <c r="H1149" t="str">
        <f>HYPERLINK("https://github.com/ccrama/Slide/releases", "show")</f>
        <v>show</v>
      </c>
      <c r="I1149">
        <v>1</v>
      </c>
      <c r="J1149">
        <v>0</v>
      </c>
      <c r="K1149">
        <v>0</v>
      </c>
      <c r="L1149">
        <v>0</v>
      </c>
      <c r="M1149" t="s">
        <v>17</v>
      </c>
    </row>
    <row r="1150" spans="1:13" hidden="1" x14ac:dyDescent="0.15">
      <c r="A1150" t="s">
        <v>3688</v>
      </c>
      <c r="B1150" t="s">
        <v>3689</v>
      </c>
      <c r="C1150" t="s">
        <v>3690</v>
      </c>
      <c r="D1150" t="s">
        <v>3687</v>
      </c>
      <c r="E1150">
        <v>3</v>
      </c>
      <c r="F1150" t="str">
        <f>HYPERLINK("https://github.com/jdamcd/android-crop/issues/180", "show")</f>
        <v>show</v>
      </c>
      <c r="G1150" t="str">
        <f>HYPERLINK("https://github.com/jdamcd/android-crop", "show")</f>
        <v>show</v>
      </c>
      <c r="H1150" t="str">
        <f>HYPERLINK("https://github.com/jdamcd/android-crop/releases", "show")</f>
        <v>show</v>
      </c>
      <c r="I1150">
        <v>0</v>
      </c>
      <c r="J1150">
        <v>0</v>
      </c>
      <c r="K1150">
        <v>0</v>
      </c>
      <c r="L1150">
        <v>0</v>
      </c>
      <c r="M1150" t="s">
        <v>43</v>
      </c>
    </row>
    <row r="1151" spans="1:13" hidden="1" x14ac:dyDescent="0.15">
      <c r="A1151" t="s">
        <v>3691</v>
      </c>
      <c r="B1151" t="s">
        <v>3692</v>
      </c>
      <c r="C1151" t="s">
        <v>3693</v>
      </c>
      <c r="D1151" t="s">
        <v>3687</v>
      </c>
      <c r="E1151">
        <v>0</v>
      </c>
      <c r="F1151" t="str">
        <f>HYPERLINK("https://github.com/enviroCar/enviroCar-app/issues/268", "show")</f>
        <v>show</v>
      </c>
      <c r="G1151" t="str">
        <f>HYPERLINK("https://github.com/enviroCar/enviroCar-app", "show")</f>
        <v>show</v>
      </c>
      <c r="H1151" t="str">
        <f>HYPERLINK("https://github.com/enviroCar/enviroCar-app/releases", "show")</f>
        <v>show</v>
      </c>
      <c r="I1151">
        <v>1</v>
      </c>
      <c r="J1151">
        <v>0</v>
      </c>
      <c r="K1151">
        <v>1</v>
      </c>
      <c r="L1151">
        <v>0</v>
      </c>
      <c r="M1151" t="s">
        <v>64</v>
      </c>
    </row>
    <row r="1152" spans="1:13" hidden="1" x14ac:dyDescent="0.15">
      <c r="A1152" t="s">
        <v>3694</v>
      </c>
      <c r="B1152" t="s">
        <v>3695</v>
      </c>
      <c r="C1152" t="s">
        <v>3696</v>
      </c>
      <c r="D1152" t="s">
        <v>3697</v>
      </c>
      <c r="E1152">
        <v>16</v>
      </c>
      <c r="F1152" t="str">
        <f>HYPERLINK("https://github.com/ccrama/Slide/issues/604", "show")</f>
        <v>show</v>
      </c>
      <c r="G1152" t="str">
        <f>HYPERLINK("https://github.com/ccrama/Slide", "show")</f>
        <v>show</v>
      </c>
      <c r="H1152" t="str">
        <f>HYPERLINK("https://github.com/ccrama/Slide/releases", "show")</f>
        <v>show</v>
      </c>
      <c r="I1152">
        <v>1</v>
      </c>
      <c r="J1152">
        <v>0</v>
      </c>
      <c r="K1152">
        <v>0</v>
      </c>
      <c r="L1152">
        <v>0</v>
      </c>
      <c r="M1152" t="s">
        <v>17</v>
      </c>
    </row>
    <row r="1153" spans="1:13" hidden="1" x14ac:dyDescent="0.15">
      <c r="A1153" t="s">
        <v>3698</v>
      </c>
      <c r="B1153" t="s">
        <v>3699</v>
      </c>
      <c r="C1153" t="s">
        <v>3700</v>
      </c>
      <c r="D1153" t="s">
        <v>3697</v>
      </c>
      <c r="E1153">
        <v>152</v>
      </c>
      <c r="F1153" t="str">
        <f>HYPERLINK("https://github.com/daparker/checkvalve/issues/7", "show")</f>
        <v>show</v>
      </c>
      <c r="G1153" t="str">
        <f>HYPERLINK("https://github.com/daparker/checkvalve", "show")</f>
        <v>show</v>
      </c>
      <c r="H1153" t="str">
        <f>HYPERLINK("https://github.com/daparker/checkvalve/releases", "show")</f>
        <v>show</v>
      </c>
      <c r="I1153">
        <v>0</v>
      </c>
      <c r="J1153">
        <v>0</v>
      </c>
      <c r="K1153">
        <v>1</v>
      </c>
      <c r="L1153">
        <v>0</v>
      </c>
      <c r="M1153" t="s">
        <v>122</v>
      </c>
    </row>
    <row r="1154" spans="1:13" hidden="1" x14ac:dyDescent="0.15">
      <c r="A1154" t="s">
        <v>3701</v>
      </c>
      <c r="B1154" t="s">
        <v>3702</v>
      </c>
      <c r="C1154" t="s">
        <v>3703</v>
      </c>
      <c r="D1154" t="s">
        <v>3697</v>
      </c>
      <c r="E1154">
        <v>22</v>
      </c>
      <c r="F1154" t="str">
        <f>HYPERLINK("https://github.com/ccrama/Slide/issues/598", "show")</f>
        <v>show</v>
      </c>
      <c r="G1154" t="str">
        <f>HYPERLINK("https://github.com/ccrama/Slide", "show")</f>
        <v>show</v>
      </c>
      <c r="H1154" t="str">
        <f>HYPERLINK("https://github.com/ccrama/Slide/releases", "show")</f>
        <v>show</v>
      </c>
      <c r="I1154">
        <v>1</v>
      </c>
      <c r="J1154">
        <v>1</v>
      </c>
      <c r="K1154">
        <v>0</v>
      </c>
      <c r="L1154">
        <v>0</v>
      </c>
      <c r="M1154" t="s">
        <v>48</v>
      </c>
    </row>
    <row r="1155" spans="1:13" hidden="1" x14ac:dyDescent="0.15">
      <c r="A1155" t="s">
        <v>3704</v>
      </c>
      <c r="B1155" t="s">
        <v>3705</v>
      </c>
      <c r="C1155" t="s">
        <v>3706</v>
      </c>
      <c r="D1155" t="s">
        <v>3707</v>
      </c>
      <c r="E1155">
        <v>59</v>
      </c>
      <c r="F1155" t="str">
        <f>HYPERLINK("https://github.com/k9mail/k-9/issues/901", "show")</f>
        <v>show</v>
      </c>
      <c r="G1155" t="str">
        <f>HYPERLINK("https://github.com/k9mail/k-9", "show")</f>
        <v>show</v>
      </c>
      <c r="H1155" t="str">
        <f>HYPERLINK("https://github.com/k9mail/k-9/releases", "show")</f>
        <v>show</v>
      </c>
      <c r="I1155">
        <v>1</v>
      </c>
      <c r="J1155">
        <v>0</v>
      </c>
      <c r="K1155">
        <v>0</v>
      </c>
      <c r="L1155">
        <v>0</v>
      </c>
      <c r="M1155" t="s">
        <v>17</v>
      </c>
    </row>
    <row r="1156" spans="1:13" hidden="1" x14ac:dyDescent="0.15">
      <c r="A1156" t="s">
        <v>3708</v>
      </c>
      <c r="B1156" t="s">
        <v>3709</v>
      </c>
      <c r="C1156" t="s">
        <v>3710</v>
      </c>
      <c r="D1156" t="s">
        <v>3711</v>
      </c>
      <c r="E1156">
        <v>54</v>
      </c>
      <c r="F1156" t="str">
        <f>HYPERLINK("https://github.com/chandevel/Clover/issues/127", "show")</f>
        <v>show</v>
      </c>
      <c r="G1156" t="str">
        <f>HYPERLINK("https://github.com/chandevel/Clover", "show")</f>
        <v>show</v>
      </c>
      <c r="H1156" t="str">
        <f>HYPERLINK("https://github.com/chandevel/Clover/releases", "show")</f>
        <v>show</v>
      </c>
      <c r="I1156">
        <v>1</v>
      </c>
      <c r="J1156">
        <v>0</v>
      </c>
      <c r="K1156">
        <v>0</v>
      </c>
      <c r="L1156">
        <v>0</v>
      </c>
      <c r="M1156" t="s">
        <v>17</v>
      </c>
    </row>
    <row r="1157" spans="1:13" hidden="1" x14ac:dyDescent="0.15">
      <c r="A1157" t="s">
        <v>3712</v>
      </c>
      <c r="B1157" t="s">
        <v>3713</v>
      </c>
      <c r="C1157" t="s">
        <v>3714</v>
      </c>
      <c r="D1157" t="s">
        <v>3711</v>
      </c>
      <c r="E1157">
        <v>122</v>
      </c>
      <c r="F1157" t="str">
        <f>HYPERLINK("https://github.com/danirod/rectball/issues/58", "show")</f>
        <v>show</v>
      </c>
      <c r="G1157" t="str">
        <f>HYPERLINK("https://github.com/danirod/rectball", "show")</f>
        <v>show</v>
      </c>
      <c r="H1157" t="str">
        <f>HYPERLINK("https://github.com/danirod/rectball/releases", "show")</f>
        <v>show</v>
      </c>
      <c r="I1157">
        <v>1</v>
      </c>
      <c r="J1157">
        <v>0</v>
      </c>
      <c r="K1157">
        <v>0</v>
      </c>
      <c r="L1157">
        <v>0</v>
      </c>
      <c r="M1157" t="s">
        <v>17</v>
      </c>
    </row>
    <row r="1158" spans="1:13" hidden="1" x14ac:dyDescent="0.15">
      <c r="A1158" t="s">
        <v>3715</v>
      </c>
      <c r="B1158" t="s">
        <v>3716</v>
      </c>
      <c r="C1158" t="s">
        <v>3717</v>
      </c>
      <c r="D1158" t="s">
        <v>3711</v>
      </c>
      <c r="E1158">
        <v>46</v>
      </c>
      <c r="F1158" t="str">
        <f>HYPERLINK("https://github.com/ccrama/Slide/issues/622", "show")</f>
        <v>show</v>
      </c>
      <c r="G1158" t="str">
        <f>HYPERLINK("https://github.com/ccrama/Slide", "show")</f>
        <v>show</v>
      </c>
      <c r="H1158" t="str">
        <f>HYPERLINK("https://github.com/ccrama/Slide/releases", "show")</f>
        <v>show</v>
      </c>
      <c r="I1158">
        <v>1</v>
      </c>
      <c r="J1158">
        <v>0</v>
      </c>
      <c r="K1158">
        <v>0</v>
      </c>
      <c r="L1158">
        <v>0</v>
      </c>
      <c r="M1158" t="s">
        <v>17</v>
      </c>
    </row>
    <row r="1159" spans="1:13" hidden="1" x14ac:dyDescent="0.15">
      <c r="A1159" t="s">
        <v>3718</v>
      </c>
      <c r="B1159" t="s">
        <v>3719</v>
      </c>
      <c r="C1159" t="s">
        <v>3720</v>
      </c>
      <c r="D1159" t="s">
        <v>3711</v>
      </c>
      <c r="E1159">
        <v>11</v>
      </c>
      <c r="F1159" t="str">
        <f>HYPERLINK("https://github.com/square/okhttp/issues/2016", "show")</f>
        <v>show</v>
      </c>
      <c r="G1159" t="str">
        <f>HYPERLINK("https://github.com/square/okhttp", "show")</f>
        <v>show</v>
      </c>
      <c r="H1159" t="str">
        <f>HYPERLINK("https://github.com/square/okhttp/releases", "show")</f>
        <v>show</v>
      </c>
      <c r="I1159">
        <v>0</v>
      </c>
      <c r="J1159">
        <v>0</v>
      </c>
      <c r="K1159">
        <v>0</v>
      </c>
      <c r="L1159">
        <v>0</v>
      </c>
      <c r="M1159" t="s">
        <v>43</v>
      </c>
    </row>
    <row r="1160" spans="1:13" hidden="1" x14ac:dyDescent="0.15">
      <c r="A1160" t="s">
        <v>3721</v>
      </c>
      <c r="B1160" t="s">
        <v>3722</v>
      </c>
      <c r="C1160" t="s">
        <v>3723</v>
      </c>
      <c r="D1160" t="s">
        <v>3724</v>
      </c>
      <c r="E1160">
        <v>0</v>
      </c>
      <c r="F1160" t="str">
        <f>HYPERLINK("https://github.com/sriharshachilakapati/SilenceEngine/issues/49", "show")</f>
        <v>show</v>
      </c>
      <c r="G1160" t="str">
        <f>HYPERLINK("https://github.com/sriharshachilakapati/SilenceEngine", "show")</f>
        <v>show</v>
      </c>
      <c r="H1160" t="str">
        <f>HYPERLINK("https://github.com/sriharshachilakapati/SilenceEngine/releases", "show")</f>
        <v>show</v>
      </c>
      <c r="I1160">
        <v>1</v>
      </c>
      <c r="J1160">
        <v>0</v>
      </c>
      <c r="K1160">
        <v>0</v>
      </c>
      <c r="L1160">
        <v>0</v>
      </c>
      <c r="M1160" t="s">
        <v>17</v>
      </c>
    </row>
    <row r="1161" spans="1:13" hidden="1" x14ac:dyDescent="0.15">
      <c r="A1161" t="s">
        <v>3725</v>
      </c>
      <c r="B1161" t="s">
        <v>3726</v>
      </c>
      <c r="C1161" t="s">
        <v>3727</v>
      </c>
      <c r="D1161" t="s">
        <v>3728</v>
      </c>
      <c r="E1161">
        <v>0</v>
      </c>
      <c r="F1161" t="str">
        <f>HYPERLINK("https://github.com/ccrama/Slide/issues/640", "show")</f>
        <v>show</v>
      </c>
      <c r="G1161" t="str">
        <f>HYPERLINK("https://github.com/ccrama/Slide", "show")</f>
        <v>show</v>
      </c>
      <c r="H1161" t="str">
        <f>HYPERLINK("https://github.com/ccrama/Slide/releases", "show")</f>
        <v>show</v>
      </c>
      <c r="I1161">
        <v>1</v>
      </c>
      <c r="J1161">
        <v>0</v>
      </c>
      <c r="K1161">
        <v>0</v>
      </c>
      <c r="L1161">
        <v>0</v>
      </c>
      <c r="M1161" t="s">
        <v>17</v>
      </c>
    </row>
    <row r="1162" spans="1:13" hidden="1" x14ac:dyDescent="0.15">
      <c r="A1162" t="s">
        <v>3729</v>
      </c>
      <c r="B1162" t="s">
        <v>3730</v>
      </c>
      <c r="C1162" t="s">
        <v>3731</v>
      </c>
      <c r="D1162" t="s">
        <v>3732</v>
      </c>
      <c r="E1162">
        <v>0</v>
      </c>
      <c r="F1162" t="str">
        <f>HYPERLINK("https://github.com/dimagi/commcare-android/issues/848", "show")</f>
        <v>show</v>
      </c>
      <c r="G1162" t="str">
        <f>HYPERLINK("https://github.com/dimagi/commcare-android", "show")</f>
        <v>show</v>
      </c>
      <c r="H1162" t="str">
        <f>HYPERLINK("https://github.com/dimagi/commcare-android/releases", "show")</f>
        <v>show</v>
      </c>
      <c r="I1162">
        <v>0</v>
      </c>
      <c r="J1162">
        <v>0</v>
      </c>
      <c r="K1162">
        <v>0</v>
      </c>
      <c r="L1162">
        <v>0</v>
      </c>
      <c r="M1162" t="s">
        <v>43</v>
      </c>
    </row>
    <row r="1163" spans="1:13" hidden="1" x14ac:dyDescent="0.15">
      <c r="A1163" t="s">
        <v>3733</v>
      </c>
      <c r="B1163" t="s">
        <v>3734</v>
      </c>
      <c r="D1163" t="s">
        <v>3732</v>
      </c>
      <c r="E1163">
        <v>0</v>
      </c>
      <c r="F1163" t="str">
        <f>HYPERLINK("https://github.com/ccrama/Slide/issues/655", "show")</f>
        <v>show</v>
      </c>
      <c r="G1163" t="str">
        <f>HYPERLINK("https://github.com/ccrama/Slide", "show")</f>
        <v>show</v>
      </c>
      <c r="H1163" t="str">
        <f>HYPERLINK("https://github.com/ccrama/Slide/releases", "show")</f>
        <v>show</v>
      </c>
      <c r="I1163">
        <v>1</v>
      </c>
      <c r="J1163">
        <v>0</v>
      </c>
      <c r="K1163">
        <v>0</v>
      </c>
      <c r="L1163">
        <v>0</v>
      </c>
      <c r="M1163" t="s">
        <v>17</v>
      </c>
    </row>
    <row r="1164" spans="1:13" hidden="1" x14ac:dyDescent="0.15">
      <c r="A1164" t="s">
        <v>3735</v>
      </c>
      <c r="B1164" t="s">
        <v>3736</v>
      </c>
      <c r="D1164" t="s">
        <v>3732</v>
      </c>
      <c r="E1164">
        <v>0</v>
      </c>
      <c r="F1164" t="str">
        <f>HYPERLINK("https://github.com/ccrama/Slide/issues/654", "show")</f>
        <v>show</v>
      </c>
      <c r="G1164" t="str">
        <f>HYPERLINK("https://github.com/ccrama/Slide", "show")</f>
        <v>show</v>
      </c>
      <c r="H1164" t="str">
        <f>HYPERLINK("https://github.com/ccrama/Slide/releases", "show")</f>
        <v>show</v>
      </c>
      <c r="I1164">
        <v>1</v>
      </c>
      <c r="J1164">
        <v>0</v>
      </c>
      <c r="K1164">
        <v>0</v>
      </c>
      <c r="L1164">
        <v>0</v>
      </c>
      <c r="M1164" t="s">
        <v>17</v>
      </c>
    </row>
    <row r="1165" spans="1:13" hidden="1" x14ac:dyDescent="0.15">
      <c r="A1165" t="s">
        <v>3737</v>
      </c>
      <c r="B1165" t="s">
        <v>3738</v>
      </c>
      <c r="C1165" t="s">
        <v>3739</v>
      </c>
      <c r="D1165" t="s">
        <v>3740</v>
      </c>
      <c r="E1165">
        <v>832</v>
      </c>
      <c r="F1165" t="str">
        <f>HYPERLINK("https://github.com/enviroCar/enviroCar-app/issues/272", "show")</f>
        <v>show</v>
      </c>
      <c r="G1165" t="str">
        <f>HYPERLINK("https://github.com/enviroCar/enviroCar-app", "show")</f>
        <v>show</v>
      </c>
      <c r="H1165" t="str">
        <f>HYPERLINK("https://github.com/enviroCar/enviroCar-app/releases", "show")</f>
        <v>show</v>
      </c>
      <c r="I1165">
        <v>0</v>
      </c>
      <c r="J1165">
        <v>0</v>
      </c>
      <c r="K1165">
        <v>0</v>
      </c>
      <c r="L1165">
        <v>0</v>
      </c>
      <c r="M1165" t="s">
        <v>43</v>
      </c>
    </row>
    <row r="1166" spans="1:13" hidden="1" x14ac:dyDescent="0.15">
      <c r="A1166" t="s">
        <v>3741</v>
      </c>
      <c r="B1166" t="s">
        <v>3742</v>
      </c>
      <c r="C1166" t="s">
        <v>3743</v>
      </c>
      <c r="D1166" t="s">
        <v>3740</v>
      </c>
      <c r="E1166">
        <v>0</v>
      </c>
      <c r="F1166" t="str">
        <f>HYPERLINK("https://github.com/Karumi/Dexter/issues/14", "show")</f>
        <v>show</v>
      </c>
      <c r="G1166" t="str">
        <f>HYPERLINK("https://github.com/Karumi/Dexter", "show")</f>
        <v>show</v>
      </c>
      <c r="H1166" t="str">
        <f>HYPERLINK("https://github.com/Karumi/Dexter/releases", "show")</f>
        <v>show</v>
      </c>
      <c r="I1166">
        <v>1</v>
      </c>
      <c r="J1166">
        <v>1</v>
      </c>
      <c r="K1166">
        <v>1</v>
      </c>
      <c r="L1166">
        <v>0</v>
      </c>
      <c r="M1166" t="s">
        <v>59</v>
      </c>
    </row>
    <row r="1167" spans="1:13" hidden="1" x14ac:dyDescent="0.15">
      <c r="A1167" t="s">
        <v>3744</v>
      </c>
      <c r="B1167" t="s">
        <v>3745</v>
      </c>
      <c r="C1167" t="s">
        <v>3746</v>
      </c>
      <c r="D1167" t="s">
        <v>3747</v>
      </c>
      <c r="E1167">
        <v>17</v>
      </c>
      <c r="F1167" t="str">
        <f>HYPERLINK("https://github.com/Bernie-2016/fieldthebern-android/issues/150", "show")</f>
        <v>show</v>
      </c>
      <c r="G1167" t="str">
        <f>HYPERLINK("https://github.com/Bernie-2016/fieldthebern-android", "show")</f>
        <v>show</v>
      </c>
      <c r="H1167" t="str">
        <f>HYPERLINK("https://github.com/Bernie-2016/fieldthebern-android/releases", "show")</f>
        <v>show</v>
      </c>
      <c r="I1167">
        <v>1</v>
      </c>
      <c r="J1167">
        <v>0</v>
      </c>
      <c r="K1167">
        <v>0</v>
      </c>
      <c r="L1167">
        <v>0</v>
      </c>
      <c r="M1167" t="s">
        <v>17</v>
      </c>
    </row>
    <row r="1168" spans="1:13" hidden="1" x14ac:dyDescent="0.15">
      <c r="A1168" t="s">
        <v>3748</v>
      </c>
      <c r="B1168" t="s">
        <v>3749</v>
      </c>
      <c r="C1168" t="s">
        <v>3750</v>
      </c>
      <c r="D1168" t="s">
        <v>3747</v>
      </c>
      <c r="E1168">
        <v>1</v>
      </c>
      <c r="F1168" t="str">
        <f>HYPERLINK("https://github.com/projectbuendia/client/issues/156", "show")</f>
        <v>show</v>
      </c>
      <c r="G1168" t="str">
        <f>HYPERLINK("https://github.com/projectbuendia/client", "show")</f>
        <v>show</v>
      </c>
      <c r="H1168" t="str">
        <f>HYPERLINK("https://github.com/projectbuendia/client/releases", "show")</f>
        <v>show</v>
      </c>
      <c r="I1168">
        <v>1</v>
      </c>
      <c r="J1168">
        <v>1</v>
      </c>
      <c r="K1168">
        <v>0</v>
      </c>
      <c r="L1168">
        <v>0</v>
      </c>
      <c r="M1168" t="s">
        <v>48</v>
      </c>
    </row>
    <row r="1169" spans="1:13" hidden="1" x14ac:dyDescent="0.15">
      <c r="A1169" t="s">
        <v>3751</v>
      </c>
      <c r="B1169" t="s">
        <v>3752</v>
      </c>
      <c r="C1169" t="s">
        <v>3753</v>
      </c>
      <c r="D1169" t="s">
        <v>3747</v>
      </c>
      <c r="E1169">
        <v>6</v>
      </c>
      <c r="F1169" t="str">
        <f>HYPERLINK("https://github.com/nerzhul/ncsms-android/issues/73", "show")</f>
        <v>show</v>
      </c>
      <c r="G1169" t="str">
        <f>HYPERLINK("https://github.com/nerzhul/ncsms-android", "show")</f>
        <v>show</v>
      </c>
      <c r="H1169" t="str">
        <f>HYPERLINK("https://github.com/nerzhul/ncsms-android/releases", "show")</f>
        <v>show</v>
      </c>
      <c r="I1169">
        <v>1</v>
      </c>
      <c r="J1169">
        <v>0</v>
      </c>
      <c r="K1169">
        <v>0</v>
      </c>
      <c r="L1169">
        <v>0</v>
      </c>
      <c r="M1169" t="s">
        <v>17</v>
      </c>
    </row>
    <row r="1170" spans="1:13" hidden="1" x14ac:dyDescent="0.15">
      <c r="A1170" t="s">
        <v>3754</v>
      </c>
      <c r="B1170" t="s">
        <v>3755</v>
      </c>
      <c r="C1170" t="s">
        <v>3756</v>
      </c>
      <c r="D1170" t="s">
        <v>3747</v>
      </c>
      <c r="E1170">
        <v>47</v>
      </c>
      <c r="F1170" t="str">
        <f>HYPERLINK("https://github.com/ccrama/Slide/issues/660", "show")</f>
        <v>show</v>
      </c>
      <c r="G1170" t="str">
        <f>HYPERLINK("https://github.com/ccrama/Slide", "show")</f>
        <v>show</v>
      </c>
      <c r="H1170" t="str">
        <f>HYPERLINK("https://github.com/ccrama/Slide/releases", "show")</f>
        <v>show</v>
      </c>
      <c r="I1170">
        <v>1</v>
      </c>
      <c r="J1170">
        <v>0</v>
      </c>
      <c r="K1170">
        <v>1</v>
      </c>
      <c r="L1170">
        <v>0</v>
      </c>
      <c r="M1170" t="s">
        <v>64</v>
      </c>
    </row>
    <row r="1171" spans="1:13" hidden="1" x14ac:dyDescent="0.15">
      <c r="A1171" t="s">
        <v>3757</v>
      </c>
      <c r="B1171" t="s">
        <v>3758</v>
      </c>
      <c r="C1171" t="s">
        <v>3759</v>
      </c>
      <c r="D1171" t="s">
        <v>3760</v>
      </c>
      <c r="E1171">
        <v>221</v>
      </c>
      <c r="F1171" t="str">
        <f>HYPERLINK("https://github.com/SASAbus/SASAbus/issues/17", "show")</f>
        <v>show</v>
      </c>
      <c r="G1171" t="str">
        <f>HYPERLINK("https://github.com/SASAbus/SASAbus", "show")</f>
        <v>show</v>
      </c>
      <c r="H1171" t="str">
        <f>HYPERLINK("https://github.com/SASAbus/SASAbus/releases", "show")</f>
        <v>show</v>
      </c>
      <c r="I1171">
        <v>1</v>
      </c>
      <c r="J1171">
        <v>0</v>
      </c>
      <c r="K1171">
        <v>0</v>
      </c>
      <c r="L1171">
        <v>0</v>
      </c>
      <c r="M1171" t="s">
        <v>17</v>
      </c>
    </row>
    <row r="1172" spans="1:13" hidden="1" x14ac:dyDescent="0.15">
      <c r="A1172" t="s">
        <v>3761</v>
      </c>
      <c r="B1172" t="s">
        <v>3762</v>
      </c>
      <c r="C1172" t="s">
        <v>3763</v>
      </c>
      <c r="D1172" t="s">
        <v>3760</v>
      </c>
      <c r="E1172">
        <v>1</v>
      </c>
      <c r="F1172" t="str">
        <f>HYPERLINK("https://github.com/Freeyourgadget/Gadgetbridge/issues/175", "show")</f>
        <v>show</v>
      </c>
      <c r="G1172" t="str">
        <f>HYPERLINK("https://github.com/Freeyourgadget/Gadgetbridge", "show")</f>
        <v>show</v>
      </c>
      <c r="H1172" t="str">
        <f>HYPERLINK("https://github.com/Freeyourgadget/Gadgetbridge/releases", "show")</f>
        <v>show</v>
      </c>
      <c r="I1172">
        <v>1</v>
      </c>
      <c r="J1172">
        <v>1</v>
      </c>
      <c r="K1172">
        <v>0</v>
      </c>
      <c r="L1172">
        <v>0</v>
      </c>
      <c r="M1172" t="s">
        <v>48</v>
      </c>
    </row>
    <row r="1173" spans="1:13" hidden="1" x14ac:dyDescent="0.15">
      <c r="A1173" t="s">
        <v>3764</v>
      </c>
      <c r="B1173" t="s">
        <v>3765</v>
      </c>
      <c r="C1173" t="s">
        <v>3766</v>
      </c>
      <c r="D1173" t="s">
        <v>3760</v>
      </c>
      <c r="E1173">
        <v>2</v>
      </c>
      <c r="F1173" t="str">
        <f>HYPERLINK("https://github.com/zhuowei/MCPELauncher/issues/319", "show")</f>
        <v>show</v>
      </c>
      <c r="G1173" t="str">
        <f>HYPERLINK("https://github.com/zhuowei/MCPELauncher", "show")</f>
        <v>show</v>
      </c>
      <c r="H1173" t="str">
        <f>HYPERLINK("https://github.com/zhuowei/MCPELauncher/releases", "show")</f>
        <v>show</v>
      </c>
      <c r="I1173">
        <v>1</v>
      </c>
      <c r="J1173">
        <v>0</v>
      </c>
      <c r="K1173">
        <v>0</v>
      </c>
      <c r="L1173">
        <v>0</v>
      </c>
      <c r="M1173" t="s">
        <v>17</v>
      </c>
    </row>
    <row r="1174" spans="1:13" hidden="1" x14ac:dyDescent="0.15">
      <c r="A1174" t="s">
        <v>3767</v>
      </c>
      <c r="B1174" t="s">
        <v>3768</v>
      </c>
      <c r="D1174" t="s">
        <v>3760</v>
      </c>
      <c r="E1174">
        <v>3</v>
      </c>
      <c r="F1174" t="str">
        <f>HYPERLINK("https://github.com/ibinti/bugvm/issues/19", "show")</f>
        <v>show</v>
      </c>
      <c r="G1174" t="str">
        <f>HYPERLINK("https://github.com/ibinti/bugvm", "show")</f>
        <v>show</v>
      </c>
      <c r="H1174" t="str">
        <f>HYPERLINK("https://github.com/ibinti/bugvm/releases", "show")</f>
        <v>show</v>
      </c>
      <c r="I1174">
        <v>1</v>
      </c>
      <c r="J1174">
        <v>0</v>
      </c>
      <c r="K1174">
        <v>0</v>
      </c>
      <c r="L1174">
        <v>0</v>
      </c>
      <c r="M1174" t="s">
        <v>17</v>
      </c>
    </row>
    <row r="1175" spans="1:13" hidden="1" x14ac:dyDescent="0.15">
      <c r="A1175" t="s">
        <v>3769</v>
      </c>
      <c r="B1175" t="s">
        <v>3770</v>
      </c>
      <c r="C1175" t="s">
        <v>3771</v>
      </c>
      <c r="D1175" t="s">
        <v>3772</v>
      </c>
      <c r="E1175">
        <v>9</v>
      </c>
      <c r="F1175" t="str">
        <f>HYPERLINK("https://github.com/PhotoBackup/client-android/issues/11", "show")</f>
        <v>show</v>
      </c>
      <c r="G1175" t="str">
        <f>HYPERLINK("https://github.com/PhotoBackup/client-android", "show")</f>
        <v>show</v>
      </c>
      <c r="H1175" t="str">
        <f>HYPERLINK("https://github.com/PhotoBackup/client-android/releases", "show")</f>
        <v>show</v>
      </c>
      <c r="I1175">
        <v>1</v>
      </c>
      <c r="J1175">
        <v>0</v>
      </c>
      <c r="K1175">
        <v>0</v>
      </c>
      <c r="L1175">
        <v>0</v>
      </c>
      <c r="M1175" t="s">
        <v>17</v>
      </c>
    </row>
    <row r="1176" spans="1:13" hidden="1" x14ac:dyDescent="0.15">
      <c r="A1176" t="s">
        <v>3773</v>
      </c>
      <c r="B1176" t="s">
        <v>3774</v>
      </c>
      <c r="C1176" t="s">
        <v>3775</v>
      </c>
      <c r="D1176" t="s">
        <v>3772</v>
      </c>
      <c r="E1176">
        <v>27</v>
      </c>
      <c r="F1176" t="str">
        <f>HYPERLINK("https://github.com/zhuowei/MCPELauncher/issues/338", "show")</f>
        <v>show</v>
      </c>
      <c r="G1176" t="str">
        <f>HYPERLINK("https://github.com/zhuowei/MCPELauncher", "show")</f>
        <v>show</v>
      </c>
      <c r="H1176" t="str">
        <f>HYPERLINK("https://github.com/zhuowei/MCPELauncher/releases", "show")</f>
        <v>show</v>
      </c>
      <c r="I1176">
        <v>0</v>
      </c>
      <c r="J1176">
        <v>0</v>
      </c>
      <c r="K1176">
        <v>0</v>
      </c>
      <c r="L1176">
        <v>0</v>
      </c>
      <c r="M1176" t="s">
        <v>43</v>
      </c>
    </row>
    <row r="1177" spans="1:13" hidden="1" x14ac:dyDescent="0.15">
      <c r="A1177" t="s">
        <v>3776</v>
      </c>
      <c r="B1177" t="s">
        <v>3777</v>
      </c>
      <c r="D1177" t="s">
        <v>3772</v>
      </c>
      <c r="E1177">
        <v>0</v>
      </c>
      <c r="F1177" t="str">
        <f>HYPERLINK("https://github.com/mvysny/aedict/issues/595", "show")</f>
        <v>show</v>
      </c>
      <c r="G1177" t="str">
        <f>HYPERLINK("https://github.com/mvysny/aedict", "show")</f>
        <v>show</v>
      </c>
      <c r="H1177" t="str">
        <f>HYPERLINK("https://github.com/mvysny/aedict/releases", "show")</f>
        <v>show</v>
      </c>
      <c r="I1177">
        <v>0</v>
      </c>
      <c r="J1177">
        <v>0</v>
      </c>
      <c r="K1177">
        <v>1</v>
      </c>
      <c r="L1177">
        <v>0</v>
      </c>
      <c r="M1177" t="s">
        <v>122</v>
      </c>
    </row>
    <row r="1178" spans="1:13" hidden="1" x14ac:dyDescent="0.15">
      <c r="A1178" t="s">
        <v>3778</v>
      </c>
      <c r="B1178" t="s">
        <v>3779</v>
      </c>
      <c r="C1178" t="s">
        <v>3780</v>
      </c>
      <c r="D1178" t="s">
        <v>3772</v>
      </c>
      <c r="E1178">
        <v>24</v>
      </c>
      <c r="F1178" t="str">
        <f>HYPERLINK("https://github.com/sriharshachilakapati/SilenceEngine/issues/53", "show")</f>
        <v>show</v>
      </c>
      <c r="G1178" t="str">
        <f>HYPERLINK("https://github.com/sriharshachilakapati/SilenceEngine", "show")</f>
        <v>show</v>
      </c>
      <c r="H1178" t="str">
        <f>HYPERLINK("https://github.com/sriharshachilakapati/SilenceEngine/releases", "show")</f>
        <v>show</v>
      </c>
      <c r="I1178">
        <v>0</v>
      </c>
      <c r="J1178">
        <v>0</v>
      </c>
      <c r="K1178">
        <v>1</v>
      </c>
      <c r="L1178">
        <v>0</v>
      </c>
      <c r="M1178" t="s">
        <v>122</v>
      </c>
    </row>
    <row r="1179" spans="1:13" hidden="1" x14ac:dyDescent="0.15">
      <c r="A1179" t="s">
        <v>3781</v>
      </c>
      <c r="B1179" t="s">
        <v>3782</v>
      </c>
      <c r="C1179" t="s">
        <v>3783</v>
      </c>
      <c r="D1179" t="s">
        <v>3784</v>
      </c>
      <c r="E1179">
        <v>133</v>
      </c>
      <c r="F1179" t="str">
        <f>HYPERLINK("https://github.com/k9mail/k-9/issues/916", "show")</f>
        <v>show</v>
      </c>
      <c r="G1179" t="str">
        <f>HYPERLINK("https://github.com/k9mail/k-9", "show")</f>
        <v>show</v>
      </c>
      <c r="H1179" t="str">
        <f>HYPERLINK("https://github.com/k9mail/k-9/releases", "show")</f>
        <v>show</v>
      </c>
      <c r="I1179">
        <v>1</v>
      </c>
      <c r="J1179">
        <v>0</v>
      </c>
      <c r="K1179">
        <v>1</v>
      </c>
      <c r="L1179">
        <v>0</v>
      </c>
      <c r="M1179" t="s">
        <v>64</v>
      </c>
    </row>
    <row r="1180" spans="1:13" hidden="1" x14ac:dyDescent="0.15">
      <c r="A1180" t="s">
        <v>3785</v>
      </c>
      <c r="B1180" t="s">
        <v>3786</v>
      </c>
      <c r="C1180" t="s">
        <v>3787</v>
      </c>
      <c r="D1180" t="s">
        <v>3784</v>
      </c>
      <c r="E1180">
        <v>3</v>
      </c>
      <c r="F1180" t="str">
        <f>HYPERLINK("https://github.com/greysonp/permiso/issues/5", "show")</f>
        <v>show</v>
      </c>
      <c r="G1180" t="str">
        <f>HYPERLINK("https://github.com/greysonp/permiso", "show")</f>
        <v>show</v>
      </c>
      <c r="H1180" t="str">
        <f>HYPERLINK("https://github.com/greysonp/permiso/releases", "show")</f>
        <v>show</v>
      </c>
      <c r="I1180">
        <v>1</v>
      </c>
      <c r="J1180">
        <v>0</v>
      </c>
      <c r="K1180">
        <v>0</v>
      </c>
      <c r="L1180">
        <v>0</v>
      </c>
      <c r="M1180" t="s">
        <v>17</v>
      </c>
    </row>
    <row r="1181" spans="1:13" hidden="1" x14ac:dyDescent="0.15">
      <c r="A1181" t="s">
        <v>3788</v>
      </c>
      <c r="B1181" t="s">
        <v>3789</v>
      </c>
      <c r="C1181" t="s">
        <v>3790</v>
      </c>
      <c r="D1181" t="s">
        <v>3791</v>
      </c>
      <c r="E1181">
        <v>3</v>
      </c>
      <c r="F1181" t="str">
        <f>HYPERLINK("https://github.com/zhuowei/MCPELauncher/issues/355", "show")</f>
        <v>show</v>
      </c>
      <c r="G1181" t="str">
        <f>HYPERLINK("https://github.com/zhuowei/MCPELauncher", "show")</f>
        <v>show</v>
      </c>
      <c r="H1181" t="str">
        <f>HYPERLINK("https://github.com/zhuowei/MCPELauncher/releases", "show")</f>
        <v>show</v>
      </c>
      <c r="I1181">
        <v>1</v>
      </c>
      <c r="J1181">
        <v>0</v>
      </c>
      <c r="K1181">
        <v>0</v>
      </c>
      <c r="L1181">
        <v>0</v>
      </c>
      <c r="M1181" t="s">
        <v>17</v>
      </c>
    </row>
    <row r="1182" spans="1:13" hidden="1" x14ac:dyDescent="0.15">
      <c r="A1182" t="s">
        <v>3792</v>
      </c>
      <c r="B1182" t="s">
        <v>3793</v>
      </c>
      <c r="C1182" t="s">
        <v>3794</v>
      </c>
      <c r="D1182" t="s">
        <v>3795</v>
      </c>
      <c r="E1182">
        <v>1</v>
      </c>
      <c r="F1182" t="str">
        <f>HYPERLINK("https://github.com/dimagi/commcare-android/issues/870", "show")</f>
        <v>show</v>
      </c>
      <c r="G1182" t="str">
        <f>HYPERLINK("https://github.com/dimagi/commcare-android", "show")</f>
        <v>show</v>
      </c>
      <c r="H1182" t="str">
        <f>HYPERLINK("https://github.com/dimagi/commcare-android/releases", "show")</f>
        <v>show</v>
      </c>
      <c r="I1182">
        <v>1</v>
      </c>
      <c r="J1182">
        <v>0</v>
      </c>
      <c r="K1182">
        <v>0</v>
      </c>
      <c r="L1182">
        <v>0</v>
      </c>
      <c r="M1182" t="s">
        <v>17</v>
      </c>
    </row>
    <row r="1183" spans="1:13" hidden="1" x14ac:dyDescent="0.15">
      <c r="A1183" t="s">
        <v>3796</v>
      </c>
      <c r="B1183" t="s">
        <v>3797</v>
      </c>
      <c r="C1183" t="s">
        <v>3798</v>
      </c>
      <c r="D1183" t="s">
        <v>3795</v>
      </c>
      <c r="E1183">
        <v>0</v>
      </c>
      <c r="F1183" t="str">
        <f>HYPERLINK("https://github.com/OneBusAway/onebusaway-android/issues/389", "show")</f>
        <v>show</v>
      </c>
      <c r="G1183" t="str">
        <f>HYPERLINK("https://github.com/OneBusAway/onebusaway-android", "show")</f>
        <v>show</v>
      </c>
      <c r="H1183" t="str">
        <f>HYPERLINK("https://github.com/OneBusAway/onebusaway-android/releases", "show")</f>
        <v>show</v>
      </c>
      <c r="I1183">
        <v>1</v>
      </c>
      <c r="J1183">
        <v>0</v>
      </c>
      <c r="K1183">
        <v>1</v>
      </c>
      <c r="L1183">
        <v>0</v>
      </c>
      <c r="M1183" t="s">
        <v>64</v>
      </c>
    </row>
    <row r="1184" spans="1:13" hidden="1" x14ac:dyDescent="0.15">
      <c r="A1184" t="s">
        <v>3799</v>
      </c>
      <c r="B1184" t="s">
        <v>3800</v>
      </c>
      <c r="C1184" t="s">
        <v>3801</v>
      </c>
      <c r="D1184" t="s">
        <v>3795</v>
      </c>
      <c r="E1184">
        <v>39</v>
      </c>
      <c r="F1184" t="str">
        <f>HYPERLINK("https://github.com/cgeo/cgeo/issues/5296", "show")</f>
        <v>show</v>
      </c>
      <c r="G1184" t="str">
        <f>HYPERLINK("https://github.com/cgeo/cgeo", "show")</f>
        <v>show</v>
      </c>
      <c r="H1184" t="str">
        <f>HYPERLINK("https://github.com/cgeo/cgeo/releases", "show")</f>
        <v>show</v>
      </c>
      <c r="I1184">
        <v>1</v>
      </c>
      <c r="J1184">
        <v>1</v>
      </c>
      <c r="K1184">
        <v>0</v>
      </c>
      <c r="L1184">
        <v>0</v>
      </c>
      <c r="M1184" t="s">
        <v>48</v>
      </c>
    </row>
    <row r="1185" spans="1:13" hidden="1" x14ac:dyDescent="0.15">
      <c r="A1185" t="s">
        <v>3802</v>
      </c>
      <c r="B1185" t="s">
        <v>3803</v>
      </c>
      <c r="C1185" t="s">
        <v>3804</v>
      </c>
      <c r="D1185" t="s">
        <v>3795</v>
      </c>
      <c r="E1185">
        <v>0</v>
      </c>
      <c r="F1185" t="str">
        <f>HYPERLINK("https://github.com/arimorty/floatingsearchview/issues/1", "show")</f>
        <v>show</v>
      </c>
      <c r="G1185" t="str">
        <f>HYPERLINK("https://github.com/arimorty/floatingsearchview", "show")</f>
        <v>show</v>
      </c>
      <c r="H1185" t="str">
        <f>HYPERLINK("https://github.com/arimorty/floatingsearchview/releases", "show")</f>
        <v>show</v>
      </c>
      <c r="I1185">
        <v>1</v>
      </c>
      <c r="J1185">
        <v>0</v>
      </c>
      <c r="K1185">
        <v>0</v>
      </c>
      <c r="L1185">
        <v>0</v>
      </c>
      <c r="M1185" t="s">
        <v>17</v>
      </c>
    </row>
    <row r="1186" spans="1:13" hidden="1" x14ac:dyDescent="0.15">
      <c r="A1186" t="s">
        <v>3805</v>
      </c>
      <c r="B1186" t="s">
        <v>3806</v>
      </c>
      <c r="C1186" t="s">
        <v>3807</v>
      </c>
      <c r="D1186" t="s">
        <v>3808</v>
      </c>
      <c r="E1186">
        <v>11</v>
      </c>
      <c r="F1186" t="str">
        <f>HYPERLINK("https://github.com/ccrama/Slide/issues/691", "show")</f>
        <v>show</v>
      </c>
      <c r="G1186" t="str">
        <f>HYPERLINK("https://github.com/ccrama/Slide", "show")</f>
        <v>show</v>
      </c>
      <c r="H1186" t="str">
        <f>HYPERLINK("https://github.com/ccrama/Slide/releases", "show")</f>
        <v>show</v>
      </c>
      <c r="I1186">
        <v>1</v>
      </c>
      <c r="J1186">
        <v>0</v>
      </c>
      <c r="K1186">
        <v>0</v>
      </c>
      <c r="L1186">
        <v>0</v>
      </c>
      <c r="M1186" t="s">
        <v>17</v>
      </c>
    </row>
    <row r="1187" spans="1:13" hidden="1" x14ac:dyDescent="0.15">
      <c r="A1187" t="s">
        <v>3809</v>
      </c>
      <c r="B1187" t="s">
        <v>3810</v>
      </c>
      <c r="C1187" t="s">
        <v>3811</v>
      </c>
      <c r="D1187" t="s">
        <v>3808</v>
      </c>
      <c r="E1187">
        <v>7</v>
      </c>
      <c r="F1187" t="str">
        <f>HYPERLINK("https://github.com/coupies-gmbh/android-sdk/issues/18", "show")</f>
        <v>show</v>
      </c>
      <c r="G1187" t="str">
        <f>HYPERLINK("https://github.com/coupies-gmbh/android-sdk", "show")</f>
        <v>show</v>
      </c>
      <c r="H1187" t="str">
        <f>HYPERLINK("https://github.com/coupies-gmbh/android-sdk/releases", "show")</f>
        <v>show</v>
      </c>
      <c r="I1187">
        <v>1</v>
      </c>
      <c r="J1187">
        <v>0</v>
      </c>
      <c r="K1187">
        <v>0</v>
      </c>
      <c r="L1187">
        <v>0</v>
      </c>
      <c r="M1187" t="s">
        <v>17</v>
      </c>
    </row>
    <row r="1188" spans="1:13" hidden="1" x14ac:dyDescent="0.15">
      <c r="A1188" t="s">
        <v>3812</v>
      </c>
      <c r="B1188" t="s">
        <v>3813</v>
      </c>
      <c r="C1188" t="s">
        <v>3814</v>
      </c>
      <c r="D1188" t="s">
        <v>3815</v>
      </c>
      <c r="E1188">
        <v>0</v>
      </c>
      <c r="F1188" t="str">
        <f>HYPERLINK("https://github.com/dhis2msg/DHISmessenger/issues/12", "show")</f>
        <v>show</v>
      </c>
      <c r="G1188" t="str">
        <f>HYPERLINK("https://github.com/dhis2msg/DHISmessenger", "show")</f>
        <v>show</v>
      </c>
      <c r="H1188" t="str">
        <f>HYPERLINK("https://github.com/dhis2msg/DHISmessenger/releases", "show")</f>
        <v>show</v>
      </c>
      <c r="I1188">
        <v>1</v>
      </c>
      <c r="J1188">
        <v>0</v>
      </c>
      <c r="K1188">
        <v>0</v>
      </c>
      <c r="L1188">
        <v>0</v>
      </c>
      <c r="M1188" t="s">
        <v>17</v>
      </c>
    </row>
    <row r="1189" spans="1:13" hidden="1" x14ac:dyDescent="0.15">
      <c r="A1189" t="s">
        <v>3816</v>
      </c>
      <c r="B1189" t="s">
        <v>3817</v>
      </c>
      <c r="C1189" t="s">
        <v>3818</v>
      </c>
      <c r="D1189" t="s">
        <v>3819</v>
      </c>
      <c r="E1189">
        <v>1</v>
      </c>
      <c r="F1189" t="str">
        <f>HYPERLINK("https://github.com/sriharshachilakapati/SilenceEngine/issues/54", "show")</f>
        <v>show</v>
      </c>
      <c r="G1189" t="str">
        <f>HYPERLINK("https://github.com/sriharshachilakapati/SilenceEngine", "show")</f>
        <v>show</v>
      </c>
      <c r="H1189" t="str">
        <f>HYPERLINK("https://github.com/sriharshachilakapati/SilenceEngine/releases", "show")</f>
        <v>show</v>
      </c>
      <c r="I1189">
        <v>1</v>
      </c>
      <c r="J1189">
        <v>0</v>
      </c>
      <c r="K1189">
        <v>1</v>
      </c>
      <c r="L1189">
        <v>0</v>
      </c>
      <c r="M1189" t="s">
        <v>64</v>
      </c>
    </row>
    <row r="1190" spans="1:13" hidden="1" x14ac:dyDescent="0.15">
      <c r="A1190" t="s">
        <v>3820</v>
      </c>
      <c r="B1190" t="s">
        <v>3821</v>
      </c>
      <c r="C1190" t="s">
        <v>3822</v>
      </c>
      <c r="D1190" t="s">
        <v>3819</v>
      </c>
      <c r="E1190">
        <v>12</v>
      </c>
      <c r="F1190" t="str">
        <f>HYPERLINK("https://github.com/SecUSo/privacy-friendly-pin-mnemonic/issues/6", "show")</f>
        <v>show</v>
      </c>
      <c r="G1190" t="str">
        <f>HYPERLINK("https://github.com/SecUSo/privacy-friendly-pin-mnemonic", "show")</f>
        <v>show</v>
      </c>
      <c r="H1190" t="str">
        <f>HYPERLINK("https://github.com/SecUSo/privacy-friendly-pin-mnemonic/releases", "show")</f>
        <v>show</v>
      </c>
      <c r="I1190">
        <v>1</v>
      </c>
      <c r="J1190">
        <v>0</v>
      </c>
      <c r="K1190">
        <v>0</v>
      </c>
      <c r="L1190">
        <v>0</v>
      </c>
      <c r="M1190" t="s">
        <v>17</v>
      </c>
    </row>
    <row r="1191" spans="1:13" hidden="1" x14ac:dyDescent="0.15">
      <c r="A1191" t="s">
        <v>3823</v>
      </c>
      <c r="B1191" t="s">
        <v>3824</v>
      </c>
      <c r="C1191" t="s">
        <v>3825</v>
      </c>
      <c r="D1191" t="s">
        <v>3826</v>
      </c>
      <c r="E1191">
        <v>2</v>
      </c>
      <c r="F1191" t="str">
        <f>HYPERLINK("https://github.com/Freeyourgadget/Gadgetbridge/issues/179", "show")</f>
        <v>show</v>
      </c>
      <c r="G1191" t="str">
        <f>HYPERLINK("https://github.com/Freeyourgadget/Gadgetbridge", "show")</f>
        <v>show</v>
      </c>
      <c r="H1191" t="str">
        <f>HYPERLINK("https://github.com/Freeyourgadget/Gadgetbridge/releases", "show")</f>
        <v>show</v>
      </c>
      <c r="I1191">
        <v>1</v>
      </c>
      <c r="J1191">
        <v>0</v>
      </c>
      <c r="K1191">
        <v>0</v>
      </c>
      <c r="L1191">
        <v>0</v>
      </c>
      <c r="M1191" t="s">
        <v>17</v>
      </c>
    </row>
    <row r="1192" spans="1:13" hidden="1" x14ac:dyDescent="0.15">
      <c r="A1192" t="s">
        <v>3827</v>
      </c>
      <c r="B1192" t="s">
        <v>3828</v>
      </c>
      <c r="C1192" t="s">
        <v>3829</v>
      </c>
      <c r="D1192" t="s">
        <v>3830</v>
      </c>
      <c r="E1192">
        <v>8</v>
      </c>
      <c r="F1192" t="str">
        <f>HYPERLINK("https://github.com/wallabag/android-app/issues/154", "show")</f>
        <v>show</v>
      </c>
      <c r="G1192" t="str">
        <f>HYPERLINK("https://github.com/wallabag/android-app", "show")</f>
        <v>show</v>
      </c>
      <c r="H1192" t="str">
        <f>HYPERLINK("https://github.com/wallabag/android-app/releases", "show")</f>
        <v>show</v>
      </c>
      <c r="I1192">
        <v>1</v>
      </c>
      <c r="J1192">
        <v>0</v>
      </c>
      <c r="K1192">
        <v>0</v>
      </c>
      <c r="L1192">
        <v>0</v>
      </c>
      <c r="M1192" t="s">
        <v>17</v>
      </c>
    </row>
    <row r="1193" spans="1:13" hidden="1" x14ac:dyDescent="0.15">
      <c r="A1193" t="s">
        <v>3831</v>
      </c>
      <c r="B1193" t="s">
        <v>3832</v>
      </c>
      <c r="C1193" t="s">
        <v>3833</v>
      </c>
      <c r="D1193" t="s">
        <v>3830</v>
      </c>
      <c r="E1193">
        <v>0</v>
      </c>
      <c r="F1193" t="str">
        <f>HYPERLINK("https://github.com/WOCHStudios/SoundBoard/issues/9", "show")</f>
        <v>show</v>
      </c>
      <c r="G1193" t="str">
        <f>HYPERLINK("https://github.com/WOCHStudios/SoundBoard", "show")</f>
        <v>show</v>
      </c>
      <c r="H1193" t="str">
        <f>HYPERLINK("https://github.com/WOCHStudios/SoundBoard/releases", "show")</f>
        <v>show</v>
      </c>
      <c r="I1193">
        <v>1</v>
      </c>
      <c r="J1193">
        <v>0</v>
      </c>
      <c r="K1193">
        <v>0</v>
      </c>
      <c r="L1193">
        <v>0</v>
      </c>
      <c r="M1193" t="s">
        <v>17</v>
      </c>
    </row>
    <row r="1194" spans="1:13" hidden="1" x14ac:dyDescent="0.15">
      <c r="A1194" t="s">
        <v>3834</v>
      </c>
      <c r="B1194" t="s">
        <v>3835</v>
      </c>
      <c r="C1194" t="s">
        <v>3836</v>
      </c>
      <c r="D1194" t="s">
        <v>3837</v>
      </c>
      <c r="E1194">
        <v>14</v>
      </c>
      <c r="F1194" t="str">
        <f>HYPERLINK("https://github.com/gre/gl-react-native-v2/issues/41", "show")</f>
        <v>show</v>
      </c>
      <c r="G1194" t="str">
        <f>HYPERLINK("https://github.com/gre/gl-react-native-v2", "show")</f>
        <v>show</v>
      </c>
      <c r="H1194" t="str">
        <f>HYPERLINK("https://github.com/gre/gl-react-native-v2/releases", "show")</f>
        <v>show</v>
      </c>
      <c r="I1194">
        <v>1</v>
      </c>
      <c r="J1194">
        <v>0</v>
      </c>
      <c r="K1194">
        <v>0</v>
      </c>
      <c r="L1194">
        <v>0</v>
      </c>
      <c r="M1194" t="s">
        <v>17</v>
      </c>
    </row>
    <row r="1195" spans="1:13" hidden="1" x14ac:dyDescent="0.15">
      <c r="A1195" t="s">
        <v>3838</v>
      </c>
      <c r="B1195" t="s">
        <v>3839</v>
      </c>
      <c r="C1195" t="s">
        <v>3840</v>
      </c>
      <c r="D1195" t="s">
        <v>3837</v>
      </c>
      <c r="E1195">
        <v>211</v>
      </c>
      <c r="F1195" t="str">
        <f>HYPERLINK("https://github.com/square/okhttp/issues/2068", "show")</f>
        <v>show</v>
      </c>
      <c r="G1195" t="str">
        <f>HYPERLINK("https://github.com/square/okhttp", "show")</f>
        <v>show</v>
      </c>
      <c r="H1195" t="str">
        <f>HYPERLINK("https://github.com/square/okhttp/releases", "show")</f>
        <v>show</v>
      </c>
      <c r="I1195">
        <v>0</v>
      </c>
      <c r="J1195">
        <v>0</v>
      </c>
      <c r="K1195">
        <v>1</v>
      </c>
      <c r="L1195">
        <v>0</v>
      </c>
      <c r="M1195" t="s">
        <v>122</v>
      </c>
    </row>
    <row r="1196" spans="1:13" hidden="1" x14ac:dyDescent="0.15">
      <c r="A1196" t="s">
        <v>3841</v>
      </c>
      <c r="B1196" t="s">
        <v>3842</v>
      </c>
      <c r="C1196" t="s">
        <v>3843</v>
      </c>
      <c r="D1196" t="s">
        <v>3837</v>
      </c>
      <c r="E1196">
        <v>0</v>
      </c>
      <c r="F1196" t="str">
        <f>HYPERLINK("https://github.com/Freeyourgadget/Gadgetbridge/issues/182", "show")</f>
        <v>show</v>
      </c>
      <c r="G1196" t="str">
        <f>HYPERLINK("https://github.com/Freeyourgadget/Gadgetbridge", "show")</f>
        <v>show</v>
      </c>
      <c r="H1196" t="str">
        <f>HYPERLINK("https://github.com/Freeyourgadget/Gadgetbridge/releases", "show")</f>
        <v>show</v>
      </c>
      <c r="I1196">
        <v>1</v>
      </c>
      <c r="J1196">
        <v>0</v>
      </c>
      <c r="K1196">
        <v>0</v>
      </c>
      <c r="L1196">
        <v>0</v>
      </c>
      <c r="M1196" t="s">
        <v>17</v>
      </c>
    </row>
    <row r="1197" spans="1:13" hidden="1" x14ac:dyDescent="0.15">
      <c r="A1197" t="s">
        <v>3844</v>
      </c>
      <c r="B1197" t="s">
        <v>3845</v>
      </c>
      <c r="C1197" t="s">
        <v>3846</v>
      </c>
      <c r="D1197" t="s">
        <v>3837</v>
      </c>
      <c r="E1197">
        <v>1447</v>
      </c>
      <c r="F1197" t="str">
        <f>HYPERLINK("https://github.com/enviroCar/enviroCar-app/issues/274", "show")</f>
        <v>show</v>
      </c>
      <c r="G1197" t="str">
        <f>HYPERLINK("https://github.com/enviroCar/enviroCar-app", "show")</f>
        <v>show</v>
      </c>
      <c r="H1197" t="str">
        <f>HYPERLINK("https://github.com/enviroCar/enviroCar-app/releases", "show")</f>
        <v>show</v>
      </c>
      <c r="I1197">
        <v>1</v>
      </c>
      <c r="J1197">
        <v>0</v>
      </c>
      <c r="K1197">
        <v>0</v>
      </c>
      <c r="L1197">
        <v>0</v>
      </c>
      <c r="M1197" t="s">
        <v>17</v>
      </c>
    </row>
    <row r="1198" spans="1:13" hidden="1" x14ac:dyDescent="0.15">
      <c r="A1198" t="s">
        <v>3847</v>
      </c>
      <c r="B1198" t="s">
        <v>3848</v>
      </c>
      <c r="C1198" t="s">
        <v>3849</v>
      </c>
      <c r="D1198" t="s">
        <v>3850</v>
      </c>
      <c r="E1198">
        <v>40</v>
      </c>
      <c r="F1198" t="str">
        <f>HYPERLINK("https://github.com/OpenSeizureDetector/Android_Pebble_SD/issues/6", "show")</f>
        <v>show</v>
      </c>
      <c r="G1198" t="str">
        <f>HYPERLINK("https://github.com/OpenSeizureDetector/Android_Pebble_SD", "show")</f>
        <v>show</v>
      </c>
      <c r="H1198" t="str">
        <f>HYPERLINK("https://github.com/OpenSeizureDetector/Android_Pebble_SD/releases", "show")</f>
        <v>show</v>
      </c>
      <c r="I1198">
        <v>1</v>
      </c>
      <c r="J1198">
        <v>0</v>
      </c>
      <c r="K1198">
        <v>0</v>
      </c>
      <c r="L1198">
        <v>0</v>
      </c>
      <c r="M1198" t="s">
        <v>17</v>
      </c>
    </row>
    <row r="1199" spans="1:13" hidden="1" x14ac:dyDescent="0.15">
      <c r="A1199" t="s">
        <v>3851</v>
      </c>
      <c r="B1199" t="s">
        <v>3852</v>
      </c>
      <c r="C1199" t="s">
        <v>3853</v>
      </c>
      <c r="D1199" t="s">
        <v>3850</v>
      </c>
      <c r="E1199">
        <v>17</v>
      </c>
      <c r="F1199" t="str">
        <f>HYPERLINK("https://github.com/dimagi/commcare-android/issues/898", "show")</f>
        <v>show</v>
      </c>
      <c r="G1199" t="str">
        <f>HYPERLINK("https://github.com/dimagi/commcare-android", "show")</f>
        <v>show</v>
      </c>
      <c r="H1199" t="str">
        <f>HYPERLINK("https://github.com/dimagi/commcare-android/releases", "show")</f>
        <v>show</v>
      </c>
      <c r="I1199">
        <v>1</v>
      </c>
      <c r="J1199">
        <v>0</v>
      </c>
      <c r="K1199">
        <v>0</v>
      </c>
      <c r="L1199">
        <v>1</v>
      </c>
      <c r="M1199" t="s">
        <v>29</v>
      </c>
    </row>
    <row r="1200" spans="1:13" hidden="1" x14ac:dyDescent="0.15">
      <c r="A1200" t="s">
        <v>3854</v>
      </c>
      <c r="B1200" t="s">
        <v>3855</v>
      </c>
      <c r="C1200" t="s">
        <v>3856</v>
      </c>
      <c r="D1200" t="s">
        <v>3850</v>
      </c>
      <c r="E1200">
        <v>1</v>
      </c>
      <c r="F1200" t="str">
        <f>HYPERLINK("https://github.com/CellularPrivacy/Android-IMSI-Catcher-Detector/issues/661", "show")</f>
        <v>show</v>
      </c>
      <c r="G1200" t="str">
        <f>HYPERLINK("https://github.com/CellularPrivacy/Android-IMSI-Catcher-Detector", "show")</f>
        <v>show</v>
      </c>
      <c r="H1200" t="str">
        <f>HYPERLINK("https://github.com/CellularPrivacy/Android-IMSI-Catcher-Detector/releases", "show")</f>
        <v>show</v>
      </c>
      <c r="I1200">
        <v>1</v>
      </c>
      <c r="J1200">
        <v>0</v>
      </c>
      <c r="K1200">
        <v>0</v>
      </c>
      <c r="L1200">
        <v>0</v>
      </c>
      <c r="M1200" t="s">
        <v>17</v>
      </c>
    </row>
    <row r="1201" spans="1:13" hidden="1" x14ac:dyDescent="0.15">
      <c r="A1201" t="s">
        <v>3857</v>
      </c>
      <c r="B1201" t="s">
        <v>3858</v>
      </c>
      <c r="C1201" t="s">
        <v>3859</v>
      </c>
      <c r="D1201" t="s">
        <v>3860</v>
      </c>
      <c r="E1201">
        <v>1</v>
      </c>
      <c r="F1201" t="str">
        <f>HYPERLINK("https://github.com/ccrama/Slide/issues/715", "show")</f>
        <v>show</v>
      </c>
      <c r="G1201" t="str">
        <f>HYPERLINK("https://github.com/ccrama/Slide", "show")</f>
        <v>show</v>
      </c>
      <c r="H1201" t="str">
        <f>HYPERLINK("https://github.com/ccrama/Slide/releases", "show")</f>
        <v>show</v>
      </c>
      <c r="I1201">
        <v>1</v>
      </c>
      <c r="J1201">
        <v>0</v>
      </c>
      <c r="K1201">
        <v>0</v>
      </c>
      <c r="L1201">
        <v>0</v>
      </c>
      <c r="M1201" t="s">
        <v>17</v>
      </c>
    </row>
    <row r="1202" spans="1:13" hidden="1" x14ac:dyDescent="0.15">
      <c r="A1202" t="s">
        <v>3861</v>
      </c>
      <c r="B1202" t="s">
        <v>3862</v>
      </c>
      <c r="D1202" t="s">
        <v>3860</v>
      </c>
      <c r="E1202">
        <v>0</v>
      </c>
      <c r="F1202" t="str">
        <f>HYPERLINK("https://github.com/CellularPrivacy/Android-IMSI-Catcher-Detector/issues/668", "show")</f>
        <v>show</v>
      </c>
      <c r="G1202" t="str">
        <f>HYPERLINK("https://github.com/CellularPrivacy/Android-IMSI-Catcher-Detector", "show")</f>
        <v>show</v>
      </c>
      <c r="H1202" t="str">
        <f>HYPERLINK("https://github.com/CellularPrivacy/Android-IMSI-Catcher-Detector/releases", "show")</f>
        <v>show</v>
      </c>
      <c r="I1202">
        <v>0</v>
      </c>
      <c r="J1202">
        <v>0</v>
      </c>
      <c r="K1202">
        <v>0</v>
      </c>
      <c r="L1202">
        <v>0</v>
      </c>
      <c r="M1202" t="s">
        <v>43</v>
      </c>
    </row>
    <row r="1203" spans="1:13" hidden="1" x14ac:dyDescent="0.15">
      <c r="A1203" t="s">
        <v>3863</v>
      </c>
      <c r="B1203" t="s">
        <v>3864</v>
      </c>
      <c r="C1203" t="s">
        <v>3865</v>
      </c>
      <c r="D1203" t="s">
        <v>3866</v>
      </c>
      <c r="E1203">
        <v>11</v>
      </c>
      <c r="F1203" t="str">
        <f>HYPERLINK("https://github.com/CellularPrivacy/Android-IMSI-Catcher-Detector/issues/677", "show")</f>
        <v>show</v>
      </c>
      <c r="G1203" t="str">
        <f>HYPERLINK("https://github.com/CellularPrivacy/Android-IMSI-Catcher-Detector", "show")</f>
        <v>show</v>
      </c>
      <c r="H1203" t="str">
        <f>HYPERLINK("https://github.com/CellularPrivacy/Android-IMSI-Catcher-Detector/releases", "show")</f>
        <v>show</v>
      </c>
      <c r="I1203">
        <v>1</v>
      </c>
      <c r="J1203">
        <v>0</v>
      </c>
      <c r="K1203">
        <v>1</v>
      </c>
      <c r="L1203">
        <v>0</v>
      </c>
      <c r="M1203" t="s">
        <v>64</v>
      </c>
    </row>
    <row r="1204" spans="1:13" hidden="1" x14ac:dyDescent="0.15">
      <c r="A1204" t="s">
        <v>3867</v>
      </c>
      <c r="B1204" t="s">
        <v>3868</v>
      </c>
      <c r="C1204" t="s">
        <v>3869</v>
      </c>
      <c r="D1204" t="s">
        <v>3866</v>
      </c>
      <c r="E1204">
        <v>128</v>
      </c>
      <c r="F1204" t="str">
        <f>HYPERLINK("https://github.com/geopaparazzi/geopaparazzi/issues/301", "show")</f>
        <v>show</v>
      </c>
      <c r="G1204" t="str">
        <f>HYPERLINK("https://github.com/geopaparazzi/geopaparazzi", "show")</f>
        <v>show</v>
      </c>
      <c r="H1204" t="str">
        <f>HYPERLINK("https://github.com/geopaparazzi/geopaparazzi/releases", "show")</f>
        <v>show</v>
      </c>
      <c r="I1204">
        <v>0</v>
      </c>
      <c r="J1204">
        <v>0</v>
      </c>
      <c r="K1204">
        <v>0</v>
      </c>
      <c r="L1204">
        <v>0</v>
      </c>
      <c r="M1204" t="s">
        <v>43</v>
      </c>
    </row>
    <row r="1205" spans="1:13" hidden="1" x14ac:dyDescent="0.15">
      <c r="A1205" t="s">
        <v>3870</v>
      </c>
      <c r="B1205" t="s">
        <v>3871</v>
      </c>
      <c r="C1205" t="s">
        <v>3872</v>
      </c>
      <c r="D1205" t="s">
        <v>3866</v>
      </c>
      <c r="E1205">
        <v>5</v>
      </c>
      <c r="F1205" t="str">
        <f>HYPERLINK("https://github.com/moravianlibrary/AndroidZoomifyViewer/issues/33", "show")</f>
        <v>show</v>
      </c>
      <c r="G1205" t="str">
        <f>HYPERLINK("https://github.com/moravianlibrary/AndroidZoomifyViewer", "show")</f>
        <v>show</v>
      </c>
      <c r="H1205" t="str">
        <f>HYPERLINK("https://github.com/moravianlibrary/AndroidZoomifyViewer/releases", "show")</f>
        <v>show</v>
      </c>
      <c r="I1205">
        <v>0</v>
      </c>
      <c r="J1205">
        <v>0</v>
      </c>
      <c r="K1205">
        <v>0</v>
      </c>
      <c r="L1205">
        <v>0</v>
      </c>
      <c r="M1205" t="s">
        <v>43</v>
      </c>
    </row>
    <row r="1206" spans="1:13" hidden="1" x14ac:dyDescent="0.15">
      <c r="A1206" t="s">
        <v>3873</v>
      </c>
      <c r="B1206" t="s">
        <v>3874</v>
      </c>
      <c r="C1206" t="s">
        <v>3875</v>
      </c>
      <c r="D1206" t="s">
        <v>3866</v>
      </c>
      <c r="E1206">
        <v>0</v>
      </c>
      <c r="F1206" t="str">
        <f>HYPERLINK("https://github.com/moneymanagerex/android-money-manager-ex/issues/626", "show")</f>
        <v>show</v>
      </c>
      <c r="G1206" t="str">
        <f>HYPERLINK("https://github.com/moneymanagerex/android-money-manager-ex", "show")</f>
        <v>show</v>
      </c>
      <c r="H1206" t="str">
        <f>HYPERLINK("https://github.com/moneymanagerex/android-money-manager-ex/releases", "show")</f>
        <v>show</v>
      </c>
      <c r="I1206">
        <v>0</v>
      </c>
      <c r="J1206">
        <v>0</v>
      </c>
      <c r="K1206">
        <v>1</v>
      </c>
      <c r="L1206">
        <v>0</v>
      </c>
      <c r="M1206" t="s">
        <v>122</v>
      </c>
    </row>
    <row r="1207" spans="1:13" hidden="1" x14ac:dyDescent="0.15">
      <c r="A1207" t="s">
        <v>3876</v>
      </c>
      <c r="B1207" t="s">
        <v>3877</v>
      </c>
      <c r="C1207" t="s">
        <v>3878</v>
      </c>
      <c r="D1207" t="s">
        <v>3879</v>
      </c>
      <c r="E1207">
        <v>6</v>
      </c>
      <c r="F1207" t="str">
        <f>HYPERLINK("https://github.com/h6ah4i/android-advancedrecyclerview/issues/162", "show")</f>
        <v>show</v>
      </c>
      <c r="G1207" t="str">
        <f>HYPERLINK("https://github.com/h6ah4i/android-advancedrecyclerview", "show")</f>
        <v>show</v>
      </c>
      <c r="H1207" t="str">
        <f>HYPERLINK("https://github.com/h6ah4i/android-advancedrecyclerview/releases", "show")</f>
        <v>show</v>
      </c>
      <c r="I1207">
        <v>0</v>
      </c>
      <c r="J1207">
        <v>0</v>
      </c>
      <c r="K1207">
        <v>1</v>
      </c>
      <c r="L1207">
        <v>0</v>
      </c>
      <c r="M1207" t="s">
        <v>122</v>
      </c>
    </row>
    <row r="1208" spans="1:13" hidden="1" x14ac:dyDescent="0.15">
      <c r="A1208" t="s">
        <v>3880</v>
      </c>
      <c r="B1208" t="s">
        <v>3881</v>
      </c>
      <c r="C1208" t="s">
        <v>3882</v>
      </c>
      <c r="D1208" t="s">
        <v>3883</v>
      </c>
      <c r="E1208">
        <v>0</v>
      </c>
      <c r="F1208" t="str">
        <f>HYPERLINK("https://github.com/dhis2msg/DHISmessenger/issues/24", "show")</f>
        <v>show</v>
      </c>
      <c r="G1208" t="str">
        <f>HYPERLINK("https://github.com/dhis2msg/DHISmessenger", "show")</f>
        <v>show</v>
      </c>
      <c r="H1208" t="str">
        <f>HYPERLINK("https://github.com/dhis2msg/DHISmessenger/releases", "show")</f>
        <v>show</v>
      </c>
      <c r="I1208">
        <v>1</v>
      </c>
      <c r="J1208">
        <v>0</v>
      </c>
      <c r="K1208">
        <v>1</v>
      </c>
      <c r="L1208">
        <v>0</v>
      </c>
      <c r="M1208" t="s">
        <v>64</v>
      </c>
    </row>
    <row r="1209" spans="1:13" hidden="1" x14ac:dyDescent="0.15">
      <c r="A1209" t="s">
        <v>3884</v>
      </c>
      <c r="B1209" t="s">
        <v>3885</v>
      </c>
      <c r="C1209" t="s">
        <v>3886</v>
      </c>
      <c r="D1209" t="s">
        <v>3887</v>
      </c>
      <c r="E1209">
        <v>105</v>
      </c>
      <c r="F1209" t="str">
        <f>HYPERLINK("https://github.com/syncthing/syncthing-android/issues/515", "show")</f>
        <v>show</v>
      </c>
      <c r="G1209" t="str">
        <f>HYPERLINK("https://github.com/syncthing/syncthing-android", "show")</f>
        <v>show</v>
      </c>
      <c r="H1209" t="str">
        <f>HYPERLINK("https://github.com/syncthing/syncthing-android/releases", "show")</f>
        <v>show</v>
      </c>
      <c r="I1209">
        <v>0</v>
      </c>
      <c r="J1209">
        <v>0</v>
      </c>
      <c r="K1209">
        <v>1</v>
      </c>
      <c r="L1209">
        <v>0</v>
      </c>
      <c r="M1209" t="s">
        <v>122</v>
      </c>
    </row>
    <row r="1210" spans="1:13" hidden="1" x14ac:dyDescent="0.15">
      <c r="A1210" t="s">
        <v>3888</v>
      </c>
      <c r="B1210" t="s">
        <v>3889</v>
      </c>
      <c r="C1210" t="s">
        <v>3890</v>
      </c>
      <c r="D1210" t="s">
        <v>3887</v>
      </c>
      <c r="E1210">
        <v>43</v>
      </c>
      <c r="F1210" t="str">
        <f>HYPERLINK("https://github.com/NemProject/NEMAndroidApp/issues/43", "show")</f>
        <v>show</v>
      </c>
      <c r="G1210" t="str">
        <f>HYPERLINK("https://github.com/NemProject/NEMAndroidApp", "show")</f>
        <v>show</v>
      </c>
      <c r="H1210" t="str">
        <f>HYPERLINK("https://github.com/NemProject/NEMAndroidApp/releases", "show")</f>
        <v>show</v>
      </c>
      <c r="I1210">
        <v>1</v>
      </c>
      <c r="J1210">
        <v>0</v>
      </c>
      <c r="K1210">
        <v>0</v>
      </c>
      <c r="L1210">
        <v>0</v>
      </c>
      <c r="M1210" t="s">
        <v>17</v>
      </c>
    </row>
    <row r="1211" spans="1:13" hidden="1" x14ac:dyDescent="0.15">
      <c r="A1211" t="s">
        <v>3891</v>
      </c>
      <c r="B1211" t="s">
        <v>3892</v>
      </c>
      <c r="C1211" t="s">
        <v>3893</v>
      </c>
      <c r="D1211" t="s">
        <v>3887</v>
      </c>
      <c r="E1211">
        <v>1716</v>
      </c>
      <c r="F1211" t="str">
        <f>HYPERLINK("https://github.com/chandevel/Clover/issues/137", "show")</f>
        <v>show</v>
      </c>
      <c r="G1211" t="str">
        <f>HYPERLINK("https://github.com/chandevel/Clover", "show")</f>
        <v>show</v>
      </c>
      <c r="H1211" t="str">
        <f>HYPERLINK("https://github.com/chandevel/Clover/releases", "show")</f>
        <v>show</v>
      </c>
      <c r="I1211">
        <v>1</v>
      </c>
      <c r="J1211">
        <v>0</v>
      </c>
      <c r="K1211">
        <v>0</v>
      </c>
      <c r="L1211">
        <v>0</v>
      </c>
      <c r="M1211" t="s">
        <v>17</v>
      </c>
    </row>
    <row r="1212" spans="1:13" hidden="1" x14ac:dyDescent="0.15">
      <c r="A1212" t="s">
        <v>3894</v>
      </c>
      <c r="B1212" t="s">
        <v>3895</v>
      </c>
      <c r="C1212" t="s">
        <v>3896</v>
      </c>
      <c r="D1212" t="s">
        <v>3897</v>
      </c>
      <c r="E1212">
        <v>11</v>
      </c>
      <c r="F1212" t="str">
        <f>HYPERLINK("https://github.com/vickychijwani/udacity-p1-p2-popular-movies/issues/20", "show")</f>
        <v>show</v>
      </c>
      <c r="G1212" t="str">
        <f>HYPERLINK("https://github.com/vickychijwani/udacity-p1-p2-popular-movies", "show")</f>
        <v>show</v>
      </c>
      <c r="H1212" t="str">
        <f>HYPERLINK("https://github.com/vickychijwani/udacity-p1-p2-popular-movies/releases", "show")</f>
        <v>show</v>
      </c>
      <c r="I1212">
        <v>1</v>
      </c>
      <c r="J1212">
        <v>1</v>
      </c>
      <c r="K1212">
        <v>0</v>
      </c>
      <c r="L1212">
        <v>0</v>
      </c>
      <c r="M1212" t="s">
        <v>48</v>
      </c>
    </row>
    <row r="1213" spans="1:13" hidden="1" x14ac:dyDescent="0.15">
      <c r="A1213" t="s">
        <v>3898</v>
      </c>
      <c r="B1213" t="s">
        <v>3899</v>
      </c>
      <c r="C1213" t="s">
        <v>3900</v>
      </c>
      <c r="D1213" t="s">
        <v>3897</v>
      </c>
      <c r="E1213">
        <v>11</v>
      </c>
      <c r="F1213" t="str">
        <f>HYPERLINK("https://github.com/vickychijwani/udacity-p1-p2-popular-movies/issues/19", "show")</f>
        <v>show</v>
      </c>
      <c r="G1213" t="str">
        <f>HYPERLINK("https://github.com/vickychijwani/udacity-p1-p2-popular-movies", "show")</f>
        <v>show</v>
      </c>
      <c r="H1213" t="str">
        <f>HYPERLINK("https://github.com/vickychijwani/udacity-p1-p2-popular-movies/releases", "show")</f>
        <v>show</v>
      </c>
      <c r="I1213">
        <v>1</v>
      </c>
      <c r="J1213">
        <v>1</v>
      </c>
      <c r="K1213">
        <v>0</v>
      </c>
      <c r="L1213">
        <v>0</v>
      </c>
      <c r="M1213" t="s">
        <v>48</v>
      </c>
    </row>
    <row r="1214" spans="1:13" hidden="1" x14ac:dyDescent="0.15">
      <c r="A1214" t="s">
        <v>3901</v>
      </c>
      <c r="B1214" t="s">
        <v>3902</v>
      </c>
      <c r="C1214" t="s">
        <v>3903</v>
      </c>
      <c r="D1214" t="s">
        <v>3897</v>
      </c>
      <c r="E1214">
        <v>78</v>
      </c>
      <c r="F1214" t="str">
        <f>HYPERLINK("https://github.com/JoanZapata/android-iconify/issues/145", "show")</f>
        <v>show</v>
      </c>
      <c r="G1214" t="str">
        <f>HYPERLINK("https://github.com/JoanZapata/android-iconify", "show")</f>
        <v>show</v>
      </c>
      <c r="H1214" t="str">
        <f>HYPERLINK("https://github.com/JoanZapata/android-iconify/releases", "show")</f>
        <v>show</v>
      </c>
      <c r="I1214">
        <v>1</v>
      </c>
      <c r="J1214">
        <v>0</v>
      </c>
      <c r="K1214">
        <v>1</v>
      </c>
      <c r="L1214">
        <v>0</v>
      </c>
      <c r="M1214" t="s">
        <v>64</v>
      </c>
    </row>
    <row r="1215" spans="1:13" hidden="1" x14ac:dyDescent="0.15">
      <c r="A1215" t="s">
        <v>3904</v>
      </c>
      <c r="B1215" t="s">
        <v>3905</v>
      </c>
      <c r="C1215" t="s">
        <v>3906</v>
      </c>
      <c r="D1215" t="s">
        <v>3907</v>
      </c>
      <c r="E1215">
        <v>0</v>
      </c>
      <c r="F1215" t="str">
        <f>HYPERLINK("https://github.com/Keidan/CellHistory/issues/10", "show")</f>
        <v>show</v>
      </c>
      <c r="G1215" t="str">
        <f>HYPERLINK("https://github.com/Keidan/CellHistory", "show")</f>
        <v>show</v>
      </c>
      <c r="H1215" t="str">
        <f>HYPERLINK("https://github.com/Keidan/CellHistory/releases", "show")</f>
        <v>show</v>
      </c>
      <c r="I1215">
        <v>1</v>
      </c>
      <c r="J1215">
        <v>1</v>
      </c>
      <c r="K1215">
        <v>0</v>
      </c>
      <c r="L1215">
        <v>0</v>
      </c>
      <c r="M1215" t="s">
        <v>48</v>
      </c>
    </row>
    <row r="1216" spans="1:13" hidden="1" x14ac:dyDescent="0.15">
      <c r="A1216" t="s">
        <v>3908</v>
      </c>
      <c r="B1216" t="s">
        <v>3909</v>
      </c>
      <c r="C1216" t="s">
        <v>3910</v>
      </c>
      <c r="D1216" t="s">
        <v>3907</v>
      </c>
      <c r="E1216">
        <v>77</v>
      </c>
      <c r="F1216" t="str">
        <f>HYPERLINK("https://github.com/JoanZapata/android-iconify/issues/146", "show")</f>
        <v>show</v>
      </c>
      <c r="G1216" t="str">
        <f>HYPERLINK("https://github.com/JoanZapata/android-iconify", "show")</f>
        <v>show</v>
      </c>
      <c r="H1216" t="str">
        <f>HYPERLINK("https://github.com/JoanZapata/android-iconify/releases", "show")</f>
        <v>show</v>
      </c>
      <c r="I1216">
        <v>0</v>
      </c>
      <c r="J1216">
        <v>0</v>
      </c>
      <c r="K1216">
        <v>1</v>
      </c>
      <c r="L1216">
        <v>0</v>
      </c>
      <c r="M1216" t="s">
        <v>122</v>
      </c>
    </row>
    <row r="1217" spans="1:13" hidden="1" x14ac:dyDescent="0.15">
      <c r="A1217" t="s">
        <v>3911</v>
      </c>
      <c r="B1217" t="s">
        <v>3912</v>
      </c>
      <c r="C1217" t="s">
        <v>3913</v>
      </c>
      <c r="D1217" t="s">
        <v>3914</v>
      </c>
      <c r="E1217">
        <v>144</v>
      </c>
      <c r="F1217" t="str">
        <f>HYPERLINK("https://github.com/square/okhttp/issues/2119", "show")</f>
        <v>show</v>
      </c>
      <c r="G1217" t="str">
        <f>HYPERLINK("https://github.com/square/okhttp", "show")</f>
        <v>show</v>
      </c>
      <c r="H1217" t="str">
        <f>HYPERLINK("https://github.com/square/okhttp/releases", "show")</f>
        <v>show</v>
      </c>
      <c r="I1217">
        <v>1</v>
      </c>
      <c r="J1217">
        <v>0</v>
      </c>
      <c r="K1217">
        <v>1</v>
      </c>
      <c r="L1217">
        <v>0</v>
      </c>
      <c r="M1217" t="s">
        <v>64</v>
      </c>
    </row>
    <row r="1218" spans="1:13" hidden="1" x14ac:dyDescent="0.15">
      <c r="A1218" t="s">
        <v>3915</v>
      </c>
      <c r="B1218" t="s">
        <v>3916</v>
      </c>
      <c r="C1218" t="s">
        <v>3917</v>
      </c>
      <c r="D1218" t="s">
        <v>3918</v>
      </c>
      <c r="E1218">
        <v>1</v>
      </c>
      <c r="F1218" t="str">
        <f>HYPERLINK("https://github.com/davidabrahams/Hi-Reddit/issues/62", "show")</f>
        <v>show</v>
      </c>
      <c r="G1218" t="str">
        <f>HYPERLINK("https://github.com/davidabrahams/Hi-Reddit", "show")</f>
        <v>show</v>
      </c>
      <c r="H1218" t="str">
        <f>HYPERLINK("https://github.com/davidabrahams/Hi-Reddit/releases", "show")</f>
        <v>show</v>
      </c>
      <c r="I1218">
        <v>0</v>
      </c>
      <c r="J1218">
        <v>0</v>
      </c>
      <c r="K1218">
        <v>0</v>
      </c>
      <c r="L1218">
        <v>0</v>
      </c>
      <c r="M1218" t="s">
        <v>43</v>
      </c>
    </row>
    <row r="1219" spans="1:13" hidden="1" x14ac:dyDescent="0.15">
      <c r="A1219" t="s">
        <v>3919</v>
      </c>
      <c r="B1219" t="s">
        <v>3920</v>
      </c>
      <c r="C1219" t="s">
        <v>3921</v>
      </c>
      <c r="D1219" t="s">
        <v>3918</v>
      </c>
      <c r="E1219">
        <v>13</v>
      </c>
      <c r="F1219" t="str">
        <f>HYPERLINK("https://github.com/NemProject/NEMAndroidApp/issues/51", "show")</f>
        <v>show</v>
      </c>
      <c r="G1219" t="str">
        <f>HYPERLINK("https://github.com/NemProject/NEMAndroidApp", "show")</f>
        <v>show</v>
      </c>
      <c r="H1219" t="str">
        <f>HYPERLINK("https://github.com/NemProject/NEMAndroidApp/releases", "show")</f>
        <v>show</v>
      </c>
      <c r="I1219">
        <v>1</v>
      </c>
      <c r="J1219">
        <v>0</v>
      </c>
      <c r="K1219">
        <v>0</v>
      </c>
      <c r="L1219">
        <v>0</v>
      </c>
      <c r="M1219" t="s">
        <v>17</v>
      </c>
    </row>
    <row r="1220" spans="1:13" hidden="1" x14ac:dyDescent="0.15">
      <c r="A1220" t="s">
        <v>3922</v>
      </c>
      <c r="B1220" t="s">
        <v>3923</v>
      </c>
      <c r="C1220" t="s">
        <v>3924</v>
      </c>
      <c r="D1220" t="s">
        <v>3918</v>
      </c>
      <c r="E1220">
        <v>38</v>
      </c>
      <c r="F1220" t="str">
        <f>HYPERLINK("https://github.com/NemProject/NEMAndroidApp/issues/48", "show")</f>
        <v>show</v>
      </c>
      <c r="G1220" t="str">
        <f>HYPERLINK("https://github.com/NemProject/NEMAndroidApp", "show")</f>
        <v>show</v>
      </c>
      <c r="H1220" t="str">
        <f>HYPERLINK("https://github.com/NemProject/NEMAndroidApp/releases", "show")</f>
        <v>show</v>
      </c>
      <c r="I1220">
        <v>0</v>
      </c>
      <c r="J1220">
        <v>0</v>
      </c>
      <c r="K1220">
        <v>0</v>
      </c>
      <c r="L1220">
        <v>0</v>
      </c>
      <c r="M1220" t="s">
        <v>43</v>
      </c>
    </row>
    <row r="1221" spans="1:13" hidden="1" x14ac:dyDescent="0.15">
      <c r="A1221" t="s">
        <v>3925</v>
      </c>
      <c r="B1221" t="s">
        <v>3926</v>
      </c>
      <c r="C1221" t="s">
        <v>3927</v>
      </c>
      <c r="D1221" t="s">
        <v>3918</v>
      </c>
      <c r="E1221">
        <v>2</v>
      </c>
      <c r="F1221" t="str">
        <f>HYPERLINK("https://github.com/SandroMachado/openalpr-android/issues/5", "show")</f>
        <v>show</v>
      </c>
      <c r="G1221" t="str">
        <f>HYPERLINK("https://github.com/SandroMachado/openalpr-android", "show")</f>
        <v>show</v>
      </c>
      <c r="H1221" t="str">
        <f>HYPERLINK("https://github.com/SandroMachado/openalpr-android/releases", "show")</f>
        <v>show</v>
      </c>
      <c r="I1221">
        <v>1</v>
      </c>
      <c r="J1221">
        <v>0</v>
      </c>
      <c r="K1221">
        <v>1</v>
      </c>
      <c r="L1221">
        <v>0</v>
      </c>
      <c r="M1221" t="s">
        <v>64</v>
      </c>
    </row>
    <row r="1222" spans="1:13" hidden="1" x14ac:dyDescent="0.15">
      <c r="A1222" t="s">
        <v>3928</v>
      </c>
      <c r="B1222" t="s">
        <v>3929</v>
      </c>
      <c r="C1222" t="s">
        <v>3930</v>
      </c>
      <c r="D1222" t="s">
        <v>3931</v>
      </c>
      <c r="E1222">
        <v>4</v>
      </c>
      <c r="F1222" t="str">
        <f>HYPERLINK("https://github.com/NemProject/NEMAndroidApp/issues/60", "show")</f>
        <v>show</v>
      </c>
      <c r="G1222" t="str">
        <f>HYPERLINK("https://github.com/NemProject/NEMAndroidApp", "show")</f>
        <v>show</v>
      </c>
      <c r="H1222" t="str">
        <f>HYPERLINK("https://github.com/NemProject/NEMAndroidApp/releases", "show")</f>
        <v>show</v>
      </c>
      <c r="I1222">
        <v>0</v>
      </c>
      <c r="J1222">
        <v>0</v>
      </c>
      <c r="K1222">
        <v>0</v>
      </c>
      <c r="L1222">
        <v>0</v>
      </c>
      <c r="M1222" t="s">
        <v>43</v>
      </c>
    </row>
    <row r="1223" spans="1:13" hidden="1" x14ac:dyDescent="0.15">
      <c r="A1223" t="s">
        <v>3932</v>
      </c>
      <c r="B1223" t="s">
        <v>3933</v>
      </c>
      <c r="C1223" t="s">
        <v>3934</v>
      </c>
      <c r="D1223" t="s">
        <v>3931</v>
      </c>
      <c r="E1223">
        <v>44</v>
      </c>
      <c r="F1223" t="str">
        <f>HYPERLINK("https://github.com/mauron85/cordova-plugin-background-geolocation/issues/21", "show")</f>
        <v>show</v>
      </c>
      <c r="G1223" t="str">
        <f>HYPERLINK("https://github.com/mauron85/cordova-plugin-background-geolocation", "show")</f>
        <v>show</v>
      </c>
      <c r="H1223" t="str">
        <f>HYPERLINK("https://github.com/mauron85/cordova-plugin-background-geolocation/releases", "show")</f>
        <v>show</v>
      </c>
      <c r="I1223">
        <v>1</v>
      </c>
      <c r="J1223">
        <v>0</v>
      </c>
      <c r="K1223">
        <v>0</v>
      </c>
      <c r="L1223">
        <v>0</v>
      </c>
      <c r="M1223" t="s">
        <v>17</v>
      </c>
    </row>
    <row r="1224" spans="1:13" hidden="1" x14ac:dyDescent="0.15">
      <c r="A1224" t="s">
        <v>3935</v>
      </c>
      <c r="B1224" t="s">
        <v>3936</v>
      </c>
      <c r="C1224" t="s">
        <v>3937</v>
      </c>
      <c r="D1224" t="s">
        <v>3931</v>
      </c>
      <c r="E1224">
        <v>6</v>
      </c>
      <c r="F1224" t="str">
        <f>HYPERLINK("https://github.com/zhuowei/MCPELauncher/issues/418", "show")</f>
        <v>show</v>
      </c>
      <c r="G1224" t="str">
        <f>HYPERLINK("https://github.com/zhuowei/MCPELauncher", "show")</f>
        <v>show</v>
      </c>
      <c r="H1224" t="str">
        <f>HYPERLINK("https://github.com/zhuowei/MCPELauncher/releases", "show")</f>
        <v>show</v>
      </c>
      <c r="I1224">
        <v>1</v>
      </c>
      <c r="J1224">
        <v>0</v>
      </c>
      <c r="K1224">
        <v>0</v>
      </c>
      <c r="L1224">
        <v>0</v>
      </c>
      <c r="M1224" t="s">
        <v>17</v>
      </c>
    </row>
    <row r="1225" spans="1:13" hidden="1" x14ac:dyDescent="0.15">
      <c r="A1225" t="s">
        <v>3938</v>
      </c>
      <c r="B1225" t="s">
        <v>3939</v>
      </c>
      <c r="D1225" t="s">
        <v>3940</v>
      </c>
      <c r="E1225">
        <v>1</v>
      </c>
      <c r="F1225" t="str">
        <f>HYPERLINK("https://github.com/maskarade/Android-Orma/issues/79", "show")</f>
        <v>show</v>
      </c>
      <c r="G1225" t="str">
        <f>HYPERLINK("https://github.com/maskarade/Android-Orma", "show")</f>
        <v>show</v>
      </c>
      <c r="H1225" t="str">
        <f>HYPERLINK("https://github.com/maskarade/Android-Orma/releases", "show")</f>
        <v>show</v>
      </c>
      <c r="I1225">
        <v>0</v>
      </c>
      <c r="J1225">
        <v>0</v>
      </c>
      <c r="K1225">
        <v>0</v>
      </c>
      <c r="L1225">
        <v>0</v>
      </c>
      <c r="M1225" t="s">
        <v>43</v>
      </c>
    </row>
    <row r="1226" spans="1:13" hidden="1" x14ac:dyDescent="0.15">
      <c r="A1226" t="s">
        <v>3941</v>
      </c>
      <c r="B1226" t="s">
        <v>3942</v>
      </c>
      <c r="C1226" t="s">
        <v>3943</v>
      </c>
      <c r="D1226" t="s">
        <v>3940</v>
      </c>
      <c r="E1226">
        <v>176</v>
      </c>
      <c r="F1226" t="str">
        <f>HYPERLINK("https://github.com/gre/gl-react-native-v2/issues/47", "show")</f>
        <v>show</v>
      </c>
      <c r="G1226" t="str">
        <f>HYPERLINK("https://github.com/gre/gl-react-native-v2", "show")</f>
        <v>show</v>
      </c>
      <c r="H1226" t="str">
        <f>HYPERLINK("https://github.com/gre/gl-react-native-v2/releases", "show")</f>
        <v>show</v>
      </c>
      <c r="I1226">
        <v>0</v>
      </c>
      <c r="J1226">
        <v>0</v>
      </c>
      <c r="K1226">
        <v>0</v>
      </c>
      <c r="L1226">
        <v>0</v>
      </c>
      <c r="M1226" t="s">
        <v>43</v>
      </c>
    </row>
    <row r="1227" spans="1:13" hidden="1" x14ac:dyDescent="0.15">
      <c r="A1227" t="s">
        <v>3944</v>
      </c>
      <c r="B1227" t="s">
        <v>3945</v>
      </c>
      <c r="C1227" t="s">
        <v>3946</v>
      </c>
      <c r="D1227" t="s">
        <v>3947</v>
      </c>
      <c r="E1227">
        <v>0</v>
      </c>
      <c r="F1227" t="str">
        <f>HYPERLINK("https://github.com/popeen/Booksonic-App/issues/9", "show")</f>
        <v>show</v>
      </c>
      <c r="G1227" t="str">
        <f>HYPERLINK("https://github.com/popeen/Booksonic-App", "show")</f>
        <v>show</v>
      </c>
      <c r="H1227" t="str">
        <f>HYPERLINK("https://github.com/popeen/Booksonic-App/releases", "show")</f>
        <v>show</v>
      </c>
      <c r="I1227">
        <v>1</v>
      </c>
      <c r="J1227">
        <v>0</v>
      </c>
      <c r="K1227">
        <v>0</v>
      </c>
      <c r="L1227">
        <v>0</v>
      </c>
      <c r="M1227" t="s">
        <v>17</v>
      </c>
    </row>
    <row r="1228" spans="1:13" hidden="1" x14ac:dyDescent="0.15">
      <c r="A1228" t="s">
        <v>3948</v>
      </c>
      <c r="B1228" t="s">
        <v>3949</v>
      </c>
      <c r="C1228" t="s">
        <v>3950</v>
      </c>
      <c r="D1228" t="s">
        <v>3951</v>
      </c>
      <c r="E1228">
        <v>2</v>
      </c>
      <c r="F1228" t="str">
        <f>HYPERLINK("https://github.com/dimagi/commcare-android/issues/925", "show")</f>
        <v>show</v>
      </c>
      <c r="G1228" t="str">
        <f>HYPERLINK("https://github.com/dimagi/commcare-android", "show")</f>
        <v>show</v>
      </c>
      <c r="H1228" t="str">
        <f>HYPERLINK("https://github.com/dimagi/commcare-android/releases", "show")</f>
        <v>show</v>
      </c>
      <c r="I1228">
        <v>0</v>
      </c>
      <c r="J1228">
        <v>0</v>
      </c>
      <c r="K1228">
        <v>0</v>
      </c>
      <c r="L1228">
        <v>0</v>
      </c>
      <c r="M1228" t="s">
        <v>43</v>
      </c>
    </row>
    <row r="1229" spans="1:13" hidden="1" x14ac:dyDescent="0.15">
      <c r="A1229" t="s">
        <v>3952</v>
      </c>
      <c r="B1229" t="s">
        <v>3953</v>
      </c>
      <c r="C1229" t="s">
        <v>3954</v>
      </c>
      <c r="D1229" t="s">
        <v>3951</v>
      </c>
      <c r="E1229">
        <v>2</v>
      </c>
      <c r="F1229" t="str">
        <f>HYPERLINK("https://github.com/dimagi/commcare-android/issues/924", "show")</f>
        <v>show</v>
      </c>
      <c r="G1229" t="str">
        <f>HYPERLINK("https://github.com/dimagi/commcare-android", "show")</f>
        <v>show</v>
      </c>
      <c r="H1229" t="str">
        <f>HYPERLINK("https://github.com/dimagi/commcare-android/releases", "show")</f>
        <v>show</v>
      </c>
      <c r="I1229">
        <v>1</v>
      </c>
      <c r="J1229">
        <v>0</v>
      </c>
      <c r="K1229">
        <v>0</v>
      </c>
      <c r="L1229">
        <v>0</v>
      </c>
      <c r="M1229" t="s">
        <v>17</v>
      </c>
    </row>
    <row r="1230" spans="1:13" hidden="1" x14ac:dyDescent="0.15">
      <c r="A1230" t="s">
        <v>3955</v>
      </c>
      <c r="B1230" t="s">
        <v>3956</v>
      </c>
      <c r="C1230" t="s">
        <v>3957</v>
      </c>
      <c r="D1230" t="s">
        <v>3951</v>
      </c>
      <c r="E1230">
        <v>16</v>
      </c>
      <c r="F1230" t="str">
        <f>HYPERLINK("https://github.com/NemProject/NEMAndroidApp/issues/62", "show")</f>
        <v>show</v>
      </c>
      <c r="G1230" t="str">
        <f>HYPERLINK("https://github.com/NemProject/NEMAndroidApp", "show")</f>
        <v>show</v>
      </c>
      <c r="H1230" t="str">
        <f>HYPERLINK("https://github.com/NemProject/NEMAndroidApp/releases", "show")</f>
        <v>show</v>
      </c>
      <c r="I1230">
        <v>1</v>
      </c>
      <c r="J1230">
        <v>0</v>
      </c>
      <c r="K1230">
        <v>0</v>
      </c>
      <c r="L1230">
        <v>0</v>
      </c>
      <c r="M1230" t="s">
        <v>17</v>
      </c>
    </row>
    <row r="1231" spans="1:13" hidden="1" x14ac:dyDescent="0.15">
      <c r="A1231" t="s">
        <v>3958</v>
      </c>
      <c r="B1231" t="s">
        <v>3959</v>
      </c>
      <c r="C1231" t="s">
        <v>3960</v>
      </c>
      <c r="D1231" t="s">
        <v>3961</v>
      </c>
      <c r="E1231">
        <v>27</v>
      </c>
      <c r="F1231" t="str">
        <f>HYPERLINK("https://github.com/android10/Android-CleanArchitecture/issues/92", "show")</f>
        <v>show</v>
      </c>
      <c r="G1231" t="str">
        <f>HYPERLINK("https://github.com/android10/Android-CleanArchitecture", "show")</f>
        <v>show</v>
      </c>
      <c r="H1231" t="str">
        <f>HYPERLINK("https://github.com/android10/Android-CleanArchitecture/releases", "show")</f>
        <v>show</v>
      </c>
      <c r="I1231">
        <v>1</v>
      </c>
      <c r="J1231">
        <v>0</v>
      </c>
      <c r="K1231">
        <v>1</v>
      </c>
      <c r="L1231">
        <v>0</v>
      </c>
      <c r="M1231" t="s">
        <v>64</v>
      </c>
    </row>
    <row r="1232" spans="1:13" hidden="1" x14ac:dyDescent="0.15">
      <c r="A1232" t="s">
        <v>3962</v>
      </c>
      <c r="B1232" t="s">
        <v>3963</v>
      </c>
      <c r="C1232" t="s">
        <v>3964</v>
      </c>
      <c r="D1232" t="s">
        <v>3965</v>
      </c>
      <c r="E1232">
        <v>18</v>
      </c>
      <c r="F1232" t="str">
        <f>HYPERLINK("https://github.com/zhuowei/MCPELauncher/issues/440", "show")</f>
        <v>show</v>
      </c>
      <c r="G1232" t="str">
        <f>HYPERLINK("https://github.com/zhuowei/MCPELauncher", "show")</f>
        <v>show</v>
      </c>
      <c r="H1232" t="str">
        <f>HYPERLINK("https://github.com/zhuowei/MCPELauncher/releases", "show")</f>
        <v>show</v>
      </c>
      <c r="I1232">
        <v>1</v>
      </c>
      <c r="J1232">
        <v>0</v>
      </c>
      <c r="K1232">
        <v>0</v>
      </c>
      <c r="L1232">
        <v>0</v>
      </c>
      <c r="M1232" t="s">
        <v>17</v>
      </c>
    </row>
    <row r="1233" spans="1:13" hidden="1" x14ac:dyDescent="0.15">
      <c r="A1233" t="s">
        <v>3966</v>
      </c>
      <c r="B1233" t="s">
        <v>3967</v>
      </c>
      <c r="C1233" t="s">
        <v>3968</v>
      </c>
      <c r="D1233" t="s">
        <v>3969</v>
      </c>
      <c r="E1233">
        <v>6</v>
      </c>
      <c r="F1233" t="str">
        <f>HYPERLINK("https://github.com/kontalk/androidclient/issues/612", "show")</f>
        <v>show</v>
      </c>
      <c r="G1233" t="str">
        <f>HYPERLINK("https://github.com/kontalk/androidclient", "show")</f>
        <v>show</v>
      </c>
      <c r="H1233" t="str">
        <f>HYPERLINK("https://github.com/kontalk/androidclient/releases", "show")</f>
        <v>show</v>
      </c>
      <c r="I1233">
        <v>0</v>
      </c>
      <c r="J1233">
        <v>0</v>
      </c>
      <c r="K1233">
        <v>1</v>
      </c>
      <c r="L1233">
        <v>0</v>
      </c>
      <c r="M1233" t="s">
        <v>122</v>
      </c>
    </row>
    <row r="1234" spans="1:13" hidden="1" x14ac:dyDescent="0.15">
      <c r="A1234" t="s">
        <v>3970</v>
      </c>
      <c r="B1234" t="s">
        <v>3971</v>
      </c>
      <c r="C1234" t="s">
        <v>3972</v>
      </c>
      <c r="D1234" t="s">
        <v>3973</v>
      </c>
      <c r="E1234">
        <v>0</v>
      </c>
      <c r="F1234" t="str">
        <f>HYPERLINK("https://github.com/dimagi/commcare-android/issues/929", "show")</f>
        <v>show</v>
      </c>
      <c r="G1234" t="str">
        <f>HYPERLINK("https://github.com/dimagi/commcare-android", "show")</f>
        <v>show</v>
      </c>
      <c r="H1234" t="str">
        <f>HYPERLINK("https://github.com/dimagi/commcare-android/releases", "show")</f>
        <v>show</v>
      </c>
      <c r="I1234">
        <v>1</v>
      </c>
      <c r="J1234">
        <v>0</v>
      </c>
      <c r="K1234">
        <v>0</v>
      </c>
      <c r="L1234">
        <v>0</v>
      </c>
      <c r="M1234" t="s">
        <v>17</v>
      </c>
    </row>
    <row r="1235" spans="1:13" hidden="1" x14ac:dyDescent="0.15">
      <c r="A1235" t="s">
        <v>3974</v>
      </c>
      <c r="B1235" t="s">
        <v>3975</v>
      </c>
      <c r="D1235" t="s">
        <v>3976</v>
      </c>
      <c r="E1235">
        <v>19</v>
      </c>
      <c r="F1235" t="str">
        <f>HYPERLINK("https://github.com/pockethub/PocketHub/issues/975", "show")</f>
        <v>show</v>
      </c>
      <c r="G1235" t="str">
        <f>HYPERLINK("https://github.com/pockethub/PocketHub", "show")</f>
        <v>show</v>
      </c>
      <c r="H1235" t="str">
        <f>HYPERLINK("https://github.com/pockethub/PocketHub/releases", "show")</f>
        <v>show</v>
      </c>
      <c r="I1235">
        <v>1</v>
      </c>
      <c r="J1235">
        <v>0</v>
      </c>
      <c r="K1235">
        <v>0</v>
      </c>
      <c r="L1235">
        <v>0</v>
      </c>
      <c r="M1235" t="s">
        <v>17</v>
      </c>
    </row>
    <row r="1236" spans="1:13" hidden="1" x14ac:dyDescent="0.15">
      <c r="A1236" t="s">
        <v>3977</v>
      </c>
      <c r="B1236" t="s">
        <v>3978</v>
      </c>
      <c r="C1236" t="s">
        <v>3979</v>
      </c>
      <c r="D1236" t="s">
        <v>3976</v>
      </c>
      <c r="E1236">
        <v>49</v>
      </c>
      <c r="F1236" t="str">
        <f>HYPERLINK("https://github.com/fossilet/carmen-android/issues/9", "show")</f>
        <v>show</v>
      </c>
      <c r="G1236" t="str">
        <f>HYPERLINK("https://github.com/fossilet/carmen-android", "show")</f>
        <v>show</v>
      </c>
      <c r="H1236" t="str">
        <f>HYPERLINK("https://github.com/fossilet/carmen-android/releases", "show")</f>
        <v>show</v>
      </c>
      <c r="I1236">
        <v>0</v>
      </c>
      <c r="J1236">
        <v>0</v>
      </c>
      <c r="K1236">
        <v>0</v>
      </c>
      <c r="L1236">
        <v>0</v>
      </c>
      <c r="M1236" t="s">
        <v>43</v>
      </c>
    </row>
    <row r="1237" spans="1:13" hidden="1" x14ac:dyDescent="0.15">
      <c r="A1237" t="s">
        <v>3980</v>
      </c>
      <c r="B1237" t="s">
        <v>3981</v>
      </c>
      <c r="C1237" t="s">
        <v>3982</v>
      </c>
      <c r="D1237" t="s">
        <v>3976</v>
      </c>
      <c r="E1237">
        <v>21</v>
      </c>
      <c r="F1237" t="str">
        <f>HYPERLINK("https://github.com/CellularPrivacy/Android-IMSI-Catcher-Detector/issues/718", "show")</f>
        <v>show</v>
      </c>
      <c r="G1237" t="str">
        <f>HYPERLINK("https://github.com/CellularPrivacy/Android-IMSI-Catcher-Detector", "show")</f>
        <v>show</v>
      </c>
      <c r="H1237" t="str">
        <f>HYPERLINK("https://github.com/CellularPrivacy/Android-IMSI-Catcher-Detector/releases", "show")</f>
        <v>show</v>
      </c>
      <c r="I1237">
        <v>0</v>
      </c>
      <c r="J1237">
        <v>0</v>
      </c>
      <c r="K1237">
        <v>0</v>
      </c>
      <c r="L1237">
        <v>0</v>
      </c>
      <c r="M1237" t="s">
        <v>43</v>
      </c>
    </row>
    <row r="1238" spans="1:13" hidden="1" x14ac:dyDescent="0.15">
      <c r="A1238" t="s">
        <v>3983</v>
      </c>
      <c r="B1238" t="s">
        <v>3984</v>
      </c>
      <c r="C1238" t="s">
        <v>3985</v>
      </c>
      <c r="D1238" t="s">
        <v>3976</v>
      </c>
      <c r="E1238">
        <v>6</v>
      </c>
      <c r="F1238" t="str">
        <f>HYPERLINK("https://github.com/jimgong3/SoCo/issues/29", "show")</f>
        <v>show</v>
      </c>
      <c r="G1238" t="str">
        <f>HYPERLINK("https://github.com/jimgong3/SoCo", "show")</f>
        <v>show</v>
      </c>
      <c r="H1238" t="str">
        <f>HYPERLINK("https://github.com/jimgong3/SoCo/releases", "show")</f>
        <v>show</v>
      </c>
      <c r="I1238">
        <v>1</v>
      </c>
      <c r="J1238">
        <v>0</v>
      </c>
      <c r="K1238">
        <v>0</v>
      </c>
      <c r="L1238">
        <v>0</v>
      </c>
      <c r="M1238" t="s">
        <v>17</v>
      </c>
    </row>
    <row r="1239" spans="1:13" hidden="1" x14ac:dyDescent="0.15">
      <c r="A1239" t="s">
        <v>3986</v>
      </c>
      <c r="B1239" t="s">
        <v>3987</v>
      </c>
      <c r="C1239" t="s">
        <v>3988</v>
      </c>
      <c r="D1239" t="s">
        <v>3989</v>
      </c>
      <c r="E1239">
        <v>616</v>
      </c>
      <c r="F1239" t="str">
        <f>HYPERLINK("https://github.com/nitaliano/react-native-mapbox-gl/issues/215", "show")</f>
        <v>show</v>
      </c>
      <c r="G1239" t="str">
        <f>HYPERLINK("https://github.com/nitaliano/react-native-mapbox-gl", "show")</f>
        <v>show</v>
      </c>
      <c r="H1239" t="str">
        <f>HYPERLINK("https://github.com/nitaliano/react-native-mapbox-gl/releases", "show")</f>
        <v>show</v>
      </c>
      <c r="I1239">
        <v>1</v>
      </c>
      <c r="J1239">
        <v>0</v>
      </c>
      <c r="K1239">
        <v>0</v>
      </c>
      <c r="L1239">
        <v>0</v>
      </c>
      <c r="M1239" t="s">
        <v>17</v>
      </c>
    </row>
    <row r="1240" spans="1:13" hidden="1" x14ac:dyDescent="0.15">
      <c r="A1240" t="s">
        <v>3990</v>
      </c>
      <c r="B1240" t="s">
        <v>3991</v>
      </c>
      <c r="D1240" t="s">
        <v>3989</v>
      </c>
      <c r="E1240">
        <v>1</v>
      </c>
      <c r="F1240" t="str">
        <f>HYPERLINK("https://github.com/futurice/vor/issues/33", "show")</f>
        <v>show</v>
      </c>
      <c r="G1240" t="str">
        <f>HYPERLINK("https://github.com/futurice/vor", "show")</f>
        <v>show</v>
      </c>
      <c r="H1240" t="str">
        <f>HYPERLINK("https://github.com/futurice/vor/releases", "show")</f>
        <v>show</v>
      </c>
      <c r="I1240">
        <v>1</v>
      </c>
      <c r="J1240">
        <v>0</v>
      </c>
      <c r="K1240">
        <v>0</v>
      </c>
      <c r="L1240">
        <v>0</v>
      </c>
      <c r="M1240" t="s">
        <v>17</v>
      </c>
    </row>
    <row r="1241" spans="1:13" hidden="1" x14ac:dyDescent="0.15">
      <c r="A1241" t="s">
        <v>3992</v>
      </c>
      <c r="B1241" t="s">
        <v>3993</v>
      </c>
      <c r="C1241" t="s">
        <v>3994</v>
      </c>
      <c r="D1241" t="s">
        <v>3989</v>
      </c>
      <c r="E1241">
        <v>1</v>
      </c>
      <c r="F1241" t="str">
        <f>HYPERLINK("https://github.com/futurice/vor/issues/32", "show")</f>
        <v>show</v>
      </c>
      <c r="G1241" t="str">
        <f>HYPERLINK("https://github.com/futurice/vor", "show")</f>
        <v>show</v>
      </c>
      <c r="H1241" t="str">
        <f>HYPERLINK("https://github.com/futurice/vor/releases", "show")</f>
        <v>show</v>
      </c>
      <c r="I1241">
        <v>1</v>
      </c>
      <c r="J1241">
        <v>0</v>
      </c>
      <c r="K1241">
        <v>0</v>
      </c>
      <c r="L1241">
        <v>0</v>
      </c>
      <c r="M1241" t="s">
        <v>17</v>
      </c>
    </row>
    <row r="1242" spans="1:13" hidden="1" x14ac:dyDescent="0.15">
      <c r="A1242" t="s">
        <v>3995</v>
      </c>
      <c r="B1242" t="s">
        <v>3996</v>
      </c>
      <c r="C1242" t="s">
        <v>3997</v>
      </c>
      <c r="D1242" t="s">
        <v>3998</v>
      </c>
      <c r="E1242">
        <v>0</v>
      </c>
      <c r="F1242" t="str">
        <f>HYPERLINK("https://github.com/CellularPrivacy/Android-IMSI-Catcher-Detector/issues/737", "show")</f>
        <v>show</v>
      </c>
      <c r="G1242" t="str">
        <f>HYPERLINK("https://github.com/CellularPrivacy/Android-IMSI-Catcher-Detector", "show")</f>
        <v>show</v>
      </c>
      <c r="H1242" t="str">
        <f>HYPERLINK("https://github.com/CellularPrivacy/Android-IMSI-Catcher-Detector/releases", "show")</f>
        <v>show</v>
      </c>
      <c r="I1242">
        <v>1</v>
      </c>
      <c r="J1242">
        <v>0</v>
      </c>
      <c r="K1242">
        <v>0</v>
      </c>
      <c r="L1242">
        <v>0</v>
      </c>
      <c r="M1242" t="s">
        <v>17</v>
      </c>
    </row>
    <row r="1243" spans="1:13" hidden="1" x14ac:dyDescent="0.15">
      <c r="A1243" t="s">
        <v>3999</v>
      </c>
      <c r="B1243" t="s">
        <v>4000</v>
      </c>
      <c r="D1243" t="s">
        <v>4001</v>
      </c>
      <c r="E1243">
        <v>1</v>
      </c>
      <c r="F1243" t="str">
        <f>HYPERLINK("https://github.com/domoticz/domoticz-android/issues/10", "show")</f>
        <v>show</v>
      </c>
      <c r="G1243" t="str">
        <f>HYPERLINK("https://github.com/domoticz/domoticz-android", "show")</f>
        <v>show</v>
      </c>
      <c r="H1243" t="str">
        <f>HYPERLINK("https://github.com/domoticz/domoticz-android/releases", "show")</f>
        <v>show</v>
      </c>
      <c r="I1243">
        <v>0</v>
      </c>
      <c r="J1243">
        <v>0</v>
      </c>
      <c r="K1243">
        <v>1</v>
      </c>
      <c r="L1243">
        <v>0</v>
      </c>
      <c r="M1243" t="s">
        <v>122</v>
      </c>
    </row>
    <row r="1244" spans="1:13" hidden="1" x14ac:dyDescent="0.15">
      <c r="A1244" t="s">
        <v>4002</v>
      </c>
      <c r="B1244" t="s">
        <v>4003</v>
      </c>
      <c r="C1244" t="s">
        <v>4004</v>
      </c>
      <c r="D1244" t="s">
        <v>4001</v>
      </c>
      <c r="E1244">
        <v>1</v>
      </c>
      <c r="F1244" t="str">
        <f>HYPERLINK("https://github.com/CellularPrivacy/Android-IMSI-Catcher-Detector/issues/741", "show")</f>
        <v>show</v>
      </c>
      <c r="G1244" t="str">
        <f>HYPERLINK("https://github.com/CellularPrivacy/Android-IMSI-Catcher-Detector", "show")</f>
        <v>show</v>
      </c>
      <c r="H1244" t="str">
        <f>HYPERLINK("https://github.com/CellularPrivacy/Android-IMSI-Catcher-Detector/releases", "show")</f>
        <v>show</v>
      </c>
      <c r="I1244">
        <v>1</v>
      </c>
      <c r="J1244">
        <v>0</v>
      </c>
      <c r="K1244">
        <v>0</v>
      </c>
      <c r="L1244">
        <v>0</v>
      </c>
      <c r="M1244" t="s">
        <v>17</v>
      </c>
    </row>
    <row r="1245" spans="1:13" hidden="1" x14ac:dyDescent="0.15">
      <c r="A1245" t="s">
        <v>4005</v>
      </c>
      <c r="B1245" t="s">
        <v>4006</v>
      </c>
      <c r="C1245" t="s">
        <v>4007</v>
      </c>
      <c r="D1245" t="s">
        <v>4008</v>
      </c>
      <c r="E1245">
        <v>4</v>
      </c>
      <c r="F1245" t="str">
        <f>HYPERLINK("https://github.com/ccrama/Slide/issues/743", "show")</f>
        <v>show</v>
      </c>
      <c r="G1245" t="str">
        <f>HYPERLINK("https://github.com/ccrama/Slide", "show")</f>
        <v>show</v>
      </c>
      <c r="H1245" t="str">
        <f>HYPERLINK("https://github.com/ccrama/Slide/releases", "show")</f>
        <v>show</v>
      </c>
      <c r="I1245">
        <v>0</v>
      </c>
      <c r="J1245">
        <v>0</v>
      </c>
      <c r="K1245">
        <v>0</v>
      </c>
      <c r="L1245">
        <v>0</v>
      </c>
      <c r="M1245" t="s">
        <v>43</v>
      </c>
    </row>
    <row r="1246" spans="1:13" hidden="1" x14ac:dyDescent="0.15">
      <c r="A1246" t="s">
        <v>4009</v>
      </c>
      <c r="B1246" t="s">
        <v>4010</v>
      </c>
      <c r="C1246" t="s">
        <v>4011</v>
      </c>
      <c r="D1246" t="s">
        <v>4008</v>
      </c>
      <c r="E1246">
        <v>12</v>
      </c>
      <c r="F1246" t="str">
        <f>HYPERLINK("https://github.com/theksmith/CarBusInterface/issues/10", "show")</f>
        <v>show</v>
      </c>
      <c r="G1246" t="str">
        <f>HYPERLINK("https://github.com/theksmith/CarBusInterface", "show")</f>
        <v>show</v>
      </c>
      <c r="H1246" t="str">
        <f>HYPERLINK("https://github.com/theksmith/CarBusInterface/releases", "show")</f>
        <v>show</v>
      </c>
      <c r="I1246">
        <v>0</v>
      </c>
      <c r="J1246">
        <v>0</v>
      </c>
      <c r="K1246">
        <v>0</v>
      </c>
      <c r="L1246">
        <v>0</v>
      </c>
      <c r="M1246" t="s">
        <v>43</v>
      </c>
    </row>
    <row r="1247" spans="1:13" hidden="1" x14ac:dyDescent="0.15">
      <c r="A1247" t="s">
        <v>4012</v>
      </c>
      <c r="B1247" t="s">
        <v>4013</v>
      </c>
      <c r="C1247" t="s">
        <v>4014</v>
      </c>
      <c r="D1247" t="s">
        <v>4008</v>
      </c>
      <c r="E1247">
        <v>0</v>
      </c>
      <c r="F1247" t="str">
        <f>HYPERLINK("https://github.com/futurice/vor/issues/46", "show")</f>
        <v>show</v>
      </c>
      <c r="G1247" t="str">
        <f>HYPERLINK("https://github.com/futurice/vor", "show")</f>
        <v>show</v>
      </c>
      <c r="H1247" t="str">
        <f>HYPERLINK("https://github.com/futurice/vor/releases", "show")</f>
        <v>show</v>
      </c>
      <c r="I1247">
        <v>1</v>
      </c>
      <c r="J1247">
        <v>0</v>
      </c>
      <c r="K1247">
        <v>0</v>
      </c>
      <c r="L1247">
        <v>0</v>
      </c>
      <c r="M1247" t="s">
        <v>17</v>
      </c>
    </row>
    <row r="1248" spans="1:13" hidden="1" x14ac:dyDescent="0.15">
      <c r="A1248" t="s">
        <v>4015</v>
      </c>
      <c r="B1248" t="s">
        <v>4016</v>
      </c>
      <c r="C1248" t="s">
        <v>4017</v>
      </c>
      <c r="D1248" t="s">
        <v>4018</v>
      </c>
      <c r="E1248">
        <v>4</v>
      </c>
      <c r="F1248" t="str">
        <f>HYPERLINK("https://github.com/ckmah/DangoReader/issues/72", "show")</f>
        <v>show</v>
      </c>
      <c r="G1248" t="str">
        <f>HYPERLINK("https://github.com/ckmah/DangoReader", "show")</f>
        <v>show</v>
      </c>
      <c r="H1248" t="str">
        <f>HYPERLINK("https://github.com/ckmah/DangoReader/releases", "show")</f>
        <v>show</v>
      </c>
      <c r="I1248">
        <v>1</v>
      </c>
      <c r="J1248">
        <v>0</v>
      </c>
      <c r="K1248">
        <v>0</v>
      </c>
      <c r="L1248">
        <v>0</v>
      </c>
      <c r="M1248" t="s">
        <v>17</v>
      </c>
    </row>
    <row r="1249" spans="1:13" hidden="1" x14ac:dyDescent="0.15">
      <c r="A1249" t="s">
        <v>4019</v>
      </c>
      <c r="B1249" t="s">
        <v>4020</v>
      </c>
      <c r="C1249" t="s">
        <v>4021</v>
      </c>
      <c r="D1249" t="s">
        <v>4018</v>
      </c>
      <c r="E1249">
        <v>0</v>
      </c>
      <c r="F1249" t="str">
        <f>HYPERLINK("https://github.com/dimagi/commcare-android/issues/959", "show")</f>
        <v>show</v>
      </c>
      <c r="G1249" t="str">
        <f>HYPERLINK("https://github.com/dimagi/commcare-android", "show")</f>
        <v>show</v>
      </c>
      <c r="H1249" t="str">
        <f>HYPERLINK("https://github.com/dimagi/commcare-android/releases", "show")</f>
        <v>show</v>
      </c>
      <c r="I1249">
        <v>0</v>
      </c>
      <c r="J1249">
        <v>0</v>
      </c>
      <c r="K1249">
        <v>0</v>
      </c>
      <c r="L1249">
        <v>0</v>
      </c>
      <c r="M1249" t="s">
        <v>43</v>
      </c>
    </row>
    <row r="1250" spans="1:13" hidden="1" x14ac:dyDescent="0.15">
      <c r="A1250" t="s">
        <v>4022</v>
      </c>
      <c r="B1250" t="s">
        <v>4023</v>
      </c>
      <c r="C1250" t="s">
        <v>4024</v>
      </c>
      <c r="D1250" t="s">
        <v>4018</v>
      </c>
      <c r="E1250">
        <v>23</v>
      </c>
      <c r="F1250" t="str">
        <f>HYPERLINK("https://github.com/osmdroid/osmdroid/issues/235", "show")</f>
        <v>show</v>
      </c>
      <c r="G1250" t="str">
        <f>HYPERLINK("https://github.com/osmdroid/osmdroid", "show")</f>
        <v>show</v>
      </c>
      <c r="H1250" t="str">
        <f>HYPERLINK("https://github.com/osmdroid/osmdroid/releases", "show")</f>
        <v>show</v>
      </c>
      <c r="I1250">
        <v>1</v>
      </c>
      <c r="J1250">
        <v>0</v>
      </c>
      <c r="K1250">
        <v>0</v>
      </c>
      <c r="L1250">
        <v>0</v>
      </c>
      <c r="M1250" t="s">
        <v>17</v>
      </c>
    </row>
    <row r="1251" spans="1:13" hidden="1" x14ac:dyDescent="0.15">
      <c r="A1251" t="s">
        <v>4025</v>
      </c>
      <c r="B1251" t="s">
        <v>4026</v>
      </c>
      <c r="C1251" t="s">
        <v>4027</v>
      </c>
      <c r="D1251" t="s">
        <v>4028</v>
      </c>
      <c r="E1251">
        <v>505</v>
      </c>
      <c r="F1251" t="str">
        <f>HYPERLINK("https://github.com/TeamNewPipe/NewPipe/issues/148", "show")</f>
        <v>show</v>
      </c>
      <c r="G1251" t="str">
        <f>HYPERLINK("https://github.com/TeamNewPipe/NewPipe", "show")</f>
        <v>show</v>
      </c>
      <c r="H1251" t="str">
        <f>HYPERLINK("https://github.com/TeamNewPipe/NewPipe/releases", "show")</f>
        <v>show</v>
      </c>
      <c r="I1251">
        <v>1</v>
      </c>
      <c r="J1251">
        <v>0</v>
      </c>
      <c r="K1251">
        <v>0</v>
      </c>
      <c r="L1251">
        <v>0</v>
      </c>
      <c r="M1251" t="s">
        <v>17</v>
      </c>
    </row>
    <row r="1252" spans="1:13" hidden="1" x14ac:dyDescent="0.15">
      <c r="A1252" t="s">
        <v>4029</v>
      </c>
      <c r="B1252" t="s">
        <v>4030</v>
      </c>
      <c r="C1252" t="s">
        <v>4031</v>
      </c>
      <c r="D1252" t="s">
        <v>4028</v>
      </c>
      <c r="E1252">
        <v>0</v>
      </c>
      <c r="F1252" t="str">
        <f>HYPERLINK("https://github.com/dimagi/commcare-android/issues/962", "show")</f>
        <v>show</v>
      </c>
      <c r="G1252" t="str">
        <f>HYPERLINK("https://github.com/dimagi/commcare-android", "show")</f>
        <v>show</v>
      </c>
      <c r="H1252" t="str">
        <f>HYPERLINK("https://github.com/dimagi/commcare-android/releases", "show")</f>
        <v>show</v>
      </c>
      <c r="I1252">
        <v>1</v>
      </c>
      <c r="J1252">
        <v>0</v>
      </c>
      <c r="K1252">
        <v>0</v>
      </c>
      <c r="L1252">
        <v>0</v>
      </c>
      <c r="M1252" t="s">
        <v>17</v>
      </c>
    </row>
    <row r="1253" spans="1:13" hidden="1" x14ac:dyDescent="0.15">
      <c r="A1253" t="s">
        <v>4032</v>
      </c>
      <c r="B1253" t="s">
        <v>4033</v>
      </c>
      <c r="C1253" t="s">
        <v>4034</v>
      </c>
      <c r="D1253" t="s">
        <v>4028</v>
      </c>
      <c r="E1253">
        <v>88</v>
      </c>
      <c r="F1253" t="str">
        <f>HYPERLINK("https://github.com/tlaukkan/zigbee4java/issues/75", "show")</f>
        <v>show</v>
      </c>
      <c r="G1253" t="str">
        <f>HYPERLINK("https://github.com/tlaukkan/zigbee4java", "show")</f>
        <v>show</v>
      </c>
      <c r="H1253" t="str">
        <f>HYPERLINK("https://github.com/tlaukkan/zigbee4java/releases", "show")</f>
        <v>show</v>
      </c>
      <c r="I1253">
        <v>1</v>
      </c>
      <c r="J1253">
        <v>0</v>
      </c>
      <c r="K1253">
        <v>0</v>
      </c>
      <c r="L1253">
        <v>0</v>
      </c>
      <c r="M1253" t="s">
        <v>17</v>
      </c>
    </row>
    <row r="1254" spans="1:13" hidden="1" x14ac:dyDescent="0.15">
      <c r="A1254" t="s">
        <v>4035</v>
      </c>
      <c r="B1254" t="s">
        <v>4036</v>
      </c>
      <c r="C1254" t="s">
        <v>4037</v>
      </c>
      <c r="D1254" t="s">
        <v>4028</v>
      </c>
      <c r="E1254">
        <v>1</v>
      </c>
      <c r="F1254" t="str">
        <f>HYPERLINK("https://github.com/koral--/android-gif-drawable/issues/240", "show")</f>
        <v>show</v>
      </c>
      <c r="G1254" t="str">
        <f>HYPERLINK("https://github.com/koral--/android-gif-drawable", "show")</f>
        <v>show</v>
      </c>
      <c r="H1254" t="str">
        <f>HYPERLINK("https://github.com/koral--/android-gif-drawable/releases", "show")</f>
        <v>show</v>
      </c>
      <c r="I1254">
        <v>1</v>
      </c>
      <c r="J1254">
        <v>0</v>
      </c>
      <c r="K1254">
        <v>0</v>
      </c>
      <c r="L1254">
        <v>0</v>
      </c>
      <c r="M1254" t="s">
        <v>17</v>
      </c>
    </row>
    <row r="1255" spans="1:13" hidden="1" x14ac:dyDescent="0.15">
      <c r="A1255" t="s">
        <v>4038</v>
      </c>
      <c r="B1255" t="s">
        <v>4039</v>
      </c>
      <c r="C1255" t="s">
        <v>504</v>
      </c>
      <c r="D1255" t="s">
        <v>4028</v>
      </c>
      <c r="E1255">
        <v>78</v>
      </c>
      <c r="F1255" t="str">
        <f>HYPERLINK("https://github.com/hidroh/materialistic/issues/329", "show")</f>
        <v>show</v>
      </c>
      <c r="G1255" t="str">
        <f>HYPERLINK("https://github.com/hidroh/materialistic", "show")</f>
        <v>show</v>
      </c>
      <c r="H1255" t="str">
        <f>HYPERLINK("https://github.com/hidroh/materialistic/releases", "show")</f>
        <v>show</v>
      </c>
      <c r="I1255">
        <v>1</v>
      </c>
      <c r="J1255">
        <v>0</v>
      </c>
      <c r="K1255">
        <v>0</v>
      </c>
      <c r="L1255">
        <v>0</v>
      </c>
      <c r="M1255" t="s">
        <v>17</v>
      </c>
    </row>
    <row r="1256" spans="1:13" hidden="1" x14ac:dyDescent="0.15">
      <c r="A1256" t="s">
        <v>4040</v>
      </c>
      <c r="B1256" t="s">
        <v>4041</v>
      </c>
      <c r="C1256" t="s">
        <v>504</v>
      </c>
      <c r="D1256" t="s">
        <v>4028</v>
      </c>
      <c r="E1256">
        <v>78</v>
      </c>
      <c r="F1256" t="str">
        <f>HYPERLINK("https://github.com/hidroh/materialistic/issues/328", "show")</f>
        <v>show</v>
      </c>
      <c r="G1256" t="str">
        <f>HYPERLINK("https://github.com/hidroh/materialistic", "show")</f>
        <v>show</v>
      </c>
      <c r="H1256" t="str">
        <f>HYPERLINK("https://github.com/hidroh/materialistic/releases", "show")</f>
        <v>show</v>
      </c>
      <c r="I1256">
        <v>1</v>
      </c>
      <c r="J1256">
        <v>0</v>
      </c>
      <c r="K1256">
        <v>0</v>
      </c>
      <c r="L1256">
        <v>0</v>
      </c>
      <c r="M1256" t="s">
        <v>17</v>
      </c>
    </row>
    <row r="1257" spans="1:13" hidden="1" x14ac:dyDescent="0.15">
      <c r="A1257" t="s">
        <v>4042</v>
      </c>
      <c r="B1257" t="s">
        <v>4043</v>
      </c>
      <c r="C1257" t="s">
        <v>4044</v>
      </c>
      <c r="D1257" t="s">
        <v>4045</v>
      </c>
      <c r="E1257">
        <v>577</v>
      </c>
      <c r="F1257" t="str">
        <f>HYPERLINK("https://github.com/jonasoreland/runnerup/issues/359", "show")</f>
        <v>show</v>
      </c>
      <c r="G1257" t="str">
        <f>HYPERLINK("https://github.com/jonasoreland/runnerup", "show")</f>
        <v>show</v>
      </c>
      <c r="H1257" t="str">
        <f>HYPERLINK("https://github.com/jonasoreland/runnerup/releases", "show")</f>
        <v>show</v>
      </c>
      <c r="I1257">
        <v>1</v>
      </c>
      <c r="J1257">
        <v>0</v>
      </c>
      <c r="K1257">
        <v>0</v>
      </c>
      <c r="L1257">
        <v>0</v>
      </c>
      <c r="M1257" t="s">
        <v>17</v>
      </c>
    </row>
    <row r="1258" spans="1:13" hidden="1" x14ac:dyDescent="0.15">
      <c r="A1258" t="s">
        <v>4046</v>
      </c>
      <c r="B1258" t="s">
        <v>4047</v>
      </c>
      <c r="C1258" t="s">
        <v>4048</v>
      </c>
      <c r="D1258" t="s">
        <v>4049</v>
      </c>
      <c r="E1258">
        <v>0</v>
      </c>
      <c r="F1258" t="str">
        <f>HYPERLINK("https://github.com/Bernie-2016/fieldthebern-android/issues/328", "show")</f>
        <v>show</v>
      </c>
      <c r="G1258" t="str">
        <f>HYPERLINK("https://github.com/Bernie-2016/fieldthebern-android", "show")</f>
        <v>show</v>
      </c>
      <c r="H1258" t="str">
        <f>HYPERLINK("https://github.com/Bernie-2016/fieldthebern-android/releases", "show")</f>
        <v>show</v>
      </c>
      <c r="I1258">
        <v>0</v>
      </c>
      <c r="J1258">
        <v>0</v>
      </c>
      <c r="K1258">
        <v>0</v>
      </c>
      <c r="L1258">
        <v>0</v>
      </c>
      <c r="M1258" t="s">
        <v>43</v>
      </c>
    </row>
    <row r="1259" spans="1:13" hidden="1" x14ac:dyDescent="0.15">
      <c r="A1259" t="s">
        <v>4050</v>
      </c>
      <c r="B1259" t="s">
        <v>4051</v>
      </c>
      <c r="C1259" t="s">
        <v>4052</v>
      </c>
      <c r="D1259" t="s">
        <v>4053</v>
      </c>
      <c r="E1259">
        <v>0</v>
      </c>
      <c r="F1259" t="str">
        <f>HYPERLINK("https://github.com/alexvasilkov/GestureViews/issues/15", "show")</f>
        <v>show</v>
      </c>
      <c r="G1259" t="str">
        <f>HYPERLINK("https://github.com/alexvasilkov/GestureViews", "show")</f>
        <v>show</v>
      </c>
      <c r="H1259" t="str">
        <f>HYPERLINK("https://github.com/alexvasilkov/GestureViews/releases", "show")</f>
        <v>show</v>
      </c>
      <c r="I1259">
        <v>1</v>
      </c>
      <c r="J1259">
        <v>0</v>
      </c>
      <c r="K1259">
        <v>1</v>
      </c>
      <c r="L1259">
        <v>0</v>
      </c>
      <c r="M1259" t="s">
        <v>64</v>
      </c>
    </row>
    <row r="1260" spans="1:13" hidden="1" x14ac:dyDescent="0.15">
      <c r="A1260" t="s">
        <v>4054</v>
      </c>
      <c r="B1260" t="s">
        <v>4055</v>
      </c>
      <c r="D1260" t="s">
        <v>4053</v>
      </c>
      <c r="E1260">
        <v>8</v>
      </c>
      <c r="F1260" t="str">
        <f>HYPERLINK("https://github.com/opensrp/opensrp-client/issues/134", "show")</f>
        <v>show</v>
      </c>
      <c r="G1260" t="str">
        <f>HYPERLINK("https://github.com/opensrp/opensrp-client", "show")</f>
        <v>show</v>
      </c>
      <c r="H1260" t="str">
        <f>HYPERLINK("https://github.com/opensrp/opensrp-client/releases", "show")</f>
        <v>show</v>
      </c>
      <c r="I1260">
        <v>1</v>
      </c>
      <c r="J1260">
        <v>0</v>
      </c>
      <c r="K1260">
        <v>1</v>
      </c>
      <c r="L1260">
        <v>0</v>
      </c>
      <c r="M1260" t="s">
        <v>64</v>
      </c>
    </row>
    <row r="1261" spans="1:13" hidden="1" x14ac:dyDescent="0.15">
      <c r="A1261" t="s">
        <v>4056</v>
      </c>
      <c r="B1261" t="s">
        <v>4057</v>
      </c>
      <c r="C1261" t="s">
        <v>4058</v>
      </c>
      <c r="D1261" t="s">
        <v>4053</v>
      </c>
      <c r="E1261">
        <v>0</v>
      </c>
      <c r="F1261" t="str">
        <f>HYPERLINK("https://github.com/ccrama/Slide/issues/765", "show")</f>
        <v>show</v>
      </c>
      <c r="G1261" t="str">
        <f>HYPERLINK("https://github.com/ccrama/Slide", "show")</f>
        <v>show</v>
      </c>
      <c r="H1261" t="str">
        <f>HYPERLINK("https://github.com/ccrama/Slide/releases", "show")</f>
        <v>show</v>
      </c>
      <c r="I1261">
        <v>1</v>
      </c>
      <c r="J1261">
        <v>0</v>
      </c>
      <c r="K1261">
        <v>0</v>
      </c>
      <c r="L1261">
        <v>0</v>
      </c>
      <c r="M1261" t="s">
        <v>17</v>
      </c>
    </row>
    <row r="1262" spans="1:13" hidden="1" x14ac:dyDescent="0.15">
      <c r="A1262" t="s">
        <v>4059</v>
      </c>
      <c r="B1262" t="s">
        <v>4060</v>
      </c>
      <c r="C1262" t="s">
        <v>4061</v>
      </c>
      <c r="D1262" t="s">
        <v>4053</v>
      </c>
      <c r="E1262">
        <v>169</v>
      </c>
      <c r="F1262" t="str">
        <f>HYPERLINK("https://github.com/commons-app/apps-android-commons/issues/41", "show")</f>
        <v>show</v>
      </c>
      <c r="G1262" t="str">
        <f>HYPERLINK("https://github.com/commons-app/apps-android-commons", "show")</f>
        <v>show</v>
      </c>
      <c r="H1262" t="str">
        <f>HYPERLINK("https://github.com/commons-app/apps-android-commons/releases", "show")</f>
        <v>show</v>
      </c>
      <c r="I1262">
        <v>1</v>
      </c>
      <c r="J1262">
        <v>0</v>
      </c>
      <c r="K1262">
        <v>0</v>
      </c>
      <c r="L1262">
        <v>0</v>
      </c>
      <c r="M1262" t="s">
        <v>17</v>
      </c>
    </row>
    <row r="1263" spans="1:13" hidden="1" x14ac:dyDescent="0.15">
      <c r="A1263" t="s">
        <v>4062</v>
      </c>
      <c r="B1263" t="s">
        <v>4063</v>
      </c>
      <c r="C1263" t="s">
        <v>504</v>
      </c>
      <c r="D1263" t="s">
        <v>4053</v>
      </c>
      <c r="E1263">
        <v>81</v>
      </c>
      <c r="F1263" t="str">
        <f>HYPERLINK("https://github.com/hidroh/materialistic/issues/341", "show")</f>
        <v>show</v>
      </c>
      <c r="G1263" t="str">
        <f>HYPERLINK("https://github.com/hidroh/materialistic", "show")</f>
        <v>show</v>
      </c>
      <c r="H1263" t="str">
        <f>HYPERLINK("https://github.com/hidroh/materialistic/releases", "show")</f>
        <v>show</v>
      </c>
      <c r="I1263">
        <v>1</v>
      </c>
      <c r="J1263">
        <v>0</v>
      </c>
      <c r="K1263">
        <v>0</v>
      </c>
      <c r="L1263">
        <v>0</v>
      </c>
      <c r="M1263" t="s">
        <v>17</v>
      </c>
    </row>
    <row r="1264" spans="1:13" hidden="1" x14ac:dyDescent="0.15">
      <c r="A1264" t="s">
        <v>4064</v>
      </c>
      <c r="B1264" t="s">
        <v>4065</v>
      </c>
      <c r="C1264" t="s">
        <v>504</v>
      </c>
      <c r="D1264" t="s">
        <v>4066</v>
      </c>
      <c r="E1264">
        <v>1</v>
      </c>
      <c r="F1264" t="str">
        <f>HYPERLINK("https://github.com/Bernie-2016/fieldthebern-android/issues/372", "show")</f>
        <v>show</v>
      </c>
      <c r="G1264" t="str">
        <f>HYPERLINK("https://github.com/Bernie-2016/fieldthebern-android", "show")</f>
        <v>show</v>
      </c>
      <c r="H1264" t="str">
        <f>HYPERLINK("https://github.com/Bernie-2016/fieldthebern-android/releases", "show")</f>
        <v>show</v>
      </c>
      <c r="I1264">
        <v>1</v>
      </c>
      <c r="J1264">
        <v>0</v>
      </c>
      <c r="K1264">
        <v>0</v>
      </c>
      <c r="L1264">
        <v>0</v>
      </c>
      <c r="M1264" t="s">
        <v>17</v>
      </c>
    </row>
    <row r="1265" spans="1:13" hidden="1" x14ac:dyDescent="0.15">
      <c r="A1265" t="s">
        <v>4067</v>
      </c>
      <c r="B1265" t="s">
        <v>4068</v>
      </c>
      <c r="C1265" t="s">
        <v>4069</v>
      </c>
      <c r="D1265" t="s">
        <v>4066</v>
      </c>
      <c r="E1265">
        <v>2</v>
      </c>
      <c r="F1265" t="str">
        <f>HYPERLINK("https://github.com/billthefarmer/tuner/issues/4", "show")</f>
        <v>show</v>
      </c>
      <c r="G1265" t="str">
        <f>HYPERLINK("https://github.com/billthefarmer/tuner", "show")</f>
        <v>show</v>
      </c>
      <c r="H1265" t="str">
        <f>HYPERLINK("https://github.com/billthefarmer/tuner/releases", "show")</f>
        <v>show</v>
      </c>
      <c r="I1265">
        <v>1</v>
      </c>
      <c r="J1265">
        <v>0</v>
      </c>
      <c r="K1265">
        <v>0</v>
      </c>
      <c r="L1265">
        <v>0</v>
      </c>
      <c r="M1265" t="s">
        <v>17</v>
      </c>
    </row>
    <row r="1266" spans="1:13" hidden="1" x14ac:dyDescent="0.15">
      <c r="A1266" t="s">
        <v>4070</v>
      </c>
      <c r="B1266" t="s">
        <v>4071</v>
      </c>
      <c r="C1266" t="s">
        <v>4072</v>
      </c>
      <c r="D1266" t="s">
        <v>4073</v>
      </c>
      <c r="E1266">
        <v>6</v>
      </c>
      <c r="F1266" t="str">
        <f>HYPERLINK("https://github.com/zhuowei/MCPELauncher/issues/489", "show")</f>
        <v>show</v>
      </c>
      <c r="G1266" t="str">
        <f>HYPERLINK("https://github.com/zhuowei/MCPELauncher", "show")</f>
        <v>show</v>
      </c>
      <c r="H1266" t="str">
        <f>HYPERLINK("https://github.com/zhuowei/MCPELauncher/releases", "show")</f>
        <v>show</v>
      </c>
      <c r="I1266">
        <v>1</v>
      </c>
      <c r="J1266">
        <v>0</v>
      </c>
      <c r="K1266">
        <v>0</v>
      </c>
      <c r="L1266">
        <v>0</v>
      </c>
      <c r="M1266" t="s">
        <v>17</v>
      </c>
    </row>
    <row r="1267" spans="1:13" hidden="1" x14ac:dyDescent="0.15">
      <c r="A1267" t="s">
        <v>4074</v>
      </c>
      <c r="B1267" t="s">
        <v>4075</v>
      </c>
      <c r="C1267" t="s">
        <v>4076</v>
      </c>
      <c r="D1267" t="s">
        <v>4073</v>
      </c>
      <c r="E1267">
        <v>35</v>
      </c>
      <c r="F1267" t="str">
        <f>HYPERLINK("https://github.com/ccrama/Slide/issues/790", "show")</f>
        <v>show</v>
      </c>
      <c r="G1267" t="str">
        <f>HYPERLINK("https://github.com/ccrama/Slide", "show")</f>
        <v>show</v>
      </c>
      <c r="H1267" t="str">
        <f>HYPERLINK("https://github.com/ccrama/Slide/releases", "show")</f>
        <v>show</v>
      </c>
      <c r="I1267">
        <v>1</v>
      </c>
      <c r="J1267">
        <v>0</v>
      </c>
      <c r="K1267">
        <v>0</v>
      </c>
      <c r="L1267">
        <v>0</v>
      </c>
      <c r="M1267" t="s">
        <v>17</v>
      </c>
    </row>
    <row r="1268" spans="1:13" hidden="1" x14ac:dyDescent="0.15">
      <c r="A1268" t="s">
        <v>4077</v>
      </c>
      <c r="B1268" t="s">
        <v>4078</v>
      </c>
      <c r="C1268" t="s">
        <v>4079</v>
      </c>
      <c r="D1268" t="s">
        <v>4073</v>
      </c>
      <c r="E1268">
        <v>11</v>
      </c>
      <c r="F1268" t="str">
        <f>HYPERLINK("https://github.com/projectbuendia/client/issues/199", "show")</f>
        <v>show</v>
      </c>
      <c r="G1268" t="str">
        <f>HYPERLINK("https://github.com/projectbuendia/client", "show")</f>
        <v>show</v>
      </c>
      <c r="H1268" t="str">
        <f>HYPERLINK("https://github.com/projectbuendia/client/releases", "show")</f>
        <v>show</v>
      </c>
      <c r="I1268">
        <v>1</v>
      </c>
      <c r="J1268">
        <v>0</v>
      </c>
      <c r="K1268">
        <v>0</v>
      </c>
      <c r="L1268">
        <v>0</v>
      </c>
      <c r="M1268" t="s">
        <v>17</v>
      </c>
    </row>
    <row r="1269" spans="1:13" hidden="1" x14ac:dyDescent="0.15">
      <c r="A1269" t="s">
        <v>4080</v>
      </c>
      <c r="B1269" t="s">
        <v>4081</v>
      </c>
      <c r="C1269" t="s">
        <v>4082</v>
      </c>
      <c r="D1269" t="s">
        <v>4083</v>
      </c>
      <c r="E1269">
        <v>22</v>
      </c>
      <c r="F1269" t="str">
        <f>HYPERLINK("https://github.com/ccrama/Slide/issues/808", "show")</f>
        <v>show</v>
      </c>
      <c r="G1269" t="str">
        <f>HYPERLINK("https://github.com/ccrama/Slide", "show")</f>
        <v>show</v>
      </c>
      <c r="H1269" t="str">
        <f>HYPERLINK("https://github.com/ccrama/Slide/releases", "show")</f>
        <v>show</v>
      </c>
      <c r="I1269">
        <v>0</v>
      </c>
      <c r="J1269">
        <v>0</v>
      </c>
      <c r="K1269">
        <v>0</v>
      </c>
      <c r="L1269">
        <v>0</v>
      </c>
      <c r="M1269" t="s">
        <v>43</v>
      </c>
    </row>
    <row r="1270" spans="1:13" hidden="1" x14ac:dyDescent="0.15">
      <c r="A1270" t="s">
        <v>4084</v>
      </c>
      <c r="B1270" t="s">
        <v>4085</v>
      </c>
      <c r="C1270" t="s">
        <v>504</v>
      </c>
      <c r="D1270" t="s">
        <v>4083</v>
      </c>
      <c r="E1270">
        <v>3</v>
      </c>
      <c r="F1270" t="str">
        <f>HYPERLINK("https://github.com/Bernie-2016/fieldthebern-android/issues/398", "show")</f>
        <v>show</v>
      </c>
      <c r="G1270" t="str">
        <f>HYPERLINK("https://github.com/Bernie-2016/fieldthebern-android", "show")</f>
        <v>show</v>
      </c>
      <c r="H1270" t="str">
        <f>HYPERLINK("https://github.com/Bernie-2016/fieldthebern-android/releases", "show")</f>
        <v>show</v>
      </c>
      <c r="I1270">
        <v>1</v>
      </c>
      <c r="J1270">
        <v>0</v>
      </c>
      <c r="K1270">
        <v>0</v>
      </c>
      <c r="L1270">
        <v>0</v>
      </c>
      <c r="M1270" t="s">
        <v>17</v>
      </c>
    </row>
    <row r="1271" spans="1:13" hidden="1" x14ac:dyDescent="0.15">
      <c r="A1271" t="s">
        <v>4086</v>
      </c>
      <c r="B1271" t="s">
        <v>4087</v>
      </c>
      <c r="C1271" t="s">
        <v>4088</v>
      </c>
      <c r="D1271" t="s">
        <v>4083</v>
      </c>
      <c r="E1271">
        <v>17</v>
      </c>
      <c r="F1271" t="str">
        <f>HYPERLINK("https://github.com/open-keychain/open-keychain/issues/1688", "show")</f>
        <v>show</v>
      </c>
      <c r="G1271" t="str">
        <f>HYPERLINK("https://github.com/open-keychain/open-keychain", "show")</f>
        <v>show</v>
      </c>
      <c r="H1271" t="str">
        <f>HYPERLINK("https://github.com/open-keychain/open-keychain/releases", "show")</f>
        <v>show</v>
      </c>
      <c r="I1271">
        <v>1</v>
      </c>
      <c r="J1271">
        <v>0</v>
      </c>
      <c r="K1271">
        <v>0</v>
      </c>
      <c r="L1271">
        <v>0</v>
      </c>
      <c r="M1271" t="s">
        <v>17</v>
      </c>
    </row>
    <row r="1272" spans="1:13" hidden="1" x14ac:dyDescent="0.15">
      <c r="A1272" t="s">
        <v>4089</v>
      </c>
      <c r="B1272" t="s">
        <v>4090</v>
      </c>
      <c r="C1272" t="s">
        <v>4091</v>
      </c>
      <c r="D1272" t="s">
        <v>4083</v>
      </c>
      <c r="E1272">
        <v>3</v>
      </c>
      <c r="F1272" t="str">
        <f>HYPERLINK("https://github.com/JFMurphy/calculator-app/issues/1", "show")</f>
        <v>show</v>
      </c>
      <c r="G1272" t="str">
        <f>HYPERLINK("https://github.com/JFMurphy/calculator-app", "show")</f>
        <v>show</v>
      </c>
      <c r="H1272" t="str">
        <f>HYPERLINK("https://github.com/JFMurphy/calculator-app/releases", "show")</f>
        <v>show</v>
      </c>
      <c r="I1272">
        <v>1</v>
      </c>
      <c r="J1272">
        <v>0</v>
      </c>
      <c r="K1272">
        <v>0</v>
      </c>
      <c r="L1272">
        <v>0</v>
      </c>
      <c r="M1272" t="s">
        <v>17</v>
      </c>
    </row>
    <row r="1273" spans="1:13" hidden="1" x14ac:dyDescent="0.15">
      <c r="A1273" t="s">
        <v>4092</v>
      </c>
      <c r="B1273" t="s">
        <v>4093</v>
      </c>
      <c r="C1273" t="s">
        <v>4094</v>
      </c>
      <c r="D1273" t="s">
        <v>4083</v>
      </c>
      <c r="E1273">
        <v>6</v>
      </c>
      <c r="F1273" t="str">
        <f>HYPERLINK("https://github.com/koral--/android-gif-drawable/issues/243", "show")</f>
        <v>show</v>
      </c>
      <c r="G1273" t="str">
        <f>HYPERLINK("https://github.com/koral--/android-gif-drawable", "show")</f>
        <v>show</v>
      </c>
      <c r="H1273" t="str">
        <f>HYPERLINK("https://github.com/koral--/android-gif-drawable/releases", "show")</f>
        <v>show</v>
      </c>
      <c r="I1273">
        <v>1</v>
      </c>
      <c r="J1273">
        <v>0</v>
      </c>
      <c r="K1273">
        <v>0</v>
      </c>
      <c r="L1273">
        <v>0</v>
      </c>
      <c r="M1273" t="s">
        <v>17</v>
      </c>
    </row>
    <row r="1274" spans="1:13" hidden="1" x14ac:dyDescent="0.15">
      <c r="A1274" t="s">
        <v>4095</v>
      </c>
      <c r="B1274" t="s">
        <v>4096</v>
      </c>
      <c r="C1274" t="s">
        <v>4097</v>
      </c>
      <c r="D1274" t="s">
        <v>4083</v>
      </c>
      <c r="E1274">
        <v>8</v>
      </c>
      <c r="F1274" t="str">
        <f>HYPERLINK("https://github.com/SpartaHack/SpartaHack-Android-2016/issues/16", "show")</f>
        <v>show</v>
      </c>
      <c r="G1274" t="str">
        <f>HYPERLINK("https://github.com/SpartaHack/SpartaHack-Android-2016", "show")</f>
        <v>show</v>
      </c>
      <c r="H1274" t="str">
        <f>HYPERLINK("https://github.com/SpartaHack/SpartaHack-Android-2016/releases", "show")</f>
        <v>show</v>
      </c>
      <c r="I1274">
        <v>0</v>
      </c>
      <c r="J1274">
        <v>0</v>
      </c>
      <c r="K1274">
        <v>0</v>
      </c>
      <c r="L1274">
        <v>0</v>
      </c>
      <c r="M1274" t="s">
        <v>43</v>
      </c>
    </row>
    <row r="1275" spans="1:13" hidden="1" x14ac:dyDescent="0.15">
      <c r="A1275" t="s">
        <v>4098</v>
      </c>
      <c r="B1275" t="s">
        <v>4099</v>
      </c>
      <c r="C1275" t="s">
        <v>504</v>
      </c>
      <c r="D1275" t="s">
        <v>4083</v>
      </c>
      <c r="E1275">
        <v>3</v>
      </c>
      <c r="F1275" t="str">
        <f>HYPERLINK("https://github.com/Bernie-2016/fieldthebern-android/issues/390", "show")</f>
        <v>show</v>
      </c>
      <c r="G1275" t="str">
        <f>HYPERLINK("https://github.com/Bernie-2016/fieldthebern-android", "show")</f>
        <v>show</v>
      </c>
      <c r="H1275" t="str">
        <f>HYPERLINK("https://github.com/Bernie-2016/fieldthebern-android/releases", "show")</f>
        <v>show</v>
      </c>
      <c r="I1275">
        <v>1</v>
      </c>
      <c r="J1275">
        <v>0</v>
      </c>
      <c r="K1275">
        <v>0</v>
      </c>
      <c r="L1275">
        <v>0</v>
      </c>
      <c r="M1275" t="s">
        <v>17</v>
      </c>
    </row>
    <row r="1276" spans="1:13" hidden="1" x14ac:dyDescent="0.15">
      <c r="A1276" t="s">
        <v>4100</v>
      </c>
      <c r="B1276" t="s">
        <v>4101</v>
      </c>
      <c r="C1276" t="s">
        <v>4102</v>
      </c>
      <c r="D1276" t="s">
        <v>4083</v>
      </c>
      <c r="E1276">
        <v>4</v>
      </c>
      <c r="F1276" t="str">
        <f>HYPERLINK("https://github.com/ccrama/Slide/issues/791", "show")</f>
        <v>show</v>
      </c>
      <c r="G1276" t="str">
        <f>HYPERLINK("https://github.com/ccrama/Slide", "show")</f>
        <v>show</v>
      </c>
      <c r="H1276" t="str">
        <f>HYPERLINK("https://github.com/ccrama/Slide/releases", "show")</f>
        <v>show</v>
      </c>
      <c r="I1276">
        <v>1</v>
      </c>
      <c r="J1276">
        <v>0</v>
      </c>
      <c r="K1276">
        <v>0</v>
      </c>
      <c r="L1276">
        <v>0</v>
      </c>
      <c r="M1276" t="s">
        <v>17</v>
      </c>
    </row>
    <row r="1277" spans="1:13" hidden="1" x14ac:dyDescent="0.15">
      <c r="A1277" t="s">
        <v>4103</v>
      </c>
      <c r="B1277" t="s">
        <v>4104</v>
      </c>
      <c r="C1277" t="s">
        <v>4105</v>
      </c>
      <c r="D1277" t="s">
        <v>4106</v>
      </c>
      <c r="E1277">
        <v>229</v>
      </c>
      <c r="F1277" t="str">
        <f>HYPERLINK("https://github.com/dmfs/opentasks/issues/192", "show")</f>
        <v>show</v>
      </c>
      <c r="G1277" t="str">
        <f>HYPERLINK("https://github.com/dmfs/opentasks", "show")</f>
        <v>show</v>
      </c>
      <c r="H1277" t="str">
        <f>HYPERLINK("https://github.com/dmfs/opentasks/releases", "show")</f>
        <v>show</v>
      </c>
      <c r="I1277">
        <v>1</v>
      </c>
      <c r="J1277">
        <v>0</v>
      </c>
      <c r="K1277">
        <v>1</v>
      </c>
      <c r="L1277">
        <v>0</v>
      </c>
      <c r="M1277" t="s">
        <v>64</v>
      </c>
    </row>
    <row r="1278" spans="1:13" hidden="1" x14ac:dyDescent="0.15">
      <c r="A1278" t="s">
        <v>4107</v>
      </c>
      <c r="B1278" t="s">
        <v>4108</v>
      </c>
      <c r="D1278" t="s">
        <v>4106</v>
      </c>
      <c r="E1278">
        <v>99</v>
      </c>
      <c r="F1278" t="str">
        <f>HYPERLINK("https://github.com/elman22/pocket-amc-reader/issues/12", "show")</f>
        <v>show</v>
      </c>
      <c r="G1278" t="str">
        <f>HYPERLINK("https://github.com/elman22/pocket-amc-reader", "show")</f>
        <v>show</v>
      </c>
      <c r="H1278" t="str">
        <f>HYPERLINK("https://github.com/elman22/pocket-amc-reader/releases", "show")</f>
        <v>show</v>
      </c>
      <c r="I1278">
        <v>0</v>
      </c>
      <c r="J1278">
        <v>0</v>
      </c>
      <c r="K1278">
        <v>0</v>
      </c>
      <c r="L1278">
        <v>0</v>
      </c>
      <c r="M1278" t="s">
        <v>43</v>
      </c>
    </row>
    <row r="1279" spans="1:13" hidden="1" x14ac:dyDescent="0.15">
      <c r="A1279" t="s">
        <v>4109</v>
      </c>
      <c r="B1279" t="s">
        <v>4110</v>
      </c>
      <c r="C1279" t="s">
        <v>4111</v>
      </c>
      <c r="D1279" t="s">
        <v>4106</v>
      </c>
      <c r="E1279">
        <v>727</v>
      </c>
      <c r="F1279" t="str">
        <f>HYPERLINK("https://github.com/react-native-camera/react-native-camera/issues/154", "show")</f>
        <v>show</v>
      </c>
      <c r="G1279" t="str">
        <f>HYPERLINK("https://github.com/react-native-camera/react-native-camera", "show")</f>
        <v>show</v>
      </c>
      <c r="H1279" t="str">
        <f>HYPERLINK("https://github.com/react-native-camera/react-native-camera/releases", "show")</f>
        <v>show</v>
      </c>
      <c r="I1279">
        <v>1</v>
      </c>
      <c r="J1279">
        <v>0</v>
      </c>
      <c r="K1279">
        <v>0</v>
      </c>
      <c r="L1279">
        <v>0</v>
      </c>
      <c r="M1279" t="s">
        <v>17</v>
      </c>
    </row>
    <row r="1280" spans="1:13" hidden="1" x14ac:dyDescent="0.15">
      <c r="A1280" t="s">
        <v>4112</v>
      </c>
      <c r="B1280" t="s">
        <v>4113</v>
      </c>
      <c r="C1280" t="s">
        <v>504</v>
      </c>
      <c r="D1280" t="s">
        <v>4114</v>
      </c>
      <c r="E1280">
        <v>1</v>
      </c>
      <c r="F1280" t="str">
        <f>HYPERLINK("https://github.com/Bernie-2016/fieldthebern-android/issues/411", "show")</f>
        <v>show</v>
      </c>
      <c r="G1280" t="str">
        <f>HYPERLINK("https://github.com/Bernie-2016/fieldthebern-android", "show")</f>
        <v>show</v>
      </c>
      <c r="H1280" t="str">
        <f>HYPERLINK("https://github.com/Bernie-2016/fieldthebern-android/releases", "show")</f>
        <v>show</v>
      </c>
      <c r="I1280">
        <v>1</v>
      </c>
      <c r="J1280">
        <v>0</v>
      </c>
      <c r="K1280">
        <v>0</v>
      </c>
      <c r="L1280">
        <v>0</v>
      </c>
      <c r="M1280" t="s">
        <v>17</v>
      </c>
    </row>
    <row r="1281" spans="1:13" hidden="1" x14ac:dyDescent="0.15">
      <c r="A1281" t="s">
        <v>4115</v>
      </c>
      <c r="B1281" t="s">
        <v>4116</v>
      </c>
      <c r="C1281" t="s">
        <v>504</v>
      </c>
      <c r="D1281" t="s">
        <v>4114</v>
      </c>
      <c r="E1281">
        <v>1</v>
      </c>
      <c r="F1281" t="str">
        <f>HYPERLINK("https://github.com/Bernie-2016/fieldthebern-android/issues/410", "show")</f>
        <v>show</v>
      </c>
      <c r="G1281" t="str">
        <f>HYPERLINK("https://github.com/Bernie-2016/fieldthebern-android", "show")</f>
        <v>show</v>
      </c>
      <c r="H1281" t="str">
        <f>HYPERLINK("https://github.com/Bernie-2016/fieldthebern-android/releases", "show")</f>
        <v>show</v>
      </c>
      <c r="I1281">
        <v>1</v>
      </c>
      <c r="J1281">
        <v>0</v>
      </c>
      <c r="K1281">
        <v>0</v>
      </c>
      <c r="L1281">
        <v>0</v>
      </c>
      <c r="M1281" t="s">
        <v>17</v>
      </c>
    </row>
    <row r="1282" spans="1:13" hidden="1" x14ac:dyDescent="0.15">
      <c r="A1282" t="s">
        <v>4117</v>
      </c>
      <c r="B1282" t="s">
        <v>4118</v>
      </c>
      <c r="C1282" t="s">
        <v>4119</v>
      </c>
      <c r="D1282" t="s">
        <v>4114</v>
      </c>
      <c r="E1282">
        <v>19</v>
      </c>
      <c r="F1282" t="str">
        <f>HYPERLINK("https://github.com/ankidroid/Anki-Android/issues/4057", "show")</f>
        <v>show</v>
      </c>
      <c r="G1282" t="str">
        <f>HYPERLINK("https://github.com/ankidroid/Anki-Android", "show")</f>
        <v>show</v>
      </c>
      <c r="H1282" t="str">
        <f>HYPERLINK("https://github.com/ankidroid/Anki-Android/releases", "show")</f>
        <v>show</v>
      </c>
      <c r="I1282">
        <v>0</v>
      </c>
      <c r="J1282">
        <v>0</v>
      </c>
      <c r="K1282">
        <v>0</v>
      </c>
      <c r="L1282">
        <v>0</v>
      </c>
      <c r="M1282" t="s">
        <v>43</v>
      </c>
    </row>
    <row r="1283" spans="1:13" hidden="1" x14ac:dyDescent="0.15">
      <c r="A1283" t="s">
        <v>4120</v>
      </c>
      <c r="B1283" t="s">
        <v>4121</v>
      </c>
      <c r="C1283" t="s">
        <v>504</v>
      </c>
      <c r="D1283" t="s">
        <v>4114</v>
      </c>
      <c r="E1283">
        <v>1</v>
      </c>
      <c r="F1283" t="str">
        <f>HYPERLINK("https://github.com/Bernie-2016/fieldthebern-android/issues/407", "show")</f>
        <v>show</v>
      </c>
      <c r="G1283" t="str">
        <f>HYPERLINK("https://github.com/Bernie-2016/fieldthebern-android", "show")</f>
        <v>show</v>
      </c>
      <c r="H1283" t="str">
        <f>HYPERLINK("https://github.com/Bernie-2016/fieldthebern-android/releases", "show")</f>
        <v>show</v>
      </c>
      <c r="I1283">
        <v>1</v>
      </c>
      <c r="J1283">
        <v>0</v>
      </c>
      <c r="K1283">
        <v>0</v>
      </c>
      <c r="L1283">
        <v>0</v>
      </c>
      <c r="M1283" t="s">
        <v>17</v>
      </c>
    </row>
    <row r="1284" spans="1:13" hidden="1" x14ac:dyDescent="0.15">
      <c r="A1284" t="s">
        <v>4122</v>
      </c>
      <c r="B1284" t="s">
        <v>4123</v>
      </c>
      <c r="C1284" t="s">
        <v>4124</v>
      </c>
      <c r="D1284" t="s">
        <v>4125</v>
      </c>
      <c r="E1284">
        <v>47</v>
      </c>
      <c r="F1284" t="str">
        <f>HYPERLINK("https://github.com/longdivision/hex/issues/3", "show")</f>
        <v>show</v>
      </c>
      <c r="G1284" t="str">
        <f>HYPERLINK("https://github.com/longdivision/hex", "show")</f>
        <v>show</v>
      </c>
      <c r="H1284" t="str">
        <f>HYPERLINK("https://github.com/longdivision/hex/releases", "show")</f>
        <v>show</v>
      </c>
      <c r="I1284">
        <v>1</v>
      </c>
      <c r="J1284">
        <v>1</v>
      </c>
      <c r="K1284">
        <v>0</v>
      </c>
      <c r="L1284">
        <v>0</v>
      </c>
      <c r="M1284" t="s">
        <v>48</v>
      </c>
    </row>
    <row r="1285" spans="1:13" hidden="1" x14ac:dyDescent="0.15">
      <c r="A1285" t="s">
        <v>4126</v>
      </c>
      <c r="B1285" t="s">
        <v>874</v>
      </c>
      <c r="C1285" t="s">
        <v>4127</v>
      </c>
      <c r="D1285" t="s">
        <v>4125</v>
      </c>
      <c r="E1285">
        <v>27</v>
      </c>
      <c r="F1285" t="str">
        <f>HYPERLINK("https://github.com/gitskarios/Gitskarios/issues/336", "show")</f>
        <v>show</v>
      </c>
      <c r="G1285" t="str">
        <f>HYPERLINK("https://github.com/gitskarios/Gitskarios", "show")</f>
        <v>show</v>
      </c>
      <c r="H1285" t="str">
        <f>HYPERLINK("https://github.com/gitskarios/Gitskarios/releases", "show")</f>
        <v>show</v>
      </c>
      <c r="I1285">
        <v>0</v>
      </c>
      <c r="J1285">
        <v>0</v>
      </c>
      <c r="K1285">
        <v>1</v>
      </c>
      <c r="L1285">
        <v>0</v>
      </c>
      <c r="M1285" t="s">
        <v>122</v>
      </c>
    </row>
    <row r="1286" spans="1:13" hidden="1" x14ac:dyDescent="0.15">
      <c r="A1286" t="s">
        <v>4128</v>
      </c>
      <c r="B1286" t="s">
        <v>4129</v>
      </c>
      <c r="C1286" t="s">
        <v>4130</v>
      </c>
      <c r="D1286" t="s">
        <v>4131</v>
      </c>
      <c r="E1286">
        <v>4</v>
      </c>
      <c r="F1286" t="str">
        <f>HYPERLINK("https://github.com/NemProject/NEMAndroidApp/issues/81", "show")</f>
        <v>show</v>
      </c>
      <c r="G1286" t="str">
        <f>HYPERLINK("https://github.com/NemProject/NEMAndroidApp", "show")</f>
        <v>show</v>
      </c>
      <c r="H1286" t="str">
        <f>HYPERLINK("https://github.com/NemProject/NEMAndroidApp/releases", "show")</f>
        <v>show</v>
      </c>
      <c r="I1286">
        <v>1</v>
      </c>
      <c r="J1286">
        <v>0</v>
      </c>
      <c r="K1286">
        <v>0</v>
      </c>
      <c r="L1286">
        <v>0</v>
      </c>
      <c r="M1286" t="s">
        <v>17</v>
      </c>
    </row>
    <row r="1287" spans="1:13" hidden="1" x14ac:dyDescent="0.15">
      <c r="A1287" t="s">
        <v>4132</v>
      </c>
      <c r="B1287" t="s">
        <v>4133</v>
      </c>
      <c r="C1287" t="s">
        <v>4134</v>
      </c>
      <c r="D1287" t="s">
        <v>4131</v>
      </c>
      <c r="E1287">
        <v>0</v>
      </c>
      <c r="F1287" t="str">
        <f>HYPERLINK("https://github.com/moneymanagerex/android-money-manager-ex/issues/652", "show")</f>
        <v>show</v>
      </c>
      <c r="G1287" t="str">
        <f>HYPERLINK("https://github.com/moneymanagerex/android-money-manager-ex", "show")</f>
        <v>show</v>
      </c>
      <c r="H1287" t="str">
        <f>HYPERLINK("https://github.com/moneymanagerex/android-money-manager-ex/releases", "show")</f>
        <v>show</v>
      </c>
      <c r="I1287">
        <v>0</v>
      </c>
      <c r="J1287">
        <v>0</v>
      </c>
      <c r="K1287">
        <v>1</v>
      </c>
      <c r="L1287">
        <v>0</v>
      </c>
      <c r="M1287" t="s">
        <v>122</v>
      </c>
    </row>
    <row r="1288" spans="1:13" hidden="1" x14ac:dyDescent="0.15">
      <c r="A1288" t="s">
        <v>4135</v>
      </c>
      <c r="B1288" t="s">
        <v>4136</v>
      </c>
      <c r="C1288" t="s">
        <v>4137</v>
      </c>
      <c r="D1288" t="s">
        <v>4138</v>
      </c>
      <c r="E1288">
        <v>1</v>
      </c>
      <c r="F1288" t="str">
        <f>HYPERLINK("https://github.com/dimagi/commcare-android/issues/992", "show")</f>
        <v>show</v>
      </c>
      <c r="G1288" t="str">
        <f>HYPERLINK("https://github.com/dimagi/commcare-android", "show")</f>
        <v>show</v>
      </c>
      <c r="H1288" t="str">
        <f>HYPERLINK("https://github.com/dimagi/commcare-android/releases", "show")</f>
        <v>show</v>
      </c>
      <c r="I1288">
        <v>1</v>
      </c>
      <c r="J1288">
        <v>0</v>
      </c>
      <c r="K1288">
        <v>0</v>
      </c>
      <c r="L1288">
        <v>0</v>
      </c>
      <c r="M1288" t="s">
        <v>17</v>
      </c>
    </row>
    <row r="1289" spans="1:13" hidden="1" x14ac:dyDescent="0.15">
      <c r="A1289" t="s">
        <v>4139</v>
      </c>
      <c r="B1289" t="s">
        <v>4140</v>
      </c>
      <c r="C1289" t="s">
        <v>4141</v>
      </c>
      <c r="D1289" t="s">
        <v>4138</v>
      </c>
      <c r="E1289">
        <v>129</v>
      </c>
      <c r="F1289" t="str">
        <f>HYPERLINK("https://github.com/zom/Zom-Android-XMPP/issues/67", "show")</f>
        <v>show</v>
      </c>
      <c r="G1289" t="str">
        <f>HYPERLINK("https://github.com/zom/Zom-Android-XMPP", "show")</f>
        <v>show</v>
      </c>
      <c r="H1289" t="str">
        <f>HYPERLINK("https://github.com/zom/Zom-Android-XMPP/releases", "show")</f>
        <v>show</v>
      </c>
      <c r="I1289">
        <v>1</v>
      </c>
      <c r="J1289">
        <v>0</v>
      </c>
      <c r="K1289">
        <v>0</v>
      </c>
      <c r="L1289">
        <v>0</v>
      </c>
      <c r="M1289" t="s">
        <v>17</v>
      </c>
    </row>
    <row r="1290" spans="1:13" hidden="1" x14ac:dyDescent="0.15">
      <c r="A1290" t="s">
        <v>4142</v>
      </c>
      <c r="B1290" t="s">
        <v>4143</v>
      </c>
      <c r="C1290" t="s">
        <v>4144</v>
      </c>
      <c r="D1290" t="s">
        <v>4138</v>
      </c>
      <c r="E1290">
        <v>48</v>
      </c>
      <c r="F1290" t="str">
        <f>HYPERLINK("https://github.com/akexorcist/GoogleDirectionLibrary/issues/10", "show")</f>
        <v>show</v>
      </c>
      <c r="G1290" t="str">
        <f>HYPERLINK("https://github.com/akexorcist/GoogleDirectionLibrary", "show")</f>
        <v>show</v>
      </c>
      <c r="H1290" t="str">
        <f>HYPERLINK("https://github.com/akexorcist/GoogleDirectionLibrary/releases", "show")</f>
        <v>show</v>
      </c>
      <c r="I1290">
        <v>1</v>
      </c>
      <c r="J1290">
        <v>0</v>
      </c>
      <c r="K1290">
        <v>1</v>
      </c>
      <c r="L1290">
        <v>0</v>
      </c>
      <c r="M1290" t="s">
        <v>64</v>
      </c>
    </row>
    <row r="1291" spans="1:13" hidden="1" x14ac:dyDescent="0.15">
      <c r="A1291" t="s">
        <v>4145</v>
      </c>
      <c r="B1291" t="s">
        <v>4146</v>
      </c>
      <c r="C1291" t="s">
        <v>4147</v>
      </c>
      <c r="D1291" t="s">
        <v>4138</v>
      </c>
      <c r="E1291">
        <v>5</v>
      </c>
      <c r="F1291" t="str">
        <f>HYPERLINK("https://github.com/prestosApps/adsbMonitor/issues/1", "show")</f>
        <v>show</v>
      </c>
      <c r="G1291" t="str">
        <f>HYPERLINK("https://github.com/prestosApps/adsbMonitor", "show")</f>
        <v>show</v>
      </c>
      <c r="H1291" t="str">
        <f>HYPERLINK("https://github.com/prestosApps/adsbMonitor/releases", "show")</f>
        <v>show</v>
      </c>
      <c r="I1291">
        <v>1</v>
      </c>
      <c r="J1291">
        <v>0</v>
      </c>
      <c r="K1291">
        <v>0</v>
      </c>
      <c r="L1291">
        <v>0</v>
      </c>
      <c r="M1291" t="s">
        <v>17</v>
      </c>
    </row>
    <row r="1292" spans="1:13" hidden="1" x14ac:dyDescent="0.15">
      <c r="A1292" t="s">
        <v>4148</v>
      </c>
      <c r="B1292" t="s">
        <v>4149</v>
      </c>
      <c r="C1292" t="s">
        <v>504</v>
      </c>
      <c r="D1292" t="s">
        <v>4138</v>
      </c>
      <c r="E1292">
        <v>1</v>
      </c>
      <c r="F1292" t="str">
        <f>HYPERLINK("https://github.com/Bernie-2016/fieldthebern-android/issues/455", "show")</f>
        <v>show</v>
      </c>
      <c r="G1292" t="str">
        <f>HYPERLINK("https://github.com/Bernie-2016/fieldthebern-android", "show")</f>
        <v>show</v>
      </c>
      <c r="H1292" t="str">
        <f>HYPERLINK("https://github.com/Bernie-2016/fieldthebern-android/releases", "show")</f>
        <v>show</v>
      </c>
      <c r="I1292">
        <v>1</v>
      </c>
      <c r="J1292">
        <v>0</v>
      </c>
      <c r="K1292">
        <v>0</v>
      </c>
      <c r="L1292">
        <v>0</v>
      </c>
      <c r="M1292" t="s">
        <v>17</v>
      </c>
    </row>
    <row r="1293" spans="1:13" x14ac:dyDescent="0.15">
      <c r="A1293" t="s">
        <v>4150</v>
      </c>
      <c r="B1293" t="s">
        <v>4151</v>
      </c>
      <c r="C1293" t="s">
        <v>4152</v>
      </c>
      <c r="D1293" t="s">
        <v>4138</v>
      </c>
      <c r="E1293">
        <v>0</v>
      </c>
      <c r="F1293" t="str">
        <f>HYPERLINK("https://github.com/Keidan/CellHistory/issues/19", "show")</f>
        <v>show</v>
      </c>
      <c r="G1293" t="str">
        <f>HYPERLINK("https://github.com/Keidan/CellHistory", "show")</f>
        <v>show</v>
      </c>
      <c r="H1293" t="str">
        <f>HYPERLINK("https://github.com/Keidan/CellHistory/releases", "show")</f>
        <v>show</v>
      </c>
      <c r="I1293">
        <v>0</v>
      </c>
      <c r="J1293">
        <v>1</v>
      </c>
      <c r="K1293">
        <v>0</v>
      </c>
      <c r="L1293">
        <v>0</v>
      </c>
      <c r="M1293" t="s">
        <v>139</v>
      </c>
    </row>
    <row r="1294" spans="1:13" hidden="1" x14ac:dyDescent="0.15">
      <c r="A1294" t="s">
        <v>4153</v>
      </c>
      <c r="B1294" t="s">
        <v>4154</v>
      </c>
      <c r="C1294" t="s">
        <v>4155</v>
      </c>
      <c r="D1294" t="s">
        <v>4138</v>
      </c>
      <c r="E1294">
        <v>0</v>
      </c>
      <c r="F1294" t="str">
        <f>HYPERLINK("https://github.com/cgeo/cgeo/issues/5408", "show")</f>
        <v>show</v>
      </c>
      <c r="G1294" t="str">
        <f>HYPERLINK("https://github.com/cgeo/cgeo", "show")</f>
        <v>show</v>
      </c>
      <c r="H1294" t="str">
        <f>HYPERLINK("https://github.com/cgeo/cgeo/releases", "show")</f>
        <v>show</v>
      </c>
      <c r="I1294">
        <v>1</v>
      </c>
      <c r="J1294">
        <v>0</v>
      </c>
      <c r="K1294">
        <v>1</v>
      </c>
      <c r="L1294">
        <v>0</v>
      </c>
      <c r="M1294" t="s">
        <v>64</v>
      </c>
    </row>
    <row r="1295" spans="1:13" hidden="1" x14ac:dyDescent="0.15">
      <c r="A1295" t="s">
        <v>4156</v>
      </c>
      <c r="B1295" t="s">
        <v>4157</v>
      </c>
      <c r="C1295" t="s">
        <v>4158</v>
      </c>
      <c r="D1295" t="s">
        <v>4138</v>
      </c>
      <c r="E1295">
        <v>50</v>
      </c>
      <c r="F1295" t="str">
        <f>HYPERLINK("https://github.com/android10/frodo/issues/14", "show")</f>
        <v>show</v>
      </c>
      <c r="G1295" t="str">
        <f>HYPERLINK("https://github.com/android10/frodo", "show")</f>
        <v>show</v>
      </c>
      <c r="H1295" t="str">
        <f>HYPERLINK("https://github.com/android10/frodo/releases", "show")</f>
        <v>show</v>
      </c>
      <c r="I1295">
        <v>1</v>
      </c>
      <c r="J1295">
        <v>0</v>
      </c>
      <c r="K1295">
        <v>0</v>
      </c>
      <c r="L1295">
        <v>0</v>
      </c>
      <c r="M1295" t="s">
        <v>17</v>
      </c>
    </row>
    <row r="1296" spans="1:13" hidden="1" x14ac:dyDescent="0.15">
      <c r="A1296" t="s">
        <v>4159</v>
      </c>
      <c r="B1296" t="s">
        <v>4160</v>
      </c>
      <c r="C1296" t="s">
        <v>4161</v>
      </c>
      <c r="D1296" t="s">
        <v>4162</v>
      </c>
      <c r="E1296">
        <v>0</v>
      </c>
      <c r="F1296" t="str">
        <f>HYPERLINK("https://github.com/dimagi/commcare-android/issues/998", "show")</f>
        <v>show</v>
      </c>
      <c r="G1296" t="str">
        <f>HYPERLINK("https://github.com/dimagi/commcare-android", "show")</f>
        <v>show</v>
      </c>
      <c r="H1296" t="str">
        <f>HYPERLINK("https://github.com/dimagi/commcare-android/releases", "show")</f>
        <v>show</v>
      </c>
      <c r="I1296">
        <v>1</v>
      </c>
      <c r="J1296">
        <v>0</v>
      </c>
      <c r="K1296">
        <v>0</v>
      </c>
      <c r="L1296">
        <v>0</v>
      </c>
      <c r="M1296" t="s">
        <v>17</v>
      </c>
    </row>
    <row r="1297" spans="1:13" hidden="1" x14ac:dyDescent="0.15">
      <c r="A1297" t="s">
        <v>4163</v>
      </c>
      <c r="B1297" t="s">
        <v>4164</v>
      </c>
      <c r="C1297" t="s">
        <v>4165</v>
      </c>
      <c r="D1297" t="s">
        <v>4162</v>
      </c>
      <c r="E1297">
        <v>1</v>
      </c>
      <c r="F1297" t="str">
        <f>HYPERLINK("https://github.com/bparmentier/WiFiKeyShare/issues/1", "show")</f>
        <v>show</v>
      </c>
      <c r="G1297" t="str">
        <f>HYPERLINK("https://github.com/bparmentier/WiFiKeyShare", "show")</f>
        <v>show</v>
      </c>
      <c r="H1297" t="str">
        <f>HYPERLINK("https://github.com/bparmentier/WiFiKeyShare/releases", "show")</f>
        <v>show</v>
      </c>
      <c r="I1297">
        <v>1</v>
      </c>
      <c r="J1297">
        <v>0</v>
      </c>
      <c r="K1297">
        <v>1</v>
      </c>
      <c r="L1297">
        <v>0</v>
      </c>
      <c r="M1297" t="s">
        <v>64</v>
      </c>
    </row>
    <row r="1298" spans="1:13" hidden="1" x14ac:dyDescent="0.15">
      <c r="A1298" t="s">
        <v>4166</v>
      </c>
      <c r="B1298" t="s">
        <v>4167</v>
      </c>
      <c r="C1298" t="s">
        <v>504</v>
      </c>
      <c r="D1298" t="s">
        <v>4162</v>
      </c>
      <c r="E1298">
        <v>6</v>
      </c>
      <c r="F1298" t="str">
        <f>HYPERLINK("https://github.com/Bernie-2016/fieldthebern-android/issues/467", "show")</f>
        <v>show</v>
      </c>
      <c r="G1298" t="str">
        <f>HYPERLINK("https://github.com/Bernie-2016/fieldthebern-android", "show")</f>
        <v>show</v>
      </c>
      <c r="H1298" t="str">
        <f>HYPERLINK("https://github.com/Bernie-2016/fieldthebern-android/releases", "show")</f>
        <v>show</v>
      </c>
      <c r="I1298">
        <v>1</v>
      </c>
      <c r="J1298">
        <v>0</v>
      </c>
      <c r="K1298">
        <v>0</v>
      </c>
      <c r="L1298">
        <v>0</v>
      </c>
      <c r="M1298" t="s">
        <v>17</v>
      </c>
    </row>
    <row r="1299" spans="1:13" hidden="1" x14ac:dyDescent="0.15">
      <c r="A1299" t="s">
        <v>4168</v>
      </c>
      <c r="B1299" t="s">
        <v>4169</v>
      </c>
      <c r="C1299" t="s">
        <v>4170</v>
      </c>
      <c r="D1299" t="s">
        <v>4162</v>
      </c>
      <c r="E1299">
        <v>18</v>
      </c>
      <c r="F1299" t="str">
        <f>HYPERLINK("https://github.com/h6ah4i/android-advancedrecyclerview/issues/173", "show")</f>
        <v>show</v>
      </c>
      <c r="G1299" t="str">
        <f>HYPERLINK("https://github.com/h6ah4i/android-advancedrecyclerview", "show")</f>
        <v>show</v>
      </c>
      <c r="H1299" t="str">
        <f>HYPERLINK("https://github.com/h6ah4i/android-advancedrecyclerview/releases", "show")</f>
        <v>show</v>
      </c>
      <c r="I1299">
        <v>0</v>
      </c>
      <c r="J1299">
        <v>0</v>
      </c>
      <c r="K1299">
        <v>1</v>
      </c>
      <c r="L1299">
        <v>0</v>
      </c>
      <c r="M1299" t="s">
        <v>122</v>
      </c>
    </row>
    <row r="1300" spans="1:13" hidden="1" x14ac:dyDescent="0.15">
      <c r="A1300" t="s">
        <v>4171</v>
      </c>
      <c r="B1300" t="s">
        <v>4172</v>
      </c>
      <c r="C1300" t="s">
        <v>4173</v>
      </c>
      <c r="D1300" t="s">
        <v>4162</v>
      </c>
      <c r="E1300">
        <v>0</v>
      </c>
      <c r="F1300" t="str">
        <f>HYPERLINK("https://github.com/markzhai/AndroidPerformanceMonitor/issues/18", "show")</f>
        <v>show</v>
      </c>
      <c r="G1300" t="str">
        <f>HYPERLINK("https://github.com/markzhai/AndroidPerformanceMonitor", "show")</f>
        <v>show</v>
      </c>
      <c r="H1300" t="str">
        <f>HYPERLINK("https://github.com/markzhai/AndroidPerformanceMonitor/releases", "show")</f>
        <v>show</v>
      </c>
      <c r="I1300">
        <v>0</v>
      </c>
      <c r="J1300">
        <v>0</v>
      </c>
      <c r="K1300">
        <v>0</v>
      </c>
      <c r="L1300">
        <v>0</v>
      </c>
      <c r="M1300" t="s">
        <v>43</v>
      </c>
    </row>
    <row r="1301" spans="1:13" hidden="1" x14ac:dyDescent="0.15">
      <c r="A1301" t="s">
        <v>4174</v>
      </c>
      <c r="B1301" t="s">
        <v>4175</v>
      </c>
      <c r="D1301" t="s">
        <v>4162</v>
      </c>
      <c r="E1301">
        <v>75</v>
      </c>
      <c r="F1301" t="str">
        <f>HYPERLINK("https://github.com/cymcsg/UltimateRecyclerView/issues/273", "show")</f>
        <v>show</v>
      </c>
      <c r="G1301" t="str">
        <f>HYPERLINK("https://github.com/cymcsg/UltimateRecyclerView", "show")</f>
        <v>show</v>
      </c>
      <c r="H1301" t="str">
        <f>HYPERLINK("https://github.com/cymcsg/UltimateRecyclerView/releases", "show")</f>
        <v>show</v>
      </c>
      <c r="I1301">
        <v>0</v>
      </c>
      <c r="J1301">
        <v>0</v>
      </c>
      <c r="K1301">
        <v>0</v>
      </c>
      <c r="L1301">
        <v>0</v>
      </c>
      <c r="M1301" t="s">
        <v>43</v>
      </c>
    </row>
    <row r="1302" spans="1:13" hidden="1" x14ac:dyDescent="0.15">
      <c r="A1302" t="s">
        <v>4176</v>
      </c>
      <c r="B1302" t="s">
        <v>4177</v>
      </c>
      <c r="C1302" t="s">
        <v>504</v>
      </c>
      <c r="D1302" t="s">
        <v>4162</v>
      </c>
      <c r="E1302">
        <v>6</v>
      </c>
      <c r="F1302" t="str">
        <f>HYPERLINK("https://github.com/Bernie-2016/fieldthebern-android/issues/466", "show")</f>
        <v>show</v>
      </c>
      <c r="G1302" t="str">
        <f>HYPERLINK("https://github.com/Bernie-2016/fieldthebern-android", "show")</f>
        <v>show</v>
      </c>
      <c r="H1302" t="str">
        <f>HYPERLINK("https://github.com/Bernie-2016/fieldthebern-android/releases", "show")</f>
        <v>show</v>
      </c>
      <c r="I1302">
        <v>1</v>
      </c>
      <c r="J1302">
        <v>0</v>
      </c>
      <c r="K1302">
        <v>0</v>
      </c>
      <c r="L1302">
        <v>0</v>
      </c>
      <c r="M1302" t="s">
        <v>17</v>
      </c>
    </row>
    <row r="1303" spans="1:13" hidden="1" x14ac:dyDescent="0.15">
      <c r="A1303" t="s">
        <v>4178</v>
      </c>
      <c r="B1303" t="s">
        <v>4179</v>
      </c>
      <c r="D1303" t="s">
        <v>4162</v>
      </c>
      <c r="E1303">
        <v>42</v>
      </c>
      <c r="F1303" t="str">
        <f>HYPERLINK("https://github.com/zhuowei/MCPELauncher/issues/516", "show")</f>
        <v>show</v>
      </c>
      <c r="G1303" t="str">
        <f>HYPERLINK("https://github.com/zhuowei/MCPELauncher", "show")</f>
        <v>show</v>
      </c>
      <c r="H1303" t="str">
        <f>HYPERLINK("https://github.com/zhuowei/MCPELauncher/releases", "show")</f>
        <v>show</v>
      </c>
      <c r="I1303">
        <v>0</v>
      </c>
      <c r="J1303">
        <v>0</v>
      </c>
      <c r="K1303">
        <v>0</v>
      </c>
      <c r="L1303">
        <v>0</v>
      </c>
      <c r="M1303" t="s">
        <v>43</v>
      </c>
    </row>
    <row r="1304" spans="1:13" hidden="1" x14ac:dyDescent="0.15">
      <c r="A1304" t="s">
        <v>4180</v>
      </c>
      <c r="B1304" t="s">
        <v>4181</v>
      </c>
      <c r="C1304" t="s">
        <v>504</v>
      </c>
      <c r="D1304" t="s">
        <v>4162</v>
      </c>
      <c r="E1304">
        <v>6</v>
      </c>
      <c r="F1304" t="str">
        <f>HYPERLINK("https://github.com/Bernie-2016/fieldthebern-android/issues/465", "show")</f>
        <v>show</v>
      </c>
      <c r="G1304" t="str">
        <f>HYPERLINK("https://github.com/Bernie-2016/fieldthebern-android", "show")</f>
        <v>show</v>
      </c>
      <c r="H1304" t="str">
        <f>HYPERLINK("https://github.com/Bernie-2016/fieldthebern-android/releases", "show")</f>
        <v>show</v>
      </c>
      <c r="I1304">
        <v>1</v>
      </c>
      <c r="J1304">
        <v>0</v>
      </c>
      <c r="K1304">
        <v>0</v>
      </c>
      <c r="L1304">
        <v>0</v>
      </c>
      <c r="M1304" t="s">
        <v>17</v>
      </c>
    </row>
    <row r="1305" spans="1:13" hidden="1" x14ac:dyDescent="0.15">
      <c r="A1305" t="s">
        <v>4182</v>
      </c>
      <c r="B1305" t="s">
        <v>4183</v>
      </c>
      <c r="C1305" t="s">
        <v>4184</v>
      </c>
      <c r="D1305" t="s">
        <v>4185</v>
      </c>
      <c r="E1305">
        <v>644</v>
      </c>
      <c r="F1305" t="str">
        <f>HYPERLINK("https://github.com/googlearchive/easygoogle/issues/23", "show")</f>
        <v>show</v>
      </c>
      <c r="G1305" t="str">
        <f>HYPERLINK("https://github.com/googlearchive/easygoogle", "show")</f>
        <v>show</v>
      </c>
      <c r="H1305" t="str">
        <f>HYPERLINK("https://github.com/googlearchive/easygoogle/releases", "show")</f>
        <v>show</v>
      </c>
      <c r="I1305">
        <v>1</v>
      </c>
      <c r="J1305">
        <v>0</v>
      </c>
      <c r="K1305">
        <v>0</v>
      </c>
      <c r="L1305">
        <v>0</v>
      </c>
      <c r="M1305" t="s">
        <v>17</v>
      </c>
    </row>
    <row r="1306" spans="1:13" hidden="1" x14ac:dyDescent="0.15">
      <c r="A1306" t="s">
        <v>4186</v>
      </c>
      <c r="B1306" t="s">
        <v>4187</v>
      </c>
      <c r="D1306" t="s">
        <v>4185</v>
      </c>
      <c r="E1306">
        <v>1</v>
      </c>
      <c r="F1306" t="str">
        <f>HYPERLINK("https://github.com/haiwen/seadroid/issues/474", "show")</f>
        <v>show</v>
      </c>
      <c r="G1306" t="str">
        <f>HYPERLINK("https://github.com/haiwen/seadroid", "show")</f>
        <v>show</v>
      </c>
      <c r="H1306" t="str">
        <f>HYPERLINK("https://github.com/haiwen/seadroid/releases", "show")</f>
        <v>show</v>
      </c>
      <c r="I1306">
        <v>1</v>
      </c>
      <c r="J1306">
        <v>0</v>
      </c>
      <c r="K1306">
        <v>1</v>
      </c>
      <c r="L1306">
        <v>0</v>
      </c>
      <c r="M1306" t="s">
        <v>64</v>
      </c>
    </row>
    <row r="1307" spans="1:13" hidden="1" x14ac:dyDescent="0.15">
      <c r="A1307" t="s">
        <v>4188</v>
      </c>
      <c r="B1307" t="s">
        <v>4189</v>
      </c>
      <c r="C1307" t="s">
        <v>4190</v>
      </c>
      <c r="D1307" t="s">
        <v>4185</v>
      </c>
      <c r="E1307">
        <v>10</v>
      </c>
      <c r="F1307" t="str">
        <f>HYPERLINK("https://github.com/opensrp/opensrp-client/issues/142", "show")</f>
        <v>show</v>
      </c>
      <c r="G1307" t="str">
        <f>HYPERLINK("https://github.com/opensrp/opensrp-client", "show")</f>
        <v>show</v>
      </c>
      <c r="H1307" t="str">
        <f>HYPERLINK("https://github.com/opensrp/opensrp-client/releases", "show")</f>
        <v>show</v>
      </c>
      <c r="I1307">
        <v>0</v>
      </c>
      <c r="J1307">
        <v>0</v>
      </c>
      <c r="K1307">
        <v>1</v>
      </c>
      <c r="L1307">
        <v>0</v>
      </c>
      <c r="M1307" t="s">
        <v>122</v>
      </c>
    </row>
    <row r="1308" spans="1:13" hidden="1" x14ac:dyDescent="0.15">
      <c r="A1308" t="s">
        <v>4191</v>
      </c>
      <c r="B1308" t="s">
        <v>4192</v>
      </c>
      <c r="C1308" t="s">
        <v>4193</v>
      </c>
      <c r="D1308" t="s">
        <v>4194</v>
      </c>
      <c r="E1308">
        <v>2</v>
      </c>
      <c r="F1308" t="str">
        <f>HYPERLINK("https://github.com/dimagi/commcare-android/issues/1002", "show")</f>
        <v>show</v>
      </c>
      <c r="G1308" t="str">
        <f>HYPERLINK("https://github.com/dimagi/commcare-android", "show")</f>
        <v>show</v>
      </c>
      <c r="H1308" t="str">
        <f>HYPERLINK("https://github.com/dimagi/commcare-android/releases", "show")</f>
        <v>show</v>
      </c>
      <c r="I1308">
        <v>0</v>
      </c>
      <c r="J1308">
        <v>0</v>
      </c>
      <c r="K1308">
        <v>0</v>
      </c>
      <c r="L1308">
        <v>0</v>
      </c>
      <c r="M1308" t="s">
        <v>43</v>
      </c>
    </row>
    <row r="1309" spans="1:13" hidden="1" x14ac:dyDescent="0.15">
      <c r="A1309" t="s">
        <v>4195</v>
      </c>
      <c r="B1309" t="s">
        <v>4196</v>
      </c>
      <c r="C1309" t="s">
        <v>4197</v>
      </c>
      <c r="D1309" t="s">
        <v>4194</v>
      </c>
      <c r="E1309">
        <v>0</v>
      </c>
      <c r="F1309" t="str">
        <f>HYPERLINK("https://github.com/sriharshachilakapati/SilenceEngine/issues/61", "show")</f>
        <v>show</v>
      </c>
      <c r="G1309" t="str">
        <f>HYPERLINK("https://github.com/sriharshachilakapati/SilenceEngine", "show")</f>
        <v>show</v>
      </c>
      <c r="H1309" t="str">
        <f>HYPERLINK("https://github.com/sriharshachilakapati/SilenceEngine/releases", "show")</f>
        <v>show</v>
      </c>
      <c r="I1309">
        <v>0</v>
      </c>
      <c r="J1309">
        <v>0</v>
      </c>
      <c r="K1309">
        <v>0</v>
      </c>
      <c r="L1309">
        <v>0</v>
      </c>
      <c r="M1309" t="s">
        <v>43</v>
      </c>
    </row>
    <row r="1310" spans="1:13" hidden="1" x14ac:dyDescent="0.15">
      <c r="A1310" t="s">
        <v>4198</v>
      </c>
      <c r="B1310" t="s">
        <v>4199</v>
      </c>
      <c r="C1310" t="s">
        <v>4200</v>
      </c>
      <c r="D1310" t="s">
        <v>4201</v>
      </c>
      <c r="E1310">
        <v>21</v>
      </c>
      <c r="F1310" t="str">
        <f>HYPERLINK("https://github.com/TeamNewPipe/NewPipe/issues/161", "show")</f>
        <v>show</v>
      </c>
      <c r="G1310" t="str">
        <f>HYPERLINK("https://github.com/TeamNewPipe/NewPipe", "show")</f>
        <v>show</v>
      </c>
      <c r="H1310" t="str">
        <f>HYPERLINK("https://github.com/TeamNewPipe/NewPipe/releases", "show")</f>
        <v>show</v>
      </c>
      <c r="I1310">
        <v>1</v>
      </c>
      <c r="J1310">
        <v>0</v>
      </c>
      <c r="K1310">
        <v>0</v>
      </c>
      <c r="L1310">
        <v>0</v>
      </c>
      <c r="M1310" t="s">
        <v>17</v>
      </c>
    </row>
    <row r="1311" spans="1:13" hidden="1" x14ac:dyDescent="0.15">
      <c r="A1311" t="s">
        <v>4202</v>
      </c>
      <c r="B1311" t="s">
        <v>4203</v>
      </c>
      <c r="C1311" t="s">
        <v>4204</v>
      </c>
      <c r="D1311" t="s">
        <v>4205</v>
      </c>
      <c r="E1311">
        <v>900</v>
      </c>
      <c r="F1311" t="str">
        <f>HYPERLINK("https://github.com/SufficientlySecure/html-textview/issues/29", "show")</f>
        <v>show</v>
      </c>
      <c r="G1311" t="str">
        <f>HYPERLINK("https://github.com/SufficientlySecure/html-textview", "show")</f>
        <v>show</v>
      </c>
      <c r="H1311" t="str">
        <f>HYPERLINK("https://github.com/SufficientlySecure/html-textview/releases", "show")</f>
        <v>show</v>
      </c>
      <c r="I1311">
        <v>0</v>
      </c>
      <c r="J1311">
        <v>0</v>
      </c>
      <c r="K1311">
        <v>0</v>
      </c>
      <c r="L1311">
        <v>0</v>
      </c>
      <c r="M1311" t="s">
        <v>43</v>
      </c>
    </row>
    <row r="1312" spans="1:13" hidden="1" x14ac:dyDescent="0.15">
      <c r="A1312" t="s">
        <v>4206</v>
      </c>
      <c r="B1312" t="s">
        <v>4207</v>
      </c>
      <c r="D1312" t="s">
        <v>4205</v>
      </c>
      <c r="E1312">
        <v>0</v>
      </c>
      <c r="F1312" t="str">
        <f>HYPERLINK("https://github.com/ZieIony/Carbon/issues/182", "show")</f>
        <v>show</v>
      </c>
      <c r="G1312" t="str">
        <f>HYPERLINK("https://github.com/ZieIony/Carbon", "show")</f>
        <v>show</v>
      </c>
      <c r="H1312" t="str">
        <f>HYPERLINK("https://github.com/ZieIony/Carbon/releases", "show")</f>
        <v>show</v>
      </c>
      <c r="I1312">
        <v>1</v>
      </c>
      <c r="J1312">
        <v>0</v>
      </c>
      <c r="K1312">
        <v>0</v>
      </c>
      <c r="L1312">
        <v>0</v>
      </c>
      <c r="M1312" t="s">
        <v>17</v>
      </c>
    </row>
    <row r="1313" spans="1:13" hidden="1" x14ac:dyDescent="0.15">
      <c r="A1313" t="s">
        <v>4208</v>
      </c>
      <c r="B1313" t="s">
        <v>4209</v>
      </c>
      <c r="C1313" t="s">
        <v>504</v>
      </c>
      <c r="D1313" t="s">
        <v>4205</v>
      </c>
      <c r="E1313">
        <v>68</v>
      </c>
      <c r="F1313" t="str">
        <f>HYPERLINK("https://github.com/hidroh/materialistic/issues/359", "show")</f>
        <v>show</v>
      </c>
      <c r="G1313" t="str">
        <f>HYPERLINK("https://github.com/hidroh/materialistic", "show")</f>
        <v>show</v>
      </c>
      <c r="H1313" t="str">
        <f>HYPERLINK("https://github.com/hidroh/materialistic/releases", "show")</f>
        <v>show</v>
      </c>
      <c r="I1313">
        <v>1</v>
      </c>
      <c r="J1313">
        <v>0</v>
      </c>
      <c r="K1313">
        <v>0</v>
      </c>
      <c r="L1313">
        <v>0</v>
      </c>
      <c r="M1313" t="s">
        <v>17</v>
      </c>
    </row>
    <row r="1314" spans="1:13" hidden="1" x14ac:dyDescent="0.15">
      <c r="A1314" t="s">
        <v>4210</v>
      </c>
      <c r="B1314" t="s">
        <v>4211</v>
      </c>
      <c r="C1314" t="s">
        <v>4212</v>
      </c>
      <c r="D1314" t="s">
        <v>4205</v>
      </c>
      <c r="E1314">
        <v>0</v>
      </c>
      <c r="F1314" t="str">
        <f>HYPERLINK("https://github.com/koral--/android-gif-drawable/issues/250", "show")</f>
        <v>show</v>
      </c>
      <c r="G1314" t="str">
        <f>HYPERLINK("https://github.com/koral--/android-gif-drawable", "show")</f>
        <v>show</v>
      </c>
      <c r="H1314" t="str">
        <f>HYPERLINK("https://github.com/koral--/android-gif-drawable/releases", "show")</f>
        <v>show</v>
      </c>
      <c r="I1314">
        <v>1</v>
      </c>
      <c r="J1314">
        <v>0</v>
      </c>
      <c r="K1314">
        <v>0</v>
      </c>
      <c r="L1314">
        <v>0</v>
      </c>
      <c r="M1314" t="s">
        <v>17</v>
      </c>
    </row>
    <row r="1315" spans="1:13" hidden="1" x14ac:dyDescent="0.15">
      <c r="A1315" t="s">
        <v>4213</v>
      </c>
      <c r="B1315" t="s">
        <v>4214</v>
      </c>
      <c r="C1315" t="s">
        <v>4215</v>
      </c>
      <c r="D1315" t="s">
        <v>4205</v>
      </c>
      <c r="E1315">
        <v>0</v>
      </c>
      <c r="F1315" t="str">
        <f>HYPERLINK("https://github.com/dimagi/commcare-android/issues/1004", "show")</f>
        <v>show</v>
      </c>
      <c r="G1315" t="str">
        <f>HYPERLINK("https://github.com/dimagi/commcare-android", "show")</f>
        <v>show</v>
      </c>
      <c r="H1315" t="str">
        <f>HYPERLINK("https://github.com/dimagi/commcare-android/releases", "show")</f>
        <v>show</v>
      </c>
      <c r="I1315">
        <v>1</v>
      </c>
      <c r="J1315">
        <v>0</v>
      </c>
      <c r="K1315">
        <v>0</v>
      </c>
      <c r="L1315">
        <v>0</v>
      </c>
      <c r="M1315" t="s">
        <v>17</v>
      </c>
    </row>
    <row r="1316" spans="1:13" hidden="1" x14ac:dyDescent="0.15">
      <c r="A1316" t="s">
        <v>4216</v>
      </c>
      <c r="B1316" t="s">
        <v>4217</v>
      </c>
      <c r="C1316" t="s">
        <v>4218</v>
      </c>
      <c r="D1316" t="s">
        <v>4219</v>
      </c>
      <c r="E1316">
        <v>0</v>
      </c>
      <c r="F1316" t="str">
        <f>HYPERLINK("https://github.com/dimagi/commcare-android/issues/1019", "show")</f>
        <v>show</v>
      </c>
      <c r="G1316" t="str">
        <f>HYPERLINK("https://github.com/dimagi/commcare-android", "show")</f>
        <v>show</v>
      </c>
      <c r="H1316" t="str">
        <f>HYPERLINK("https://github.com/dimagi/commcare-android/releases", "show")</f>
        <v>show</v>
      </c>
      <c r="I1316">
        <v>1</v>
      </c>
      <c r="J1316">
        <v>0</v>
      </c>
      <c r="K1316">
        <v>0</v>
      </c>
      <c r="L1316">
        <v>0</v>
      </c>
      <c r="M1316" t="s">
        <v>17</v>
      </c>
    </row>
    <row r="1317" spans="1:13" hidden="1" x14ac:dyDescent="0.15">
      <c r="A1317" t="s">
        <v>4220</v>
      </c>
      <c r="B1317" t="s">
        <v>4221</v>
      </c>
      <c r="C1317" t="s">
        <v>4222</v>
      </c>
      <c r="D1317" t="s">
        <v>4219</v>
      </c>
      <c r="E1317">
        <v>112</v>
      </c>
      <c r="F1317" t="str">
        <f>HYPERLINK("https://github.com/bumptech/glide/issues/928", "show")</f>
        <v>show</v>
      </c>
      <c r="G1317" t="str">
        <f>HYPERLINK("https://github.com/bumptech/glide", "show")</f>
        <v>show</v>
      </c>
      <c r="H1317" t="str">
        <f>HYPERLINK("https://github.com/bumptech/glide/releases", "show")</f>
        <v>show</v>
      </c>
      <c r="I1317">
        <v>1</v>
      </c>
      <c r="J1317">
        <v>0</v>
      </c>
      <c r="K1317">
        <v>1</v>
      </c>
      <c r="L1317">
        <v>0</v>
      </c>
      <c r="M1317" t="s">
        <v>64</v>
      </c>
    </row>
    <row r="1318" spans="1:13" hidden="1" x14ac:dyDescent="0.15">
      <c r="A1318" t="s">
        <v>4223</v>
      </c>
      <c r="B1318" t="s">
        <v>4224</v>
      </c>
      <c r="C1318" t="s">
        <v>4225</v>
      </c>
      <c r="D1318" t="s">
        <v>4219</v>
      </c>
      <c r="E1318">
        <v>161</v>
      </c>
      <c r="F1318" t="str">
        <f>HYPERLINK("https://github.com/mixpanel/mixpanel-android/issues/308", "show")</f>
        <v>show</v>
      </c>
      <c r="G1318" t="str">
        <f>HYPERLINK("https://github.com/mixpanel/mixpanel-android", "show")</f>
        <v>show</v>
      </c>
      <c r="H1318" t="str">
        <f>HYPERLINK("https://github.com/mixpanel/mixpanel-android/releases", "show")</f>
        <v>show</v>
      </c>
      <c r="I1318">
        <v>1</v>
      </c>
      <c r="J1318">
        <v>0</v>
      </c>
      <c r="K1318">
        <v>1</v>
      </c>
      <c r="L1318">
        <v>0</v>
      </c>
      <c r="M1318" t="s">
        <v>64</v>
      </c>
    </row>
    <row r="1319" spans="1:13" hidden="1" x14ac:dyDescent="0.15">
      <c r="A1319" t="s">
        <v>4226</v>
      </c>
      <c r="B1319" t="s">
        <v>4227</v>
      </c>
      <c r="C1319" t="s">
        <v>4228</v>
      </c>
      <c r="D1319" t="s">
        <v>4219</v>
      </c>
      <c r="E1319">
        <v>1026</v>
      </c>
      <c r="F1319" t="str">
        <f>HYPERLINK("https://github.com/k9mail/k-9/issues/1039", "show")</f>
        <v>show</v>
      </c>
      <c r="G1319" t="str">
        <f>HYPERLINK("https://github.com/k9mail/k-9", "show")</f>
        <v>show</v>
      </c>
      <c r="H1319" t="str">
        <f>HYPERLINK("https://github.com/k9mail/k-9/releases", "show")</f>
        <v>show</v>
      </c>
      <c r="I1319">
        <v>1</v>
      </c>
      <c r="J1319">
        <v>0</v>
      </c>
      <c r="K1319">
        <v>0</v>
      </c>
      <c r="L1319">
        <v>0</v>
      </c>
      <c r="M1319" t="s">
        <v>17</v>
      </c>
    </row>
    <row r="1320" spans="1:13" hidden="1" x14ac:dyDescent="0.15">
      <c r="A1320" t="s">
        <v>4229</v>
      </c>
      <c r="B1320" t="s">
        <v>4230</v>
      </c>
      <c r="C1320" t="s">
        <v>4231</v>
      </c>
      <c r="D1320" t="s">
        <v>4219</v>
      </c>
      <c r="E1320">
        <v>3</v>
      </c>
      <c r="F1320" t="str">
        <f>HYPERLINK("https://github.com/8MinutesSolar/8MinutesAndroid/issues/5", "show")</f>
        <v>show</v>
      </c>
      <c r="G1320" t="str">
        <f>HYPERLINK("https://github.com/8MinutesSolar/8MinutesAndroid", "show")</f>
        <v>show</v>
      </c>
      <c r="H1320" t="str">
        <f>HYPERLINK("https://github.com/8MinutesSolar/8MinutesAndroid/releases", "show")</f>
        <v>show</v>
      </c>
      <c r="I1320">
        <v>1</v>
      </c>
      <c r="J1320">
        <v>0</v>
      </c>
      <c r="K1320">
        <v>0</v>
      </c>
      <c r="L1320">
        <v>0</v>
      </c>
      <c r="M1320" t="s">
        <v>17</v>
      </c>
    </row>
    <row r="1321" spans="1:13" hidden="1" x14ac:dyDescent="0.15">
      <c r="A1321" t="s">
        <v>4232</v>
      </c>
      <c r="B1321" t="s">
        <v>4233</v>
      </c>
      <c r="C1321" t="s">
        <v>4234</v>
      </c>
      <c r="D1321" t="s">
        <v>4219</v>
      </c>
      <c r="E1321">
        <v>1</v>
      </c>
      <c r="F1321" t="str">
        <f>HYPERLINK("https://github.com/avluis/Hentoid/issues/82", "show")</f>
        <v>show</v>
      </c>
      <c r="G1321" t="str">
        <f>HYPERLINK("https://github.com/avluis/Hentoid", "show")</f>
        <v>show</v>
      </c>
      <c r="H1321" t="str">
        <f>HYPERLINK("https://github.com/avluis/Hentoid/releases", "show")</f>
        <v>show</v>
      </c>
      <c r="I1321">
        <v>1</v>
      </c>
      <c r="J1321">
        <v>0</v>
      </c>
      <c r="K1321">
        <v>0</v>
      </c>
      <c r="L1321">
        <v>0</v>
      </c>
      <c r="M1321" t="s">
        <v>17</v>
      </c>
    </row>
    <row r="1322" spans="1:13" hidden="1" x14ac:dyDescent="0.15">
      <c r="A1322" t="s">
        <v>4235</v>
      </c>
      <c r="B1322" t="s">
        <v>4236</v>
      </c>
      <c r="C1322" t="s">
        <v>504</v>
      </c>
      <c r="D1322" t="s">
        <v>4219</v>
      </c>
      <c r="E1322">
        <v>67</v>
      </c>
      <c r="F1322" t="str">
        <f>HYPERLINK("https://github.com/hidroh/materialistic/issues/361", "show")</f>
        <v>show</v>
      </c>
      <c r="G1322" t="str">
        <f>HYPERLINK("https://github.com/hidroh/materialistic", "show")</f>
        <v>show</v>
      </c>
      <c r="H1322" t="str">
        <f>HYPERLINK("https://github.com/hidroh/materialistic/releases", "show")</f>
        <v>show</v>
      </c>
      <c r="I1322">
        <v>1</v>
      </c>
      <c r="J1322">
        <v>0</v>
      </c>
      <c r="K1322">
        <v>0</v>
      </c>
      <c r="L1322">
        <v>0</v>
      </c>
      <c r="M1322" t="s">
        <v>17</v>
      </c>
    </row>
    <row r="1323" spans="1:13" hidden="1" x14ac:dyDescent="0.15">
      <c r="A1323" t="s">
        <v>4237</v>
      </c>
      <c r="B1323" t="s">
        <v>4238</v>
      </c>
      <c r="C1323" t="s">
        <v>4239</v>
      </c>
      <c r="D1323" t="s">
        <v>4240</v>
      </c>
      <c r="E1323">
        <v>35</v>
      </c>
      <c r="F1323" t="str">
        <f>HYPERLINK("https://github.com/SCCapstone/diet/issues/9", "show")</f>
        <v>show</v>
      </c>
      <c r="G1323" t="str">
        <f>HYPERLINK("https://github.com/SCCapstone/diet", "show")</f>
        <v>show</v>
      </c>
      <c r="H1323" t="str">
        <f>HYPERLINK("https://github.com/SCCapstone/diet/releases", "show")</f>
        <v>show</v>
      </c>
      <c r="I1323">
        <v>1</v>
      </c>
      <c r="J1323">
        <v>0</v>
      </c>
      <c r="K1323">
        <v>0</v>
      </c>
      <c r="L1323">
        <v>0</v>
      </c>
      <c r="M1323" t="s">
        <v>17</v>
      </c>
    </row>
    <row r="1324" spans="1:13" hidden="1" x14ac:dyDescent="0.15">
      <c r="A1324" t="s">
        <v>4241</v>
      </c>
      <c r="B1324" t="s">
        <v>4242</v>
      </c>
      <c r="C1324" t="s">
        <v>4243</v>
      </c>
      <c r="D1324" t="s">
        <v>4240</v>
      </c>
      <c r="E1324">
        <v>2</v>
      </c>
      <c r="F1324" t="str">
        <f>HYPERLINK("https://github.com/kontalk/androidclient/issues/638", "show")</f>
        <v>show</v>
      </c>
      <c r="G1324" t="str">
        <f>HYPERLINK("https://github.com/kontalk/androidclient", "show")</f>
        <v>show</v>
      </c>
      <c r="H1324" t="str">
        <f>HYPERLINK("https://github.com/kontalk/androidclient/releases", "show")</f>
        <v>show</v>
      </c>
      <c r="I1324">
        <v>1</v>
      </c>
      <c r="J1324">
        <v>0</v>
      </c>
      <c r="K1324">
        <v>0</v>
      </c>
      <c r="L1324">
        <v>0</v>
      </c>
      <c r="M1324" t="s">
        <v>17</v>
      </c>
    </row>
    <row r="1325" spans="1:13" hidden="1" x14ac:dyDescent="0.15">
      <c r="A1325" t="s">
        <v>4244</v>
      </c>
      <c r="B1325" t="s">
        <v>4245</v>
      </c>
      <c r="C1325" t="s">
        <v>4246</v>
      </c>
      <c r="D1325" t="s">
        <v>4240</v>
      </c>
      <c r="E1325">
        <v>13</v>
      </c>
      <c r="F1325" t="str">
        <f>HYPERLINK("https://github.com/NemProject/NEMAndroidApp/issues/107", "show")</f>
        <v>show</v>
      </c>
      <c r="G1325" t="str">
        <f>HYPERLINK("https://github.com/NemProject/NEMAndroidApp", "show")</f>
        <v>show</v>
      </c>
      <c r="H1325" t="str">
        <f>HYPERLINK("https://github.com/NemProject/NEMAndroidApp/releases", "show")</f>
        <v>show</v>
      </c>
      <c r="I1325">
        <v>1</v>
      </c>
      <c r="J1325">
        <v>0</v>
      </c>
      <c r="K1325">
        <v>0</v>
      </c>
      <c r="L1325">
        <v>0</v>
      </c>
      <c r="M1325" t="s">
        <v>17</v>
      </c>
    </row>
    <row r="1326" spans="1:13" hidden="1" x14ac:dyDescent="0.15">
      <c r="A1326" t="s">
        <v>4247</v>
      </c>
      <c r="B1326" t="s">
        <v>4248</v>
      </c>
      <c r="C1326" t="s">
        <v>4249</v>
      </c>
      <c r="D1326" t="s">
        <v>4240</v>
      </c>
      <c r="E1326">
        <v>13</v>
      </c>
      <c r="F1326" t="str">
        <f>HYPERLINK("https://github.com/NemProject/NEMAndroidApp/issues/105", "show")</f>
        <v>show</v>
      </c>
      <c r="G1326" t="str">
        <f>HYPERLINK("https://github.com/NemProject/NEMAndroidApp", "show")</f>
        <v>show</v>
      </c>
      <c r="H1326" t="str">
        <f>HYPERLINK("https://github.com/NemProject/NEMAndroidApp/releases", "show")</f>
        <v>show</v>
      </c>
      <c r="I1326">
        <v>1</v>
      </c>
      <c r="J1326">
        <v>0</v>
      </c>
      <c r="K1326">
        <v>0</v>
      </c>
      <c r="L1326">
        <v>0</v>
      </c>
      <c r="M1326" t="s">
        <v>17</v>
      </c>
    </row>
    <row r="1327" spans="1:13" hidden="1" x14ac:dyDescent="0.15">
      <c r="A1327" t="s">
        <v>4250</v>
      </c>
      <c r="B1327" t="s">
        <v>4251</v>
      </c>
      <c r="C1327" t="s">
        <v>4252</v>
      </c>
      <c r="D1327" t="s">
        <v>4240</v>
      </c>
      <c r="E1327">
        <v>13</v>
      </c>
      <c r="F1327" t="str">
        <f>HYPERLINK("https://github.com/NemProject/NEMAndroidApp/issues/104", "show")</f>
        <v>show</v>
      </c>
      <c r="G1327" t="str">
        <f>HYPERLINK("https://github.com/NemProject/NEMAndroidApp", "show")</f>
        <v>show</v>
      </c>
      <c r="H1327" t="str">
        <f>HYPERLINK("https://github.com/NemProject/NEMAndroidApp/releases", "show")</f>
        <v>show</v>
      </c>
      <c r="I1327">
        <v>1</v>
      </c>
      <c r="J1327">
        <v>0</v>
      </c>
      <c r="K1327">
        <v>0</v>
      </c>
      <c r="L1327">
        <v>0</v>
      </c>
      <c r="M1327" t="s">
        <v>17</v>
      </c>
    </row>
    <row r="1328" spans="1:13" hidden="1" x14ac:dyDescent="0.15">
      <c r="A1328" t="s">
        <v>4253</v>
      </c>
      <c r="B1328" t="s">
        <v>4254</v>
      </c>
      <c r="C1328" t="s">
        <v>4255</v>
      </c>
      <c r="D1328" t="s">
        <v>4240</v>
      </c>
      <c r="E1328">
        <v>36</v>
      </c>
      <c r="F1328" t="str">
        <f>HYPERLINK("https://github.com/NemProject/NEMAndroidApp/issues/102", "show")</f>
        <v>show</v>
      </c>
      <c r="G1328" t="str">
        <f>HYPERLINK("https://github.com/NemProject/NEMAndroidApp", "show")</f>
        <v>show</v>
      </c>
      <c r="H1328" t="str">
        <f>HYPERLINK("https://github.com/NemProject/NEMAndroidApp/releases", "show")</f>
        <v>show</v>
      </c>
      <c r="I1328">
        <v>1</v>
      </c>
      <c r="J1328">
        <v>0</v>
      </c>
      <c r="K1328">
        <v>0</v>
      </c>
      <c r="L1328">
        <v>0</v>
      </c>
      <c r="M1328" t="s">
        <v>17</v>
      </c>
    </row>
    <row r="1329" spans="1:13" hidden="1" x14ac:dyDescent="0.15">
      <c r="A1329" t="s">
        <v>4256</v>
      </c>
      <c r="B1329" t="s">
        <v>4257</v>
      </c>
      <c r="C1329" t="s">
        <v>4258</v>
      </c>
      <c r="D1329" t="s">
        <v>4240</v>
      </c>
      <c r="E1329">
        <v>12</v>
      </c>
      <c r="F1329" t="str">
        <f>HYPERLINK("https://github.com/h6ah4i/android-advancedrecyclerview/issues/176", "show")</f>
        <v>show</v>
      </c>
      <c r="G1329" t="str">
        <f>HYPERLINK("https://github.com/h6ah4i/android-advancedrecyclerview", "show")</f>
        <v>show</v>
      </c>
      <c r="H1329" t="str">
        <f>HYPERLINK("https://github.com/h6ah4i/android-advancedrecyclerview/releases", "show")</f>
        <v>show</v>
      </c>
      <c r="I1329">
        <v>0</v>
      </c>
      <c r="J1329">
        <v>0</v>
      </c>
      <c r="K1329">
        <v>1</v>
      </c>
      <c r="L1329">
        <v>0</v>
      </c>
      <c r="M1329" t="s">
        <v>122</v>
      </c>
    </row>
    <row r="1330" spans="1:13" hidden="1" x14ac:dyDescent="0.15">
      <c r="A1330" t="s">
        <v>4259</v>
      </c>
      <c r="B1330" t="s">
        <v>4260</v>
      </c>
      <c r="C1330" t="s">
        <v>4261</v>
      </c>
      <c r="D1330" t="s">
        <v>4240</v>
      </c>
      <c r="E1330">
        <v>13</v>
      </c>
      <c r="F1330" t="str">
        <f>HYPERLINK("https://github.com/NemProject/NEMAndroidApp/issues/95", "show")</f>
        <v>show</v>
      </c>
      <c r="G1330" t="str">
        <f>HYPERLINK("https://github.com/NemProject/NEMAndroidApp", "show")</f>
        <v>show</v>
      </c>
      <c r="H1330" t="str">
        <f>HYPERLINK("https://github.com/NemProject/NEMAndroidApp/releases", "show")</f>
        <v>show</v>
      </c>
      <c r="I1330">
        <v>1</v>
      </c>
      <c r="J1330">
        <v>0</v>
      </c>
      <c r="K1330">
        <v>0</v>
      </c>
      <c r="L1330">
        <v>0</v>
      </c>
      <c r="M1330" t="s">
        <v>17</v>
      </c>
    </row>
    <row r="1331" spans="1:13" hidden="1" x14ac:dyDescent="0.15">
      <c r="A1331" t="s">
        <v>4262</v>
      </c>
      <c r="B1331" t="s">
        <v>4263</v>
      </c>
      <c r="C1331" t="s">
        <v>504</v>
      </c>
      <c r="D1331" t="s">
        <v>4264</v>
      </c>
      <c r="E1331">
        <v>65</v>
      </c>
      <c r="F1331" t="str">
        <f>HYPERLINK("https://github.com/hidroh/materialistic/issues/365", "show")</f>
        <v>show</v>
      </c>
      <c r="G1331" t="str">
        <f>HYPERLINK("https://github.com/hidroh/materialistic", "show")</f>
        <v>show</v>
      </c>
      <c r="H1331" t="str">
        <f>HYPERLINK("https://github.com/hidroh/materialistic/releases", "show")</f>
        <v>show</v>
      </c>
      <c r="I1331">
        <v>1</v>
      </c>
      <c r="J1331">
        <v>0</v>
      </c>
      <c r="K1331">
        <v>0</v>
      </c>
      <c r="L1331">
        <v>0</v>
      </c>
      <c r="M1331" t="s">
        <v>17</v>
      </c>
    </row>
    <row r="1332" spans="1:13" hidden="1" x14ac:dyDescent="0.15">
      <c r="A1332" t="s">
        <v>4265</v>
      </c>
      <c r="B1332" t="s">
        <v>4266</v>
      </c>
      <c r="C1332" t="s">
        <v>4267</v>
      </c>
      <c r="D1332" t="s">
        <v>4264</v>
      </c>
      <c r="E1332">
        <v>135</v>
      </c>
      <c r="F1332" t="str">
        <f>HYPERLINK("https://github.com/NemProject/NEMAndroidApp/issues/109", "show")</f>
        <v>show</v>
      </c>
      <c r="G1332" t="str">
        <f>HYPERLINK("https://github.com/NemProject/NEMAndroidApp", "show")</f>
        <v>show</v>
      </c>
      <c r="H1332" t="str">
        <f>HYPERLINK("https://github.com/NemProject/NEMAndroidApp/releases", "show")</f>
        <v>show</v>
      </c>
      <c r="I1332">
        <v>1</v>
      </c>
      <c r="J1332">
        <v>0</v>
      </c>
      <c r="K1332">
        <v>0</v>
      </c>
      <c r="L1332">
        <v>0</v>
      </c>
      <c r="M1332" t="s">
        <v>17</v>
      </c>
    </row>
    <row r="1333" spans="1:13" hidden="1" x14ac:dyDescent="0.15">
      <c r="A1333" t="s">
        <v>4268</v>
      </c>
      <c r="B1333" t="s">
        <v>4269</v>
      </c>
      <c r="C1333" t="s">
        <v>4270</v>
      </c>
      <c r="D1333" t="s">
        <v>4264</v>
      </c>
      <c r="E1333">
        <v>9</v>
      </c>
      <c r="F1333" t="str">
        <f>HYPERLINK("https://github.com/ccrama/Slide/issues/908", "show")</f>
        <v>show</v>
      </c>
      <c r="G1333" t="str">
        <f>HYPERLINK("https://github.com/ccrama/Slide", "show")</f>
        <v>show</v>
      </c>
      <c r="H1333" t="str">
        <f>HYPERLINK("https://github.com/ccrama/Slide/releases", "show")</f>
        <v>show</v>
      </c>
      <c r="I1333">
        <v>1</v>
      </c>
      <c r="J1333">
        <v>0</v>
      </c>
      <c r="K1333">
        <v>0</v>
      </c>
      <c r="L1333">
        <v>0</v>
      </c>
      <c r="M1333" t="s">
        <v>17</v>
      </c>
    </row>
    <row r="1334" spans="1:13" hidden="1" x14ac:dyDescent="0.15">
      <c r="A1334" t="s">
        <v>4271</v>
      </c>
      <c r="B1334" t="s">
        <v>4272</v>
      </c>
      <c r="C1334" t="s">
        <v>4273</v>
      </c>
      <c r="D1334" t="s">
        <v>4264</v>
      </c>
      <c r="E1334">
        <v>714</v>
      </c>
      <c r="F1334" t="str">
        <f>HYPERLINK("https://github.com/pinball83/Masked-Edittext/issues/6", "show")</f>
        <v>show</v>
      </c>
      <c r="G1334" t="str">
        <f>HYPERLINK("https://github.com/pinball83/Masked-Edittext", "show")</f>
        <v>show</v>
      </c>
      <c r="H1334" t="str">
        <f>HYPERLINK("https://github.com/pinball83/Masked-Edittext/releases", "show")</f>
        <v>show</v>
      </c>
      <c r="I1334">
        <v>1</v>
      </c>
      <c r="J1334">
        <v>0</v>
      </c>
      <c r="K1334">
        <v>1</v>
      </c>
      <c r="L1334">
        <v>0</v>
      </c>
      <c r="M1334" t="s">
        <v>64</v>
      </c>
    </row>
    <row r="1335" spans="1:13" hidden="1" x14ac:dyDescent="0.15">
      <c r="A1335" t="s">
        <v>4274</v>
      </c>
      <c r="B1335" t="s">
        <v>4275</v>
      </c>
      <c r="C1335" t="s">
        <v>4276</v>
      </c>
      <c r="D1335" t="s">
        <v>4264</v>
      </c>
      <c r="E1335">
        <v>61</v>
      </c>
      <c r="F1335" t="str">
        <f>HYPERLINK("https://github.com/CellularPrivacy/Android-IMSI-Catcher-Detector/issues/759", "show")</f>
        <v>show</v>
      </c>
      <c r="G1335" t="str">
        <f>HYPERLINK("https://github.com/CellularPrivacy/Android-IMSI-Catcher-Detector", "show")</f>
        <v>show</v>
      </c>
      <c r="H1335" t="str">
        <f>HYPERLINK("https://github.com/CellularPrivacy/Android-IMSI-Catcher-Detector/releases", "show")</f>
        <v>show</v>
      </c>
      <c r="I1335">
        <v>1</v>
      </c>
      <c r="J1335">
        <v>1</v>
      </c>
      <c r="K1335">
        <v>0</v>
      </c>
      <c r="L1335">
        <v>0</v>
      </c>
      <c r="M1335" t="s">
        <v>48</v>
      </c>
    </row>
    <row r="1336" spans="1:13" hidden="1" x14ac:dyDescent="0.15">
      <c r="A1336" t="s">
        <v>4277</v>
      </c>
      <c r="B1336" t="s">
        <v>4278</v>
      </c>
      <c r="C1336" t="s">
        <v>4279</v>
      </c>
      <c r="D1336" t="s">
        <v>4264</v>
      </c>
      <c r="E1336">
        <v>50</v>
      </c>
      <c r="F1336" t="str">
        <f>HYPERLINK("https://github.com/MythTV-Clients/MythtvPlayerForAndroid/issues/93", "show")</f>
        <v>show</v>
      </c>
      <c r="G1336" t="str">
        <f>HYPERLINK("https://github.com/MythTV-Clients/MythtvPlayerForAndroid", "show")</f>
        <v>show</v>
      </c>
      <c r="H1336" t="str">
        <f>HYPERLINK("https://github.com/MythTV-Clients/MythtvPlayerForAndroid/releases", "show")</f>
        <v>show</v>
      </c>
      <c r="I1336">
        <v>0</v>
      </c>
      <c r="J1336">
        <v>0</v>
      </c>
      <c r="K1336">
        <v>1</v>
      </c>
      <c r="L1336">
        <v>0</v>
      </c>
      <c r="M1336" t="s">
        <v>122</v>
      </c>
    </row>
    <row r="1337" spans="1:13" hidden="1" x14ac:dyDescent="0.15">
      <c r="A1337" t="s">
        <v>4280</v>
      </c>
      <c r="B1337" t="s">
        <v>4281</v>
      </c>
      <c r="C1337" t="s">
        <v>4282</v>
      </c>
      <c r="D1337" t="s">
        <v>4283</v>
      </c>
      <c r="E1337">
        <v>0</v>
      </c>
      <c r="F1337" t="str">
        <f>HYPERLINK("https://github.com/dimagi/commcare-android/issues/1030", "show")</f>
        <v>show</v>
      </c>
      <c r="G1337" t="str">
        <f>HYPERLINK("https://github.com/dimagi/commcare-android", "show")</f>
        <v>show</v>
      </c>
      <c r="H1337" t="str">
        <f>HYPERLINK("https://github.com/dimagi/commcare-android/releases", "show")</f>
        <v>show</v>
      </c>
      <c r="I1337">
        <v>1</v>
      </c>
      <c r="J1337">
        <v>0</v>
      </c>
      <c r="K1337">
        <v>0</v>
      </c>
      <c r="L1337">
        <v>0</v>
      </c>
      <c r="M1337" t="s">
        <v>17</v>
      </c>
    </row>
    <row r="1338" spans="1:13" hidden="1" x14ac:dyDescent="0.15">
      <c r="A1338" t="s">
        <v>4284</v>
      </c>
      <c r="B1338" t="s">
        <v>4285</v>
      </c>
      <c r="C1338" t="s">
        <v>4286</v>
      </c>
      <c r="D1338" t="s">
        <v>4283</v>
      </c>
      <c r="E1338">
        <v>1</v>
      </c>
      <c r="F1338" t="str">
        <f>HYPERLINK("https://github.com/8MinutesSolar/8MinutesAndroid/issues/36", "show")</f>
        <v>show</v>
      </c>
      <c r="G1338" t="str">
        <f>HYPERLINK("https://github.com/8MinutesSolar/8MinutesAndroid", "show")</f>
        <v>show</v>
      </c>
      <c r="H1338" t="str">
        <f>HYPERLINK("https://github.com/8MinutesSolar/8MinutesAndroid/releases", "show")</f>
        <v>show</v>
      </c>
      <c r="I1338">
        <v>1</v>
      </c>
      <c r="J1338">
        <v>0</v>
      </c>
      <c r="K1338">
        <v>0</v>
      </c>
      <c r="L1338">
        <v>0</v>
      </c>
      <c r="M1338" t="s">
        <v>17</v>
      </c>
    </row>
    <row r="1339" spans="1:13" hidden="1" x14ac:dyDescent="0.15">
      <c r="A1339" t="s">
        <v>4287</v>
      </c>
      <c r="B1339" t="s">
        <v>4288</v>
      </c>
      <c r="C1339" t="s">
        <v>4289</v>
      </c>
      <c r="D1339" t="s">
        <v>4290</v>
      </c>
      <c r="E1339">
        <v>1802</v>
      </c>
      <c r="F1339" t="str">
        <f>HYPERLINK("https://github.com/cgeo/cgeo/issues/5429", "show")</f>
        <v>show</v>
      </c>
      <c r="G1339" t="str">
        <f>HYPERLINK("https://github.com/cgeo/cgeo", "show")</f>
        <v>show</v>
      </c>
      <c r="H1339" t="str">
        <f>HYPERLINK("https://github.com/cgeo/cgeo/releases", "show")</f>
        <v>show</v>
      </c>
      <c r="I1339">
        <v>0</v>
      </c>
      <c r="J1339">
        <v>1</v>
      </c>
      <c r="K1339">
        <v>1</v>
      </c>
      <c r="L1339">
        <v>0</v>
      </c>
      <c r="M1339" t="s">
        <v>699</v>
      </c>
    </row>
    <row r="1340" spans="1:13" hidden="1" x14ac:dyDescent="0.15">
      <c r="A1340" t="s">
        <v>4291</v>
      </c>
      <c r="B1340" t="s">
        <v>4292</v>
      </c>
      <c r="C1340" t="s">
        <v>4293</v>
      </c>
      <c r="D1340" t="s">
        <v>4290</v>
      </c>
      <c r="E1340">
        <v>0</v>
      </c>
      <c r="F1340" t="str">
        <f>HYPERLINK("https://github.com/stefan-niedermann/nextcloud-notes/issues/65", "show")</f>
        <v>show</v>
      </c>
      <c r="G1340" t="str">
        <f>HYPERLINK("https://github.com/stefan-niedermann/nextcloud-notes", "show")</f>
        <v>show</v>
      </c>
      <c r="H1340" t="str">
        <f>HYPERLINK("https://github.com/stefan-niedermann/nextcloud-notes/releases", "show")</f>
        <v>show</v>
      </c>
      <c r="I1340">
        <v>1</v>
      </c>
      <c r="J1340">
        <v>0</v>
      </c>
      <c r="K1340">
        <v>1</v>
      </c>
      <c r="L1340">
        <v>0</v>
      </c>
      <c r="M1340" t="s">
        <v>64</v>
      </c>
    </row>
    <row r="1341" spans="1:13" hidden="1" x14ac:dyDescent="0.15">
      <c r="A1341" t="s">
        <v>4294</v>
      </c>
      <c r="B1341" t="s">
        <v>4295</v>
      </c>
      <c r="C1341" t="s">
        <v>4296</v>
      </c>
      <c r="D1341" t="s">
        <v>4290</v>
      </c>
      <c r="E1341">
        <v>202</v>
      </c>
      <c r="F1341" t="str">
        <f>HYPERLINK("https://github.com/kabouzeid/Phonograph/issues/68", "show")</f>
        <v>show</v>
      </c>
      <c r="G1341" t="str">
        <f>HYPERLINK("https://github.com/kabouzeid/Phonograph", "show")</f>
        <v>show</v>
      </c>
      <c r="H1341" t="str">
        <f>HYPERLINK("https://github.com/kabouzeid/Phonograph/releases", "show")</f>
        <v>show</v>
      </c>
      <c r="I1341">
        <v>0</v>
      </c>
      <c r="J1341">
        <v>0</v>
      </c>
      <c r="K1341">
        <v>1</v>
      </c>
      <c r="L1341">
        <v>0</v>
      </c>
      <c r="M1341" t="s">
        <v>122</v>
      </c>
    </row>
    <row r="1342" spans="1:13" hidden="1" x14ac:dyDescent="0.15">
      <c r="A1342" t="s">
        <v>4297</v>
      </c>
      <c r="B1342" t="s">
        <v>4298</v>
      </c>
      <c r="C1342" t="s">
        <v>4299</v>
      </c>
      <c r="D1342" t="s">
        <v>4300</v>
      </c>
      <c r="E1342">
        <v>2</v>
      </c>
      <c r="F1342" t="str">
        <f>HYPERLINK("https://github.com/Karumi/HeaderRecyclerView/issues/14", "show")</f>
        <v>show</v>
      </c>
      <c r="G1342" t="str">
        <f>HYPERLINK("https://github.com/Karumi/HeaderRecyclerView", "show")</f>
        <v>show</v>
      </c>
      <c r="H1342" t="str">
        <f>HYPERLINK("https://github.com/Karumi/HeaderRecyclerView/releases", "show")</f>
        <v>show</v>
      </c>
      <c r="I1342">
        <v>1</v>
      </c>
      <c r="J1342">
        <v>0</v>
      </c>
      <c r="K1342">
        <v>1</v>
      </c>
      <c r="L1342">
        <v>0</v>
      </c>
      <c r="M1342" t="s">
        <v>64</v>
      </c>
    </row>
    <row r="1343" spans="1:13" hidden="1" x14ac:dyDescent="0.15">
      <c r="A1343" t="s">
        <v>4301</v>
      </c>
      <c r="B1343" t="s">
        <v>4302</v>
      </c>
      <c r="C1343" t="s">
        <v>4303</v>
      </c>
      <c r="D1343" t="s">
        <v>4300</v>
      </c>
      <c r="E1343">
        <v>0</v>
      </c>
      <c r="F1343" t="str">
        <f>HYPERLINK("https://github.com/ccrama/Slide/issues/937", "show")</f>
        <v>show</v>
      </c>
      <c r="G1343" t="str">
        <f>HYPERLINK("https://github.com/ccrama/Slide", "show")</f>
        <v>show</v>
      </c>
      <c r="H1343" t="str">
        <f>HYPERLINK("https://github.com/ccrama/Slide/releases", "show")</f>
        <v>show</v>
      </c>
      <c r="I1343">
        <v>1</v>
      </c>
      <c r="J1343">
        <v>0</v>
      </c>
      <c r="K1343">
        <v>0</v>
      </c>
      <c r="L1343">
        <v>0</v>
      </c>
      <c r="M1343" t="s">
        <v>17</v>
      </c>
    </row>
    <row r="1344" spans="1:13" hidden="1" x14ac:dyDescent="0.15">
      <c r="A1344" t="s">
        <v>4304</v>
      </c>
      <c r="B1344" t="s">
        <v>4305</v>
      </c>
      <c r="C1344" t="s">
        <v>4306</v>
      </c>
      <c r="D1344" t="s">
        <v>4307</v>
      </c>
      <c r="E1344">
        <v>715</v>
      </c>
      <c r="F1344" t="str">
        <f>HYPERLINK("https://github.com/pinball83/Masked-Edittext/issues/7", "show")</f>
        <v>show</v>
      </c>
      <c r="G1344" t="str">
        <f>HYPERLINK("https://github.com/pinball83/Masked-Edittext", "show")</f>
        <v>show</v>
      </c>
      <c r="H1344" t="str">
        <f>HYPERLINK("https://github.com/pinball83/Masked-Edittext/releases", "show")</f>
        <v>show</v>
      </c>
      <c r="I1344">
        <v>0</v>
      </c>
      <c r="J1344">
        <v>0</v>
      </c>
      <c r="K1344">
        <v>0</v>
      </c>
      <c r="L1344">
        <v>0</v>
      </c>
      <c r="M1344" t="s">
        <v>43</v>
      </c>
    </row>
    <row r="1345" spans="1:13" hidden="1" x14ac:dyDescent="0.15">
      <c r="A1345" t="s">
        <v>4308</v>
      </c>
      <c r="B1345" t="s">
        <v>4309</v>
      </c>
      <c r="C1345" t="s">
        <v>4310</v>
      </c>
      <c r="D1345" t="s">
        <v>4307</v>
      </c>
      <c r="E1345">
        <v>8</v>
      </c>
      <c r="F1345" t="str">
        <f>HYPERLINK("https://github.com/NemProject/NEMAndroidApp/issues/119", "show")</f>
        <v>show</v>
      </c>
      <c r="G1345" t="str">
        <f>HYPERLINK("https://github.com/NemProject/NEMAndroidApp", "show")</f>
        <v>show</v>
      </c>
      <c r="H1345" t="str">
        <f>HYPERLINK("https://github.com/NemProject/NEMAndroidApp/releases", "show")</f>
        <v>show</v>
      </c>
      <c r="I1345">
        <v>1</v>
      </c>
      <c r="J1345">
        <v>0</v>
      </c>
      <c r="K1345">
        <v>0</v>
      </c>
      <c r="L1345">
        <v>0</v>
      </c>
      <c r="M1345" t="s">
        <v>17</v>
      </c>
    </row>
    <row r="1346" spans="1:13" hidden="1" x14ac:dyDescent="0.15">
      <c r="A1346" t="s">
        <v>4311</v>
      </c>
      <c r="B1346" t="s">
        <v>4312</v>
      </c>
      <c r="C1346" t="s">
        <v>4313</v>
      </c>
      <c r="D1346" t="s">
        <v>4307</v>
      </c>
      <c r="E1346">
        <v>0</v>
      </c>
      <c r="F1346" t="str">
        <f>HYPERLINK("https://github.com/Harlber/Moose/issues/22", "show")</f>
        <v>show</v>
      </c>
      <c r="G1346" t="str">
        <f>HYPERLINK("https://github.com/Harlber/Moose", "show")</f>
        <v>show</v>
      </c>
      <c r="H1346" t="str">
        <f>HYPERLINK("https://github.com/Harlber/Moose/releases", "show")</f>
        <v>show</v>
      </c>
      <c r="I1346">
        <v>0</v>
      </c>
      <c r="J1346">
        <v>0</v>
      </c>
      <c r="K1346">
        <v>1</v>
      </c>
      <c r="L1346">
        <v>0</v>
      </c>
      <c r="M1346" t="s">
        <v>122</v>
      </c>
    </row>
    <row r="1347" spans="1:13" hidden="1" x14ac:dyDescent="0.15">
      <c r="A1347" t="s">
        <v>4314</v>
      </c>
      <c r="B1347" t="s">
        <v>4315</v>
      </c>
      <c r="C1347" t="s">
        <v>4316</v>
      </c>
      <c r="D1347" t="s">
        <v>4317</v>
      </c>
      <c r="E1347">
        <v>2</v>
      </c>
      <c r="F1347" t="str">
        <f>HYPERLINK("https://github.com/magnetsystems/message-samples-android/issues/27", "show")</f>
        <v>show</v>
      </c>
      <c r="G1347" t="str">
        <f>HYPERLINK("https://github.com/magnetsystems/message-samples-android", "show")</f>
        <v>show</v>
      </c>
      <c r="H1347" t="str">
        <f>HYPERLINK("https://github.com/magnetsystems/message-samples-android/releases", "show")</f>
        <v>show</v>
      </c>
      <c r="I1347">
        <v>1</v>
      </c>
      <c r="J1347">
        <v>1</v>
      </c>
      <c r="K1347">
        <v>1</v>
      </c>
      <c r="L1347">
        <v>0</v>
      </c>
      <c r="M1347" t="s">
        <v>59</v>
      </c>
    </row>
    <row r="1348" spans="1:13" hidden="1" x14ac:dyDescent="0.15">
      <c r="A1348" t="s">
        <v>4318</v>
      </c>
      <c r="B1348" t="s">
        <v>4319</v>
      </c>
      <c r="C1348" t="s">
        <v>4320</v>
      </c>
      <c r="D1348" t="s">
        <v>4317</v>
      </c>
      <c r="E1348">
        <v>41</v>
      </c>
      <c r="F1348" t="str">
        <f>HYPERLINK("https://github.com/inaturalist/iNaturalistAndroid/issues/116", "show")</f>
        <v>show</v>
      </c>
      <c r="G1348" t="str">
        <f>HYPERLINK("https://github.com/inaturalist/iNaturalistAndroid", "show")</f>
        <v>show</v>
      </c>
      <c r="H1348" t="str">
        <f>HYPERLINK("https://github.com/inaturalist/iNaturalistAndroid/releases", "show")</f>
        <v>show</v>
      </c>
      <c r="I1348">
        <v>1</v>
      </c>
      <c r="J1348">
        <v>1</v>
      </c>
      <c r="K1348">
        <v>0</v>
      </c>
      <c r="L1348">
        <v>1</v>
      </c>
      <c r="M1348" t="s">
        <v>1894</v>
      </c>
    </row>
    <row r="1349" spans="1:13" hidden="1" x14ac:dyDescent="0.15">
      <c r="A1349" t="s">
        <v>4321</v>
      </c>
      <c r="B1349" t="s">
        <v>4322</v>
      </c>
      <c r="C1349" t="s">
        <v>4323</v>
      </c>
      <c r="D1349" t="s">
        <v>4317</v>
      </c>
      <c r="E1349">
        <v>582</v>
      </c>
      <c r="F1349" t="str">
        <f>HYPERLINK("https://github.com/nitaliano/react-native-mapbox-gl/issues/267", "show")</f>
        <v>show</v>
      </c>
      <c r="G1349" t="str">
        <f>HYPERLINK("https://github.com/nitaliano/react-native-mapbox-gl", "show")</f>
        <v>show</v>
      </c>
      <c r="H1349" t="str">
        <f>HYPERLINK("https://github.com/nitaliano/react-native-mapbox-gl/releases", "show")</f>
        <v>show</v>
      </c>
      <c r="I1349">
        <v>1</v>
      </c>
      <c r="J1349">
        <v>0</v>
      </c>
      <c r="K1349">
        <v>0</v>
      </c>
      <c r="L1349">
        <v>0</v>
      </c>
      <c r="M1349" t="s">
        <v>17</v>
      </c>
    </row>
    <row r="1350" spans="1:13" hidden="1" x14ac:dyDescent="0.15">
      <c r="A1350" t="s">
        <v>4324</v>
      </c>
      <c r="B1350" t="s">
        <v>4325</v>
      </c>
      <c r="C1350" t="s">
        <v>4326</v>
      </c>
      <c r="D1350" t="s">
        <v>4317</v>
      </c>
      <c r="E1350">
        <v>1</v>
      </c>
      <c r="F1350" t="str">
        <f>HYPERLINK("https://github.com/magnetsystems/message-samples-android/issues/22", "show")</f>
        <v>show</v>
      </c>
      <c r="G1350" t="str">
        <f>HYPERLINK("https://github.com/magnetsystems/message-samples-android", "show")</f>
        <v>show</v>
      </c>
      <c r="H1350" t="str">
        <f>HYPERLINK("https://github.com/magnetsystems/message-samples-android/releases", "show")</f>
        <v>show</v>
      </c>
      <c r="I1350">
        <v>1</v>
      </c>
      <c r="J1350">
        <v>1</v>
      </c>
      <c r="K1350">
        <v>0</v>
      </c>
      <c r="L1350">
        <v>0</v>
      </c>
      <c r="M1350" t="s">
        <v>48</v>
      </c>
    </row>
    <row r="1351" spans="1:13" hidden="1" x14ac:dyDescent="0.15">
      <c r="A1351" t="s">
        <v>4327</v>
      </c>
      <c r="B1351" t="s">
        <v>4328</v>
      </c>
      <c r="C1351" t="s">
        <v>4329</v>
      </c>
      <c r="D1351" t="s">
        <v>4317</v>
      </c>
      <c r="E1351">
        <v>0</v>
      </c>
      <c r="F1351" t="str">
        <f>HYPERLINK("https://github.com/moneymanagerex/android-money-manager-ex/issues/676", "show")</f>
        <v>show</v>
      </c>
      <c r="G1351" t="str">
        <f>HYPERLINK("https://github.com/moneymanagerex/android-money-manager-ex", "show")</f>
        <v>show</v>
      </c>
      <c r="H1351" t="str">
        <f>HYPERLINK("https://github.com/moneymanagerex/android-money-manager-ex/releases", "show")</f>
        <v>show</v>
      </c>
      <c r="I1351">
        <v>1</v>
      </c>
      <c r="J1351">
        <v>0</v>
      </c>
      <c r="K1351">
        <v>1</v>
      </c>
      <c r="L1351">
        <v>0</v>
      </c>
      <c r="M1351" t="s">
        <v>64</v>
      </c>
    </row>
    <row r="1352" spans="1:13" hidden="1" x14ac:dyDescent="0.15">
      <c r="A1352" t="s">
        <v>4330</v>
      </c>
      <c r="B1352" t="s">
        <v>4331</v>
      </c>
      <c r="C1352" t="s">
        <v>4332</v>
      </c>
      <c r="D1352" t="s">
        <v>4333</v>
      </c>
      <c r="E1352">
        <v>69</v>
      </c>
      <c r="F1352" t="str">
        <f>HYPERLINK("https://github.com/k9mail/k-9/issues/1065", "show")</f>
        <v>show</v>
      </c>
      <c r="G1352" t="str">
        <f>HYPERLINK("https://github.com/k9mail/k-9", "show")</f>
        <v>show</v>
      </c>
      <c r="H1352" t="str">
        <f>HYPERLINK("https://github.com/k9mail/k-9/releases", "show")</f>
        <v>show</v>
      </c>
      <c r="I1352">
        <v>1</v>
      </c>
      <c r="J1352">
        <v>0</v>
      </c>
      <c r="K1352">
        <v>0</v>
      </c>
      <c r="L1352">
        <v>0</v>
      </c>
      <c r="M1352" t="s">
        <v>17</v>
      </c>
    </row>
    <row r="1353" spans="1:13" hidden="1" x14ac:dyDescent="0.15">
      <c r="A1353" t="s">
        <v>4334</v>
      </c>
      <c r="B1353" t="s">
        <v>4335</v>
      </c>
      <c r="C1353" t="s">
        <v>4336</v>
      </c>
      <c r="D1353" t="s">
        <v>4333</v>
      </c>
      <c r="E1353">
        <v>1516</v>
      </c>
      <c r="F1353" t="str">
        <f>HYPERLINK("https://github.com/square/okhttp/issues/2309", "show")</f>
        <v>show</v>
      </c>
      <c r="G1353" t="str">
        <f>HYPERLINK("https://github.com/square/okhttp", "show")</f>
        <v>show</v>
      </c>
      <c r="H1353" t="str">
        <f>HYPERLINK("https://github.com/square/okhttp/releases", "show")</f>
        <v>show</v>
      </c>
      <c r="I1353">
        <v>0</v>
      </c>
      <c r="J1353">
        <v>0</v>
      </c>
      <c r="K1353">
        <v>1</v>
      </c>
      <c r="L1353">
        <v>0</v>
      </c>
      <c r="M1353" t="s">
        <v>122</v>
      </c>
    </row>
    <row r="1354" spans="1:13" hidden="1" x14ac:dyDescent="0.15">
      <c r="A1354" t="s">
        <v>4337</v>
      </c>
      <c r="B1354" t="s">
        <v>4338</v>
      </c>
      <c r="C1354" t="s">
        <v>4339</v>
      </c>
      <c r="D1354" t="s">
        <v>4333</v>
      </c>
      <c r="E1354">
        <v>6</v>
      </c>
      <c r="F1354" t="str">
        <f>HYPERLINK("https://github.com/NemProject/NEMAndroidApp/issues/126", "show")</f>
        <v>show</v>
      </c>
      <c r="G1354" t="str">
        <f>HYPERLINK("https://github.com/NemProject/NEMAndroidApp", "show")</f>
        <v>show</v>
      </c>
      <c r="H1354" t="str">
        <f>HYPERLINK("https://github.com/NemProject/NEMAndroidApp/releases", "show")</f>
        <v>show</v>
      </c>
      <c r="I1354">
        <v>1</v>
      </c>
      <c r="J1354">
        <v>0</v>
      </c>
      <c r="K1354">
        <v>0</v>
      </c>
      <c r="L1354">
        <v>0</v>
      </c>
      <c r="M1354" t="s">
        <v>17</v>
      </c>
    </row>
    <row r="1355" spans="1:13" hidden="1" x14ac:dyDescent="0.15">
      <c r="A1355" t="s">
        <v>4340</v>
      </c>
      <c r="B1355" t="s">
        <v>4341</v>
      </c>
      <c r="C1355" t="s">
        <v>4342</v>
      </c>
      <c r="D1355" t="s">
        <v>4333</v>
      </c>
      <c r="E1355">
        <v>0</v>
      </c>
      <c r="F1355" t="str">
        <f>HYPERLINK("https://github.com/OneDrive/onedrive-sdk-android/issues/38", "show")</f>
        <v>show</v>
      </c>
      <c r="G1355" t="str">
        <f>HYPERLINK("https://github.com/OneDrive/onedrive-sdk-android", "show")</f>
        <v>show</v>
      </c>
      <c r="H1355" t="str">
        <f>HYPERLINK("https://github.com/OneDrive/onedrive-sdk-android/releases", "show")</f>
        <v>show</v>
      </c>
      <c r="I1355">
        <v>1</v>
      </c>
      <c r="J1355">
        <v>0</v>
      </c>
      <c r="K1355">
        <v>1</v>
      </c>
      <c r="L1355">
        <v>0</v>
      </c>
      <c r="M1355" t="s">
        <v>64</v>
      </c>
    </row>
    <row r="1356" spans="1:13" hidden="1" x14ac:dyDescent="0.15">
      <c r="A1356" t="s">
        <v>4343</v>
      </c>
      <c r="B1356" t="s">
        <v>4344</v>
      </c>
      <c r="C1356" t="s">
        <v>4345</v>
      </c>
      <c r="D1356" t="s">
        <v>4346</v>
      </c>
      <c r="E1356">
        <v>31</v>
      </c>
      <c r="F1356" t="str">
        <f>HYPERLINK("https://github.com/kontalk/androidclient/issues/643", "show")</f>
        <v>show</v>
      </c>
      <c r="G1356" t="str">
        <f>HYPERLINK("https://github.com/kontalk/androidclient", "show")</f>
        <v>show</v>
      </c>
      <c r="H1356" t="str">
        <f>HYPERLINK("https://github.com/kontalk/androidclient/releases", "show")</f>
        <v>show</v>
      </c>
      <c r="I1356">
        <v>1</v>
      </c>
      <c r="J1356">
        <v>0</v>
      </c>
      <c r="K1356">
        <v>0</v>
      </c>
      <c r="L1356">
        <v>0</v>
      </c>
      <c r="M1356" t="s">
        <v>17</v>
      </c>
    </row>
    <row r="1357" spans="1:13" hidden="1" x14ac:dyDescent="0.15">
      <c r="A1357" t="s">
        <v>4347</v>
      </c>
      <c r="B1357" t="s">
        <v>4348</v>
      </c>
      <c r="C1357" t="s">
        <v>4349</v>
      </c>
      <c r="D1357" t="s">
        <v>4350</v>
      </c>
      <c r="E1357">
        <v>224</v>
      </c>
      <c r="F1357" t="str">
        <f>HYPERLINK("https://github.com/mixpanel/mixpanel-android/issues/320", "show")</f>
        <v>show</v>
      </c>
      <c r="G1357" t="str">
        <f>HYPERLINK("https://github.com/mixpanel/mixpanel-android", "show")</f>
        <v>show</v>
      </c>
      <c r="H1357" t="str">
        <f>HYPERLINK("https://github.com/mixpanel/mixpanel-android/releases", "show")</f>
        <v>show</v>
      </c>
      <c r="I1357">
        <v>1</v>
      </c>
      <c r="J1357">
        <v>0</v>
      </c>
      <c r="K1357">
        <v>1</v>
      </c>
      <c r="L1357">
        <v>0</v>
      </c>
      <c r="M1357" t="s">
        <v>64</v>
      </c>
    </row>
    <row r="1358" spans="1:13" hidden="1" x14ac:dyDescent="0.15">
      <c r="A1358" t="s">
        <v>4351</v>
      </c>
      <c r="B1358" t="s">
        <v>4352</v>
      </c>
      <c r="C1358" t="s">
        <v>4353</v>
      </c>
      <c r="D1358" t="s">
        <v>4350</v>
      </c>
      <c r="E1358">
        <v>39</v>
      </c>
      <c r="F1358" t="str">
        <f>HYPERLINK("https://github.com/oxoooo/pull-back-layout/issues/4", "show")</f>
        <v>show</v>
      </c>
      <c r="G1358" t="str">
        <f>HYPERLINK("https://github.com/oxoooo/pull-back-layout", "show")</f>
        <v>show</v>
      </c>
      <c r="H1358" t="str">
        <f>HYPERLINK("https://github.com/oxoooo/pull-back-layout/releases", "show")</f>
        <v>show</v>
      </c>
      <c r="I1358">
        <v>1</v>
      </c>
      <c r="J1358">
        <v>0</v>
      </c>
      <c r="K1358">
        <v>1</v>
      </c>
      <c r="L1358">
        <v>0</v>
      </c>
      <c r="M1358" t="s">
        <v>64</v>
      </c>
    </row>
    <row r="1359" spans="1:13" hidden="1" x14ac:dyDescent="0.15">
      <c r="A1359" t="s">
        <v>4354</v>
      </c>
      <c r="B1359" t="s">
        <v>4355</v>
      </c>
      <c r="C1359" t="s">
        <v>4356</v>
      </c>
      <c r="D1359" t="s">
        <v>4357</v>
      </c>
      <c r="E1359">
        <v>28</v>
      </c>
      <c r="F1359" t="str">
        <f>HYPERLINK("https://github.com/square/okhttp/issues/2318", "show")</f>
        <v>show</v>
      </c>
      <c r="G1359" t="str">
        <f>HYPERLINK("https://github.com/square/okhttp", "show")</f>
        <v>show</v>
      </c>
      <c r="H1359" t="str">
        <f>HYPERLINK("https://github.com/square/okhttp/releases", "show")</f>
        <v>show</v>
      </c>
      <c r="I1359">
        <v>0</v>
      </c>
      <c r="J1359">
        <v>0</v>
      </c>
      <c r="K1359">
        <v>1</v>
      </c>
      <c r="L1359">
        <v>0</v>
      </c>
      <c r="M1359" t="s">
        <v>122</v>
      </c>
    </row>
    <row r="1360" spans="1:13" hidden="1" x14ac:dyDescent="0.15">
      <c r="A1360" t="s">
        <v>4358</v>
      </c>
      <c r="B1360" t="s">
        <v>4359</v>
      </c>
      <c r="C1360" t="s">
        <v>4360</v>
      </c>
      <c r="D1360" t="s">
        <v>4361</v>
      </c>
      <c r="E1360">
        <v>444</v>
      </c>
      <c r="F1360" t="str">
        <f>HYPERLINK("https://github.com/open-keychain/open-keychain/issues/1714", "show")</f>
        <v>show</v>
      </c>
      <c r="G1360" t="str">
        <f>HYPERLINK("https://github.com/open-keychain/open-keychain", "show")</f>
        <v>show</v>
      </c>
      <c r="H1360" t="str">
        <f>HYPERLINK("https://github.com/open-keychain/open-keychain/releases", "show")</f>
        <v>show</v>
      </c>
      <c r="I1360">
        <v>1</v>
      </c>
      <c r="J1360">
        <v>0</v>
      </c>
      <c r="K1360">
        <v>0</v>
      </c>
      <c r="L1360">
        <v>0</v>
      </c>
      <c r="M1360" t="s">
        <v>17</v>
      </c>
    </row>
    <row r="1361" spans="1:13" hidden="1" x14ac:dyDescent="0.15">
      <c r="A1361" t="s">
        <v>4362</v>
      </c>
      <c r="B1361" t="s">
        <v>4363</v>
      </c>
      <c r="C1361" t="s">
        <v>4364</v>
      </c>
      <c r="D1361" t="s">
        <v>4361</v>
      </c>
      <c r="E1361">
        <v>1</v>
      </c>
      <c r="F1361" t="str">
        <f>HYPERLINK("https://github.com/square/okhttp/issues/2323", "show")</f>
        <v>show</v>
      </c>
      <c r="G1361" t="str">
        <f>HYPERLINK("https://github.com/square/okhttp", "show")</f>
        <v>show</v>
      </c>
      <c r="H1361" t="str">
        <f>HYPERLINK("https://github.com/square/okhttp/releases", "show")</f>
        <v>show</v>
      </c>
      <c r="I1361">
        <v>1</v>
      </c>
      <c r="J1361">
        <v>0</v>
      </c>
      <c r="K1361">
        <v>0</v>
      </c>
      <c r="L1361">
        <v>0</v>
      </c>
      <c r="M1361" t="s">
        <v>17</v>
      </c>
    </row>
    <row r="1362" spans="1:13" hidden="1" x14ac:dyDescent="0.15">
      <c r="A1362" t="s">
        <v>4365</v>
      </c>
      <c r="B1362" t="s">
        <v>4366</v>
      </c>
      <c r="C1362" t="s">
        <v>4367</v>
      </c>
      <c r="D1362" t="s">
        <v>4368</v>
      </c>
      <c r="E1362">
        <v>0</v>
      </c>
      <c r="F1362" t="str">
        <f>HYPERLINK("https://github.com/OneDrive/onedrive-sdk-android/issues/48", "show")</f>
        <v>show</v>
      </c>
      <c r="G1362" t="str">
        <f>HYPERLINK("https://github.com/OneDrive/onedrive-sdk-android", "show")</f>
        <v>show</v>
      </c>
      <c r="H1362" t="str">
        <f>HYPERLINK("https://github.com/OneDrive/onedrive-sdk-android/releases", "show")</f>
        <v>show</v>
      </c>
      <c r="I1362">
        <v>1</v>
      </c>
      <c r="J1362">
        <v>0</v>
      </c>
      <c r="K1362">
        <v>1</v>
      </c>
      <c r="L1362">
        <v>0</v>
      </c>
      <c r="M1362" t="s">
        <v>64</v>
      </c>
    </row>
    <row r="1363" spans="1:13" x14ac:dyDescent="0.15">
      <c r="A1363" t="s">
        <v>4369</v>
      </c>
      <c r="B1363" t="s">
        <v>4370</v>
      </c>
      <c r="C1363" t="s">
        <v>4371</v>
      </c>
      <c r="D1363" t="s">
        <v>4368</v>
      </c>
      <c r="E1363">
        <v>2</v>
      </c>
      <c r="F1363" t="str">
        <f>HYPERLINK("https://github.com/konifar/droidkaigi2016/issues/108", "show")</f>
        <v>show</v>
      </c>
      <c r="G1363" t="str">
        <f>HYPERLINK("https://github.com/konifar/droidkaigi2016", "show")</f>
        <v>show</v>
      </c>
      <c r="H1363" t="str">
        <f>HYPERLINK("https://github.com/konifar/droidkaigi2016/releases", "show")</f>
        <v>show</v>
      </c>
      <c r="I1363">
        <v>0</v>
      </c>
      <c r="J1363">
        <v>1</v>
      </c>
      <c r="K1363">
        <v>0</v>
      </c>
      <c r="L1363">
        <v>0</v>
      </c>
      <c r="M1363" t="s">
        <v>139</v>
      </c>
    </row>
    <row r="1364" spans="1:13" hidden="1" x14ac:dyDescent="0.15">
      <c r="A1364" t="s">
        <v>4372</v>
      </c>
      <c r="B1364" t="s">
        <v>4373</v>
      </c>
      <c r="C1364" t="s">
        <v>4374</v>
      </c>
      <c r="D1364" t="s">
        <v>4368</v>
      </c>
      <c r="E1364">
        <v>1</v>
      </c>
      <c r="F1364" t="str">
        <f>HYPERLINK("https://github.com/shoutit/shoutit-android/issues/60", "show")</f>
        <v>show</v>
      </c>
      <c r="G1364" t="str">
        <f>HYPERLINK("https://github.com/shoutit/shoutit-android", "show")</f>
        <v>show</v>
      </c>
      <c r="H1364" t="str">
        <f>HYPERLINK("https://github.com/shoutit/shoutit-android/releases", "show")</f>
        <v>show</v>
      </c>
      <c r="I1364">
        <v>1</v>
      </c>
      <c r="J1364">
        <v>0</v>
      </c>
      <c r="K1364">
        <v>0</v>
      </c>
      <c r="L1364">
        <v>0</v>
      </c>
      <c r="M1364" t="s">
        <v>17</v>
      </c>
    </row>
    <row r="1365" spans="1:13" hidden="1" x14ac:dyDescent="0.15">
      <c r="A1365" t="s">
        <v>4375</v>
      </c>
      <c r="B1365" t="s">
        <v>4376</v>
      </c>
      <c r="C1365" t="s">
        <v>4377</v>
      </c>
      <c r="D1365" t="s">
        <v>4368</v>
      </c>
      <c r="E1365">
        <v>32</v>
      </c>
      <c r="F1365" t="str">
        <f>HYPERLINK("https://github.com/k9mail/k-9/issues/1079", "show")</f>
        <v>show</v>
      </c>
      <c r="G1365" t="str">
        <f>HYPERLINK("https://github.com/k9mail/k-9", "show")</f>
        <v>show</v>
      </c>
      <c r="H1365" t="str">
        <f>HYPERLINK("https://github.com/k9mail/k-9/releases", "show")</f>
        <v>show</v>
      </c>
      <c r="I1365">
        <v>1</v>
      </c>
      <c r="J1365">
        <v>1</v>
      </c>
      <c r="K1365">
        <v>0</v>
      </c>
      <c r="L1365">
        <v>0</v>
      </c>
      <c r="M1365" t="s">
        <v>48</v>
      </c>
    </row>
    <row r="1366" spans="1:13" hidden="1" x14ac:dyDescent="0.15">
      <c r="A1366" t="s">
        <v>4378</v>
      </c>
      <c r="B1366" t="s">
        <v>4379</v>
      </c>
      <c r="C1366" t="s">
        <v>4380</v>
      </c>
      <c r="D1366" t="s">
        <v>4368</v>
      </c>
      <c r="E1366">
        <v>10</v>
      </c>
      <c r="F1366" t="str">
        <f>HYPERLINK("https://github.com/eclipse/californium/issues/9", "show")</f>
        <v>show</v>
      </c>
      <c r="G1366" t="str">
        <f>HYPERLINK("https://github.com/eclipse/californium", "show")</f>
        <v>show</v>
      </c>
      <c r="H1366" t="str">
        <f>HYPERLINK("https://github.com/eclipse/californium/releases", "show")</f>
        <v>show</v>
      </c>
      <c r="I1366">
        <v>1</v>
      </c>
      <c r="J1366">
        <v>0</v>
      </c>
      <c r="K1366">
        <v>0</v>
      </c>
      <c r="L1366">
        <v>0</v>
      </c>
      <c r="M1366" t="s">
        <v>17</v>
      </c>
    </row>
    <row r="1367" spans="1:13" hidden="1" x14ac:dyDescent="0.15">
      <c r="A1367" t="s">
        <v>4381</v>
      </c>
      <c r="B1367" t="s">
        <v>4382</v>
      </c>
      <c r="C1367" t="s">
        <v>4383</v>
      </c>
      <c r="D1367" t="s">
        <v>4368</v>
      </c>
      <c r="E1367">
        <v>0</v>
      </c>
      <c r="F1367" t="str">
        <f>HYPERLINK("https://github.com/konifar/droidkaigi2016/issues/95", "show")</f>
        <v>show</v>
      </c>
      <c r="G1367" t="str">
        <f>HYPERLINK("https://github.com/konifar/droidkaigi2016", "show")</f>
        <v>show</v>
      </c>
      <c r="H1367" t="str">
        <f>HYPERLINK("https://github.com/konifar/droidkaigi2016/releases", "show")</f>
        <v>show</v>
      </c>
      <c r="I1367">
        <v>0</v>
      </c>
      <c r="J1367">
        <v>1</v>
      </c>
      <c r="K1367">
        <v>1</v>
      </c>
      <c r="L1367">
        <v>0</v>
      </c>
      <c r="M1367" t="s">
        <v>699</v>
      </c>
    </row>
    <row r="1368" spans="1:13" hidden="1" x14ac:dyDescent="0.15">
      <c r="A1368" t="s">
        <v>4384</v>
      </c>
      <c r="B1368" t="s">
        <v>4385</v>
      </c>
      <c r="C1368" t="s">
        <v>4386</v>
      </c>
      <c r="D1368" t="s">
        <v>4368</v>
      </c>
      <c r="E1368">
        <v>7</v>
      </c>
      <c r="F1368" t="str">
        <f>HYPERLINK("https://github.com/commons-app/apps-android-commons/issues/56", "show")</f>
        <v>show</v>
      </c>
      <c r="G1368" t="str">
        <f>HYPERLINK("https://github.com/commons-app/apps-android-commons", "show")</f>
        <v>show</v>
      </c>
      <c r="H1368" t="str">
        <f>HYPERLINK("https://github.com/commons-app/apps-android-commons/releases", "show")</f>
        <v>show</v>
      </c>
      <c r="I1368">
        <v>0</v>
      </c>
      <c r="J1368">
        <v>0</v>
      </c>
      <c r="K1368">
        <v>1</v>
      </c>
      <c r="L1368">
        <v>0</v>
      </c>
      <c r="M1368" t="s">
        <v>122</v>
      </c>
    </row>
    <row r="1369" spans="1:13" hidden="1" x14ac:dyDescent="0.15">
      <c r="A1369" t="s">
        <v>4387</v>
      </c>
      <c r="B1369" t="s">
        <v>4388</v>
      </c>
      <c r="C1369" t="s">
        <v>4389</v>
      </c>
      <c r="D1369" t="s">
        <v>4368</v>
      </c>
      <c r="E1369">
        <v>0</v>
      </c>
      <c r="F1369" t="str">
        <f>HYPERLINK("https://github.com/ashqal/ChromeLikeSwipeLayout/issues/7", "show")</f>
        <v>show</v>
      </c>
      <c r="G1369" t="str">
        <f>HYPERLINK("https://github.com/ashqal/ChromeLikeSwipeLayout", "show")</f>
        <v>show</v>
      </c>
      <c r="H1369" t="str">
        <f>HYPERLINK("https://github.com/ashqal/ChromeLikeSwipeLayout/releases", "show")</f>
        <v>show</v>
      </c>
      <c r="I1369">
        <v>1</v>
      </c>
      <c r="J1369">
        <v>0</v>
      </c>
      <c r="K1369">
        <v>1</v>
      </c>
      <c r="L1369">
        <v>0</v>
      </c>
      <c r="M1369" t="s">
        <v>64</v>
      </c>
    </row>
    <row r="1370" spans="1:13" hidden="1" x14ac:dyDescent="0.15">
      <c r="A1370" t="s">
        <v>4390</v>
      </c>
      <c r="B1370" t="s">
        <v>4391</v>
      </c>
      <c r="C1370" t="s">
        <v>504</v>
      </c>
      <c r="D1370" t="s">
        <v>4392</v>
      </c>
      <c r="E1370">
        <v>52</v>
      </c>
      <c r="F1370" t="str">
        <f>HYPERLINK("https://github.com/hidroh/materialistic/issues/373", "show")</f>
        <v>show</v>
      </c>
      <c r="G1370" t="str">
        <f>HYPERLINK("https://github.com/hidroh/materialistic", "show")</f>
        <v>show</v>
      </c>
      <c r="H1370" t="str">
        <f>HYPERLINK("https://github.com/hidroh/materialistic/releases", "show")</f>
        <v>show</v>
      </c>
      <c r="I1370">
        <v>1</v>
      </c>
      <c r="J1370">
        <v>0</v>
      </c>
      <c r="K1370">
        <v>0</v>
      </c>
      <c r="L1370">
        <v>0</v>
      </c>
      <c r="M1370" t="s">
        <v>17</v>
      </c>
    </row>
    <row r="1371" spans="1:13" hidden="1" x14ac:dyDescent="0.15">
      <c r="A1371" t="s">
        <v>4393</v>
      </c>
      <c r="B1371" t="s">
        <v>4394</v>
      </c>
      <c r="C1371" t="s">
        <v>4395</v>
      </c>
      <c r="D1371" t="s">
        <v>4392</v>
      </c>
      <c r="E1371">
        <v>2</v>
      </c>
      <c r="F1371" t="str">
        <f>HYPERLINK("https://github.com/brarcher/loyalty-card-locker/issues/12", "show")</f>
        <v>show</v>
      </c>
      <c r="G1371" t="str">
        <f>HYPERLINK("https://github.com/brarcher/loyalty-card-locker", "show")</f>
        <v>show</v>
      </c>
      <c r="H1371" t="str">
        <f>HYPERLINK("https://github.com/brarcher/loyalty-card-locker/releases", "show")</f>
        <v>show</v>
      </c>
      <c r="I1371">
        <v>1</v>
      </c>
      <c r="J1371">
        <v>0</v>
      </c>
      <c r="K1371">
        <v>0</v>
      </c>
      <c r="L1371">
        <v>0</v>
      </c>
      <c r="M1371" t="s">
        <v>17</v>
      </c>
    </row>
    <row r="1372" spans="1:13" hidden="1" x14ac:dyDescent="0.15">
      <c r="A1372" t="s">
        <v>4396</v>
      </c>
      <c r="B1372" t="s">
        <v>4397</v>
      </c>
      <c r="C1372" t="s">
        <v>4398</v>
      </c>
      <c r="D1372" t="s">
        <v>4399</v>
      </c>
      <c r="E1372">
        <v>1</v>
      </c>
      <c r="F1372" t="str">
        <f>HYPERLINK("https://github.com/Flaredown/FlaredownAndroid/issues/11", "show")</f>
        <v>show</v>
      </c>
      <c r="G1372" t="str">
        <f>HYPERLINK("https://github.com/Flaredown/FlaredownAndroid", "show")</f>
        <v>show</v>
      </c>
      <c r="H1372" t="str">
        <f>HYPERLINK("https://github.com/Flaredown/FlaredownAndroid/releases", "show")</f>
        <v>show</v>
      </c>
      <c r="I1372">
        <v>1</v>
      </c>
      <c r="J1372">
        <v>0</v>
      </c>
      <c r="K1372">
        <v>0</v>
      </c>
      <c r="L1372">
        <v>0</v>
      </c>
      <c r="M1372" t="s">
        <v>17</v>
      </c>
    </row>
    <row r="1373" spans="1:13" hidden="1" x14ac:dyDescent="0.15">
      <c r="A1373" t="s">
        <v>4400</v>
      </c>
      <c r="B1373" t="s">
        <v>4401</v>
      </c>
      <c r="C1373" t="s">
        <v>4402</v>
      </c>
      <c r="D1373" t="s">
        <v>4399</v>
      </c>
      <c r="E1373">
        <v>1</v>
      </c>
      <c r="F1373" t="str">
        <f>HYPERLINK("https://github.com/ccrama/Slide/issues/972", "show")</f>
        <v>show</v>
      </c>
      <c r="G1373" t="str">
        <f>HYPERLINK("https://github.com/ccrama/Slide", "show")</f>
        <v>show</v>
      </c>
      <c r="H1373" t="str">
        <f>HYPERLINK("https://github.com/ccrama/Slide/releases", "show")</f>
        <v>show</v>
      </c>
      <c r="I1373">
        <v>0</v>
      </c>
      <c r="J1373">
        <v>0</v>
      </c>
      <c r="K1373">
        <v>0</v>
      </c>
      <c r="L1373">
        <v>0</v>
      </c>
      <c r="M1373" t="s">
        <v>43</v>
      </c>
    </row>
    <row r="1374" spans="1:13" hidden="1" x14ac:dyDescent="0.15">
      <c r="A1374" t="s">
        <v>4403</v>
      </c>
      <c r="B1374" t="s">
        <v>4404</v>
      </c>
      <c r="C1374" t="s">
        <v>4405</v>
      </c>
      <c r="D1374" t="s">
        <v>4406</v>
      </c>
      <c r="E1374">
        <v>6</v>
      </c>
      <c r="F1374" t="str">
        <f>HYPERLINK("https://github.com/Instabug/Instabug-Android/issues/2", "show")</f>
        <v>show</v>
      </c>
      <c r="G1374" t="str">
        <f>HYPERLINK("https://github.com/Instabug/Instabug-Android", "show")</f>
        <v>show</v>
      </c>
      <c r="H1374" t="str">
        <f>HYPERLINK("https://github.com/Instabug/Instabug-Android/releases", "show")</f>
        <v>show</v>
      </c>
      <c r="I1374">
        <v>1</v>
      </c>
      <c r="J1374">
        <v>0</v>
      </c>
      <c r="K1374">
        <v>1</v>
      </c>
      <c r="L1374">
        <v>0</v>
      </c>
      <c r="M1374" t="s">
        <v>64</v>
      </c>
    </row>
    <row r="1375" spans="1:13" hidden="1" x14ac:dyDescent="0.15">
      <c r="A1375" t="s">
        <v>4407</v>
      </c>
      <c r="B1375" t="s">
        <v>4408</v>
      </c>
      <c r="D1375" t="s">
        <v>4406</v>
      </c>
      <c r="E1375">
        <v>117</v>
      </c>
      <c r="F1375" t="str">
        <f>HYPERLINK("https://github.com/NemProject/NEMAndroidApp/issues/154", "show")</f>
        <v>show</v>
      </c>
      <c r="G1375" t="str">
        <f>HYPERLINK("https://github.com/NemProject/NEMAndroidApp", "show")</f>
        <v>show</v>
      </c>
      <c r="H1375" t="str">
        <f>HYPERLINK("https://github.com/NemProject/NEMAndroidApp/releases", "show")</f>
        <v>show</v>
      </c>
      <c r="I1375">
        <v>1</v>
      </c>
      <c r="J1375">
        <v>0</v>
      </c>
      <c r="K1375">
        <v>0</v>
      </c>
      <c r="L1375">
        <v>1</v>
      </c>
      <c r="M1375" t="s">
        <v>29</v>
      </c>
    </row>
    <row r="1376" spans="1:13" hidden="1" x14ac:dyDescent="0.15">
      <c r="A1376" t="s">
        <v>4409</v>
      </c>
      <c r="B1376" t="s">
        <v>4410</v>
      </c>
      <c r="C1376" t="s">
        <v>4411</v>
      </c>
      <c r="D1376" t="s">
        <v>4412</v>
      </c>
      <c r="E1376">
        <v>0</v>
      </c>
      <c r="F1376" t="str">
        <f>HYPERLINK("https://github.com/konifar/droidkaigi2016/issues/179", "show")</f>
        <v>show</v>
      </c>
      <c r="G1376" t="str">
        <f>HYPERLINK("https://github.com/konifar/droidkaigi2016", "show")</f>
        <v>show</v>
      </c>
      <c r="H1376" t="str">
        <f>HYPERLINK("https://github.com/konifar/droidkaigi2016/releases", "show")</f>
        <v>show</v>
      </c>
      <c r="I1376">
        <v>1</v>
      </c>
      <c r="J1376">
        <v>1</v>
      </c>
      <c r="K1376">
        <v>1</v>
      </c>
      <c r="L1376">
        <v>0</v>
      </c>
      <c r="M1376" t="s">
        <v>59</v>
      </c>
    </row>
    <row r="1377" spans="1:13" hidden="1" x14ac:dyDescent="0.15">
      <c r="A1377" t="s">
        <v>4413</v>
      </c>
      <c r="B1377" t="s">
        <v>4414</v>
      </c>
      <c r="C1377" t="s">
        <v>4415</v>
      </c>
      <c r="D1377" t="s">
        <v>4416</v>
      </c>
      <c r="E1377">
        <v>1683</v>
      </c>
      <c r="F1377" t="str">
        <f>HYPERLINK("https://github.com/cgeo/cgeo/issues/5445", "show")</f>
        <v>show</v>
      </c>
      <c r="G1377" t="str">
        <f>HYPERLINK("https://github.com/cgeo/cgeo", "show")</f>
        <v>show</v>
      </c>
      <c r="H1377" t="str">
        <f>HYPERLINK("https://github.com/cgeo/cgeo/releases", "show")</f>
        <v>show</v>
      </c>
      <c r="I1377">
        <v>1</v>
      </c>
      <c r="J1377">
        <v>0</v>
      </c>
      <c r="K1377">
        <v>0</v>
      </c>
      <c r="L1377">
        <v>0</v>
      </c>
      <c r="M1377" t="s">
        <v>17</v>
      </c>
    </row>
    <row r="1378" spans="1:13" hidden="1" x14ac:dyDescent="0.15">
      <c r="A1378" t="s">
        <v>4417</v>
      </c>
      <c r="B1378" t="s">
        <v>4418</v>
      </c>
      <c r="C1378" t="s">
        <v>4419</v>
      </c>
      <c r="D1378" t="s">
        <v>4420</v>
      </c>
      <c r="E1378">
        <v>0</v>
      </c>
      <c r="F1378" t="str">
        <f>HYPERLINK("https://github.com/OneBusAway/onebusaway-android/issues/418", "show")</f>
        <v>show</v>
      </c>
      <c r="G1378" t="str">
        <f>HYPERLINK("https://github.com/OneBusAway/onebusaway-android", "show")</f>
        <v>show</v>
      </c>
      <c r="H1378" t="str">
        <f>HYPERLINK("https://github.com/OneBusAway/onebusaway-android/releases", "show")</f>
        <v>show</v>
      </c>
      <c r="I1378">
        <v>1</v>
      </c>
      <c r="J1378">
        <v>0</v>
      </c>
      <c r="K1378">
        <v>1</v>
      </c>
      <c r="L1378">
        <v>0</v>
      </c>
      <c r="M1378" t="s">
        <v>64</v>
      </c>
    </row>
    <row r="1379" spans="1:13" hidden="1" x14ac:dyDescent="0.15">
      <c r="A1379" t="s">
        <v>4421</v>
      </c>
      <c r="B1379" t="s">
        <v>4422</v>
      </c>
      <c r="C1379" t="s">
        <v>4423</v>
      </c>
      <c r="D1379" t="s">
        <v>4420</v>
      </c>
      <c r="E1379">
        <v>0</v>
      </c>
      <c r="F1379" t="str">
        <f>HYPERLINK("https://github.com/ccrama/Slide/issues/996", "show")</f>
        <v>show</v>
      </c>
      <c r="G1379" t="str">
        <f>HYPERLINK("https://github.com/ccrama/Slide", "show")</f>
        <v>show</v>
      </c>
      <c r="H1379" t="str">
        <f>HYPERLINK("https://github.com/ccrama/Slide/releases", "show")</f>
        <v>show</v>
      </c>
      <c r="I1379">
        <v>1</v>
      </c>
      <c r="J1379">
        <v>0</v>
      </c>
      <c r="K1379">
        <v>0</v>
      </c>
      <c r="L1379">
        <v>0</v>
      </c>
      <c r="M1379" t="s">
        <v>17</v>
      </c>
    </row>
    <row r="1380" spans="1:13" hidden="1" x14ac:dyDescent="0.15">
      <c r="A1380" t="s">
        <v>4424</v>
      </c>
      <c r="B1380" t="s">
        <v>4425</v>
      </c>
      <c r="C1380" t="s">
        <v>4426</v>
      </c>
      <c r="D1380" t="s">
        <v>4420</v>
      </c>
      <c r="E1380">
        <v>100</v>
      </c>
      <c r="F1380" t="str">
        <f>HYPERLINK("https://github.com/cymcsg/UltimateRecyclerView/issues/301", "show")</f>
        <v>show</v>
      </c>
      <c r="G1380" t="str">
        <f>HYPERLINK("https://github.com/cymcsg/UltimateRecyclerView", "show")</f>
        <v>show</v>
      </c>
      <c r="H1380" t="str">
        <f>HYPERLINK("https://github.com/cymcsg/UltimateRecyclerView/releases", "show")</f>
        <v>show</v>
      </c>
      <c r="I1380">
        <v>0</v>
      </c>
      <c r="J1380">
        <v>0</v>
      </c>
      <c r="K1380">
        <v>0</v>
      </c>
      <c r="L1380">
        <v>1</v>
      </c>
      <c r="M1380" t="s">
        <v>581</v>
      </c>
    </row>
    <row r="1381" spans="1:13" hidden="1" x14ac:dyDescent="0.15">
      <c r="A1381" t="s">
        <v>4427</v>
      </c>
      <c r="B1381" t="s">
        <v>4312</v>
      </c>
      <c r="C1381" t="s">
        <v>4428</v>
      </c>
      <c r="D1381" t="s">
        <v>4420</v>
      </c>
      <c r="E1381">
        <v>5</v>
      </c>
      <c r="F1381" t="str">
        <f>HYPERLINK("https://github.com/the-blue-alliance/the-blue-alliance-android/issues/538", "show")</f>
        <v>show</v>
      </c>
      <c r="G1381" t="str">
        <f>HYPERLINK("https://github.com/the-blue-alliance/the-blue-alliance-android", "show")</f>
        <v>show</v>
      </c>
      <c r="H1381" t="str">
        <f>HYPERLINK("https://github.com/the-blue-alliance/the-blue-alliance-android/releases", "show")</f>
        <v>show</v>
      </c>
      <c r="I1381">
        <v>0</v>
      </c>
      <c r="J1381">
        <v>0</v>
      </c>
      <c r="K1381">
        <v>1</v>
      </c>
      <c r="L1381">
        <v>0</v>
      </c>
      <c r="M1381" t="s">
        <v>122</v>
      </c>
    </row>
    <row r="1382" spans="1:13" hidden="1" x14ac:dyDescent="0.15">
      <c r="A1382" t="s">
        <v>4429</v>
      </c>
      <c r="B1382" t="s">
        <v>4430</v>
      </c>
      <c r="C1382" t="s">
        <v>4431</v>
      </c>
      <c r="D1382" t="s">
        <v>4432</v>
      </c>
      <c r="E1382">
        <v>1</v>
      </c>
      <c r="F1382" t="str">
        <f>HYPERLINK("https://github.com/bitstadium/HockeySDK-Android/issues/130", "show")</f>
        <v>show</v>
      </c>
      <c r="G1382" t="str">
        <f>HYPERLINK("https://github.com/bitstadium/HockeySDK-Android", "show")</f>
        <v>show</v>
      </c>
      <c r="H1382" t="str">
        <f>HYPERLINK("https://github.com/bitstadium/HockeySDK-Android/releases", "show")</f>
        <v>show</v>
      </c>
      <c r="I1382">
        <v>1</v>
      </c>
      <c r="J1382">
        <v>0</v>
      </c>
      <c r="K1382">
        <v>0</v>
      </c>
      <c r="L1382">
        <v>0</v>
      </c>
      <c r="M1382" t="s">
        <v>17</v>
      </c>
    </row>
    <row r="1383" spans="1:13" hidden="1" x14ac:dyDescent="0.15">
      <c r="A1383" t="s">
        <v>4433</v>
      </c>
      <c r="B1383" t="s">
        <v>4434</v>
      </c>
      <c r="C1383" t="s">
        <v>4435</v>
      </c>
      <c r="D1383" t="s">
        <v>4432</v>
      </c>
      <c r="E1383">
        <v>10</v>
      </c>
      <c r="F1383" t="str">
        <f>HYPERLINK("https://github.com/ucsdCSE110wi16/CSE110M240T12/issues/11", "show")</f>
        <v>show</v>
      </c>
      <c r="G1383" t="str">
        <f>HYPERLINK("https://github.com/ucsdCSE110wi16/CSE110M240T12", "show")</f>
        <v>show</v>
      </c>
      <c r="H1383" t="str">
        <f>HYPERLINK("https://github.com/ucsdCSE110wi16/CSE110M240T12/releases", "show")</f>
        <v>show</v>
      </c>
      <c r="I1383">
        <v>0</v>
      </c>
      <c r="J1383">
        <v>0</v>
      </c>
      <c r="K1383">
        <v>0</v>
      </c>
      <c r="L1383">
        <v>0</v>
      </c>
      <c r="M1383" t="s">
        <v>43</v>
      </c>
    </row>
    <row r="1384" spans="1:13" hidden="1" x14ac:dyDescent="0.15">
      <c r="A1384" t="s">
        <v>4436</v>
      </c>
      <c r="B1384" t="s">
        <v>4437</v>
      </c>
      <c r="C1384" t="s">
        <v>4438</v>
      </c>
      <c r="D1384" t="s">
        <v>4432</v>
      </c>
      <c r="E1384">
        <v>2</v>
      </c>
      <c r="F1384" t="str">
        <f>HYPERLINK("https://github.com/ccrama/Slide/issues/1006", "show")</f>
        <v>show</v>
      </c>
      <c r="G1384" t="str">
        <f>HYPERLINK("https://github.com/ccrama/Slide", "show")</f>
        <v>show</v>
      </c>
      <c r="H1384" t="str">
        <f>HYPERLINK("https://github.com/ccrama/Slide/releases", "show")</f>
        <v>show</v>
      </c>
      <c r="I1384">
        <v>1</v>
      </c>
      <c r="J1384">
        <v>0</v>
      </c>
      <c r="K1384">
        <v>1</v>
      </c>
      <c r="L1384">
        <v>0</v>
      </c>
      <c r="M1384" t="s">
        <v>64</v>
      </c>
    </row>
    <row r="1385" spans="1:13" hidden="1" x14ac:dyDescent="0.15">
      <c r="A1385" t="s">
        <v>4439</v>
      </c>
      <c r="B1385" t="s">
        <v>4440</v>
      </c>
      <c r="D1385" t="s">
        <v>4432</v>
      </c>
      <c r="E1385">
        <v>349</v>
      </c>
      <c r="F1385" t="str">
        <f>HYPERLINK("https://github.com/zhenghaoz/MaterialWeCenter/issues/12", "show")</f>
        <v>show</v>
      </c>
      <c r="G1385" t="str">
        <f>HYPERLINK("https://github.com/zhenghaoz/MaterialWeCenter", "show")</f>
        <v>show</v>
      </c>
      <c r="H1385" t="str">
        <f>HYPERLINK("https://github.com/zhenghaoz/MaterialWeCenter/releases", "show")</f>
        <v>show</v>
      </c>
      <c r="I1385">
        <v>0</v>
      </c>
      <c r="J1385">
        <v>0</v>
      </c>
      <c r="K1385">
        <v>1</v>
      </c>
      <c r="L1385">
        <v>0</v>
      </c>
      <c r="M1385" t="s">
        <v>122</v>
      </c>
    </row>
    <row r="1386" spans="1:13" hidden="1" x14ac:dyDescent="0.15">
      <c r="A1386" t="s">
        <v>4441</v>
      </c>
      <c r="B1386" t="s">
        <v>4442</v>
      </c>
      <c r="C1386" t="s">
        <v>4443</v>
      </c>
      <c r="D1386" t="s">
        <v>4444</v>
      </c>
      <c r="E1386">
        <v>0</v>
      </c>
      <c r="F1386" t="str">
        <f>HYPERLINK("https://github.com/tonyshkurenko/DiCaprio/issues/9", "show")</f>
        <v>show</v>
      </c>
      <c r="G1386" t="str">
        <f>HYPERLINK("https://github.com/tonyshkurenko/DiCaprio", "show")</f>
        <v>show</v>
      </c>
      <c r="H1386" t="str">
        <f>HYPERLINK("https://github.com/tonyshkurenko/DiCaprio/releases", "show")</f>
        <v>show</v>
      </c>
      <c r="I1386">
        <v>0</v>
      </c>
      <c r="J1386">
        <v>0</v>
      </c>
      <c r="K1386">
        <v>0</v>
      </c>
      <c r="L1386">
        <v>0</v>
      </c>
      <c r="M1386" t="s">
        <v>43</v>
      </c>
    </row>
    <row r="1387" spans="1:13" hidden="1" x14ac:dyDescent="0.15">
      <c r="A1387" t="s">
        <v>4445</v>
      </c>
      <c r="B1387" t="s">
        <v>4446</v>
      </c>
      <c r="C1387" t="s">
        <v>4447</v>
      </c>
      <c r="D1387" t="s">
        <v>4444</v>
      </c>
      <c r="E1387">
        <v>1</v>
      </c>
      <c r="F1387" t="str">
        <f>HYPERLINK("https://github.com/dimagi/commcare-android/issues/1078", "show")</f>
        <v>show</v>
      </c>
      <c r="G1387" t="str">
        <f>HYPERLINK("https://github.com/dimagi/commcare-android", "show")</f>
        <v>show</v>
      </c>
      <c r="H1387" t="str">
        <f>HYPERLINK("https://github.com/dimagi/commcare-android/releases", "show")</f>
        <v>show</v>
      </c>
      <c r="I1387">
        <v>0</v>
      </c>
      <c r="J1387">
        <v>0</v>
      </c>
      <c r="K1387">
        <v>0</v>
      </c>
      <c r="L1387">
        <v>0</v>
      </c>
      <c r="M1387" t="s">
        <v>43</v>
      </c>
    </row>
    <row r="1388" spans="1:13" hidden="1" x14ac:dyDescent="0.15">
      <c r="A1388" t="s">
        <v>4448</v>
      </c>
      <c r="B1388" t="s">
        <v>4449</v>
      </c>
      <c r="C1388" t="s">
        <v>4450</v>
      </c>
      <c r="D1388" t="s">
        <v>4444</v>
      </c>
      <c r="E1388">
        <v>1</v>
      </c>
      <c r="F1388" t="str">
        <f>HYPERLINK("https://github.com/Neamar/KISS/issues/391", "show")</f>
        <v>show</v>
      </c>
      <c r="G1388" t="str">
        <f>HYPERLINK("https://github.com/Neamar/KISS", "show")</f>
        <v>show</v>
      </c>
      <c r="H1388" t="str">
        <f>HYPERLINK("https://github.com/Neamar/KISS/releases", "show")</f>
        <v>show</v>
      </c>
      <c r="I1388">
        <v>0</v>
      </c>
      <c r="J1388">
        <v>0</v>
      </c>
      <c r="K1388">
        <v>1</v>
      </c>
      <c r="L1388">
        <v>0</v>
      </c>
      <c r="M1388" t="s">
        <v>122</v>
      </c>
    </row>
    <row r="1389" spans="1:13" hidden="1" x14ac:dyDescent="0.15">
      <c r="A1389" t="s">
        <v>4451</v>
      </c>
      <c r="B1389" t="s">
        <v>4452</v>
      </c>
      <c r="D1389" t="s">
        <v>4444</v>
      </c>
      <c r="E1389">
        <v>2</v>
      </c>
      <c r="F1389" t="str">
        <f>HYPERLINK("https://github.com/aiueoH/twrb/issues/23", "show")</f>
        <v>show</v>
      </c>
      <c r="G1389" t="str">
        <f>HYPERLINK("https://github.com/aiueoH/twrb", "show")</f>
        <v>show</v>
      </c>
      <c r="H1389" t="str">
        <f>HYPERLINK("https://github.com/aiueoH/twrb/releases", "show")</f>
        <v>show</v>
      </c>
      <c r="I1389">
        <v>0</v>
      </c>
      <c r="J1389">
        <v>0</v>
      </c>
      <c r="K1389">
        <v>0</v>
      </c>
      <c r="L1389">
        <v>0</v>
      </c>
      <c r="M1389" t="s">
        <v>43</v>
      </c>
    </row>
    <row r="1390" spans="1:13" hidden="1" x14ac:dyDescent="0.15">
      <c r="A1390" t="s">
        <v>4453</v>
      </c>
      <c r="B1390" t="s">
        <v>4454</v>
      </c>
      <c r="C1390" t="s">
        <v>4455</v>
      </c>
      <c r="D1390" t="s">
        <v>4444</v>
      </c>
      <c r="E1390">
        <v>2</v>
      </c>
      <c r="F1390" t="str">
        <f>HYPERLINK("https://github.com/zhuowei/MCPELauncher/issues/636", "show")</f>
        <v>show</v>
      </c>
      <c r="G1390" t="str">
        <f>HYPERLINK("https://github.com/zhuowei/MCPELauncher", "show")</f>
        <v>show</v>
      </c>
      <c r="H1390" t="str">
        <f>HYPERLINK("https://github.com/zhuowei/MCPELauncher/releases", "show")</f>
        <v>show</v>
      </c>
      <c r="I1390">
        <v>1</v>
      </c>
      <c r="J1390">
        <v>0</v>
      </c>
      <c r="K1390">
        <v>0</v>
      </c>
      <c r="L1390">
        <v>0</v>
      </c>
      <c r="M1390" t="s">
        <v>17</v>
      </c>
    </row>
    <row r="1391" spans="1:13" hidden="1" x14ac:dyDescent="0.15">
      <c r="A1391" t="s">
        <v>4456</v>
      </c>
      <c r="B1391" t="s">
        <v>4457</v>
      </c>
      <c r="D1391" t="s">
        <v>4444</v>
      </c>
      <c r="E1391">
        <v>0</v>
      </c>
      <c r="F1391" t="str">
        <f>HYPERLINK("https://github.com/eneim/Attiq/issues/18", "show")</f>
        <v>show</v>
      </c>
      <c r="G1391" t="str">
        <f>HYPERLINK("https://github.com/eneim/Attiq", "show")</f>
        <v>show</v>
      </c>
      <c r="H1391" t="str">
        <f>HYPERLINK("https://github.com/eneim/Attiq/releases", "show")</f>
        <v>show</v>
      </c>
      <c r="I1391">
        <v>0</v>
      </c>
      <c r="J1391">
        <v>0</v>
      </c>
      <c r="K1391">
        <v>0</v>
      </c>
      <c r="L1391">
        <v>0</v>
      </c>
      <c r="M1391" t="s">
        <v>43</v>
      </c>
    </row>
    <row r="1392" spans="1:13" hidden="1" x14ac:dyDescent="0.15">
      <c r="A1392" t="s">
        <v>4458</v>
      </c>
      <c r="B1392" t="s">
        <v>4459</v>
      </c>
      <c r="C1392" t="s">
        <v>4460</v>
      </c>
      <c r="D1392" t="s">
        <v>4444</v>
      </c>
      <c r="E1392">
        <v>40</v>
      </c>
      <c r="F1392" t="str">
        <f>HYPERLINK("https://github.com/martykan/forecastie/issues/61", "show")</f>
        <v>show</v>
      </c>
      <c r="G1392" t="str">
        <f>HYPERLINK("https://github.com/martykan/forecastie", "show")</f>
        <v>show</v>
      </c>
      <c r="H1392" t="str">
        <f>HYPERLINK("https://github.com/martykan/forecastie/releases", "show")</f>
        <v>show</v>
      </c>
      <c r="I1392">
        <v>1</v>
      </c>
      <c r="J1392">
        <v>0</v>
      </c>
      <c r="K1392">
        <v>0</v>
      </c>
      <c r="L1392">
        <v>0</v>
      </c>
      <c r="M1392" t="s">
        <v>17</v>
      </c>
    </row>
    <row r="1393" spans="1:13" hidden="1" x14ac:dyDescent="0.15">
      <c r="A1393" t="s">
        <v>4461</v>
      </c>
      <c r="B1393" t="s">
        <v>4462</v>
      </c>
      <c r="C1393" t="s">
        <v>4463</v>
      </c>
      <c r="D1393" t="s">
        <v>4464</v>
      </c>
      <c r="E1393">
        <v>39</v>
      </c>
      <c r="F1393" t="str">
        <f>HYPERLINK("https://github.com/k0shk0sh/PermissionHelper/issues/7", "show")</f>
        <v>show</v>
      </c>
      <c r="G1393" t="str">
        <f>HYPERLINK("https://github.com/k0shk0sh/PermissionHelper", "show")</f>
        <v>show</v>
      </c>
      <c r="H1393" t="str">
        <f>HYPERLINK("https://github.com/k0shk0sh/PermissionHelper/releases", "show")</f>
        <v>show</v>
      </c>
      <c r="I1393">
        <v>0</v>
      </c>
      <c r="J1393">
        <v>0</v>
      </c>
      <c r="K1393">
        <v>0</v>
      </c>
      <c r="L1393">
        <v>1</v>
      </c>
      <c r="M1393" t="s">
        <v>581</v>
      </c>
    </row>
    <row r="1394" spans="1:13" hidden="1" x14ac:dyDescent="0.15">
      <c r="A1394" t="s">
        <v>4465</v>
      </c>
      <c r="B1394" t="s">
        <v>4466</v>
      </c>
      <c r="C1394" t="s">
        <v>4467</v>
      </c>
      <c r="D1394" t="s">
        <v>4468</v>
      </c>
      <c r="E1394">
        <v>5</v>
      </c>
      <c r="F1394" t="str">
        <f>HYPERLINK("https://github.com/twystin/twyst_ordering_app/issues/48", "show")</f>
        <v>show</v>
      </c>
      <c r="G1394" t="str">
        <f>HYPERLINK("https://github.com/twystin/twyst_ordering_app", "show")</f>
        <v>show</v>
      </c>
      <c r="H1394" t="str">
        <f>HYPERLINK("https://github.com/twystin/twyst_ordering_app/releases", "show")</f>
        <v>show</v>
      </c>
      <c r="I1394">
        <v>1</v>
      </c>
      <c r="J1394">
        <v>1</v>
      </c>
      <c r="K1394">
        <v>0</v>
      </c>
      <c r="L1394">
        <v>0</v>
      </c>
      <c r="M1394" t="s">
        <v>48</v>
      </c>
    </row>
    <row r="1395" spans="1:13" hidden="1" x14ac:dyDescent="0.15">
      <c r="A1395" t="s">
        <v>4469</v>
      </c>
      <c r="B1395" t="s">
        <v>4470</v>
      </c>
      <c r="D1395" t="s">
        <v>4468</v>
      </c>
      <c r="E1395">
        <v>0</v>
      </c>
      <c r="F1395" t="str">
        <f>HYPERLINK("https://github.com/MHSCSClub/FBLA_MobileApp_2016/issues/12", "show")</f>
        <v>show</v>
      </c>
      <c r="G1395" t="str">
        <f>HYPERLINK("https://github.com/MHSCSClub/FBLA_MobileApp_2016", "show")</f>
        <v>show</v>
      </c>
      <c r="H1395" t="str">
        <f>HYPERLINK("https://github.com/MHSCSClub/FBLA_MobileApp_2016/releases", "show")</f>
        <v>show</v>
      </c>
      <c r="I1395">
        <v>1</v>
      </c>
      <c r="J1395">
        <v>0</v>
      </c>
      <c r="K1395">
        <v>0</v>
      </c>
      <c r="L1395">
        <v>0</v>
      </c>
      <c r="M1395" t="s">
        <v>17</v>
      </c>
    </row>
    <row r="1396" spans="1:13" hidden="1" x14ac:dyDescent="0.15">
      <c r="A1396" t="s">
        <v>4471</v>
      </c>
      <c r="B1396" t="s">
        <v>4472</v>
      </c>
      <c r="C1396" t="s">
        <v>4473</v>
      </c>
      <c r="D1396" t="s">
        <v>4474</v>
      </c>
      <c r="E1396">
        <v>0</v>
      </c>
      <c r="F1396" t="str">
        <f>HYPERLINK("https://github.com/jakubkinst/Android-ViewModelBinding/issues/8", "show")</f>
        <v>show</v>
      </c>
      <c r="G1396" t="str">
        <f>HYPERLINK("https://github.com/jakubkinst/Android-ViewModelBinding", "show")</f>
        <v>show</v>
      </c>
      <c r="H1396" t="str">
        <f>HYPERLINK("https://github.com/jakubkinst/Android-ViewModelBinding/releases", "show")</f>
        <v>show</v>
      </c>
      <c r="I1396">
        <v>1</v>
      </c>
      <c r="J1396">
        <v>0</v>
      </c>
      <c r="K1396">
        <v>0</v>
      </c>
      <c r="L1396">
        <v>0</v>
      </c>
      <c r="M1396" t="s">
        <v>17</v>
      </c>
    </row>
    <row r="1397" spans="1:13" hidden="1" x14ac:dyDescent="0.15">
      <c r="A1397" t="s">
        <v>4475</v>
      </c>
      <c r="B1397" t="s">
        <v>4476</v>
      </c>
      <c r="D1397" t="s">
        <v>4474</v>
      </c>
      <c r="E1397">
        <v>0</v>
      </c>
      <c r="F1397" t="str">
        <f>HYPERLINK("https://github.com/mvysny/aedict/issues/622", "show")</f>
        <v>show</v>
      </c>
      <c r="G1397" t="str">
        <f>HYPERLINK("https://github.com/mvysny/aedict", "show")</f>
        <v>show</v>
      </c>
      <c r="H1397" t="str">
        <f>HYPERLINK("https://github.com/mvysny/aedict/releases", "show")</f>
        <v>show</v>
      </c>
      <c r="I1397">
        <v>0</v>
      </c>
      <c r="J1397">
        <v>0</v>
      </c>
      <c r="K1397">
        <v>1</v>
      </c>
      <c r="L1397">
        <v>0</v>
      </c>
      <c r="M1397" t="s">
        <v>122</v>
      </c>
    </row>
    <row r="1398" spans="1:13" hidden="1" x14ac:dyDescent="0.15">
      <c r="A1398" t="s">
        <v>4477</v>
      </c>
      <c r="B1398" t="s">
        <v>4478</v>
      </c>
      <c r="C1398" t="s">
        <v>4479</v>
      </c>
      <c r="D1398" t="s">
        <v>4480</v>
      </c>
      <c r="E1398">
        <v>12</v>
      </c>
      <c r="F1398" t="str">
        <f>HYPERLINK("https://github.com/haiwen/seadroid/issues/491", "show")</f>
        <v>show</v>
      </c>
      <c r="G1398" t="str">
        <f>HYPERLINK("https://github.com/haiwen/seadroid", "show")</f>
        <v>show</v>
      </c>
      <c r="H1398" t="str">
        <f>HYPERLINK("https://github.com/haiwen/seadroid/releases", "show")</f>
        <v>show</v>
      </c>
      <c r="I1398">
        <v>1</v>
      </c>
      <c r="J1398">
        <v>0</v>
      </c>
      <c r="K1398">
        <v>0</v>
      </c>
      <c r="L1398">
        <v>0</v>
      </c>
      <c r="M1398" t="s">
        <v>17</v>
      </c>
    </row>
    <row r="1399" spans="1:13" hidden="1" x14ac:dyDescent="0.15">
      <c r="A1399" t="s">
        <v>4481</v>
      </c>
      <c r="B1399" t="s">
        <v>4482</v>
      </c>
      <c r="C1399" t="s">
        <v>4483</v>
      </c>
      <c r="D1399" t="s">
        <v>4484</v>
      </c>
      <c r="E1399">
        <v>48</v>
      </c>
      <c r="F1399" t="str">
        <f>HYPERLINK("https://github.com/DarkNormal/ModernEventApp/issues/23", "show")</f>
        <v>show</v>
      </c>
      <c r="G1399" t="str">
        <f>HYPERLINK("https://github.com/DarkNormal/ModernEventApp", "show")</f>
        <v>show</v>
      </c>
      <c r="H1399" t="str">
        <f>HYPERLINK("https://github.com/DarkNormal/ModernEventApp/releases", "show")</f>
        <v>show</v>
      </c>
      <c r="I1399">
        <v>1</v>
      </c>
      <c r="J1399">
        <v>0</v>
      </c>
      <c r="K1399">
        <v>0</v>
      </c>
      <c r="L1399">
        <v>0</v>
      </c>
      <c r="M1399" t="s">
        <v>17</v>
      </c>
    </row>
    <row r="1400" spans="1:13" hidden="1" x14ac:dyDescent="0.15">
      <c r="A1400" t="s">
        <v>4485</v>
      </c>
      <c r="B1400" t="s">
        <v>4486</v>
      </c>
      <c r="D1400" t="s">
        <v>4484</v>
      </c>
      <c r="E1400">
        <v>2</v>
      </c>
      <c r="F1400" t="str">
        <f>HYPERLINK("https://github.com/MHSCSClub/FBLA_MobileApp_2016/issues/13", "show")</f>
        <v>show</v>
      </c>
      <c r="G1400" t="str">
        <f>HYPERLINK("https://github.com/MHSCSClub/FBLA_MobileApp_2016", "show")</f>
        <v>show</v>
      </c>
      <c r="H1400" t="str">
        <f>HYPERLINK("https://github.com/MHSCSClub/FBLA_MobileApp_2016/releases", "show")</f>
        <v>show</v>
      </c>
      <c r="I1400">
        <v>1</v>
      </c>
      <c r="J1400">
        <v>0</v>
      </c>
      <c r="K1400">
        <v>0</v>
      </c>
      <c r="L1400">
        <v>0</v>
      </c>
      <c r="M1400" t="s">
        <v>17</v>
      </c>
    </row>
    <row r="1401" spans="1:13" hidden="1" x14ac:dyDescent="0.15">
      <c r="A1401" t="s">
        <v>4487</v>
      </c>
      <c r="B1401" t="s">
        <v>4488</v>
      </c>
      <c r="C1401" t="s">
        <v>4489</v>
      </c>
      <c r="D1401" t="s">
        <v>4484</v>
      </c>
      <c r="E1401">
        <v>1</v>
      </c>
      <c r="F1401" t="str">
        <f>HYPERLINK("https://github.com/spacecowboy/NoNonsense-FilePicker/issues/73", "show")</f>
        <v>show</v>
      </c>
      <c r="G1401" t="str">
        <f>HYPERLINK("https://github.com/spacecowboy/NoNonsense-FilePicker", "show")</f>
        <v>show</v>
      </c>
      <c r="H1401" t="str">
        <f>HYPERLINK("https://github.com/spacecowboy/NoNonsense-FilePicker/releases", "show")</f>
        <v>show</v>
      </c>
      <c r="I1401">
        <v>1</v>
      </c>
      <c r="J1401">
        <v>0</v>
      </c>
      <c r="K1401">
        <v>0</v>
      </c>
      <c r="L1401">
        <v>0</v>
      </c>
      <c r="M1401" t="s">
        <v>17</v>
      </c>
    </row>
    <row r="1402" spans="1:13" hidden="1" x14ac:dyDescent="0.15">
      <c r="A1402" t="s">
        <v>4490</v>
      </c>
      <c r="B1402" t="s">
        <v>4491</v>
      </c>
      <c r="C1402" t="s">
        <v>4492</v>
      </c>
      <c r="D1402" t="s">
        <v>4484</v>
      </c>
      <c r="E1402">
        <v>7</v>
      </c>
      <c r="F1402" t="str">
        <f>HYPERLINK("https://github.com/aws-amplify/aws-sdk-android/issues/103", "show")</f>
        <v>show</v>
      </c>
      <c r="G1402" t="str">
        <f>HYPERLINK("https://github.com/aws-amplify/aws-sdk-android", "show")</f>
        <v>show</v>
      </c>
      <c r="H1402" t="str">
        <f>HYPERLINK("https://github.com/aws-amplify/aws-sdk-android/releases", "show")</f>
        <v>show</v>
      </c>
      <c r="I1402">
        <v>1</v>
      </c>
      <c r="J1402">
        <v>0</v>
      </c>
      <c r="K1402">
        <v>1</v>
      </c>
      <c r="L1402">
        <v>0</v>
      </c>
      <c r="M1402" t="s">
        <v>64</v>
      </c>
    </row>
    <row r="1403" spans="1:13" hidden="1" x14ac:dyDescent="0.15">
      <c r="A1403" t="s">
        <v>4493</v>
      </c>
      <c r="B1403" t="s">
        <v>4494</v>
      </c>
      <c r="C1403" t="s">
        <v>4495</v>
      </c>
      <c r="D1403" t="s">
        <v>4484</v>
      </c>
      <c r="E1403">
        <v>0</v>
      </c>
      <c r="F1403" t="str">
        <f>HYPERLINK("https://github.com/Neraud/PADListener/issues/101", "show")</f>
        <v>show</v>
      </c>
      <c r="G1403" t="str">
        <f>HYPERLINK("https://github.com/Neraud/PADListener", "show")</f>
        <v>show</v>
      </c>
      <c r="H1403" t="str">
        <f>HYPERLINK("https://github.com/Neraud/PADListener/releases", "show")</f>
        <v>show</v>
      </c>
      <c r="I1403">
        <v>1</v>
      </c>
      <c r="J1403">
        <v>0</v>
      </c>
      <c r="K1403">
        <v>0</v>
      </c>
      <c r="L1403">
        <v>0</v>
      </c>
      <c r="M1403" t="s">
        <v>17</v>
      </c>
    </row>
    <row r="1404" spans="1:13" hidden="1" x14ac:dyDescent="0.15">
      <c r="A1404" t="s">
        <v>4496</v>
      </c>
      <c r="B1404" t="s">
        <v>4497</v>
      </c>
      <c r="C1404" t="s">
        <v>4498</v>
      </c>
      <c r="D1404" t="s">
        <v>4484</v>
      </c>
      <c r="E1404">
        <v>1</v>
      </c>
      <c r="F1404" t="str">
        <f>HYPERLINK("https://github.com/twystin/twyst_ordering_app/issues/54", "show")</f>
        <v>show</v>
      </c>
      <c r="G1404" t="str">
        <f>HYPERLINK("https://github.com/twystin/twyst_ordering_app", "show")</f>
        <v>show</v>
      </c>
      <c r="H1404" t="str">
        <f>HYPERLINK("https://github.com/twystin/twyst_ordering_app/releases", "show")</f>
        <v>show</v>
      </c>
      <c r="I1404">
        <v>0</v>
      </c>
      <c r="J1404">
        <v>0</v>
      </c>
      <c r="K1404">
        <v>0</v>
      </c>
      <c r="L1404">
        <v>0</v>
      </c>
      <c r="M1404" t="s">
        <v>43</v>
      </c>
    </row>
    <row r="1405" spans="1:13" hidden="1" x14ac:dyDescent="0.15">
      <c r="A1405" t="s">
        <v>4499</v>
      </c>
      <c r="B1405" t="s">
        <v>4500</v>
      </c>
      <c r="C1405" t="s">
        <v>4501</v>
      </c>
      <c r="D1405" t="s">
        <v>4484</v>
      </c>
      <c r="E1405">
        <v>0</v>
      </c>
      <c r="F1405" t="str">
        <f>HYPERLINK("https://github.com/Harlber/Moose/issues/28", "show")</f>
        <v>show</v>
      </c>
      <c r="G1405" t="str">
        <f>HYPERLINK("https://github.com/Harlber/Moose", "show")</f>
        <v>show</v>
      </c>
      <c r="H1405" t="str">
        <f>HYPERLINK("https://github.com/Harlber/Moose/releases", "show")</f>
        <v>show</v>
      </c>
      <c r="I1405">
        <v>0</v>
      </c>
      <c r="J1405">
        <v>0</v>
      </c>
      <c r="K1405">
        <v>0</v>
      </c>
      <c r="L1405">
        <v>0</v>
      </c>
      <c r="M1405" t="s">
        <v>43</v>
      </c>
    </row>
    <row r="1406" spans="1:13" hidden="1" x14ac:dyDescent="0.15">
      <c r="A1406" t="s">
        <v>4502</v>
      </c>
      <c r="B1406" t="s">
        <v>4503</v>
      </c>
      <c r="C1406" t="s">
        <v>4504</v>
      </c>
      <c r="D1406" t="s">
        <v>4505</v>
      </c>
      <c r="E1406">
        <v>17</v>
      </c>
      <c r="F1406" t="str">
        <f>HYPERLINK("https://github.com/ccrama/Slide/issues/1073", "show")</f>
        <v>show</v>
      </c>
      <c r="G1406" t="str">
        <f>HYPERLINK("https://github.com/ccrama/Slide", "show")</f>
        <v>show</v>
      </c>
      <c r="H1406" t="str">
        <f>HYPERLINK("https://github.com/ccrama/Slide/releases", "show")</f>
        <v>show</v>
      </c>
      <c r="I1406">
        <v>1</v>
      </c>
      <c r="J1406">
        <v>1</v>
      </c>
      <c r="K1406">
        <v>0</v>
      </c>
      <c r="L1406">
        <v>0</v>
      </c>
      <c r="M1406" t="s">
        <v>48</v>
      </c>
    </row>
    <row r="1407" spans="1:13" hidden="1" x14ac:dyDescent="0.15">
      <c r="A1407" t="s">
        <v>4506</v>
      </c>
      <c r="B1407" t="s">
        <v>4507</v>
      </c>
      <c r="C1407" t="s">
        <v>4508</v>
      </c>
      <c r="D1407" t="s">
        <v>4505</v>
      </c>
      <c r="E1407">
        <v>0</v>
      </c>
      <c r="F1407" t="str">
        <f>HYPERLINK("https://github.com/translation-cards/translation-cards/issues/32", "show")</f>
        <v>show</v>
      </c>
      <c r="G1407" t="str">
        <f>HYPERLINK("https://github.com/translation-cards/translation-cards", "show")</f>
        <v>show</v>
      </c>
      <c r="H1407" t="str">
        <f>HYPERLINK("https://github.com/translation-cards/translation-cards/releases", "show")</f>
        <v>show</v>
      </c>
      <c r="I1407">
        <v>1</v>
      </c>
      <c r="J1407">
        <v>1</v>
      </c>
      <c r="K1407">
        <v>0</v>
      </c>
      <c r="L1407">
        <v>0</v>
      </c>
      <c r="M1407" t="s">
        <v>48</v>
      </c>
    </row>
    <row r="1408" spans="1:13" x14ac:dyDescent="0.15">
      <c r="A1408" t="s">
        <v>4509</v>
      </c>
      <c r="B1408" t="s">
        <v>4510</v>
      </c>
      <c r="C1408" t="s">
        <v>4511</v>
      </c>
      <c r="D1408" t="s">
        <v>4505</v>
      </c>
      <c r="E1408">
        <v>0</v>
      </c>
      <c r="F1408" t="str">
        <f>HYPERLINK("https://github.com/dimagi/commcare-android/issues/1091", "show")</f>
        <v>show</v>
      </c>
      <c r="G1408" t="str">
        <f>HYPERLINK("https://github.com/dimagi/commcare-android", "show")</f>
        <v>show</v>
      </c>
      <c r="H1408" t="str">
        <f>HYPERLINK("https://github.com/dimagi/commcare-android/releases", "show")</f>
        <v>show</v>
      </c>
      <c r="I1408">
        <v>0</v>
      </c>
      <c r="J1408">
        <v>1</v>
      </c>
      <c r="K1408">
        <v>0</v>
      </c>
      <c r="L1408">
        <v>0</v>
      </c>
      <c r="M1408" t="s">
        <v>139</v>
      </c>
    </row>
    <row r="1409" spans="1:13" hidden="1" x14ac:dyDescent="0.15">
      <c r="A1409" t="s">
        <v>4512</v>
      </c>
      <c r="B1409" t="s">
        <v>4513</v>
      </c>
      <c r="C1409" t="s">
        <v>4514</v>
      </c>
      <c r="D1409" t="s">
        <v>4505</v>
      </c>
      <c r="E1409">
        <v>0</v>
      </c>
      <c r="F1409" t="str">
        <f>HYPERLINK("https://github.com/spacecowboy/NoNonsense-FilePicker/issues/76", "show")</f>
        <v>show</v>
      </c>
      <c r="G1409" t="str">
        <f>HYPERLINK("https://github.com/spacecowboy/NoNonsense-FilePicker", "show")</f>
        <v>show</v>
      </c>
      <c r="H1409" t="str">
        <f>HYPERLINK("https://github.com/spacecowboy/NoNonsense-FilePicker/releases", "show")</f>
        <v>show</v>
      </c>
      <c r="I1409">
        <v>1</v>
      </c>
      <c r="J1409">
        <v>0</v>
      </c>
      <c r="K1409">
        <v>0</v>
      </c>
      <c r="L1409">
        <v>0</v>
      </c>
      <c r="M1409" t="s">
        <v>17</v>
      </c>
    </row>
    <row r="1410" spans="1:13" hidden="1" x14ac:dyDescent="0.15">
      <c r="A1410" t="s">
        <v>4515</v>
      </c>
      <c r="B1410" t="s">
        <v>4516</v>
      </c>
      <c r="C1410" t="s">
        <v>4517</v>
      </c>
      <c r="D1410" t="s">
        <v>4505</v>
      </c>
      <c r="E1410">
        <v>0</v>
      </c>
      <c r="F1410" t="str">
        <f>HYPERLINK("https://github.com/spacecowboy/NoNonsense-FilePicker/issues/75", "show")</f>
        <v>show</v>
      </c>
      <c r="G1410" t="str">
        <f>HYPERLINK("https://github.com/spacecowboy/NoNonsense-FilePicker", "show")</f>
        <v>show</v>
      </c>
      <c r="H1410" t="str">
        <f>HYPERLINK("https://github.com/spacecowboy/NoNonsense-FilePicker/releases", "show")</f>
        <v>show</v>
      </c>
      <c r="I1410">
        <v>0</v>
      </c>
      <c r="J1410">
        <v>0</v>
      </c>
      <c r="K1410">
        <v>0</v>
      </c>
      <c r="L1410">
        <v>0</v>
      </c>
      <c r="M1410" t="s">
        <v>43</v>
      </c>
    </row>
    <row r="1411" spans="1:13" hidden="1" x14ac:dyDescent="0.15">
      <c r="A1411" t="s">
        <v>4518</v>
      </c>
      <c r="B1411" t="s">
        <v>4519</v>
      </c>
      <c r="C1411" t="s">
        <v>4520</v>
      </c>
      <c r="D1411" t="s">
        <v>4521</v>
      </c>
      <c r="E1411">
        <v>3</v>
      </c>
      <c r="F1411" t="str">
        <f>HYPERLINK("https://github.com/javiersantos/AppUpdater/issues/13", "show")</f>
        <v>show</v>
      </c>
      <c r="G1411" t="str">
        <f>HYPERLINK("https://github.com/javiersantos/AppUpdater", "show")</f>
        <v>show</v>
      </c>
      <c r="H1411" t="str">
        <f>HYPERLINK("https://github.com/javiersantos/AppUpdater/releases", "show")</f>
        <v>show</v>
      </c>
      <c r="I1411">
        <v>1</v>
      </c>
      <c r="J1411">
        <v>0</v>
      </c>
      <c r="K1411">
        <v>0</v>
      </c>
      <c r="L1411">
        <v>0</v>
      </c>
      <c r="M1411" t="s">
        <v>17</v>
      </c>
    </row>
    <row r="1412" spans="1:13" hidden="1" x14ac:dyDescent="0.15">
      <c r="A1412" t="s">
        <v>4522</v>
      </c>
      <c r="B1412" t="s">
        <v>4523</v>
      </c>
      <c r="C1412" t="s">
        <v>4524</v>
      </c>
      <c r="D1412" t="s">
        <v>4521</v>
      </c>
      <c r="E1412">
        <v>334</v>
      </c>
      <c r="F1412" t="str">
        <f>HYPERLINK("https://github.com/popcorn-official/popcorn-android/issues/9", "show")</f>
        <v>show</v>
      </c>
      <c r="G1412" t="str">
        <f>HYPERLINK("https://github.com/popcorn-official/popcorn-android", "show")</f>
        <v>show</v>
      </c>
      <c r="H1412" t="str">
        <f>HYPERLINK("https://github.com/popcorn-official/popcorn-android/releases", "show")</f>
        <v>show</v>
      </c>
      <c r="I1412">
        <v>1</v>
      </c>
      <c r="J1412">
        <v>0</v>
      </c>
      <c r="K1412">
        <v>0</v>
      </c>
      <c r="L1412">
        <v>0</v>
      </c>
      <c r="M1412" t="s">
        <v>17</v>
      </c>
    </row>
    <row r="1413" spans="1:13" hidden="1" x14ac:dyDescent="0.15">
      <c r="A1413" t="s">
        <v>4525</v>
      </c>
      <c r="B1413" t="s">
        <v>4526</v>
      </c>
      <c r="C1413" t="s">
        <v>4527</v>
      </c>
      <c r="D1413" t="s">
        <v>4521</v>
      </c>
      <c r="E1413">
        <v>1</v>
      </c>
      <c r="F1413" t="str">
        <f>HYPERLINK("https://github.com/ccrama/Slide/issues/1077", "show")</f>
        <v>show</v>
      </c>
      <c r="G1413" t="str">
        <f>HYPERLINK("https://github.com/ccrama/Slide", "show")</f>
        <v>show</v>
      </c>
      <c r="H1413" t="str">
        <f>HYPERLINK("https://github.com/ccrama/Slide/releases", "show")</f>
        <v>show</v>
      </c>
      <c r="I1413">
        <v>1</v>
      </c>
      <c r="J1413">
        <v>0</v>
      </c>
      <c r="K1413">
        <v>0</v>
      </c>
      <c r="L1413">
        <v>0</v>
      </c>
      <c r="M1413" t="s">
        <v>17</v>
      </c>
    </row>
    <row r="1414" spans="1:13" hidden="1" x14ac:dyDescent="0.15">
      <c r="A1414" t="s">
        <v>4528</v>
      </c>
      <c r="B1414" t="s">
        <v>4529</v>
      </c>
      <c r="C1414" t="s">
        <v>4530</v>
      </c>
      <c r="D1414" t="s">
        <v>4531</v>
      </c>
      <c r="E1414">
        <v>5</v>
      </c>
      <c r="F1414" t="str">
        <f>HYPERLINK("https://github.com/dimagi/commcare-android/issues/1098", "show")</f>
        <v>show</v>
      </c>
      <c r="G1414" t="str">
        <f>HYPERLINK("https://github.com/dimagi/commcare-android", "show")</f>
        <v>show</v>
      </c>
      <c r="H1414" t="str">
        <f>HYPERLINK("https://github.com/dimagi/commcare-android/releases", "show")</f>
        <v>show</v>
      </c>
      <c r="I1414">
        <v>1</v>
      </c>
      <c r="J1414">
        <v>0</v>
      </c>
      <c r="K1414">
        <v>0</v>
      </c>
      <c r="L1414">
        <v>0</v>
      </c>
      <c r="M1414" t="s">
        <v>17</v>
      </c>
    </row>
    <row r="1415" spans="1:13" hidden="1" x14ac:dyDescent="0.15">
      <c r="A1415" t="s">
        <v>4532</v>
      </c>
      <c r="B1415" t="s">
        <v>4533</v>
      </c>
      <c r="C1415" t="s">
        <v>4534</v>
      </c>
      <c r="D1415" t="s">
        <v>4531</v>
      </c>
      <c r="E1415">
        <v>1887</v>
      </c>
      <c r="F1415" t="str">
        <f>HYPERLINK("https://github.com/nextcloud/news-android/issues/493", "show")</f>
        <v>show</v>
      </c>
      <c r="G1415" t="str">
        <f>HYPERLINK("https://github.com/nextcloud/news-android", "show")</f>
        <v>show</v>
      </c>
      <c r="H1415" t="str">
        <f>HYPERLINK("https://github.com/nextcloud/news-android/releases", "show")</f>
        <v>show</v>
      </c>
      <c r="I1415">
        <v>1</v>
      </c>
      <c r="J1415">
        <v>1</v>
      </c>
      <c r="K1415">
        <v>0</v>
      </c>
      <c r="L1415">
        <v>0</v>
      </c>
      <c r="M1415" t="s">
        <v>48</v>
      </c>
    </row>
    <row r="1416" spans="1:13" hidden="1" x14ac:dyDescent="0.15">
      <c r="A1416" t="s">
        <v>4535</v>
      </c>
      <c r="B1416" t="s">
        <v>4536</v>
      </c>
      <c r="C1416" t="s">
        <v>4537</v>
      </c>
      <c r="D1416" t="s">
        <v>4531</v>
      </c>
      <c r="E1416">
        <v>2</v>
      </c>
      <c r="F1416" t="str">
        <f>HYPERLINK("https://github.com/libgdx/libgdx/issues/3880", "show")</f>
        <v>show</v>
      </c>
      <c r="G1416" t="str">
        <f>HYPERLINK("https://github.com/libgdx/libgdx", "show")</f>
        <v>show</v>
      </c>
      <c r="H1416" t="str">
        <f>HYPERLINK("https://github.com/libgdx/libgdx/releases", "show")</f>
        <v>show</v>
      </c>
      <c r="I1416">
        <v>1</v>
      </c>
      <c r="J1416">
        <v>0</v>
      </c>
      <c r="K1416">
        <v>0</v>
      </c>
      <c r="L1416">
        <v>0</v>
      </c>
      <c r="M1416" t="s">
        <v>17</v>
      </c>
    </row>
    <row r="1417" spans="1:13" hidden="1" x14ac:dyDescent="0.15">
      <c r="A1417" t="s">
        <v>4538</v>
      </c>
      <c r="B1417" t="s">
        <v>4539</v>
      </c>
      <c r="D1417" t="s">
        <v>4531</v>
      </c>
      <c r="E1417">
        <v>1</v>
      </c>
      <c r="F1417" t="str">
        <f>HYPERLINK("https://github.com/yasevich/endless-recycler-view/issues/9", "show")</f>
        <v>show</v>
      </c>
      <c r="G1417" t="str">
        <f>HYPERLINK("https://github.com/yasevich/endless-recycler-view", "show")</f>
        <v>show</v>
      </c>
      <c r="H1417" t="str">
        <f>HYPERLINK("https://github.com/yasevich/endless-recycler-view/releases", "show")</f>
        <v>show</v>
      </c>
      <c r="I1417">
        <v>0</v>
      </c>
      <c r="J1417">
        <v>0</v>
      </c>
      <c r="K1417">
        <v>1</v>
      </c>
      <c r="L1417">
        <v>0</v>
      </c>
      <c r="M1417" t="s">
        <v>122</v>
      </c>
    </row>
    <row r="1418" spans="1:13" hidden="1" x14ac:dyDescent="0.15">
      <c r="A1418" t="s">
        <v>4540</v>
      </c>
      <c r="B1418" t="s">
        <v>4541</v>
      </c>
      <c r="C1418" t="s">
        <v>4542</v>
      </c>
      <c r="D1418" t="s">
        <v>4531</v>
      </c>
      <c r="E1418">
        <v>13</v>
      </c>
      <c r="F1418" t="str">
        <f>HYPERLINK("https://github.com/google/ExoPlayer/issues/1315", "show")</f>
        <v>show</v>
      </c>
      <c r="G1418" t="str">
        <f>HYPERLINK("https://github.com/google/ExoPlayer", "show")</f>
        <v>show</v>
      </c>
      <c r="H1418" t="str">
        <f>HYPERLINK("https://github.com/google/ExoPlayer/releases", "show")</f>
        <v>show</v>
      </c>
      <c r="I1418">
        <v>1</v>
      </c>
      <c r="J1418">
        <v>0</v>
      </c>
      <c r="K1418">
        <v>1</v>
      </c>
      <c r="L1418">
        <v>0</v>
      </c>
      <c r="M1418" t="s">
        <v>64</v>
      </c>
    </row>
    <row r="1419" spans="1:13" hidden="1" x14ac:dyDescent="0.15">
      <c r="A1419" t="s">
        <v>4543</v>
      </c>
      <c r="B1419" t="s">
        <v>4544</v>
      </c>
      <c r="D1419" t="s">
        <v>4531</v>
      </c>
      <c r="E1419">
        <v>7</v>
      </c>
      <c r="F1419" t="str">
        <f>HYPERLINK("https://github.com/markzhai/AndroidPerformanceMonitor/issues/31", "show")</f>
        <v>show</v>
      </c>
      <c r="G1419" t="str">
        <f>HYPERLINK("https://github.com/markzhai/AndroidPerformanceMonitor", "show")</f>
        <v>show</v>
      </c>
      <c r="H1419" t="str">
        <f>HYPERLINK("https://github.com/markzhai/AndroidPerformanceMonitor/releases", "show")</f>
        <v>show</v>
      </c>
      <c r="I1419">
        <v>0</v>
      </c>
      <c r="J1419">
        <v>0</v>
      </c>
      <c r="K1419">
        <v>1</v>
      </c>
      <c r="L1419">
        <v>0</v>
      </c>
      <c r="M1419" t="s">
        <v>122</v>
      </c>
    </row>
    <row r="1420" spans="1:13" hidden="1" x14ac:dyDescent="0.15">
      <c r="A1420" t="s">
        <v>4545</v>
      </c>
      <c r="B1420" t="s">
        <v>4546</v>
      </c>
      <c r="C1420" t="s">
        <v>4547</v>
      </c>
      <c r="D1420" t="s">
        <v>4548</v>
      </c>
      <c r="E1420">
        <v>0</v>
      </c>
      <c r="F1420" t="str">
        <f>HYPERLINK("https://github.com/mariotaku/Pass/issues/4", "show")</f>
        <v>show</v>
      </c>
      <c r="G1420" t="str">
        <f>HYPERLINK("https://github.com/mariotaku/Pass", "show")</f>
        <v>show</v>
      </c>
      <c r="H1420" t="str">
        <f>HYPERLINK("https://github.com/mariotaku/Pass/releases", "show")</f>
        <v>show</v>
      </c>
      <c r="I1420">
        <v>1</v>
      </c>
      <c r="J1420">
        <v>0</v>
      </c>
      <c r="K1420">
        <v>1</v>
      </c>
      <c r="L1420">
        <v>0</v>
      </c>
      <c r="M1420" t="s">
        <v>64</v>
      </c>
    </row>
    <row r="1421" spans="1:13" hidden="1" x14ac:dyDescent="0.15">
      <c r="A1421" t="s">
        <v>4549</v>
      </c>
      <c r="B1421" t="s">
        <v>4550</v>
      </c>
      <c r="D1421" t="s">
        <v>4548</v>
      </c>
      <c r="E1421">
        <v>0</v>
      </c>
      <c r="F1421" t="str">
        <f>HYPERLINK("https://github.com/jaagameister/learning/issues/99", "show")</f>
        <v>show</v>
      </c>
      <c r="G1421" t="str">
        <f>HYPERLINK("https://github.com/jaagameister/learning", "show")</f>
        <v>show</v>
      </c>
      <c r="H1421" t="str">
        <f>HYPERLINK("https://github.com/jaagameister/learning/releases", "show")</f>
        <v>show</v>
      </c>
      <c r="I1421">
        <v>0</v>
      </c>
      <c r="J1421">
        <v>0</v>
      </c>
      <c r="K1421">
        <v>0</v>
      </c>
      <c r="L1421">
        <v>0</v>
      </c>
      <c r="M1421" t="s">
        <v>43</v>
      </c>
    </row>
    <row r="1422" spans="1:13" hidden="1" x14ac:dyDescent="0.15">
      <c r="A1422" t="s">
        <v>4551</v>
      </c>
      <c r="B1422" t="s">
        <v>4552</v>
      </c>
      <c r="C1422" t="s">
        <v>4553</v>
      </c>
      <c r="D1422" t="s">
        <v>4548</v>
      </c>
      <c r="E1422">
        <v>1647</v>
      </c>
      <c r="F1422" t="str">
        <f>HYPERLINK("https://github.com/libgdx/libgdx/issues/3883", "show")</f>
        <v>show</v>
      </c>
      <c r="G1422" t="str">
        <f>HYPERLINK("https://github.com/libgdx/libgdx", "show")</f>
        <v>show</v>
      </c>
      <c r="H1422" t="str">
        <f>HYPERLINK("https://github.com/libgdx/libgdx/releases", "show")</f>
        <v>show</v>
      </c>
      <c r="I1422">
        <v>1</v>
      </c>
      <c r="J1422">
        <v>1</v>
      </c>
      <c r="K1422">
        <v>1</v>
      </c>
      <c r="L1422">
        <v>0</v>
      </c>
      <c r="M1422" t="s">
        <v>59</v>
      </c>
    </row>
    <row r="1423" spans="1:13" x14ac:dyDescent="0.15">
      <c r="A1423" t="s">
        <v>4554</v>
      </c>
      <c r="B1423" t="s">
        <v>4555</v>
      </c>
      <c r="C1423" t="s">
        <v>4556</v>
      </c>
      <c r="D1423" t="s">
        <v>4557</v>
      </c>
      <c r="E1423">
        <v>0</v>
      </c>
      <c r="F1423" t="str">
        <f>HYPERLINK("https://github.com/CellularPrivacy/Android-IMSI-Catcher-Detector/issues/805", "show")</f>
        <v>show</v>
      </c>
      <c r="G1423" t="str">
        <f>HYPERLINK("https://github.com/CellularPrivacy/Android-IMSI-Catcher-Detector", "show")</f>
        <v>show</v>
      </c>
      <c r="H1423" t="str">
        <f>HYPERLINK("https://github.com/CellularPrivacy/Android-IMSI-Catcher-Detector/releases", "show")</f>
        <v>show</v>
      </c>
      <c r="I1423">
        <v>0</v>
      </c>
      <c r="J1423">
        <v>1</v>
      </c>
      <c r="K1423">
        <v>0</v>
      </c>
      <c r="L1423">
        <v>0</v>
      </c>
      <c r="M1423" t="s">
        <v>139</v>
      </c>
    </row>
    <row r="1424" spans="1:13" hidden="1" x14ac:dyDescent="0.15">
      <c r="A1424" t="s">
        <v>4558</v>
      </c>
      <c r="B1424" t="s">
        <v>4559</v>
      </c>
      <c r="D1424" t="s">
        <v>4557</v>
      </c>
      <c r="E1424">
        <v>0</v>
      </c>
      <c r="F1424" t="str">
        <f>HYPERLINK("https://github.com/deletescape/Control_Box_Android/issues/2", "show")</f>
        <v>show</v>
      </c>
      <c r="G1424" t="str">
        <f>HYPERLINK("https://github.com/deletescape/Control_Box_Android", "show")</f>
        <v>show</v>
      </c>
      <c r="H1424" t="str">
        <f>HYPERLINK("https://github.com/deletescape/Control_Box_Android/releases", "show")</f>
        <v>show</v>
      </c>
      <c r="I1424">
        <v>1</v>
      </c>
      <c r="J1424">
        <v>0</v>
      </c>
      <c r="K1424">
        <v>0</v>
      </c>
      <c r="L1424">
        <v>0</v>
      </c>
      <c r="M1424" t="s">
        <v>17</v>
      </c>
    </row>
    <row r="1425" spans="1:13" hidden="1" x14ac:dyDescent="0.15">
      <c r="A1425" t="s">
        <v>4560</v>
      </c>
      <c r="B1425" t="s">
        <v>4561</v>
      </c>
      <c r="C1425" t="s">
        <v>4562</v>
      </c>
      <c r="D1425" t="s">
        <v>4563</v>
      </c>
      <c r="E1425">
        <v>7</v>
      </c>
      <c r="F1425" t="str">
        <f>HYPERLINK("https://github.com/k3b/APhotoManager/issues/33", "show")</f>
        <v>show</v>
      </c>
      <c r="G1425" t="str">
        <f>HYPERLINK("https://github.com/k3b/APhotoManager", "show")</f>
        <v>show</v>
      </c>
      <c r="H1425" t="str">
        <f>HYPERLINK("https://github.com/k3b/APhotoManager/releases", "show")</f>
        <v>show</v>
      </c>
      <c r="I1425">
        <v>1</v>
      </c>
      <c r="J1425">
        <v>0</v>
      </c>
      <c r="K1425">
        <v>1</v>
      </c>
      <c r="L1425">
        <v>0</v>
      </c>
      <c r="M1425" t="s">
        <v>64</v>
      </c>
    </row>
    <row r="1426" spans="1:13" hidden="1" x14ac:dyDescent="0.15">
      <c r="A1426" t="s">
        <v>4564</v>
      </c>
      <c r="B1426" t="s">
        <v>4565</v>
      </c>
      <c r="C1426" t="s">
        <v>4566</v>
      </c>
      <c r="D1426" t="s">
        <v>4563</v>
      </c>
      <c r="E1426">
        <v>0</v>
      </c>
      <c r="F1426" t="str">
        <f>HYPERLINK("https://github.com/IvoGoman/Diabetes-App/issues/8", "show")</f>
        <v>show</v>
      </c>
      <c r="G1426" t="str">
        <f>HYPERLINK("https://github.com/IvoGoman/Diabetes-App", "show")</f>
        <v>show</v>
      </c>
      <c r="H1426" t="str">
        <f>HYPERLINK("https://github.com/IvoGoman/Diabetes-App/releases", "show")</f>
        <v>show</v>
      </c>
      <c r="I1426">
        <v>1</v>
      </c>
      <c r="J1426">
        <v>0</v>
      </c>
      <c r="K1426">
        <v>0</v>
      </c>
      <c r="L1426">
        <v>0</v>
      </c>
      <c r="M1426" t="s">
        <v>17</v>
      </c>
    </row>
    <row r="1427" spans="1:13" hidden="1" x14ac:dyDescent="0.15">
      <c r="A1427" t="s">
        <v>4567</v>
      </c>
      <c r="B1427" t="s">
        <v>4568</v>
      </c>
      <c r="D1427" t="s">
        <v>4563</v>
      </c>
      <c r="E1427">
        <v>1</v>
      </c>
      <c r="F1427" t="str">
        <f>HYPERLINK("https://github.com/MarcProe/lp2go/issues/11", "show")</f>
        <v>show</v>
      </c>
      <c r="G1427" t="str">
        <f>HYPERLINK("https://github.com/MarcProe/lp2go", "show")</f>
        <v>show</v>
      </c>
      <c r="H1427" t="str">
        <f>HYPERLINK("https://github.com/MarcProe/lp2go/releases", "show")</f>
        <v>show</v>
      </c>
      <c r="I1427">
        <v>1</v>
      </c>
      <c r="J1427">
        <v>0</v>
      </c>
      <c r="K1427">
        <v>0</v>
      </c>
      <c r="L1427">
        <v>0</v>
      </c>
      <c r="M1427" t="s">
        <v>17</v>
      </c>
    </row>
    <row r="1428" spans="1:13" hidden="1" x14ac:dyDescent="0.15">
      <c r="A1428" t="s">
        <v>4569</v>
      </c>
      <c r="B1428" t="s">
        <v>4570</v>
      </c>
      <c r="C1428" t="s">
        <v>4571</v>
      </c>
      <c r="D1428" t="s">
        <v>4563</v>
      </c>
      <c r="E1428">
        <v>13</v>
      </c>
      <c r="F1428" t="str">
        <f>HYPERLINK("https://github.com/cgeo/cgeo/issues/5493", "show")</f>
        <v>show</v>
      </c>
      <c r="G1428" t="str">
        <f>HYPERLINK("https://github.com/cgeo/cgeo", "show")</f>
        <v>show</v>
      </c>
      <c r="H1428" t="str">
        <f>HYPERLINK("https://github.com/cgeo/cgeo/releases", "show")</f>
        <v>show</v>
      </c>
      <c r="I1428">
        <v>0</v>
      </c>
      <c r="J1428">
        <v>0</v>
      </c>
      <c r="K1428">
        <v>0</v>
      </c>
      <c r="L1428">
        <v>0</v>
      </c>
      <c r="M1428" t="s">
        <v>43</v>
      </c>
    </row>
    <row r="1429" spans="1:13" hidden="1" x14ac:dyDescent="0.15">
      <c r="A1429" t="s">
        <v>4572</v>
      </c>
      <c r="B1429" t="s">
        <v>4573</v>
      </c>
      <c r="C1429" t="s">
        <v>4574</v>
      </c>
      <c r="D1429" t="s">
        <v>4563</v>
      </c>
      <c r="E1429">
        <v>6</v>
      </c>
      <c r="F1429" t="str">
        <f>HYPERLINK("https://github.com/inaturalist/iNaturalistAndroid/issues/133", "show")</f>
        <v>show</v>
      </c>
      <c r="G1429" t="str">
        <f>HYPERLINK("https://github.com/inaturalist/iNaturalistAndroid", "show")</f>
        <v>show</v>
      </c>
      <c r="H1429" t="str">
        <f>HYPERLINK("https://github.com/inaturalist/iNaturalistAndroid/releases", "show")</f>
        <v>show</v>
      </c>
      <c r="I1429">
        <v>0</v>
      </c>
      <c r="J1429">
        <v>0</v>
      </c>
      <c r="K1429">
        <v>1</v>
      </c>
      <c r="L1429">
        <v>0</v>
      </c>
      <c r="M1429" t="s">
        <v>122</v>
      </c>
    </row>
    <row r="1430" spans="1:13" hidden="1" x14ac:dyDescent="0.15">
      <c r="A1430" t="s">
        <v>4575</v>
      </c>
      <c r="B1430" t="s">
        <v>4576</v>
      </c>
      <c r="C1430" t="s">
        <v>4577</v>
      </c>
      <c r="D1430" t="s">
        <v>4563</v>
      </c>
      <c r="E1430">
        <v>7</v>
      </c>
      <c r="F1430" t="str">
        <f>HYPERLINK("https://github.com/inaturalist/iNaturalistAndroid/issues/132", "show")</f>
        <v>show</v>
      </c>
      <c r="G1430" t="str">
        <f>HYPERLINK("https://github.com/inaturalist/iNaturalistAndroid", "show")</f>
        <v>show</v>
      </c>
      <c r="H1430" t="str">
        <f>HYPERLINK("https://github.com/inaturalist/iNaturalistAndroid/releases", "show")</f>
        <v>show</v>
      </c>
      <c r="I1430">
        <v>1</v>
      </c>
      <c r="J1430">
        <v>0</v>
      </c>
      <c r="K1430">
        <v>1</v>
      </c>
      <c r="L1430">
        <v>0</v>
      </c>
      <c r="M1430" t="s">
        <v>64</v>
      </c>
    </row>
    <row r="1431" spans="1:13" hidden="1" x14ac:dyDescent="0.15">
      <c r="A1431" t="s">
        <v>4578</v>
      </c>
      <c r="B1431" t="s">
        <v>4579</v>
      </c>
      <c r="C1431" t="s">
        <v>4580</v>
      </c>
      <c r="D1431" t="s">
        <v>4581</v>
      </c>
      <c r="E1431">
        <v>3</v>
      </c>
      <c r="F1431" t="str">
        <f>HYPERLINK("https://github.com/ac-pm/Inspeckage/issues/1", "show")</f>
        <v>show</v>
      </c>
      <c r="G1431" t="str">
        <f>HYPERLINK("https://github.com/ac-pm/Inspeckage", "show")</f>
        <v>show</v>
      </c>
      <c r="H1431" t="str">
        <f>HYPERLINK("https://github.com/ac-pm/Inspeckage/releases", "show")</f>
        <v>show</v>
      </c>
      <c r="I1431">
        <v>1</v>
      </c>
      <c r="J1431">
        <v>0</v>
      </c>
      <c r="K1431">
        <v>0</v>
      </c>
      <c r="L1431">
        <v>0</v>
      </c>
      <c r="M1431" t="s">
        <v>17</v>
      </c>
    </row>
    <row r="1432" spans="1:13" hidden="1" x14ac:dyDescent="0.15">
      <c r="A1432" t="s">
        <v>4582</v>
      </c>
      <c r="B1432" t="s">
        <v>4583</v>
      </c>
      <c r="C1432" t="s">
        <v>4584</v>
      </c>
      <c r="D1432" t="s">
        <v>4581</v>
      </c>
      <c r="E1432">
        <v>0</v>
      </c>
      <c r="F1432" t="str">
        <f>HYPERLINK("https://github.com/eclipse/paho.mqtt.android/issues/58", "show")</f>
        <v>show</v>
      </c>
      <c r="G1432" t="str">
        <f>HYPERLINK("https://github.com/eclipse/paho.mqtt.android", "show")</f>
        <v>show</v>
      </c>
      <c r="H1432" t="str">
        <f>HYPERLINK("https://github.com/eclipse/paho.mqtt.android/releases", "show")</f>
        <v>show</v>
      </c>
      <c r="I1432">
        <v>0</v>
      </c>
      <c r="J1432">
        <v>0</v>
      </c>
      <c r="K1432">
        <v>1</v>
      </c>
      <c r="L1432">
        <v>0</v>
      </c>
      <c r="M1432" t="s">
        <v>122</v>
      </c>
    </row>
    <row r="1433" spans="1:13" hidden="1" x14ac:dyDescent="0.15">
      <c r="A1433" t="s">
        <v>4585</v>
      </c>
      <c r="B1433" t="s">
        <v>4586</v>
      </c>
      <c r="C1433" t="s">
        <v>4587</v>
      </c>
      <c r="D1433" t="s">
        <v>4581</v>
      </c>
      <c r="E1433">
        <v>0</v>
      </c>
      <c r="F1433" t="str">
        <f>HYPERLINK("https://github.com/eclipse/paho.mqtt.android/issues/38", "show")</f>
        <v>show</v>
      </c>
      <c r="G1433" t="str">
        <f>HYPERLINK("https://github.com/eclipse/paho.mqtt.android", "show")</f>
        <v>show</v>
      </c>
      <c r="H1433" t="str">
        <f>HYPERLINK("https://github.com/eclipse/paho.mqtt.android/releases", "show")</f>
        <v>show</v>
      </c>
      <c r="I1433">
        <v>0</v>
      </c>
      <c r="J1433">
        <v>0</v>
      </c>
      <c r="K1433">
        <v>0</v>
      </c>
      <c r="L1433">
        <v>0</v>
      </c>
      <c r="M1433" t="s">
        <v>43</v>
      </c>
    </row>
    <row r="1434" spans="1:13" hidden="1" x14ac:dyDescent="0.15">
      <c r="A1434" t="s">
        <v>4588</v>
      </c>
      <c r="B1434" t="s">
        <v>4589</v>
      </c>
      <c r="C1434" t="s">
        <v>4590</v>
      </c>
      <c r="D1434" t="s">
        <v>4581</v>
      </c>
      <c r="E1434">
        <v>0</v>
      </c>
      <c r="F1434" t="str">
        <f>HYPERLINK("https://github.com/eclipse/paho.mqtt.android/issues/27", "show")</f>
        <v>show</v>
      </c>
      <c r="G1434" t="str">
        <f>HYPERLINK("https://github.com/eclipse/paho.mqtt.android", "show")</f>
        <v>show</v>
      </c>
      <c r="H1434" t="str">
        <f>HYPERLINK("https://github.com/eclipse/paho.mqtt.android/releases", "show")</f>
        <v>show</v>
      </c>
      <c r="I1434">
        <v>1</v>
      </c>
      <c r="J1434">
        <v>1</v>
      </c>
      <c r="K1434">
        <v>0</v>
      </c>
      <c r="L1434">
        <v>0</v>
      </c>
      <c r="M1434" t="s">
        <v>48</v>
      </c>
    </row>
    <row r="1435" spans="1:13" hidden="1" x14ac:dyDescent="0.15">
      <c r="A1435" t="s">
        <v>4591</v>
      </c>
      <c r="B1435" t="s">
        <v>4592</v>
      </c>
      <c r="C1435" t="s">
        <v>4593</v>
      </c>
      <c r="D1435" t="s">
        <v>4581</v>
      </c>
      <c r="E1435">
        <v>224</v>
      </c>
      <c r="F1435" t="str">
        <f>HYPERLINK("https://github.com/eclipse/paho.mqtt.android/issues/3", "show")</f>
        <v>show</v>
      </c>
      <c r="G1435" t="str">
        <f>HYPERLINK("https://github.com/eclipse/paho.mqtt.android", "show")</f>
        <v>show</v>
      </c>
      <c r="H1435" t="str">
        <f>HYPERLINK("https://github.com/eclipse/paho.mqtt.android/releases", "show")</f>
        <v>show</v>
      </c>
      <c r="I1435">
        <v>0</v>
      </c>
      <c r="J1435">
        <v>0</v>
      </c>
      <c r="K1435">
        <v>1</v>
      </c>
      <c r="L1435">
        <v>0</v>
      </c>
      <c r="M1435" t="s">
        <v>122</v>
      </c>
    </row>
    <row r="1436" spans="1:13" hidden="1" x14ac:dyDescent="0.15">
      <c r="A1436" t="s">
        <v>4594</v>
      </c>
      <c r="B1436" t="s">
        <v>4595</v>
      </c>
      <c r="C1436" t="s">
        <v>4596</v>
      </c>
      <c r="D1436" t="s">
        <v>4581</v>
      </c>
      <c r="E1436">
        <v>18</v>
      </c>
      <c r="F1436" t="str">
        <f>HYPERLINK("https://github.com/eclipse/paho.mqtt.android/issues/2", "show")</f>
        <v>show</v>
      </c>
      <c r="G1436" t="str">
        <f>HYPERLINK("https://github.com/eclipse/paho.mqtt.android", "show")</f>
        <v>show</v>
      </c>
      <c r="H1436" t="str">
        <f>HYPERLINK("https://github.com/eclipse/paho.mqtt.android/releases", "show")</f>
        <v>show</v>
      </c>
      <c r="I1436">
        <v>1</v>
      </c>
      <c r="J1436">
        <v>0</v>
      </c>
      <c r="K1436">
        <v>0</v>
      </c>
      <c r="L1436">
        <v>0</v>
      </c>
      <c r="M1436" t="s">
        <v>17</v>
      </c>
    </row>
    <row r="1437" spans="1:13" hidden="1" x14ac:dyDescent="0.15">
      <c r="A1437" t="s">
        <v>4597</v>
      </c>
      <c r="B1437" t="s">
        <v>4598</v>
      </c>
      <c r="C1437" t="s">
        <v>4599</v>
      </c>
      <c r="D1437" t="s">
        <v>4581</v>
      </c>
      <c r="E1437">
        <v>0</v>
      </c>
      <c r="F1437" t="str">
        <f>HYPERLINK("https://github.com/gabrielemariotti/changeloglib/issues/29", "show")</f>
        <v>show</v>
      </c>
      <c r="G1437" t="str">
        <f>HYPERLINK("https://github.com/gabrielemariotti/changeloglib", "show")</f>
        <v>show</v>
      </c>
      <c r="H1437" t="str">
        <f>HYPERLINK("https://github.com/gabrielemariotti/changeloglib/releases", "show")</f>
        <v>show</v>
      </c>
      <c r="I1437">
        <v>0</v>
      </c>
      <c r="J1437">
        <v>0</v>
      </c>
      <c r="K1437">
        <v>0</v>
      </c>
      <c r="L1437">
        <v>0</v>
      </c>
      <c r="M1437" t="s">
        <v>43</v>
      </c>
    </row>
    <row r="1438" spans="1:13" hidden="1" x14ac:dyDescent="0.15">
      <c r="A1438" t="s">
        <v>4600</v>
      </c>
      <c r="B1438" t="s">
        <v>4601</v>
      </c>
      <c r="C1438" t="s">
        <v>4602</v>
      </c>
      <c r="D1438" t="s">
        <v>4581</v>
      </c>
      <c r="E1438">
        <v>0</v>
      </c>
      <c r="F1438" t="str">
        <f>HYPERLINK("https://github.com/bumptech/glide/issues/1016", "show")</f>
        <v>show</v>
      </c>
      <c r="G1438" t="str">
        <f>HYPERLINK("https://github.com/bumptech/glide", "show")</f>
        <v>show</v>
      </c>
      <c r="H1438" t="str">
        <f>HYPERLINK("https://github.com/bumptech/glide/releases", "show")</f>
        <v>show</v>
      </c>
      <c r="I1438">
        <v>1</v>
      </c>
      <c r="J1438">
        <v>0</v>
      </c>
      <c r="K1438">
        <v>0</v>
      </c>
      <c r="L1438">
        <v>0</v>
      </c>
      <c r="M1438" t="s">
        <v>17</v>
      </c>
    </row>
    <row r="1439" spans="1:13" hidden="1" x14ac:dyDescent="0.15">
      <c r="A1439" t="s">
        <v>4603</v>
      </c>
      <c r="B1439" t="s">
        <v>4604</v>
      </c>
      <c r="C1439" t="s">
        <v>4605</v>
      </c>
      <c r="D1439" t="s">
        <v>4606</v>
      </c>
      <c r="E1439">
        <v>5</v>
      </c>
      <c r="F1439" t="str">
        <f>HYPERLINK("https://github.com/dmfs/opentasks/issues/221", "show")</f>
        <v>show</v>
      </c>
      <c r="G1439" t="str">
        <f>HYPERLINK("https://github.com/dmfs/opentasks", "show")</f>
        <v>show</v>
      </c>
      <c r="H1439" t="str">
        <f>HYPERLINK("https://github.com/dmfs/opentasks/releases", "show")</f>
        <v>show</v>
      </c>
      <c r="I1439">
        <v>1</v>
      </c>
      <c r="J1439">
        <v>0</v>
      </c>
      <c r="K1439">
        <v>0</v>
      </c>
      <c r="L1439">
        <v>0</v>
      </c>
      <c r="M1439" t="s">
        <v>17</v>
      </c>
    </row>
    <row r="1440" spans="1:13" hidden="1" x14ac:dyDescent="0.15">
      <c r="A1440" t="s">
        <v>4607</v>
      </c>
      <c r="B1440" t="s">
        <v>4608</v>
      </c>
      <c r="C1440" t="s">
        <v>4609</v>
      </c>
      <c r="D1440" t="s">
        <v>4606</v>
      </c>
      <c r="E1440">
        <v>4</v>
      </c>
      <c r="F1440" t="str">
        <f>HYPERLINK("https://github.com/learningtitans/paperclickers/issues/4", "show")</f>
        <v>show</v>
      </c>
      <c r="G1440" t="str">
        <f>HYPERLINK("https://github.com/learningtitans/paperclickers", "show")</f>
        <v>show</v>
      </c>
      <c r="H1440" t="str">
        <f>HYPERLINK("https://github.com/learningtitans/paperclickers/releases", "show")</f>
        <v>show</v>
      </c>
      <c r="I1440">
        <v>1</v>
      </c>
      <c r="J1440">
        <v>0</v>
      </c>
      <c r="K1440">
        <v>1</v>
      </c>
      <c r="L1440">
        <v>0</v>
      </c>
      <c r="M1440" t="s">
        <v>64</v>
      </c>
    </row>
    <row r="1441" spans="1:13" hidden="1" x14ac:dyDescent="0.15">
      <c r="A1441" t="s">
        <v>4610</v>
      </c>
      <c r="B1441" t="s">
        <v>4611</v>
      </c>
      <c r="C1441" t="s">
        <v>4612</v>
      </c>
      <c r="D1441" t="s">
        <v>4606</v>
      </c>
      <c r="E1441">
        <v>0</v>
      </c>
      <c r="F1441" t="str">
        <f>HYPERLINK("https://github.com/moneymanagerex/android-money-manager-ex/issues/708", "show")</f>
        <v>show</v>
      </c>
      <c r="G1441" t="str">
        <f>HYPERLINK("https://github.com/moneymanagerex/android-money-manager-ex", "show")</f>
        <v>show</v>
      </c>
      <c r="H1441" t="str">
        <f>HYPERLINK("https://github.com/moneymanagerex/android-money-manager-ex/releases", "show")</f>
        <v>show</v>
      </c>
      <c r="I1441">
        <v>1</v>
      </c>
      <c r="J1441">
        <v>0</v>
      </c>
      <c r="K1441">
        <v>1</v>
      </c>
      <c r="L1441">
        <v>0</v>
      </c>
      <c r="M1441" t="s">
        <v>64</v>
      </c>
    </row>
    <row r="1442" spans="1:13" hidden="1" x14ac:dyDescent="0.15">
      <c r="A1442" t="s">
        <v>4613</v>
      </c>
      <c r="B1442" t="s">
        <v>4614</v>
      </c>
      <c r="C1442" t="s">
        <v>4615</v>
      </c>
      <c r="D1442" t="s">
        <v>4606</v>
      </c>
      <c r="E1442">
        <v>7</v>
      </c>
      <c r="F1442" t="str">
        <f>HYPERLINK("https://github.com/Simicart/Android-core/issues/6", "show")</f>
        <v>show</v>
      </c>
      <c r="G1442" t="str">
        <f>HYPERLINK("https://github.com/Simicart/Android-core", "show")</f>
        <v>show</v>
      </c>
      <c r="H1442" t="str">
        <f>HYPERLINK("https://github.com/Simicart/Android-core/releases", "show")</f>
        <v>show</v>
      </c>
      <c r="I1442">
        <v>0</v>
      </c>
      <c r="J1442">
        <v>0</v>
      </c>
      <c r="K1442">
        <v>0</v>
      </c>
      <c r="L1442">
        <v>0</v>
      </c>
      <c r="M1442" t="s">
        <v>43</v>
      </c>
    </row>
    <row r="1443" spans="1:13" hidden="1" x14ac:dyDescent="0.15">
      <c r="A1443" t="s">
        <v>4616</v>
      </c>
      <c r="B1443" t="s">
        <v>4617</v>
      </c>
      <c r="C1443" t="s">
        <v>4618</v>
      </c>
      <c r="D1443" t="s">
        <v>4606</v>
      </c>
      <c r="E1443">
        <v>8</v>
      </c>
      <c r="F1443" t="str">
        <f>HYPERLINK("https://github.com/Harlber/Moose/issues/30", "show")</f>
        <v>show</v>
      </c>
      <c r="G1443" t="str">
        <f>HYPERLINK("https://github.com/Harlber/Moose", "show")</f>
        <v>show</v>
      </c>
      <c r="H1443" t="str">
        <f>HYPERLINK("https://github.com/Harlber/Moose/releases", "show")</f>
        <v>show</v>
      </c>
      <c r="I1443">
        <v>0</v>
      </c>
      <c r="J1443">
        <v>0</v>
      </c>
      <c r="K1443">
        <v>0</v>
      </c>
      <c r="L1443">
        <v>0</v>
      </c>
      <c r="M1443" t="s">
        <v>43</v>
      </c>
    </row>
    <row r="1444" spans="1:13" hidden="1" x14ac:dyDescent="0.15">
      <c r="A1444" t="s">
        <v>4619</v>
      </c>
      <c r="B1444" t="s">
        <v>4620</v>
      </c>
      <c r="C1444" t="s">
        <v>4621</v>
      </c>
      <c r="D1444" t="s">
        <v>4622</v>
      </c>
      <c r="E1444">
        <v>3</v>
      </c>
      <c r="F1444" t="str">
        <f>HYPERLINK("https://github.com/ac-pm/Inspeckage/issues/4", "show")</f>
        <v>show</v>
      </c>
      <c r="G1444" t="str">
        <f>HYPERLINK("https://github.com/ac-pm/Inspeckage", "show")</f>
        <v>show</v>
      </c>
      <c r="H1444" t="str">
        <f>HYPERLINK("https://github.com/ac-pm/Inspeckage/releases", "show")</f>
        <v>show</v>
      </c>
      <c r="I1444">
        <v>0</v>
      </c>
      <c r="J1444">
        <v>0</v>
      </c>
      <c r="K1444">
        <v>1</v>
      </c>
      <c r="L1444">
        <v>0</v>
      </c>
      <c r="M1444" t="s">
        <v>122</v>
      </c>
    </row>
    <row r="1445" spans="1:13" hidden="1" x14ac:dyDescent="0.15">
      <c r="A1445" t="s">
        <v>4623</v>
      </c>
      <c r="B1445" t="s">
        <v>4624</v>
      </c>
      <c r="C1445" t="s">
        <v>4625</v>
      </c>
      <c r="D1445" t="s">
        <v>4622</v>
      </c>
      <c r="E1445">
        <v>64</v>
      </c>
      <c r="F1445" t="str">
        <f>HYPERLINK("https://github.com/eclipse/paho.mqtt.android/issues/61", "show")</f>
        <v>show</v>
      </c>
      <c r="G1445" t="str">
        <f>HYPERLINK("https://github.com/eclipse/paho.mqtt.android", "show")</f>
        <v>show</v>
      </c>
      <c r="H1445" t="str">
        <f>HYPERLINK("https://github.com/eclipse/paho.mqtt.android/releases", "show")</f>
        <v>show</v>
      </c>
      <c r="I1445">
        <v>1</v>
      </c>
      <c r="J1445">
        <v>0</v>
      </c>
      <c r="K1445">
        <v>1</v>
      </c>
      <c r="L1445">
        <v>0</v>
      </c>
      <c r="M1445" t="s">
        <v>64</v>
      </c>
    </row>
    <row r="1446" spans="1:13" hidden="1" x14ac:dyDescent="0.15">
      <c r="A1446" t="s">
        <v>4626</v>
      </c>
      <c r="B1446" t="s">
        <v>4627</v>
      </c>
      <c r="C1446" t="s">
        <v>4628</v>
      </c>
      <c r="D1446" t="s">
        <v>4622</v>
      </c>
      <c r="E1446">
        <v>81</v>
      </c>
      <c r="F1446" t="str">
        <f>HYPERLINK("https://github.com/jonburney/KingsgateMediaPlayer-Android/issues/14", "show")</f>
        <v>show</v>
      </c>
      <c r="G1446" t="str">
        <f>HYPERLINK("https://github.com/jonburney/KingsgateMediaPlayer-Android", "show")</f>
        <v>show</v>
      </c>
      <c r="H1446" t="str">
        <f>HYPERLINK("https://github.com/jonburney/KingsgateMediaPlayer-Android/releases", "show")</f>
        <v>show</v>
      </c>
      <c r="I1446">
        <v>1</v>
      </c>
      <c r="J1446">
        <v>0</v>
      </c>
      <c r="K1446">
        <v>0</v>
      </c>
      <c r="L1446">
        <v>0</v>
      </c>
      <c r="M1446" t="s">
        <v>17</v>
      </c>
    </row>
    <row r="1447" spans="1:13" x14ac:dyDescent="0.15">
      <c r="A1447" t="s">
        <v>4629</v>
      </c>
      <c r="B1447" t="s">
        <v>4630</v>
      </c>
      <c r="C1447" t="s">
        <v>4631</v>
      </c>
      <c r="D1447" t="s">
        <v>4622</v>
      </c>
      <c r="E1447">
        <v>1259</v>
      </c>
      <c r="F1447" t="str">
        <f>HYPERLINK("https://github.com/UweTrottmann/SeriesGuide/issues/484", "show")</f>
        <v>show</v>
      </c>
      <c r="G1447" t="str">
        <f>HYPERLINK("https://github.com/UweTrottmann/SeriesGuide", "show")</f>
        <v>show</v>
      </c>
      <c r="H1447" t="str">
        <f>HYPERLINK("https://github.com/UweTrottmann/SeriesGuide/releases", "show")</f>
        <v>show</v>
      </c>
      <c r="I1447">
        <v>0</v>
      </c>
      <c r="J1447">
        <v>1</v>
      </c>
      <c r="K1447">
        <v>0</v>
      </c>
      <c r="L1447">
        <v>0</v>
      </c>
      <c r="M1447" t="s">
        <v>139</v>
      </c>
    </row>
    <row r="1448" spans="1:13" hidden="1" x14ac:dyDescent="0.15">
      <c r="A1448" t="s">
        <v>4632</v>
      </c>
      <c r="B1448" t="s">
        <v>4633</v>
      </c>
      <c r="C1448" t="s">
        <v>4634</v>
      </c>
      <c r="D1448" t="s">
        <v>4635</v>
      </c>
      <c r="E1448">
        <v>83</v>
      </c>
      <c r="F1448" t="str">
        <f>HYPERLINK("https://github.com/arimorty/floatingsearchview/issues/32", "show")</f>
        <v>show</v>
      </c>
      <c r="G1448" t="str">
        <f>HYPERLINK("https://github.com/arimorty/floatingsearchview", "show")</f>
        <v>show</v>
      </c>
      <c r="H1448" t="str">
        <f>HYPERLINK("https://github.com/arimorty/floatingsearchview/releases", "show")</f>
        <v>show</v>
      </c>
      <c r="I1448">
        <v>1</v>
      </c>
      <c r="J1448">
        <v>1</v>
      </c>
      <c r="K1448">
        <v>1</v>
      </c>
      <c r="L1448">
        <v>0</v>
      </c>
      <c r="M1448" t="s">
        <v>59</v>
      </c>
    </row>
    <row r="1449" spans="1:13" hidden="1" x14ac:dyDescent="0.15">
      <c r="A1449" t="s">
        <v>4636</v>
      </c>
      <c r="B1449" t="s">
        <v>4637</v>
      </c>
      <c r="C1449" t="s">
        <v>4638</v>
      </c>
      <c r="D1449" t="s">
        <v>4639</v>
      </c>
      <c r="E1449">
        <v>697</v>
      </c>
      <c r="F1449" t="str">
        <f>HYPERLINK("https://github.com/jMonkeyEngine/sdk/issues/11", "show")</f>
        <v>show</v>
      </c>
      <c r="G1449" t="str">
        <f>HYPERLINK("https://github.com/jMonkeyEngine/sdk", "show")</f>
        <v>show</v>
      </c>
      <c r="H1449" t="str">
        <f>HYPERLINK("https://github.com/jMonkeyEngine/sdk/releases", "show")</f>
        <v>show</v>
      </c>
      <c r="I1449">
        <v>1</v>
      </c>
      <c r="J1449">
        <v>0</v>
      </c>
      <c r="K1449">
        <v>0</v>
      </c>
      <c r="L1449">
        <v>0</v>
      </c>
      <c r="M1449" t="s">
        <v>17</v>
      </c>
    </row>
    <row r="1450" spans="1:13" hidden="1" x14ac:dyDescent="0.15">
      <c r="A1450" t="s">
        <v>4640</v>
      </c>
      <c r="B1450" t="s">
        <v>4641</v>
      </c>
      <c r="C1450" t="s">
        <v>4642</v>
      </c>
      <c r="D1450" t="s">
        <v>4639</v>
      </c>
      <c r="E1450">
        <v>1</v>
      </c>
      <c r="F1450" t="str">
        <f>HYPERLINK("https://github.com/cgeo/cgeo/issues/5505", "show")</f>
        <v>show</v>
      </c>
      <c r="G1450" t="str">
        <f>HYPERLINK("https://github.com/cgeo/cgeo", "show")</f>
        <v>show</v>
      </c>
      <c r="H1450" t="str">
        <f>HYPERLINK("https://github.com/cgeo/cgeo/releases", "show")</f>
        <v>show</v>
      </c>
      <c r="I1450">
        <v>1</v>
      </c>
      <c r="J1450">
        <v>0</v>
      </c>
      <c r="K1450">
        <v>0</v>
      </c>
      <c r="L1450">
        <v>0</v>
      </c>
      <c r="M1450" t="s">
        <v>17</v>
      </c>
    </row>
    <row r="1451" spans="1:13" hidden="1" x14ac:dyDescent="0.15">
      <c r="A1451" t="s">
        <v>4643</v>
      </c>
      <c r="B1451" t="s">
        <v>4644</v>
      </c>
      <c r="C1451" t="s">
        <v>4645</v>
      </c>
      <c r="D1451" t="s">
        <v>4639</v>
      </c>
      <c r="E1451">
        <v>39</v>
      </c>
      <c r="F1451" t="str">
        <f>HYPERLINK("https://github.com/gabrielemariotti/changeloglib/issues/31", "show")</f>
        <v>show</v>
      </c>
      <c r="G1451" t="str">
        <f>HYPERLINK("https://github.com/gabrielemariotti/changeloglib", "show")</f>
        <v>show</v>
      </c>
      <c r="H1451" t="str">
        <f>HYPERLINK("https://github.com/gabrielemariotti/changeloglib/releases", "show")</f>
        <v>show</v>
      </c>
      <c r="I1451">
        <v>0</v>
      </c>
      <c r="J1451">
        <v>0</v>
      </c>
      <c r="K1451">
        <v>1</v>
      </c>
      <c r="L1451">
        <v>0</v>
      </c>
      <c r="M1451" t="s">
        <v>122</v>
      </c>
    </row>
    <row r="1452" spans="1:13" hidden="1" x14ac:dyDescent="0.15">
      <c r="A1452" t="s">
        <v>4646</v>
      </c>
      <c r="B1452" t="s">
        <v>4647</v>
      </c>
      <c r="C1452" t="s">
        <v>4648</v>
      </c>
      <c r="D1452" t="s">
        <v>4649</v>
      </c>
      <c r="E1452">
        <v>5</v>
      </c>
      <c r="F1452" t="str">
        <f>HYPERLINK("https://github.com/thaliproject/Thali_CordovaPlugin_BtLibrary/issues/49", "show")</f>
        <v>show</v>
      </c>
      <c r="G1452" t="str">
        <f>HYPERLINK("https://github.com/thaliproject/Thali_CordovaPlugin_BtLibrary", "show")</f>
        <v>show</v>
      </c>
      <c r="H1452" t="str">
        <f>HYPERLINK("https://github.com/thaliproject/Thali_CordovaPlugin_BtLibrary/releases", "show")</f>
        <v>show</v>
      </c>
      <c r="I1452">
        <v>1</v>
      </c>
      <c r="J1452">
        <v>1</v>
      </c>
      <c r="K1452">
        <v>1</v>
      </c>
      <c r="L1452">
        <v>0</v>
      </c>
      <c r="M1452" t="s">
        <v>59</v>
      </c>
    </row>
    <row r="1453" spans="1:13" hidden="1" x14ac:dyDescent="0.15">
      <c r="A1453" t="s">
        <v>4650</v>
      </c>
      <c r="B1453" t="s">
        <v>4651</v>
      </c>
      <c r="C1453" t="s">
        <v>4652</v>
      </c>
      <c r="D1453" t="s">
        <v>4653</v>
      </c>
      <c r="E1453">
        <v>104</v>
      </c>
      <c r="F1453" t="str">
        <f>HYPERLINK("https://github.com/indication/OpenRedmine/issues/175", "show")</f>
        <v>show</v>
      </c>
      <c r="G1453" t="str">
        <f>HYPERLINK("https://github.com/indication/OpenRedmine", "show")</f>
        <v>show</v>
      </c>
      <c r="H1453" t="str">
        <f>HYPERLINK("https://github.com/indication/OpenRedmine/releases", "show")</f>
        <v>show</v>
      </c>
      <c r="I1453">
        <v>1</v>
      </c>
      <c r="J1453">
        <v>0</v>
      </c>
      <c r="K1453">
        <v>1</v>
      </c>
      <c r="L1453">
        <v>0</v>
      </c>
      <c r="M1453" t="s">
        <v>64</v>
      </c>
    </row>
    <row r="1454" spans="1:13" hidden="1" x14ac:dyDescent="0.15">
      <c r="A1454" t="s">
        <v>4654</v>
      </c>
      <c r="B1454" t="s">
        <v>4655</v>
      </c>
      <c r="D1454" t="s">
        <v>4653</v>
      </c>
      <c r="E1454">
        <v>2</v>
      </c>
      <c r="F1454" t="str">
        <f>HYPERLINK("https://github.com/SCCapstone/FitLivin/issues/46", "show")</f>
        <v>show</v>
      </c>
      <c r="G1454" t="str">
        <f>HYPERLINK("https://github.com/SCCapstone/FitLivin", "show")</f>
        <v>show</v>
      </c>
      <c r="H1454" t="str">
        <f>HYPERLINK("https://github.com/SCCapstone/FitLivin/releases", "show")</f>
        <v>show</v>
      </c>
      <c r="I1454">
        <v>1</v>
      </c>
      <c r="J1454">
        <v>0</v>
      </c>
      <c r="K1454">
        <v>0</v>
      </c>
      <c r="L1454">
        <v>0</v>
      </c>
      <c r="M1454" t="s">
        <v>17</v>
      </c>
    </row>
    <row r="1455" spans="1:13" hidden="1" x14ac:dyDescent="0.15">
      <c r="A1455" t="s">
        <v>4656</v>
      </c>
      <c r="B1455" t="s">
        <v>4657</v>
      </c>
      <c r="C1455" t="s">
        <v>4658</v>
      </c>
      <c r="D1455" t="s">
        <v>4653</v>
      </c>
      <c r="E1455">
        <v>1</v>
      </c>
      <c r="F1455" t="str">
        <f>HYPERLINK("https://github.com/SCCapstone/FitLivin/issues/43", "show")</f>
        <v>show</v>
      </c>
      <c r="G1455" t="str">
        <f>HYPERLINK("https://github.com/SCCapstone/FitLivin", "show")</f>
        <v>show</v>
      </c>
      <c r="H1455" t="str">
        <f>HYPERLINK("https://github.com/SCCapstone/FitLivin/releases", "show")</f>
        <v>show</v>
      </c>
      <c r="I1455">
        <v>1</v>
      </c>
      <c r="J1455">
        <v>0</v>
      </c>
      <c r="K1455">
        <v>0</v>
      </c>
      <c r="L1455">
        <v>0</v>
      </c>
      <c r="M1455" t="s">
        <v>17</v>
      </c>
    </row>
    <row r="1456" spans="1:13" hidden="1" x14ac:dyDescent="0.15">
      <c r="A1456" t="s">
        <v>4659</v>
      </c>
      <c r="B1456" t="s">
        <v>4660</v>
      </c>
      <c r="C1456" t="s">
        <v>4661</v>
      </c>
      <c r="D1456" t="s">
        <v>4653</v>
      </c>
      <c r="E1456">
        <v>3</v>
      </c>
      <c r="F1456" t="str">
        <f>HYPERLINK("https://github.com/SCCapstone/FitLivin/issues/41", "show")</f>
        <v>show</v>
      </c>
      <c r="G1456" t="str">
        <f>HYPERLINK("https://github.com/SCCapstone/FitLivin", "show")</f>
        <v>show</v>
      </c>
      <c r="H1456" t="str">
        <f>HYPERLINK("https://github.com/SCCapstone/FitLivin/releases", "show")</f>
        <v>show</v>
      </c>
      <c r="I1456">
        <v>1</v>
      </c>
      <c r="J1456">
        <v>0</v>
      </c>
      <c r="K1456">
        <v>0</v>
      </c>
      <c r="L1456">
        <v>0</v>
      </c>
      <c r="M1456" t="s">
        <v>17</v>
      </c>
    </row>
    <row r="1457" spans="1:13" hidden="1" x14ac:dyDescent="0.15">
      <c r="A1457" t="s">
        <v>4662</v>
      </c>
      <c r="B1457" t="s">
        <v>4663</v>
      </c>
      <c r="C1457" t="s">
        <v>4664</v>
      </c>
      <c r="D1457" t="s">
        <v>4653</v>
      </c>
      <c r="E1457">
        <v>14</v>
      </c>
      <c r="F1457" t="str">
        <f>HYPERLINK("https://github.com/SCCapstone/diet/issues/33", "show")</f>
        <v>show</v>
      </c>
      <c r="G1457" t="str">
        <f>HYPERLINK("https://github.com/SCCapstone/diet", "show")</f>
        <v>show</v>
      </c>
      <c r="H1457" t="str">
        <f>HYPERLINK("https://github.com/SCCapstone/diet/releases", "show")</f>
        <v>show</v>
      </c>
      <c r="I1457">
        <v>1</v>
      </c>
      <c r="J1457">
        <v>0</v>
      </c>
      <c r="K1457">
        <v>0</v>
      </c>
      <c r="L1457">
        <v>0</v>
      </c>
      <c r="M1457" t="s">
        <v>17</v>
      </c>
    </row>
    <row r="1458" spans="1:13" hidden="1" x14ac:dyDescent="0.15">
      <c r="A1458" t="s">
        <v>4665</v>
      </c>
      <c r="B1458" t="s">
        <v>4666</v>
      </c>
      <c r="D1458" t="s">
        <v>4653</v>
      </c>
      <c r="E1458">
        <v>0</v>
      </c>
      <c r="F1458" t="str">
        <f>HYPERLINK("https://github.com/SCCapstone/diet/issues/24", "show")</f>
        <v>show</v>
      </c>
      <c r="G1458" t="str">
        <f>HYPERLINK("https://github.com/SCCapstone/diet", "show")</f>
        <v>show</v>
      </c>
      <c r="H1458" t="str">
        <f>HYPERLINK("https://github.com/SCCapstone/diet/releases", "show")</f>
        <v>show</v>
      </c>
      <c r="I1458">
        <v>0</v>
      </c>
      <c r="J1458">
        <v>0</v>
      </c>
      <c r="K1458">
        <v>0</v>
      </c>
      <c r="L1458">
        <v>0</v>
      </c>
      <c r="M1458" t="s">
        <v>43</v>
      </c>
    </row>
    <row r="1459" spans="1:13" hidden="1" x14ac:dyDescent="0.15">
      <c r="A1459" t="s">
        <v>4667</v>
      </c>
      <c r="B1459" t="s">
        <v>4668</v>
      </c>
      <c r="D1459" t="s">
        <v>4653</v>
      </c>
      <c r="E1459">
        <v>16</v>
      </c>
      <c r="F1459" t="str">
        <f>HYPERLINK("https://github.com/SCCapstone/diet/issues/23", "show")</f>
        <v>show</v>
      </c>
      <c r="G1459" t="str">
        <f>HYPERLINK("https://github.com/SCCapstone/diet", "show")</f>
        <v>show</v>
      </c>
      <c r="H1459" t="str">
        <f>HYPERLINK("https://github.com/SCCapstone/diet/releases", "show")</f>
        <v>show</v>
      </c>
      <c r="I1459">
        <v>1</v>
      </c>
      <c r="J1459">
        <v>0</v>
      </c>
      <c r="K1459">
        <v>0</v>
      </c>
      <c r="L1459">
        <v>0</v>
      </c>
      <c r="M1459" t="s">
        <v>17</v>
      </c>
    </row>
    <row r="1460" spans="1:13" hidden="1" x14ac:dyDescent="0.15">
      <c r="A1460" t="s">
        <v>4669</v>
      </c>
      <c r="B1460" t="s">
        <v>4670</v>
      </c>
      <c r="C1460" t="s">
        <v>4671</v>
      </c>
      <c r="D1460" t="s">
        <v>4653</v>
      </c>
      <c r="E1460">
        <v>0</v>
      </c>
      <c r="F1460" t="str">
        <f>HYPERLINK("https://github.com/bitstadium/HockeySDK-Android/issues/139", "show")</f>
        <v>show</v>
      </c>
      <c r="G1460" t="str">
        <f>HYPERLINK("https://github.com/bitstadium/HockeySDK-Android", "show")</f>
        <v>show</v>
      </c>
      <c r="H1460" t="str">
        <f>HYPERLINK("https://github.com/bitstadium/HockeySDK-Android/releases", "show")</f>
        <v>show</v>
      </c>
      <c r="I1460">
        <v>1</v>
      </c>
      <c r="J1460">
        <v>0</v>
      </c>
      <c r="K1460">
        <v>0</v>
      </c>
      <c r="L1460">
        <v>0</v>
      </c>
      <c r="M1460" t="s">
        <v>17</v>
      </c>
    </row>
    <row r="1461" spans="1:13" hidden="1" x14ac:dyDescent="0.15">
      <c r="A1461" t="s">
        <v>4672</v>
      </c>
      <c r="B1461" t="s">
        <v>4673</v>
      </c>
      <c r="C1461" t="s">
        <v>4674</v>
      </c>
      <c r="D1461" t="s">
        <v>4653</v>
      </c>
      <c r="E1461">
        <v>282</v>
      </c>
      <c r="F1461" t="str">
        <f>HYPERLINK("https://github.com/aws-amplify/aws-sdk-android/issues/110", "show")</f>
        <v>show</v>
      </c>
      <c r="G1461" t="str">
        <f>HYPERLINK("https://github.com/aws-amplify/aws-sdk-android", "show")</f>
        <v>show</v>
      </c>
      <c r="H1461" t="str">
        <f>HYPERLINK("https://github.com/aws-amplify/aws-sdk-android/releases", "show")</f>
        <v>show</v>
      </c>
      <c r="I1461">
        <v>1</v>
      </c>
      <c r="J1461">
        <v>0</v>
      </c>
      <c r="K1461">
        <v>1</v>
      </c>
      <c r="L1461">
        <v>0</v>
      </c>
      <c r="M1461" t="s">
        <v>64</v>
      </c>
    </row>
    <row r="1462" spans="1:13" hidden="1" x14ac:dyDescent="0.15">
      <c r="A1462" t="s">
        <v>4675</v>
      </c>
      <c r="B1462" t="s">
        <v>119</v>
      </c>
      <c r="C1462" t="s">
        <v>4676</v>
      </c>
      <c r="D1462" t="s">
        <v>4653</v>
      </c>
      <c r="E1462">
        <v>144</v>
      </c>
      <c r="F1462" t="str">
        <f>HYPERLINK("https://github.com/danikula/AndroidVideoCache/issues/62", "show")</f>
        <v>show</v>
      </c>
      <c r="G1462" t="str">
        <f>HYPERLINK("https://github.com/danikula/AndroidVideoCache", "show")</f>
        <v>show</v>
      </c>
      <c r="H1462" t="str">
        <f>HYPERLINK("https://github.com/danikula/AndroidVideoCache/releases", "show")</f>
        <v>show</v>
      </c>
      <c r="I1462">
        <v>0</v>
      </c>
      <c r="J1462">
        <v>0</v>
      </c>
      <c r="K1462">
        <v>1</v>
      </c>
      <c r="L1462">
        <v>0</v>
      </c>
      <c r="M1462" t="s">
        <v>122</v>
      </c>
    </row>
    <row r="1463" spans="1:13" hidden="1" x14ac:dyDescent="0.15">
      <c r="A1463" t="s">
        <v>4677</v>
      </c>
      <c r="B1463" t="s">
        <v>4678</v>
      </c>
      <c r="C1463" t="s">
        <v>4679</v>
      </c>
      <c r="D1463" t="s">
        <v>4653</v>
      </c>
      <c r="E1463">
        <v>335</v>
      </c>
      <c r="F1463" t="str">
        <f>HYPERLINK("https://github.com/vanilla-music/vanilla/issues/298", "show")</f>
        <v>show</v>
      </c>
      <c r="G1463" t="str">
        <f>HYPERLINK("https://github.com/vanilla-music/vanilla", "show")</f>
        <v>show</v>
      </c>
      <c r="H1463" t="str">
        <f>HYPERLINK("https://github.com/vanilla-music/vanilla/releases", "show")</f>
        <v>show</v>
      </c>
      <c r="I1463">
        <v>0</v>
      </c>
      <c r="J1463">
        <v>0</v>
      </c>
      <c r="K1463">
        <v>1</v>
      </c>
      <c r="L1463">
        <v>0</v>
      </c>
      <c r="M1463" t="s">
        <v>122</v>
      </c>
    </row>
    <row r="1464" spans="1:13" hidden="1" x14ac:dyDescent="0.15">
      <c r="A1464" t="s">
        <v>4680</v>
      </c>
      <c r="B1464" t="s">
        <v>4681</v>
      </c>
      <c r="C1464" t="s">
        <v>4682</v>
      </c>
      <c r="D1464" t="s">
        <v>4683</v>
      </c>
      <c r="E1464">
        <v>1</v>
      </c>
      <c r="F1464" t="str">
        <f>HYPERLINK("https://github.com/Rajawali/Rajawali/issues/1600", "show")</f>
        <v>show</v>
      </c>
      <c r="G1464" t="str">
        <f>HYPERLINK("https://github.com/Rajawali/Rajawali", "show")</f>
        <v>show</v>
      </c>
      <c r="H1464" t="str">
        <f>HYPERLINK("https://github.com/Rajawali/Rajawali/releases", "show")</f>
        <v>show</v>
      </c>
      <c r="I1464">
        <v>0</v>
      </c>
      <c r="J1464">
        <v>0</v>
      </c>
      <c r="K1464">
        <v>0</v>
      </c>
      <c r="L1464">
        <v>0</v>
      </c>
      <c r="M1464" t="s">
        <v>43</v>
      </c>
    </row>
    <row r="1465" spans="1:13" hidden="1" x14ac:dyDescent="0.15">
      <c r="A1465" t="s">
        <v>4684</v>
      </c>
      <c r="B1465" t="s">
        <v>4685</v>
      </c>
      <c r="D1465" t="s">
        <v>4683</v>
      </c>
      <c r="E1465">
        <v>0</v>
      </c>
      <c r="F1465" t="str">
        <f>HYPERLINK("https://github.com/syncthing/syncthing-android/issues/580", "show")</f>
        <v>show</v>
      </c>
      <c r="G1465" t="str">
        <f>HYPERLINK("https://github.com/syncthing/syncthing-android", "show")</f>
        <v>show</v>
      </c>
      <c r="H1465" t="str">
        <f>HYPERLINK("https://github.com/syncthing/syncthing-android/releases", "show")</f>
        <v>show</v>
      </c>
      <c r="I1465">
        <v>1</v>
      </c>
      <c r="J1465">
        <v>0</v>
      </c>
      <c r="K1465">
        <v>0</v>
      </c>
      <c r="L1465">
        <v>0</v>
      </c>
      <c r="M1465" t="s">
        <v>17</v>
      </c>
    </row>
    <row r="1466" spans="1:13" hidden="1" x14ac:dyDescent="0.15">
      <c r="A1466" t="s">
        <v>4686</v>
      </c>
      <c r="B1466" t="s">
        <v>4687</v>
      </c>
      <c r="C1466" t="s">
        <v>4688</v>
      </c>
      <c r="D1466" t="s">
        <v>4683</v>
      </c>
      <c r="E1466">
        <v>4</v>
      </c>
      <c r="F1466" t="str">
        <f>HYPERLINK("https://github.com/a-songac/MapX390/issues/43", "show")</f>
        <v>show</v>
      </c>
      <c r="G1466" t="str">
        <f>HYPERLINK("https://github.com/a-songac/MapX390", "show")</f>
        <v>show</v>
      </c>
      <c r="H1466" t="str">
        <f>HYPERLINK("https://github.com/a-songac/MapX390/releases", "show")</f>
        <v>show</v>
      </c>
      <c r="I1466">
        <v>1</v>
      </c>
      <c r="J1466">
        <v>0</v>
      </c>
      <c r="K1466">
        <v>0</v>
      </c>
      <c r="L1466">
        <v>0</v>
      </c>
      <c r="M1466" t="s">
        <v>17</v>
      </c>
    </row>
    <row r="1467" spans="1:13" hidden="1" x14ac:dyDescent="0.15">
      <c r="A1467" t="s">
        <v>4689</v>
      </c>
      <c r="B1467" t="s">
        <v>4690</v>
      </c>
      <c r="C1467" t="s">
        <v>4691</v>
      </c>
      <c r="D1467" t="s">
        <v>4692</v>
      </c>
      <c r="E1467">
        <v>0</v>
      </c>
      <c r="F1467" t="str">
        <f>HYPERLINK("https://github.com/coomar2841/android-multipicker-library/issues/7", "show")</f>
        <v>show</v>
      </c>
      <c r="G1467" t="str">
        <f>HYPERLINK("https://github.com/coomar2841/android-multipicker-library", "show")</f>
        <v>show</v>
      </c>
      <c r="H1467" t="str">
        <f>HYPERLINK("https://github.com/coomar2841/android-multipicker-library/releases", "show")</f>
        <v>show</v>
      </c>
      <c r="I1467">
        <v>0</v>
      </c>
      <c r="J1467">
        <v>0</v>
      </c>
      <c r="K1467">
        <v>0</v>
      </c>
      <c r="L1467">
        <v>0</v>
      </c>
      <c r="M1467" t="s">
        <v>43</v>
      </c>
    </row>
    <row r="1468" spans="1:13" hidden="1" x14ac:dyDescent="0.15">
      <c r="A1468" t="s">
        <v>4693</v>
      </c>
      <c r="B1468" t="s">
        <v>4694</v>
      </c>
      <c r="C1468" t="s">
        <v>4695</v>
      </c>
      <c r="D1468" t="s">
        <v>4692</v>
      </c>
      <c r="E1468">
        <v>114</v>
      </c>
      <c r="F1468" t="str">
        <f>HYPERLINK("https://github.com/commons-app/apps-android-commons/issues/87", "show")</f>
        <v>show</v>
      </c>
      <c r="G1468" t="str">
        <f>HYPERLINK("https://github.com/commons-app/apps-android-commons", "show")</f>
        <v>show</v>
      </c>
      <c r="H1468" t="str">
        <f>HYPERLINK("https://github.com/commons-app/apps-android-commons/releases", "show")</f>
        <v>show</v>
      </c>
      <c r="I1468">
        <v>1</v>
      </c>
      <c r="J1468">
        <v>0</v>
      </c>
      <c r="K1468">
        <v>1</v>
      </c>
      <c r="L1468">
        <v>0</v>
      </c>
      <c r="M1468" t="s">
        <v>64</v>
      </c>
    </row>
    <row r="1469" spans="1:13" hidden="1" x14ac:dyDescent="0.15">
      <c r="A1469" t="s">
        <v>4696</v>
      </c>
      <c r="B1469" t="s">
        <v>4697</v>
      </c>
      <c r="C1469" t="s">
        <v>4698</v>
      </c>
      <c r="D1469" t="s">
        <v>4699</v>
      </c>
      <c r="E1469">
        <v>14</v>
      </c>
      <c r="F1469" t="str">
        <f>HYPERLINK("https://github.com/Freeyourgadget/Gadgetbridge/issues/249", "show")</f>
        <v>show</v>
      </c>
      <c r="G1469" t="str">
        <f>HYPERLINK("https://github.com/Freeyourgadget/Gadgetbridge", "show")</f>
        <v>show</v>
      </c>
      <c r="H1469" t="str">
        <f>HYPERLINK("https://github.com/Freeyourgadget/Gadgetbridge/releases", "show")</f>
        <v>show</v>
      </c>
      <c r="I1469">
        <v>1</v>
      </c>
      <c r="J1469">
        <v>1</v>
      </c>
      <c r="K1469">
        <v>0</v>
      </c>
      <c r="L1469">
        <v>0</v>
      </c>
      <c r="M1469" t="s">
        <v>48</v>
      </c>
    </row>
    <row r="1470" spans="1:13" hidden="1" x14ac:dyDescent="0.15">
      <c r="A1470" t="s">
        <v>4700</v>
      </c>
      <c r="B1470" t="s">
        <v>4701</v>
      </c>
      <c r="D1470" t="s">
        <v>4699</v>
      </c>
      <c r="E1470">
        <v>0</v>
      </c>
      <c r="F1470" t="str">
        <f>HYPERLINK("https://github.com/stefan-niedermann/nextcloud-notes/issues/102", "show")</f>
        <v>show</v>
      </c>
      <c r="G1470" t="str">
        <f>HYPERLINK("https://github.com/stefan-niedermann/nextcloud-notes", "show")</f>
        <v>show</v>
      </c>
      <c r="H1470" t="str">
        <f>HYPERLINK("https://github.com/stefan-niedermann/nextcloud-notes/releases", "show")</f>
        <v>show</v>
      </c>
      <c r="I1470">
        <v>1</v>
      </c>
      <c r="J1470">
        <v>0</v>
      </c>
      <c r="K1470">
        <v>0</v>
      </c>
      <c r="L1470">
        <v>0</v>
      </c>
      <c r="M1470" t="s">
        <v>17</v>
      </c>
    </row>
    <row r="1471" spans="1:13" hidden="1" x14ac:dyDescent="0.15">
      <c r="A1471" t="s">
        <v>4702</v>
      </c>
      <c r="B1471" t="s">
        <v>4703</v>
      </c>
      <c r="C1471" t="s">
        <v>4704</v>
      </c>
      <c r="D1471" t="s">
        <v>4699</v>
      </c>
      <c r="E1471">
        <v>208</v>
      </c>
      <c r="F1471" t="str">
        <f>HYPERLINK("https://github.com/Harlber/Moose/issues/34", "show")</f>
        <v>show</v>
      </c>
      <c r="G1471" t="str">
        <f>HYPERLINK("https://github.com/Harlber/Moose", "show")</f>
        <v>show</v>
      </c>
      <c r="H1471" t="str">
        <f>HYPERLINK("https://github.com/Harlber/Moose/releases", "show")</f>
        <v>show</v>
      </c>
      <c r="I1471">
        <v>0</v>
      </c>
      <c r="J1471">
        <v>0</v>
      </c>
      <c r="K1471">
        <v>0</v>
      </c>
      <c r="L1471">
        <v>0</v>
      </c>
      <c r="M1471" t="s">
        <v>43</v>
      </c>
    </row>
    <row r="1472" spans="1:13" hidden="1" x14ac:dyDescent="0.15">
      <c r="A1472" t="s">
        <v>4705</v>
      </c>
      <c r="B1472" t="s">
        <v>4706</v>
      </c>
      <c r="C1472" t="s">
        <v>4707</v>
      </c>
      <c r="D1472" t="s">
        <v>4708</v>
      </c>
      <c r="E1472">
        <v>0</v>
      </c>
      <c r="F1472" t="str">
        <f>HYPERLINK("https://github.com/IgorGee/Carbonizr/issues/29", "show")</f>
        <v>show</v>
      </c>
      <c r="G1472" t="str">
        <f>HYPERLINK("https://github.com/IgorGee/Carbonizr", "show")</f>
        <v>show</v>
      </c>
      <c r="H1472" t="str">
        <f>HYPERLINK("https://github.com/IgorGee/Carbonizr/releases", "show")</f>
        <v>show</v>
      </c>
      <c r="I1472">
        <v>1</v>
      </c>
      <c r="J1472">
        <v>0</v>
      </c>
      <c r="K1472">
        <v>0</v>
      </c>
      <c r="L1472">
        <v>0</v>
      </c>
      <c r="M1472" t="s">
        <v>17</v>
      </c>
    </row>
    <row r="1473" spans="1:13" hidden="1" x14ac:dyDescent="0.15">
      <c r="A1473" t="s">
        <v>4709</v>
      </c>
      <c r="B1473" t="s">
        <v>4710</v>
      </c>
      <c r="C1473" t="s">
        <v>4711</v>
      </c>
      <c r="D1473" t="s">
        <v>4708</v>
      </c>
      <c r="E1473">
        <v>20</v>
      </c>
      <c r="F1473" t="str">
        <f>HYPERLINK("https://github.com/OneDrive/onedrive-picker-android/issues/12", "show")</f>
        <v>show</v>
      </c>
      <c r="G1473" t="str">
        <f>HYPERLINK("https://github.com/OneDrive/onedrive-picker-android", "show")</f>
        <v>show</v>
      </c>
      <c r="H1473" t="str">
        <f>HYPERLINK("https://github.com/OneDrive/onedrive-picker-android/releases", "show")</f>
        <v>show</v>
      </c>
      <c r="I1473">
        <v>1</v>
      </c>
      <c r="J1473">
        <v>0</v>
      </c>
      <c r="K1473">
        <v>0</v>
      </c>
      <c r="L1473">
        <v>0</v>
      </c>
      <c r="M1473" t="s">
        <v>17</v>
      </c>
    </row>
    <row r="1474" spans="1:13" hidden="1" x14ac:dyDescent="0.15">
      <c r="A1474" t="s">
        <v>4712</v>
      </c>
      <c r="B1474" t="s">
        <v>4713</v>
      </c>
      <c r="C1474" t="s">
        <v>4714</v>
      </c>
      <c r="D1474" t="s">
        <v>4715</v>
      </c>
      <c r="E1474">
        <v>0</v>
      </c>
      <c r="F1474" t="str">
        <f>HYPERLINK("https://github.com/dimagi/commcare-android/issues/1127", "show")</f>
        <v>show</v>
      </c>
      <c r="G1474" t="str">
        <f>HYPERLINK("https://github.com/dimagi/commcare-android", "show")</f>
        <v>show</v>
      </c>
      <c r="H1474" t="str">
        <f>HYPERLINK("https://github.com/dimagi/commcare-android/releases", "show")</f>
        <v>show</v>
      </c>
      <c r="I1474">
        <v>1</v>
      </c>
      <c r="J1474">
        <v>0</v>
      </c>
      <c r="K1474">
        <v>0</v>
      </c>
      <c r="L1474">
        <v>0</v>
      </c>
      <c r="M1474" t="s">
        <v>17</v>
      </c>
    </row>
    <row r="1475" spans="1:13" hidden="1" x14ac:dyDescent="0.15">
      <c r="A1475" t="s">
        <v>4716</v>
      </c>
      <c r="B1475" t="s">
        <v>4717</v>
      </c>
      <c r="C1475" t="s">
        <v>4718</v>
      </c>
      <c r="D1475" t="s">
        <v>4719</v>
      </c>
      <c r="E1475">
        <v>18</v>
      </c>
      <c r="F1475" t="str">
        <f>HYPERLINK("https://github.com/fossasia/open-event-droidgen/issues/281", "show")</f>
        <v>show</v>
      </c>
      <c r="G1475" t="str">
        <f>HYPERLINK("https://github.com/fossasia/open-event-droidgen", "show")</f>
        <v>show</v>
      </c>
      <c r="H1475" t="str">
        <f>HYPERLINK("https://github.com/fossasia/open-event-droidgen/releases", "show")</f>
        <v>show</v>
      </c>
      <c r="I1475">
        <v>1</v>
      </c>
      <c r="J1475">
        <v>0</v>
      </c>
      <c r="K1475">
        <v>0</v>
      </c>
      <c r="L1475">
        <v>0</v>
      </c>
      <c r="M1475" t="s">
        <v>17</v>
      </c>
    </row>
    <row r="1476" spans="1:13" hidden="1" x14ac:dyDescent="0.15">
      <c r="A1476" t="s">
        <v>4720</v>
      </c>
      <c r="B1476" t="s">
        <v>4721</v>
      </c>
      <c r="C1476" t="s">
        <v>4722</v>
      </c>
      <c r="D1476" t="s">
        <v>4723</v>
      </c>
      <c r="E1476">
        <v>1</v>
      </c>
      <c r="F1476" t="str">
        <f>HYPERLINK("https://github.com/dimagi/commcare-android/issues/1134", "show")</f>
        <v>show</v>
      </c>
      <c r="G1476" t="str">
        <f>HYPERLINK("https://github.com/dimagi/commcare-android", "show")</f>
        <v>show</v>
      </c>
      <c r="H1476" t="str">
        <f>HYPERLINK("https://github.com/dimagi/commcare-android/releases", "show")</f>
        <v>show</v>
      </c>
      <c r="I1476">
        <v>1</v>
      </c>
      <c r="J1476">
        <v>0</v>
      </c>
      <c r="K1476">
        <v>0</v>
      </c>
      <c r="L1476">
        <v>0</v>
      </c>
      <c r="M1476" t="s">
        <v>17</v>
      </c>
    </row>
    <row r="1477" spans="1:13" hidden="1" x14ac:dyDescent="0.15">
      <c r="A1477" t="s">
        <v>4724</v>
      </c>
      <c r="B1477" t="s">
        <v>4725</v>
      </c>
      <c r="C1477" t="s">
        <v>4726</v>
      </c>
      <c r="D1477" t="s">
        <v>4723</v>
      </c>
      <c r="E1477">
        <v>5</v>
      </c>
      <c r="F1477" t="str">
        <f>HYPERLINK("https://github.com/a-songac/MapX390/issues/56", "show")</f>
        <v>show</v>
      </c>
      <c r="G1477" t="str">
        <f>HYPERLINK("https://github.com/a-songac/MapX390", "show")</f>
        <v>show</v>
      </c>
      <c r="H1477" t="str">
        <f>HYPERLINK("https://github.com/a-songac/MapX390/releases", "show")</f>
        <v>show</v>
      </c>
      <c r="I1477">
        <v>1</v>
      </c>
      <c r="J1477">
        <v>0</v>
      </c>
      <c r="K1477">
        <v>0</v>
      </c>
      <c r="L1477">
        <v>0</v>
      </c>
      <c r="M1477" t="s">
        <v>17</v>
      </c>
    </row>
    <row r="1478" spans="1:13" hidden="1" x14ac:dyDescent="0.15">
      <c r="A1478" t="s">
        <v>4727</v>
      </c>
      <c r="B1478" t="s">
        <v>4728</v>
      </c>
      <c r="C1478" t="s">
        <v>4729</v>
      </c>
      <c r="D1478" t="s">
        <v>4723</v>
      </c>
      <c r="E1478">
        <v>2</v>
      </c>
      <c r="F1478" t="str">
        <f>HYPERLINK("https://github.com/Karumi/Dexter/issues/50", "show")</f>
        <v>show</v>
      </c>
      <c r="G1478" t="str">
        <f>HYPERLINK("https://github.com/Karumi/Dexter", "show")</f>
        <v>show</v>
      </c>
      <c r="H1478" t="str">
        <f>HYPERLINK("https://github.com/Karumi/Dexter/releases", "show")</f>
        <v>show</v>
      </c>
      <c r="I1478">
        <v>1</v>
      </c>
      <c r="J1478">
        <v>0</v>
      </c>
      <c r="K1478">
        <v>1</v>
      </c>
      <c r="L1478">
        <v>0</v>
      </c>
      <c r="M1478" t="s">
        <v>64</v>
      </c>
    </row>
    <row r="1479" spans="1:13" hidden="1" x14ac:dyDescent="0.15">
      <c r="A1479" t="s">
        <v>4730</v>
      </c>
      <c r="B1479" t="s">
        <v>4731</v>
      </c>
      <c r="C1479" t="s">
        <v>4732</v>
      </c>
      <c r="D1479" t="s">
        <v>4723</v>
      </c>
      <c r="E1479">
        <v>2</v>
      </c>
      <c r="F1479" t="str">
        <f>HYPERLINK("https://github.com/zhuowei/MCPELauncher/issues/776", "show")</f>
        <v>show</v>
      </c>
      <c r="G1479" t="str">
        <f>HYPERLINK("https://github.com/zhuowei/MCPELauncher", "show")</f>
        <v>show</v>
      </c>
      <c r="H1479" t="str">
        <f>HYPERLINK("https://github.com/zhuowei/MCPELauncher/releases", "show")</f>
        <v>show</v>
      </c>
      <c r="I1479">
        <v>0</v>
      </c>
      <c r="J1479">
        <v>0</v>
      </c>
      <c r="K1479">
        <v>0</v>
      </c>
      <c r="L1479">
        <v>0</v>
      </c>
      <c r="M1479" t="s">
        <v>43</v>
      </c>
    </row>
    <row r="1480" spans="1:13" hidden="1" x14ac:dyDescent="0.15">
      <c r="A1480" t="s">
        <v>4733</v>
      </c>
      <c r="B1480" t="s">
        <v>4734</v>
      </c>
      <c r="C1480" t="s">
        <v>4735</v>
      </c>
      <c r="D1480" t="s">
        <v>4723</v>
      </c>
      <c r="E1480">
        <v>25</v>
      </c>
      <c r="F1480" t="str">
        <f>HYPERLINK("https://github.com/ResearchStack/ResearchStack/issues/66", "show")</f>
        <v>show</v>
      </c>
      <c r="G1480" t="str">
        <f>HYPERLINK("https://github.com/ResearchStack/ResearchStack", "show")</f>
        <v>show</v>
      </c>
      <c r="H1480" t="str">
        <f>HYPERLINK("https://github.com/ResearchStack/ResearchStack/releases", "show")</f>
        <v>show</v>
      </c>
      <c r="I1480">
        <v>1</v>
      </c>
      <c r="J1480">
        <v>0</v>
      </c>
      <c r="K1480">
        <v>1</v>
      </c>
      <c r="L1480">
        <v>0</v>
      </c>
      <c r="M1480" t="s">
        <v>64</v>
      </c>
    </row>
    <row r="1481" spans="1:13" x14ac:dyDescent="0.15">
      <c r="A1481" t="s">
        <v>4736</v>
      </c>
      <c r="B1481" t="s">
        <v>4737</v>
      </c>
      <c r="C1481" t="s">
        <v>4738</v>
      </c>
      <c r="D1481" t="s">
        <v>4723</v>
      </c>
      <c r="E1481">
        <v>0</v>
      </c>
      <c r="F1481" t="str">
        <f>HYPERLINK("https://github.com/k9mail/k-9/issues/1176", "show")</f>
        <v>show</v>
      </c>
      <c r="G1481" t="str">
        <f>HYPERLINK("https://github.com/k9mail/k-9", "show")</f>
        <v>show</v>
      </c>
      <c r="H1481" t="str">
        <f>HYPERLINK("https://github.com/k9mail/k-9/releases", "show")</f>
        <v>show</v>
      </c>
      <c r="I1481">
        <v>0</v>
      </c>
      <c r="J1481">
        <v>1</v>
      </c>
      <c r="K1481">
        <v>0</v>
      </c>
      <c r="L1481">
        <v>0</v>
      </c>
      <c r="M1481" t="s">
        <v>139</v>
      </c>
    </row>
    <row r="1482" spans="1:13" hidden="1" x14ac:dyDescent="0.15">
      <c r="A1482" t="s">
        <v>4739</v>
      </c>
      <c r="B1482" t="s">
        <v>4740</v>
      </c>
      <c r="C1482" t="s">
        <v>4741</v>
      </c>
      <c r="D1482" t="s">
        <v>4723</v>
      </c>
      <c r="E1482">
        <v>1</v>
      </c>
      <c r="F1482" t="str">
        <f>HYPERLINK("https://github.com/alhazmy13/HijriDatePicker/issues/10", "show")</f>
        <v>show</v>
      </c>
      <c r="G1482" t="str">
        <f>HYPERLINK("https://github.com/alhazmy13/HijriDatePicker", "show")</f>
        <v>show</v>
      </c>
      <c r="H1482" t="str">
        <f>HYPERLINK("https://github.com/alhazmy13/HijriDatePicker/releases", "show")</f>
        <v>show</v>
      </c>
      <c r="I1482">
        <v>0</v>
      </c>
      <c r="J1482">
        <v>0</v>
      </c>
      <c r="K1482">
        <v>0</v>
      </c>
      <c r="L1482">
        <v>0</v>
      </c>
      <c r="M1482" t="s">
        <v>43</v>
      </c>
    </row>
    <row r="1483" spans="1:13" hidden="1" x14ac:dyDescent="0.15">
      <c r="A1483" t="s">
        <v>4742</v>
      </c>
      <c r="B1483" t="s">
        <v>4743</v>
      </c>
      <c r="C1483" t="s">
        <v>4744</v>
      </c>
      <c r="D1483" t="s">
        <v>4745</v>
      </c>
      <c r="E1483">
        <v>24</v>
      </c>
      <c r="F1483" t="str">
        <f>HYPERLINK("https://github.com/google/blockly-android/issues/122", "show")</f>
        <v>show</v>
      </c>
      <c r="G1483" t="str">
        <f>HYPERLINK("https://github.com/google/blockly-android", "show")</f>
        <v>show</v>
      </c>
      <c r="H1483" t="str">
        <f>HYPERLINK("https://github.com/google/blockly-android/releases", "show")</f>
        <v>show</v>
      </c>
      <c r="I1483">
        <v>1</v>
      </c>
      <c r="J1483">
        <v>0</v>
      </c>
      <c r="K1483">
        <v>1</v>
      </c>
      <c r="L1483">
        <v>0</v>
      </c>
      <c r="M1483" t="s">
        <v>64</v>
      </c>
    </row>
    <row r="1484" spans="1:13" hidden="1" x14ac:dyDescent="0.15">
      <c r="A1484" t="s">
        <v>4746</v>
      </c>
      <c r="B1484" t="s">
        <v>4747</v>
      </c>
      <c r="C1484" t="s">
        <v>4748</v>
      </c>
      <c r="D1484" t="s">
        <v>4745</v>
      </c>
      <c r="E1484">
        <v>0</v>
      </c>
      <c r="F1484" t="str">
        <f>HYPERLINK("https://github.com/OneBusAway/onebusaway-android/issues/441", "show")</f>
        <v>show</v>
      </c>
      <c r="G1484" t="str">
        <f>HYPERLINK("https://github.com/OneBusAway/onebusaway-android", "show")</f>
        <v>show</v>
      </c>
      <c r="H1484" t="str">
        <f>HYPERLINK("https://github.com/OneBusAway/onebusaway-android/releases", "show")</f>
        <v>show</v>
      </c>
      <c r="I1484">
        <v>1</v>
      </c>
      <c r="J1484">
        <v>0</v>
      </c>
      <c r="K1484">
        <v>1</v>
      </c>
      <c r="L1484">
        <v>0</v>
      </c>
      <c r="M1484" t="s">
        <v>64</v>
      </c>
    </row>
    <row r="1485" spans="1:13" hidden="1" x14ac:dyDescent="0.15">
      <c r="A1485" t="s">
        <v>4749</v>
      </c>
      <c r="B1485" t="s">
        <v>4750</v>
      </c>
      <c r="C1485" t="s">
        <v>4751</v>
      </c>
      <c r="D1485" t="s">
        <v>4745</v>
      </c>
      <c r="E1485">
        <v>72</v>
      </c>
      <c r="F1485" t="str">
        <f>HYPERLINK("https://github.com/OneBusAway/onebusaway-android/issues/440", "show")</f>
        <v>show</v>
      </c>
      <c r="G1485" t="str">
        <f>HYPERLINK("https://github.com/OneBusAway/onebusaway-android", "show")</f>
        <v>show</v>
      </c>
      <c r="H1485" t="str">
        <f>HYPERLINK("https://github.com/OneBusAway/onebusaway-android/releases", "show")</f>
        <v>show</v>
      </c>
      <c r="I1485">
        <v>1</v>
      </c>
      <c r="J1485">
        <v>0</v>
      </c>
      <c r="K1485">
        <v>1</v>
      </c>
      <c r="L1485">
        <v>0</v>
      </c>
      <c r="M1485" t="s">
        <v>64</v>
      </c>
    </row>
    <row r="1486" spans="1:13" hidden="1" x14ac:dyDescent="0.15">
      <c r="A1486" t="s">
        <v>4752</v>
      </c>
      <c r="B1486" t="s">
        <v>4753</v>
      </c>
      <c r="D1486" t="s">
        <v>4745</v>
      </c>
      <c r="E1486">
        <v>1</v>
      </c>
      <c r="F1486" t="str">
        <f>HYPERLINK("https://github.com/inaturalist/iNaturalistAndroid/issues/141", "show")</f>
        <v>show</v>
      </c>
      <c r="G1486" t="str">
        <f>HYPERLINK("https://github.com/inaturalist/iNaturalistAndroid", "show")</f>
        <v>show</v>
      </c>
      <c r="H1486" t="str">
        <f>HYPERLINK("https://github.com/inaturalist/iNaturalistAndroid/releases", "show")</f>
        <v>show</v>
      </c>
      <c r="I1486">
        <v>0</v>
      </c>
      <c r="J1486">
        <v>0</v>
      </c>
      <c r="K1486">
        <v>1</v>
      </c>
      <c r="L1486">
        <v>0</v>
      </c>
      <c r="M1486" t="s">
        <v>122</v>
      </c>
    </row>
    <row r="1487" spans="1:13" hidden="1" x14ac:dyDescent="0.15">
      <c r="A1487" t="s">
        <v>4754</v>
      </c>
      <c r="B1487" t="s">
        <v>4755</v>
      </c>
      <c r="C1487" t="s">
        <v>4756</v>
      </c>
      <c r="D1487" t="s">
        <v>4745</v>
      </c>
      <c r="E1487">
        <v>0</v>
      </c>
      <c r="F1487" t="str">
        <f>HYPERLINK("https://github.com/nextcloud/news-android/issues/502", "show")</f>
        <v>show</v>
      </c>
      <c r="G1487" t="str">
        <f>HYPERLINK("https://github.com/nextcloud/news-android", "show")</f>
        <v>show</v>
      </c>
      <c r="H1487" t="str">
        <f>HYPERLINK("https://github.com/nextcloud/news-android/releases", "show")</f>
        <v>show</v>
      </c>
      <c r="I1487">
        <v>1</v>
      </c>
      <c r="J1487">
        <v>0</v>
      </c>
      <c r="K1487">
        <v>0</v>
      </c>
      <c r="L1487">
        <v>0</v>
      </c>
      <c r="M1487" t="s">
        <v>17</v>
      </c>
    </row>
    <row r="1488" spans="1:13" hidden="1" x14ac:dyDescent="0.15">
      <c r="A1488" t="s">
        <v>4757</v>
      </c>
      <c r="B1488" t="s">
        <v>4758</v>
      </c>
      <c r="C1488" t="s">
        <v>504</v>
      </c>
      <c r="D1488" t="s">
        <v>4745</v>
      </c>
      <c r="E1488">
        <v>10</v>
      </c>
      <c r="F1488" t="str">
        <f>HYPERLINK("https://github.com/hidroh/materialistic/issues/394", "show")</f>
        <v>show</v>
      </c>
      <c r="G1488" t="str">
        <f>HYPERLINK("https://github.com/hidroh/materialistic", "show")</f>
        <v>show</v>
      </c>
      <c r="H1488" t="str">
        <f>HYPERLINK("https://github.com/hidroh/materialistic/releases", "show")</f>
        <v>show</v>
      </c>
      <c r="I1488">
        <v>1</v>
      </c>
      <c r="J1488">
        <v>0</v>
      </c>
      <c r="K1488">
        <v>0</v>
      </c>
      <c r="L1488">
        <v>0</v>
      </c>
      <c r="M1488" t="s">
        <v>17</v>
      </c>
    </row>
    <row r="1489" spans="1:13" hidden="1" x14ac:dyDescent="0.15">
      <c r="A1489" t="s">
        <v>4759</v>
      </c>
      <c r="B1489" t="s">
        <v>4760</v>
      </c>
      <c r="C1489" t="s">
        <v>4761</v>
      </c>
      <c r="D1489" t="s">
        <v>4745</v>
      </c>
      <c r="E1489">
        <v>1234</v>
      </c>
      <c r="F1489" t="str">
        <f>HYPERLINK("https://github.com/VoiSmart/pjsip-android/issues/2", "show")</f>
        <v>show</v>
      </c>
      <c r="G1489" t="str">
        <f>HYPERLINK("https://github.com/VoiSmart/pjsip-android", "show")</f>
        <v>show</v>
      </c>
      <c r="H1489" t="str">
        <f>HYPERLINK("https://github.com/VoiSmart/pjsip-android/releases", "show")</f>
        <v>show</v>
      </c>
      <c r="I1489">
        <v>0</v>
      </c>
      <c r="J1489">
        <v>0</v>
      </c>
      <c r="K1489">
        <v>0</v>
      </c>
      <c r="L1489">
        <v>0</v>
      </c>
      <c r="M1489" t="s">
        <v>43</v>
      </c>
    </row>
    <row r="1490" spans="1:13" hidden="1" x14ac:dyDescent="0.15">
      <c r="A1490" t="s">
        <v>4762</v>
      </c>
      <c r="B1490" t="s">
        <v>4763</v>
      </c>
      <c r="C1490" t="s">
        <v>4764</v>
      </c>
      <c r="D1490" t="s">
        <v>4765</v>
      </c>
      <c r="E1490">
        <v>4</v>
      </c>
      <c r="F1490" t="str">
        <f>HYPERLINK("https://github.com/canelmas/let/issues/5", "show")</f>
        <v>show</v>
      </c>
      <c r="G1490" t="str">
        <f>HYPERLINK("https://github.com/canelmas/let", "show")</f>
        <v>show</v>
      </c>
      <c r="H1490" t="str">
        <f>HYPERLINK("https://github.com/canelmas/let/releases", "show")</f>
        <v>show</v>
      </c>
      <c r="I1490">
        <v>1</v>
      </c>
      <c r="J1490">
        <v>0</v>
      </c>
      <c r="K1490">
        <v>0</v>
      </c>
      <c r="L1490">
        <v>0</v>
      </c>
      <c r="M1490" t="s">
        <v>17</v>
      </c>
    </row>
    <row r="1491" spans="1:13" hidden="1" x14ac:dyDescent="0.15">
      <c r="A1491" t="s">
        <v>4766</v>
      </c>
      <c r="B1491" t="s">
        <v>4767</v>
      </c>
      <c r="D1491" t="s">
        <v>4765</v>
      </c>
      <c r="E1491">
        <v>0</v>
      </c>
      <c r="F1491" t="str">
        <f>HYPERLINK("https://github.com/vector-im/riot-android/issues/37", "show")</f>
        <v>show</v>
      </c>
      <c r="G1491" t="str">
        <f>HYPERLINK("https://github.com/vector-im/riot-android", "show")</f>
        <v>show</v>
      </c>
      <c r="H1491" t="str">
        <f>HYPERLINK("https://github.com/vector-im/riot-android/releases", "show")</f>
        <v>show</v>
      </c>
      <c r="I1491">
        <v>0</v>
      </c>
      <c r="J1491">
        <v>0</v>
      </c>
      <c r="K1491">
        <v>0</v>
      </c>
      <c r="L1491">
        <v>0</v>
      </c>
      <c r="M1491" t="s">
        <v>43</v>
      </c>
    </row>
    <row r="1492" spans="1:13" hidden="1" x14ac:dyDescent="0.15">
      <c r="A1492" t="s">
        <v>4768</v>
      </c>
      <c r="B1492" t="s">
        <v>4769</v>
      </c>
      <c r="C1492" t="s">
        <v>4770</v>
      </c>
      <c r="D1492" t="s">
        <v>4765</v>
      </c>
      <c r="E1492">
        <v>15</v>
      </c>
      <c r="F1492" t="str">
        <f>HYPERLINK("https://github.com/aws-amplify/aws-sdk-android/issues/113", "show")</f>
        <v>show</v>
      </c>
      <c r="G1492" t="str">
        <f>HYPERLINK("https://github.com/aws-amplify/aws-sdk-android", "show")</f>
        <v>show</v>
      </c>
      <c r="H1492" t="str">
        <f>HYPERLINK("https://github.com/aws-amplify/aws-sdk-android/releases", "show")</f>
        <v>show</v>
      </c>
      <c r="I1492">
        <v>1</v>
      </c>
      <c r="J1492">
        <v>0</v>
      </c>
      <c r="K1492">
        <v>1</v>
      </c>
      <c r="L1492">
        <v>0</v>
      </c>
      <c r="M1492" t="s">
        <v>64</v>
      </c>
    </row>
    <row r="1493" spans="1:13" hidden="1" x14ac:dyDescent="0.15">
      <c r="A1493" t="s">
        <v>4771</v>
      </c>
      <c r="B1493" t="s">
        <v>4772</v>
      </c>
      <c r="C1493" t="s">
        <v>4773</v>
      </c>
      <c r="D1493" t="s">
        <v>4765</v>
      </c>
      <c r="E1493">
        <v>1</v>
      </c>
      <c r="F1493" t="str">
        <f>HYPERLINK("https://github.com/gdg-x/frisbee/issues/581", "show")</f>
        <v>show</v>
      </c>
      <c r="G1493" t="str">
        <f>HYPERLINK("https://github.com/gdg-x/frisbee", "show")</f>
        <v>show</v>
      </c>
      <c r="H1493" t="str">
        <f>HYPERLINK("https://github.com/gdg-x/frisbee/releases", "show")</f>
        <v>show</v>
      </c>
      <c r="I1493">
        <v>1</v>
      </c>
      <c r="J1493">
        <v>0</v>
      </c>
      <c r="K1493">
        <v>1</v>
      </c>
      <c r="L1493">
        <v>0</v>
      </c>
      <c r="M1493" t="s">
        <v>64</v>
      </c>
    </row>
    <row r="1494" spans="1:13" hidden="1" x14ac:dyDescent="0.15">
      <c r="A1494" t="s">
        <v>4774</v>
      </c>
      <c r="B1494" t="s">
        <v>141</v>
      </c>
      <c r="C1494" t="s">
        <v>4775</v>
      </c>
      <c r="D1494" t="s">
        <v>4776</v>
      </c>
      <c r="E1494">
        <v>130</v>
      </c>
      <c r="F1494" t="str">
        <f>HYPERLINK("https://github.com/pedrovgs/Lynx/issues/18", "show")</f>
        <v>show</v>
      </c>
      <c r="G1494" t="str">
        <f>HYPERLINK("https://github.com/pedrovgs/Lynx", "show")</f>
        <v>show</v>
      </c>
      <c r="H1494" t="str">
        <f>HYPERLINK("https://github.com/pedrovgs/Lynx/releases", "show")</f>
        <v>show</v>
      </c>
      <c r="I1494">
        <v>1</v>
      </c>
      <c r="J1494">
        <v>0</v>
      </c>
      <c r="K1494">
        <v>1</v>
      </c>
      <c r="L1494">
        <v>0</v>
      </c>
      <c r="M1494" t="s">
        <v>64</v>
      </c>
    </row>
    <row r="1495" spans="1:13" hidden="1" x14ac:dyDescent="0.15">
      <c r="A1495" t="s">
        <v>4777</v>
      </c>
      <c r="B1495" t="s">
        <v>4778</v>
      </c>
      <c r="C1495" t="s">
        <v>4779</v>
      </c>
      <c r="D1495" t="s">
        <v>4776</v>
      </c>
      <c r="E1495">
        <v>1</v>
      </c>
      <c r="F1495" t="str">
        <f>HYPERLINK("https://github.com/gdg-x/frisbee/issues/583", "show")</f>
        <v>show</v>
      </c>
      <c r="G1495" t="str">
        <f>HYPERLINK("https://github.com/gdg-x/frisbee", "show")</f>
        <v>show</v>
      </c>
      <c r="H1495" t="str">
        <f>HYPERLINK("https://github.com/gdg-x/frisbee/releases", "show")</f>
        <v>show</v>
      </c>
      <c r="I1495">
        <v>1</v>
      </c>
      <c r="J1495">
        <v>0</v>
      </c>
      <c r="K1495">
        <v>0</v>
      </c>
      <c r="L1495">
        <v>0</v>
      </c>
      <c r="M1495" t="s">
        <v>17</v>
      </c>
    </row>
    <row r="1496" spans="1:13" hidden="1" x14ac:dyDescent="0.15">
      <c r="A1496" t="s">
        <v>4780</v>
      </c>
      <c r="B1496" t="s">
        <v>4781</v>
      </c>
      <c r="C1496" t="s">
        <v>4782</v>
      </c>
      <c r="D1496" t="s">
        <v>4783</v>
      </c>
      <c r="E1496">
        <v>0</v>
      </c>
      <c r="F1496" t="str">
        <f>HYPERLINK("https://github.com/inaturalist/iNaturalistAndroid/issues/145", "show")</f>
        <v>show</v>
      </c>
      <c r="G1496" t="str">
        <f>HYPERLINK("https://github.com/inaturalist/iNaturalistAndroid", "show")</f>
        <v>show</v>
      </c>
      <c r="H1496" t="str">
        <f>HYPERLINK("https://github.com/inaturalist/iNaturalistAndroid/releases", "show")</f>
        <v>show</v>
      </c>
      <c r="I1496">
        <v>0</v>
      </c>
      <c r="J1496">
        <v>0</v>
      </c>
      <c r="K1496">
        <v>1</v>
      </c>
      <c r="L1496">
        <v>0</v>
      </c>
      <c r="M1496" t="s">
        <v>122</v>
      </c>
    </row>
    <row r="1497" spans="1:13" hidden="1" x14ac:dyDescent="0.15">
      <c r="A1497" t="s">
        <v>4784</v>
      </c>
      <c r="B1497" t="s">
        <v>4785</v>
      </c>
      <c r="D1497" t="s">
        <v>4783</v>
      </c>
      <c r="E1497">
        <v>0</v>
      </c>
      <c r="F1497" t="str">
        <f>HYPERLINK("https://github.com/ZieIony/Carbon/issues/215", "show")</f>
        <v>show</v>
      </c>
      <c r="G1497" t="str">
        <f>HYPERLINK("https://github.com/ZieIony/Carbon", "show")</f>
        <v>show</v>
      </c>
      <c r="H1497" t="str">
        <f>HYPERLINK("https://github.com/ZieIony/Carbon/releases", "show")</f>
        <v>show</v>
      </c>
      <c r="I1497">
        <v>1</v>
      </c>
      <c r="J1497">
        <v>0</v>
      </c>
      <c r="K1497">
        <v>0</v>
      </c>
      <c r="L1497">
        <v>0</v>
      </c>
      <c r="M1497" t="s">
        <v>17</v>
      </c>
    </row>
    <row r="1498" spans="1:13" hidden="1" x14ac:dyDescent="0.15">
      <c r="A1498" t="s">
        <v>4786</v>
      </c>
      <c r="B1498" t="s">
        <v>4787</v>
      </c>
      <c r="C1498" t="s">
        <v>4788</v>
      </c>
      <c r="D1498" t="s">
        <v>4783</v>
      </c>
      <c r="E1498">
        <v>0</v>
      </c>
      <c r="F1498" t="str">
        <f>HYPERLINK("https://github.com/dimagi/commcare-android/issues/1143", "show")</f>
        <v>show</v>
      </c>
      <c r="G1498" t="str">
        <f>HYPERLINK("https://github.com/dimagi/commcare-android", "show")</f>
        <v>show</v>
      </c>
      <c r="H1498" t="str">
        <f>HYPERLINK("https://github.com/dimagi/commcare-android/releases", "show")</f>
        <v>show</v>
      </c>
      <c r="I1498">
        <v>1</v>
      </c>
      <c r="J1498">
        <v>0</v>
      </c>
      <c r="K1498">
        <v>0</v>
      </c>
      <c r="L1498">
        <v>0</v>
      </c>
      <c r="M1498" t="s">
        <v>17</v>
      </c>
    </row>
    <row r="1499" spans="1:13" hidden="1" x14ac:dyDescent="0.15">
      <c r="A1499" t="s">
        <v>4789</v>
      </c>
      <c r="B1499" t="s">
        <v>4790</v>
      </c>
      <c r="C1499" t="s">
        <v>4791</v>
      </c>
      <c r="D1499" t="s">
        <v>4783</v>
      </c>
      <c r="E1499">
        <v>0</v>
      </c>
      <c r="F1499" t="str">
        <f>HYPERLINK("https://github.com/dimagi/commcare-android/issues/1142", "show")</f>
        <v>show</v>
      </c>
      <c r="G1499" t="str">
        <f>HYPERLINK("https://github.com/dimagi/commcare-android", "show")</f>
        <v>show</v>
      </c>
      <c r="H1499" t="str">
        <f>HYPERLINK("https://github.com/dimagi/commcare-android/releases", "show")</f>
        <v>show</v>
      </c>
      <c r="I1499">
        <v>0</v>
      </c>
      <c r="J1499">
        <v>0</v>
      </c>
      <c r="K1499">
        <v>0</v>
      </c>
      <c r="L1499">
        <v>0</v>
      </c>
      <c r="M1499" t="s">
        <v>43</v>
      </c>
    </row>
    <row r="1500" spans="1:13" hidden="1" x14ac:dyDescent="0.15">
      <c r="A1500" t="s">
        <v>4792</v>
      </c>
      <c r="B1500" t="s">
        <v>4793</v>
      </c>
      <c r="C1500" t="s">
        <v>4794</v>
      </c>
      <c r="D1500" t="s">
        <v>4783</v>
      </c>
      <c r="E1500">
        <v>3</v>
      </c>
      <c r="F1500" t="str">
        <f>HYPERLINK("https://github.com/erickok/ratebeer/issues/10", "show")</f>
        <v>show</v>
      </c>
      <c r="G1500" t="str">
        <f>HYPERLINK("https://github.com/erickok/ratebeer", "show")</f>
        <v>show</v>
      </c>
      <c r="H1500" t="str">
        <f>HYPERLINK("https://github.com/erickok/ratebeer/releases", "show")</f>
        <v>show</v>
      </c>
      <c r="I1500">
        <v>1</v>
      </c>
      <c r="J1500">
        <v>0</v>
      </c>
      <c r="K1500">
        <v>0</v>
      </c>
      <c r="L1500">
        <v>0</v>
      </c>
      <c r="M1500" t="s">
        <v>17</v>
      </c>
    </row>
    <row r="1501" spans="1:13" hidden="1" x14ac:dyDescent="0.15">
      <c r="A1501" t="s">
        <v>4795</v>
      </c>
      <c r="B1501" t="s">
        <v>4796</v>
      </c>
      <c r="C1501" t="s">
        <v>4797</v>
      </c>
      <c r="D1501" t="s">
        <v>4783</v>
      </c>
      <c r="E1501">
        <v>0</v>
      </c>
      <c r="F1501" t="str">
        <f>HYPERLINK("https://github.com/dimagi/commcare-android/issues/1140", "show")</f>
        <v>show</v>
      </c>
      <c r="G1501" t="str">
        <f>HYPERLINK("https://github.com/dimagi/commcare-android", "show")</f>
        <v>show</v>
      </c>
      <c r="H1501" t="str">
        <f>HYPERLINK("https://github.com/dimagi/commcare-android/releases", "show")</f>
        <v>show</v>
      </c>
      <c r="I1501">
        <v>1</v>
      </c>
      <c r="J1501">
        <v>0</v>
      </c>
      <c r="K1501">
        <v>1</v>
      </c>
      <c r="L1501">
        <v>0</v>
      </c>
      <c r="M1501" t="s">
        <v>64</v>
      </c>
    </row>
    <row r="1502" spans="1:13" hidden="1" x14ac:dyDescent="0.15">
      <c r="A1502" t="s">
        <v>4798</v>
      </c>
      <c r="B1502" t="s">
        <v>4799</v>
      </c>
      <c r="C1502" t="s">
        <v>4800</v>
      </c>
      <c r="D1502" t="s">
        <v>4801</v>
      </c>
      <c r="E1502">
        <v>1</v>
      </c>
      <c r="F1502" t="str">
        <f>HYPERLINK("https://github.com/nbossard/packlist/issues/18", "show")</f>
        <v>show</v>
      </c>
      <c r="G1502" t="str">
        <f>HYPERLINK("https://github.com/nbossard/packlist", "show")</f>
        <v>show</v>
      </c>
      <c r="H1502" t="str">
        <f>HYPERLINK("https://github.com/nbossard/packlist/releases", "show")</f>
        <v>show</v>
      </c>
      <c r="I1502">
        <v>1</v>
      </c>
      <c r="J1502">
        <v>0</v>
      </c>
      <c r="K1502">
        <v>0</v>
      </c>
      <c r="L1502">
        <v>0</v>
      </c>
      <c r="M1502" t="s">
        <v>17</v>
      </c>
    </row>
    <row r="1503" spans="1:13" hidden="1" x14ac:dyDescent="0.15">
      <c r="A1503" t="s">
        <v>4802</v>
      </c>
      <c r="B1503" t="s">
        <v>4803</v>
      </c>
      <c r="C1503" t="s">
        <v>4804</v>
      </c>
      <c r="D1503" t="s">
        <v>4801</v>
      </c>
      <c r="E1503">
        <v>0</v>
      </c>
      <c r="F1503" t="str">
        <f>HYPERLINK("https://github.com/alter-ego/androidbound/issues/8", "show")</f>
        <v>show</v>
      </c>
      <c r="G1503" t="str">
        <f>HYPERLINK("https://github.com/alter-ego/androidbound", "show")</f>
        <v>show</v>
      </c>
      <c r="H1503" t="str">
        <f>HYPERLINK("https://github.com/alter-ego/androidbound/releases", "show")</f>
        <v>show</v>
      </c>
      <c r="I1503">
        <v>1</v>
      </c>
      <c r="J1503">
        <v>0</v>
      </c>
      <c r="K1503">
        <v>1</v>
      </c>
      <c r="L1503">
        <v>0</v>
      </c>
      <c r="M1503" t="s">
        <v>64</v>
      </c>
    </row>
    <row r="1504" spans="1:13" hidden="1" x14ac:dyDescent="0.15">
      <c r="A1504" t="s">
        <v>4805</v>
      </c>
      <c r="B1504" t="s">
        <v>4806</v>
      </c>
      <c r="C1504" t="s">
        <v>4807</v>
      </c>
      <c r="D1504" t="s">
        <v>4801</v>
      </c>
      <c r="E1504">
        <v>0</v>
      </c>
      <c r="F1504" t="str">
        <f>HYPERLINK("https://github.com/SCCapstone/5chords/issues/61", "show")</f>
        <v>show</v>
      </c>
      <c r="G1504" t="str">
        <f>HYPERLINK("https://github.com/SCCapstone/5chords", "show")</f>
        <v>show</v>
      </c>
      <c r="H1504" t="str">
        <f>HYPERLINK("https://github.com/SCCapstone/5chords/releases", "show")</f>
        <v>show</v>
      </c>
      <c r="I1504">
        <v>1</v>
      </c>
      <c r="J1504">
        <v>0</v>
      </c>
      <c r="K1504">
        <v>0</v>
      </c>
      <c r="L1504">
        <v>0</v>
      </c>
      <c r="M1504" t="s">
        <v>17</v>
      </c>
    </row>
    <row r="1505" spans="1:13" hidden="1" x14ac:dyDescent="0.15">
      <c r="A1505" t="s">
        <v>4808</v>
      </c>
      <c r="B1505" t="s">
        <v>4809</v>
      </c>
      <c r="C1505" t="s">
        <v>4810</v>
      </c>
      <c r="D1505" t="s">
        <v>4801</v>
      </c>
      <c r="E1505">
        <v>2</v>
      </c>
      <c r="F1505" t="str">
        <f>HYPERLINK("https://github.com/gdg-x/frisbee/issues/595", "show")</f>
        <v>show</v>
      </c>
      <c r="G1505" t="str">
        <f>HYPERLINK("https://github.com/gdg-x/frisbee", "show")</f>
        <v>show</v>
      </c>
      <c r="H1505" t="str">
        <f>HYPERLINK("https://github.com/gdg-x/frisbee/releases", "show")</f>
        <v>show</v>
      </c>
      <c r="I1505">
        <v>1</v>
      </c>
      <c r="J1505">
        <v>0</v>
      </c>
      <c r="K1505">
        <v>0</v>
      </c>
      <c r="L1505">
        <v>0</v>
      </c>
      <c r="M1505" t="s">
        <v>17</v>
      </c>
    </row>
    <row r="1506" spans="1:13" hidden="1" x14ac:dyDescent="0.15">
      <c r="A1506" t="s">
        <v>4811</v>
      </c>
      <c r="B1506" t="s">
        <v>4812</v>
      </c>
      <c r="C1506" t="s">
        <v>4813</v>
      </c>
      <c r="D1506" t="s">
        <v>4814</v>
      </c>
      <c r="E1506">
        <v>1129</v>
      </c>
      <c r="F1506" t="str">
        <f>HYPERLINK("https://github.com/cgeo/cgeo/issues/5551", "show")</f>
        <v>show</v>
      </c>
      <c r="G1506" t="str">
        <f>HYPERLINK("https://github.com/cgeo/cgeo", "show")</f>
        <v>show</v>
      </c>
      <c r="H1506" t="str">
        <f>HYPERLINK("https://github.com/cgeo/cgeo/releases", "show")</f>
        <v>show</v>
      </c>
      <c r="I1506">
        <v>1</v>
      </c>
      <c r="J1506">
        <v>1</v>
      </c>
      <c r="K1506">
        <v>0</v>
      </c>
      <c r="L1506">
        <v>0</v>
      </c>
      <c r="M1506" t="s">
        <v>48</v>
      </c>
    </row>
    <row r="1507" spans="1:13" hidden="1" x14ac:dyDescent="0.15">
      <c r="A1507" t="s">
        <v>4815</v>
      </c>
      <c r="B1507" t="s">
        <v>4816</v>
      </c>
      <c r="C1507" t="s">
        <v>4817</v>
      </c>
      <c r="D1507" t="s">
        <v>4814</v>
      </c>
      <c r="E1507">
        <v>949</v>
      </c>
      <c r="F1507" t="str">
        <f>HYPERLINK("https://github.com/Rajawali/Rajawali/issues/1629", "show")</f>
        <v>show</v>
      </c>
      <c r="G1507" t="str">
        <f>HYPERLINK("https://github.com/Rajawali/Rajawali", "show")</f>
        <v>show</v>
      </c>
      <c r="H1507" t="str">
        <f>HYPERLINK("https://github.com/Rajawali/Rajawali/releases", "show")</f>
        <v>show</v>
      </c>
      <c r="I1507">
        <v>0</v>
      </c>
      <c r="J1507">
        <v>0</v>
      </c>
      <c r="K1507">
        <v>0</v>
      </c>
      <c r="L1507">
        <v>0</v>
      </c>
      <c r="M1507" t="s">
        <v>43</v>
      </c>
    </row>
    <row r="1508" spans="1:13" hidden="1" x14ac:dyDescent="0.15">
      <c r="A1508" t="s">
        <v>4818</v>
      </c>
      <c r="B1508" t="s">
        <v>4819</v>
      </c>
      <c r="C1508" t="s">
        <v>4820</v>
      </c>
      <c r="D1508" t="s">
        <v>4814</v>
      </c>
      <c r="E1508">
        <v>0</v>
      </c>
      <c r="F1508" t="str">
        <f>HYPERLINK("https://github.com/cgeo/cgeo/issues/5549", "show")</f>
        <v>show</v>
      </c>
      <c r="G1508" t="str">
        <f>HYPERLINK("https://github.com/cgeo/cgeo", "show")</f>
        <v>show</v>
      </c>
      <c r="H1508" t="str">
        <f>HYPERLINK("https://github.com/cgeo/cgeo/releases", "show")</f>
        <v>show</v>
      </c>
      <c r="I1508">
        <v>0</v>
      </c>
      <c r="J1508">
        <v>0</v>
      </c>
      <c r="K1508">
        <v>1</v>
      </c>
      <c r="L1508">
        <v>0</v>
      </c>
      <c r="M1508" t="s">
        <v>122</v>
      </c>
    </row>
    <row r="1509" spans="1:13" hidden="1" x14ac:dyDescent="0.15">
      <c r="A1509" t="s">
        <v>4821</v>
      </c>
      <c r="B1509" t="s">
        <v>4822</v>
      </c>
      <c r="C1509" t="s">
        <v>4823</v>
      </c>
      <c r="D1509" t="s">
        <v>4824</v>
      </c>
      <c r="E1509">
        <v>1</v>
      </c>
      <c r="F1509" t="str">
        <f>HYPERLINK("https://github.com/dimagi/commcare-android/issues/1149", "show")</f>
        <v>show</v>
      </c>
      <c r="G1509" t="str">
        <f>HYPERLINK("https://github.com/dimagi/commcare-android", "show")</f>
        <v>show</v>
      </c>
      <c r="H1509" t="str">
        <f>HYPERLINK("https://github.com/dimagi/commcare-android/releases", "show")</f>
        <v>show</v>
      </c>
      <c r="I1509">
        <v>1</v>
      </c>
      <c r="J1509">
        <v>1</v>
      </c>
      <c r="K1509">
        <v>0</v>
      </c>
      <c r="L1509">
        <v>0</v>
      </c>
      <c r="M1509" t="s">
        <v>48</v>
      </c>
    </row>
    <row r="1510" spans="1:13" hidden="1" x14ac:dyDescent="0.15">
      <c r="A1510" t="s">
        <v>4825</v>
      </c>
      <c r="B1510" t="s">
        <v>4826</v>
      </c>
      <c r="C1510" t="s">
        <v>4827</v>
      </c>
      <c r="D1510" t="s">
        <v>4824</v>
      </c>
      <c r="E1510">
        <v>17</v>
      </c>
      <c r="F1510" t="str">
        <f>HYPERLINK("https://github.com/google/blockly-android/issues/142", "show")</f>
        <v>show</v>
      </c>
      <c r="G1510" t="str">
        <f>HYPERLINK("https://github.com/google/blockly-android", "show")</f>
        <v>show</v>
      </c>
      <c r="H1510" t="str">
        <f>HYPERLINK("https://github.com/google/blockly-android/releases", "show")</f>
        <v>show</v>
      </c>
      <c r="I1510">
        <v>1</v>
      </c>
      <c r="J1510">
        <v>0</v>
      </c>
      <c r="K1510">
        <v>0</v>
      </c>
      <c r="L1510">
        <v>0</v>
      </c>
      <c r="M1510" t="s">
        <v>17</v>
      </c>
    </row>
    <row r="1511" spans="1:13" hidden="1" x14ac:dyDescent="0.15">
      <c r="A1511" t="s">
        <v>4828</v>
      </c>
      <c r="B1511" t="s">
        <v>4829</v>
      </c>
      <c r="C1511" t="s">
        <v>4830</v>
      </c>
      <c r="D1511" t="s">
        <v>4824</v>
      </c>
      <c r="E1511">
        <v>161</v>
      </c>
      <c r="F1511" t="str">
        <f>HYPERLINK("https://github.com/k9mail/k-9/issues/1201", "show")</f>
        <v>show</v>
      </c>
      <c r="G1511" t="str">
        <f>HYPERLINK("https://github.com/k9mail/k-9", "show")</f>
        <v>show</v>
      </c>
      <c r="H1511" t="str">
        <f>HYPERLINK("https://github.com/k9mail/k-9/releases", "show")</f>
        <v>show</v>
      </c>
      <c r="I1511">
        <v>1</v>
      </c>
      <c r="J1511">
        <v>0</v>
      </c>
      <c r="K1511">
        <v>1</v>
      </c>
      <c r="L1511">
        <v>0</v>
      </c>
      <c r="M1511" t="s">
        <v>64</v>
      </c>
    </row>
    <row r="1512" spans="1:13" hidden="1" x14ac:dyDescent="0.15">
      <c r="A1512" t="s">
        <v>4831</v>
      </c>
      <c r="B1512" t="s">
        <v>4832</v>
      </c>
      <c r="C1512" t="s">
        <v>4833</v>
      </c>
      <c r="D1512" t="s">
        <v>4824</v>
      </c>
      <c r="E1512">
        <v>1</v>
      </c>
      <c r="F1512" t="str">
        <f>HYPERLINK("https://github.com/JakeLane/Toffeed/issues/33", "show")</f>
        <v>show</v>
      </c>
      <c r="G1512" t="str">
        <f>HYPERLINK("https://github.com/JakeLane/Toffeed", "show")</f>
        <v>show</v>
      </c>
      <c r="H1512" t="str">
        <f>HYPERLINK("https://github.com/JakeLane/Toffeed/releases", "show")</f>
        <v>show</v>
      </c>
      <c r="I1512">
        <v>1</v>
      </c>
      <c r="J1512">
        <v>0</v>
      </c>
      <c r="K1512">
        <v>0</v>
      </c>
      <c r="L1512">
        <v>0</v>
      </c>
      <c r="M1512" t="s">
        <v>17</v>
      </c>
    </row>
    <row r="1513" spans="1:13" hidden="1" x14ac:dyDescent="0.15">
      <c r="A1513" t="s">
        <v>4834</v>
      </c>
      <c r="B1513" t="s">
        <v>4835</v>
      </c>
      <c r="C1513" t="s">
        <v>4836</v>
      </c>
      <c r="D1513" t="s">
        <v>4837</v>
      </c>
      <c r="E1513">
        <v>1693</v>
      </c>
      <c r="F1513" t="str">
        <f>HYPERLINK("https://github.com/nextcloud/news-android/issues/508", "show")</f>
        <v>show</v>
      </c>
      <c r="G1513" t="str">
        <f>HYPERLINK("https://github.com/nextcloud/news-android", "show")</f>
        <v>show</v>
      </c>
      <c r="H1513" t="str">
        <f>HYPERLINK("https://github.com/nextcloud/news-android/releases", "show")</f>
        <v>show</v>
      </c>
      <c r="I1513">
        <v>1</v>
      </c>
      <c r="J1513">
        <v>0</v>
      </c>
      <c r="K1513">
        <v>0</v>
      </c>
      <c r="L1513">
        <v>0</v>
      </c>
      <c r="M1513" t="s">
        <v>17</v>
      </c>
    </row>
    <row r="1514" spans="1:13" hidden="1" x14ac:dyDescent="0.15">
      <c r="A1514" t="s">
        <v>4838</v>
      </c>
      <c r="B1514" t="s">
        <v>4839</v>
      </c>
      <c r="C1514" t="s">
        <v>4840</v>
      </c>
      <c r="D1514" t="s">
        <v>4837</v>
      </c>
      <c r="E1514">
        <v>269</v>
      </c>
      <c r="F1514" t="str">
        <f>HYPERLINK("https://github.com/turing-tech/MaterialScrollBar/issues/33", "show")</f>
        <v>show</v>
      </c>
      <c r="G1514" t="str">
        <f>HYPERLINK("https://github.com/turing-tech/MaterialScrollBar", "show")</f>
        <v>show</v>
      </c>
      <c r="H1514" t="str">
        <f>HYPERLINK("https://github.com/turing-tech/MaterialScrollBar/releases", "show")</f>
        <v>show</v>
      </c>
      <c r="I1514">
        <v>0</v>
      </c>
      <c r="J1514">
        <v>0</v>
      </c>
      <c r="K1514">
        <v>0</v>
      </c>
      <c r="L1514">
        <v>0</v>
      </c>
      <c r="M1514" t="s">
        <v>43</v>
      </c>
    </row>
    <row r="1515" spans="1:13" hidden="1" x14ac:dyDescent="0.15">
      <c r="A1515" t="s">
        <v>4841</v>
      </c>
      <c r="B1515" t="s">
        <v>4842</v>
      </c>
      <c r="C1515" t="s">
        <v>4843</v>
      </c>
      <c r="D1515" t="s">
        <v>4837</v>
      </c>
      <c r="E1515">
        <v>110</v>
      </c>
      <c r="F1515" t="str">
        <f>HYPERLINK("https://github.com/OpenTreeMap/otm-android/issues/258", "show")</f>
        <v>show</v>
      </c>
      <c r="G1515" t="str">
        <f>HYPERLINK("https://github.com/OpenTreeMap/otm-android", "show")</f>
        <v>show</v>
      </c>
      <c r="H1515" t="str">
        <f>HYPERLINK("https://github.com/OpenTreeMap/otm-android/releases", "show")</f>
        <v>show</v>
      </c>
      <c r="I1515">
        <v>1</v>
      </c>
      <c r="J1515">
        <v>0</v>
      </c>
      <c r="K1515">
        <v>0</v>
      </c>
      <c r="L1515">
        <v>0</v>
      </c>
      <c r="M1515" t="s">
        <v>17</v>
      </c>
    </row>
    <row r="1516" spans="1:13" hidden="1" x14ac:dyDescent="0.15">
      <c r="A1516" t="s">
        <v>4844</v>
      </c>
      <c r="B1516" t="s">
        <v>4845</v>
      </c>
      <c r="C1516" t="s">
        <v>4846</v>
      </c>
      <c r="D1516" t="s">
        <v>4837</v>
      </c>
      <c r="E1516">
        <v>0</v>
      </c>
      <c r="F1516" t="str">
        <f>HYPERLINK("https://github.com/forcedotcom/SalesforceMobileSDK-Android/issues/1088", "show")</f>
        <v>show</v>
      </c>
      <c r="G1516" t="str">
        <f>HYPERLINK("https://github.com/forcedotcom/SalesforceMobileSDK-Android", "show")</f>
        <v>show</v>
      </c>
      <c r="H1516" t="str">
        <f>HYPERLINK("https://github.com/forcedotcom/SalesforceMobileSDK-Android/releases", "show")</f>
        <v>show</v>
      </c>
      <c r="I1516">
        <v>1</v>
      </c>
      <c r="J1516">
        <v>0</v>
      </c>
      <c r="K1516">
        <v>1</v>
      </c>
      <c r="L1516">
        <v>0</v>
      </c>
      <c r="M1516" t="s">
        <v>64</v>
      </c>
    </row>
    <row r="1517" spans="1:13" hidden="1" x14ac:dyDescent="0.15">
      <c r="A1517" t="s">
        <v>4847</v>
      </c>
      <c r="B1517" t="s">
        <v>4848</v>
      </c>
      <c r="C1517" t="s">
        <v>4849</v>
      </c>
      <c r="D1517" t="s">
        <v>4850</v>
      </c>
      <c r="E1517">
        <v>73</v>
      </c>
      <c r="F1517" t="str">
        <f>HYPERLINK("https://github.com/deercoder/FitbitApp/issues/4", "show")</f>
        <v>show</v>
      </c>
      <c r="G1517" t="str">
        <f>HYPERLINK("https://github.com/deercoder/FitbitApp", "show")</f>
        <v>show</v>
      </c>
      <c r="H1517" t="str">
        <f>HYPERLINK("https://github.com/deercoder/FitbitApp/releases", "show")</f>
        <v>show</v>
      </c>
      <c r="I1517">
        <v>0</v>
      </c>
      <c r="J1517">
        <v>0</v>
      </c>
      <c r="K1517">
        <v>1</v>
      </c>
      <c r="L1517">
        <v>0</v>
      </c>
      <c r="M1517" t="s">
        <v>122</v>
      </c>
    </row>
    <row r="1518" spans="1:13" hidden="1" x14ac:dyDescent="0.15">
      <c r="A1518" t="s">
        <v>4851</v>
      </c>
      <c r="B1518" t="s">
        <v>4852</v>
      </c>
      <c r="D1518" t="s">
        <v>4850</v>
      </c>
      <c r="E1518">
        <v>4</v>
      </c>
      <c r="F1518" t="str">
        <f>HYPERLINK("https://github.com/bvolkmer/Markdown-Notes/issues/41", "show")</f>
        <v>show</v>
      </c>
      <c r="G1518" t="str">
        <f>HYPERLINK("https://github.com/bvolkmer/Markdown-Notes", "show")</f>
        <v>show</v>
      </c>
      <c r="H1518" t="str">
        <f>HYPERLINK("https://github.com/bvolkmer/Markdown-Notes/releases", "show")</f>
        <v>show</v>
      </c>
      <c r="I1518">
        <v>1</v>
      </c>
      <c r="J1518">
        <v>0</v>
      </c>
      <c r="K1518">
        <v>0</v>
      </c>
      <c r="L1518">
        <v>0</v>
      </c>
      <c r="M1518" t="s">
        <v>17</v>
      </c>
    </row>
    <row r="1519" spans="1:13" hidden="1" x14ac:dyDescent="0.15">
      <c r="A1519" t="s">
        <v>4853</v>
      </c>
      <c r="B1519" t="s">
        <v>4854</v>
      </c>
      <c r="C1519" t="s">
        <v>4855</v>
      </c>
      <c r="D1519" t="s">
        <v>4850</v>
      </c>
      <c r="E1519">
        <v>2</v>
      </c>
      <c r="F1519" t="str">
        <f>HYPERLINK("https://github.com/CellularPrivacy/Android-IMSI-Catcher-Detector/issues/822", "show")</f>
        <v>show</v>
      </c>
      <c r="G1519" t="str">
        <f>HYPERLINK("https://github.com/CellularPrivacy/Android-IMSI-Catcher-Detector", "show")</f>
        <v>show</v>
      </c>
      <c r="H1519" t="str">
        <f>HYPERLINK("https://github.com/CellularPrivacy/Android-IMSI-Catcher-Detector/releases", "show")</f>
        <v>show</v>
      </c>
      <c r="I1519">
        <v>1</v>
      </c>
      <c r="J1519">
        <v>1</v>
      </c>
      <c r="K1519">
        <v>0</v>
      </c>
      <c r="L1519">
        <v>0</v>
      </c>
      <c r="M1519" t="s">
        <v>48</v>
      </c>
    </row>
    <row r="1520" spans="1:13" hidden="1" x14ac:dyDescent="0.15">
      <c r="A1520" t="s">
        <v>4856</v>
      </c>
      <c r="B1520" t="s">
        <v>4857</v>
      </c>
      <c r="C1520" t="s">
        <v>4858</v>
      </c>
      <c r="D1520" t="s">
        <v>4850</v>
      </c>
      <c r="E1520">
        <v>0</v>
      </c>
      <c r="F1520" t="str">
        <f>HYPERLINK("https://github.com/bvolkmer/Markdown-Notes/issues/40", "show")</f>
        <v>show</v>
      </c>
      <c r="G1520" t="str">
        <f>HYPERLINK("https://github.com/bvolkmer/Markdown-Notes", "show")</f>
        <v>show</v>
      </c>
      <c r="H1520" t="str">
        <f>HYPERLINK("https://github.com/bvolkmer/Markdown-Notes/releases", "show")</f>
        <v>show</v>
      </c>
      <c r="I1520">
        <v>1</v>
      </c>
      <c r="J1520">
        <v>0</v>
      </c>
      <c r="K1520">
        <v>0</v>
      </c>
      <c r="L1520">
        <v>0</v>
      </c>
      <c r="M1520" t="s">
        <v>17</v>
      </c>
    </row>
    <row r="1521" spans="1:13" hidden="1" x14ac:dyDescent="0.15">
      <c r="A1521" t="s">
        <v>4859</v>
      </c>
      <c r="B1521" t="s">
        <v>4860</v>
      </c>
      <c r="D1521" t="s">
        <v>4850</v>
      </c>
      <c r="E1521">
        <v>11</v>
      </c>
      <c r="F1521" t="str">
        <f>HYPERLINK("https://github.com/IvoGoman/Diabetes-App/issues/19", "show")</f>
        <v>show</v>
      </c>
      <c r="G1521" t="str">
        <f>HYPERLINK("https://github.com/IvoGoman/Diabetes-App", "show")</f>
        <v>show</v>
      </c>
      <c r="H1521" t="str">
        <f>HYPERLINK("https://github.com/IvoGoman/Diabetes-App/releases", "show")</f>
        <v>show</v>
      </c>
      <c r="I1521">
        <v>1</v>
      </c>
      <c r="J1521">
        <v>0</v>
      </c>
      <c r="K1521">
        <v>1</v>
      </c>
      <c r="L1521">
        <v>0</v>
      </c>
      <c r="M1521" t="s">
        <v>64</v>
      </c>
    </row>
    <row r="1522" spans="1:13" hidden="1" x14ac:dyDescent="0.15">
      <c r="A1522" t="s">
        <v>4861</v>
      </c>
      <c r="B1522" t="s">
        <v>4862</v>
      </c>
      <c r="C1522" t="s">
        <v>4863</v>
      </c>
      <c r="D1522" t="s">
        <v>4850</v>
      </c>
      <c r="E1522">
        <v>1</v>
      </c>
      <c r="F1522" t="str">
        <f>HYPERLINK("https://github.com/IvoGoman/Diabetes-App/issues/18", "show")</f>
        <v>show</v>
      </c>
      <c r="G1522" t="str">
        <f>HYPERLINK("https://github.com/IvoGoman/Diabetes-App", "show")</f>
        <v>show</v>
      </c>
      <c r="H1522" t="str">
        <f>HYPERLINK("https://github.com/IvoGoman/Diabetes-App/releases", "show")</f>
        <v>show</v>
      </c>
      <c r="I1522">
        <v>1</v>
      </c>
      <c r="J1522">
        <v>0</v>
      </c>
      <c r="K1522">
        <v>1</v>
      </c>
      <c r="L1522">
        <v>0</v>
      </c>
      <c r="M1522" t="s">
        <v>64</v>
      </c>
    </row>
    <row r="1523" spans="1:13" hidden="1" x14ac:dyDescent="0.15">
      <c r="A1523" t="s">
        <v>4864</v>
      </c>
      <c r="B1523" t="s">
        <v>4865</v>
      </c>
      <c r="C1523" t="s">
        <v>4866</v>
      </c>
      <c r="D1523" t="s">
        <v>4850</v>
      </c>
      <c r="E1523">
        <v>15</v>
      </c>
      <c r="F1523" t="str">
        <f>HYPERLINK("https://github.com/andysworkshop/nanocounter/issues/3", "show")</f>
        <v>show</v>
      </c>
      <c r="G1523" t="str">
        <f>HYPERLINK("https://github.com/andysworkshop/nanocounter", "show")</f>
        <v>show</v>
      </c>
      <c r="H1523" t="str">
        <f>HYPERLINK("https://github.com/andysworkshop/nanocounter/releases", "show")</f>
        <v>show</v>
      </c>
      <c r="I1523">
        <v>1</v>
      </c>
      <c r="J1523">
        <v>0</v>
      </c>
      <c r="K1523">
        <v>0</v>
      </c>
      <c r="L1523">
        <v>0</v>
      </c>
      <c r="M1523" t="s">
        <v>17</v>
      </c>
    </row>
    <row r="1524" spans="1:13" hidden="1" x14ac:dyDescent="0.15">
      <c r="A1524" t="s">
        <v>4867</v>
      </c>
      <c r="B1524" t="s">
        <v>4868</v>
      </c>
      <c r="C1524" t="s">
        <v>4869</v>
      </c>
      <c r="D1524" t="s">
        <v>4850</v>
      </c>
      <c r="E1524">
        <v>16</v>
      </c>
      <c r="F1524" t="str">
        <f>HYPERLINK("https://github.com/hotchemi/Android-Rate/issues/97", "show")</f>
        <v>show</v>
      </c>
      <c r="G1524" t="str">
        <f>HYPERLINK("https://github.com/hotchemi/Android-Rate", "show")</f>
        <v>show</v>
      </c>
      <c r="H1524" t="str">
        <f>HYPERLINK("https://github.com/hotchemi/Android-Rate/releases", "show")</f>
        <v>show</v>
      </c>
      <c r="I1524">
        <v>0</v>
      </c>
      <c r="J1524">
        <v>0</v>
      </c>
      <c r="K1524">
        <v>0</v>
      </c>
      <c r="L1524">
        <v>0</v>
      </c>
      <c r="M1524" t="s">
        <v>43</v>
      </c>
    </row>
    <row r="1525" spans="1:13" hidden="1" x14ac:dyDescent="0.15">
      <c r="A1525" t="s">
        <v>4870</v>
      </c>
      <c r="B1525" t="s">
        <v>4871</v>
      </c>
      <c r="C1525" t="s">
        <v>504</v>
      </c>
      <c r="D1525" t="s">
        <v>4872</v>
      </c>
      <c r="E1525">
        <v>3</v>
      </c>
      <c r="F1525" t="str">
        <f>HYPERLINK("https://github.com/chizmw/whogoesfirst/issues/8", "show")</f>
        <v>show</v>
      </c>
      <c r="G1525" t="str">
        <f>HYPERLINK("https://github.com/chizmw/whogoesfirst", "show")</f>
        <v>show</v>
      </c>
      <c r="H1525" t="str">
        <f>HYPERLINK("https://github.com/chizmw/whogoesfirst/releases", "show")</f>
        <v>show</v>
      </c>
      <c r="I1525">
        <v>1</v>
      </c>
      <c r="J1525">
        <v>0</v>
      </c>
      <c r="K1525">
        <v>0</v>
      </c>
      <c r="L1525">
        <v>0</v>
      </c>
      <c r="M1525" t="s">
        <v>17</v>
      </c>
    </row>
    <row r="1526" spans="1:13" hidden="1" x14ac:dyDescent="0.15">
      <c r="A1526" t="s">
        <v>4873</v>
      </c>
      <c r="B1526" t="s">
        <v>4874</v>
      </c>
      <c r="C1526" t="s">
        <v>4875</v>
      </c>
      <c r="D1526" t="s">
        <v>4872</v>
      </c>
      <c r="E1526">
        <v>15</v>
      </c>
      <c r="F1526" t="str">
        <f>HYPERLINK("https://github.com/syncthing/syncthing-android/issues/595", "show")</f>
        <v>show</v>
      </c>
      <c r="G1526" t="str">
        <f>HYPERLINK("https://github.com/syncthing/syncthing-android", "show")</f>
        <v>show</v>
      </c>
      <c r="H1526" t="str">
        <f>HYPERLINK("https://github.com/syncthing/syncthing-android/releases", "show")</f>
        <v>show</v>
      </c>
      <c r="I1526">
        <v>1</v>
      </c>
      <c r="J1526">
        <v>0</v>
      </c>
      <c r="K1526">
        <v>0</v>
      </c>
      <c r="L1526">
        <v>0</v>
      </c>
      <c r="M1526" t="s">
        <v>17</v>
      </c>
    </row>
    <row r="1527" spans="1:13" hidden="1" x14ac:dyDescent="0.15">
      <c r="A1527" t="s">
        <v>4876</v>
      </c>
      <c r="B1527" t="s">
        <v>4877</v>
      </c>
      <c r="C1527" t="s">
        <v>4878</v>
      </c>
      <c r="D1527" t="s">
        <v>4872</v>
      </c>
      <c r="E1527">
        <v>2</v>
      </c>
      <c r="F1527" t="str">
        <f>HYPERLINK("https://github.com/martykan/webTube/issues/49", "show")</f>
        <v>show</v>
      </c>
      <c r="G1527" t="str">
        <f>HYPERLINK("https://github.com/martykan/webTube", "show")</f>
        <v>show</v>
      </c>
      <c r="H1527" t="str">
        <f>HYPERLINK("https://github.com/martykan/webTube/releases", "show")</f>
        <v>show</v>
      </c>
      <c r="I1527">
        <v>1</v>
      </c>
      <c r="J1527">
        <v>0</v>
      </c>
      <c r="K1527">
        <v>0</v>
      </c>
      <c r="L1527">
        <v>0</v>
      </c>
      <c r="M1527" t="s">
        <v>17</v>
      </c>
    </row>
    <row r="1528" spans="1:13" hidden="1" x14ac:dyDescent="0.15">
      <c r="A1528" t="s">
        <v>4879</v>
      </c>
      <c r="B1528" t="s">
        <v>4880</v>
      </c>
      <c r="C1528" t="s">
        <v>4881</v>
      </c>
      <c r="D1528" t="s">
        <v>4872</v>
      </c>
      <c r="E1528">
        <v>176</v>
      </c>
      <c r="F1528" t="str">
        <f>HYPERLINK("https://github.com/square/okhttp/issues/2440", "show")</f>
        <v>show</v>
      </c>
      <c r="G1528" t="str">
        <f>HYPERLINK("https://github.com/square/okhttp", "show")</f>
        <v>show</v>
      </c>
      <c r="H1528" t="str">
        <f>HYPERLINK("https://github.com/square/okhttp/releases", "show")</f>
        <v>show</v>
      </c>
      <c r="I1528">
        <v>1</v>
      </c>
      <c r="J1528">
        <v>0</v>
      </c>
      <c r="K1528">
        <v>0</v>
      </c>
      <c r="L1528">
        <v>1</v>
      </c>
      <c r="M1528" t="s">
        <v>29</v>
      </c>
    </row>
    <row r="1529" spans="1:13" hidden="1" x14ac:dyDescent="0.15">
      <c r="A1529" t="s">
        <v>4882</v>
      </c>
      <c r="B1529" t="s">
        <v>4883</v>
      </c>
      <c r="C1529" t="s">
        <v>4884</v>
      </c>
      <c r="D1529" t="s">
        <v>4885</v>
      </c>
      <c r="E1529">
        <v>0</v>
      </c>
      <c r="F1529" t="str">
        <f>HYPERLINK("https://github.com/inaturalist/iNaturalistAndroid/issues/151", "show")</f>
        <v>show</v>
      </c>
      <c r="G1529" t="str">
        <f>HYPERLINK("https://github.com/inaturalist/iNaturalistAndroid", "show")</f>
        <v>show</v>
      </c>
      <c r="H1529" t="str">
        <f>HYPERLINK("https://github.com/inaturalist/iNaturalistAndroid/releases", "show")</f>
        <v>show</v>
      </c>
      <c r="I1529">
        <v>1</v>
      </c>
      <c r="J1529">
        <v>0</v>
      </c>
      <c r="K1529">
        <v>1</v>
      </c>
      <c r="L1529">
        <v>0</v>
      </c>
      <c r="M1529" t="s">
        <v>64</v>
      </c>
    </row>
    <row r="1530" spans="1:13" hidden="1" x14ac:dyDescent="0.15">
      <c r="A1530" t="s">
        <v>4886</v>
      </c>
      <c r="B1530" t="s">
        <v>4887</v>
      </c>
      <c r="C1530" t="s">
        <v>4888</v>
      </c>
      <c r="D1530" t="s">
        <v>4885</v>
      </c>
      <c r="E1530">
        <v>438</v>
      </c>
      <c r="F1530" t="str">
        <f>HYPERLINK("https://github.com/NemProject/NEMAndroidApp/issues/186", "show")</f>
        <v>show</v>
      </c>
      <c r="G1530" t="str">
        <f>HYPERLINK("https://github.com/NemProject/NEMAndroidApp", "show")</f>
        <v>show</v>
      </c>
      <c r="H1530" t="str">
        <f>HYPERLINK("https://github.com/NemProject/NEMAndroidApp/releases", "show")</f>
        <v>show</v>
      </c>
      <c r="I1530">
        <v>0</v>
      </c>
      <c r="J1530">
        <v>0</v>
      </c>
      <c r="K1530">
        <v>0</v>
      </c>
      <c r="L1530">
        <v>0</v>
      </c>
      <c r="M1530" t="s">
        <v>43</v>
      </c>
    </row>
    <row r="1531" spans="1:13" hidden="1" x14ac:dyDescent="0.15">
      <c r="A1531" t="s">
        <v>4889</v>
      </c>
      <c r="B1531" t="s">
        <v>4890</v>
      </c>
      <c r="C1531" t="s">
        <v>4891</v>
      </c>
      <c r="D1531" t="s">
        <v>4892</v>
      </c>
      <c r="E1531">
        <v>0</v>
      </c>
      <c r="F1531" t="str">
        <f>HYPERLINK("https://github.com/dimagi/commcare-android/issues/1166", "show")</f>
        <v>show</v>
      </c>
      <c r="G1531" t="str">
        <f>HYPERLINK("https://github.com/dimagi/commcare-android", "show")</f>
        <v>show</v>
      </c>
      <c r="H1531" t="str">
        <f>HYPERLINK("https://github.com/dimagi/commcare-android/releases", "show")</f>
        <v>show</v>
      </c>
      <c r="I1531">
        <v>1</v>
      </c>
      <c r="J1531">
        <v>0</v>
      </c>
      <c r="K1531">
        <v>0</v>
      </c>
      <c r="L1531">
        <v>0</v>
      </c>
      <c r="M1531" t="s">
        <v>17</v>
      </c>
    </row>
    <row r="1532" spans="1:13" hidden="1" x14ac:dyDescent="0.15">
      <c r="A1532" t="s">
        <v>4893</v>
      </c>
      <c r="B1532" t="s">
        <v>4894</v>
      </c>
      <c r="C1532" t="s">
        <v>4895</v>
      </c>
      <c r="D1532" t="s">
        <v>4892</v>
      </c>
      <c r="E1532">
        <v>10</v>
      </c>
      <c r="F1532" t="str">
        <f>HYPERLINK("https://github.com/ccrama/Slide/issues/1274", "show")</f>
        <v>show</v>
      </c>
      <c r="G1532" t="str">
        <f>HYPERLINK("https://github.com/ccrama/Slide", "show")</f>
        <v>show</v>
      </c>
      <c r="H1532" t="str">
        <f>HYPERLINK("https://github.com/ccrama/Slide/releases", "show")</f>
        <v>show</v>
      </c>
      <c r="I1532">
        <v>1</v>
      </c>
      <c r="J1532">
        <v>0</v>
      </c>
      <c r="K1532">
        <v>0</v>
      </c>
      <c r="L1532">
        <v>0</v>
      </c>
      <c r="M1532" t="s">
        <v>17</v>
      </c>
    </row>
    <row r="1533" spans="1:13" hidden="1" x14ac:dyDescent="0.15">
      <c r="A1533" t="s">
        <v>4896</v>
      </c>
      <c r="B1533" t="s">
        <v>4897</v>
      </c>
      <c r="C1533" t="s">
        <v>4898</v>
      </c>
      <c r="D1533" t="s">
        <v>4892</v>
      </c>
      <c r="E1533">
        <v>4</v>
      </c>
      <c r="F1533" t="str">
        <f>HYPERLINK("https://github.com/openbmap/radiocells-scanner-android/issues/140", "show")</f>
        <v>show</v>
      </c>
      <c r="G1533" t="str">
        <f>HYPERLINK("https://github.com/openbmap/radiocells-scanner-android", "show")</f>
        <v>show</v>
      </c>
      <c r="H1533" t="str">
        <f>HYPERLINK("https://github.com/openbmap/radiocells-scanner-android/releases", "show")</f>
        <v>show</v>
      </c>
      <c r="I1533">
        <v>1</v>
      </c>
      <c r="J1533">
        <v>1</v>
      </c>
      <c r="K1533">
        <v>1</v>
      </c>
      <c r="L1533">
        <v>0</v>
      </c>
      <c r="M1533" t="s">
        <v>59</v>
      </c>
    </row>
    <row r="1534" spans="1:13" hidden="1" x14ac:dyDescent="0.15">
      <c r="A1534" t="s">
        <v>4899</v>
      </c>
      <c r="B1534" t="s">
        <v>4900</v>
      </c>
      <c r="C1534" t="s">
        <v>4901</v>
      </c>
      <c r="D1534" t="s">
        <v>4902</v>
      </c>
      <c r="E1534">
        <v>1</v>
      </c>
      <c r="F1534" t="str">
        <f>HYPERLINK("https://github.com/tbruyelle/RxPermissions/issues/43", "show")</f>
        <v>show</v>
      </c>
      <c r="G1534" t="str">
        <f>HYPERLINK("https://github.com/tbruyelle/RxPermissions", "show")</f>
        <v>show</v>
      </c>
      <c r="H1534" t="str">
        <f>HYPERLINK("https://github.com/tbruyelle/RxPermissions/releases", "show")</f>
        <v>show</v>
      </c>
      <c r="I1534">
        <v>1</v>
      </c>
      <c r="J1534">
        <v>1</v>
      </c>
      <c r="K1534">
        <v>1</v>
      </c>
      <c r="L1534">
        <v>0</v>
      </c>
      <c r="M1534" t="s">
        <v>59</v>
      </c>
    </row>
    <row r="1535" spans="1:13" hidden="1" x14ac:dyDescent="0.15">
      <c r="A1535" t="s">
        <v>4903</v>
      </c>
      <c r="B1535" t="s">
        <v>4904</v>
      </c>
      <c r="C1535" t="s">
        <v>4905</v>
      </c>
      <c r="D1535" t="s">
        <v>4902</v>
      </c>
      <c r="E1535">
        <v>4</v>
      </c>
      <c r="F1535" t="str">
        <f>HYPERLINK("https://github.com/k9mail/k-9/issues/1227", "show")</f>
        <v>show</v>
      </c>
      <c r="G1535" t="str">
        <f>HYPERLINK("https://github.com/k9mail/k-9", "show")</f>
        <v>show</v>
      </c>
      <c r="H1535" t="str">
        <f>HYPERLINK("https://github.com/k9mail/k-9/releases", "show")</f>
        <v>show</v>
      </c>
      <c r="I1535">
        <v>1</v>
      </c>
      <c r="J1535">
        <v>1</v>
      </c>
      <c r="K1535">
        <v>1</v>
      </c>
      <c r="L1535">
        <v>0</v>
      </c>
      <c r="M1535" t="s">
        <v>59</v>
      </c>
    </row>
    <row r="1536" spans="1:13" hidden="1" x14ac:dyDescent="0.15">
      <c r="A1536" t="s">
        <v>4906</v>
      </c>
      <c r="B1536" t="s">
        <v>4907</v>
      </c>
      <c r="C1536" t="s">
        <v>4908</v>
      </c>
      <c r="D1536" t="s">
        <v>4909</v>
      </c>
      <c r="E1536">
        <v>18</v>
      </c>
      <c r="F1536" t="str">
        <f>HYPERLINK("https://github.com/QuantumBadger/RedReader/issues/294", "show")</f>
        <v>show</v>
      </c>
      <c r="G1536" t="str">
        <f>HYPERLINK("https://github.com/QuantumBadger/RedReader", "show")</f>
        <v>show</v>
      </c>
      <c r="H1536" t="str">
        <f>HYPERLINK("https://github.com/QuantumBadger/RedReader/releases", "show")</f>
        <v>show</v>
      </c>
      <c r="I1536">
        <v>1</v>
      </c>
      <c r="J1536">
        <v>0</v>
      </c>
      <c r="K1536">
        <v>0</v>
      </c>
      <c r="L1536">
        <v>0</v>
      </c>
      <c r="M1536" t="s">
        <v>17</v>
      </c>
    </row>
    <row r="1537" spans="1:13" hidden="1" x14ac:dyDescent="0.15">
      <c r="A1537" t="s">
        <v>4910</v>
      </c>
      <c r="B1537" t="s">
        <v>4911</v>
      </c>
      <c r="C1537" t="s">
        <v>4912</v>
      </c>
      <c r="D1537" t="s">
        <v>4909</v>
      </c>
      <c r="E1537">
        <v>1</v>
      </c>
      <c r="F1537" t="str">
        <f>HYPERLINK("https://github.com/aurelhubert/ahbottomnavigation/issues/24", "show")</f>
        <v>show</v>
      </c>
      <c r="G1537" t="str">
        <f>HYPERLINK("https://github.com/aurelhubert/ahbottomnavigation", "show")</f>
        <v>show</v>
      </c>
      <c r="H1537" t="str">
        <f>HYPERLINK("https://github.com/aurelhubert/ahbottomnavigation/releases", "show")</f>
        <v>show</v>
      </c>
      <c r="I1537">
        <v>1</v>
      </c>
      <c r="J1537">
        <v>0</v>
      </c>
      <c r="K1537">
        <v>1</v>
      </c>
      <c r="L1537">
        <v>0</v>
      </c>
      <c r="M1537" t="s">
        <v>64</v>
      </c>
    </row>
    <row r="1538" spans="1:13" hidden="1" x14ac:dyDescent="0.15">
      <c r="A1538" t="s">
        <v>4913</v>
      </c>
      <c r="B1538" t="s">
        <v>4914</v>
      </c>
      <c r="C1538" t="s">
        <v>4915</v>
      </c>
      <c r="D1538" t="s">
        <v>4909</v>
      </c>
      <c r="E1538">
        <v>89</v>
      </c>
      <c r="F1538" t="str">
        <f>HYPERLINK("https://github.com/IvoGoman/Diabetes-App/issues/20", "show")</f>
        <v>show</v>
      </c>
      <c r="G1538" t="str">
        <f>HYPERLINK("https://github.com/IvoGoman/Diabetes-App", "show")</f>
        <v>show</v>
      </c>
      <c r="H1538" t="str">
        <f>HYPERLINK("https://github.com/IvoGoman/Diabetes-App/releases", "show")</f>
        <v>show</v>
      </c>
      <c r="I1538">
        <v>1</v>
      </c>
      <c r="J1538">
        <v>0</v>
      </c>
      <c r="K1538">
        <v>0</v>
      </c>
      <c r="L1538">
        <v>0</v>
      </c>
      <c r="M1538" t="s">
        <v>17</v>
      </c>
    </row>
    <row r="1539" spans="1:13" hidden="1" x14ac:dyDescent="0.15">
      <c r="A1539" t="s">
        <v>4916</v>
      </c>
      <c r="B1539" t="s">
        <v>4917</v>
      </c>
      <c r="C1539" t="s">
        <v>4918</v>
      </c>
      <c r="D1539" t="s">
        <v>4919</v>
      </c>
      <c r="E1539">
        <v>43</v>
      </c>
      <c r="F1539" t="str">
        <f>HYPERLINK("https://github.com/timusus/RecyclerView-FastScroll/issues/26", "show")</f>
        <v>show</v>
      </c>
      <c r="G1539" t="str">
        <f>HYPERLINK("https://github.com/timusus/RecyclerView-FastScroll", "show")</f>
        <v>show</v>
      </c>
      <c r="H1539" t="str">
        <f>HYPERLINK("https://github.com/timusus/RecyclerView-FastScroll/releases", "show")</f>
        <v>show</v>
      </c>
      <c r="I1539">
        <v>1</v>
      </c>
      <c r="J1539">
        <v>0</v>
      </c>
      <c r="K1539">
        <v>0</v>
      </c>
      <c r="L1539">
        <v>0</v>
      </c>
      <c r="M1539" t="s">
        <v>17</v>
      </c>
    </row>
    <row r="1540" spans="1:13" hidden="1" x14ac:dyDescent="0.15">
      <c r="A1540" t="s">
        <v>4920</v>
      </c>
      <c r="B1540" t="s">
        <v>4921</v>
      </c>
      <c r="C1540" t="s">
        <v>4922</v>
      </c>
      <c r="D1540" t="s">
        <v>4919</v>
      </c>
      <c r="E1540">
        <v>50</v>
      </c>
      <c r="F1540" t="str">
        <f>HYPERLINK("https://github.com/marverenic/Jockey/issues/40", "show")</f>
        <v>show</v>
      </c>
      <c r="G1540" t="str">
        <f>HYPERLINK("https://github.com/marverenic/Jockey", "show")</f>
        <v>show</v>
      </c>
      <c r="H1540" t="str">
        <f>HYPERLINK("https://github.com/marverenic/Jockey/releases", "show")</f>
        <v>show</v>
      </c>
      <c r="I1540">
        <v>1</v>
      </c>
      <c r="J1540">
        <v>0</v>
      </c>
      <c r="K1540">
        <v>0</v>
      </c>
      <c r="L1540">
        <v>0</v>
      </c>
      <c r="M1540" t="s">
        <v>17</v>
      </c>
    </row>
    <row r="1541" spans="1:13" hidden="1" x14ac:dyDescent="0.15">
      <c r="A1541" t="s">
        <v>4923</v>
      </c>
      <c r="B1541" t="s">
        <v>4924</v>
      </c>
      <c r="C1541" t="s">
        <v>4925</v>
      </c>
      <c r="D1541" t="s">
        <v>4919</v>
      </c>
      <c r="E1541">
        <v>198</v>
      </c>
      <c r="F1541" t="str">
        <f>HYPERLINK("https://github.com/ably/ably-java/issues/124", "show")</f>
        <v>show</v>
      </c>
      <c r="G1541" t="str">
        <f>HYPERLINK("https://github.com/ably/ably-java", "show")</f>
        <v>show</v>
      </c>
      <c r="H1541" t="str">
        <f>HYPERLINK("https://github.com/ably/ably-java/releases", "show")</f>
        <v>show</v>
      </c>
      <c r="I1541">
        <v>1</v>
      </c>
      <c r="J1541">
        <v>0</v>
      </c>
      <c r="K1541">
        <v>1</v>
      </c>
      <c r="L1541">
        <v>0</v>
      </c>
      <c r="M1541" t="s">
        <v>64</v>
      </c>
    </row>
    <row r="1542" spans="1:13" hidden="1" x14ac:dyDescent="0.15">
      <c r="A1542" t="s">
        <v>4926</v>
      </c>
      <c r="B1542" t="s">
        <v>4927</v>
      </c>
      <c r="C1542" t="s">
        <v>4928</v>
      </c>
      <c r="D1542" t="s">
        <v>4919</v>
      </c>
      <c r="E1542">
        <v>301</v>
      </c>
      <c r="F1542" t="str">
        <f>HYPERLINK("https://github.com/k9mail/k-9/issues/1245", "show")</f>
        <v>show</v>
      </c>
      <c r="G1542" t="str">
        <f>HYPERLINK("https://github.com/k9mail/k-9", "show")</f>
        <v>show</v>
      </c>
      <c r="H1542" t="str">
        <f>HYPERLINK("https://github.com/k9mail/k-9/releases", "show")</f>
        <v>show</v>
      </c>
      <c r="I1542">
        <v>1</v>
      </c>
      <c r="J1542">
        <v>1</v>
      </c>
      <c r="K1542">
        <v>1</v>
      </c>
      <c r="L1542">
        <v>0</v>
      </c>
      <c r="M1542" t="s">
        <v>59</v>
      </c>
    </row>
    <row r="1543" spans="1:13" hidden="1" x14ac:dyDescent="0.15">
      <c r="A1543" t="s">
        <v>4929</v>
      </c>
      <c r="B1543" t="s">
        <v>4930</v>
      </c>
      <c r="C1543" t="s">
        <v>4931</v>
      </c>
      <c r="D1543" t="s">
        <v>4932</v>
      </c>
      <c r="E1543">
        <v>16</v>
      </c>
      <c r="F1543" t="str">
        <f>HYPERLINK("https://github.com/aws-amplify/aws-sdk-android/issues/117", "show")</f>
        <v>show</v>
      </c>
      <c r="G1543" t="str">
        <f>HYPERLINK("https://github.com/aws-amplify/aws-sdk-android", "show")</f>
        <v>show</v>
      </c>
      <c r="H1543" t="str">
        <f>HYPERLINK("https://github.com/aws-amplify/aws-sdk-android/releases", "show")</f>
        <v>show</v>
      </c>
      <c r="I1543">
        <v>0</v>
      </c>
      <c r="J1543">
        <v>0</v>
      </c>
      <c r="K1543">
        <v>1</v>
      </c>
      <c r="L1543">
        <v>0</v>
      </c>
      <c r="M1543" t="s">
        <v>122</v>
      </c>
    </row>
    <row r="1544" spans="1:13" x14ac:dyDescent="0.15">
      <c r="A1544" t="s">
        <v>4933</v>
      </c>
      <c r="B1544" t="s">
        <v>4934</v>
      </c>
      <c r="C1544" t="s">
        <v>4935</v>
      </c>
      <c r="D1544" t="s">
        <v>4932</v>
      </c>
      <c r="E1544">
        <v>112</v>
      </c>
      <c r="F1544" t="str">
        <f>HYPERLINK("https://github.com/k9mail/k-9/issues/1251", "show")</f>
        <v>show</v>
      </c>
      <c r="G1544" t="str">
        <f>HYPERLINK("https://github.com/k9mail/k-9", "show")</f>
        <v>show</v>
      </c>
      <c r="H1544" t="str">
        <f>HYPERLINK("https://github.com/k9mail/k-9/releases", "show")</f>
        <v>show</v>
      </c>
      <c r="I1544">
        <v>0</v>
      </c>
      <c r="J1544">
        <v>1</v>
      </c>
      <c r="K1544">
        <v>0</v>
      </c>
      <c r="L1544">
        <v>0</v>
      </c>
      <c r="M1544" t="s">
        <v>139</v>
      </c>
    </row>
    <row r="1545" spans="1:13" hidden="1" x14ac:dyDescent="0.15">
      <c r="A1545" t="s">
        <v>4936</v>
      </c>
      <c r="B1545" t="s">
        <v>4937</v>
      </c>
      <c r="D1545" t="s">
        <v>4932</v>
      </c>
      <c r="E1545">
        <v>0</v>
      </c>
      <c r="F1545" t="str">
        <f>HYPERLINK("https://github.com/SCCapstone/diet/issues/40", "show")</f>
        <v>show</v>
      </c>
      <c r="G1545" t="str">
        <f>HYPERLINK("https://github.com/SCCapstone/diet", "show")</f>
        <v>show</v>
      </c>
      <c r="H1545" t="str">
        <f>HYPERLINK("https://github.com/SCCapstone/diet/releases", "show")</f>
        <v>show</v>
      </c>
      <c r="I1545">
        <v>1</v>
      </c>
      <c r="J1545">
        <v>0</v>
      </c>
      <c r="K1545">
        <v>0</v>
      </c>
      <c r="L1545">
        <v>0</v>
      </c>
      <c r="M1545" t="s">
        <v>17</v>
      </c>
    </row>
    <row r="1546" spans="1:13" hidden="1" x14ac:dyDescent="0.15">
      <c r="A1546" t="s">
        <v>4938</v>
      </c>
      <c r="B1546" t="s">
        <v>4939</v>
      </c>
      <c r="C1546" t="s">
        <v>4940</v>
      </c>
      <c r="D1546" t="s">
        <v>4941</v>
      </c>
      <c r="E1546">
        <v>1807</v>
      </c>
      <c r="F1546" t="str">
        <f>HYPERLINK("https://github.com/nilsbraden/ttrss-reader-fork/issues/314", "show")</f>
        <v>show</v>
      </c>
      <c r="G1546" t="str">
        <f>HYPERLINK("https://github.com/nilsbraden/ttrss-reader-fork", "show")</f>
        <v>show</v>
      </c>
      <c r="H1546" t="str">
        <f>HYPERLINK("https://github.com/nilsbraden/ttrss-reader-fork/releases", "show")</f>
        <v>show</v>
      </c>
      <c r="I1546">
        <v>1</v>
      </c>
      <c r="J1546">
        <v>0</v>
      </c>
      <c r="K1546">
        <v>0</v>
      </c>
      <c r="L1546">
        <v>0</v>
      </c>
      <c r="M1546" t="s">
        <v>17</v>
      </c>
    </row>
    <row r="1547" spans="1:13" hidden="1" x14ac:dyDescent="0.15">
      <c r="A1547" t="s">
        <v>4942</v>
      </c>
      <c r="B1547" t="s">
        <v>4943</v>
      </c>
      <c r="C1547" t="s">
        <v>4944</v>
      </c>
      <c r="D1547" t="s">
        <v>4941</v>
      </c>
      <c r="E1547">
        <v>1837</v>
      </c>
      <c r="F1547" t="str">
        <f>HYPERLINK("https://github.com/mixpanel/mixpanel-android/issues/343", "show")</f>
        <v>show</v>
      </c>
      <c r="G1547" t="str">
        <f>HYPERLINK("https://github.com/mixpanel/mixpanel-android", "show")</f>
        <v>show</v>
      </c>
      <c r="H1547" t="str">
        <f>HYPERLINK("https://github.com/mixpanel/mixpanel-android/releases", "show")</f>
        <v>show</v>
      </c>
      <c r="I1547">
        <v>0</v>
      </c>
      <c r="J1547">
        <v>0</v>
      </c>
      <c r="K1547">
        <v>1</v>
      </c>
      <c r="L1547">
        <v>0</v>
      </c>
      <c r="M1547" t="s">
        <v>122</v>
      </c>
    </row>
    <row r="1548" spans="1:13" hidden="1" x14ac:dyDescent="0.15">
      <c r="A1548" t="s">
        <v>4945</v>
      </c>
      <c r="B1548" t="s">
        <v>4946</v>
      </c>
      <c r="D1548" t="s">
        <v>4941</v>
      </c>
      <c r="E1548">
        <v>16</v>
      </c>
      <c r="F1548" t="str">
        <f>HYPERLINK("https://github.com/sky-map-team/stardroid/issues/92", "show")</f>
        <v>show</v>
      </c>
      <c r="G1548" t="str">
        <f>HYPERLINK("https://github.com/sky-map-team/stardroid", "show")</f>
        <v>show</v>
      </c>
      <c r="H1548" t="str">
        <f>HYPERLINK("https://github.com/sky-map-team/stardroid/releases", "show")</f>
        <v>show</v>
      </c>
      <c r="I1548">
        <v>1</v>
      </c>
      <c r="J1548">
        <v>0</v>
      </c>
      <c r="K1548">
        <v>1</v>
      </c>
      <c r="L1548">
        <v>0</v>
      </c>
      <c r="M1548" t="s">
        <v>64</v>
      </c>
    </row>
    <row r="1549" spans="1:13" hidden="1" x14ac:dyDescent="0.15">
      <c r="A1549" t="s">
        <v>4947</v>
      </c>
      <c r="B1549" t="s">
        <v>4948</v>
      </c>
      <c r="C1549" t="s">
        <v>4949</v>
      </c>
      <c r="D1549" t="s">
        <v>4950</v>
      </c>
      <c r="E1549">
        <v>0</v>
      </c>
      <c r="F1549" t="str">
        <f>HYPERLINK("https://github.com/Scaronthesky/UK-Gebaerden_Muensterland/issues/19", "show")</f>
        <v>show</v>
      </c>
      <c r="G1549" t="str">
        <f>HYPERLINK("https://github.com/Scaronthesky/UK-Gebaerden_Muensterland", "show")</f>
        <v>show</v>
      </c>
      <c r="H1549" t="str">
        <f>HYPERLINK("https://github.com/Scaronthesky/UK-Gebaerden_Muensterland/releases", "show")</f>
        <v>show</v>
      </c>
      <c r="I1549">
        <v>1</v>
      </c>
      <c r="J1549">
        <v>0</v>
      </c>
      <c r="K1549">
        <v>0</v>
      </c>
      <c r="L1549">
        <v>0</v>
      </c>
      <c r="M1549" t="s">
        <v>17</v>
      </c>
    </row>
    <row r="1550" spans="1:13" hidden="1" x14ac:dyDescent="0.15">
      <c r="A1550" t="s">
        <v>4951</v>
      </c>
      <c r="B1550" t="s">
        <v>4952</v>
      </c>
      <c r="C1550" t="s">
        <v>4953</v>
      </c>
      <c r="D1550" t="s">
        <v>4950</v>
      </c>
      <c r="E1550">
        <v>0</v>
      </c>
      <c r="F1550" t="str">
        <f>HYPERLINK("https://github.com/inaturalist/iNaturalistAndroid/issues/153", "show")</f>
        <v>show</v>
      </c>
      <c r="G1550" t="str">
        <f>HYPERLINK("https://github.com/inaturalist/iNaturalistAndroid", "show")</f>
        <v>show</v>
      </c>
      <c r="H1550" t="str">
        <f>HYPERLINK("https://github.com/inaturalist/iNaturalistAndroid/releases", "show")</f>
        <v>show</v>
      </c>
      <c r="I1550">
        <v>1</v>
      </c>
      <c r="J1550">
        <v>0</v>
      </c>
      <c r="K1550">
        <v>1</v>
      </c>
      <c r="L1550">
        <v>0</v>
      </c>
      <c r="M1550" t="s">
        <v>64</v>
      </c>
    </row>
    <row r="1551" spans="1:13" hidden="1" x14ac:dyDescent="0.15">
      <c r="A1551" t="s">
        <v>4954</v>
      </c>
      <c r="B1551" t="s">
        <v>4955</v>
      </c>
      <c r="C1551" t="s">
        <v>4956</v>
      </c>
      <c r="D1551" t="s">
        <v>4957</v>
      </c>
      <c r="E1551">
        <v>124</v>
      </c>
      <c r="F1551" t="str">
        <f>HYPERLINK("https://github.com/davideas/FlipView/issues/9", "show")</f>
        <v>show</v>
      </c>
      <c r="G1551" t="str">
        <f>HYPERLINK("https://github.com/davideas/FlipView", "show")</f>
        <v>show</v>
      </c>
      <c r="H1551" t="str">
        <f>HYPERLINK("https://github.com/davideas/FlipView/releases", "show")</f>
        <v>show</v>
      </c>
      <c r="I1551">
        <v>1</v>
      </c>
      <c r="J1551">
        <v>0</v>
      </c>
      <c r="K1551">
        <v>0</v>
      </c>
      <c r="L1551">
        <v>0</v>
      </c>
      <c r="M1551" t="s">
        <v>17</v>
      </c>
    </row>
    <row r="1552" spans="1:13" hidden="1" x14ac:dyDescent="0.15">
      <c r="A1552" t="s">
        <v>4958</v>
      </c>
      <c r="B1552" t="s">
        <v>4959</v>
      </c>
      <c r="C1552" t="s">
        <v>4960</v>
      </c>
      <c r="D1552" t="s">
        <v>4957</v>
      </c>
      <c r="E1552">
        <v>2</v>
      </c>
      <c r="F1552" t="str">
        <f>HYPERLINK("https://github.com/translation-cards/translation-cards/issues/119", "show")</f>
        <v>show</v>
      </c>
      <c r="G1552" t="str">
        <f>HYPERLINK("https://github.com/translation-cards/translation-cards", "show")</f>
        <v>show</v>
      </c>
      <c r="H1552" t="str">
        <f>HYPERLINK("https://github.com/translation-cards/translation-cards/releases", "show")</f>
        <v>show</v>
      </c>
      <c r="I1552">
        <v>1</v>
      </c>
      <c r="J1552">
        <v>1</v>
      </c>
      <c r="K1552">
        <v>0</v>
      </c>
      <c r="L1552">
        <v>0</v>
      </c>
      <c r="M1552" t="s">
        <v>48</v>
      </c>
    </row>
    <row r="1553" spans="1:13" hidden="1" x14ac:dyDescent="0.15">
      <c r="A1553" t="s">
        <v>4961</v>
      </c>
      <c r="B1553" t="s">
        <v>4962</v>
      </c>
      <c r="D1553" t="s">
        <v>4957</v>
      </c>
      <c r="E1553">
        <v>44</v>
      </c>
      <c r="F1553" t="str">
        <f>HYPERLINK("https://github.com/erickok/transdroid/issues/296", "show")</f>
        <v>show</v>
      </c>
      <c r="G1553" t="str">
        <f>HYPERLINK("https://github.com/erickok/transdroid", "show")</f>
        <v>show</v>
      </c>
      <c r="H1553" t="str">
        <f>HYPERLINK("https://github.com/erickok/transdroid/releases", "show")</f>
        <v>show</v>
      </c>
      <c r="I1553">
        <v>0</v>
      </c>
      <c r="J1553">
        <v>0</v>
      </c>
      <c r="K1553">
        <v>0</v>
      </c>
      <c r="L1553">
        <v>0</v>
      </c>
      <c r="M1553" t="s">
        <v>43</v>
      </c>
    </row>
    <row r="1554" spans="1:13" hidden="1" x14ac:dyDescent="0.15">
      <c r="A1554" t="s">
        <v>4963</v>
      </c>
      <c r="B1554" t="s">
        <v>4964</v>
      </c>
      <c r="C1554" t="s">
        <v>4965</v>
      </c>
      <c r="D1554" t="s">
        <v>4957</v>
      </c>
      <c r="E1554">
        <v>14</v>
      </c>
      <c r="F1554" t="str">
        <f>HYPERLINK("https://github.com/sky-map-team/stardroid/issues/93", "show")</f>
        <v>show</v>
      </c>
      <c r="G1554" t="str">
        <f>HYPERLINK("https://github.com/sky-map-team/stardroid", "show")</f>
        <v>show</v>
      </c>
      <c r="H1554" t="str">
        <f>HYPERLINK("https://github.com/sky-map-team/stardroid/releases", "show")</f>
        <v>show</v>
      </c>
      <c r="I1554">
        <v>0</v>
      </c>
      <c r="J1554">
        <v>0</v>
      </c>
      <c r="K1554">
        <v>1</v>
      </c>
      <c r="L1554">
        <v>0</v>
      </c>
      <c r="M1554" t="s">
        <v>122</v>
      </c>
    </row>
    <row r="1555" spans="1:13" hidden="1" x14ac:dyDescent="0.15">
      <c r="A1555" t="s">
        <v>4966</v>
      </c>
      <c r="B1555" t="s">
        <v>4967</v>
      </c>
      <c r="C1555" t="s">
        <v>4968</v>
      </c>
      <c r="D1555" t="s">
        <v>4957</v>
      </c>
      <c r="E1555">
        <v>2</v>
      </c>
      <c r="F1555" t="str">
        <f>HYPERLINK("https://github.com/darsh2/MultipleImageSelect/issues/12", "show")</f>
        <v>show</v>
      </c>
      <c r="G1555" t="str">
        <f>HYPERLINK("https://github.com/darsh2/MultipleImageSelect", "show")</f>
        <v>show</v>
      </c>
      <c r="H1555" t="str">
        <f>HYPERLINK("https://github.com/darsh2/MultipleImageSelect/releases", "show")</f>
        <v>show</v>
      </c>
      <c r="I1555">
        <v>1</v>
      </c>
      <c r="J1555">
        <v>1</v>
      </c>
      <c r="K1555">
        <v>1</v>
      </c>
      <c r="L1555">
        <v>0</v>
      </c>
      <c r="M1555" t="s">
        <v>59</v>
      </c>
    </row>
    <row r="1556" spans="1:13" hidden="1" x14ac:dyDescent="0.15">
      <c r="A1556" t="s">
        <v>4969</v>
      </c>
      <c r="B1556" t="s">
        <v>4970</v>
      </c>
      <c r="C1556" t="s">
        <v>4971</v>
      </c>
      <c r="D1556" t="s">
        <v>4957</v>
      </c>
      <c r="E1556">
        <v>0</v>
      </c>
      <c r="F1556" t="str">
        <f>HYPERLINK("https://github.com/unfoldingWord-dev/ts-android/issues/1422", "show")</f>
        <v>show</v>
      </c>
      <c r="G1556" t="str">
        <f>HYPERLINK("https://github.com/unfoldingWord-dev/ts-android", "show")</f>
        <v>show</v>
      </c>
      <c r="H1556" t="str">
        <f>HYPERLINK("https://github.com/unfoldingWord-dev/ts-android/releases", "show")</f>
        <v>show</v>
      </c>
      <c r="I1556">
        <v>0</v>
      </c>
      <c r="J1556">
        <v>0</v>
      </c>
      <c r="K1556">
        <v>0</v>
      </c>
      <c r="L1556">
        <v>0</v>
      </c>
      <c r="M1556" t="s">
        <v>43</v>
      </c>
    </row>
    <row r="1557" spans="1:13" hidden="1" x14ac:dyDescent="0.15">
      <c r="A1557" t="s">
        <v>4972</v>
      </c>
      <c r="B1557" t="s">
        <v>4973</v>
      </c>
      <c r="C1557" t="s">
        <v>4974</v>
      </c>
      <c r="D1557" t="s">
        <v>4975</v>
      </c>
      <c r="E1557">
        <v>6</v>
      </c>
      <c r="F1557" t="str">
        <f>HYPERLINK("https://github.com/SCCapstone/diet/issues/43", "show")</f>
        <v>show</v>
      </c>
      <c r="G1557" t="str">
        <f>HYPERLINK("https://github.com/SCCapstone/diet", "show")</f>
        <v>show</v>
      </c>
      <c r="H1557" t="str">
        <f>HYPERLINK("https://github.com/SCCapstone/diet/releases", "show")</f>
        <v>show</v>
      </c>
      <c r="I1557">
        <v>1</v>
      </c>
      <c r="J1557">
        <v>0</v>
      </c>
      <c r="K1557">
        <v>0</v>
      </c>
      <c r="L1557">
        <v>1</v>
      </c>
      <c r="M1557" t="s">
        <v>29</v>
      </c>
    </row>
    <row r="1558" spans="1:13" hidden="1" x14ac:dyDescent="0.15">
      <c r="A1558" t="s">
        <v>4976</v>
      </c>
      <c r="B1558" t="s">
        <v>4977</v>
      </c>
      <c r="C1558" t="s">
        <v>4978</v>
      </c>
      <c r="D1558" t="s">
        <v>4975</v>
      </c>
      <c r="E1558">
        <v>6</v>
      </c>
      <c r="F1558" t="str">
        <f>HYPERLINK("https://github.com/Freeyourgadget/Gadgetbridge/issues/277", "show")</f>
        <v>show</v>
      </c>
      <c r="G1558" t="str">
        <f>HYPERLINK("https://github.com/Freeyourgadget/Gadgetbridge", "show")</f>
        <v>show</v>
      </c>
      <c r="H1558" t="str">
        <f>HYPERLINK("https://github.com/Freeyourgadget/Gadgetbridge/releases", "show")</f>
        <v>show</v>
      </c>
      <c r="I1558">
        <v>1</v>
      </c>
      <c r="J1558">
        <v>0</v>
      </c>
      <c r="K1558">
        <v>1</v>
      </c>
      <c r="L1558">
        <v>0</v>
      </c>
      <c r="M1558" t="s">
        <v>64</v>
      </c>
    </row>
    <row r="1559" spans="1:13" hidden="1" x14ac:dyDescent="0.15">
      <c r="A1559" t="s">
        <v>4979</v>
      </c>
      <c r="B1559" t="s">
        <v>4980</v>
      </c>
      <c r="C1559" t="s">
        <v>4981</v>
      </c>
      <c r="D1559" t="s">
        <v>4975</v>
      </c>
      <c r="E1559">
        <v>0</v>
      </c>
      <c r="F1559" t="str">
        <f>HYPERLINK("https://github.com/kontalk/androidclient/issues/672", "show")</f>
        <v>show</v>
      </c>
      <c r="G1559" t="str">
        <f>HYPERLINK("https://github.com/kontalk/androidclient", "show")</f>
        <v>show</v>
      </c>
      <c r="H1559" t="str">
        <f>HYPERLINK("https://github.com/kontalk/androidclient/releases", "show")</f>
        <v>show</v>
      </c>
      <c r="I1559">
        <v>1</v>
      </c>
      <c r="J1559">
        <v>0</v>
      </c>
      <c r="K1559">
        <v>0</v>
      </c>
      <c r="L1559">
        <v>0</v>
      </c>
      <c r="M1559" t="s">
        <v>17</v>
      </c>
    </row>
    <row r="1560" spans="1:13" hidden="1" x14ac:dyDescent="0.15">
      <c r="A1560" t="s">
        <v>4982</v>
      </c>
      <c r="B1560" t="s">
        <v>4983</v>
      </c>
      <c r="C1560" t="s">
        <v>4984</v>
      </c>
      <c r="D1560" t="s">
        <v>4975</v>
      </c>
      <c r="E1560">
        <v>0</v>
      </c>
      <c r="F1560" t="str">
        <f>HYPERLINK("https://github.com/kontalk/androidclient/issues/671", "show")</f>
        <v>show</v>
      </c>
      <c r="G1560" t="str">
        <f>HYPERLINK("https://github.com/kontalk/androidclient", "show")</f>
        <v>show</v>
      </c>
      <c r="H1560" t="str">
        <f>HYPERLINK("https://github.com/kontalk/androidclient/releases", "show")</f>
        <v>show</v>
      </c>
      <c r="I1560">
        <v>1</v>
      </c>
      <c r="J1560">
        <v>0</v>
      </c>
      <c r="K1560">
        <v>0</v>
      </c>
      <c r="L1560">
        <v>0</v>
      </c>
      <c r="M1560" t="s">
        <v>17</v>
      </c>
    </row>
    <row r="1561" spans="1:13" hidden="1" x14ac:dyDescent="0.15">
      <c r="A1561" t="s">
        <v>4985</v>
      </c>
      <c r="B1561" t="s">
        <v>4986</v>
      </c>
      <c r="C1561" t="s">
        <v>4987</v>
      </c>
      <c r="D1561" t="s">
        <v>4975</v>
      </c>
      <c r="E1561">
        <v>4</v>
      </c>
      <c r="F1561" t="str">
        <f>HYPERLINK("https://github.com/davideas/FlexibleAdapter/issues/64", "show")</f>
        <v>show</v>
      </c>
      <c r="G1561" t="str">
        <f>HYPERLINK("https://github.com/davideas/FlexibleAdapter", "show")</f>
        <v>show</v>
      </c>
      <c r="H1561" t="str">
        <f>HYPERLINK("https://github.com/davideas/FlexibleAdapter/releases", "show")</f>
        <v>show</v>
      </c>
      <c r="I1561">
        <v>1</v>
      </c>
      <c r="J1561">
        <v>1</v>
      </c>
      <c r="K1561">
        <v>1</v>
      </c>
      <c r="L1561">
        <v>0</v>
      </c>
      <c r="M1561" t="s">
        <v>59</v>
      </c>
    </row>
    <row r="1562" spans="1:13" hidden="1" x14ac:dyDescent="0.15">
      <c r="A1562" t="s">
        <v>4988</v>
      </c>
      <c r="B1562" t="s">
        <v>4989</v>
      </c>
      <c r="C1562" t="s">
        <v>4990</v>
      </c>
      <c r="D1562" t="s">
        <v>4991</v>
      </c>
      <c r="E1562">
        <v>4</v>
      </c>
      <c r="F1562" t="str">
        <f>HYPERLINK("https://github.com/kontalk/androidclient/issues/674", "show")</f>
        <v>show</v>
      </c>
      <c r="G1562" t="str">
        <f>HYPERLINK("https://github.com/kontalk/androidclient", "show")</f>
        <v>show</v>
      </c>
      <c r="H1562" t="str">
        <f>HYPERLINK("https://github.com/kontalk/androidclient/releases", "show")</f>
        <v>show</v>
      </c>
      <c r="I1562">
        <v>1</v>
      </c>
      <c r="J1562">
        <v>0</v>
      </c>
      <c r="K1562">
        <v>0</v>
      </c>
      <c r="L1562">
        <v>0</v>
      </c>
      <c r="M1562" t="s">
        <v>17</v>
      </c>
    </row>
    <row r="1563" spans="1:13" hidden="1" x14ac:dyDescent="0.15">
      <c r="A1563" t="s">
        <v>4992</v>
      </c>
      <c r="B1563" t="s">
        <v>4993</v>
      </c>
      <c r="C1563" t="s">
        <v>4994</v>
      </c>
      <c r="D1563" t="s">
        <v>4991</v>
      </c>
      <c r="E1563">
        <v>0</v>
      </c>
      <c r="F1563" t="str">
        <f>HYPERLINK("https://github.com/mvysny/aedict/issues/656", "show")</f>
        <v>show</v>
      </c>
      <c r="G1563" t="str">
        <f>HYPERLINK("https://github.com/mvysny/aedict", "show")</f>
        <v>show</v>
      </c>
      <c r="H1563" t="str">
        <f>HYPERLINK("https://github.com/mvysny/aedict/releases", "show")</f>
        <v>show</v>
      </c>
      <c r="I1563">
        <v>1</v>
      </c>
      <c r="J1563">
        <v>0</v>
      </c>
      <c r="K1563">
        <v>1</v>
      </c>
      <c r="L1563">
        <v>0</v>
      </c>
      <c r="M1563" t="s">
        <v>64</v>
      </c>
    </row>
    <row r="1564" spans="1:13" x14ac:dyDescent="0.15">
      <c r="A1564" t="s">
        <v>4995</v>
      </c>
      <c r="B1564" t="s">
        <v>4996</v>
      </c>
      <c r="C1564" t="s">
        <v>4997</v>
      </c>
      <c r="D1564" t="s">
        <v>4991</v>
      </c>
      <c r="E1564">
        <v>1524</v>
      </c>
      <c r="F1564" t="str">
        <f>HYPERLINK("https://github.com/ankidroid/Anki-Android/issues/4200", "show")</f>
        <v>show</v>
      </c>
      <c r="G1564" t="str">
        <f>HYPERLINK("https://github.com/ankidroid/Anki-Android", "show")</f>
        <v>show</v>
      </c>
      <c r="H1564" t="str">
        <f>HYPERLINK("https://github.com/ankidroid/Anki-Android/releases", "show")</f>
        <v>show</v>
      </c>
      <c r="I1564">
        <v>0</v>
      </c>
      <c r="J1564">
        <v>1</v>
      </c>
      <c r="K1564">
        <v>0</v>
      </c>
      <c r="L1564">
        <v>0</v>
      </c>
      <c r="M1564" t="s">
        <v>139</v>
      </c>
    </row>
    <row r="1565" spans="1:13" hidden="1" x14ac:dyDescent="0.15">
      <c r="A1565" t="s">
        <v>4998</v>
      </c>
      <c r="B1565" t="s">
        <v>4999</v>
      </c>
      <c r="C1565" t="s">
        <v>5000</v>
      </c>
      <c r="D1565" t="s">
        <v>4991</v>
      </c>
      <c r="E1565">
        <v>73</v>
      </c>
      <c r="F1565" t="str">
        <f>HYPERLINK("https://github.com/k3b/APhotoManager/issues/36", "show")</f>
        <v>show</v>
      </c>
      <c r="G1565" t="str">
        <f>HYPERLINK("https://github.com/k3b/APhotoManager", "show")</f>
        <v>show</v>
      </c>
      <c r="H1565" t="str">
        <f>HYPERLINK("https://github.com/k3b/APhotoManager/releases", "show")</f>
        <v>show</v>
      </c>
      <c r="I1565">
        <v>1</v>
      </c>
      <c r="J1565">
        <v>1</v>
      </c>
      <c r="K1565">
        <v>0</v>
      </c>
      <c r="L1565">
        <v>0</v>
      </c>
      <c r="M1565" t="s">
        <v>48</v>
      </c>
    </row>
    <row r="1566" spans="1:13" hidden="1" x14ac:dyDescent="0.15">
      <c r="A1566" t="s">
        <v>5001</v>
      </c>
      <c r="B1566" t="s">
        <v>5002</v>
      </c>
      <c r="C1566" t="s">
        <v>5003</v>
      </c>
      <c r="D1566" t="s">
        <v>4991</v>
      </c>
      <c r="E1566">
        <v>433</v>
      </c>
      <c r="F1566" t="str">
        <f>HYPERLINK("https://github.com/commons-app/apps-android-commons/issues/94", "show")</f>
        <v>show</v>
      </c>
      <c r="G1566" t="str">
        <f>HYPERLINK("https://github.com/commons-app/apps-android-commons", "show")</f>
        <v>show</v>
      </c>
      <c r="H1566" t="str">
        <f>HYPERLINK("https://github.com/commons-app/apps-android-commons/releases", "show")</f>
        <v>show</v>
      </c>
      <c r="I1566">
        <v>1</v>
      </c>
      <c r="J1566">
        <v>0</v>
      </c>
      <c r="K1566">
        <v>0</v>
      </c>
      <c r="L1566">
        <v>0</v>
      </c>
      <c r="M1566" t="s">
        <v>17</v>
      </c>
    </row>
    <row r="1567" spans="1:13" hidden="1" x14ac:dyDescent="0.15">
      <c r="A1567" t="s">
        <v>5004</v>
      </c>
      <c r="B1567" t="s">
        <v>5005</v>
      </c>
      <c r="C1567" t="s">
        <v>5006</v>
      </c>
      <c r="D1567" t="s">
        <v>5007</v>
      </c>
      <c r="E1567">
        <v>0</v>
      </c>
      <c r="F1567" t="str">
        <f>HYPERLINK("https://github.com/Crash-Test-Buddies/WiFi-Buddy/issues/30", "show")</f>
        <v>show</v>
      </c>
      <c r="G1567" t="str">
        <f>HYPERLINK("https://github.com/Crash-Test-Buddies/WiFi-Buddy", "show")</f>
        <v>show</v>
      </c>
      <c r="H1567" t="str">
        <f>HYPERLINK("https://github.com/Crash-Test-Buddies/WiFi-Buddy/releases", "show")</f>
        <v>show</v>
      </c>
      <c r="I1567">
        <v>0</v>
      </c>
      <c r="J1567">
        <v>0</v>
      </c>
      <c r="K1567">
        <v>0</v>
      </c>
      <c r="L1567">
        <v>0</v>
      </c>
      <c r="M1567" t="s">
        <v>43</v>
      </c>
    </row>
    <row r="1568" spans="1:13" hidden="1" x14ac:dyDescent="0.15">
      <c r="A1568" t="s">
        <v>5008</v>
      </c>
      <c r="B1568" t="s">
        <v>5009</v>
      </c>
      <c r="C1568" t="s">
        <v>5010</v>
      </c>
      <c r="D1568" t="s">
        <v>5007</v>
      </c>
      <c r="E1568">
        <v>486</v>
      </c>
      <c r="F1568" t="str">
        <f>HYPERLINK("https://github.com/jonasoreland/runnerup/issues/381", "show")</f>
        <v>show</v>
      </c>
      <c r="G1568" t="str">
        <f>HYPERLINK("https://github.com/jonasoreland/runnerup", "show")</f>
        <v>show</v>
      </c>
      <c r="H1568" t="str">
        <f>HYPERLINK("https://github.com/jonasoreland/runnerup/releases", "show")</f>
        <v>show</v>
      </c>
      <c r="I1568">
        <v>1</v>
      </c>
      <c r="J1568">
        <v>0</v>
      </c>
      <c r="K1568">
        <v>0</v>
      </c>
      <c r="L1568">
        <v>0</v>
      </c>
      <c r="M1568" t="s">
        <v>17</v>
      </c>
    </row>
    <row r="1569" spans="1:13" hidden="1" x14ac:dyDescent="0.15">
      <c r="A1569" t="s">
        <v>5011</v>
      </c>
      <c r="B1569" t="s">
        <v>5012</v>
      </c>
      <c r="C1569" t="s">
        <v>5013</v>
      </c>
      <c r="D1569" t="s">
        <v>5007</v>
      </c>
      <c r="E1569">
        <v>0</v>
      </c>
      <c r="F1569" t="str">
        <f>HYPERLINK("https://github.com/3meters/patchr-android/issues/234", "show")</f>
        <v>show</v>
      </c>
      <c r="G1569" t="str">
        <f>HYPERLINK("https://github.com/3meters/patchr-android", "show")</f>
        <v>show</v>
      </c>
      <c r="H1569" t="str">
        <f>HYPERLINK("https://github.com/3meters/patchr-android/releases", "show")</f>
        <v>show</v>
      </c>
      <c r="I1569">
        <v>1</v>
      </c>
      <c r="J1569">
        <v>0</v>
      </c>
      <c r="K1569">
        <v>0</v>
      </c>
      <c r="L1569">
        <v>0</v>
      </c>
      <c r="M1569" t="s">
        <v>17</v>
      </c>
    </row>
    <row r="1570" spans="1:13" hidden="1" x14ac:dyDescent="0.15">
      <c r="A1570" t="s">
        <v>5014</v>
      </c>
      <c r="B1570" t="s">
        <v>5015</v>
      </c>
      <c r="C1570" t="s">
        <v>5016</v>
      </c>
      <c r="D1570" t="s">
        <v>5007</v>
      </c>
      <c r="E1570">
        <v>0</v>
      </c>
      <c r="F1570" t="str">
        <f>HYPERLINK("https://github.com/iomodo/Wally/issues/5", "show")</f>
        <v>show</v>
      </c>
      <c r="G1570" t="str">
        <f>HYPERLINK("https://github.com/iomodo/Wally", "show")</f>
        <v>show</v>
      </c>
      <c r="H1570" t="str">
        <f>HYPERLINK("https://github.com/iomodo/Wally/releases", "show")</f>
        <v>show</v>
      </c>
      <c r="I1570">
        <v>0</v>
      </c>
      <c r="J1570">
        <v>0</v>
      </c>
      <c r="K1570">
        <v>0</v>
      </c>
      <c r="L1570">
        <v>0</v>
      </c>
      <c r="M1570" t="s">
        <v>43</v>
      </c>
    </row>
    <row r="1571" spans="1:13" hidden="1" x14ac:dyDescent="0.15">
      <c r="A1571" t="s">
        <v>5017</v>
      </c>
      <c r="B1571" t="s">
        <v>5018</v>
      </c>
      <c r="C1571" t="s">
        <v>5019</v>
      </c>
      <c r="D1571" t="s">
        <v>5007</v>
      </c>
      <c r="E1571">
        <v>0</v>
      </c>
      <c r="F1571" t="str">
        <f>HYPERLINK("https://github.com/mvysny/aedict/issues/658", "show")</f>
        <v>show</v>
      </c>
      <c r="G1571" t="str">
        <f>HYPERLINK("https://github.com/mvysny/aedict", "show")</f>
        <v>show</v>
      </c>
      <c r="H1571" t="str">
        <f>HYPERLINK("https://github.com/mvysny/aedict/releases", "show")</f>
        <v>show</v>
      </c>
      <c r="I1571">
        <v>1</v>
      </c>
      <c r="J1571">
        <v>0</v>
      </c>
      <c r="K1571">
        <v>1</v>
      </c>
      <c r="L1571">
        <v>0</v>
      </c>
      <c r="M1571" t="s">
        <v>64</v>
      </c>
    </row>
    <row r="1572" spans="1:13" hidden="1" x14ac:dyDescent="0.15">
      <c r="A1572" t="s">
        <v>5020</v>
      </c>
      <c r="B1572" t="s">
        <v>5021</v>
      </c>
      <c r="C1572" t="s">
        <v>5022</v>
      </c>
      <c r="D1572" t="s">
        <v>5023</v>
      </c>
      <c r="E1572">
        <v>1</v>
      </c>
      <c r="F1572" t="str">
        <f>HYPERLINK("https://github.com/chandevel/Clover/issues/181", "show")</f>
        <v>show</v>
      </c>
      <c r="G1572" t="str">
        <f>HYPERLINK("https://github.com/chandevel/Clover", "show")</f>
        <v>show</v>
      </c>
      <c r="H1572" t="str">
        <f>HYPERLINK("https://github.com/chandevel/Clover/releases", "show")</f>
        <v>show</v>
      </c>
      <c r="I1572">
        <v>1</v>
      </c>
      <c r="J1572">
        <v>0</v>
      </c>
      <c r="K1572">
        <v>0</v>
      </c>
      <c r="L1572">
        <v>0</v>
      </c>
      <c r="M1572" t="s">
        <v>17</v>
      </c>
    </row>
    <row r="1573" spans="1:13" hidden="1" x14ac:dyDescent="0.15">
      <c r="A1573" t="s">
        <v>5024</v>
      </c>
      <c r="B1573" t="s">
        <v>5025</v>
      </c>
      <c r="C1573" t="s">
        <v>5026</v>
      </c>
      <c r="D1573" t="s">
        <v>5023</v>
      </c>
      <c r="E1573">
        <v>1</v>
      </c>
      <c r="F1573" t="str">
        <f>HYPERLINK("https://github.com/dasmikko/facepunchdroid/issues/44", "show")</f>
        <v>show</v>
      </c>
      <c r="G1573" t="str">
        <f>HYPERLINK("https://github.com/dasmikko/facepunchdroid", "show")</f>
        <v>show</v>
      </c>
      <c r="H1573" t="str">
        <f>HYPERLINK("https://github.com/dasmikko/facepunchdroid/releases", "show")</f>
        <v>show</v>
      </c>
      <c r="I1573">
        <v>1</v>
      </c>
      <c r="J1573">
        <v>0</v>
      </c>
      <c r="K1573">
        <v>0</v>
      </c>
      <c r="L1573">
        <v>0</v>
      </c>
      <c r="M1573" t="s">
        <v>17</v>
      </c>
    </row>
    <row r="1574" spans="1:13" hidden="1" x14ac:dyDescent="0.15">
      <c r="A1574" t="s">
        <v>5027</v>
      </c>
      <c r="B1574" t="s">
        <v>5028</v>
      </c>
      <c r="C1574" t="s">
        <v>5029</v>
      </c>
      <c r="D1574" t="s">
        <v>5030</v>
      </c>
      <c r="E1574">
        <v>1</v>
      </c>
      <c r="F1574" t="str">
        <f>HYPERLINK("https://github.com/mozilla/MozStumbler/issues/1757", "show")</f>
        <v>show</v>
      </c>
      <c r="G1574" t="str">
        <f>HYPERLINK("https://github.com/mozilla/MozStumbler", "show")</f>
        <v>show</v>
      </c>
      <c r="H1574" t="str">
        <f>HYPERLINK("https://github.com/mozilla/MozStumbler/releases", "show")</f>
        <v>show</v>
      </c>
      <c r="I1574">
        <v>1</v>
      </c>
      <c r="J1574">
        <v>0</v>
      </c>
      <c r="K1574">
        <v>0</v>
      </c>
      <c r="L1574">
        <v>1</v>
      </c>
      <c r="M1574" t="s">
        <v>29</v>
      </c>
    </row>
    <row r="1575" spans="1:13" hidden="1" x14ac:dyDescent="0.15">
      <c r="A1575" t="s">
        <v>5031</v>
      </c>
      <c r="B1575" t="s">
        <v>5032</v>
      </c>
      <c r="C1575" t="s">
        <v>5033</v>
      </c>
      <c r="D1575" t="s">
        <v>5030</v>
      </c>
      <c r="E1575">
        <v>1</v>
      </c>
      <c r="F1575" t="str">
        <f>HYPERLINK("https://github.com/zhanghai/MaterialProgressBar/issues/21", "show")</f>
        <v>show</v>
      </c>
      <c r="G1575" t="str">
        <f>HYPERLINK("https://github.com/zhanghai/MaterialProgressBar", "show")</f>
        <v>show</v>
      </c>
      <c r="H1575" t="str">
        <f>HYPERLINK("https://github.com/zhanghai/MaterialProgressBar/releases", "show")</f>
        <v>show</v>
      </c>
      <c r="I1575">
        <v>0</v>
      </c>
      <c r="J1575">
        <v>0</v>
      </c>
      <c r="K1575">
        <v>0</v>
      </c>
      <c r="L1575">
        <v>0</v>
      </c>
      <c r="M1575" t="s">
        <v>43</v>
      </c>
    </row>
    <row r="1576" spans="1:13" hidden="1" x14ac:dyDescent="0.15">
      <c r="A1576" t="s">
        <v>5034</v>
      </c>
      <c r="B1576" t="s">
        <v>5035</v>
      </c>
      <c r="C1576" t="s">
        <v>5036</v>
      </c>
      <c r="D1576" t="s">
        <v>5030</v>
      </c>
      <c r="E1576">
        <v>81</v>
      </c>
      <c r="F1576" t="str">
        <f>HYPERLINK("https://github.com/k9mail/k-9/issues/1271", "show")</f>
        <v>show</v>
      </c>
      <c r="G1576" t="str">
        <f>HYPERLINK("https://github.com/k9mail/k-9", "show")</f>
        <v>show</v>
      </c>
      <c r="H1576" t="str">
        <f>HYPERLINK("https://github.com/k9mail/k-9/releases", "show")</f>
        <v>show</v>
      </c>
      <c r="I1576">
        <v>1</v>
      </c>
      <c r="J1576">
        <v>0</v>
      </c>
      <c r="K1576">
        <v>0</v>
      </c>
      <c r="L1576">
        <v>0</v>
      </c>
      <c r="M1576" t="s">
        <v>17</v>
      </c>
    </row>
    <row r="1577" spans="1:13" hidden="1" x14ac:dyDescent="0.15">
      <c r="A1577" t="s">
        <v>5037</v>
      </c>
      <c r="B1577" t="s">
        <v>5038</v>
      </c>
      <c r="D1577" t="s">
        <v>5039</v>
      </c>
      <c r="E1577">
        <v>1</v>
      </c>
      <c r="F1577" t="str">
        <f>HYPERLINK("https://github.com/mozilla/MozStumbler/issues/1763", "show")</f>
        <v>show</v>
      </c>
      <c r="G1577" t="str">
        <f>HYPERLINK("https://github.com/mozilla/MozStumbler", "show")</f>
        <v>show</v>
      </c>
      <c r="H1577" t="str">
        <f>HYPERLINK("https://github.com/mozilla/MozStumbler/releases", "show")</f>
        <v>show</v>
      </c>
      <c r="I1577">
        <v>1</v>
      </c>
      <c r="J1577">
        <v>0</v>
      </c>
      <c r="K1577">
        <v>0</v>
      </c>
      <c r="L1577">
        <v>0</v>
      </c>
      <c r="M1577" t="s">
        <v>17</v>
      </c>
    </row>
    <row r="1578" spans="1:13" hidden="1" x14ac:dyDescent="0.15">
      <c r="A1578" t="s">
        <v>5040</v>
      </c>
      <c r="B1578" t="s">
        <v>5041</v>
      </c>
      <c r="C1578" t="s">
        <v>5042</v>
      </c>
      <c r="D1578" t="s">
        <v>5039</v>
      </c>
      <c r="E1578">
        <v>28</v>
      </c>
      <c r="F1578" t="str">
        <f>HYPERLINK("https://github.com/google/blockly-android/issues/187", "show")</f>
        <v>show</v>
      </c>
      <c r="G1578" t="str">
        <f>HYPERLINK("https://github.com/google/blockly-android", "show")</f>
        <v>show</v>
      </c>
      <c r="H1578" t="str">
        <f>HYPERLINK("https://github.com/google/blockly-android/releases", "show")</f>
        <v>show</v>
      </c>
      <c r="I1578">
        <v>1</v>
      </c>
      <c r="J1578">
        <v>0</v>
      </c>
      <c r="K1578">
        <v>0</v>
      </c>
      <c r="L1578">
        <v>0</v>
      </c>
      <c r="M1578" t="s">
        <v>17</v>
      </c>
    </row>
    <row r="1579" spans="1:13" hidden="1" x14ac:dyDescent="0.15">
      <c r="A1579" t="s">
        <v>5043</v>
      </c>
      <c r="B1579" t="s">
        <v>5044</v>
      </c>
      <c r="C1579" t="s">
        <v>5045</v>
      </c>
      <c r="D1579" t="s">
        <v>5039</v>
      </c>
      <c r="E1579">
        <v>23</v>
      </c>
      <c r="F1579" t="str">
        <f>HYPERLINK("https://github.com/DigitalCampus/oppia-mobile-android/issues/531", "show")</f>
        <v>show</v>
      </c>
      <c r="G1579" t="str">
        <f>HYPERLINK("https://github.com/DigitalCampus/oppia-mobile-android", "show")</f>
        <v>show</v>
      </c>
      <c r="H1579" t="str">
        <f>HYPERLINK("https://github.com/DigitalCampus/oppia-mobile-android/releases", "show")</f>
        <v>show</v>
      </c>
      <c r="I1579">
        <v>0</v>
      </c>
      <c r="J1579">
        <v>0</v>
      </c>
      <c r="K1579">
        <v>1</v>
      </c>
      <c r="L1579">
        <v>0</v>
      </c>
      <c r="M1579" t="s">
        <v>122</v>
      </c>
    </row>
    <row r="1580" spans="1:13" hidden="1" x14ac:dyDescent="0.15">
      <c r="A1580" t="s">
        <v>5046</v>
      </c>
      <c r="B1580" t="s">
        <v>5047</v>
      </c>
      <c r="C1580" t="s">
        <v>5048</v>
      </c>
      <c r="D1580" t="s">
        <v>5039</v>
      </c>
      <c r="E1580">
        <v>0</v>
      </c>
      <c r="F1580" t="str">
        <f>HYPERLINK("https://github.com/kontalk/androidclient/issues/680", "show")</f>
        <v>show</v>
      </c>
      <c r="G1580" t="str">
        <f>HYPERLINK("https://github.com/kontalk/androidclient", "show")</f>
        <v>show</v>
      </c>
      <c r="H1580" t="str">
        <f>HYPERLINK("https://github.com/kontalk/androidclient/releases", "show")</f>
        <v>show</v>
      </c>
      <c r="I1580">
        <v>1</v>
      </c>
      <c r="J1580">
        <v>0</v>
      </c>
      <c r="K1580">
        <v>0</v>
      </c>
      <c r="L1580">
        <v>0</v>
      </c>
      <c r="M1580" t="s">
        <v>17</v>
      </c>
    </row>
    <row r="1581" spans="1:13" hidden="1" x14ac:dyDescent="0.15">
      <c r="A1581" t="s">
        <v>5049</v>
      </c>
      <c r="B1581" t="s">
        <v>5050</v>
      </c>
      <c r="C1581" t="s">
        <v>5051</v>
      </c>
      <c r="D1581" t="s">
        <v>5039</v>
      </c>
      <c r="E1581">
        <v>3</v>
      </c>
      <c r="F1581" t="str">
        <f>HYPERLINK("https://github.com/ccrama/Slide/issues/1388", "show")</f>
        <v>show</v>
      </c>
      <c r="G1581" t="str">
        <f>HYPERLINK("https://github.com/ccrama/Slide", "show")</f>
        <v>show</v>
      </c>
      <c r="H1581" t="str">
        <f>HYPERLINK("https://github.com/ccrama/Slide/releases", "show")</f>
        <v>show</v>
      </c>
      <c r="I1581">
        <v>1</v>
      </c>
      <c r="J1581">
        <v>0</v>
      </c>
      <c r="K1581">
        <v>0</v>
      </c>
      <c r="L1581">
        <v>0</v>
      </c>
      <c r="M1581" t="s">
        <v>17</v>
      </c>
    </row>
    <row r="1582" spans="1:13" hidden="1" x14ac:dyDescent="0.15">
      <c r="A1582" t="s">
        <v>5052</v>
      </c>
      <c r="B1582" t="s">
        <v>5053</v>
      </c>
      <c r="C1582" t="s">
        <v>5054</v>
      </c>
      <c r="D1582" t="s">
        <v>5055</v>
      </c>
      <c r="E1582">
        <v>3</v>
      </c>
      <c r="F1582" t="str">
        <f>HYPERLINK("https://github.com/nbossard/packlist/issues/26", "show")</f>
        <v>show</v>
      </c>
      <c r="G1582" t="str">
        <f>HYPERLINK("https://github.com/nbossard/packlist", "show")</f>
        <v>show</v>
      </c>
      <c r="H1582" t="str">
        <f>HYPERLINK("https://github.com/nbossard/packlist/releases", "show")</f>
        <v>show</v>
      </c>
      <c r="I1582">
        <v>0</v>
      </c>
      <c r="J1582">
        <v>0</v>
      </c>
      <c r="K1582">
        <v>1</v>
      </c>
      <c r="L1582">
        <v>0</v>
      </c>
      <c r="M1582" t="s">
        <v>122</v>
      </c>
    </row>
    <row r="1583" spans="1:13" hidden="1" x14ac:dyDescent="0.15">
      <c r="A1583" t="s">
        <v>5056</v>
      </c>
      <c r="B1583" t="s">
        <v>5057</v>
      </c>
      <c r="C1583" t="s">
        <v>5058</v>
      </c>
      <c r="D1583" t="s">
        <v>5055</v>
      </c>
      <c r="E1583">
        <v>0</v>
      </c>
      <c r="F1583" t="str">
        <f>HYPERLINK("https://github.com/SCCapstone/diet/issues/56", "show")</f>
        <v>show</v>
      </c>
      <c r="G1583" t="str">
        <f>HYPERLINK("https://github.com/SCCapstone/diet", "show")</f>
        <v>show</v>
      </c>
      <c r="H1583" t="str">
        <f>HYPERLINK("https://github.com/SCCapstone/diet/releases", "show")</f>
        <v>show</v>
      </c>
      <c r="I1583">
        <v>0</v>
      </c>
      <c r="J1583">
        <v>0</v>
      </c>
      <c r="K1583">
        <v>0</v>
      </c>
      <c r="L1583">
        <v>1</v>
      </c>
      <c r="M1583" t="s">
        <v>581</v>
      </c>
    </row>
    <row r="1584" spans="1:13" hidden="1" x14ac:dyDescent="0.15">
      <c r="A1584" t="s">
        <v>5059</v>
      </c>
      <c r="B1584" t="s">
        <v>5060</v>
      </c>
      <c r="C1584" t="s">
        <v>5061</v>
      </c>
      <c r="D1584" t="s">
        <v>5055</v>
      </c>
      <c r="E1584">
        <v>0</v>
      </c>
      <c r="F1584" t="str">
        <f>HYPERLINK("https://github.com/SCCapstone/diet/issues/53", "show")</f>
        <v>show</v>
      </c>
      <c r="G1584" t="str">
        <f>HYPERLINK("https://github.com/SCCapstone/diet", "show")</f>
        <v>show</v>
      </c>
      <c r="H1584" t="str">
        <f>HYPERLINK("https://github.com/SCCapstone/diet/releases", "show")</f>
        <v>show</v>
      </c>
      <c r="I1584">
        <v>1</v>
      </c>
      <c r="J1584">
        <v>0</v>
      </c>
      <c r="K1584">
        <v>0</v>
      </c>
      <c r="L1584">
        <v>1</v>
      </c>
      <c r="M1584" t="s">
        <v>29</v>
      </c>
    </row>
    <row r="1585" spans="1:13" hidden="1" x14ac:dyDescent="0.15">
      <c r="A1585" t="s">
        <v>5062</v>
      </c>
      <c r="B1585" t="s">
        <v>5063</v>
      </c>
      <c r="C1585" t="s">
        <v>5064</v>
      </c>
      <c r="D1585" t="s">
        <v>5055</v>
      </c>
      <c r="E1585">
        <v>0</v>
      </c>
      <c r="F1585" t="str">
        <f>HYPERLINK("https://github.com/SCCapstone/diet/issues/50", "show")</f>
        <v>show</v>
      </c>
      <c r="G1585" t="str">
        <f>HYPERLINK("https://github.com/SCCapstone/diet", "show")</f>
        <v>show</v>
      </c>
      <c r="H1585" t="str">
        <f>HYPERLINK("https://github.com/SCCapstone/diet/releases", "show")</f>
        <v>show</v>
      </c>
      <c r="I1585">
        <v>1</v>
      </c>
      <c r="J1585">
        <v>0</v>
      </c>
      <c r="K1585">
        <v>0</v>
      </c>
      <c r="L1585">
        <v>1</v>
      </c>
      <c r="M1585" t="s">
        <v>29</v>
      </c>
    </row>
    <row r="1586" spans="1:13" hidden="1" x14ac:dyDescent="0.15">
      <c r="A1586" t="s">
        <v>5065</v>
      </c>
      <c r="B1586" t="s">
        <v>5066</v>
      </c>
      <c r="C1586" t="s">
        <v>5067</v>
      </c>
      <c r="D1586" t="s">
        <v>5055</v>
      </c>
      <c r="E1586">
        <v>13</v>
      </c>
      <c r="F1586" t="str">
        <f>HYPERLINK("https://github.com/SCCapstone/5chords/issues/86", "show")</f>
        <v>show</v>
      </c>
      <c r="G1586" t="str">
        <f>HYPERLINK("https://github.com/SCCapstone/5chords", "show")</f>
        <v>show</v>
      </c>
      <c r="H1586" t="str">
        <f>HYPERLINK("https://github.com/SCCapstone/5chords/releases", "show")</f>
        <v>show</v>
      </c>
      <c r="I1586">
        <v>0</v>
      </c>
      <c r="J1586">
        <v>0</v>
      </c>
      <c r="K1586">
        <v>0</v>
      </c>
      <c r="L1586">
        <v>0</v>
      </c>
      <c r="M1586" t="s">
        <v>43</v>
      </c>
    </row>
    <row r="1587" spans="1:13" hidden="1" x14ac:dyDescent="0.15">
      <c r="A1587" t="s">
        <v>5068</v>
      </c>
      <c r="B1587" t="s">
        <v>5069</v>
      </c>
      <c r="C1587" t="s">
        <v>5070</v>
      </c>
      <c r="D1587" t="s">
        <v>5055</v>
      </c>
      <c r="E1587">
        <v>0</v>
      </c>
      <c r="F1587" t="str">
        <f>HYPERLINK("https://github.com/SCCapstone/diet/issues/47", "show")</f>
        <v>show</v>
      </c>
      <c r="G1587" t="str">
        <f>HYPERLINK("https://github.com/SCCapstone/diet", "show")</f>
        <v>show</v>
      </c>
      <c r="H1587" t="str">
        <f>HYPERLINK("https://github.com/SCCapstone/diet/releases", "show")</f>
        <v>show</v>
      </c>
      <c r="I1587">
        <v>1</v>
      </c>
      <c r="J1587">
        <v>0</v>
      </c>
      <c r="K1587">
        <v>0</v>
      </c>
      <c r="L1587">
        <v>1</v>
      </c>
      <c r="M1587" t="s">
        <v>29</v>
      </c>
    </row>
    <row r="1588" spans="1:13" hidden="1" x14ac:dyDescent="0.15">
      <c r="A1588" t="s">
        <v>5071</v>
      </c>
      <c r="B1588" t="s">
        <v>5072</v>
      </c>
      <c r="C1588" t="s">
        <v>5073</v>
      </c>
      <c r="D1588" t="s">
        <v>5055</v>
      </c>
      <c r="E1588">
        <v>0</v>
      </c>
      <c r="F1588" t="str">
        <f>HYPERLINK("https://github.com/SCCapstone/diet/issues/45", "show")</f>
        <v>show</v>
      </c>
      <c r="G1588" t="str">
        <f>HYPERLINK("https://github.com/SCCapstone/diet", "show")</f>
        <v>show</v>
      </c>
      <c r="H1588" t="str">
        <f>HYPERLINK("https://github.com/SCCapstone/diet/releases", "show")</f>
        <v>show</v>
      </c>
      <c r="I1588">
        <v>1</v>
      </c>
      <c r="J1588">
        <v>0</v>
      </c>
      <c r="K1588">
        <v>0</v>
      </c>
      <c r="L1588">
        <v>1</v>
      </c>
      <c r="M1588" t="s">
        <v>29</v>
      </c>
    </row>
    <row r="1589" spans="1:13" hidden="1" x14ac:dyDescent="0.15">
      <c r="A1589" t="s">
        <v>5074</v>
      </c>
      <c r="B1589" t="s">
        <v>5075</v>
      </c>
      <c r="C1589" t="s">
        <v>5076</v>
      </c>
      <c r="D1589" t="s">
        <v>5055</v>
      </c>
      <c r="E1589">
        <v>23</v>
      </c>
      <c r="F1589" t="str">
        <f>HYPERLINK("https://github.com/google/blockly-android/issues/190", "show")</f>
        <v>show</v>
      </c>
      <c r="G1589" t="str">
        <f>HYPERLINK("https://github.com/google/blockly-android", "show")</f>
        <v>show</v>
      </c>
      <c r="H1589" t="str">
        <f>HYPERLINK("https://github.com/google/blockly-android/releases", "show")</f>
        <v>show</v>
      </c>
      <c r="I1589">
        <v>1</v>
      </c>
      <c r="J1589">
        <v>0</v>
      </c>
      <c r="K1589">
        <v>0</v>
      </c>
      <c r="L1589">
        <v>0</v>
      </c>
      <c r="M1589" t="s">
        <v>17</v>
      </c>
    </row>
    <row r="1590" spans="1:13" hidden="1" x14ac:dyDescent="0.15">
      <c r="A1590" t="s">
        <v>5077</v>
      </c>
      <c r="B1590" t="s">
        <v>5078</v>
      </c>
      <c r="C1590" t="s">
        <v>5079</v>
      </c>
      <c r="D1590" t="s">
        <v>5080</v>
      </c>
      <c r="E1590">
        <v>61</v>
      </c>
      <c r="F1590" t="str">
        <f>HYPERLINK("https://github.com/Crash-Test-Buddies/WiFi-Buddy/issues/53", "show")</f>
        <v>show</v>
      </c>
      <c r="G1590" t="str">
        <f>HYPERLINK("https://github.com/Crash-Test-Buddies/WiFi-Buddy", "show")</f>
        <v>show</v>
      </c>
      <c r="H1590" t="str">
        <f>HYPERLINK("https://github.com/Crash-Test-Buddies/WiFi-Buddy/releases", "show")</f>
        <v>show</v>
      </c>
      <c r="I1590">
        <v>1</v>
      </c>
      <c r="J1590">
        <v>0</v>
      </c>
      <c r="K1590">
        <v>0</v>
      </c>
      <c r="L1590">
        <v>0</v>
      </c>
      <c r="M1590" t="s">
        <v>17</v>
      </c>
    </row>
    <row r="1591" spans="1:13" hidden="1" x14ac:dyDescent="0.15">
      <c r="A1591" t="s">
        <v>5081</v>
      </c>
      <c r="B1591" t="s">
        <v>5082</v>
      </c>
      <c r="D1591" t="s">
        <v>5080</v>
      </c>
      <c r="E1591">
        <v>89</v>
      </c>
      <c r="F1591" t="str">
        <f>HYPERLINK("https://github.com/stefan-niedermann/nextcloud-notes/issues/111", "show")</f>
        <v>show</v>
      </c>
      <c r="G1591" t="str">
        <f>HYPERLINK("https://github.com/stefan-niedermann/nextcloud-notes", "show")</f>
        <v>show</v>
      </c>
      <c r="H1591" t="str">
        <f>HYPERLINK("https://github.com/stefan-niedermann/nextcloud-notes/releases", "show")</f>
        <v>show</v>
      </c>
      <c r="I1591">
        <v>1</v>
      </c>
      <c r="J1591">
        <v>0</v>
      </c>
      <c r="K1591">
        <v>0</v>
      </c>
      <c r="L1591">
        <v>0</v>
      </c>
      <c r="M1591" t="s">
        <v>17</v>
      </c>
    </row>
    <row r="1592" spans="1:13" hidden="1" x14ac:dyDescent="0.15">
      <c r="A1592" t="s">
        <v>5083</v>
      </c>
      <c r="B1592" t="s">
        <v>5084</v>
      </c>
      <c r="D1592" t="s">
        <v>5085</v>
      </c>
      <c r="E1592">
        <v>3</v>
      </c>
      <c r="F1592" t="str">
        <f>HYPERLINK("https://github.com/stuartsoft/PingIT/issues/51", "show")</f>
        <v>show</v>
      </c>
      <c r="G1592" t="str">
        <f>HYPERLINK("https://github.com/stuartsoft/PingIT", "show")</f>
        <v>show</v>
      </c>
      <c r="H1592" t="str">
        <f>HYPERLINK("https://github.com/stuartsoft/PingIT/releases", "show")</f>
        <v>show</v>
      </c>
      <c r="I1592">
        <v>1</v>
      </c>
      <c r="J1592">
        <v>0</v>
      </c>
      <c r="K1592">
        <v>0</v>
      </c>
      <c r="L1592">
        <v>0</v>
      </c>
      <c r="M1592" t="s">
        <v>17</v>
      </c>
    </row>
    <row r="1593" spans="1:13" hidden="1" x14ac:dyDescent="0.15">
      <c r="A1593" t="s">
        <v>5086</v>
      </c>
      <c r="B1593" t="s">
        <v>5087</v>
      </c>
      <c r="C1593" t="s">
        <v>5088</v>
      </c>
      <c r="D1593" t="s">
        <v>5085</v>
      </c>
      <c r="E1593">
        <v>0</v>
      </c>
      <c r="F1593" t="str">
        <f>HYPERLINK("https://github.com/EdwardvanRaak/MaterialBarcodeScanner/issues/1", "show")</f>
        <v>show</v>
      </c>
      <c r="G1593" t="str">
        <f>HYPERLINK("https://github.com/EdwardvanRaak/MaterialBarcodeScanner", "show")</f>
        <v>show</v>
      </c>
      <c r="H1593" t="str">
        <f>HYPERLINK("https://github.com/EdwardvanRaak/MaterialBarcodeScanner/releases", "show")</f>
        <v>show</v>
      </c>
      <c r="I1593">
        <v>1</v>
      </c>
      <c r="J1593">
        <v>0</v>
      </c>
      <c r="K1593">
        <v>0</v>
      </c>
      <c r="L1593">
        <v>0</v>
      </c>
      <c r="M1593" t="s">
        <v>17</v>
      </c>
    </row>
    <row r="1594" spans="1:13" hidden="1" x14ac:dyDescent="0.15">
      <c r="A1594" t="s">
        <v>5089</v>
      </c>
      <c r="B1594" t="s">
        <v>5090</v>
      </c>
      <c r="C1594" t="s">
        <v>5091</v>
      </c>
      <c r="D1594" t="s">
        <v>5092</v>
      </c>
      <c r="E1594">
        <v>34</v>
      </c>
      <c r="F1594" t="str">
        <f>HYPERLINK("https://github.com/mendhak/gpslogger/issues/430", "show")</f>
        <v>show</v>
      </c>
      <c r="G1594" t="str">
        <f>HYPERLINK("https://github.com/mendhak/gpslogger", "show")</f>
        <v>show</v>
      </c>
      <c r="H1594" t="str">
        <f>HYPERLINK("https://github.com/mendhak/gpslogger/releases", "show")</f>
        <v>show</v>
      </c>
      <c r="I1594">
        <v>1</v>
      </c>
      <c r="J1594">
        <v>0</v>
      </c>
      <c r="K1594">
        <v>0</v>
      </c>
      <c r="L1594">
        <v>0</v>
      </c>
      <c r="M1594" t="s">
        <v>17</v>
      </c>
    </row>
    <row r="1595" spans="1:13" hidden="1" x14ac:dyDescent="0.15">
      <c r="A1595" t="s">
        <v>5093</v>
      </c>
      <c r="B1595" t="s">
        <v>5094</v>
      </c>
      <c r="C1595" t="s">
        <v>5095</v>
      </c>
      <c r="D1595" t="s">
        <v>5092</v>
      </c>
      <c r="E1595">
        <v>2</v>
      </c>
      <c r="F1595" t="str">
        <f>HYPERLINK("https://github.com/k9mail/k-9/issues/1293", "show")</f>
        <v>show</v>
      </c>
      <c r="G1595" t="str">
        <f>HYPERLINK("https://github.com/k9mail/k-9", "show")</f>
        <v>show</v>
      </c>
      <c r="H1595" t="str">
        <f>HYPERLINK("https://github.com/k9mail/k-9/releases", "show")</f>
        <v>show</v>
      </c>
      <c r="I1595">
        <v>1</v>
      </c>
      <c r="J1595">
        <v>1</v>
      </c>
      <c r="K1595">
        <v>1</v>
      </c>
      <c r="L1595">
        <v>0</v>
      </c>
      <c r="M1595" t="s">
        <v>59</v>
      </c>
    </row>
    <row r="1596" spans="1:13" hidden="1" x14ac:dyDescent="0.15">
      <c r="A1596" t="s">
        <v>5096</v>
      </c>
      <c r="B1596" t="s">
        <v>5097</v>
      </c>
      <c r="C1596" t="s">
        <v>5098</v>
      </c>
      <c r="D1596" t="s">
        <v>5092</v>
      </c>
      <c r="E1596">
        <v>4</v>
      </c>
      <c r="F1596" t="str">
        <f>HYPERLINK("https://github.com/ongakuer/CircleIndicator/issues/54", "show")</f>
        <v>show</v>
      </c>
      <c r="G1596" t="str">
        <f>HYPERLINK("https://github.com/ongakuer/CircleIndicator", "show")</f>
        <v>show</v>
      </c>
      <c r="H1596" t="str">
        <f>HYPERLINK("https://github.com/ongakuer/CircleIndicator/releases", "show")</f>
        <v>show</v>
      </c>
      <c r="I1596">
        <v>1</v>
      </c>
      <c r="J1596">
        <v>0</v>
      </c>
      <c r="K1596">
        <v>0</v>
      </c>
      <c r="L1596">
        <v>0</v>
      </c>
      <c r="M1596" t="s">
        <v>17</v>
      </c>
    </row>
    <row r="1597" spans="1:13" hidden="1" x14ac:dyDescent="0.15">
      <c r="A1597" t="s">
        <v>5099</v>
      </c>
      <c r="B1597" t="s">
        <v>5100</v>
      </c>
      <c r="C1597" t="s">
        <v>5101</v>
      </c>
      <c r="D1597" t="s">
        <v>5092</v>
      </c>
      <c r="E1597">
        <v>13</v>
      </c>
      <c r="F1597" t="str">
        <f>HYPERLINK("https://github.com/ladybirdweb/faveo-helpdesk-android-app/issues/11", "show")</f>
        <v>show</v>
      </c>
      <c r="G1597" t="str">
        <f>HYPERLINK("https://github.com/ladybirdweb/faveo-helpdesk-android-app", "show")</f>
        <v>show</v>
      </c>
      <c r="H1597" t="str">
        <f>HYPERLINK("https://github.com/ladybirdweb/faveo-helpdesk-android-app/releases", "show")</f>
        <v>show</v>
      </c>
      <c r="I1597">
        <v>1</v>
      </c>
      <c r="J1597">
        <v>0</v>
      </c>
      <c r="K1597">
        <v>0</v>
      </c>
      <c r="L1597">
        <v>0</v>
      </c>
      <c r="M1597" t="s">
        <v>17</v>
      </c>
    </row>
    <row r="1598" spans="1:13" hidden="1" x14ac:dyDescent="0.15">
      <c r="A1598" t="s">
        <v>5102</v>
      </c>
      <c r="B1598" t="s">
        <v>5103</v>
      </c>
      <c r="C1598" t="s">
        <v>5104</v>
      </c>
      <c r="D1598" t="s">
        <v>5105</v>
      </c>
      <c r="E1598">
        <v>2</v>
      </c>
      <c r="F1598" t="str">
        <f>HYPERLINK("https://github.com/koral--/android-gif-drawable/issues/277", "show")</f>
        <v>show</v>
      </c>
      <c r="G1598" t="str">
        <f>HYPERLINK("https://github.com/koral--/android-gif-drawable", "show")</f>
        <v>show</v>
      </c>
      <c r="H1598" t="str">
        <f>HYPERLINK("https://github.com/koral--/android-gif-drawable/releases", "show")</f>
        <v>show</v>
      </c>
      <c r="I1598">
        <v>1</v>
      </c>
      <c r="J1598">
        <v>0</v>
      </c>
      <c r="K1598">
        <v>0</v>
      </c>
      <c r="L1598">
        <v>0</v>
      </c>
      <c r="M1598" t="s">
        <v>17</v>
      </c>
    </row>
    <row r="1599" spans="1:13" hidden="1" x14ac:dyDescent="0.15">
      <c r="A1599" t="s">
        <v>5106</v>
      </c>
      <c r="B1599" t="s">
        <v>5107</v>
      </c>
      <c r="C1599" t="s">
        <v>5108</v>
      </c>
      <c r="D1599" t="s">
        <v>5105</v>
      </c>
      <c r="E1599">
        <v>2</v>
      </c>
      <c r="F1599" t="str">
        <f>HYPERLINK("https://github.com/syncthing/syncthing-android/issues/620", "show")</f>
        <v>show</v>
      </c>
      <c r="G1599" t="str">
        <f>HYPERLINK("https://github.com/syncthing/syncthing-android", "show")</f>
        <v>show</v>
      </c>
      <c r="H1599" t="str">
        <f>HYPERLINK("https://github.com/syncthing/syncthing-android/releases", "show")</f>
        <v>show</v>
      </c>
      <c r="I1599">
        <v>1</v>
      </c>
      <c r="J1599">
        <v>1</v>
      </c>
      <c r="K1599">
        <v>1</v>
      </c>
      <c r="L1599">
        <v>0</v>
      </c>
      <c r="M1599" t="s">
        <v>59</v>
      </c>
    </row>
    <row r="1600" spans="1:13" hidden="1" x14ac:dyDescent="0.15">
      <c r="A1600" t="s">
        <v>5109</v>
      </c>
      <c r="B1600" t="s">
        <v>5110</v>
      </c>
      <c r="C1600" t="s">
        <v>5111</v>
      </c>
      <c r="D1600" t="s">
        <v>5105</v>
      </c>
      <c r="E1600">
        <v>47</v>
      </c>
      <c r="F1600" t="str">
        <f>HYPERLINK("https://github.com/Crash-Test-Buddies/WiFi-Buddy/issues/58", "show")</f>
        <v>show</v>
      </c>
      <c r="G1600" t="str">
        <f>HYPERLINK("https://github.com/Crash-Test-Buddies/WiFi-Buddy", "show")</f>
        <v>show</v>
      </c>
      <c r="H1600" t="str">
        <f>HYPERLINK("https://github.com/Crash-Test-Buddies/WiFi-Buddy/releases", "show")</f>
        <v>show</v>
      </c>
      <c r="I1600">
        <v>1</v>
      </c>
      <c r="J1600">
        <v>0</v>
      </c>
      <c r="K1600">
        <v>0</v>
      </c>
      <c r="L1600">
        <v>0</v>
      </c>
      <c r="M1600" t="s">
        <v>17</v>
      </c>
    </row>
    <row r="1601" spans="1:13" hidden="1" x14ac:dyDescent="0.15">
      <c r="A1601" t="s">
        <v>5112</v>
      </c>
      <c r="B1601" t="s">
        <v>5113</v>
      </c>
      <c r="D1601" t="s">
        <v>5114</v>
      </c>
      <c r="E1601">
        <v>44</v>
      </c>
      <c r="F1601" t="str">
        <f>HYPERLINK("https://github.com/Crash-Test-Buddies/WiFi-Buddy/issues/60", "show")</f>
        <v>show</v>
      </c>
      <c r="G1601" t="str">
        <f>HYPERLINK("https://github.com/Crash-Test-Buddies/WiFi-Buddy", "show")</f>
        <v>show</v>
      </c>
      <c r="H1601" t="str">
        <f>HYPERLINK("https://github.com/Crash-Test-Buddies/WiFi-Buddy/releases", "show")</f>
        <v>show</v>
      </c>
      <c r="I1601">
        <v>1</v>
      </c>
      <c r="J1601">
        <v>0</v>
      </c>
      <c r="K1601">
        <v>0</v>
      </c>
      <c r="L1601">
        <v>0</v>
      </c>
      <c r="M1601" t="s">
        <v>17</v>
      </c>
    </row>
    <row r="1602" spans="1:13" hidden="1" x14ac:dyDescent="0.15">
      <c r="A1602" t="s">
        <v>5115</v>
      </c>
      <c r="B1602" t="s">
        <v>5116</v>
      </c>
      <c r="C1602" t="s">
        <v>5117</v>
      </c>
      <c r="D1602" t="s">
        <v>5114</v>
      </c>
      <c r="E1602">
        <v>0</v>
      </c>
      <c r="F1602" t="str">
        <f>HYPERLINK("https://github.com/dimagi/commcare-android/issues/1211", "show")</f>
        <v>show</v>
      </c>
      <c r="G1602" t="str">
        <f>HYPERLINK("https://github.com/dimagi/commcare-android", "show")</f>
        <v>show</v>
      </c>
      <c r="H1602" t="str">
        <f>HYPERLINK("https://github.com/dimagi/commcare-android/releases", "show")</f>
        <v>show</v>
      </c>
      <c r="I1602">
        <v>1</v>
      </c>
      <c r="J1602">
        <v>0</v>
      </c>
      <c r="K1602">
        <v>0</v>
      </c>
      <c r="L1602">
        <v>0</v>
      </c>
      <c r="M1602" t="s">
        <v>17</v>
      </c>
    </row>
    <row r="1603" spans="1:13" hidden="1" x14ac:dyDescent="0.15">
      <c r="A1603" t="s">
        <v>5118</v>
      </c>
      <c r="B1603" t="s">
        <v>5119</v>
      </c>
      <c r="C1603" t="s">
        <v>5120</v>
      </c>
      <c r="D1603" t="s">
        <v>5114</v>
      </c>
      <c r="E1603">
        <v>1</v>
      </c>
      <c r="F1603" t="str">
        <f>HYPERLINK("https://github.com/geopaparazzi/geopaparazzi/issues/314", "show")</f>
        <v>show</v>
      </c>
      <c r="G1603" t="str">
        <f>HYPERLINK("https://github.com/geopaparazzi/geopaparazzi", "show")</f>
        <v>show</v>
      </c>
      <c r="H1603" t="str">
        <f>HYPERLINK("https://github.com/geopaparazzi/geopaparazzi/releases", "show")</f>
        <v>show</v>
      </c>
      <c r="I1603">
        <v>0</v>
      </c>
      <c r="J1603">
        <v>0</v>
      </c>
      <c r="K1603">
        <v>1</v>
      </c>
      <c r="L1603">
        <v>0</v>
      </c>
      <c r="M1603" t="s">
        <v>122</v>
      </c>
    </row>
    <row r="1604" spans="1:13" hidden="1" x14ac:dyDescent="0.15">
      <c r="A1604" t="s">
        <v>5121</v>
      </c>
      <c r="B1604" t="s">
        <v>5122</v>
      </c>
      <c r="C1604" t="s">
        <v>5123</v>
      </c>
      <c r="D1604" t="s">
        <v>5124</v>
      </c>
      <c r="E1604">
        <v>0</v>
      </c>
      <c r="F1604" t="str">
        <f>HYPERLINK("https://github.com/dimagi/commcare-android/issues/1214", "show")</f>
        <v>show</v>
      </c>
      <c r="G1604" t="str">
        <f>HYPERLINK("https://github.com/dimagi/commcare-android", "show")</f>
        <v>show</v>
      </c>
      <c r="H1604" t="str">
        <f>HYPERLINK("https://github.com/dimagi/commcare-android/releases", "show")</f>
        <v>show</v>
      </c>
      <c r="I1604">
        <v>0</v>
      </c>
      <c r="J1604">
        <v>0</v>
      </c>
      <c r="K1604">
        <v>0</v>
      </c>
      <c r="L1604">
        <v>0</v>
      </c>
      <c r="M1604" t="s">
        <v>43</v>
      </c>
    </row>
    <row r="1605" spans="1:13" hidden="1" x14ac:dyDescent="0.15">
      <c r="A1605" t="s">
        <v>5125</v>
      </c>
      <c r="B1605" t="s">
        <v>5126</v>
      </c>
      <c r="C1605" t="s">
        <v>5127</v>
      </c>
      <c r="D1605" t="s">
        <v>5124</v>
      </c>
      <c r="E1605">
        <v>2</v>
      </c>
      <c r="F1605" t="str">
        <f>HYPERLINK("https://github.com/ZieIony/Carbon/issues/239", "show")</f>
        <v>show</v>
      </c>
      <c r="G1605" t="str">
        <f>HYPERLINK("https://github.com/ZieIony/Carbon", "show")</f>
        <v>show</v>
      </c>
      <c r="H1605" t="str">
        <f>HYPERLINK("https://github.com/ZieIony/Carbon/releases", "show")</f>
        <v>show</v>
      </c>
      <c r="I1605">
        <v>0</v>
      </c>
      <c r="J1605">
        <v>0</v>
      </c>
      <c r="K1605">
        <v>0</v>
      </c>
      <c r="L1605">
        <v>0</v>
      </c>
      <c r="M1605" t="s">
        <v>43</v>
      </c>
    </row>
    <row r="1606" spans="1:13" hidden="1" x14ac:dyDescent="0.15">
      <c r="A1606" t="s">
        <v>5128</v>
      </c>
      <c r="B1606" t="s">
        <v>5129</v>
      </c>
      <c r="C1606" t="s">
        <v>5130</v>
      </c>
      <c r="D1606" t="s">
        <v>5124</v>
      </c>
      <c r="E1606">
        <v>0</v>
      </c>
      <c r="F1606" t="str">
        <f>HYPERLINK("https://github.com/ccrama/Slide/issues/1486", "show")</f>
        <v>show</v>
      </c>
      <c r="G1606" t="str">
        <f>HYPERLINK("https://github.com/ccrama/Slide", "show")</f>
        <v>show</v>
      </c>
      <c r="H1606" t="str">
        <f>HYPERLINK("https://github.com/ccrama/Slide/releases", "show")</f>
        <v>show</v>
      </c>
      <c r="I1606">
        <v>0</v>
      </c>
      <c r="J1606">
        <v>0</v>
      </c>
      <c r="K1606">
        <v>0</v>
      </c>
      <c r="L1606">
        <v>0</v>
      </c>
      <c r="M1606" t="s">
        <v>43</v>
      </c>
    </row>
    <row r="1607" spans="1:13" hidden="1" x14ac:dyDescent="0.15">
      <c r="A1607" t="s">
        <v>5131</v>
      </c>
      <c r="B1607" t="s">
        <v>5132</v>
      </c>
      <c r="C1607" t="s">
        <v>5133</v>
      </c>
      <c r="D1607" t="s">
        <v>5124</v>
      </c>
      <c r="E1607">
        <v>538</v>
      </c>
      <c r="F1607" t="str">
        <f>HYPERLINK("https://github.com/k-hatano/tapchord/issues/25", "show")</f>
        <v>show</v>
      </c>
      <c r="G1607" t="str">
        <f>HYPERLINK("https://github.com/k-hatano/tapchord", "show")</f>
        <v>show</v>
      </c>
      <c r="H1607" t="str">
        <f>HYPERLINK("https://github.com/k-hatano/tapchord/releases", "show")</f>
        <v>show</v>
      </c>
      <c r="I1607">
        <v>0</v>
      </c>
      <c r="J1607">
        <v>0</v>
      </c>
      <c r="K1607">
        <v>0</v>
      </c>
      <c r="L1607">
        <v>0</v>
      </c>
      <c r="M1607" t="s">
        <v>43</v>
      </c>
    </row>
    <row r="1608" spans="1:13" hidden="1" x14ac:dyDescent="0.15">
      <c r="A1608" t="s">
        <v>5134</v>
      </c>
      <c r="B1608" t="s">
        <v>5135</v>
      </c>
      <c r="C1608" t="s">
        <v>5136</v>
      </c>
      <c r="D1608" t="s">
        <v>5137</v>
      </c>
      <c r="E1608">
        <v>20</v>
      </c>
      <c r="F1608" t="str">
        <f>HYPERLINK("https://github.com/mpiannucci/HackWinds-Android/issues/105", "show")</f>
        <v>show</v>
      </c>
      <c r="G1608" t="str">
        <f>HYPERLINK("https://github.com/mpiannucci/HackWinds-Android", "show")</f>
        <v>show</v>
      </c>
      <c r="H1608" t="str">
        <f>HYPERLINK("https://github.com/mpiannucci/HackWinds-Android/releases", "show")</f>
        <v>show</v>
      </c>
      <c r="I1608">
        <v>1</v>
      </c>
      <c r="J1608">
        <v>0</v>
      </c>
      <c r="K1608">
        <v>0</v>
      </c>
      <c r="L1608">
        <v>0</v>
      </c>
      <c r="M1608" t="s">
        <v>17</v>
      </c>
    </row>
    <row r="1609" spans="1:13" hidden="1" x14ac:dyDescent="0.15">
      <c r="A1609" t="s">
        <v>5138</v>
      </c>
      <c r="B1609" t="s">
        <v>5139</v>
      </c>
      <c r="C1609" t="s">
        <v>5140</v>
      </c>
      <c r="D1609" t="s">
        <v>5137</v>
      </c>
      <c r="E1609">
        <v>2</v>
      </c>
      <c r="F1609" t="str">
        <f>HYPERLINK("https://github.com/AnimeNeko/Atarashii/issues/484", "show")</f>
        <v>show</v>
      </c>
      <c r="G1609" t="str">
        <f>HYPERLINK("https://github.com/AnimeNeko/Atarashii", "show")</f>
        <v>show</v>
      </c>
      <c r="H1609" t="str">
        <f>HYPERLINK("https://github.com/AnimeNeko/Atarashii/releases", "show")</f>
        <v>show</v>
      </c>
      <c r="I1609">
        <v>1</v>
      </c>
      <c r="J1609">
        <v>0</v>
      </c>
      <c r="K1609">
        <v>1</v>
      </c>
      <c r="L1609">
        <v>0</v>
      </c>
      <c r="M1609" t="s">
        <v>64</v>
      </c>
    </row>
    <row r="1610" spans="1:13" hidden="1" x14ac:dyDescent="0.15">
      <c r="A1610" t="s">
        <v>5141</v>
      </c>
      <c r="B1610" t="s">
        <v>5142</v>
      </c>
      <c r="C1610" t="s">
        <v>5143</v>
      </c>
      <c r="D1610" t="s">
        <v>5137</v>
      </c>
      <c r="E1610">
        <v>7</v>
      </c>
      <c r="F1610" t="str">
        <f>HYPERLINK("https://github.com/eurofurence/ef-app_android/issues/21", "show")</f>
        <v>show</v>
      </c>
      <c r="G1610" t="str">
        <f>HYPERLINK("https://github.com/eurofurence/ef-app_android", "show")</f>
        <v>show</v>
      </c>
      <c r="H1610" t="str">
        <f>HYPERLINK("https://github.com/eurofurence/ef-app_android/releases", "show")</f>
        <v>show</v>
      </c>
      <c r="I1610">
        <v>1</v>
      </c>
      <c r="J1610">
        <v>0</v>
      </c>
      <c r="K1610">
        <v>0</v>
      </c>
      <c r="L1610">
        <v>0</v>
      </c>
      <c r="M1610" t="s">
        <v>17</v>
      </c>
    </row>
    <row r="1611" spans="1:13" hidden="1" x14ac:dyDescent="0.15">
      <c r="A1611" t="s">
        <v>5144</v>
      </c>
      <c r="B1611" t="s">
        <v>5145</v>
      </c>
      <c r="C1611" t="s">
        <v>5146</v>
      </c>
      <c r="D1611" t="s">
        <v>5147</v>
      </c>
      <c r="E1611">
        <v>0</v>
      </c>
      <c r="F1611" t="str">
        <f>HYPERLINK("https://github.com/neuralcubes/musephero/issues/35", "show")</f>
        <v>show</v>
      </c>
      <c r="G1611" t="str">
        <f>HYPERLINK("https://github.com/neuralcubes/musephero", "show")</f>
        <v>show</v>
      </c>
      <c r="H1611" t="str">
        <f>HYPERLINK("https://github.com/neuralcubes/musephero/releases", "show")</f>
        <v>show</v>
      </c>
      <c r="I1611">
        <v>0</v>
      </c>
      <c r="J1611">
        <v>0</v>
      </c>
      <c r="K1611">
        <v>0</v>
      </c>
      <c r="L1611">
        <v>0</v>
      </c>
      <c r="M1611" t="s">
        <v>43</v>
      </c>
    </row>
    <row r="1612" spans="1:13" hidden="1" x14ac:dyDescent="0.15">
      <c r="A1612" t="s">
        <v>5148</v>
      </c>
      <c r="B1612" t="s">
        <v>5149</v>
      </c>
      <c r="C1612" t="s">
        <v>5150</v>
      </c>
      <c r="D1612" t="s">
        <v>5151</v>
      </c>
      <c r="E1612">
        <v>0</v>
      </c>
      <c r="F1612" t="str">
        <f>HYPERLINK("https://github.com/Intelehealth/Android-Mobile-Client/issues/44", "show")</f>
        <v>show</v>
      </c>
      <c r="G1612" t="str">
        <f>HYPERLINK("https://github.com/Intelehealth/Android-Mobile-Client", "show")</f>
        <v>show</v>
      </c>
      <c r="H1612" t="str">
        <f>HYPERLINK("https://github.com/Intelehealth/Android-Mobile-Client/releases", "show")</f>
        <v>show</v>
      </c>
      <c r="I1612">
        <v>0</v>
      </c>
      <c r="J1612">
        <v>0</v>
      </c>
      <c r="K1612">
        <v>0</v>
      </c>
      <c r="L1612">
        <v>0</v>
      </c>
      <c r="M1612" t="s">
        <v>43</v>
      </c>
    </row>
    <row r="1613" spans="1:13" hidden="1" x14ac:dyDescent="0.15">
      <c r="A1613" t="s">
        <v>5152</v>
      </c>
      <c r="B1613" t="s">
        <v>5153</v>
      </c>
      <c r="C1613" t="s">
        <v>5154</v>
      </c>
      <c r="D1613" t="s">
        <v>5151</v>
      </c>
      <c r="E1613">
        <v>35</v>
      </c>
      <c r="F1613" t="str">
        <f>HYPERLINK("https://github.com/Phantast/smartnavi/issues/10", "show")</f>
        <v>show</v>
      </c>
      <c r="G1613" t="str">
        <f>HYPERLINK("https://github.com/Phantast/smartnavi", "show")</f>
        <v>show</v>
      </c>
      <c r="H1613" t="str">
        <f>HYPERLINK("https://github.com/Phantast/smartnavi/releases", "show")</f>
        <v>show</v>
      </c>
      <c r="I1613">
        <v>1</v>
      </c>
      <c r="J1613">
        <v>0</v>
      </c>
      <c r="K1613">
        <v>0</v>
      </c>
      <c r="L1613">
        <v>0</v>
      </c>
      <c r="M1613" t="s">
        <v>17</v>
      </c>
    </row>
    <row r="1614" spans="1:13" hidden="1" x14ac:dyDescent="0.15">
      <c r="A1614" t="s">
        <v>5155</v>
      </c>
      <c r="B1614" t="s">
        <v>5156</v>
      </c>
      <c r="C1614" t="s">
        <v>5157</v>
      </c>
      <c r="D1614" t="s">
        <v>5158</v>
      </c>
      <c r="E1614">
        <v>36</v>
      </c>
      <c r="F1614" t="str">
        <f>HYPERLINK("https://github.com/crazyhitty/Munch/issues/24", "show")</f>
        <v>show</v>
      </c>
      <c r="G1614" t="str">
        <f>HYPERLINK("https://github.com/crazyhitty/Munch", "show")</f>
        <v>show</v>
      </c>
      <c r="H1614" t="str">
        <f>HYPERLINK("https://github.com/crazyhitty/Munch/releases", "show")</f>
        <v>show</v>
      </c>
      <c r="I1614">
        <v>1</v>
      </c>
      <c r="J1614">
        <v>0</v>
      </c>
      <c r="K1614">
        <v>0</v>
      </c>
      <c r="L1614">
        <v>0</v>
      </c>
      <c r="M1614" t="s">
        <v>17</v>
      </c>
    </row>
    <row r="1615" spans="1:13" hidden="1" x14ac:dyDescent="0.15">
      <c r="A1615" t="s">
        <v>5159</v>
      </c>
      <c r="B1615" t="s">
        <v>5160</v>
      </c>
      <c r="C1615" t="s">
        <v>5161</v>
      </c>
      <c r="D1615" t="s">
        <v>5158</v>
      </c>
      <c r="E1615">
        <v>3</v>
      </c>
      <c r="F1615" t="str">
        <f>HYPERLINK("https://github.com/deib-polimi/PigeonMessanger/issues/2", "show")</f>
        <v>show</v>
      </c>
      <c r="G1615" t="str">
        <f>HYPERLINK("https://github.com/deib-polimi/PigeonMessanger", "show")</f>
        <v>show</v>
      </c>
      <c r="H1615" t="str">
        <f>HYPERLINK("https://github.com/deib-polimi/PigeonMessanger/releases", "show")</f>
        <v>show</v>
      </c>
      <c r="I1615">
        <v>0</v>
      </c>
      <c r="J1615">
        <v>0</v>
      </c>
      <c r="K1615">
        <v>0</v>
      </c>
      <c r="L1615">
        <v>1</v>
      </c>
      <c r="M1615" t="s">
        <v>581</v>
      </c>
    </row>
    <row r="1616" spans="1:13" hidden="1" x14ac:dyDescent="0.15">
      <c r="A1616" t="s">
        <v>5162</v>
      </c>
      <c r="B1616" t="s">
        <v>5163</v>
      </c>
      <c r="C1616" t="s">
        <v>5164</v>
      </c>
      <c r="D1616" t="s">
        <v>5165</v>
      </c>
      <c r="E1616">
        <v>0</v>
      </c>
      <c r="F1616" t="str">
        <f>HYPERLINK("https://github.com/ma1co/OpenMemories-Tweak/issues/5", "show")</f>
        <v>show</v>
      </c>
      <c r="G1616" t="str">
        <f>HYPERLINK("https://github.com/ma1co/OpenMemories-Tweak", "show")</f>
        <v>show</v>
      </c>
      <c r="H1616" t="str">
        <f>HYPERLINK("https://github.com/ma1co/OpenMemories-Tweak/releases", "show")</f>
        <v>show</v>
      </c>
      <c r="I1616">
        <v>0</v>
      </c>
      <c r="J1616">
        <v>0</v>
      </c>
      <c r="K1616">
        <v>0</v>
      </c>
      <c r="L1616">
        <v>0</v>
      </c>
      <c r="M1616" t="s">
        <v>43</v>
      </c>
    </row>
    <row r="1617" spans="1:13" hidden="1" x14ac:dyDescent="0.15">
      <c r="A1617" t="s">
        <v>5166</v>
      </c>
      <c r="B1617" t="s">
        <v>5167</v>
      </c>
      <c r="C1617" t="s">
        <v>5168</v>
      </c>
      <c r="D1617" t="s">
        <v>5165</v>
      </c>
      <c r="E1617">
        <v>123</v>
      </c>
      <c r="F1617" t="str">
        <f>HYPERLINK("https://github.com/ladybirdweb/faveo-helpdesk-android-app/issues/46", "show")</f>
        <v>show</v>
      </c>
      <c r="G1617" t="str">
        <f>HYPERLINK("https://github.com/ladybirdweb/faveo-helpdesk-android-app", "show")</f>
        <v>show</v>
      </c>
      <c r="H1617" t="str">
        <f>HYPERLINK("https://github.com/ladybirdweb/faveo-helpdesk-android-app/releases", "show")</f>
        <v>show</v>
      </c>
      <c r="I1617">
        <v>1</v>
      </c>
      <c r="J1617">
        <v>0</v>
      </c>
      <c r="K1617">
        <v>0</v>
      </c>
      <c r="L1617">
        <v>0</v>
      </c>
      <c r="M1617" t="s">
        <v>17</v>
      </c>
    </row>
    <row r="1618" spans="1:13" hidden="1" x14ac:dyDescent="0.15">
      <c r="A1618" t="s">
        <v>5169</v>
      </c>
      <c r="B1618" t="s">
        <v>5170</v>
      </c>
      <c r="C1618" t="s">
        <v>5171</v>
      </c>
      <c r="D1618" t="s">
        <v>5172</v>
      </c>
      <c r="E1618">
        <v>8</v>
      </c>
      <c r="F1618" t="str">
        <f>HYPERLINK("https://github.com/syncthing/syncthing-android/issues/632", "show")</f>
        <v>show</v>
      </c>
      <c r="G1618" t="str">
        <f>HYPERLINK("https://github.com/syncthing/syncthing-android", "show")</f>
        <v>show</v>
      </c>
      <c r="H1618" t="str">
        <f>HYPERLINK("https://github.com/syncthing/syncthing-android/releases", "show")</f>
        <v>show</v>
      </c>
      <c r="I1618">
        <v>1</v>
      </c>
      <c r="J1618">
        <v>0</v>
      </c>
      <c r="K1618">
        <v>0</v>
      </c>
      <c r="L1618">
        <v>0</v>
      </c>
      <c r="M1618" t="s">
        <v>17</v>
      </c>
    </row>
    <row r="1619" spans="1:13" hidden="1" x14ac:dyDescent="0.15">
      <c r="A1619" t="s">
        <v>5173</v>
      </c>
      <c r="B1619" t="s">
        <v>5174</v>
      </c>
      <c r="C1619" t="s">
        <v>5175</v>
      </c>
      <c r="D1619" t="s">
        <v>5172</v>
      </c>
      <c r="E1619">
        <v>279</v>
      </c>
      <c r="F1619" t="str">
        <f>HYPERLINK("https://github.com/google/ExoPlayer/issues/1474", "show")</f>
        <v>show</v>
      </c>
      <c r="G1619" t="str">
        <f>HYPERLINK("https://github.com/google/ExoPlayer", "show")</f>
        <v>show</v>
      </c>
      <c r="H1619" t="str">
        <f>HYPERLINK("https://github.com/google/ExoPlayer/releases", "show")</f>
        <v>show</v>
      </c>
      <c r="I1619">
        <v>0</v>
      </c>
      <c r="J1619">
        <v>0</v>
      </c>
      <c r="K1619">
        <v>0</v>
      </c>
      <c r="L1619">
        <v>0</v>
      </c>
      <c r="M1619" t="s">
        <v>43</v>
      </c>
    </row>
    <row r="1620" spans="1:13" hidden="1" x14ac:dyDescent="0.15">
      <c r="A1620" t="s">
        <v>5176</v>
      </c>
      <c r="B1620" t="s">
        <v>5177</v>
      </c>
      <c r="C1620" t="s">
        <v>5178</v>
      </c>
      <c r="D1620" t="s">
        <v>5172</v>
      </c>
      <c r="E1620">
        <v>2</v>
      </c>
      <c r="F1620" t="str">
        <f>HYPERLINK("https://github.com/ltGuillaume/DroidShows/issues/16", "show")</f>
        <v>show</v>
      </c>
      <c r="G1620" t="str">
        <f>HYPERLINK("https://github.com/ltGuillaume/DroidShows", "show")</f>
        <v>show</v>
      </c>
      <c r="H1620" t="str">
        <f>HYPERLINK("https://github.com/ltGuillaume/DroidShows/releases", "show")</f>
        <v>show</v>
      </c>
      <c r="I1620">
        <v>0</v>
      </c>
      <c r="J1620">
        <v>0</v>
      </c>
      <c r="K1620">
        <v>0</v>
      </c>
      <c r="L1620">
        <v>0</v>
      </c>
      <c r="M1620" t="s">
        <v>43</v>
      </c>
    </row>
    <row r="1621" spans="1:13" hidden="1" x14ac:dyDescent="0.15">
      <c r="A1621" t="s">
        <v>5179</v>
      </c>
      <c r="B1621" t="s">
        <v>5180</v>
      </c>
      <c r="C1621" t="s">
        <v>5181</v>
      </c>
      <c r="D1621" t="s">
        <v>5172</v>
      </c>
      <c r="E1621">
        <v>7</v>
      </c>
      <c r="F1621" t="str">
        <f>HYPERLINK("https://github.com/evernote/android-job/issues/29", "show")</f>
        <v>show</v>
      </c>
      <c r="G1621" t="str">
        <f>HYPERLINK("https://github.com/evernote/android-job", "show")</f>
        <v>show</v>
      </c>
      <c r="H1621" t="str">
        <f>HYPERLINK("https://github.com/evernote/android-job/releases", "show")</f>
        <v>show</v>
      </c>
      <c r="I1621">
        <v>0</v>
      </c>
      <c r="J1621">
        <v>0</v>
      </c>
      <c r="K1621">
        <v>1</v>
      </c>
      <c r="L1621">
        <v>0</v>
      </c>
      <c r="M1621" t="s">
        <v>122</v>
      </c>
    </row>
    <row r="1622" spans="1:13" hidden="1" x14ac:dyDescent="0.15">
      <c r="A1622" t="s">
        <v>5182</v>
      </c>
      <c r="B1622" t="s">
        <v>5183</v>
      </c>
      <c r="C1622" t="s">
        <v>5184</v>
      </c>
      <c r="D1622" t="s">
        <v>5185</v>
      </c>
      <c r="E1622">
        <v>1</v>
      </c>
      <c r="F1622" t="str">
        <f>HYPERLINK("https://github.com/eurofurence/ef-app_android/issues/26", "show")</f>
        <v>show</v>
      </c>
      <c r="G1622" t="str">
        <f>HYPERLINK("https://github.com/eurofurence/ef-app_android", "show")</f>
        <v>show</v>
      </c>
      <c r="H1622" t="str">
        <f>HYPERLINK("https://github.com/eurofurence/ef-app_android/releases", "show")</f>
        <v>show</v>
      </c>
      <c r="I1622">
        <v>1</v>
      </c>
      <c r="J1622">
        <v>0</v>
      </c>
      <c r="K1622">
        <v>1</v>
      </c>
      <c r="L1622">
        <v>0</v>
      </c>
      <c r="M1622" t="s">
        <v>64</v>
      </c>
    </row>
    <row r="1623" spans="1:13" hidden="1" x14ac:dyDescent="0.15">
      <c r="A1623" t="s">
        <v>5186</v>
      </c>
      <c r="B1623" t="s">
        <v>5187</v>
      </c>
      <c r="C1623" t="s">
        <v>5188</v>
      </c>
      <c r="D1623" t="s">
        <v>5185</v>
      </c>
      <c r="E1623">
        <v>1</v>
      </c>
      <c r="F1623" t="str">
        <f>HYPERLINK("https://github.com/Sloy/SeviBus/issues/9", "show")</f>
        <v>show</v>
      </c>
      <c r="G1623" t="str">
        <f>HYPERLINK("https://github.com/Sloy/SeviBus", "show")</f>
        <v>show</v>
      </c>
      <c r="H1623" t="str">
        <f>HYPERLINK("https://github.com/Sloy/SeviBus/releases", "show")</f>
        <v>show</v>
      </c>
      <c r="I1623">
        <v>1</v>
      </c>
      <c r="J1623">
        <v>0</v>
      </c>
      <c r="K1623">
        <v>0</v>
      </c>
      <c r="L1623">
        <v>0</v>
      </c>
      <c r="M1623" t="s">
        <v>17</v>
      </c>
    </row>
    <row r="1624" spans="1:13" hidden="1" x14ac:dyDescent="0.15">
      <c r="A1624" t="s">
        <v>5189</v>
      </c>
      <c r="B1624" t="s">
        <v>5190</v>
      </c>
      <c r="C1624" t="s">
        <v>5191</v>
      </c>
      <c r="D1624" t="s">
        <v>5185</v>
      </c>
      <c r="E1624">
        <v>12</v>
      </c>
      <c r="F1624" t="str">
        <f>HYPERLINK("https://github.com/UnevenSoftware/LeafPic/issues/143", "show")</f>
        <v>show</v>
      </c>
      <c r="G1624" t="str">
        <f>HYPERLINK("https://github.com/UnevenSoftware/LeafPic", "show")</f>
        <v>show</v>
      </c>
      <c r="H1624" t="str">
        <f>HYPERLINK("https://github.com/UnevenSoftware/LeafPic/releases", "show")</f>
        <v>show</v>
      </c>
      <c r="I1624">
        <v>1</v>
      </c>
      <c r="J1624">
        <v>0</v>
      </c>
      <c r="K1624">
        <v>0</v>
      </c>
      <c r="L1624">
        <v>0</v>
      </c>
      <c r="M1624" t="s">
        <v>17</v>
      </c>
    </row>
    <row r="1625" spans="1:13" hidden="1" x14ac:dyDescent="0.15">
      <c r="A1625" t="s">
        <v>5192</v>
      </c>
      <c r="B1625" t="s">
        <v>5193</v>
      </c>
      <c r="C1625" t="s">
        <v>5194</v>
      </c>
      <c r="D1625" t="s">
        <v>5195</v>
      </c>
      <c r="E1625">
        <v>564</v>
      </c>
      <c r="F1625" t="str">
        <f>HYPERLINK("https://github.com/syncthing/syncthing-android/issues/634", "show")</f>
        <v>show</v>
      </c>
      <c r="G1625" t="str">
        <f>HYPERLINK("https://github.com/syncthing/syncthing-android", "show")</f>
        <v>show</v>
      </c>
      <c r="H1625" t="str">
        <f>HYPERLINK("https://github.com/syncthing/syncthing-android/releases", "show")</f>
        <v>show</v>
      </c>
      <c r="I1625">
        <v>0</v>
      </c>
      <c r="J1625">
        <v>0</v>
      </c>
      <c r="K1625">
        <v>0</v>
      </c>
      <c r="L1625">
        <v>0</v>
      </c>
      <c r="M1625" t="s">
        <v>43</v>
      </c>
    </row>
    <row r="1626" spans="1:13" hidden="1" x14ac:dyDescent="0.15">
      <c r="A1626" t="s">
        <v>5196</v>
      </c>
      <c r="B1626" t="s">
        <v>5197</v>
      </c>
      <c r="C1626" t="s">
        <v>5198</v>
      </c>
      <c r="D1626" t="s">
        <v>5195</v>
      </c>
      <c r="E1626">
        <v>0</v>
      </c>
      <c r="F1626" t="str">
        <f>HYPERLINK("https://github.com/OneBusAway/onebusaway-android/issues/473", "show")</f>
        <v>show</v>
      </c>
      <c r="G1626" t="str">
        <f>HYPERLINK("https://github.com/OneBusAway/onebusaway-android", "show")</f>
        <v>show</v>
      </c>
      <c r="H1626" t="str">
        <f>HYPERLINK("https://github.com/OneBusAway/onebusaway-android/releases", "show")</f>
        <v>show</v>
      </c>
      <c r="I1626">
        <v>1</v>
      </c>
      <c r="J1626">
        <v>1</v>
      </c>
      <c r="K1626">
        <v>1</v>
      </c>
      <c r="L1626">
        <v>0</v>
      </c>
      <c r="M1626" t="s">
        <v>59</v>
      </c>
    </row>
    <row r="1627" spans="1:13" hidden="1" x14ac:dyDescent="0.15">
      <c r="A1627" t="s">
        <v>5199</v>
      </c>
      <c r="B1627" t="s">
        <v>5200</v>
      </c>
      <c r="C1627" t="s">
        <v>5201</v>
      </c>
      <c r="D1627" t="s">
        <v>5195</v>
      </c>
      <c r="E1627">
        <v>506</v>
      </c>
      <c r="F1627" t="str">
        <f>HYPERLINK("https://github.com/ganfra/MaterialSpinner/issues/68", "show")</f>
        <v>show</v>
      </c>
      <c r="G1627" t="str">
        <f>HYPERLINK("https://github.com/ganfra/MaterialSpinner", "show")</f>
        <v>show</v>
      </c>
      <c r="H1627" t="str">
        <f>HYPERLINK("https://github.com/ganfra/MaterialSpinner/releases", "show")</f>
        <v>show</v>
      </c>
      <c r="I1627">
        <v>1</v>
      </c>
      <c r="J1627">
        <v>0</v>
      </c>
      <c r="K1627">
        <v>1</v>
      </c>
      <c r="L1627">
        <v>0</v>
      </c>
      <c r="M1627" t="s">
        <v>64</v>
      </c>
    </row>
    <row r="1628" spans="1:13" x14ac:dyDescent="0.15">
      <c r="A1628" t="s">
        <v>5202</v>
      </c>
      <c r="B1628" t="s">
        <v>5203</v>
      </c>
      <c r="C1628" t="s">
        <v>5204</v>
      </c>
      <c r="D1628" t="s">
        <v>5205</v>
      </c>
      <c r="E1628">
        <v>723</v>
      </c>
      <c r="F1628" t="str">
        <f>HYPERLINK("https://github.com/syncthing/syncthing-android/issues/637", "show")</f>
        <v>show</v>
      </c>
      <c r="G1628" t="str">
        <f>HYPERLINK("https://github.com/syncthing/syncthing-android", "show")</f>
        <v>show</v>
      </c>
      <c r="H1628" t="str">
        <f>HYPERLINK("https://github.com/syncthing/syncthing-android/releases", "show")</f>
        <v>show</v>
      </c>
      <c r="I1628">
        <v>0</v>
      </c>
      <c r="J1628">
        <v>1</v>
      </c>
      <c r="K1628">
        <v>0</v>
      </c>
      <c r="L1628">
        <v>0</v>
      </c>
      <c r="M1628" t="s">
        <v>139</v>
      </c>
    </row>
    <row r="1629" spans="1:13" hidden="1" x14ac:dyDescent="0.15">
      <c r="A1629" t="s">
        <v>5206</v>
      </c>
      <c r="B1629" t="s">
        <v>5207</v>
      </c>
      <c r="C1629" t="s">
        <v>5208</v>
      </c>
      <c r="D1629" t="s">
        <v>5205</v>
      </c>
      <c r="E1629">
        <v>0</v>
      </c>
      <c r="F1629" t="str">
        <f>HYPERLINK("https://github.com/Sloy/SeviBus/issues/14", "show")</f>
        <v>show</v>
      </c>
      <c r="G1629" t="str">
        <f>HYPERLINK("https://github.com/Sloy/SeviBus", "show")</f>
        <v>show</v>
      </c>
      <c r="H1629" t="str">
        <f>HYPERLINK("https://github.com/Sloy/SeviBus/releases", "show")</f>
        <v>show</v>
      </c>
      <c r="I1629">
        <v>0</v>
      </c>
      <c r="J1629">
        <v>0</v>
      </c>
      <c r="K1629">
        <v>0</v>
      </c>
      <c r="L1629">
        <v>0</v>
      </c>
      <c r="M1629" t="s">
        <v>43</v>
      </c>
    </row>
    <row r="1630" spans="1:13" hidden="1" x14ac:dyDescent="0.15">
      <c r="A1630" t="s">
        <v>5209</v>
      </c>
      <c r="B1630" t="s">
        <v>5210</v>
      </c>
      <c r="C1630" t="s">
        <v>5211</v>
      </c>
      <c r="D1630" t="s">
        <v>5205</v>
      </c>
      <c r="E1630">
        <v>212</v>
      </c>
      <c r="F1630" t="str">
        <f>HYPERLINK("https://github.com/kontalk/androidclient/issues/703", "show")</f>
        <v>show</v>
      </c>
      <c r="G1630" t="str">
        <f>HYPERLINK("https://github.com/kontalk/androidclient", "show")</f>
        <v>show</v>
      </c>
      <c r="H1630" t="str">
        <f>HYPERLINK("https://github.com/kontalk/androidclient/releases", "show")</f>
        <v>show</v>
      </c>
      <c r="I1630">
        <v>1</v>
      </c>
      <c r="J1630">
        <v>0</v>
      </c>
      <c r="K1630">
        <v>1</v>
      </c>
      <c r="L1630">
        <v>0</v>
      </c>
      <c r="M1630" t="s">
        <v>64</v>
      </c>
    </row>
    <row r="1631" spans="1:13" hidden="1" x14ac:dyDescent="0.15">
      <c r="A1631" t="s">
        <v>5212</v>
      </c>
      <c r="B1631" t="s">
        <v>5213</v>
      </c>
      <c r="C1631" t="s">
        <v>5214</v>
      </c>
      <c r="D1631" t="s">
        <v>5205</v>
      </c>
      <c r="E1631">
        <v>8</v>
      </c>
      <c r="F1631" t="str">
        <f>HYPERLINK("https://github.com/ankidroid/Anki-Android/issues/4254", "show")</f>
        <v>show</v>
      </c>
      <c r="G1631" t="str">
        <f>HYPERLINK("https://github.com/ankidroid/Anki-Android", "show")</f>
        <v>show</v>
      </c>
      <c r="H1631" t="str">
        <f>HYPERLINK("https://github.com/ankidroid/Anki-Android/releases", "show")</f>
        <v>show</v>
      </c>
      <c r="I1631">
        <v>1</v>
      </c>
      <c r="J1631">
        <v>0</v>
      </c>
      <c r="K1631">
        <v>0</v>
      </c>
      <c r="L1631">
        <v>0</v>
      </c>
      <c r="M1631" t="s">
        <v>17</v>
      </c>
    </row>
    <row r="1632" spans="1:13" hidden="1" x14ac:dyDescent="0.15">
      <c r="A1632" t="s">
        <v>5215</v>
      </c>
      <c r="B1632" t="s">
        <v>5216</v>
      </c>
      <c r="C1632" t="s">
        <v>5217</v>
      </c>
      <c r="D1632" t="s">
        <v>5218</v>
      </c>
      <c r="E1632">
        <v>8</v>
      </c>
      <c r="F1632" t="str">
        <f>HYPERLINK("https://github.com/SecUSo/privacy-friendly-boardgame-clock/issues/12", "show")</f>
        <v>show</v>
      </c>
      <c r="G1632" t="str">
        <f>HYPERLINK("https://github.com/SecUSo/privacy-friendly-boardgame-clock", "show")</f>
        <v>show</v>
      </c>
      <c r="H1632" t="str">
        <f>HYPERLINK("https://github.com/SecUSo/privacy-friendly-boardgame-clock/releases", "show")</f>
        <v>show</v>
      </c>
      <c r="I1632">
        <v>1</v>
      </c>
      <c r="J1632">
        <v>1</v>
      </c>
      <c r="K1632">
        <v>0</v>
      </c>
      <c r="L1632">
        <v>0</v>
      </c>
      <c r="M1632" t="s">
        <v>48</v>
      </c>
    </row>
    <row r="1633" spans="1:13" hidden="1" x14ac:dyDescent="0.15">
      <c r="A1633" t="s">
        <v>5219</v>
      </c>
      <c r="B1633" t="s">
        <v>5220</v>
      </c>
      <c r="C1633" t="s">
        <v>5221</v>
      </c>
      <c r="D1633" t="s">
        <v>5218</v>
      </c>
      <c r="E1633">
        <v>116</v>
      </c>
      <c r="F1633" t="str">
        <f>HYPERLINK("https://github.com/ladybirdweb/faveo-helpdesk-android-app/issues/48", "show")</f>
        <v>show</v>
      </c>
      <c r="G1633" t="str">
        <f>HYPERLINK("https://github.com/ladybirdweb/faveo-helpdesk-android-app", "show")</f>
        <v>show</v>
      </c>
      <c r="H1633" t="str">
        <f>HYPERLINK("https://github.com/ladybirdweb/faveo-helpdesk-android-app/releases", "show")</f>
        <v>show</v>
      </c>
      <c r="I1633">
        <v>0</v>
      </c>
      <c r="J1633">
        <v>0</v>
      </c>
      <c r="K1633">
        <v>0</v>
      </c>
      <c r="L1633">
        <v>0</v>
      </c>
      <c r="M1633" t="s">
        <v>43</v>
      </c>
    </row>
    <row r="1634" spans="1:13" hidden="1" x14ac:dyDescent="0.15">
      <c r="A1634" t="s">
        <v>5222</v>
      </c>
      <c r="B1634" t="s">
        <v>5223</v>
      </c>
      <c r="C1634" t="s">
        <v>5224</v>
      </c>
      <c r="D1634" t="s">
        <v>5218</v>
      </c>
      <c r="E1634">
        <v>5</v>
      </c>
      <c r="F1634" t="str">
        <f>HYPERLINK("https://github.com/CellularPrivacy/Android-IMSI-Catcher-Detector/issues/870", "show")</f>
        <v>show</v>
      </c>
      <c r="G1634" t="str">
        <f>HYPERLINK("https://github.com/CellularPrivacy/Android-IMSI-Catcher-Detector", "show")</f>
        <v>show</v>
      </c>
      <c r="H1634" t="str">
        <f>HYPERLINK("https://github.com/CellularPrivacy/Android-IMSI-Catcher-Detector/releases", "show")</f>
        <v>show</v>
      </c>
      <c r="I1634">
        <v>1</v>
      </c>
      <c r="J1634">
        <v>1</v>
      </c>
      <c r="K1634">
        <v>0</v>
      </c>
      <c r="L1634">
        <v>1</v>
      </c>
      <c r="M1634" t="s">
        <v>1894</v>
      </c>
    </row>
    <row r="1635" spans="1:13" hidden="1" x14ac:dyDescent="0.15">
      <c r="A1635" t="s">
        <v>5225</v>
      </c>
      <c r="B1635" t="s">
        <v>5226</v>
      </c>
      <c r="C1635" t="s">
        <v>5227</v>
      </c>
      <c r="D1635" t="s">
        <v>5228</v>
      </c>
      <c r="E1635">
        <v>146</v>
      </c>
      <c r="F1635" t="str">
        <f>HYPERLINK("https://github.com/wallabag/android-app/issues/237", "show")</f>
        <v>show</v>
      </c>
      <c r="G1635" t="str">
        <f>HYPERLINK("https://github.com/wallabag/android-app", "show")</f>
        <v>show</v>
      </c>
      <c r="H1635" t="str">
        <f>HYPERLINK("https://github.com/wallabag/android-app/releases", "show")</f>
        <v>show</v>
      </c>
      <c r="I1635">
        <v>0</v>
      </c>
      <c r="J1635">
        <v>1</v>
      </c>
      <c r="K1635">
        <v>1</v>
      </c>
      <c r="L1635">
        <v>0</v>
      </c>
      <c r="M1635" t="s">
        <v>699</v>
      </c>
    </row>
    <row r="1636" spans="1:13" hidden="1" x14ac:dyDescent="0.15">
      <c r="A1636" t="s">
        <v>5229</v>
      </c>
      <c r="B1636" t="s">
        <v>5230</v>
      </c>
      <c r="C1636" t="s">
        <v>5231</v>
      </c>
      <c r="D1636" t="s">
        <v>5232</v>
      </c>
      <c r="E1636">
        <v>2</v>
      </c>
      <c r="F1636" t="str">
        <f>HYPERLINK("https://github.com/konradrenner/kolabnotes-android/issues/127", "show")</f>
        <v>show</v>
      </c>
      <c r="G1636" t="str">
        <f>HYPERLINK("https://github.com/konradrenner/kolabnotes-android", "show")</f>
        <v>show</v>
      </c>
      <c r="H1636" t="str">
        <f>HYPERLINK("https://github.com/konradrenner/kolabnotes-android/releases", "show")</f>
        <v>show</v>
      </c>
      <c r="I1636">
        <v>1</v>
      </c>
      <c r="J1636">
        <v>0</v>
      </c>
      <c r="K1636">
        <v>0</v>
      </c>
      <c r="L1636">
        <v>0</v>
      </c>
      <c r="M1636" t="s">
        <v>17</v>
      </c>
    </row>
    <row r="1637" spans="1:13" hidden="1" x14ac:dyDescent="0.15">
      <c r="A1637" t="s">
        <v>5233</v>
      </c>
      <c r="B1637" t="s">
        <v>5234</v>
      </c>
      <c r="C1637" t="s">
        <v>5235</v>
      </c>
      <c r="D1637" t="s">
        <v>5232</v>
      </c>
      <c r="E1637">
        <v>35</v>
      </c>
      <c r="F1637" t="str">
        <f>HYPERLINK("https://github.com/MythTV-Clients/MythtvPlayerForAndroid/issues/147", "show")</f>
        <v>show</v>
      </c>
      <c r="G1637" t="str">
        <f>HYPERLINK("https://github.com/MythTV-Clients/MythtvPlayerForAndroid", "show")</f>
        <v>show</v>
      </c>
      <c r="H1637" t="str">
        <f>HYPERLINK("https://github.com/MythTV-Clients/MythtvPlayerForAndroid/releases", "show")</f>
        <v>show</v>
      </c>
      <c r="I1637">
        <v>0</v>
      </c>
      <c r="J1637">
        <v>0</v>
      </c>
      <c r="K1637">
        <v>1</v>
      </c>
      <c r="L1637">
        <v>0</v>
      </c>
      <c r="M1637" t="s">
        <v>122</v>
      </c>
    </row>
    <row r="1638" spans="1:13" hidden="1" x14ac:dyDescent="0.15">
      <c r="A1638" t="s">
        <v>5236</v>
      </c>
      <c r="B1638" t="s">
        <v>5237</v>
      </c>
      <c r="C1638" t="s">
        <v>5238</v>
      </c>
      <c r="D1638" t="s">
        <v>5239</v>
      </c>
      <c r="E1638">
        <v>1</v>
      </c>
      <c r="F1638" t="str">
        <f>HYPERLINK("https://github.com/user-don/MyRuns/issues/13", "show")</f>
        <v>show</v>
      </c>
      <c r="G1638" t="str">
        <f>HYPERLINK("https://github.com/user-don/MyRuns", "show")</f>
        <v>show</v>
      </c>
      <c r="H1638" t="str">
        <f>HYPERLINK("https://github.com/user-don/MyRuns/releases", "show")</f>
        <v>show</v>
      </c>
      <c r="I1638">
        <v>0</v>
      </c>
      <c r="J1638">
        <v>0</v>
      </c>
      <c r="K1638">
        <v>0</v>
      </c>
      <c r="L1638">
        <v>0</v>
      </c>
      <c r="M1638" t="s">
        <v>43</v>
      </c>
    </row>
    <row r="1639" spans="1:13" hidden="1" x14ac:dyDescent="0.15">
      <c r="A1639" t="s">
        <v>5240</v>
      </c>
      <c r="B1639" t="s">
        <v>5241</v>
      </c>
      <c r="C1639" t="s">
        <v>5242</v>
      </c>
      <c r="D1639" t="s">
        <v>5239</v>
      </c>
      <c r="E1639">
        <v>5</v>
      </c>
      <c r="F1639" t="str">
        <f>HYPERLINK("https://github.com/OneBusAway/onebusaway-android/issues/480", "show")</f>
        <v>show</v>
      </c>
      <c r="G1639" t="str">
        <f>HYPERLINK("https://github.com/OneBusAway/onebusaway-android", "show")</f>
        <v>show</v>
      </c>
      <c r="H1639" t="str">
        <f>HYPERLINK("https://github.com/OneBusAway/onebusaway-android/releases", "show")</f>
        <v>show</v>
      </c>
      <c r="I1639">
        <v>1</v>
      </c>
      <c r="J1639">
        <v>1</v>
      </c>
      <c r="K1639">
        <v>1</v>
      </c>
      <c r="L1639">
        <v>0</v>
      </c>
      <c r="M1639" t="s">
        <v>59</v>
      </c>
    </row>
    <row r="1640" spans="1:13" hidden="1" x14ac:dyDescent="0.15">
      <c r="A1640" t="s">
        <v>5243</v>
      </c>
      <c r="B1640" t="s">
        <v>5244</v>
      </c>
      <c r="C1640" t="s">
        <v>5245</v>
      </c>
      <c r="D1640" t="s">
        <v>5239</v>
      </c>
      <c r="E1640">
        <v>15</v>
      </c>
      <c r="F1640" t="str">
        <f>HYPERLINK("https://github.com/mendhak/gpslogger/issues/438", "show")</f>
        <v>show</v>
      </c>
      <c r="G1640" t="str">
        <f>HYPERLINK("https://github.com/mendhak/gpslogger", "show")</f>
        <v>show</v>
      </c>
      <c r="H1640" t="str">
        <f>HYPERLINK("https://github.com/mendhak/gpslogger/releases", "show")</f>
        <v>show</v>
      </c>
      <c r="I1640">
        <v>0</v>
      </c>
      <c r="J1640">
        <v>0</v>
      </c>
      <c r="K1640">
        <v>0</v>
      </c>
      <c r="L1640">
        <v>0</v>
      </c>
      <c r="M1640" t="s">
        <v>43</v>
      </c>
    </row>
    <row r="1641" spans="1:13" hidden="1" x14ac:dyDescent="0.15">
      <c r="A1641" t="s">
        <v>5246</v>
      </c>
      <c r="B1641" t="s">
        <v>5247</v>
      </c>
      <c r="C1641" t="s">
        <v>5248</v>
      </c>
      <c r="D1641" t="s">
        <v>5249</v>
      </c>
      <c r="E1641">
        <v>5</v>
      </c>
      <c r="F1641" t="str">
        <f>HYPERLINK("https://github.com/microg/GmsCore/issues/127", "show")</f>
        <v>show</v>
      </c>
      <c r="G1641" t="str">
        <f>HYPERLINK("https://github.com/microg/GmsCore", "show")</f>
        <v>show</v>
      </c>
      <c r="H1641" t="str">
        <f>HYPERLINK("https://github.com/microg/GmsCore/releases", "show")</f>
        <v>show</v>
      </c>
      <c r="I1641">
        <v>1</v>
      </c>
      <c r="J1641">
        <v>0</v>
      </c>
      <c r="K1641">
        <v>1</v>
      </c>
      <c r="L1641">
        <v>0</v>
      </c>
      <c r="M1641" t="s">
        <v>64</v>
      </c>
    </row>
    <row r="1642" spans="1:13" hidden="1" x14ac:dyDescent="0.15">
      <c r="A1642" t="s">
        <v>5250</v>
      </c>
      <c r="B1642" t="s">
        <v>5251</v>
      </c>
      <c r="C1642" t="s">
        <v>5252</v>
      </c>
      <c r="D1642" t="s">
        <v>5249</v>
      </c>
      <c r="E1642">
        <v>1</v>
      </c>
      <c r="F1642" t="str">
        <f>HYPERLINK("https://github.com/vanilla-music/vanilla/issues/336", "show")</f>
        <v>show</v>
      </c>
      <c r="G1642" t="str">
        <f>HYPERLINK("https://github.com/vanilla-music/vanilla", "show")</f>
        <v>show</v>
      </c>
      <c r="H1642" t="str">
        <f>HYPERLINK("https://github.com/vanilla-music/vanilla/releases", "show")</f>
        <v>show</v>
      </c>
      <c r="I1642">
        <v>0</v>
      </c>
      <c r="J1642">
        <v>0</v>
      </c>
      <c r="K1642">
        <v>1</v>
      </c>
      <c r="L1642">
        <v>0</v>
      </c>
      <c r="M1642" t="s">
        <v>122</v>
      </c>
    </row>
    <row r="1643" spans="1:13" hidden="1" x14ac:dyDescent="0.15">
      <c r="A1643" t="s">
        <v>5253</v>
      </c>
      <c r="B1643" t="s">
        <v>5254</v>
      </c>
      <c r="D1643" t="s">
        <v>5255</v>
      </c>
      <c r="E1643">
        <v>2</v>
      </c>
      <c r="F1643" t="str">
        <f>HYPERLINK("https://github.com/UMKCTeamSeven/OmniChessRandD/issues/11", "show")</f>
        <v>show</v>
      </c>
      <c r="G1643" t="str">
        <f>HYPERLINK("https://github.com/UMKCTeamSeven/OmniChessRandD", "show")</f>
        <v>show</v>
      </c>
      <c r="H1643" t="str">
        <f>HYPERLINK("https://github.com/UMKCTeamSeven/OmniChessRandD/releases", "show")</f>
        <v>show</v>
      </c>
      <c r="I1643">
        <v>1</v>
      </c>
      <c r="J1643">
        <v>0</v>
      </c>
      <c r="K1643">
        <v>0</v>
      </c>
      <c r="L1643">
        <v>0</v>
      </c>
      <c r="M1643" t="s">
        <v>17</v>
      </c>
    </row>
    <row r="1644" spans="1:13" hidden="1" x14ac:dyDescent="0.15">
      <c r="A1644" t="s">
        <v>5256</v>
      </c>
      <c r="B1644" t="s">
        <v>5257</v>
      </c>
      <c r="C1644" t="s">
        <v>5258</v>
      </c>
      <c r="D1644" t="s">
        <v>5255</v>
      </c>
      <c r="E1644">
        <v>0</v>
      </c>
      <c r="F1644" t="str">
        <f>HYPERLINK("https://github.com/medyo/Fancybuttons/issues/59", "show")</f>
        <v>show</v>
      </c>
      <c r="G1644" t="str">
        <f>HYPERLINK("https://github.com/medyo/Fancybuttons", "show")</f>
        <v>show</v>
      </c>
      <c r="H1644" t="str">
        <f>HYPERLINK("https://github.com/medyo/Fancybuttons/releases", "show")</f>
        <v>show</v>
      </c>
      <c r="I1644">
        <v>1</v>
      </c>
      <c r="J1644">
        <v>0</v>
      </c>
      <c r="K1644">
        <v>0</v>
      </c>
      <c r="L1644">
        <v>0</v>
      </c>
      <c r="M1644" t="s">
        <v>17</v>
      </c>
    </row>
    <row r="1645" spans="1:13" hidden="1" x14ac:dyDescent="0.15">
      <c r="A1645" t="s">
        <v>5259</v>
      </c>
      <c r="B1645" t="s">
        <v>5260</v>
      </c>
      <c r="C1645" t="s">
        <v>5261</v>
      </c>
      <c r="D1645" t="s">
        <v>5255</v>
      </c>
      <c r="E1645">
        <v>5</v>
      </c>
      <c r="F1645" t="str">
        <f>HYPERLINK("https://github.com/vickychijwani/quill/issues/121", "show")</f>
        <v>show</v>
      </c>
      <c r="G1645" t="str">
        <f>HYPERLINK("https://github.com/vickychijwani/quill", "show")</f>
        <v>show</v>
      </c>
      <c r="H1645" t="str">
        <f>HYPERLINK("https://github.com/vickychijwani/quill/releases", "show")</f>
        <v>show</v>
      </c>
      <c r="I1645">
        <v>1</v>
      </c>
      <c r="J1645">
        <v>0</v>
      </c>
      <c r="K1645">
        <v>0</v>
      </c>
      <c r="L1645">
        <v>0</v>
      </c>
      <c r="M1645" t="s">
        <v>17</v>
      </c>
    </row>
    <row r="1646" spans="1:13" hidden="1" x14ac:dyDescent="0.15">
      <c r="A1646" t="s">
        <v>5262</v>
      </c>
      <c r="B1646" t="s">
        <v>5263</v>
      </c>
      <c r="C1646" t="s">
        <v>5264</v>
      </c>
      <c r="D1646" t="s">
        <v>5255</v>
      </c>
      <c r="E1646">
        <v>31</v>
      </c>
      <c r="F1646" t="str">
        <f>HYPERLINK("https://github.com/Phantast/smartnavi/issues/11", "show")</f>
        <v>show</v>
      </c>
      <c r="G1646" t="str">
        <f>HYPERLINK("https://github.com/Phantast/smartnavi", "show")</f>
        <v>show</v>
      </c>
      <c r="H1646" t="str">
        <f>HYPERLINK("https://github.com/Phantast/smartnavi/releases", "show")</f>
        <v>show</v>
      </c>
      <c r="I1646">
        <v>1</v>
      </c>
      <c r="J1646">
        <v>0</v>
      </c>
      <c r="K1646">
        <v>0</v>
      </c>
      <c r="L1646">
        <v>0</v>
      </c>
      <c r="M1646" t="s">
        <v>17</v>
      </c>
    </row>
    <row r="1647" spans="1:13" hidden="1" x14ac:dyDescent="0.15">
      <c r="A1647" t="s">
        <v>5265</v>
      </c>
      <c r="B1647" t="s">
        <v>5266</v>
      </c>
      <c r="C1647" t="s">
        <v>5267</v>
      </c>
      <c r="D1647" t="s">
        <v>5268</v>
      </c>
      <c r="E1647">
        <v>42</v>
      </c>
      <c r="F1647" t="str">
        <f>HYPERLINK("https://github.com/davideas/FlexibleAdapter/issues/78", "show")</f>
        <v>show</v>
      </c>
      <c r="G1647" t="str">
        <f>HYPERLINK("https://github.com/davideas/FlexibleAdapter", "show")</f>
        <v>show</v>
      </c>
      <c r="H1647" t="str">
        <f>HYPERLINK("https://github.com/davideas/FlexibleAdapter/releases", "show")</f>
        <v>show</v>
      </c>
      <c r="I1647">
        <v>1</v>
      </c>
      <c r="J1647">
        <v>0</v>
      </c>
      <c r="K1647">
        <v>1</v>
      </c>
      <c r="L1647">
        <v>0</v>
      </c>
      <c r="M1647" t="s">
        <v>64</v>
      </c>
    </row>
    <row r="1648" spans="1:13" hidden="1" x14ac:dyDescent="0.15">
      <c r="A1648" t="s">
        <v>5269</v>
      </c>
      <c r="B1648" t="s">
        <v>5270</v>
      </c>
      <c r="C1648" t="s">
        <v>5271</v>
      </c>
      <c r="D1648" t="s">
        <v>5268</v>
      </c>
      <c r="E1648">
        <v>1350</v>
      </c>
      <c r="F1648" t="str">
        <f>HYPERLINK("https://github.com/zhuowei/MCPELauncher/issues/983", "show")</f>
        <v>show</v>
      </c>
      <c r="G1648" t="str">
        <f>HYPERLINK("https://github.com/zhuowei/MCPELauncher", "show")</f>
        <v>show</v>
      </c>
      <c r="H1648" t="str">
        <f>HYPERLINK("https://github.com/zhuowei/MCPELauncher/releases", "show")</f>
        <v>show</v>
      </c>
      <c r="I1648">
        <v>1</v>
      </c>
      <c r="J1648">
        <v>0</v>
      </c>
      <c r="K1648">
        <v>0</v>
      </c>
      <c r="L1648">
        <v>0</v>
      </c>
      <c r="M1648" t="s">
        <v>17</v>
      </c>
    </row>
    <row r="1649" spans="1:13" hidden="1" x14ac:dyDescent="0.15">
      <c r="A1649" t="s">
        <v>5272</v>
      </c>
      <c r="B1649" t="s">
        <v>5273</v>
      </c>
      <c r="C1649" t="s">
        <v>5274</v>
      </c>
      <c r="D1649" t="s">
        <v>5275</v>
      </c>
      <c r="E1649">
        <v>127</v>
      </c>
      <c r="F1649" t="str">
        <f>HYPERLINK("https://github.com/kontalk/androidclient/issues/723", "show")</f>
        <v>show</v>
      </c>
      <c r="G1649" t="str">
        <f>HYPERLINK("https://github.com/kontalk/androidclient", "show")</f>
        <v>show</v>
      </c>
      <c r="H1649" t="str">
        <f>HYPERLINK("https://github.com/kontalk/androidclient/releases", "show")</f>
        <v>show</v>
      </c>
      <c r="I1649">
        <v>0</v>
      </c>
      <c r="J1649">
        <v>1</v>
      </c>
      <c r="K1649">
        <v>1</v>
      </c>
      <c r="L1649">
        <v>0</v>
      </c>
      <c r="M1649" t="s">
        <v>699</v>
      </c>
    </row>
    <row r="1650" spans="1:13" hidden="1" x14ac:dyDescent="0.15">
      <c r="A1650" t="s">
        <v>5276</v>
      </c>
      <c r="B1650" t="s">
        <v>5277</v>
      </c>
      <c r="C1650" t="s">
        <v>5278</v>
      </c>
      <c r="D1650" t="s">
        <v>5275</v>
      </c>
      <c r="E1650">
        <v>163</v>
      </c>
      <c r="F1650" t="str">
        <f>HYPERLINK("https://github.com/tbruyelle/RxPermissions/issues/46", "show")</f>
        <v>show</v>
      </c>
      <c r="G1650" t="str">
        <f>HYPERLINK("https://github.com/tbruyelle/RxPermissions", "show")</f>
        <v>show</v>
      </c>
      <c r="H1650" t="str">
        <f>HYPERLINK("https://github.com/tbruyelle/RxPermissions/releases", "show")</f>
        <v>show</v>
      </c>
      <c r="I1650">
        <v>1</v>
      </c>
      <c r="J1650">
        <v>1</v>
      </c>
      <c r="K1650">
        <v>0</v>
      </c>
      <c r="L1650">
        <v>0</v>
      </c>
      <c r="M1650" t="s">
        <v>48</v>
      </c>
    </row>
    <row r="1651" spans="1:13" hidden="1" x14ac:dyDescent="0.15">
      <c r="A1651" t="s">
        <v>5279</v>
      </c>
      <c r="B1651" t="s">
        <v>5280</v>
      </c>
      <c r="C1651" t="s">
        <v>5281</v>
      </c>
      <c r="D1651" t="s">
        <v>5275</v>
      </c>
      <c r="E1651">
        <v>204</v>
      </c>
      <c r="F1651" t="str">
        <f>HYPERLINK("https://github.com/morenoh149/react-native-contacts/issues/59", "show")</f>
        <v>show</v>
      </c>
      <c r="G1651" t="str">
        <f>HYPERLINK("https://github.com/morenoh149/react-native-contacts", "show")</f>
        <v>show</v>
      </c>
      <c r="H1651" t="str">
        <f>HYPERLINK("https://github.com/morenoh149/react-native-contacts/releases", "show")</f>
        <v>show</v>
      </c>
      <c r="I1651">
        <v>1</v>
      </c>
      <c r="J1651">
        <v>1</v>
      </c>
      <c r="K1651">
        <v>0</v>
      </c>
      <c r="L1651">
        <v>0</v>
      </c>
      <c r="M1651" t="s">
        <v>48</v>
      </c>
    </row>
    <row r="1652" spans="1:13" hidden="1" x14ac:dyDescent="0.15">
      <c r="A1652" t="s">
        <v>5282</v>
      </c>
      <c r="B1652" t="s">
        <v>5283</v>
      </c>
      <c r="C1652" t="s">
        <v>5284</v>
      </c>
      <c r="D1652" t="s">
        <v>5275</v>
      </c>
      <c r="E1652">
        <v>1</v>
      </c>
      <c r="F1652" t="str">
        <f>HYPERLINK("https://github.com/consp1racy/android-support-preference/issues/31", "show")</f>
        <v>show</v>
      </c>
      <c r="G1652" t="str">
        <f>HYPERLINK("https://github.com/consp1racy/android-support-preference", "show")</f>
        <v>show</v>
      </c>
      <c r="H1652" t="str">
        <f>HYPERLINK("https://github.com/consp1racy/android-support-preference/releases", "show")</f>
        <v>show</v>
      </c>
      <c r="I1652">
        <v>0</v>
      </c>
      <c r="J1652">
        <v>0</v>
      </c>
      <c r="K1652">
        <v>1</v>
      </c>
      <c r="L1652">
        <v>0</v>
      </c>
      <c r="M1652" t="s">
        <v>122</v>
      </c>
    </row>
    <row r="1653" spans="1:13" hidden="1" x14ac:dyDescent="0.15">
      <c r="A1653" t="s">
        <v>5285</v>
      </c>
      <c r="B1653" t="s">
        <v>5286</v>
      </c>
      <c r="C1653" t="s">
        <v>5287</v>
      </c>
      <c r="D1653" t="s">
        <v>5275</v>
      </c>
      <c r="E1653">
        <v>1</v>
      </c>
      <c r="F1653" t="str">
        <f>HYPERLINK("https://github.com/consp1racy/android-support-preference/issues/30", "show")</f>
        <v>show</v>
      </c>
      <c r="G1653" t="str">
        <f>HYPERLINK("https://github.com/consp1racy/android-support-preference", "show")</f>
        <v>show</v>
      </c>
      <c r="H1653" t="str">
        <f>HYPERLINK("https://github.com/consp1racy/android-support-preference/releases", "show")</f>
        <v>show</v>
      </c>
      <c r="I1653">
        <v>0</v>
      </c>
      <c r="J1653">
        <v>0</v>
      </c>
      <c r="K1653">
        <v>1</v>
      </c>
      <c r="L1653">
        <v>0</v>
      </c>
      <c r="M1653" t="s">
        <v>122</v>
      </c>
    </row>
    <row r="1654" spans="1:13" hidden="1" x14ac:dyDescent="0.15">
      <c r="A1654" t="s">
        <v>5288</v>
      </c>
      <c r="B1654" t="s">
        <v>5289</v>
      </c>
      <c r="C1654" t="s">
        <v>5290</v>
      </c>
      <c r="D1654" t="s">
        <v>5275</v>
      </c>
      <c r="E1654">
        <v>130</v>
      </c>
      <c r="F1654" t="str">
        <f>HYPERLINK("https://github.com/IvoGoman/Diabetes-App/issues/30", "show")</f>
        <v>show</v>
      </c>
      <c r="G1654" t="str">
        <f>HYPERLINK("https://github.com/IvoGoman/Diabetes-App", "show")</f>
        <v>show</v>
      </c>
      <c r="H1654" t="str">
        <f>HYPERLINK("https://github.com/IvoGoman/Diabetes-App/releases", "show")</f>
        <v>show</v>
      </c>
      <c r="I1654">
        <v>1</v>
      </c>
      <c r="J1654">
        <v>0</v>
      </c>
      <c r="K1654">
        <v>0</v>
      </c>
      <c r="L1654">
        <v>0</v>
      </c>
      <c r="M1654" t="s">
        <v>17</v>
      </c>
    </row>
    <row r="1655" spans="1:13" hidden="1" x14ac:dyDescent="0.15">
      <c r="A1655" t="s">
        <v>5291</v>
      </c>
      <c r="B1655" t="s">
        <v>5292</v>
      </c>
      <c r="C1655" t="s">
        <v>5293</v>
      </c>
      <c r="D1655" t="s">
        <v>5275</v>
      </c>
      <c r="E1655">
        <v>10</v>
      </c>
      <c r="F1655" t="str">
        <f>HYPERLINK("https://github.com/evernote/android-job/issues/36", "show")</f>
        <v>show</v>
      </c>
      <c r="G1655" t="str">
        <f>HYPERLINK("https://github.com/evernote/android-job", "show")</f>
        <v>show</v>
      </c>
      <c r="H1655" t="str">
        <f>HYPERLINK("https://github.com/evernote/android-job/releases", "show")</f>
        <v>show</v>
      </c>
      <c r="I1655">
        <v>1</v>
      </c>
      <c r="J1655">
        <v>0</v>
      </c>
      <c r="K1655">
        <v>0</v>
      </c>
      <c r="L1655">
        <v>0</v>
      </c>
      <c r="M1655" t="s">
        <v>17</v>
      </c>
    </row>
    <row r="1656" spans="1:13" hidden="1" x14ac:dyDescent="0.15">
      <c r="A1656" t="s">
        <v>5294</v>
      </c>
      <c r="B1656" t="s">
        <v>5295</v>
      </c>
      <c r="C1656" t="s">
        <v>5296</v>
      </c>
      <c r="D1656" t="s">
        <v>5275</v>
      </c>
      <c r="E1656">
        <v>7</v>
      </c>
      <c r="F1656" t="str">
        <f>HYPERLINK("https://github.com/auth0/react-native-lock/issues/39", "show")</f>
        <v>show</v>
      </c>
      <c r="G1656" t="str">
        <f>HYPERLINK("https://github.com/auth0/react-native-lock", "show")</f>
        <v>show</v>
      </c>
      <c r="H1656" t="str">
        <f>HYPERLINK("https://github.com/auth0/react-native-lock/releases", "show")</f>
        <v>show</v>
      </c>
      <c r="I1656">
        <v>0</v>
      </c>
      <c r="J1656">
        <v>0</v>
      </c>
      <c r="K1656">
        <v>0</v>
      </c>
      <c r="L1656">
        <v>0</v>
      </c>
      <c r="M1656" t="s">
        <v>43</v>
      </c>
    </row>
    <row r="1657" spans="1:13" hidden="1" x14ac:dyDescent="0.15">
      <c r="A1657" t="s">
        <v>5297</v>
      </c>
      <c r="B1657" t="s">
        <v>5298</v>
      </c>
      <c r="C1657" t="s">
        <v>5299</v>
      </c>
      <c r="D1657" t="s">
        <v>5275</v>
      </c>
      <c r="E1657">
        <v>1</v>
      </c>
      <c r="F1657" t="str">
        <f>HYPERLINK("https://github.com/koral--/android-gif-drawable/issues/297", "show")</f>
        <v>show</v>
      </c>
      <c r="G1657" t="str">
        <f>HYPERLINK("https://github.com/koral--/android-gif-drawable", "show")</f>
        <v>show</v>
      </c>
      <c r="H1657" t="str">
        <f>HYPERLINK("https://github.com/koral--/android-gif-drawable/releases", "show")</f>
        <v>show</v>
      </c>
      <c r="I1657">
        <v>1</v>
      </c>
      <c r="J1657">
        <v>0</v>
      </c>
      <c r="K1657">
        <v>0</v>
      </c>
      <c r="L1657">
        <v>0</v>
      </c>
      <c r="M1657" t="s">
        <v>17</v>
      </c>
    </row>
    <row r="1658" spans="1:13" hidden="1" x14ac:dyDescent="0.15">
      <c r="A1658" t="s">
        <v>5300</v>
      </c>
      <c r="B1658" t="s">
        <v>5301</v>
      </c>
      <c r="C1658" t="s">
        <v>5302</v>
      </c>
      <c r="D1658" t="s">
        <v>5303</v>
      </c>
      <c r="E1658">
        <v>13</v>
      </c>
      <c r="F1658" t="str">
        <f>HYPERLINK("https://github.com/ankidroid/Anki-Android/issues/4279", "show")</f>
        <v>show</v>
      </c>
      <c r="G1658" t="str">
        <f>HYPERLINK("https://github.com/ankidroid/Anki-Android", "show")</f>
        <v>show</v>
      </c>
      <c r="H1658" t="str">
        <f>HYPERLINK("https://github.com/ankidroid/Anki-Android/releases", "show")</f>
        <v>show</v>
      </c>
      <c r="I1658">
        <v>1</v>
      </c>
      <c r="J1658">
        <v>1</v>
      </c>
      <c r="K1658">
        <v>0</v>
      </c>
      <c r="L1658">
        <v>0</v>
      </c>
      <c r="M1658" t="s">
        <v>48</v>
      </c>
    </row>
    <row r="1659" spans="1:13" hidden="1" x14ac:dyDescent="0.15">
      <c r="A1659" t="s">
        <v>5304</v>
      </c>
      <c r="B1659" t="s">
        <v>5305</v>
      </c>
      <c r="C1659" t="s">
        <v>5306</v>
      </c>
      <c r="D1659" t="s">
        <v>5307</v>
      </c>
      <c r="E1659">
        <v>0</v>
      </c>
      <c r="F1659" t="str">
        <f>HYPERLINK("https://github.com/UMKCTeamSeven/OmniChessRandD/issues/18", "show")</f>
        <v>show</v>
      </c>
      <c r="G1659" t="str">
        <f>HYPERLINK("https://github.com/UMKCTeamSeven/OmniChessRandD", "show")</f>
        <v>show</v>
      </c>
      <c r="H1659" t="str">
        <f>HYPERLINK("https://github.com/UMKCTeamSeven/OmniChessRandD/releases", "show")</f>
        <v>show</v>
      </c>
      <c r="I1659">
        <v>1</v>
      </c>
      <c r="J1659">
        <v>0</v>
      </c>
      <c r="K1659">
        <v>0</v>
      </c>
      <c r="L1659">
        <v>0</v>
      </c>
      <c r="M1659" t="s">
        <v>17</v>
      </c>
    </row>
    <row r="1660" spans="1:13" hidden="1" x14ac:dyDescent="0.15">
      <c r="A1660" t="s">
        <v>5308</v>
      </c>
      <c r="B1660" t="s">
        <v>5309</v>
      </c>
      <c r="C1660" t="s">
        <v>5310</v>
      </c>
      <c r="D1660" t="s">
        <v>5311</v>
      </c>
      <c r="E1660">
        <v>54</v>
      </c>
      <c r="F1660" t="str">
        <f>HYPERLINK("https://github.com/forcedotcom/SalesforceMobileSDK-CordovaPlugin/issues/191", "show")</f>
        <v>show</v>
      </c>
      <c r="G1660" t="str">
        <f>HYPERLINK("https://github.com/forcedotcom/SalesforceMobileSDK-CordovaPlugin", "show")</f>
        <v>show</v>
      </c>
      <c r="H1660" t="str">
        <f>HYPERLINK("https://github.com/forcedotcom/SalesforceMobileSDK-CordovaPlugin/releases", "show")</f>
        <v>show</v>
      </c>
      <c r="I1660">
        <v>1</v>
      </c>
      <c r="J1660">
        <v>0</v>
      </c>
      <c r="K1660">
        <v>0</v>
      </c>
      <c r="L1660">
        <v>0</v>
      </c>
      <c r="M1660" t="s">
        <v>17</v>
      </c>
    </row>
    <row r="1661" spans="1:13" hidden="1" x14ac:dyDescent="0.15">
      <c r="A1661" t="s">
        <v>5312</v>
      </c>
      <c r="B1661" t="s">
        <v>5313</v>
      </c>
      <c r="C1661" t="s">
        <v>5314</v>
      </c>
      <c r="D1661" t="s">
        <v>5315</v>
      </c>
      <c r="E1661">
        <v>1</v>
      </c>
      <c r="F1661" t="str">
        <f>HYPERLINK("https://github.com/dimagi/commcare-android/issues/1254", "show")</f>
        <v>show</v>
      </c>
      <c r="G1661" t="str">
        <f>HYPERLINK("https://github.com/dimagi/commcare-android", "show")</f>
        <v>show</v>
      </c>
      <c r="H1661" t="str">
        <f>HYPERLINK("https://github.com/dimagi/commcare-android/releases", "show")</f>
        <v>show</v>
      </c>
      <c r="I1661">
        <v>1</v>
      </c>
      <c r="J1661">
        <v>0</v>
      </c>
      <c r="K1661">
        <v>1</v>
      </c>
      <c r="L1661">
        <v>0</v>
      </c>
      <c r="M1661" t="s">
        <v>64</v>
      </c>
    </row>
    <row r="1662" spans="1:13" hidden="1" x14ac:dyDescent="0.15">
      <c r="A1662" t="s">
        <v>5316</v>
      </c>
      <c r="B1662" t="s">
        <v>5317</v>
      </c>
      <c r="C1662" t="s">
        <v>5318</v>
      </c>
      <c r="D1662" t="s">
        <v>5315</v>
      </c>
      <c r="E1662">
        <v>33</v>
      </c>
      <c r="F1662" t="str">
        <f>HYPERLINK("https://github.com/PhilJay/MPAndroidChart/issues/1777", "show")</f>
        <v>show</v>
      </c>
      <c r="G1662" t="str">
        <f>HYPERLINK("https://github.com/PhilJay/MPAndroidChart", "show")</f>
        <v>show</v>
      </c>
      <c r="H1662" t="str">
        <f>HYPERLINK("https://github.com/PhilJay/MPAndroidChart/releases", "show")</f>
        <v>show</v>
      </c>
      <c r="I1662">
        <v>1</v>
      </c>
      <c r="J1662">
        <v>0</v>
      </c>
      <c r="K1662">
        <v>1</v>
      </c>
      <c r="L1662">
        <v>0</v>
      </c>
      <c r="M1662" t="s">
        <v>64</v>
      </c>
    </row>
    <row r="1663" spans="1:13" hidden="1" x14ac:dyDescent="0.15">
      <c r="A1663" t="s">
        <v>5319</v>
      </c>
      <c r="B1663" t="s">
        <v>5320</v>
      </c>
      <c r="C1663" t="s">
        <v>5321</v>
      </c>
      <c r="D1663" t="s">
        <v>5322</v>
      </c>
      <c r="E1663">
        <v>49</v>
      </c>
      <c r="F1663" t="str">
        <f>HYPERLINK("https://github.com/dariuszseweryn/RxAndroidBle/issues/21", "show")</f>
        <v>show</v>
      </c>
      <c r="G1663" t="str">
        <f>HYPERLINK("https://github.com/dariuszseweryn/RxAndroidBle", "show")</f>
        <v>show</v>
      </c>
      <c r="H1663" t="str">
        <f>HYPERLINK("https://github.com/dariuszseweryn/RxAndroidBle/releases", "show")</f>
        <v>show</v>
      </c>
      <c r="I1663">
        <v>1</v>
      </c>
      <c r="J1663">
        <v>1</v>
      </c>
      <c r="K1663">
        <v>1</v>
      </c>
      <c r="L1663">
        <v>0</v>
      </c>
      <c r="M1663" t="s">
        <v>59</v>
      </c>
    </row>
    <row r="1664" spans="1:13" hidden="1" x14ac:dyDescent="0.15">
      <c r="A1664" t="s">
        <v>5323</v>
      </c>
      <c r="B1664" t="s">
        <v>5324</v>
      </c>
      <c r="C1664" t="s">
        <v>5325</v>
      </c>
      <c r="D1664" t="s">
        <v>5322</v>
      </c>
      <c r="E1664">
        <v>0</v>
      </c>
      <c r="F1664" t="str">
        <f>HYPERLINK("https://github.com/VictorAlbertos/RxCache/issues/24", "show")</f>
        <v>show</v>
      </c>
      <c r="G1664" t="str">
        <f>HYPERLINK("https://github.com/VictorAlbertos/RxCache", "show")</f>
        <v>show</v>
      </c>
      <c r="H1664" t="str">
        <f>HYPERLINK("https://github.com/VictorAlbertos/RxCache/releases", "show")</f>
        <v>show</v>
      </c>
      <c r="I1664">
        <v>1</v>
      </c>
      <c r="J1664">
        <v>0</v>
      </c>
      <c r="K1664">
        <v>0</v>
      </c>
      <c r="L1664">
        <v>0</v>
      </c>
      <c r="M1664" t="s">
        <v>17</v>
      </c>
    </row>
    <row r="1665" spans="1:13" hidden="1" x14ac:dyDescent="0.15">
      <c r="A1665" t="s">
        <v>5326</v>
      </c>
      <c r="B1665" t="s">
        <v>5327</v>
      </c>
      <c r="C1665" t="s">
        <v>5328</v>
      </c>
      <c r="D1665" t="s">
        <v>5329</v>
      </c>
      <c r="E1665">
        <v>36</v>
      </c>
      <c r="F1665" t="str">
        <f>HYPERLINK("https://github.com/lgallard/qBittorrent-Controller/issues/82", "show")</f>
        <v>show</v>
      </c>
      <c r="G1665" t="str">
        <f>HYPERLINK("https://github.com/lgallard/qBittorrent-Controller", "show")</f>
        <v>show</v>
      </c>
      <c r="H1665" t="str">
        <f>HYPERLINK("https://github.com/lgallard/qBittorrent-Controller/releases", "show")</f>
        <v>show</v>
      </c>
      <c r="I1665">
        <v>1</v>
      </c>
      <c r="J1665">
        <v>0</v>
      </c>
      <c r="K1665">
        <v>0</v>
      </c>
      <c r="L1665">
        <v>0</v>
      </c>
      <c r="M1665" t="s">
        <v>17</v>
      </c>
    </row>
    <row r="1666" spans="1:13" hidden="1" x14ac:dyDescent="0.15">
      <c r="A1666" t="s">
        <v>5330</v>
      </c>
      <c r="B1666" t="s">
        <v>5331</v>
      </c>
      <c r="C1666" t="s">
        <v>5332</v>
      </c>
      <c r="D1666" t="s">
        <v>5329</v>
      </c>
      <c r="E1666">
        <v>0</v>
      </c>
      <c r="F1666" t="str">
        <f>HYPERLINK("https://github.com/0lumide/Insta-Translate/issues/2", "show")</f>
        <v>show</v>
      </c>
      <c r="G1666" t="str">
        <f>HYPERLINK("https://github.com/0lumide/Insta-Translate", "show")</f>
        <v>show</v>
      </c>
      <c r="H1666" t="str">
        <f>HYPERLINK("https://github.com/0lumide/Insta-Translate/releases", "show")</f>
        <v>show</v>
      </c>
      <c r="I1666">
        <v>0</v>
      </c>
      <c r="J1666">
        <v>0</v>
      </c>
      <c r="K1666">
        <v>0</v>
      </c>
      <c r="L1666">
        <v>0</v>
      </c>
      <c r="M1666" t="s">
        <v>43</v>
      </c>
    </row>
    <row r="1667" spans="1:13" hidden="1" x14ac:dyDescent="0.15">
      <c r="A1667" t="s">
        <v>5333</v>
      </c>
      <c r="B1667" t="s">
        <v>5334</v>
      </c>
      <c r="C1667" t="s">
        <v>5335</v>
      </c>
      <c r="D1667" t="s">
        <v>5336</v>
      </c>
      <c r="E1667">
        <v>1</v>
      </c>
      <c r="F1667" t="str">
        <f>HYPERLINK("https://github.com/andybalaam/rabbit-escape/issues/451", "show")</f>
        <v>show</v>
      </c>
      <c r="G1667" t="str">
        <f>HYPERLINK("https://github.com/andybalaam/rabbit-escape", "show")</f>
        <v>show</v>
      </c>
      <c r="H1667" t="str">
        <f>HYPERLINK("https://github.com/andybalaam/rabbit-escape/releases", "show")</f>
        <v>show</v>
      </c>
      <c r="I1667">
        <v>1</v>
      </c>
      <c r="J1667">
        <v>1</v>
      </c>
      <c r="K1667">
        <v>1</v>
      </c>
      <c r="L1667">
        <v>0</v>
      </c>
      <c r="M1667" t="s">
        <v>59</v>
      </c>
    </row>
    <row r="1668" spans="1:13" hidden="1" x14ac:dyDescent="0.15">
      <c r="A1668" t="s">
        <v>5337</v>
      </c>
      <c r="B1668" t="s">
        <v>5338</v>
      </c>
      <c r="C1668" t="s">
        <v>5339</v>
      </c>
      <c r="D1668" t="s">
        <v>5336</v>
      </c>
      <c r="E1668">
        <v>37</v>
      </c>
      <c r="F1668" t="str">
        <f>HYPERLINK("https://github.com/kontalk/androidclient/issues/739", "show")</f>
        <v>show</v>
      </c>
      <c r="G1668" t="str">
        <f>HYPERLINK("https://github.com/kontalk/androidclient", "show")</f>
        <v>show</v>
      </c>
      <c r="H1668" t="str">
        <f>HYPERLINK("https://github.com/kontalk/androidclient/releases", "show")</f>
        <v>show</v>
      </c>
      <c r="I1668">
        <v>1</v>
      </c>
      <c r="J1668">
        <v>0</v>
      </c>
      <c r="K1668">
        <v>1</v>
      </c>
      <c r="L1668">
        <v>0</v>
      </c>
      <c r="M1668" t="s">
        <v>64</v>
      </c>
    </row>
    <row r="1669" spans="1:13" hidden="1" x14ac:dyDescent="0.15">
      <c r="A1669" t="s">
        <v>5340</v>
      </c>
      <c r="B1669" t="s">
        <v>5341</v>
      </c>
      <c r="C1669" t="s">
        <v>5342</v>
      </c>
      <c r="D1669" t="s">
        <v>5336</v>
      </c>
      <c r="E1669">
        <v>0</v>
      </c>
      <c r="F1669" t="str">
        <f>HYPERLINK("https://github.com/dimagi/commcare-android/issues/1267", "show")</f>
        <v>show</v>
      </c>
      <c r="G1669" t="str">
        <f>HYPERLINK("https://github.com/dimagi/commcare-android", "show")</f>
        <v>show</v>
      </c>
      <c r="H1669" t="str">
        <f>HYPERLINK("https://github.com/dimagi/commcare-android/releases", "show")</f>
        <v>show</v>
      </c>
      <c r="I1669">
        <v>0</v>
      </c>
      <c r="J1669">
        <v>0</v>
      </c>
      <c r="K1669">
        <v>0</v>
      </c>
      <c r="L1669">
        <v>0</v>
      </c>
      <c r="M1669" t="s">
        <v>43</v>
      </c>
    </row>
    <row r="1670" spans="1:13" hidden="1" x14ac:dyDescent="0.15">
      <c r="A1670" t="s">
        <v>5343</v>
      </c>
      <c r="B1670" t="s">
        <v>5344</v>
      </c>
      <c r="C1670" t="s">
        <v>5345</v>
      </c>
      <c r="D1670" t="s">
        <v>5336</v>
      </c>
      <c r="E1670">
        <v>56</v>
      </c>
      <c r="F1670" t="str">
        <f>HYPERLINK("https://github.com/DigitalCampus/oppia-mobile-android/issues/564", "show")</f>
        <v>show</v>
      </c>
      <c r="G1670" t="str">
        <f>HYPERLINK("https://github.com/DigitalCampus/oppia-mobile-android", "show")</f>
        <v>show</v>
      </c>
      <c r="H1670" t="str">
        <f>HYPERLINK("https://github.com/DigitalCampus/oppia-mobile-android/releases", "show")</f>
        <v>show</v>
      </c>
      <c r="I1670">
        <v>1</v>
      </c>
      <c r="J1670">
        <v>0</v>
      </c>
      <c r="K1670">
        <v>1</v>
      </c>
      <c r="L1670">
        <v>0</v>
      </c>
      <c r="M1670" t="s">
        <v>64</v>
      </c>
    </row>
    <row r="1671" spans="1:13" hidden="1" x14ac:dyDescent="0.15">
      <c r="A1671" t="s">
        <v>5346</v>
      </c>
      <c r="B1671" t="s">
        <v>5347</v>
      </c>
      <c r="C1671" t="s">
        <v>5348</v>
      </c>
      <c r="D1671" t="s">
        <v>5349</v>
      </c>
      <c r="E1671">
        <v>83</v>
      </c>
      <c r="F1671" t="str">
        <f>HYPERLINK("https://github.com/k9mail/k-9/issues/1394", "show")</f>
        <v>show</v>
      </c>
      <c r="G1671" t="str">
        <f>HYPERLINK("https://github.com/k9mail/k-9", "show")</f>
        <v>show</v>
      </c>
      <c r="H1671" t="str">
        <f>HYPERLINK("https://github.com/k9mail/k-9/releases", "show")</f>
        <v>show</v>
      </c>
      <c r="I1671">
        <v>0</v>
      </c>
      <c r="J1671">
        <v>0</v>
      </c>
      <c r="K1671">
        <v>0</v>
      </c>
      <c r="L1671">
        <v>0</v>
      </c>
      <c r="M1671" t="s">
        <v>43</v>
      </c>
    </row>
    <row r="1672" spans="1:13" hidden="1" x14ac:dyDescent="0.15">
      <c r="A1672" t="s">
        <v>5350</v>
      </c>
      <c r="B1672" t="s">
        <v>5351</v>
      </c>
      <c r="C1672" t="s">
        <v>5352</v>
      </c>
      <c r="D1672" t="s">
        <v>5349</v>
      </c>
      <c r="E1672">
        <v>1</v>
      </c>
      <c r="F1672" t="str">
        <f>HYPERLINK("https://github.com/Cloudkibo/Android/issues/86", "show")</f>
        <v>show</v>
      </c>
      <c r="G1672" t="str">
        <f>HYPERLINK("https://github.com/Cloudkibo/Android", "show")</f>
        <v>show</v>
      </c>
      <c r="H1672" t="str">
        <f>HYPERLINK("https://github.com/Cloudkibo/Android/releases", "show")</f>
        <v>show</v>
      </c>
      <c r="I1672">
        <v>0</v>
      </c>
      <c r="J1672">
        <v>0</v>
      </c>
      <c r="K1672">
        <v>0</v>
      </c>
      <c r="L1672">
        <v>0</v>
      </c>
      <c r="M1672" t="s">
        <v>43</v>
      </c>
    </row>
    <row r="1673" spans="1:13" hidden="1" x14ac:dyDescent="0.15">
      <c r="A1673" t="s">
        <v>5353</v>
      </c>
      <c r="B1673" t="s">
        <v>5354</v>
      </c>
      <c r="C1673" t="s">
        <v>5355</v>
      </c>
      <c r="D1673" t="s">
        <v>5349</v>
      </c>
      <c r="E1673">
        <v>0</v>
      </c>
      <c r="F1673" t="str">
        <f>HYPERLINK("https://github.com/jacob-g/cleveland-rta-next-bus-train/issues/7", "show")</f>
        <v>show</v>
      </c>
      <c r="G1673" t="str">
        <f>HYPERLINK("https://github.com/jacob-g/cleveland-rta-next-bus-train", "show")</f>
        <v>show</v>
      </c>
      <c r="H1673" t="str">
        <f>HYPERLINK("https://github.com/jacob-g/cleveland-rta-next-bus-train/releases", "show")</f>
        <v>show</v>
      </c>
      <c r="I1673">
        <v>1</v>
      </c>
      <c r="J1673">
        <v>1</v>
      </c>
      <c r="K1673">
        <v>0</v>
      </c>
      <c r="L1673">
        <v>0</v>
      </c>
      <c r="M1673" t="s">
        <v>48</v>
      </c>
    </row>
    <row r="1674" spans="1:13" hidden="1" x14ac:dyDescent="0.15">
      <c r="A1674" t="s">
        <v>5356</v>
      </c>
      <c r="B1674" t="s">
        <v>5357</v>
      </c>
      <c r="C1674" t="s">
        <v>504</v>
      </c>
      <c r="D1674" t="s">
        <v>5349</v>
      </c>
      <c r="E1674">
        <v>97</v>
      </c>
      <c r="F1674" t="str">
        <f>HYPERLINK("https://github.com/vickychijwani/quill/issues/124", "show")</f>
        <v>show</v>
      </c>
      <c r="G1674" t="str">
        <f>HYPERLINK("https://github.com/vickychijwani/quill", "show")</f>
        <v>show</v>
      </c>
      <c r="H1674" t="str">
        <f>HYPERLINK("https://github.com/vickychijwani/quill/releases", "show")</f>
        <v>show</v>
      </c>
      <c r="I1674">
        <v>1</v>
      </c>
      <c r="J1674">
        <v>0</v>
      </c>
      <c r="K1674">
        <v>0</v>
      </c>
      <c r="L1674">
        <v>0</v>
      </c>
      <c r="M1674" t="s">
        <v>17</v>
      </c>
    </row>
    <row r="1675" spans="1:13" hidden="1" x14ac:dyDescent="0.15">
      <c r="A1675" t="s">
        <v>5358</v>
      </c>
      <c r="B1675" t="s">
        <v>5359</v>
      </c>
      <c r="D1675" t="s">
        <v>5360</v>
      </c>
      <c r="E1675">
        <v>264</v>
      </c>
      <c r="F1675" t="str">
        <f>HYPERLINK("https://github.com/pazaan/600SeriesAndroidUploader/issues/37", "show")</f>
        <v>show</v>
      </c>
      <c r="G1675" t="str">
        <f>HYPERLINK("https://github.com/pazaan/600SeriesAndroidUploader", "show")</f>
        <v>show</v>
      </c>
      <c r="H1675" t="str">
        <f>HYPERLINK("https://github.com/pazaan/600SeriesAndroidUploader/releases", "show")</f>
        <v>show</v>
      </c>
      <c r="I1675">
        <v>1</v>
      </c>
      <c r="J1675">
        <v>0</v>
      </c>
      <c r="K1675">
        <v>1</v>
      </c>
      <c r="L1675">
        <v>0</v>
      </c>
      <c r="M1675" t="s">
        <v>64</v>
      </c>
    </row>
    <row r="1676" spans="1:13" hidden="1" x14ac:dyDescent="0.15">
      <c r="A1676" t="s">
        <v>5361</v>
      </c>
      <c r="B1676" t="s">
        <v>5362</v>
      </c>
      <c r="C1676" t="s">
        <v>5363</v>
      </c>
      <c r="D1676" t="s">
        <v>5360</v>
      </c>
      <c r="E1676">
        <v>0</v>
      </c>
      <c r="F1676" t="str">
        <f>HYPERLINK("https://github.com/requery/sqlite-android/issues/20", "show")</f>
        <v>show</v>
      </c>
      <c r="G1676" t="str">
        <f>HYPERLINK("https://github.com/requery/sqlite-android", "show")</f>
        <v>show</v>
      </c>
      <c r="H1676" t="str">
        <f>HYPERLINK("https://github.com/requery/sqlite-android/releases", "show")</f>
        <v>show</v>
      </c>
      <c r="I1676">
        <v>1</v>
      </c>
      <c r="J1676">
        <v>0</v>
      </c>
      <c r="K1676">
        <v>0</v>
      </c>
      <c r="L1676">
        <v>0</v>
      </c>
      <c r="M1676" t="s">
        <v>17</v>
      </c>
    </row>
    <row r="1677" spans="1:13" hidden="1" x14ac:dyDescent="0.15">
      <c r="A1677" t="s">
        <v>5364</v>
      </c>
      <c r="B1677" t="s">
        <v>5365</v>
      </c>
      <c r="C1677" t="s">
        <v>5366</v>
      </c>
      <c r="D1677" t="s">
        <v>5367</v>
      </c>
      <c r="E1677">
        <v>48</v>
      </c>
      <c r="F1677" t="str">
        <f>HYPERLINK("https://github.com/translation-cards/translation-cards/issues/196", "show")</f>
        <v>show</v>
      </c>
      <c r="G1677" t="str">
        <f>HYPERLINK("https://github.com/translation-cards/translation-cards", "show")</f>
        <v>show</v>
      </c>
      <c r="H1677" t="str">
        <f>HYPERLINK("https://github.com/translation-cards/translation-cards/releases", "show")</f>
        <v>show</v>
      </c>
      <c r="I1677">
        <v>1</v>
      </c>
      <c r="J1677">
        <v>0</v>
      </c>
      <c r="K1677">
        <v>0</v>
      </c>
      <c r="L1677">
        <v>0</v>
      </c>
      <c r="M1677" t="s">
        <v>17</v>
      </c>
    </row>
    <row r="1678" spans="1:13" hidden="1" x14ac:dyDescent="0.15">
      <c r="A1678" t="s">
        <v>5368</v>
      </c>
      <c r="B1678" t="s">
        <v>5369</v>
      </c>
      <c r="C1678" t="s">
        <v>5370</v>
      </c>
      <c r="D1678" t="s">
        <v>5367</v>
      </c>
      <c r="E1678">
        <v>13</v>
      </c>
      <c r="F1678" t="str">
        <f>HYPERLINK("https://github.com/translation-cards/translation-cards/issues/195", "show")</f>
        <v>show</v>
      </c>
      <c r="G1678" t="str">
        <f>HYPERLINK("https://github.com/translation-cards/translation-cards", "show")</f>
        <v>show</v>
      </c>
      <c r="H1678" t="str">
        <f>HYPERLINK("https://github.com/translation-cards/translation-cards/releases", "show")</f>
        <v>show</v>
      </c>
      <c r="I1678">
        <v>1</v>
      </c>
      <c r="J1678">
        <v>0</v>
      </c>
      <c r="K1678">
        <v>0</v>
      </c>
      <c r="L1678">
        <v>0</v>
      </c>
      <c r="M1678" t="s">
        <v>17</v>
      </c>
    </row>
    <row r="1679" spans="1:13" hidden="1" x14ac:dyDescent="0.15">
      <c r="A1679" t="s">
        <v>5371</v>
      </c>
      <c r="B1679" t="s">
        <v>5372</v>
      </c>
      <c r="C1679" t="s">
        <v>5373</v>
      </c>
      <c r="D1679" t="s">
        <v>5367</v>
      </c>
      <c r="E1679">
        <v>48</v>
      </c>
      <c r="F1679" t="str">
        <f>HYPERLINK("https://github.com/translation-cards/translation-cards/issues/192", "show")</f>
        <v>show</v>
      </c>
      <c r="G1679" t="str">
        <f>HYPERLINK("https://github.com/translation-cards/translation-cards", "show")</f>
        <v>show</v>
      </c>
      <c r="H1679" t="str">
        <f>HYPERLINK("https://github.com/translation-cards/translation-cards/releases", "show")</f>
        <v>show</v>
      </c>
      <c r="I1679">
        <v>1</v>
      </c>
      <c r="J1679">
        <v>0</v>
      </c>
      <c r="K1679">
        <v>0</v>
      </c>
      <c r="L1679">
        <v>0</v>
      </c>
      <c r="M1679" t="s">
        <v>17</v>
      </c>
    </row>
    <row r="1680" spans="1:13" hidden="1" x14ac:dyDescent="0.15">
      <c r="A1680" t="s">
        <v>5374</v>
      </c>
      <c r="B1680" t="s">
        <v>5375</v>
      </c>
      <c r="C1680" t="s">
        <v>5376</v>
      </c>
      <c r="D1680" t="s">
        <v>5367</v>
      </c>
      <c r="E1680">
        <v>0</v>
      </c>
      <c r="F1680" t="str">
        <f>HYPERLINK("https://github.com/wallabag/android-app/issues/260", "show")</f>
        <v>show</v>
      </c>
      <c r="G1680" t="str">
        <f>HYPERLINK("https://github.com/wallabag/android-app", "show")</f>
        <v>show</v>
      </c>
      <c r="H1680" t="str">
        <f>HYPERLINK("https://github.com/wallabag/android-app/releases", "show")</f>
        <v>show</v>
      </c>
      <c r="I1680">
        <v>1</v>
      </c>
      <c r="J1680">
        <v>0</v>
      </c>
      <c r="K1680">
        <v>1</v>
      </c>
      <c r="L1680">
        <v>0</v>
      </c>
      <c r="M1680" t="s">
        <v>64</v>
      </c>
    </row>
    <row r="1681" spans="1:13" hidden="1" x14ac:dyDescent="0.15">
      <c r="A1681" t="s">
        <v>5377</v>
      </c>
      <c r="B1681" t="s">
        <v>5378</v>
      </c>
      <c r="C1681" t="s">
        <v>5379</v>
      </c>
      <c r="D1681" t="s">
        <v>5380</v>
      </c>
      <c r="E1681">
        <v>1</v>
      </c>
      <c r="F1681" t="str">
        <f>HYPERLINK("https://github.com/gitskarios/Gitskarios/issues/424", "show")</f>
        <v>show</v>
      </c>
      <c r="G1681" t="str">
        <f>HYPERLINK("https://github.com/gitskarios/Gitskarios", "show")</f>
        <v>show</v>
      </c>
      <c r="H1681" t="str">
        <f>HYPERLINK("https://github.com/gitskarios/Gitskarios/releases", "show")</f>
        <v>show</v>
      </c>
      <c r="I1681">
        <v>0</v>
      </c>
      <c r="J1681">
        <v>0</v>
      </c>
      <c r="K1681">
        <v>1</v>
      </c>
      <c r="L1681">
        <v>0</v>
      </c>
      <c r="M1681" t="s">
        <v>122</v>
      </c>
    </row>
    <row r="1682" spans="1:13" hidden="1" x14ac:dyDescent="0.15">
      <c r="A1682" t="s">
        <v>5381</v>
      </c>
      <c r="B1682" t="s">
        <v>5382</v>
      </c>
      <c r="C1682" t="s">
        <v>5383</v>
      </c>
      <c r="D1682" t="s">
        <v>5384</v>
      </c>
      <c r="E1682">
        <v>0</v>
      </c>
      <c r="F1682" t="str">
        <f>HYPERLINK("https://github.com/geopaparazzi/geopaparazzi/issues/322", "show")</f>
        <v>show</v>
      </c>
      <c r="G1682" t="str">
        <f>HYPERLINK("https://github.com/geopaparazzi/geopaparazzi", "show")</f>
        <v>show</v>
      </c>
      <c r="H1682" t="str">
        <f>HYPERLINK("https://github.com/geopaparazzi/geopaparazzi/releases", "show")</f>
        <v>show</v>
      </c>
      <c r="I1682">
        <v>1</v>
      </c>
      <c r="J1682">
        <v>0</v>
      </c>
      <c r="K1682">
        <v>1</v>
      </c>
      <c r="L1682">
        <v>0</v>
      </c>
      <c r="M1682" t="s">
        <v>64</v>
      </c>
    </row>
    <row r="1683" spans="1:13" hidden="1" x14ac:dyDescent="0.15">
      <c r="A1683" t="s">
        <v>5385</v>
      </c>
      <c r="B1683" t="s">
        <v>5386</v>
      </c>
      <c r="C1683" t="s">
        <v>5387</v>
      </c>
      <c r="D1683" t="s">
        <v>5384</v>
      </c>
      <c r="E1683">
        <v>8</v>
      </c>
      <c r="F1683" t="str">
        <f>HYPERLINK("https://github.com/EyeSeeTea/malariapp/issues/1034", "show")</f>
        <v>show</v>
      </c>
      <c r="G1683" t="str">
        <f>HYPERLINK("https://github.com/EyeSeeTea/malariapp", "show")</f>
        <v>show</v>
      </c>
      <c r="H1683" t="str">
        <f>HYPERLINK("https://github.com/EyeSeeTea/malariapp/releases", "show")</f>
        <v>show</v>
      </c>
      <c r="I1683">
        <v>1</v>
      </c>
      <c r="J1683">
        <v>0</v>
      </c>
      <c r="K1683">
        <v>0</v>
      </c>
      <c r="L1683">
        <v>0</v>
      </c>
      <c r="M1683" t="s">
        <v>17</v>
      </c>
    </row>
    <row r="1684" spans="1:13" hidden="1" x14ac:dyDescent="0.15">
      <c r="A1684" t="s">
        <v>5388</v>
      </c>
      <c r="B1684" t="s">
        <v>5389</v>
      </c>
      <c r="C1684" t="s">
        <v>5390</v>
      </c>
      <c r="D1684" t="s">
        <v>5391</v>
      </c>
      <c r="E1684">
        <v>20</v>
      </c>
      <c r="F1684" t="str">
        <f>HYPERLINK("https://github.com/EyeSeeTea/EDSApp/issues/48", "show")</f>
        <v>show</v>
      </c>
      <c r="G1684" t="str">
        <f>HYPERLINK("https://github.com/EyeSeeTea/EDSApp", "show")</f>
        <v>show</v>
      </c>
      <c r="H1684" t="str">
        <f>HYPERLINK("https://github.com/EyeSeeTea/EDSApp/releases", "show")</f>
        <v>show</v>
      </c>
      <c r="I1684">
        <v>1</v>
      </c>
      <c r="J1684">
        <v>1</v>
      </c>
      <c r="K1684">
        <v>0</v>
      </c>
      <c r="L1684">
        <v>0</v>
      </c>
      <c r="M1684" t="s">
        <v>48</v>
      </c>
    </row>
    <row r="1685" spans="1:13" hidden="1" x14ac:dyDescent="0.15">
      <c r="A1685" t="s">
        <v>5392</v>
      </c>
      <c r="B1685" t="s">
        <v>5393</v>
      </c>
      <c r="C1685" t="s">
        <v>5394</v>
      </c>
      <c r="D1685" t="s">
        <v>5391</v>
      </c>
      <c r="E1685">
        <v>0</v>
      </c>
      <c r="F1685" t="str">
        <f>HYPERLINK("https://github.com/EyeSeeTea/EDSApp/issues/47", "show")</f>
        <v>show</v>
      </c>
      <c r="G1685" t="str">
        <f>HYPERLINK("https://github.com/EyeSeeTea/EDSApp", "show")</f>
        <v>show</v>
      </c>
      <c r="H1685" t="str">
        <f>HYPERLINK("https://github.com/EyeSeeTea/EDSApp/releases", "show")</f>
        <v>show</v>
      </c>
      <c r="I1685">
        <v>1</v>
      </c>
      <c r="J1685">
        <v>0</v>
      </c>
      <c r="K1685">
        <v>0</v>
      </c>
      <c r="L1685">
        <v>0</v>
      </c>
      <c r="M1685" t="s">
        <v>17</v>
      </c>
    </row>
    <row r="1686" spans="1:13" hidden="1" x14ac:dyDescent="0.15">
      <c r="A1686" t="s">
        <v>5395</v>
      </c>
      <c r="B1686" t="s">
        <v>5396</v>
      </c>
      <c r="C1686" t="s">
        <v>5397</v>
      </c>
      <c r="D1686" t="s">
        <v>5391</v>
      </c>
      <c r="E1686">
        <v>28</v>
      </c>
      <c r="F1686" t="str">
        <f>HYPERLINK("https://github.com/EyeSeeTea/EDSApp/issues/44", "show")</f>
        <v>show</v>
      </c>
      <c r="G1686" t="str">
        <f>HYPERLINK("https://github.com/EyeSeeTea/EDSApp", "show")</f>
        <v>show</v>
      </c>
      <c r="H1686" t="str">
        <f>HYPERLINK("https://github.com/EyeSeeTea/EDSApp/releases", "show")</f>
        <v>show</v>
      </c>
      <c r="I1686">
        <v>1</v>
      </c>
      <c r="J1686">
        <v>0</v>
      </c>
      <c r="K1686">
        <v>0</v>
      </c>
      <c r="L1686">
        <v>0</v>
      </c>
      <c r="M1686" t="s">
        <v>17</v>
      </c>
    </row>
    <row r="1687" spans="1:13" hidden="1" x14ac:dyDescent="0.15">
      <c r="A1687" t="s">
        <v>5398</v>
      </c>
      <c r="B1687" t="s">
        <v>5399</v>
      </c>
      <c r="C1687" t="s">
        <v>5400</v>
      </c>
      <c r="D1687" t="s">
        <v>5391</v>
      </c>
      <c r="E1687">
        <v>8</v>
      </c>
      <c r="F1687" t="str">
        <f>HYPERLINK("https://github.com/EyeSeeTea/EDSApp/issues/42", "show")</f>
        <v>show</v>
      </c>
      <c r="G1687" t="str">
        <f>HYPERLINK("https://github.com/EyeSeeTea/EDSApp", "show")</f>
        <v>show</v>
      </c>
      <c r="H1687" t="str">
        <f>HYPERLINK("https://github.com/EyeSeeTea/EDSApp/releases", "show")</f>
        <v>show</v>
      </c>
      <c r="I1687">
        <v>1</v>
      </c>
      <c r="J1687">
        <v>0</v>
      </c>
      <c r="K1687">
        <v>0</v>
      </c>
      <c r="L1687">
        <v>0</v>
      </c>
      <c r="M1687" t="s">
        <v>17</v>
      </c>
    </row>
    <row r="1688" spans="1:13" hidden="1" x14ac:dyDescent="0.15">
      <c r="A1688" t="s">
        <v>5401</v>
      </c>
      <c r="B1688" t="s">
        <v>5402</v>
      </c>
      <c r="C1688" t="s">
        <v>5403</v>
      </c>
      <c r="D1688" t="s">
        <v>5391</v>
      </c>
      <c r="E1688">
        <v>20</v>
      </c>
      <c r="F1688" t="str">
        <f>HYPERLINK("https://github.com/OneBusAway/onebusaway-android/issues/518", "show")</f>
        <v>show</v>
      </c>
      <c r="G1688" t="str">
        <f>HYPERLINK("https://github.com/OneBusAway/onebusaway-android", "show")</f>
        <v>show</v>
      </c>
      <c r="H1688" t="str">
        <f>HYPERLINK("https://github.com/OneBusAway/onebusaway-android/releases", "show")</f>
        <v>show</v>
      </c>
      <c r="I1688">
        <v>0</v>
      </c>
      <c r="J1688">
        <v>1</v>
      </c>
      <c r="K1688">
        <v>1</v>
      </c>
      <c r="L1688">
        <v>0</v>
      </c>
      <c r="M1688" t="s">
        <v>699</v>
      </c>
    </row>
    <row r="1689" spans="1:13" hidden="1" x14ac:dyDescent="0.15">
      <c r="A1689" t="s">
        <v>5404</v>
      </c>
      <c r="B1689" t="s">
        <v>5405</v>
      </c>
      <c r="C1689" t="s">
        <v>5406</v>
      </c>
      <c r="D1689" t="s">
        <v>5391</v>
      </c>
      <c r="E1689">
        <v>1</v>
      </c>
      <c r="F1689" t="str">
        <f>HYPERLINK("https://github.com/itachi1706/SingBuses/issues/47", "show")</f>
        <v>show</v>
      </c>
      <c r="G1689" t="str">
        <f>HYPERLINK("https://github.com/itachi1706/SingBuses", "show")</f>
        <v>show</v>
      </c>
      <c r="H1689" t="str">
        <f>HYPERLINK("https://github.com/itachi1706/SingBuses/releases", "show")</f>
        <v>show</v>
      </c>
      <c r="I1689">
        <v>1</v>
      </c>
      <c r="J1689">
        <v>0</v>
      </c>
      <c r="K1689">
        <v>0</v>
      </c>
      <c r="L1689">
        <v>0</v>
      </c>
      <c r="M1689" t="s">
        <v>17</v>
      </c>
    </row>
    <row r="1690" spans="1:13" hidden="1" x14ac:dyDescent="0.15">
      <c r="A1690" t="s">
        <v>5407</v>
      </c>
      <c r="B1690" t="s">
        <v>5408</v>
      </c>
      <c r="D1690" t="s">
        <v>5391</v>
      </c>
      <c r="E1690">
        <v>4</v>
      </c>
      <c r="F1690" t="str">
        <f>HYPERLINK("https://github.com/vector-im/riot-android/issues/155", "show")</f>
        <v>show</v>
      </c>
      <c r="G1690" t="str">
        <f>HYPERLINK("https://github.com/vector-im/riot-android", "show")</f>
        <v>show</v>
      </c>
      <c r="H1690" t="str">
        <f>HYPERLINK("https://github.com/vector-im/riot-android/releases", "show")</f>
        <v>show</v>
      </c>
      <c r="I1690">
        <v>0</v>
      </c>
      <c r="J1690">
        <v>0</v>
      </c>
      <c r="K1690">
        <v>0</v>
      </c>
      <c r="L1690">
        <v>0</v>
      </c>
      <c r="M1690" t="s">
        <v>43</v>
      </c>
    </row>
    <row r="1691" spans="1:13" hidden="1" x14ac:dyDescent="0.15">
      <c r="A1691" t="s">
        <v>5409</v>
      </c>
      <c r="B1691" t="s">
        <v>5410</v>
      </c>
      <c r="C1691" t="s">
        <v>5411</v>
      </c>
      <c r="D1691" t="s">
        <v>5391</v>
      </c>
      <c r="E1691">
        <v>3</v>
      </c>
      <c r="F1691" t="str">
        <f>HYPERLINK("https://github.com/hidroh/materialistic/issues/484", "show")</f>
        <v>show</v>
      </c>
      <c r="G1691" t="str">
        <f>HYPERLINK("https://github.com/hidroh/materialistic", "show")</f>
        <v>show</v>
      </c>
      <c r="H1691" t="str">
        <f>HYPERLINK("https://github.com/hidroh/materialistic/releases", "show")</f>
        <v>show</v>
      </c>
      <c r="I1691">
        <v>0</v>
      </c>
      <c r="J1691">
        <v>0</v>
      </c>
      <c r="K1691">
        <v>0</v>
      </c>
      <c r="L1691">
        <v>0</v>
      </c>
      <c r="M1691" t="s">
        <v>43</v>
      </c>
    </row>
    <row r="1692" spans="1:13" hidden="1" x14ac:dyDescent="0.15">
      <c r="A1692" t="s">
        <v>5412</v>
      </c>
      <c r="B1692" t="s">
        <v>5413</v>
      </c>
      <c r="C1692" t="s">
        <v>5414</v>
      </c>
      <c r="D1692" t="s">
        <v>5391</v>
      </c>
      <c r="E1692">
        <v>4</v>
      </c>
      <c r="F1692" t="str">
        <f>HYPERLINK("https://github.com/mycelium-com/wallet-android/issues/272", "show")</f>
        <v>show</v>
      </c>
      <c r="G1692" t="str">
        <f>HYPERLINK("https://github.com/mycelium-com/wallet-android", "show")</f>
        <v>show</v>
      </c>
      <c r="H1692" t="str">
        <f>HYPERLINK("https://github.com/mycelium-com/wallet-android/releases", "show")</f>
        <v>show</v>
      </c>
      <c r="I1692">
        <v>1</v>
      </c>
      <c r="J1692">
        <v>1</v>
      </c>
      <c r="K1692">
        <v>0</v>
      </c>
      <c r="L1692">
        <v>0</v>
      </c>
      <c r="M1692" t="s">
        <v>48</v>
      </c>
    </row>
    <row r="1693" spans="1:13" hidden="1" x14ac:dyDescent="0.15">
      <c r="A1693" t="s">
        <v>5415</v>
      </c>
      <c r="B1693" t="s">
        <v>5416</v>
      </c>
      <c r="D1693" t="s">
        <v>5417</v>
      </c>
      <c r="E1693">
        <v>122</v>
      </c>
      <c r="F1693" t="str">
        <f>HYPERLINK("https://github.com/IvoGoman/Diabetes-App/issues/33", "show")</f>
        <v>show</v>
      </c>
      <c r="G1693" t="str">
        <f>HYPERLINK("https://github.com/IvoGoman/Diabetes-App", "show")</f>
        <v>show</v>
      </c>
      <c r="H1693" t="str">
        <f>HYPERLINK("https://github.com/IvoGoman/Diabetes-App/releases", "show")</f>
        <v>show</v>
      </c>
      <c r="I1693">
        <v>1</v>
      </c>
      <c r="J1693">
        <v>0</v>
      </c>
      <c r="K1693">
        <v>0</v>
      </c>
      <c r="L1693">
        <v>0</v>
      </c>
      <c r="M1693" t="s">
        <v>17</v>
      </c>
    </row>
    <row r="1694" spans="1:13" hidden="1" x14ac:dyDescent="0.15">
      <c r="A1694" t="s">
        <v>5418</v>
      </c>
      <c r="B1694" t="s">
        <v>5419</v>
      </c>
      <c r="C1694" t="s">
        <v>5420</v>
      </c>
      <c r="D1694" t="s">
        <v>5417</v>
      </c>
      <c r="E1694">
        <v>5</v>
      </c>
      <c r="F1694" t="str">
        <f>HYPERLINK("https://github.com/zhanhui913/Budget/issues/37", "show")</f>
        <v>show</v>
      </c>
      <c r="G1694" t="str">
        <f>HYPERLINK("https://github.com/zhanhui913/Budget", "show")</f>
        <v>show</v>
      </c>
      <c r="H1694" t="str">
        <f>HYPERLINK("https://github.com/zhanhui913/Budget/releases", "show")</f>
        <v>show</v>
      </c>
      <c r="I1694">
        <v>0</v>
      </c>
      <c r="J1694">
        <v>0</v>
      </c>
      <c r="K1694">
        <v>0</v>
      </c>
      <c r="L1694">
        <v>0</v>
      </c>
      <c r="M1694" t="s">
        <v>43</v>
      </c>
    </row>
    <row r="1695" spans="1:13" hidden="1" x14ac:dyDescent="0.15">
      <c r="A1695" t="s">
        <v>5421</v>
      </c>
      <c r="B1695" t="s">
        <v>5422</v>
      </c>
      <c r="D1695" t="s">
        <v>5417</v>
      </c>
      <c r="E1695">
        <v>31</v>
      </c>
      <c r="F1695" t="str">
        <f>HYPERLINK("https://github.com/IvoGoman/Diabetes-App/issues/32", "show")</f>
        <v>show</v>
      </c>
      <c r="G1695" t="str">
        <f>HYPERLINK("https://github.com/IvoGoman/Diabetes-App", "show")</f>
        <v>show</v>
      </c>
      <c r="H1695" t="str">
        <f>HYPERLINK("https://github.com/IvoGoman/Diabetes-App/releases", "show")</f>
        <v>show</v>
      </c>
      <c r="I1695">
        <v>1</v>
      </c>
      <c r="J1695">
        <v>0</v>
      </c>
      <c r="K1695">
        <v>0</v>
      </c>
      <c r="L1695">
        <v>0</v>
      </c>
      <c r="M1695" t="s">
        <v>17</v>
      </c>
    </row>
    <row r="1696" spans="1:13" hidden="1" x14ac:dyDescent="0.15">
      <c r="A1696" t="s">
        <v>5423</v>
      </c>
      <c r="B1696" t="s">
        <v>5424</v>
      </c>
      <c r="C1696" t="s">
        <v>5425</v>
      </c>
      <c r="D1696" t="s">
        <v>5417</v>
      </c>
      <c r="E1696">
        <v>105</v>
      </c>
      <c r="F1696" t="str">
        <f>HYPERLINK("https://github.com/kontalk/androidclient/issues/750", "show")</f>
        <v>show</v>
      </c>
      <c r="G1696" t="str">
        <f>HYPERLINK("https://github.com/kontalk/androidclient", "show")</f>
        <v>show</v>
      </c>
      <c r="H1696" t="str">
        <f>HYPERLINK("https://github.com/kontalk/androidclient/releases", "show")</f>
        <v>show</v>
      </c>
      <c r="I1696">
        <v>1</v>
      </c>
      <c r="J1696">
        <v>0</v>
      </c>
      <c r="K1696">
        <v>1</v>
      </c>
      <c r="L1696">
        <v>0</v>
      </c>
      <c r="M1696" t="s">
        <v>64</v>
      </c>
    </row>
    <row r="1697" spans="1:13" hidden="1" x14ac:dyDescent="0.15">
      <c r="A1697" t="s">
        <v>5426</v>
      </c>
      <c r="B1697" t="s">
        <v>5427</v>
      </c>
      <c r="C1697" t="s">
        <v>5428</v>
      </c>
      <c r="D1697" t="s">
        <v>5429</v>
      </c>
      <c r="E1697">
        <v>8</v>
      </c>
      <c r="F1697" t="str">
        <f>HYPERLINK("https://github.com/gitskarios/Gitskarios/issues/429", "show")</f>
        <v>show</v>
      </c>
      <c r="G1697" t="str">
        <f>HYPERLINK("https://github.com/gitskarios/Gitskarios", "show")</f>
        <v>show</v>
      </c>
      <c r="H1697" t="str">
        <f>HYPERLINK("https://github.com/gitskarios/Gitskarios/releases", "show")</f>
        <v>show</v>
      </c>
      <c r="I1697">
        <v>1</v>
      </c>
      <c r="J1697">
        <v>0</v>
      </c>
      <c r="K1697">
        <v>0</v>
      </c>
      <c r="L1697">
        <v>0</v>
      </c>
      <c r="M1697" t="s">
        <v>17</v>
      </c>
    </row>
    <row r="1698" spans="1:13" hidden="1" x14ac:dyDescent="0.15">
      <c r="A1698" t="s">
        <v>5430</v>
      </c>
      <c r="B1698" t="s">
        <v>5431</v>
      </c>
      <c r="C1698" t="s">
        <v>5432</v>
      </c>
      <c r="D1698" t="s">
        <v>5433</v>
      </c>
      <c r="E1698">
        <v>1</v>
      </c>
      <c r="F1698" t="str">
        <f>HYPERLINK("https://github.com/user-don/Caregiver/issues/14", "show")</f>
        <v>show</v>
      </c>
      <c r="G1698" t="str">
        <f>HYPERLINK("https://github.com/user-don/Caregiver", "show")</f>
        <v>show</v>
      </c>
      <c r="H1698" t="str">
        <f>HYPERLINK("https://github.com/user-don/Caregiver/releases", "show")</f>
        <v>show</v>
      </c>
      <c r="I1698">
        <v>1</v>
      </c>
      <c r="J1698">
        <v>0</v>
      </c>
      <c r="K1698">
        <v>1</v>
      </c>
      <c r="L1698">
        <v>0</v>
      </c>
      <c r="M1698" t="s">
        <v>64</v>
      </c>
    </row>
    <row r="1699" spans="1:13" hidden="1" x14ac:dyDescent="0.15">
      <c r="A1699" t="s">
        <v>5434</v>
      </c>
      <c r="B1699" t="s">
        <v>5435</v>
      </c>
      <c r="C1699" t="s">
        <v>5436</v>
      </c>
      <c r="D1699" t="s">
        <v>5437</v>
      </c>
      <c r="E1699">
        <v>2</v>
      </c>
      <c r="F1699" t="str">
        <f>HYPERLINK("https://github.com/VinkasHQ/reminders-android/issues/4", "show")</f>
        <v>show</v>
      </c>
      <c r="G1699" t="str">
        <f>HYPERLINK("https://github.com/VinkasHQ/reminders-android", "show")</f>
        <v>show</v>
      </c>
      <c r="H1699" t="str">
        <f>HYPERLINK("https://github.com/VinkasHQ/reminders-android/releases", "show")</f>
        <v>show</v>
      </c>
      <c r="I1699">
        <v>0</v>
      </c>
      <c r="J1699">
        <v>0</v>
      </c>
      <c r="K1699">
        <v>0</v>
      </c>
      <c r="L1699">
        <v>0</v>
      </c>
      <c r="M1699" t="s">
        <v>43</v>
      </c>
    </row>
    <row r="1700" spans="1:13" hidden="1" x14ac:dyDescent="0.15">
      <c r="A1700" t="s">
        <v>5438</v>
      </c>
      <c r="B1700" t="s">
        <v>5439</v>
      </c>
      <c r="C1700" t="s">
        <v>5440</v>
      </c>
      <c r="D1700" t="s">
        <v>5437</v>
      </c>
      <c r="E1700">
        <v>52</v>
      </c>
      <c r="F1700" t="str">
        <f>HYPERLINK("https://github.com/arimorty/floatingsearchview/issues/58", "show")</f>
        <v>show</v>
      </c>
      <c r="G1700" t="str">
        <f>HYPERLINK("https://github.com/arimorty/floatingsearchview", "show")</f>
        <v>show</v>
      </c>
      <c r="H1700" t="str">
        <f>HYPERLINK("https://github.com/arimorty/floatingsearchview/releases", "show")</f>
        <v>show</v>
      </c>
      <c r="I1700">
        <v>1</v>
      </c>
      <c r="J1700">
        <v>0</v>
      </c>
      <c r="K1700">
        <v>1</v>
      </c>
      <c r="L1700">
        <v>0</v>
      </c>
      <c r="M1700" t="s">
        <v>64</v>
      </c>
    </row>
    <row r="1701" spans="1:13" hidden="1" x14ac:dyDescent="0.15">
      <c r="A1701" t="s">
        <v>5441</v>
      </c>
      <c r="B1701" t="s">
        <v>5442</v>
      </c>
      <c r="C1701" t="s">
        <v>5443</v>
      </c>
      <c r="D1701" t="s">
        <v>5444</v>
      </c>
      <c r="E1701">
        <v>934</v>
      </c>
      <c r="F1701" t="str">
        <f>HYPERLINK("https://github.com/popcorn-official/popcorn-android/issues/36", "show")</f>
        <v>show</v>
      </c>
      <c r="G1701" t="str">
        <f>HYPERLINK("https://github.com/popcorn-official/popcorn-android", "show")</f>
        <v>show</v>
      </c>
      <c r="H1701" t="str">
        <f>HYPERLINK("https://github.com/popcorn-official/popcorn-android/releases", "show")</f>
        <v>show</v>
      </c>
      <c r="I1701">
        <v>1</v>
      </c>
      <c r="J1701">
        <v>1</v>
      </c>
      <c r="K1701">
        <v>0</v>
      </c>
      <c r="L1701">
        <v>0</v>
      </c>
      <c r="M1701" t="s">
        <v>48</v>
      </c>
    </row>
    <row r="1702" spans="1:13" hidden="1" x14ac:dyDescent="0.15">
      <c r="A1702" t="s">
        <v>5445</v>
      </c>
      <c r="B1702" t="s">
        <v>5446</v>
      </c>
      <c r="C1702" t="s">
        <v>5447</v>
      </c>
      <c r="D1702" t="s">
        <v>5448</v>
      </c>
      <c r="E1702">
        <v>0</v>
      </c>
      <c r="F1702" t="str">
        <f>HYPERLINK("https://github.com/AnySoftKeyboard/AnySoftKeyboard/issues/660", "show")</f>
        <v>show</v>
      </c>
      <c r="G1702" t="str">
        <f>HYPERLINK("https://github.com/AnySoftKeyboard/AnySoftKeyboard", "show")</f>
        <v>show</v>
      </c>
      <c r="H1702" t="str">
        <f>HYPERLINK("https://github.com/AnySoftKeyboard/AnySoftKeyboard/releases", "show")</f>
        <v>show</v>
      </c>
      <c r="I1702">
        <v>0</v>
      </c>
      <c r="J1702">
        <v>0</v>
      </c>
      <c r="K1702">
        <v>0</v>
      </c>
      <c r="L1702">
        <v>0</v>
      </c>
      <c r="M1702" t="s">
        <v>43</v>
      </c>
    </row>
    <row r="1703" spans="1:13" hidden="1" x14ac:dyDescent="0.15">
      <c r="A1703" t="s">
        <v>5449</v>
      </c>
      <c r="B1703" t="s">
        <v>5450</v>
      </c>
      <c r="C1703" t="s">
        <v>5451</v>
      </c>
      <c r="D1703" t="s">
        <v>5448</v>
      </c>
      <c r="E1703">
        <v>2</v>
      </c>
      <c r="F1703" t="str">
        <f>HYPERLINK("https://github.com/LeafSWE/clips/issues/31", "show")</f>
        <v>show</v>
      </c>
      <c r="G1703" t="str">
        <f>HYPERLINK("https://github.com/LeafSWE/clips", "show")</f>
        <v>show</v>
      </c>
      <c r="H1703" t="str">
        <f>HYPERLINK("https://github.com/LeafSWE/clips/releases", "show")</f>
        <v>show</v>
      </c>
      <c r="I1703">
        <v>0</v>
      </c>
      <c r="J1703">
        <v>0</v>
      </c>
      <c r="K1703">
        <v>0</v>
      </c>
      <c r="L1703">
        <v>0</v>
      </c>
      <c r="M1703" t="s">
        <v>43</v>
      </c>
    </row>
    <row r="1704" spans="1:13" hidden="1" x14ac:dyDescent="0.15">
      <c r="A1704" t="s">
        <v>5452</v>
      </c>
      <c r="B1704" t="s">
        <v>5453</v>
      </c>
      <c r="C1704" t="s">
        <v>5454</v>
      </c>
      <c r="D1704" t="s">
        <v>5448</v>
      </c>
      <c r="E1704">
        <v>19</v>
      </c>
      <c r="F1704" t="str">
        <f>HYPERLINK("https://github.com/davideas/FlexibleAdapter/issues/92", "show")</f>
        <v>show</v>
      </c>
      <c r="G1704" t="str">
        <f>HYPERLINK("https://github.com/davideas/FlexibleAdapter", "show")</f>
        <v>show</v>
      </c>
      <c r="H1704" t="str">
        <f>HYPERLINK("https://github.com/davideas/FlexibleAdapter/releases", "show")</f>
        <v>show</v>
      </c>
      <c r="I1704">
        <v>1</v>
      </c>
      <c r="J1704">
        <v>0</v>
      </c>
      <c r="K1704">
        <v>1</v>
      </c>
      <c r="L1704">
        <v>0</v>
      </c>
      <c r="M1704" t="s">
        <v>64</v>
      </c>
    </row>
    <row r="1705" spans="1:13" hidden="1" x14ac:dyDescent="0.15">
      <c r="A1705" t="s">
        <v>5455</v>
      </c>
      <c r="B1705" t="s">
        <v>5456</v>
      </c>
      <c r="C1705" t="s">
        <v>5457</v>
      </c>
      <c r="D1705" t="s">
        <v>5458</v>
      </c>
      <c r="E1705">
        <v>1</v>
      </c>
      <c r="F1705" t="str">
        <f>HYPERLINK("https://github.com/requery/requery/issues/170", "show")</f>
        <v>show</v>
      </c>
      <c r="G1705" t="str">
        <f>HYPERLINK("https://github.com/requery/requery", "show")</f>
        <v>show</v>
      </c>
      <c r="H1705" t="str">
        <f>HYPERLINK("https://github.com/requery/requery/releases", "show")</f>
        <v>show</v>
      </c>
      <c r="I1705">
        <v>1</v>
      </c>
      <c r="J1705">
        <v>0</v>
      </c>
      <c r="K1705">
        <v>1</v>
      </c>
      <c r="L1705">
        <v>0</v>
      </c>
      <c r="M1705" t="s">
        <v>64</v>
      </c>
    </row>
    <row r="1706" spans="1:13" hidden="1" x14ac:dyDescent="0.15">
      <c r="A1706" t="s">
        <v>5459</v>
      </c>
      <c r="B1706" t="s">
        <v>5460</v>
      </c>
      <c r="C1706" t="s">
        <v>5461</v>
      </c>
      <c r="D1706" t="s">
        <v>5458</v>
      </c>
      <c r="E1706">
        <v>18</v>
      </c>
      <c r="F1706" t="str">
        <f>HYPERLINK("https://github.com/davideas/FlexibleAdapter/issues/95", "show")</f>
        <v>show</v>
      </c>
      <c r="G1706" t="str">
        <f>HYPERLINK("https://github.com/davideas/FlexibleAdapter", "show")</f>
        <v>show</v>
      </c>
      <c r="H1706" t="str">
        <f>HYPERLINK("https://github.com/davideas/FlexibleAdapter/releases", "show")</f>
        <v>show</v>
      </c>
      <c r="I1706">
        <v>1</v>
      </c>
      <c r="J1706">
        <v>0</v>
      </c>
      <c r="K1706">
        <v>1</v>
      </c>
      <c r="L1706">
        <v>0</v>
      </c>
      <c r="M1706" t="s">
        <v>64</v>
      </c>
    </row>
    <row r="1707" spans="1:13" hidden="1" x14ac:dyDescent="0.15">
      <c r="A1707" t="s">
        <v>5462</v>
      </c>
      <c r="B1707" t="s">
        <v>5463</v>
      </c>
      <c r="C1707" t="s">
        <v>5464</v>
      </c>
      <c r="D1707" t="s">
        <v>5458</v>
      </c>
      <c r="E1707">
        <v>4</v>
      </c>
      <c r="F1707" t="str">
        <f>HYPERLINK("https://github.com/popeen/Booksonic-App/issues/42", "show")</f>
        <v>show</v>
      </c>
      <c r="G1707" t="str">
        <f>HYPERLINK("https://github.com/popeen/Booksonic-App", "show")</f>
        <v>show</v>
      </c>
      <c r="H1707" t="str">
        <f>HYPERLINK("https://github.com/popeen/Booksonic-App/releases", "show")</f>
        <v>show</v>
      </c>
      <c r="I1707">
        <v>1</v>
      </c>
      <c r="J1707">
        <v>0</v>
      </c>
      <c r="K1707">
        <v>0</v>
      </c>
      <c r="L1707">
        <v>0</v>
      </c>
      <c r="M1707" t="s">
        <v>17</v>
      </c>
    </row>
    <row r="1708" spans="1:13" hidden="1" x14ac:dyDescent="0.15">
      <c r="A1708" t="s">
        <v>5465</v>
      </c>
      <c r="B1708" t="s">
        <v>5466</v>
      </c>
      <c r="D1708" t="s">
        <v>5458</v>
      </c>
      <c r="E1708">
        <v>60</v>
      </c>
      <c r="F1708" t="str">
        <f>HYPERLINK("https://github.com/F1rst-Unicorn/stocks/issues/9", "show")</f>
        <v>show</v>
      </c>
      <c r="G1708" t="str">
        <f>HYPERLINK("https://github.com/F1rst-Unicorn/stocks", "show")</f>
        <v>show</v>
      </c>
      <c r="H1708" t="str">
        <f>HYPERLINK("https://github.com/F1rst-Unicorn/stocks/releases", "show")</f>
        <v>show</v>
      </c>
      <c r="I1708">
        <v>1</v>
      </c>
      <c r="J1708">
        <v>0</v>
      </c>
      <c r="K1708">
        <v>0</v>
      </c>
      <c r="L1708">
        <v>0</v>
      </c>
      <c r="M1708" t="s">
        <v>17</v>
      </c>
    </row>
    <row r="1709" spans="1:13" hidden="1" x14ac:dyDescent="0.15">
      <c r="A1709" t="s">
        <v>5467</v>
      </c>
      <c r="B1709" t="s">
        <v>5468</v>
      </c>
      <c r="C1709" t="s">
        <v>5469</v>
      </c>
      <c r="D1709" t="s">
        <v>5458</v>
      </c>
      <c r="E1709">
        <v>1</v>
      </c>
      <c r="F1709" t="str">
        <f>HYPERLINK("https://github.com/google/ExoPlayer/issues/1567", "show")</f>
        <v>show</v>
      </c>
      <c r="G1709" t="str">
        <f>HYPERLINK("https://github.com/google/ExoPlayer", "show")</f>
        <v>show</v>
      </c>
      <c r="H1709" t="str">
        <f>HYPERLINK("https://github.com/google/ExoPlayer/releases", "show")</f>
        <v>show</v>
      </c>
      <c r="I1709">
        <v>0</v>
      </c>
      <c r="J1709">
        <v>0</v>
      </c>
      <c r="K1709">
        <v>0</v>
      </c>
      <c r="L1709">
        <v>0</v>
      </c>
      <c r="M1709" t="s">
        <v>43</v>
      </c>
    </row>
    <row r="1710" spans="1:13" hidden="1" x14ac:dyDescent="0.15">
      <c r="A1710" t="s">
        <v>5470</v>
      </c>
      <c r="B1710" t="s">
        <v>5471</v>
      </c>
      <c r="C1710" t="s">
        <v>5472</v>
      </c>
      <c r="D1710" t="s">
        <v>5458</v>
      </c>
      <c r="E1710">
        <v>0</v>
      </c>
      <c r="F1710" t="str">
        <f>HYPERLINK("https://github.com/commons-app/apps-android-commons/issues/109", "show")</f>
        <v>show</v>
      </c>
      <c r="G1710" t="str">
        <f>HYPERLINK("https://github.com/commons-app/apps-android-commons", "show")</f>
        <v>show</v>
      </c>
      <c r="H1710" t="str">
        <f>HYPERLINK("https://github.com/commons-app/apps-android-commons/releases", "show")</f>
        <v>show</v>
      </c>
      <c r="I1710">
        <v>1</v>
      </c>
      <c r="J1710">
        <v>0</v>
      </c>
      <c r="K1710">
        <v>1</v>
      </c>
      <c r="L1710">
        <v>0</v>
      </c>
      <c r="M1710" t="s">
        <v>64</v>
      </c>
    </row>
    <row r="1711" spans="1:13" hidden="1" x14ac:dyDescent="0.15">
      <c r="A1711" t="s">
        <v>5473</v>
      </c>
      <c r="B1711" t="s">
        <v>5474</v>
      </c>
      <c r="C1711" t="s">
        <v>5475</v>
      </c>
      <c r="D1711" t="s">
        <v>5458</v>
      </c>
      <c r="E1711">
        <v>50</v>
      </c>
      <c r="F1711" t="str">
        <f>HYPERLINK("https://github.com/nbossard/packlist/issues/34", "show")</f>
        <v>show</v>
      </c>
      <c r="G1711" t="str">
        <f>HYPERLINK("https://github.com/nbossard/packlist", "show")</f>
        <v>show</v>
      </c>
      <c r="H1711" t="str">
        <f>HYPERLINK("https://github.com/nbossard/packlist/releases", "show")</f>
        <v>show</v>
      </c>
      <c r="I1711">
        <v>0</v>
      </c>
      <c r="J1711">
        <v>0</v>
      </c>
      <c r="K1711">
        <v>0</v>
      </c>
      <c r="L1711">
        <v>0</v>
      </c>
      <c r="M1711" t="s">
        <v>43</v>
      </c>
    </row>
    <row r="1712" spans="1:13" hidden="1" x14ac:dyDescent="0.15">
      <c r="A1712" t="s">
        <v>5476</v>
      </c>
      <c r="B1712" t="s">
        <v>5477</v>
      </c>
      <c r="C1712" t="s">
        <v>5478</v>
      </c>
      <c r="D1712" t="s">
        <v>5479</v>
      </c>
      <c r="E1712">
        <v>7</v>
      </c>
      <c r="F1712" t="str">
        <f>HYPERLINK("https://github.com/EmergentOrganization/cell-rpg/issues/101", "show")</f>
        <v>show</v>
      </c>
      <c r="G1712" t="str">
        <f>HYPERLINK("https://github.com/EmergentOrganization/cell-rpg", "show")</f>
        <v>show</v>
      </c>
      <c r="H1712" t="str">
        <f>HYPERLINK("https://github.com/EmergentOrganization/cell-rpg/releases", "show")</f>
        <v>show</v>
      </c>
      <c r="I1712">
        <v>1</v>
      </c>
      <c r="J1712">
        <v>0</v>
      </c>
      <c r="K1712">
        <v>1</v>
      </c>
      <c r="L1712">
        <v>0</v>
      </c>
      <c r="M1712" t="s">
        <v>64</v>
      </c>
    </row>
    <row r="1713" spans="1:13" hidden="1" x14ac:dyDescent="0.15">
      <c r="A1713" t="s">
        <v>5480</v>
      </c>
      <c r="B1713" t="s">
        <v>5481</v>
      </c>
      <c r="C1713" t="s">
        <v>5482</v>
      </c>
      <c r="D1713" t="s">
        <v>5479</v>
      </c>
      <c r="E1713">
        <v>28</v>
      </c>
      <c r="F1713" t="str">
        <f>HYPERLINK("https://github.com/Flaredown/FlaredownAndroid/issues/41", "show")</f>
        <v>show</v>
      </c>
      <c r="G1713" t="str">
        <f>HYPERLINK("https://github.com/Flaredown/FlaredownAndroid", "show")</f>
        <v>show</v>
      </c>
      <c r="H1713" t="str">
        <f>HYPERLINK("https://github.com/Flaredown/FlaredownAndroid/releases", "show")</f>
        <v>show</v>
      </c>
      <c r="I1713">
        <v>1</v>
      </c>
      <c r="J1713">
        <v>0</v>
      </c>
      <c r="K1713">
        <v>0</v>
      </c>
      <c r="L1713">
        <v>0</v>
      </c>
      <c r="M1713" t="s">
        <v>17</v>
      </c>
    </row>
    <row r="1714" spans="1:13" hidden="1" x14ac:dyDescent="0.15">
      <c r="A1714" t="s">
        <v>5483</v>
      </c>
      <c r="B1714" t="s">
        <v>5484</v>
      </c>
      <c r="C1714" t="s">
        <v>5485</v>
      </c>
      <c r="D1714" t="s">
        <v>5486</v>
      </c>
      <c r="E1714">
        <v>5</v>
      </c>
      <c r="F1714" t="str">
        <f>HYPERLINK("https://github.com/EmergentOrganization/cell-rpg/issues/104", "show")</f>
        <v>show</v>
      </c>
      <c r="G1714" t="str">
        <f>HYPERLINK("https://github.com/EmergentOrganization/cell-rpg", "show")</f>
        <v>show</v>
      </c>
      <c r="H1714" t="str">
        <f>HYPERLINK("https://github.com/EmergentOrganization/cell-rpg/releases", "show")</f>
        <v>show</v>
      </c>
      <c r="I1714">
        <v>0</v>
      </c>
      <c r="J1714">
        <v>0</v>
      </c>
      <c r="K1714">
        <v>0</v>
      </c>
      <c r="L1714">
        <v>0</v>
      </c>
      <c r="M1714" t="s">
        <v>43</v>
      </c>
    </row>
    <row r="1715" spans="1:13" hidden="1" x14ac:dyDescent="0.15">
      <c r="A1715" t="s">
        <v>5487</v>
      </c>
      <c r="B1715" t="s">
        <v>5488</v>
      </c>
      <c r="C1715" t="s">
        <v>5489</v>
      </c>
      <c r="D1715" t="s">
        <v>5486</v>
      </c>
      <c r="E1715">
        <v>0</v>
      </c>
      <c r="F1715" t="str">
        <f>HYPERLINK("https://github.com/Cloudkibo/Android/issues/108", "show")</f>
        <v>show</v>
      </c>
      <c r="G1715" t="str">
        <f>HYPERLINK("https://github.com/Cloudkibo/Android", "show")</f>
        <v>show</v>
      </c>
      <c r="H1715" t="str">
        <f>HYPERLINK("https://github.com/Cloudkibo/Android/releases", "show")</f>
        <v>show</v>
      </c>
      <c r="I1715">
        <v>0</v>
      </c>
      <c r="J1715">
        <v>0</v>
      </c>
      <c r="K1715">
        <v>0</v>
      </c>
      <c r="L1715">
        <v>0</v>
      </c>
      <c r="M1715" t="s">
        <v>43</v>
      </c>
    </row>
    <row r="1716" spans="1:13" hidden="1" x14ac:dyDescent="0.15">
      <c r="A1716" t="s">
        <v>5490</v>
      </c>
      <c r="B1716" t="s">
        <v>5491</v>
      </c>
      <c r="C1716" t="s">
        <v>5492</v>
      </c>
      <c r="D1716" t="s">
        <v>5493</v>
      </c>
      <c r="E1716">
        <v>497</v>
      </c>
      <c r="F1716" t="str">
        <f>HYPERLINK("https://github.com/k9mail/k-9/issues/1434", "show")</f>
        <v>show</v>
      </c>
      <c r="G1716" t="str">
        <f>HYPERLINK("https://github.com/k9mail/k-9", "show")</f>
        <v>show</v>
      </c>
      <c r="H1716" t="str">
        <f>HYPERLINK("https://github.com/k9mail/k-9/releases", "show")</f>
        <v>show</v>
      </c>
      <c r="I1716">
        <v>1</v>
      </c>
      <c r="J1716">
        <v>1</v>
      </c>
      <c r="K1716">
        <v>0</v>
      </c>
      <c r="L1716">
        <v>0</v>
      </c>
      <c r="M1716" t="s">
        <v>48</v>
      </c>
    </row>
    <row r="1717" spans="1:13" hidden="1" x14ac:dyDescent="0.15">
      <c r="A1717" t="s">
        <v>5494</v>
      </c>
      <c r="B1717" t="s">
        <v>5495</v>
      </c>
      <c r="C1717" t="s">
        <v>5496</v>
      </c>
      <c r="D1717" t="s">
        <v>5493</v>
      </c>
      <c r="E1717">
        <v>4</v>
      </c>
      <c r="F1717" t="str">
        <f>HYPERLINK("https://github.com/Crash-Test-Buddies/WiFi-Buddy/issues/111", "show")</f>
        <v>show</v>
      </c>
      <c r="G1717" t="str">
        <f>HYPERLINK("https://github.com/Crash-Test-Buddies/WiFi-Buddy", "show")</f>
        <v>show</v>
      </c>
      <c r="H1717" t="str">
        <f>HYPERLINK("https://github.com/Crash-Test-Buddies/WiFi-Buddy/releases", "show")</f>
        <v>show</v>
      </c>
      <c r="I1717">
        <v>1</v>
      </c>
      <c r="J1717">
        <v>1</v>
      </c>
      <c r="K1717">
        <v>0</v>
      </c>
      <c r="L1717">
        <v>0</v>
      </c>
      <c r="M1717" t="s">
        <v>48</v>
      </c>
    </row>
    <row r="1718" spans="1:13" hidden="1" x14ac:dyDescent="0.15">
      <c r="A1718" t="s">
        <v>5497</v>
      </c>
      <c r="B1718" t="s">
        <v>5498</v>
      </c>
      <c r="C1718" t="s">
        <v>5499</v>
      </c>
      <c r="D1718" t="s">
        <v>5493</v>
      </c>
      <c r="E1718">
        <v>0</v>
      </c>
      <c r="F1718" t="str">
        <f>HYPERLINK("https://github.com/Crash-Test-Buddies/WiFi-Buddy/issues/110", "show")</f>
        <v>show</v>
      </c>
      <c r="G1718" t="str">
        <f>HYPERLINK("https://github.com/Crash-Test-Buddies/WiFi-Buddy", "show")</f>
        <v>show</v>
      </c>
      <c r="H1718" t="str">
        <f>HYPERLINK("https://github.com/Crash-Test-Buddies/WiFi-Buddy/releases", "show")</f>
        <v>show</v>
      </c>
      <c r="I1718">
        <v>1</v>
      </c>
      <c r="J1718">
        <v>0</v>
      </c>
      <c r="K1718">
        <v>0</v>
      </c>
      <c r="L1718">
        <v>0</v>
      </c>
      <c r="M1718" t="s">
        <v>17</v>
      </c>
    </row>
    <row r="1719" spans="1:13" hidden="1" x14ac:dyDescent="0.15">
      <c r="A1719" t="s">
        <v>5500</v>
      </c>
      <c r="B1719" t="s">
        <v>5501</v>
      </c>
      <c r="C1719" t="s">
        <v>5502</v>
      </c>
      <c r="D1719" t="s">
        <v>5503</v>
      </c>
      <c r="E1719">
        <v>1</v>
      </c>
      <c r="F1719" t="str">
        <f>HYPERLINK("https://github.com/dimagi/commcare-android/issues/1303", "show")</f>
        <v>show</v>
      </c>
      <c r="G1719" t="str">
        <f>HYPERLINK("https://github.com/dimagi/commcare-android", "show")</f>
        <v>show</v>
      </c>
      <c r="H1719" t="str">
        <f>HYPERLINK("https://github.com/dimagi/commcare-android/releases", "show")</f>
        <v>show</v>
      </c>
      <c r="I1719">
        <v>1</v>
      </c>
      <c r="J1719">
        <v>1</v>
      </c>
      <c r="K1719">
        <v>1</v>
      </c>
      <c r="L1719">
        <v>0</v>
      </c>
      <c r="M1719" t="s">
        <v>59</v>
      </c>
    </row>
    <row r="1720" spans="1:13" hidden="1" x14ac:dyDescent="0.15">
      <c r="A1720" t="s">
        <v>5504</v>
      </c>
      <c r="B1720" t="s">
        <v>5505</v>
      </c>
      <c r="C1720" t="s">
        <v>5506</v>
      </c>
      <c r="D1720" t="s">
        <v>5503</v>
      </c>
      <c r="E1720">
        <v>0</v>
      </c>
      <c r="F1720" t="str">
        <f>HYPERLINK("https://github.com/qtmdev/AndroidInference/issues/18", "show")</f>
        <v>show</v>
      </c>
      <c r="G1720" t="str">
        <f>HYPERLINK("https://github.com/qtmdev/AndroidInference", "show")</f>
        <v>show</v>
      </c>
      <c r="H1720" t="str">
        <f>HYPERLINK("https://github.com/qtmdev/AndroidInference/releases", "show")</f>
        <v>show</v>
      </c>
      <c r="I1720">
        <v>0</v>
      </c>
      <c r="J1720">
        <v>0</v>
      </c>
      <c r="K1720">
        <v>0</v>
      </c>
      <c r="L1720">
        <v>0</v>
      </c>
      <c r="M1720" t="s">
        <v>43</v>
      </c>
    </row>
    <row r="1721" spans="1:13" hidden="1" x14ac:dyDescent="0.15">
      <c r="A1721" t="s">
        <v>5507</v>
      </c>
      <c r="B1721" t="s">
        <v>5501</v>
      </c>
      <c r="C1721" t="s">
        <v>5508</v>
      </c>
      <c r="D1721" t="s">
        <v>5503</v>
      </c>
      <c r="E1721">
        <v>0</v>
      </c>
      <c r="F1721" t="str">
        <f>HYPERLINK("https://github.com/dimagi/commcare-android/issues/1300", "show")</f>
        <v>show</v>
      </c>
      <c r="G1721" t="str">
        <f>HYPERLINK("https://github.com/dimagi/commcare-android", "show")</f>
        <v>show</v>
      </c>
      <c r="H1721" t="str">
        <f>HYPERLINK("https://github.com/dimagi/commcare-android/releases", "show")</f>
        <v>show</v>
      </c>
      <c r="I1721">
        <v>1</v>
      </c>
      <c r="J1721">
        <v>1</v>
      </c>
      <c r="K1721">
        <v>1</v>
      </c>
      <c r="L1721">
        <v>0</v>
      </c>
      <c r="M1721" t="s">
        <v>59</v>
      </c>
    </row>
    <row r="1722" spans="1:13" hidden="1" x14ac:dyDescent="0.15">
      <c r="A1722" t="s">
        <v>5509</v>
      </c>
      <c r="B1722" t="s">
        <v>5510</v>
      </c>
      <c r="C1722" t="s">
        <v>5511</v>
      </c>
      <c r="D1722" t="s">
        <v>5503</v>
      </c>
      <c r="E1722">
        <v>160</v>
      </c>
      <c r="F1722" t="str">
        <f>HYPERLINK("https://github.com/square/okhttp/issues/2606", "show")</f>
        <v>show</v>
      </c>
      <c r="G1722" t="str">
        <f>HYPERLINK("https://github.com/square/okhttp", "show")</f>
        <v>show</v>
      </c>
      <c r="H1722" t="str">
        <f>HYPERLINK("https://github.com/square/okhttp/releases", "show")</f>
        <v>show</v>
      </c>
      <c r="I1722">
        <v>1</v>
      </c>
      <c r="J1722">
        <v>0</v>
      </c>
      <c r="K1722">
        <v>0</v>
      </c>
      <c r="L1722">
        <v>1</v>
      </c>
      <c r="M1722" t="s">
        <v>29</v>
      </c>
    </row>
    <row r="1723" spans="1:13" hidden="1" x14ac:dyDescent="0.15">
      <c r="A1723" t="s">
        <v>5512</v>
      </c>
      <c r="B1723" t="s">
        <v>5513</v>
      </c>
      <c r="C1723" t="s">
        <v>5514</v>
      </c>
      <c r="D1723" t="s">
        <v>5503</v>
      </c>
      <c r="E1723">
        <v>3</v>
      </c>
      <c r="F1723" t="str">
        <f>HYPERLINK("https://github.com/google/ExoPlayer/issues/1573", "show")</f>
        <v>show</v>
      </c>
      <c r="G1723" t="str">
        <f>HYPERLINK("https://github.com/google/ExoPlayer", "show")</f>
        <v>show</v>
      </c>
      <c r="H1723" t="str">
        <f>HYPERLINK("https://github.com/google/ExoPlayer/releases", "show")</f>
        <v>show</v>
      </c>
      <c r="I1723">
        <v>1</v>
      </c>
      <c r="J1723">
        <v>0</v>
      </c>
      <c r="K1723">
        <v>0</v>
      </c>
      <c r="L1723">
        <v>0</v>
      </c>
      <c r="M1723" t="s">
        <v>17</v>
      </c>
    </row>
    <row r="1724" spans="1:13" hidden="1" x14ac:dyDescent="0.15">
      <c r="A1724" t="s">
        <v>5515</v>
      </c>
      <c r="B1724" t="s">
        <v>5516</v>
      </c>
      <c r="C1724" t="s">
        <v>5517</v>
      </c>
      <c r="D1724" t="s">
        <v>5503</v>
      </c>
      <c r="E1724">
        <v>14</v>
      </c>
      <c r="F1724" t="str">
        <f>HYPERLINK("https://github.com/davideas/FlexibleAdapter/issues/103", "show")</f>
        <v>show</v>
      </c>
      <c r="G1724" t="str">
        <f>HYPERLINK("https://github.com/davideas/FlexibleAdapter", "show")</f>
        <v>show</v>
      </c>
      <c r="H1724" t="str">
        <f>HYPERLINK("https://github.com/davideas/FlexibleAdapter/releases", "show")</f>
        <v>show</v>
      </c>
      <c r="I1724">
        <v>1</v>
      </c>
      <c r="J1724">
        <v>0</v>
      </c>
      <c r="K1724">
        <v>0</v>
      </c>
      <c r="L1724">
        <v>0</v>
      </c>
      <c r="M1724" t="s">
        <v>17</v>
      </c>
    </row>
    <row r="1725" spans="1:13" hidden="1" x14ac:dyDescent="0.15">
      <c r="A1725" t="s">
        <v>5518</v>
      </c>
      <c r="B1725" t="s">
        <v>5519</v>
      </c>
      <c r="C1725" t="s">
        <v>5520</v>
      </c>
      <c r="D1725" t="s">
        <v>5503</v>
      </c>
      <c r="E1725">
        <v>7</v>
      </c>
      <c r="F1725" t="str">
        <f>HYPERLINK("https://github.com/commons-app/apps-android-commons/issues/117", "show")</f>
        <v>show</v>
      </c>
      <c r="G1725" t="str">
        <f>HYPERLINK("https://github.com/commons-app/apps-android-commons", "show")</f>
        <v>show</v>
      </c>
      <c r="H1725" t="str">
        <f>HYPERLINK("https://github.com/commons-app/apps-android-commons/releases", "show")</f>
        <v>show</v>
      </c>
      <c r="I1725">
        <v>1</v>
      </c>
      <c r="J1725">
        <v>0</v>
      </c>
      <c r="K1725">
        <v>1</v>
      </c>
      <c r="L1725">
        <v>0</v>
      </c>
      <c r="M1725" t="s">
        <v>64</v>
      </c>
    </row>
    <row r="1726" spans="1:13" hidden="1" x14ac:dyDescent="0.15">
      <c r="A1726" t="s">
        <v>5521</v>
      </c>
      <c r="B1726" t="s">
        <v>5522</v>
      </c>
      <c r="C1726" t="s">
        <v>5523</v>
      </c>
      <c r="D1726" t="s">
        <v>5524</v>
      </c>
      <c r="E1726">
        <v>0</v>
      </c>
      <c r="F1726" t="str">
        <f>HYPERLINK("https://github.com/dimagi/commcare-android/issues/1306", "show")</f>
        <v>show</v>
      </c>
      <c r="G1726" t="str">
        <f>HYPERLINK("https://github.com/dimagi/commcare-android", "show")</f>
        <v>show</v>
      </c>
      <c r="H1726" t="str">
        <f>HYPERLINK("https://github.com/dimagi/commcare-android/releases", "show")</f>
        <v>show</v>
      </c>
      <c r="I1726">
        <v>1</v>
      </c>
      <c r="J1726">
        <v>0</v>
      </c>
      <c r="K1726">
        <v>0</v>
      </c>
      <c r="L1726">
        <v>0</v>
      </c>
      <c r="M1726" t="s">
        <v>17</v>
      </c>
    </row>
    <row r="1727" spans="1:13" hidden="1" x14ac:dyDescent="0.15">
      <c r="A1727" t="s">
        <v>5525</v>
      </c>
      <c r="B1727" t="s">
        <v>5526</v>
      </c>
      <c r="D1727" t="s">
        <v>5524</v>
      </c>
      <c r="E1727">
        <v>2</v>
      </c>
      <c r="F1727" t="str">
        <f>HYPERLINK("https://github.com/AdguardTeam/ContentBlocker/issues/19", "show")</f>
        <v>show</v>
      </c>
      <c r="G1727" t="str">
        <f>HYPERLINK("https://github.com/AdguardTeam/ContentBlocker", "show")</f>
        <v>show</v>
      </c>
      <c r="H1727" t="str">
        <f>HYPERLINK("https://github.com/AdguardTeam/ContentBlocker/releases", "show")</f>
        <v>show</v>
      </c>
      <c r="I1727">
        <v>1</v>
      </c>
      <c r="J1727">
        <v>0</v>
      </c>
      <c r="K1727">
        <v>1</v>
      </c>
      <c r="L1727">
        <v>0</v>
      </c>
      <c r="M1727" t="s">
        <v>64</v>
      </c>
    </row>
    <row r="1728" spans="1:13" hidden="1" x14ac:dyDescent="0.15">
      <c r="A1728" t="s">
        <v>5527</v>
      </c>
      <c r="B1728" t="s">
        <v>5528</v>
      </c>
      <c r="C1728" t="s">
        <v>5529</v>
      </c>
      <c r="D1728" t="s">
        <v>5524</v>
      </c>
      <c r="E1728">
        <v>56</v>
      </c>
      <c r="F1728" t="str">
        <f>HYPERLINK("https://github.com/Flaredown/FlaredownAndroid/issues/42", "show")</f>
        <v>show</v>
      </c>
      <c r="G1728" t="str">
        <f>HYPERLINK("https://github.com/Flaredown/FlaredownAndroid", "show")</f>
        <v>show</v>
      </c>
      <c r="H1728" t="str">
        <f>HYPERLINK("https://github.com/Flaredown/FlaredownAndroid/releases", "show")</f>
        <v>show</v>
      </c>
      <c r="I1728">
        <v>1</v>
      </c>
      <c r="J1728">
        <v>0</v>
      </c>
      <c r="K1728">
        <v>0</v>
      </c>
      <c r="L1728">
        <v>0</v>
      </c>
      <c r="M1728" t="s">
        <v>17</v>
      </c>
    </row>
    <row r="1729" spans="1:13" hidden="1" x14ac:dyDescent="0.15">
      <c r="A1729" t="s">
        <v>5530</v>
      </c>
      <c r="B1729" t="s">
        <v>5531</v>
      </c>
      <c r="C1729" t="s">
        <v>5532</v>
      </c>
      <c r="D1729" t="s">
        <v>5524</v>
      </c>
      <c r="E1729">
        <v>28</v>
      </c>
      <c r="F1729" t="str">
        <f>HYPERLINK("https://github.com/wasdennnoch/AndroidN-ify/issues/412", "show")</f>
        <v>show</v>
      </c>
      <c r="G1729" t="str">
        <f>HYPERLINK("https://github.com/wasdennnoch/AndroidN-ify", "show")</f>
        <v>show</v>
      </c>
      <c r="H1729" t="str">
        <f>HYPERLINK("https://github.com/wasdennnoch/AndroidN-ify/releases", "show")</f>
        <v>show</v>
      </c>
      <c r="I1729">
        <v>1</v>
      </c>
      <c r="J1729">
        <v>0</v>
      </c>
      <c r="K1729">
        <v>0</v>
      </c>
      <c r="L1729">
        <v>0</v>
      </c>
      <c r="M1729" t="s">
        <v>17</v>
      </c>
    </row>
    <row r="1730" spans="1:13" hidden="1" x14ac:dyDescent="0.15">
      <c r="A1730" t="s">
        <v>5533</v>
      </c>
      <c r="B1730" t="s">
        <v>5534</v>
      </c>
      <c r="C1730" t="s">
        <v>5535</v>
      </c>
      <c r="D1730" t="s">
        <v>5524</v>
      </c>
      <c r="E1730">
        <v>4</v>
      </c>
      <c r="F1730" t="str">
        <f>HYPERLINK("https://github.com/wasdennnoch/AndroidN-ify/issues/411", "show")</f>
        <v>show</v>
      </c>
      <c r="G1730" t="str">
        <f>HYPERLINK("https://github.com/wasdennnoch/AndroidN-ify", "show")</f>
        <v>show</v>
      </c>
      <c r="H1730" t="str">
        <f>HYPERLINK("https://github.com/wasdennnoch/AndroidN-ify/releases", "show")</f>
        <v>show</v>
      </c>
      <c r="I1730">
        <v>1</v>
      </c>
      <c r="J1730">
        <v>0</v>
      </c>
      <c r="K1730">
        <v>0</v>
      </c>
      <c r="L1730">
        <v>0</v>
      </c>
      <c r="M1730" t="s">
        <v>17</v>
      </c>
    </row>
    <row r="1731" spans="1:13" hidden="1" x14ac:dyDescent="0.15">
      <c r="A1731" t="s">
        <v>5536</v>
      </c>
      <c r="B1731" t="s">
        <v>5537</v>
      </c>
      <c r="C1731" t="s">
        <v>5538</v>
      </c>
      <c r="D1731" t="s">
        <v>5539</v>
      </c>
      <c r="E1731">
        <v>40</v>
      </c>
      <c r="F1731" t="str">
        <f>HYPERLINK("https://github.com/translation-cards/translation-cards/issues/216", "show")</f>
        <v>show</v>
      </c>
      <c r="G1731" t="str">
        <f>HYPERLINK("https://github.com/translation-cards/translation-cards", "show")</f>
        <v>show</v>
      </c>
      <c r="H1731" t="str">
        <f>HYPERLINK("https://github.com/translation-cards/translation-cards/releases", "show")</f>
        <v>show</v>
      </c>
      <c r="I1731">
        <v>1</v>
      </c>
      <c r="J1731">
        <v>0</v>
      </c>
      <c r="K1731">
        <v>0</v>
      </c>
      <c r="L1731">
        <v>0</v>
      </c>
      <c r="M1731" t="s">
        <v>17</v>
      </c>
    </row>
    <row r="1732" spans="1:13" hidden="1" x14ac:dyDescent="0.15">
      <c r="A1732" t="s">
        <v>5540</v>
      </c>
      <c r="B1732" t="s">
        <v>5541</v>
      </c>
      <c r="C1732" t="s">
        <v>5542</v>
      </c>
      <c r="D1732" t="s">
        <v>5539</v>
      </c>
      <c r="E1732">
        <v>524</v>
      </c>
      <c r="F1732" t="str">
        <f>HYPERLINK("https://github.com/erickok/transdroid/issues/315", "show")</f>
        <v>show</v>
      </c>
      <c r="G1732" t="str">
        <f>HYPERLINK("https://github.com/erickok/transdroid", "show")</f>
        <v>show</v>
      </c>
      <c r="H1732" t="str">
        <f>HYPERLINK("https://github.com/erickok/transdroid/releases", "show")</f>
        <v>show</v>
      </c>
      <c r="I1732">
        <v>1</v>
      </c>
      <c r="J1732">
        <v>0</v>
      </c>
      <c r="K1732">
        <v>0</v>
      </c>
      <c r="L1732">
        <v>0</v>
      </c>
      <c r="M1732" t="s">
        <v>17</v>
      </c>
    </row>
    <row r="1733" spans="1:13" hidden="1" x14ac:dyDescent="0.15">
      <c r="A1733" t="s">
        <v>5543</v>
      </c>
      <c r="B1733" t="s">
        <v>5544</v>
      </c>
      <c r="C1733" t="s">
        <v>5545</v>
      </c>
      <c r="D1733" t="s">
        <v>5539</v>
      </c>
      <c r="E1733">
        <v>2</v>
      </c>
      <c r="F1733" t="str">
        <f>HYPERLINK("https://github.com/mvysny/aedict/issues/686", "show")</f>
        <v>show</v>
      </c>
      <c r="G1733" t="str">
        <f>HYPERLINK("https://github.com/mvysny/aedict", "show")</f>
        <v>show</v>
      </c>
      <c r="H1733" t="str">
        <f>HYPERLINK("https://github.com/mvysny/aedict/releases", "show")</f>
        <v>show</v>
      </c>
      <c r="I1733">
        <v>0</v>
      </c>
      <c r="J1733">
        <v>0</v>
      </c>
      <c r="K1733">
        <v>0</v>
      </c>
      <c r="L1733">
        <v>0</v>
      </c>
      <c r="M1733" t="s">
        <v>43</v>
      </c>
    </row>
    <row r="1734" spans="1:13" hidden="1" x14ac:dyDescent="0.15">
      <c r="A1734" t="s">
        <v>5546</v>
      </c>
      <c r="B1734" t="s">
        <v>5547</v>
      </c>
      <c r="C1734" t="s">
        <v>5548</v>
      </c>
      <c r="D1734" t="s">
        <v>5539</v>
      </c>
      <c r="E1734">
        <v>9</v>
      </c>
      <c r="F1734" t="str">
        <f>HYPERLINK("https://github.com/bumptech/glide/issues/1259", "show")</f>
        <v>show</v>
      </c>
      <c r="G1734" t="str">
        <f>HYPERLINK("https://github.com/bumptech/glide", "show")</f>
        <v>show</v>
      </c>
      <c r="H1734" t="str">
        <f>HYPERLINK("https://github.com/bumptech/glide/releases", "show")</f>
        <v>show</v>
      </c>
      <c r="I1734">
        <v>0</v>
      </c>
      <c r="J1734">
        <v>0</v>
      </c>
      <c r="K1734">
        <v>0</v>
      </c>
      <c r="L1734">
        <v>0</v>
      </c>
      <c r="M1734" t="s">
        <v>43</v>
      </c>
    </row>
    <row r="1735" spans="1:13" hidden="1" x14ac:dyDescent="0.15">
      <c r="A1735" t="s">
        <v>5549</v>
      </c>
      <c r="B1735" t="s">
        <v>5550</v>
      </c>
      <c r="C1735" t="s">
        <v>5551</v>
      </c>
      <c r="D1735" t="s">
        <v>5552</v>
      </c>
      <c r="E1735">
        <v>1</v>
      </c>
      <c r="F1735" t="str">
        <f>HYPERLINK("https://github.com/dimagi/commcare-android/issues/1311", "show")</f>
        <v>show</v>
      </c>
      <c r="G1735" t="str">
        <f>HYPERLINK("https://github.com/dimagi/commcare-android", "show")</f>
        <v>show</v>
      </c>
      <c r="H1735" t="str">
        <f>HYPERLINK("https://github.com/dimagi/commcare-android/releases", "show")</f>
        <v>show</v>
      </c>
      <c r="I1735">
        <v>1</v>
      </c>
      <c r="J1735">
        <v>0</v>
      </c>
      <c r="K1735">
        <v>0</v>
      </c>
      <c r="L1735">
        <v>0</v>
      </c>
      <c r="M1735" t="s">
        <v>17</v>
      </c>
    </row>
    <row r="1736" spans="1:13" hidden="1" x14ac:dyDescent="0.15">
      <c r="A1736" t="s">
        <v>5553</v>
      </c>
      <c r="B1736" t="s">
        <v>5554</v>
      </c>
      <c r="C1736" t="s">
        <v>5555</v>
      </c>
      <c r="D1736" t="s">
        <v>5552</v>
      </c>
      <c r="E1736">
        <v>0</v>
      </c>
      <c r="F1736" t="str">
        <f>HYPERLINK("https://github.com/OneBusAway/onebusaway-android/issues/530", "show")</f>
        <v>show</v>
      </c>
      <c r="G1736" t="str">
        <f>HYPERLINK("https://github.com/OneBusAway/onebusaway-android", "show")</f>
        <v>show</v>
      </c>
      <c r="H1736" t="str">
        <f>HYPERLINK("https://github.com/OneBusAway/onebusaway-android/releases", "show")</f>
        <v>show</v>
      </c>
      <c r="I1736">
        <v>1</v>
      </c>
      <c r="J1736">
        <v>0</v>
      </c>
      <c r="K1736">
        <v>1</v>
      </c>
      <c r="L1736">
        <v>0</v>
      </c>
      <c r="M1736" t="s">
        <v>64</v>
      </c>
    </row>
    <row r="1737" spans="1:13" hidden="1" x14ac:dyDescent="0.15">
      <c r="A1737" t="s">
        <v>5556</v>
      </c>
      <c r="B1737" t="s">
        <v>939</v>
      </c>
      <c r="C1737" t="s">
        <v>5557</v>
      </c>
      <c r="D1737" t="s">
        <v>5552</v>
      </c>
      <c r="E1737">
        <v>0</v>
      </c>
      <c r="F1737" t="str">
        <f>HYPERLINK("https://github.com/OneBusAway/onebusaway-android/issues/529", "show")</f>
        <v>show</v>
      </c>
      <c r="G1737" t="str">
        <f>HYPERLINK("https://github.com/OneBusAway/onebusaway-android", "show")</f>
        <v>show</v>
      </c>
      <c r="H1737" t="str">
        <f>HYPERLINK("https://github.com/OneBusAway/onebusaway-android/releases", "show")</f>
        <v>show</v>
      </c>
      <c r="I1737">
        <v>0</v>
      </c>
      <c r="J1737">
        <v>0</v>
      </c>
      <c r="K1737">
        <v>1</v>
      </c>
      <c r="L1737">
        <v>0</v>
      </c>
      <c r="M1737" t="s">
        <v>122</v>
      </c>
    </row>
    <row r="1738" spans="1:13" hidden="1" x14ac:dyDescent="0.15">
      <c r="A1738" t="s">
        <v>5558</v>
      </c>
      <c r="B1738" t="s">
        <v>5559</v>
      </c>
      <c r="C1738" t="s">
        <v>5560</v>
      </c>
      <c r="D1738" t="s">
        <v>5552</v>
      </c>
      <c r="E1738">
        <v>994</v>
      </c>
      <c r="F1738" t="str">
        <f>HYPERLINK("https://github.com/k9mail/k-9/issues/1452", "show")</f>
        <v>show</v>
      </c>
      <c r="G1738" t="str">
        <f>HYPERLINK("https://github.com/k9mail/k-9", "show")</f>
        <v>show</v>
      </c>
      <c r="H1738" t="str">
        <f>HYPERLINK("https://github.com/k9mail/k-9/releases", "show")</f>
        <v>show</v>
      </c>
      <c r="I1738">
        <v>1</v>
      </c>
      <c r="J1738">
        <v>1</v>
      </c>
      <c r="K1738">
        <v>1</v>
      </c>
      <c r="L1738">
        <v>0</v>
      </c>
      <c r="M1738" t="s">
        <v>59</v>
      </c>
    </row>
    <row r="1739" spans="1:13" hidden="1" x14ac:dyDescent="0.15">
      <c r="A1739" t="s">
        <v>5561</v>
      </c>
      <c r="B1739" t="s">
        <v>5562</v>
      </c>
      <c r="C1739" t="s">
        <v>5563</v>
      </c>
      <c r="D1739" t="s">
        <v>5564</v>
      </c>
      <c r="E1739">
        <v>6</v>
      </c>
      <c r="F1739" t="str">
        <f>HYPERLINK("https://github.com/OneBusAway/onebusaway-android/issues/538", "show")</f>
        <v>show</v>
      </c>
      <c r="G1739" t="str">
        <f>HYPERLINK("https://github.com/OneBusAway/onebusaway-android", "show")</f>
        <v>show</v>
      </c>
      <c r="H1739" t="str">
        <f>HYPERLINK("https://github.com/OneBusAway/onebusaway-android/releases", "show")</f>
        <v>show</v>
      </c>
      <c r="I1739">
        <v>1</v>
      </c>
      <c r="J1739">
        <v>1</v>
      </c>
      <c r="K1739">
        <v>1</v>
      </c>
      <c r="L1739">
        <v>1</v>
      </c>
      <c r="M1739" t="s">
        <v>2875</v>
      </c>
    </row>
    <row r="1740" spans="1:13" hidden="1" x14ac:dyDescent="0.15">
      <c r="A1740" t="s">
        <v>5565</v>
      </c>
      <c r="B1740" t="s">
        <v>5566</v>
      </c>
      <c r="D1740" t="s">
        <v>5564</v>
      </c>
      <c r="E1740">
        <v>0</v>
      </c>
      <c r="F1740" t="str">
        <f>HYPERLINK("https://github.com/mvysny/aedict/issues/687", "show")</f>
        <v>show</v>
      </c>
      <c r="G1740" t="str">
        <f>HYPERLINK("https://github.com/mvysny/aedict", "show")</f>
        <v>show</v>
      </c>
      <c r="H1740" t="str">
        <f>HYPERLINK("https://github.com/mvysny/aedict/releases", "show")</f>
        <v>show</v>
      </c>
      <c r="I1740">
        <v>0</v>
      </c>
      <c r="J1740">
        <v>0</v>
      </c>
      <c r="K1740">
        <v>1</v>
      </c>
      <c r="L1740">
        <v>0</v>
      </c>
      <c r="M1740" t="s">
        <v>122</v>
      </c>
    </row>
    <row r="1741" spans="1:13" hidden="1" x14ac:dyDescent="0.15">
      <c r="A1741" t="s">
        <v>5567</v>
      </c>
      <c r="B1741" t="s">
        <v>5568</v>
      </c>
      <c r="C1741" t="s">
        <v>5569</v>
      </c>
      <c r="D1741" t="s">
        <v>5564</v>
      </c>
      <c r="E1741">
        <v>0</v>
      </c>
      <c r="F1741" t="str">
        <f>HYPERLINK("https://github.com/zxing/zxing/issues/607", "show")</f>
        <v>show</v>
      </c>
      <c r="G1741" t="str">
        <f>HYPERLINK("https://github.com/zxing/zxing", "show")</f>
        <v>show</v>
      </c>
      <c r="H1741" t="str">
        <f>HYPERLINK("https://github.com/zxing/zxing/releases", "show")</f>
        <v>show</v>
      </c>
      <c r="I1741">
        <v>0</v>
      </c>
      <c r="J1741">
        <v>0</v>
      </c>
      <c r="K1741">
        <v>1</v>
      </c>
      <c r="L1741">
        <v>0</v>
      </c>
      <c r="M1741" t="s">
        <v>122</v>
      </c>
    </row>
    <row r="1742" spans="1:13" hidden="1" x14ac:dyDescent="0.15">
      <c r="A1742" t="s">
        <v>5570</v>
      </c>
      <c r="B1742" t="s">
        <v>5571</v>
      </c>
      <c r="C1742" t="s">
        <v>5572</v>
      </c>
      <c r="D1742" t="s">
        <v>5564</v>
      </c>
      <c r="E1742">
        <v>0</v>
      </c>
      <c r="F1742" t="str">
        <f>HYPERLINK("https://github.com/andpor/react-native-sqlite-storage/issues/58", "show")</f>
        <v>show</v>
      </c>
      <c r="G1742" t="str">
        <f>HYPERLINK("https://github.com/andpor/react-native-sqlite-storage", "show")</f>
        <v>show</v>
      </c>
      <c r="H1742" t="str">
        <f>HYPERLINK("https://github.com/andpor/react-native-sqlite-storage/releases", "show")</f>
        <v>show</v>
      </c>
      <c r="I1742">
        <v>1</v>
      </c>
      <c r="J1742">
        <v>0</v>
      </c>
      <c r="K1742">
        <v>0</v>
      </c>
      <c r="L1742">
        <v>0</v>
      </c>
      <c r="M1742" t="s">
        <v>17</v>
      </c>
    </row>
    <row r="1743" spans="1:13" hidden="1" x14ac:dyDescent="0.15">
      <c r="A1743" t="s">
        <v>5573</v>
      </c>
      <c r="B1743" t="s">
        <v>5574</v>
      </c>
      <c r="C1743" t="s">
        <v>5575</v>
      </c>
      <c r="D1743" t="s">
        <v>5564</v>
      </c>
      <c r="E1743">
        <v>100</v>
      </c>
      <c r="F1743" t="str">
        <f>HYPERLINK("https://github.com/AEFeinstein/mtg-familiar/issues/129", "show")</f>
        <v>show</v>
      </c>
      <c r="G1743" t="str">
        <f>HYPERLINK("https://github.com/AEFeinstein/mtg-familiar", "show")</f>
        <v>show</v>
      </c>
      <c r="H1743" t="str">
        <f>HYPERLINK("https://github.com/AEFeinstein/mtg-familiar/releases", "show")</f>
        <v>show</v>
      </c>
      <c r="I1743">
        <v>1</v>
      </c>
      <c r="J1743">
        <v>0</v>
      </c>
      <c r="K1743">
        <v>0</v>
      </c>
      <c r="L1743">
        <v>0</v>
      </c>
      <c r="M1743" t="s">
        <v>17</v>
      </c>
    </row>
    <row r="1744" spans="1:13" x14ac:dyDescent="0.15">
      <c r="A1744" t="s">
        <v>5576</v>
      </c>
      <c r="B1744" t="s">
        <v>5577</v>
      </c>
      <c r="C1744" t="s">
        <v>5578</v>
      </c>
      <c r="D1744" t="s">
        <v>5579</v>
      </c>
      <c r="E1744">
        <v>167</v>
      </c>
      <c r="F1744" t="str">
        <f>HYPERLINK("https://github.com/autyzm-pg/friendly-plans/issues/26", "show")</f>
        <v>show</v>
      </c>
      <c r="G1744" t="str">
        <f>HYPERLINK("https://github.com/autyzm-pg/friendly-plans", "show")</f>
        <v>show</v>
      </c>
      <c r="H1744" t="str">
        <f>HYPERLINK("https://github.com/autyzm-pg/friendly-plans/releases", "show")</f>
        <v>show</v>
      </c>
      <c r="I1744">
        <v>0</v>
      </c>
      <c r="J1744">
        <v>1</v>
      </c>
      <c r="K1744">
        <v>0</v>
      </c>
      <c r="L1744">
        <v>0</v>
      </c>
      <c r="M1744" t="s">
        <v>139</v>
      </c>
    </row>
    <row r="1745" spans="1:13" hidden="1" x14ac:dyDescent="0.15">
      <c r="A1745" t="s">
        <v>5580</v>
      </c>
      <c r="B1745" t="s">
        <v>5581</v>
      </c>
      <c r="C1745" t="s">
        <v>5582</v>
      </c>
      <c r="D1745" t="s">
        <v>5579</v>
      </c>
      <c r="E1745">
        <v>2</v>
      </c>
      <c r="F1745" t="str">
        <f>HYPERLINK("https://github.com/zettaapi/zetta-sdk-android/issues/12", "show")</f>
        <v>show</v>
      </c>
      <c r="G1745" t="str">
        <f>HYPERLINK("https://github.com/zettaapi/zetta-sdk-android", "show")</f>
        <v>show</v>
      </c>
      <c r="H1745" t="str">
        <f>HYPERLINK("https://github.com/zettaapi/zetta-sdk-android/releases", "show")</f>
        <v>show</v>
      </c>
      <c r="I1745">
        <v>1</v>
      </c>
      <c r="J1745">
        <v>0</v>
      </c>
      <c r="K1745">
        <v>1</v>
      </c>
      <c r="L1745">
        <v>0</v>
      </c>
      <c r="M1745" t="s">
        <v>64</v>
      </c>
    </row>
    <row r="1746" spans="1:13" hidden="1" x14ac:dyDescent="0.15">
      <c r="A1746" t="s">
        <v>5583</v>
      </c>
      <c r="B1746" t="s">
        <v>5584</v>
      </c>
      <c r="C1746" t="s">
        <v>5585</v>
      </c>
      <c r="D1746" t="s">
        <v>5579</v>
      </c>
      <c r="E1746">
        <v>167</v>
      </c>
      <c r="F1746" t="str">
        <f>HYPERLINK("https://github.com/autyzm-pg/friendly-plans/issues/22", "show")</f>
        <v>show</v>
      </c>
      <c r="G1746" t="str">
        <f>HYPERLINK("https://github.com/autyzm-pg/friendly-plans", "show")</f>
        <v>show</v>
      </c>
      <c r="H1746" t="str">
        <f>HYPERLINK("https://github.com/autyzm-pg/friendly-plans/releases", "show")</f>
        <v>show</v>
      </c>
      <c r="I1746">
        <v>0</v>
      </c>
      <c r="J1746">
        <v>0</v>
      </c>
      <c r="K1746">
        <v>0</v>
      </c>
      <c r="L1746">
        <v>0</v>
      </c>
      <c r="M1746" t="s">
        <v>43</v>
      </c>
    </row>
    <row r="1747" spans="1:13" hidden="1" x14ac:dyDescent="0.15">
      <c r="A1747" t="s">
        <v>5586</v>
      </c>
      <c r="B1747" t="s">
        <v>5587</v>
      </c>
      <c r="C1747" t="s">
        <v>5588</v>
      </c>
      <c r="D1747" t="s">
        <v>5589</v>
      </c>
      <c r="E1747">
        <v>2</v>
      </c>
      <c r="F1747" t="str">
        <f>HYPERLINK("https://github.com/MythTV-Clients/MythtvPlayerForAndroid/issues/184", "show")</f>
        <v>show</v>
      </c>
      <c r="G1747" t="str">
        <f>HYPERLINK("https://github.com/MythTV-Clients/MythtvPlayerForAndroid", "show")</f>
        <v>show</v>
      </c>
      <c r="H1747" t="str">
        <f>HYPERLINK("https://github.com/MythTV-Clients/MythtvPlayerForAndroid/releases", "show")</f>
        <v>show</v>
      </c>
      <c r="I1747">
        <v>1</v>
      </c>
      <c r="J1747">
        <v>0</v>
      </c>
      <c r="K1747">
        <v>1</v>
      </c>
      <c r="L1747">
        <v>0</v>
      </c>
      <c r="M1747" t="s">
        <v>64</v>
      </c>
    </row>
    <row r="1748" spans="1:13" hidden="1" x14ac:dyDescent="0.15">
      <c r="A1748" t="s">
        <v>5590</v>
      </c>
      <c r="B1748" t="s">
        <v>5591</v>
      </c>
      <c r="C1748" t="s">
        <v>5592</v>
      </c>
      <c r="D1748" t="s">
        <v>5589</v>
      </c>
      <c r="E1748">
        <v>35</v>
      </c>
      <c r="F1748" t="str">
        <f>HYPERLINK("https://github.com/processing/processing-android/issues/225", "show")</f>
        <v>show</v>
      </c>
      <c r="G1748" t="str">
        <f>HYPERLINK("https://github.com/processing/processing-android", "show")</f>
        <v>show</v>
      </c>
      <c r="H1748" t="str">
        <f>HYPERLINK("https://github.com/processing/processing-android/releases", "show")</f>
        <v>show</v>
      </c>
      <c r="I1748">
        <v>1</v>
      </c>
      <c r="J1748">
        <v>0</v>
      </c>
      <c r="K1748">
        <v>0</v>
      </c>
      <c r="L1748">
        <v>0</v>
      </c>
      <c r="M1748" t="s">
        <v>17</v>
      </c>
    </row>
    <row r="1749" spans="1:13" hidden="1" x14ac:dyDescent="0.15">
      <c r="A1749" t="s">
        <v>5593</v>
      </c>
      <c r="B1749" t="s">
        <v>5594</v>
      </c>
      <c r="C1749" t="s">
        <v>5595</v>
      </c>
      <c r="D1749" t="s">
        <v>5589</v>
      </c>
      <c r="E1749">
        <v>119</v>
      </c>
      <c r="F1749" t="str">
        <f>HYPERLINK("https://github.com/autyzm-pg/friendly-plans/issues/28", "show")</f>
        <v>show</v>
      </c>
      <c r="G1749" t="str">
        <f>HYPERLINK("https://github.com/autyzm-pg/friendly-plans", "show")</f>
        <v>show</v>
      </c>
      <c r="H1749" t="str">
        <f>HYPERLINK("https://github.com/autyzm-pg/friendly-plans/releases", "show")</f>
        <v>show</v>
      </c>
      <c r="I1749">
        <v>1</v>
      </c>
      <c r="J1749">
        <v>1</v>
      </c>
      <c r="K1749">
        <v>0</v>
      </c>
      <c r="L1749">
        <v>0</v>
      </c>
      <c r="M1749" t="s">
        <v>48</v>
      </c>
    </row>
    <row r="1750" spans="1:13" hidden="1" x14ac:dyDescent="0.15">
      <c r="A1750" t="s">
        <v>5596</v>
      </c>
      <c r="B1750" t="s">
        <v>5597</v>
      </c>
      <c r="C1750" t="s">
        <v>5598</v>
      </c>
      <c r="D1750" t="s">
        <v>5599</v>
      </c>
      <c r="E1750">
        <v>24</v>
      </c>
      <c r="F1750" t="str">
        <f>HYPERLINK("https://github.com/wasdennnoch/AndroidN-ify/issues/447", "show")</f>
        <v>show</v>
      </c>
      <c r="G1750" t="str">
        <f>HYPERLINK("https://github.com/wasdennnoch/AndroidN-ify", "show")</f>
        <v>show</v>
      </c>
      <c r="H1750" t="str">
        <f>HYPERLINK("https://github.com/wasdennnoch/AndroidN-ify/releases", "show")</f>
        <v>show</v>
      </c>
      <c r="I1750">
        <v>1</v>
      </c>
      <c r="J1750">
        <v>1</v>
      </c>
      <c r="K1750">
        <v>0</v>
      </c>
      <c r="L1750">
        <v>0</v>
      </c>
      <c r="M1750" t="s">
        <v>48</v>
      </c>
    </row>
    <row r="1751" spans="1:13" hidden="1" x14ac:dyDescent="0.15">
      <c r="A1751" t="s">
        <v>5600</v>
      </c>
      <c r="B1751" t="s">
        <v>5601</v>
      </c>
      <c r="C1751" t="s">
        <v>5602</v>
      </c>
      <c r="D1751" t="s">
        <v>5599</v>
      </c>
      <c r="E1751">
        <v>919</v>
      </c>
      <c r="F1751" t="str">
        <f>HYPERLINK("https://github.com/commons-app/apps-android-commons/issues/124", "show")</f>
        <v>show</v>
      </c>
      <c r="G1751" t="str">
        <f>HYPERLINK("https://github.com/commons-app/apps-android-commons", "show")</f>
        <v>show</v>
      </c>
      <c r="H1751" t="str">
        <f>HYPERLINK("https://github.com/commons-app/apps-android-commons/releases", "show")</f>
        <v>show</v>
      </c>
      <c r="I1751">
        <v>1</v>
      </c>
      <c r="J1751">
        <v>0</v>
      </c>
      <c r="K1751">
        <v>0</v>
      </c>
      <c r="L1751">
        <v>0</v>
      </c>
      <c r="M1751" t="s">
        <v>17</v>
      </c>
    </row>
    <row r="1752" spans="1:13" hidden="1" x14ac:dyDescent="0.15">
      <c r="A1752" t="s">
        <v>5603</v>
      </c>
      <c r="B1752" t="s">
        <v>5604</v>
      </c>
      <c r="C1752" t="s">
        <v>5605</v>
      </c>
      <c r="D1752" t="s">
        <v>5599</v>
      </c>
      <c r="E1752">
        <v>0</v>
      </c>
      <c r="F1752" t="str">
        <f>HYPERLINK("https://github.com/mauron85/cordova-plugin-background-geolocation/issues/89", "show")</f>
        <v>show</v>
      </c>
      <c r="G1752" t="str">
        <f>HYPERLINK("https://github.com/mauron85/cordova-plugin-background-geolocation", "show")</f>
        <v>show</v>
      </c>
      <c r="H1752" t="str">
        <f>HYPERLINK("https://github.com/mauron85/cordova-plugin-background-geolocation/releases", "show")</f>
        <v>show</v>
      </c>
      <c r="I1752">
        <v>1</v>
      </c>
      <c r="J1752">
        <v>0</v>
      </c>
      <c r="K1752">
        <v>0</v>
      </c>
      <c r="L1752">
        <v>0</v>
      </c>
      <c r="M1752" t="s">
        <v>17</v>
      </c>
    </row>
    <row r="1753" spans="1:13" hidden="1" x14ac:dyDescent="0.15">
      <c r="A1753" t="s">
        <v>5606</v>
      </c>
      <c r="B1753" t="s">
        <v>5607</v>
      </c>
      <c r="C1753" t="s">
        <v>5608</v>
      </c>
      <c r="D1753" t="s">
        <v>5609</v>
      </c>
      <c r="E1753">
        <v>763</v>
      </c>
      <c r="F1753" t="str">
        <f>HYPERLINK("https://github.com/google/ExoPlayer/issues/1593", "show")</f>
        <v>show</v>
      </c>
      <c r="G1753" t="str">
        <f>HYPERLINK("https://github.com/google/ExoPlayer", "show")</f>
        <v>show</v>
      </c>
      <c r="H1753" t="str">
        <f>HYPERLINK("https://github.com/google/ExoPlayer/releases", "show")</f>
        <v>show</v>
      </c>
      <c r="I1753">
        <v>1</v>
      </c>
      <c r="J1753">
        <v>0</v>
      </c>
      <c r="K1753">
        <v>1</v>
      </c>
      <c r="L1753">
        <v>0</v>
      </c>
      <c r="M1753" t="s">
        <v>64</v>
      </c>
    </row>
    <row r="1754" spans="1:13" hidden="1" x14ac:dyDescent="0.15">
      <c r="A1754" t="s">
        <v>5610</v>
      </c>
      <c r="B1754" t="s">
        <v>5611</v>
      </c>
      <c r="D1754" t="s">
        <v>5609</v>
      </c>
      <c r="E1754">
        <v>6</v>
      </c>
      <c r="F1754" t="str">
        <f>HYPERLINK("https://github.com/hesa/tranarappen/issues/80", "show")</f>
        <v>show</v>
      </c>
      <c r="G1754" t="str">
        <f>HYPERLINK("https://github.com/hesa/tranarappen", "show")</f>
        <v>show</v>
      </c>
      <c r="H1754" t="str">
        <f>HYPERLINK("https://github.com/hesa/tranarappen/releases", "show")</f>
        <v>show</v>
      </c>
      <c r="I1754">
        <v>1</v>
      </c>
      <c r="J1754">
        <v>0</v>
      </c>
      <c r="K1754">
        <v>0</v>
      </c>
      <c r="L1754">
        <v>0</v>
      </c>
      <c r="M1754" t="s">
        <v>17</v>
      </c>
    </row>
    <row r="1755" spans="1:13" hidden="1" x14ac:dyDescent="0.15">
      <c r="A1755" t="s">
        <v>5612</v>
      </c>
      <c r="B1755" t="s">
        <v>5613</v>
      </c>
      <c r="C1755" t="s">
        <v>5614</v>
      </c>
      <c r="D1755" t="s">
        <v>5609</v>
      </c>
      <c r="E1755">
        <v>94</v>
      </c>
      <c r="F1755" t="str">
        <f>HYPERLINK("https://github.com/kontalk/androidclient/issues/758", "show")</f>
        <v>show</v>
      </c>
      <c r="G1755" t="str">
        <f>HYPERLINK("https://github.com/kontalk/androidclient", "show")</f>
        <v>show</v>
      </c>
      <c r="H1755" t="str">
        <f>HYPERLINK("https://github.com/kontalk/androidclient/releases", "show")</f>
        <v>show</v>
      </c>
      <c r="I1755">
        <v>1</v>
      </c>
      <c r="J1755">
        <v>0</v>
      </c>
      <c r="K1755">
        <v>1</v>
      </c>
      <c r="L1755">
        <v>0</v>
      </c>
      <c r="M1755" t="s">
        <v>64</v>
      </c>
    </row>
    <row r="1756" spans="1:13" hidden="1" x14ac:dyDescent="0.15">
      <c r="A1756" t="s">
        <v>5615</v>
      </c>
      <c r="B1756" t="s">
        <v>5616</v>
      </c>
      <c r="C1756" t="s">
        <v>5617</v>
      </c>
      <c r="D1756" t="s">
        <v>5609</v>
      </c>
      <c r="E1756">
        <v>491</v>
      </c>
      <c r="F1756" t="str">
        <f>HYPERLINK("https://github.com/bumptech/glide/issues/1267", "show")</f>
        <v>show</v>
      </c>
      <c r="G1756" t="str">
        <f>HYPERLINK("https://github.com/bumptech/glide", "show")</f>
        <v>show</v>
      </c>
      <c r="H1756" t="str">
        <f>HYPERLINK("https://github.com/bumptech/glide/releases", "show")</f>
        <v>show</v>
      </c>
      <c r="I1756">
        <v>1</v>
      </c>
      <c r="J1756">
        <v>1</v>
      </c>
      <c r="K1756">
        <v>1</v>
      </c>
      <c r="L1756">
        <v>0</v>
      </c>
      <c r="M1756" t="s">
        <v>59</v>
      </c>
    </row>
    <row r="1757" spans="1:13" hidden="1" x14ac:dyDescent="0.15">
      <c r="A1757" t="s">
        <v>5618</v>
      </c>
      <c r="B1757" t="s">
        <v>5619</v>
      </c>
      <c r="C1757" t="s">
        <v>5620</v>
      </c>
      <c r="D1757" t="s">
        <v>5621</v>
      </c>
      <c r="E1757">
        <v>48</v>
      </c>
      <c r="F1757" t="str">
        <f>HYPERLINK("https://github.com/Flaredown/FlaredownAndroid/issues/44", "show")</f>
        <v>show</v>
      </c>
      <c r="G1757" t="str">
        <f>HYPERLINK("https://github.com/Flaredown/FlaredownAndroid", "show")</f>
        <v>show</v>
      </c>
      <c r="H1757" t="str">
        <f>HYPERLINK("https://github.com/Flaredown/FlaredownAndroid/releases", "show")</f>
        <v>show</v>
      </c>
      <c r="I1757">
        <v>1</v>
      </c>
      <c r="J1757">
        <v>0</v>
      </c>
      <c r="K1757">
        <v>1</v>
      </c>
      <c r="L1757">
        <v>0</v>
      </c>
      <c r="M1757" t="s">
        <v>64</v>
      </c>
    </row>
    <row r="1758" spans="1:13" hidden="1" x14ac:dyDescent="0.15">
      <c r="A1758" t="s">
        <v>5622</v>
      </c>
      <c r="B1758" t="s">
        <v>5623</v>
      </c>
      <c r="C1758" t="s">
        <v>5624</v>
      </c>
      <c r="D1758" t="s">
        <v>5621</v>
      </c>
      <c r="E1758">
        <v>1</v>
      </c>
      <c r="F1758" t="str">
        <f>HYPERLINK("https://github.com/OpenTreeMap/otm-android/issues/266", "show")</f>
        <v>show</v>
      </c>
      <c r="G1758" t="str">
        <f>HYPERLINK("https://github.com/OpenTreeMap/otm-android", "show")</f>
        <v>show</v>
      </c>
      <c r="H1758" t="str">
        <f>HYPERLINK("https://github.com/OpenTreeMap/otm-android/releases", "show")</f>
        <v>show</v>
      </c>
      <c r="I1758">
        <v>1</v>
      </c>
      <c r="J1758">
        <v>0</v>
      </c>
      <c r="K1758">
        <v>0</v>
      </c>
      <c r="L1758">
        <v>0</v>
      </c>
      <c r="M1758" t="s">
        <v>17</v>
      </c>
    </row>
    <row r="1759" spans="1:13" hidden="1" x14ac:dyDescent="0.15">
      <c r="A1759" t="s">
        <v>5625</v>
      </c>
      <c r="B1759" t="s">
        <v>5626</v>
      </c>
      <c r="C1759" t="s">
        <v>5627</v>
      </c>
      <c r="D1759" t="s">
        <v>5621</v>
      </c>
      <c r="E1759">
        <v>62</v>
      </c>
      <c r="F1759" t="str">
        <f>HYPERLINK("https://github.com/zom/Zom-Android-XMPP/issues/108", "show")</f>
        <v>show</v>
      </c>
      <c r="G1759" t="str">
        <f>HYPERLINK("https://github.com/zom/Zom-Android-XMPP", "show")</f>
        <v>show</v>
      </c>
      <c r="H1759" t="str">
        <f>HYPERLINK("https://github.com/zom/Zom-Android-XMPP/releases", "show")</f>
        <v>show</v>
      </c>
      <c r="I1759">
        <v>1</v>
      </c>
      <c r="J1759">
        <v>0</v>
      </c>
      <c r="K1759">
        <v>0</v>
      </c>
      <c r="L1759">
        <v>0</v>
      </c>
      <c r="M1759" t="s">
        <v>17</v>
      </c>
    </row>
    <row r="1760" spans="1:13" hidden="1" x14ac:dyDescent="0.15">
      <c r="A1760" t="s">
        <v>5628</v>
      </c>
      <c r="B1760" t="s">
        <v>5629</v>
      </c>
      <c r="C1760" t="s">
        <v>5630</v>
      </c>
      <c r="D1760" t="s">
        <v>5621</v>
      </c>
      <c r="E1760">
        <v>2</v>
      </c>
      <c r="F1760" t="str">
        <f>HYPERLINK("https://github.com/duniter/duniter-android-app/issues/53", "show")</f>
        <v>show</v>
      </c>
      <c r="G1760" t="str">
        <f>HYPERLINK("https://github.com/duniter/duniter-android-app", "show")</f>
        <v>show</v>
      </c>
      <c r="H1760" t="str">
        <f>HYPERLINK("https://github.com/duniter/duniter-android-app/releases", "show")</f>
        <v>show</v>
      </c>
      <c r="I1760">
        <v>1</v>
      </c>
      <c r="J1760">
        <v>0</v>
      </c>
      <c r="K1760">
        <v>0</v>
      </c>
      <c r="L1760">
        <v>0</v>
      </c>
      <c r="M1760" t="s">
        <v>17</v>
      </c>
    </row>
    <row r="1761" spans="1:13" hidden="1" x14ac:dyDescent="0.15">
      <c r="A1761" t="s">
        <v>5631</v>
      </c>
      <c r="B1761" t="s">
        <v>5632</v>
      </c>
      <c r="C1761" t="s">
        <v>5633</v>
      </c>
      <c r="D1761" t="s">
        <v>5621</v>
      </c>
      <c r="E1761">
        <v>0</v>
      </c>
      <c r="F1761" t="str">
        <f>HYPERLINK("https://github.com/duniter/duniter-android-app/issues/50", "show")</f>
        <v>show</v>
      </c>
      <c r="G1761" t="str">
        <f>HYPERLINK("https://github.com/duniter/duniter-android-app", "show")</f>
        <v>show</v>
      </c>
      <c r="H1761" t="str">
        <f>HYPERLINK("https://github.com/duniter/duniter-android-app/releases", "show")</f>
        <v>show</v>
      </c>
      <c r="I1761">
        <v>0</v>
      </c>
      <c r="J1761">
        <v>0</v>
      </c>
      <c r="K1761">
        <v>0</v>
      </c>
      <c r="L1761">
        <v>0</v>
      </c>
      <c r="M1761" t="s">
        <v>43</v>
      </c>
    </row>
    <row r="1762" spans="1:13" hidden="1" x14ac:dyDescent="0.15">
      <c r="A1762" t="s">
        <v>5634</v>
      </c>
      <c r="B1762" t="s">
        <v>5635</v>
      </c>
      <c r="C1762" t="s">
        <v>5636</v>
      </c>
      <c r="D1762" t="s">
        <v>5621</v>
      </c>
      <c r="E1762">
        <v>16</v>
      </c>
      <c r="F1762" t="str">
        <f>HYPERLINK("https://github.com/square/okhttp/issues/2628", "show")</f>
        <v>show</v>
      </c>
      <c r="G1762" t="str">
        <f>HYPERLINK("https://github.com/square/okhttp", "show")</f>
        <v>show</v>
      </c>
      <c r="H1762" t="str">
        <f>HYPERLINK("https://github.com/square/okhttp/releases", "show")</f>
        <v>show</v>
      </c>
      <c r="I1762">
        <v>1</v>
      </c>
      <c r="J1762">
        <v>0</v>
      </c>
      <c r="K1762">
        <v>1</v>
      </c>
      <c r="L1762">
        <v>0</v>
      </c>
      <c r="M1762" t="s">
        <v>64</v>
      </c>
    </row>
    <row r="1763" spans="1:13" hidden="1" x14ac:dyDescent="0.15">
      <c r="A1763" t="s">
        <v>5637</v>
      </c>
      <c r="B1763" t="s">
        <v>5638</v>
      </c>
      <c r="C1763" t="s">
        <v>5639</v>
      </c>
      <c r="D1763" t="s">
        <v>5621</v>
      </c>
      <c r="E1763">
        <v>301</v>
      </c>
      <c r="F1763" t="str">
        <f>HYPERLINK("https://github.com/balthazar/react-native-zeroconf/issues/12", "show")</f>
        <v>show</v>
      </c>
      <c r="G1763" t="str">
        <f>HYPERLINK("https://github.com/balthazar/react-native-zeroconf", "show")</f>
        <v>show</v>
      </c>
      <c r="H1763" t="str">
        <f>HYPERLINK("https://github.com/balthazar/react-native-zeroconf/releases", "show")</f>
        <v>show</v>
      </c>
      <c r="I1763">
        <v>1</v>
      </c>
      <c r="J1763">
        <v>0</v>
      </c>
      <c r="K1763">
        <v>0</v>
      </c>
      <c r="L1763">
        <v>1</v>
      </c>
      <c r="M1763" t="s">
        <v>29</v>
      </c>
    </row>
    <row r="1764" spans="1:13" hidden="1" x14ac:dyDescent="0.15">
      <c r="A1764" t="s">
        <v>5640</v>
      </c>
      <c r="B1764" t="s">
        <v>5641</v>
      </c>
      <c r="C1764" t="s">
        <v>5642</v>
      </c>
      <c r="D1764" t="s">
        <v>5621</v>
      </c>
      <c r="E1764">
        <v>23</v>
      </c>
      <c r="F1764" t="str">
        <f>HYPERLINK("https://github.com/wasdennnoch/AndroidN-ify/issues/469", "show")</f>
        <v>show</v>
      </c>
      <c r="G1764" t="str">
        <f>HYPERLINK("https://github.com/wasdennnoch/AndroidN-ify", "show")</f>
        <v>show</v>
      </c>
      <c r="H1764" t="str">
        <f>HYPERLINK("https://github.com/wasdennnoch/AndroidN-ify/releases", "show")</f>
        <v>show</v>
      </c>
      <c r="I1764">
        <v>1</v>
      </c>
      <c r="J1764">
        <v>0</v>
      </c>
      <c r="K1764">
        <v>0</v>
      </c>
      <c r="L1764">
        <v>0</v>
      </c>
      <c r="M1764" t="s">
        <v>17</v>
      </c>
    </row>
    <row r="1765" spans="1:13" hidden="1" x14ac:dyDescent="0.15">
      <c r="A1765" t="s">
        <v>5643</v>
      </c>
      <c r="B1765" t="s">
        <v>5644</v>
      </c>
      <c r="C1765" t="s">
        <v>5645</v>
      </c>
      <c r="D1765" t="s">
        <v>5646</v>
      </c>
      <c r="E1765">
        <v>17</v>
      </c>
      <c r="F1765" t="str">
        <f>HYPERLINK("https://github.com/jMonkeyEngine/sdk/issues/78", "show")</f>
        <v>show</v>
      </c>
      <c r="G1765" t="str">
        <f>HYPERLINK("https://github.com/jMonkeyEngine/sdk", "show")</f>
        <v>show</v>
      </c>
      <c r="H1765" t="str">
        <f>HYPERLINK("https://github.com/jMonkeyEngine/sdk/releases", "show")</f>
        <v>show</v>
      </c>
      <c r="I1765">
        <v>1</v>
      </c>
      <c r="J1765">
        <v>0</v>
      </c>
      <c r="K1765">
        <v>0</v>
      </c>
      <c r="L1765">
        <v>0</v>
      </c>
      <c r="M1765" t="s">
        <v>17</v>
      </c>
    </row>
    <row r="1766" spans="1:13" hidden="1" x14ac:dyDescent="0.15">
      <c r="A1766" t="s">
        <v>5647</v>
      </c>
      <c r="B1766" t="s">
        <v>5648</v>
      </c>
      <c r="C1766" t="s">
        <v>5649</v>
      </c>
      <c r="D1766" t="s">
        <v>5646</v>
      </c>
      <c r="E1766">
        <v>59</v>
      </c>
      <c r="F1766" t="str">
        <f>HYPERLINK("https://github.com/zom/Zom-Android-XMPP/issues/110", "show")</f>
        <v>show</v>
      </c>
      <c r="G1766" t="str">
        <f>HYPERLINK("https://github.com/zom/Zom-Android-XMPP", "show")</f>
        <v>show</v>
      </c>
      <c r="H1766" t="str">
        <f>HYPERLINK("https://github.com/zom/Zom-Android-XMPP/releases", "show")</f>
        <v>show</v>
      </c>
      <c r="I1766">
        <v>1</v>
      </c>
      <c r="J1766">
        <v>0</v>
      </c>
      <c r="K1766">
        <v>0</v>
      </c>
      <c r="L1766">
        <v>0</v>
      </c>
      <c r="M1766" t="s">
        <v>17</v>
      </c>
    </row>
    <row r="1767" spans="1:13" hidden="1" x14ac:dyDescent="0.15">
      <c r="A1767" t="s">
        <v>5650</v>
      </c>
      <c r="B1767" t="s">
        <v>5651</v>
      </c>
      <c r="C1767" t="s">
        <v>5652</v>
      </c>
      <c r="D1767" t="s">
        <v>5646</v>
      </c>
      <c r="E1767">
        <v>219</v>
      </c>
      <c r="F1767" t="str">
        <f>HYPERLINK("https://github.com/MythTV-Clients/MythtvPlayerForAndroid/issues/186", "show")</f>
        <v>show</v>
      </c>
      <c r="G1767" t="str">
        <f>HYPERLINK("https://github.com/MythTV-Clients/MythtvPlayerForAndroid", "show")</f>
        <v>show</v>
      </c>
      <c r="H1767" t="str">
        <f>HYPERLINK("https://github.com/MythTV-Clients/MythtvPlayerForAndroid/releases", "show")</f>
        <v>show</v>
      </c>
      <c r="I1767">
        <v>0</v>
      </c>
      <c r="J1767">
        <v>0</v>
      </c>
      <c r="K1767">
        <v>1</v>
      </c>
      <c r="L1767">
        <v>0</v>
      </c>
      <c r="M1767" t="s">
        <v>122</v>
      </c>
    </row>
    <row r="1768" spans="1:13" hidden="1" x14ac:dyDescent="0.15">
      <c r="A1768" t="s">
        <v>5653</v>
      </c>
      <c r="B1768" t="s">
        <v>5654</v>
      </c>
      <c r="C1768" t="s">
        <v>5655</v>
      </c>
      <c r="D1768" t="s">
        <v>5646</v>
      </c>
      <c r="E1768">
        <v>6</v>
      </c>
      <c r="F1768" t="str">
        <f>HYPERLINK("https://github.com/yigit/android-priority-jobqueue/issues/187", "show")</f>
        <v>show</v>
      </c>
      <c r="G1768" t="str">
        <f>HYPERLINK("https://github.com/yigit/android-priority-jobqueue", "show")</f>
        <v>show</v>
      </c>
      <c r="H1768" t="str">
        <f>HYPERLINK("https://github.com/yigit/android-priority-jobqueue/releases", "show")</f>
        <v>show</v>
      </c>
      <c r="I1768">
        <v>0</v>
      </c>
      <c r="J1768">
        <v>0</v>
      </c>
      <c r="K1768">
        <v>0</v>
      </c>
      <c r="L1768">
        <v>0</v>
      </c>
      <c r="M1768" t="s">
        <v>43</v>
      </c>
    </row>
    <row r="1769" spans="1:13" hidden="1" x14ac:dyDescent="0.15">
      <c r="A1769" t="s">
        <v>5656</v>
      </c>
      <c r="B1769" t="s">
        <v>5657</v>
      </c>
      <c r="C1769" t="s">
        <v>5658</v>
      </c>
      <c r="D1769" t="s">
        <v>5646</v>
      </c>
      <c r="E1769">
        <v>8</v>
      </c>
      <c r="F1769" t="str">
        <f>HYPERLINK("https://github.com/square/okhttp/issues/2634", "show")</f>
        <v>show</v>
      </c>
      <c r="G1769" t="str">
        <f>HYPERLINK("https://github.com/square/okhttp", "show")</f>
        <v>show</v>
      </c>
      <c r="H1769" t="str">
        <f>HYPERLINK("https://github.com/square/okhttp/releases", "show")</f>
        <v>show</v>
      </c>
      <c r="I1769">
        <v>0</v>
      </c>
      <c r="J1769">
        <v>0</v>
      </c>
      <c r="K1769">
        <v>1</v>
      </c>
      <c r="L1769">
        <v>0</v>
      </c>
      <c r="M1769" t="s">
        <v>122</v>
      </c>
    </row>
    <row r="1770" spans="1:13" hidden="1" x14ac:dyDescent="0.15">
      <c r="A1770" t="s">
        <v>5659</v>
      </c>
      <c r="B1770" t="s">
        <v>5660</v>
      </c>
      <c r="C1770" t="s">
        <v>5661</v>
      </c>
      <c r="D1770" t="s">
        <v>5646</v>
      </c>
      <c r="E1770">
        <v>10</v>
      </c>
      <c r="F1770" t="str">
        <f>HYPERLINK("https://github.com/ankidroid/Anki-Android/issues/4330", "show")</f>
        <v>show</v>
      </c>
      <c r="G1770" t="str">
        <f>HYPERLINK("https://github.com/ankidroid/Anki-Android", "show")</f>
        <v>show</v>
      </c>
      <c r="H1770" t="str">
        <f>HYPERLINK("https://github.com/ankidroid/Anki-Android/releases", "show")</f>
        <v>show</v>
      </c>
      <c r="I1770">
        <v>1</v>
      </c>
      <c r="J1770">
        <v>0</v>
      </c>
      <c r="K1770">
        <v>0</v>
      </c>
      <c r="L1770">
        <v>0</v>
      </c>
      <c r="M1770" t="s">
        <v>17</v>
      </c>
    </row>
    <row r="1771" spans="1:13" hidden="1" x14ac:dyDescent="0.15">
      <c r="A1771" t="s">
        <v>5662</v>
      </c>
      <c r="B1771" t="s">
        <v>5663</v>
      </c>
      <c r="C1771" t="s">
        <v>5664</v>
      </c>
      <c r="D1771" t="s">
        <v>5665</v>
      </c>
      <c r="E1771">
        <v>1568</v>
      </c>
      <c r="F1771" t="str">
        <f>HYPERLINK("https://github.com/k9mail/k-9/issues/1468", "show")</f>
        <v>show</v>
      </c>
      <c r="G1771" t="str">
        <f>HYPERLINK("https://github.com/k9mail/k-9", "show")</f>
        <v>show</v>
      </c>
      <c r="H1771" t="str">
        <f>HYPERLINK("https://github.com/k9mail/k-9/releases", "show")</f>
        <v>show</v>
      </c>
      <c r="I1771">
        <v>1</v>
      </c>
      <c r="J1771">
        <v>1</v>
      </c>
      <c r="K1771">
        <v>1</v>
      </c>
      <c r="L1771">
        <v>0</v>
      </c>
      <c r="M1771" t="s">
        <v>59</v>
      </c>
    </row>
    <row r="1772" spans="1:13" hidden="1" x14ac:dyDescent="0.15">
      <c r="A1772" t="s">
        <v>5666</v>
      </c>
      <c r="B1772" t="s">
        <v>5667</v>
      </c>
      <c r="C1772" t="s">
        <v>5668</v>
      </c>
      <c r="D1772" t="s">
        <v>5665</v>
      </c>
      <c r="E1772">
        <v>571</v>
      </c>
      <c r="F1772" t="str">
        <f>HYPERLINK("https://github.com/react-native-camera/react-native-camera/issues/326", "show")</f>
        <v>show</v>
      </c>
      <c r="G1772" t="str">
        <f>HYPERLINK("https://github.com/react-native-camera/react-native-camera", "show")</f>
        <v>show</v>
      </c>
      <c r="H1772" t="str">
        <f>HYPERLINK("https://github.com/react-native-camera/react-native-camera/releases", "show")</f>
        <v>show</v>
      </c>
      <c r="I1772">
        <v>1</v>
      </c>
      <c r="J1772">
        <v>1</v>
      </c>
      <c r="K1772">
        <v>0</v>
      </c>
      <c r="L1772">
        <v>1</v>
      </c>
      <c r="M1772" t="s">
        <v>1894</v>
      </c>
    </row>
    <row r="1773" spans="1:13" hidden="1" x14ac:dyDescent="0.15">
      <c r="A1773" t="s">
        <v>5669</v>
      </c>
      <c r="B1773" t="s">
        <v>5670</v>
      </c>
      <c r="D1773" t="s">
        <v>5665</v>
      </c>
      <c r="E1773">
        <v>0</v>
      </c>
      <c r="F1773" t="str">
        <f>HYPERLINK("https://github.com/jawg/osm-contributor/issues/28", "show")</f>
        <v>show</v>
      </c>
      <c r="G1773" t="str">
        <f>HYPERLINK("https://github.com/jawg/osm-contributor", "show")</f>
        <v>show</v>
      </c>
      <c r="H1773" t="str">
        <f>HYPERLINK("https://github.com/jawg/osm-contributor/releases", "show")</f>
        <v>show</v>
      </c>
      <c r="I1773">
        <v>1</v>
      </c>
      <c r="J1773">
        <v>0</v>
      </c>
      <c r="K1773">
        <v>0</v>
      </c>
      <c r="L1773">
        <v>0</v>
      </c>
      <c r="M1773" t="s">
        <v>17</v>
      </c>
    </row>
    <row r="1774" spans="1:13" hidden="1" x14ac:dyDescent="0.15">
      <c r="A1774" t="s">
        <v>5671</v>
      </c>
      <c r="B1774" t="s">
        <v>5672</v>
      </c>
      <c r="C1774" t="s">
        <v>5673</v>
      </c>
      <c r="D1774" t="s">
        <v>5674</v>
      </c>
      <c r="E1774">
        <v>5</v>
      </c>
      <c r="F1774" t="str">
        <f>HYPERLINK("https://github.com/fossasia/open-event-droidgen/issues/428", "show")</f>
        <v>show</v>
      </c>
      <c r="G1774" t="str">
        <f>HYPERLINK("https://github.com/fossasia/open-event-droidgen", "show")</f>
        <v>show</v>
      </c>
      <c r="H1774" t="str">
        <f>HYPERLINK("https://github.com/fossasia/open-event-droidgen/releases", "show")</f>
        <v>show</v>
      </c>
      <c r="I1774">
        <v>1</v>
      </c>
      <c r="J1774">
        <v>0</v>
      </c>
      <c r="K1774">
        <v>1</v>
      </c>
      <c r="L1774">
        <v>0</v>
      </c>
      <c r="M1774" t="s">
        <v>64</v>
      </c>
    </row>
    <row r="1775" spans="1:13" hidden="1" x14ac:dyDescent="0.15">
      <c r="A1775" t="s">
        <v>5675</v>
      </c>
      <c r="B1775" t="s">
        <v>5676</v>
      </c>
      <c r="C1775" t="s">
        <v>5677</v>
      </c>
      <c r="D1775" t="s">
        <v>5674</v>
      </c>
      <c r="E1775">
        <v>0</v>
      </c>
      <c r="F1775" t="str">
        <f>HYPERLINK("https://github.com/stephanenicolas/toothpick/issues/94", "show")</f>
        <v>show</v>
      </c>
      <c r="G1775" t="str">
        <f>HYPERLINK("https://github.com/stephanenicolas/toothpick", "show")</f>
        <v>show</v>
      </c>
      <c r="H1775" t="str">
        <f>HYPERLINK("https://github.com/stephanenicolas/toothpick/releases", "show")</f>
        <v>show</v>
      </c>
      <c r="I1775">
        <v>1</v>
      </c>
      <c r="J1775">
        <v>0</v>
      </c>
      <c r="K1775">
        <v>0</v>
      </c>
      <c r="L1775">
        <v>0</v>
      </c>
      <c r="M1775" t="s">
        <v>17</v>
      </c>
    </row>
    <row r="1776" spans="1:13" hidden="1" x14ac:dyDescent="0.15">
      <c r="A1776" t="s">
        <v>5678</v>
      </c>
      <c r="B1776" t="s">
        <v>5679</v>
      </c>
      <c r="C1776" t="s">
        <v>5680</v>
      </c>
      <c r="D1776" t="s">
        <v>5674</v>
      </c>
      <c r="E1776">
        <v>11</v>
      </c>
      <c r="F1776" t="str">
        <f>HYPERLINK("https://github.com/PhilJay/MPAndroidChart/issues/1895", "show")</f>
        <v>show</v>
      </c>
      <c r="G1776" t="str">
        <f>HYPERLINK("https://github.com/PhilJay/MPAndroidChart", "show")</f>
        <v>show</v>
      </c>
      <c r="H1776" t="str">
        <f>HYPERLINK("https://github.com/PhilJay/MPAndroidChart/releases", "show")</f>
        <v>show</v>
      </c>
      <c r="I1776">
        <v>1</v>
      </c>
      <c r="J1776">
        <v>0</v>
      </c>
      <c r="K1776">
        <v>0</v>
      </c>
      <c r="L1776">
        <v>0</v>
      </c>
      <c r="M1776" t="s">
        <v>17</v>
      </c>
    </row>
    <row r="1777" spans="1:13" hidden="1" x14ac:dyDescent="0.15">
      <c r="A1777" t="s">
        <v>5681</v>
      </c>
      <c r="B1777" t="s">
        <v>5682</v>
      </c>
      <c r="C1777" t="s">
        <v>5683</v>
      </c>
      <c r="D1777" t="s">
        <v>5674</v>
      </c>
      <c r="E1777">
        <v>4</v>
      </c>
      <c r="F1777" t="str">
        <f>HYPERLINK("https://github.com/mattstraehl/AmgiNori/issues/1", "show")</f>
        <v>show</v>
      </c>
      <c r="G1777" t="str">
        <f>HYPERLINK("https://github.com/mattstraehl/AmgiNori", "show")</f>
        <v>show</v>
      </c>
      <c r="H1777" t="str">
        <f>HYPERLINK("https://github.com/mattstraehl/AmgiNori/releases", "show")</f>
        <v>show</v>
      </c>
      <c r="I1777">
        <v>0</v>
      </c>
      <c r="J1777">
        <v>0</v>
      </c>
      <c r="K1777">
        <v>0</v>
      </c>
      <c r="L1777">
        <v>0</v>
      </c>
      <c r="M1777" t="s">
        <v>43</v>
      </c>
    </row>
    <row r="1778" spans="1:13" x14ac:dyDescent="0.15">
      <c r="A1778" t="s">
        <v>5684</v>
      </c>
      <c r="B1778" t="s">
        <v>5685</v>
      </c>
      <c r="C1778" t="s">
        <v>5686</v>
      </c>
      <c r="D1778" t="s">
        <v>5687</v>
      </c>
      <c r="E1778">
        <v>1</v>
      </c>
      <c r="F1778" t="str">
        <f>HYPERLINK("https://github.com/duniter/duniter-android-app/issues/62", "show")</f>
        <v>show</v>
      </c>
      <c r="G1778" t="str">
        <f>HYPERLINK("https://github.com/duniter/duniter-android-app", "show")</f>
        <v>show</v>
      </c>
      <c r="H1778" t="str">
        <f>HYPERLINK("https://github.com/duniter/duniter-android-app/releases", "show")</f>
        <v>show</v>
      </c>
      <c r="I1778">
        <v>0</v>
      </c>
      <c r="J1778">
        <v>1</v>
      </c>
      <c r="K1778">
        <v>0</v>
      </c>
      <c r="L1778">
        <v>0</v>
      </c>
      <c r="M1778" t="s">
        <v>139</v>
      </c>
    </row>
    <row r="1779" spans="1:13" hidden="1" x14ac:dyDescent="0.15">
      <c r="A1779" t="s">
        <v>5688</v>
      </c>
      <c r="B1779" t="s">
        <v>5689</v>
      </c>
      <c r="C1779" t="s">
        <v>5690</v>
      </c>
      <c r="D1779" t="s">
        <v>5687</v>
      </c>
      <c r="E1779">
        <v>0</v>
      </c>
      <c r="F1779" t="str">
        <f>HYPERLINK("https://github.com/Z3r0byte/Magis/issues/4", "show")</f>
        <v>show</v>
      </c>
      <c r="G1779" t="str">
        <f>HYPERLINK("https://github.com/Z3r0byte/Magis", "show")</f>
        <v>show</v>
      </c>
      <c r="H1779" t="str">
        <f>HYPERLINK("https://github.com/Z3r0byte/Magis/releases", "show")</f>
        <v>show</v>
      </c>
      <c r="I1779">
        <v>1</v>
      </c>
      <c r="J1779">
        <v>0</v>
      </c>
      <c r="K1779">
        <v>0</v>
      </c>
      <c r="L1779">
        <v>0</v>
      </c>
      <c r="M1779" t="s">
        <v>17</v>
      </c>
    </row>
    <row r="1780" spans="1:13" hidden="1" x14ac:dyDescent="0.15">
      <c r="A1780" t="s">
        <v>5691</v>
      </c>
      <c r="B1780" t="s">
        <v>5692</v>
      </c>
      <c r="C1780" t="s">
        <v>5693</v>
      </c>
      <c r="D1780" t="s">
        <v>5687</v>
      </c>
      <c r="E1780">
        <v>1</v>
      </c>
      <c r="F1780" t="str">
        <f>HYPERLINK("https://github.com/duniter/duniter-android-app/issues/61", "show")</f>
        <v>show</v>
      </c>
      <c r="G1780" t="str">
        <f>HYPERLINK("https://github.com/duniter/duniter-android-app", "show")</f>
        <v>show</v>
      </c>
      <c r="H1780" t="str">
        <f>HYPERLINK("https://github.com/duniter/duniter-android-app/releases", "show")</f>
        <v>show</v>
      </c>
      <c r="I1780">
        <v>1</v>
      </c>
      <c r="J1780">
        <v>0</v>
      </c>
      <c r="K1780">
        <v>0</v>
      </c>
      <c r="L1780">
        <v>0</v>
      </c>
      <c r="M1780" t="s">
        <v>17</v>
      </c>
    </row>
    <row r="1781" spans="1:13" hidden="1" x14ac:dyDescent="0.15">
      <c r="A1781" t="s">
        <v>5694</v>
      </c>
      <c r="B1781" t="s">
        <v>5695</v>
      </c>
      <c r="C1781" t="s">
        <v>5696</v>
      </c>
      <c r="D1781" t="s">
        <v>5697</v>
      </c>
      <c r="E1781">
        <v>1</v>
      </c>
      <c r="F1781" t="str">
        <f>HYPERLINK("https://github.com/btkelly/gnag/issues/93", "show")</f>
        <v>show</v>
      </c>
      <c r="G1781" t="str">
        <f>HYPERLINK("https://github.com/btkelly/gnag", "show")</f>
        <v>show</v>
      </c>
      <c r="H1781" t="str">
        <f>HYPERLINK("https://github.com/btkelly/gnag/releases", "show")</f>
        <v>show</v>
      </c>
      <c r="I1781">
        <v>0</v>
      </c>
      <c r="J1781">
        <v>1</v>
      </c>
      <c r="K1781">
        <v>1</v>
      </c>
      <c r="L1781">
        <v>0</v>
      </c>
      <c r="M1781" t="s">
        <v>699</v>
      </c>
    </row>
    <row r="1782" spans="1:13" hidden="1" x14ac:dyDescent="0.15">
      <c r="A1782" t="s">
        <v>5698</v>
      </c>
      <c r="B1782" t="s">
        <v>5699</v>
      </c>
      <c r="C1782" t="s">
        <v>5700</v>
      </c>
      <c r="D1782" t="s">
        <v>5697</v>
      </c>
      <c r="E1782">
        <v>4</v>
      </c>
      <c r="F1782" t="str">
        <f>HYPERLINK("https://github.com/Devlight/NavigationTabStrip/issues/9", "show")</f>
        <v>show</v>
      </c>
      <c r="G1782" t="str">
        <f>HYPERLINK("https://github.com/Devlight/NavigationTabStrip", "show")</f>
        <v>show</v>
      </c>
      <c r="H1782" t="str">
        <f>HYPERLINK("https://github.com/Devlight/NavigationTabStrip/releases", "show")</f>
        <v>show</v>
      </c>
      <c r="I1782">
        <v>1</v>
      </c>
      <c r="J1782">
        <v>0</v>
      </c>
      <c r="K1782">
        <v>1</v>
      </c>
      <c r="L1782">
        <v>0</v>
      </c>
      <c r="M1782" t="s">
        <v>64</v>
      </c>
    </row>
    <row r="1783" spans="1:13" hidden="1" x14ac:dyDescent="0.15">
      <c r="A1783" t="s">
        <v>5701</v>
      </c>
      <c r="B1783" t="s">
        <v>5702</v>
      </c>
      <c r="D1783" t="s">
        <v>5703</v>
      </c>
      <c r="E1783">
        <v>4</v>
      </c>
      <c r="F1783" t="str">
        <f>HYPERLINK("https://github.com/fossasia/open-event-droidgen/issues/439", "show")</f>
        <v>show</v>
      </c>
      <c r="G1783" t="str">
        <f>HYPERLINK("https://github.com/fossasia/open-event-droidgen", "show")</f>
        <v>show</v>
      </c>
      <c r="H1783" t="str">
        <f>HYPERLINK("https://github.com/fossasia/open-event-droidgen/releases", "show")</f>
        <v>show</v>
      </c>
      <c r="I1783">
        <v>1</v>
      </c>
      <c r="J1783">
        <v>0</v>
      </c>
      <c r="K1783">
        <v>0</v>
      </c>
      <c r="L1783">
        <v>0</v>
      </c>
      <c r="M1783" t="s">
        <v>17</v>
      </c>
    </row>
    <row r="1784" spans="1:13" hidden="1" x14ac:dyDescent="0.15">
      <c r="A1784" t="s">
        <v>5704</v>
      </c>
      <c r="B1784" t="s">
        <v>5705</v>
      </c>
      <c r="C1784" t="s">
        <v>5706</v>
      </c>
      <c r="D1784" t="s">
        <v>5703</v>
      </c>
      <c r="E1784">
        <v>50</v>
      </c>
      <c r="F1784" t="str">
        <f>HYPERLINK("https://github.com/ttocsneb/qubed/issues/1", "show")</f>
        <v>show</v>
      </c>
      <c r="G1784" t="str">
        <f>HYPERLINK("https://github.com/ttocsneb/qubed", "show")</f>
        <v>show</v>
      </c>
      <c r="H1784" t="str">
        <f>HYPERLINK("https://github.com/ttocsneb/qubed/releases", "show")</f>
        <v>show</v>
      </c>
      <c r="I1784">
        <v>1</v>
      </c>
      <c r="J1784">
        <v>0</v>
      </c>
      <c r="K1784">
        <v>0</v>
      </c>
      <c r="L1784">
        <v>0</v>
      </c>
      <c r="M1784" t="s">
        <v>17</v>
      </c>
    </row>
    <row r="1785" spans="1:13" hidden="1" x14ac:dyDescent="0.15">
      <c r="A1785" t="s">
        <v>5707</v>
      </c>
      <c r="B1785" t="s">
        <v>5708</v>
      </c>
      <c r="C1785" t="s">
        <v>5709</v>
      </c>
      <c r="D1785" t="s">
        <v>5703</v>
      </c>
      <c r="E1785">
        <v>1</v>
      </c>
      <c r="F1785" t="str">
        <f>HYPERLINK("https://github.com/AnaelMobilia/NextINpact-Unofficial/issues/202", "show")</f>
        <v>show</v>
      </c>
      <c r="G1785" t="str">
        <f>HYPERLINK("https://github.com/AnaelMobilia/NextINpact-Unofficial", "show")</f>
        <v>show</v>
      </c>
      <c r="H1785" t="str">
        <f>HYPERLINK("https://github.com/AnaelMobilia/NextINpact-Unofficial/releases", "show")</f>
        <v>show</v>
      </c>
      <c r="I1785">
        <v>0</v>
      </c>
      <c r="J1785">
        <v>0</v>
      </c>
      <c r="K1785">
        <v>1</v>
      </c>
      <c r="L1785">
        <v>0</v>
      </c>
      <c r="M1785" t="s">
        <v>122</v>
      </c>
    </row>
    <row r="1786" spans="1:13" hidden="1" x14ac:dyDescent="0.15">
      <c r="A1786" t="s">
        <v>5710</v>
      </c>
      <c r="B1786" t="s">
        <v>5711</v>
      </c>
      <c r="C1786" t="s">
        <v>5712</v>
      </c>
      <c r="D1786" t="s">
        <v>5713</v>
      </c>
      <c r="E1786">
        <v>148</v>
      </c>
      <c r="F1786" t="str">
        <f>HYPERLINK("https://github.com/labexp/osmtracker-android/issues/70", "show")</f>
        <v>show</v>
      </c>
      <c r="G1786" t="str">
        <f>HYPERLINK("https://github.com/labexp/osmtracker-android", "show")</f>
        <v>show</v>
      </c>
      <c r="H1786" t="str">
        <f>HYPERLINK("https://github.com/labexp/osmtracker-android/releases", "show")</f>
        <v>show</v>
      </c>
      <c r="I1786">
        <v>1</v>
      </c>
      <c r="J1786">
        <v>0</v>
      </c>
      <c r="K1786">
        <v>0</v>
      </c>
      <c r="L1786">
        <v>0</v>
      </c>
      <c r="M1786" t="s">
        <v>17</v>
      </c>
    </row>
    <row r="1787" spans="1:13" hidden="1" x14ac:dyDescent="0.15">
      <c r="A1787" t="s">
        <v>5714</v>
      </c>
      <c r="B1787" t="s">
        <v>5715</v>
      </c>
      <c r="C1787" t="s">
        <v>5716</v>
      </c>
      <c r="D1787" t="s">
        <v>5713</v>
      </c>
      <c r="E1787">
        <v>0</v>
      </c>
      <c r="F1787" t="str">
        <f>HYPERLINK("https://github.com/AnaelMobilia/NextINpact-Unofficial/issues/203", "show")</f>
        <v>show</v>
      </c>
      <c r="G1787" t="str">
        <f>HYPERLINK("https://github.com/AnaelMobilia/NextINpact-Unofficial", "show")</f>
        <v>show</v>
      </c>
      <c r="H1787" t="str">
        <f>HYPERLINK("https://github.com/AnaelMobilia/NextINpact-Unofficial/releases", "show")</f>
        <v>show</v>
      </c>
      <c r="I1787">
        <v>0</v>
      </c>
      <c r="J1787">
        <v>0</v>
      </c>
      <c r="K1787">
        <v>1</v>
      </c>
      <c r="L1787">
        <v>0</v>
      </c>
      <c r="M1787" t="s">
        <v>122</v>
      </c>
    </row>
    <row r="1788" spans="1:13" hidden="1" x14ac:dyDescent="0.15">
      <c r="A1788" t="s">
        <v>5717</v>
      </c>
      <c r="B1788" t="s">
        <v>5718</v>
      </c>
      <c r="C1788" t="s">
        <v>5719</v>
      </c>
      <c r="D1788" t="s">
        <v>5713</v>
      </c>
      <c r="E1788">
        <v>359</v>
      </c>
      <c r="F1788" t="str">
        <f>HYPERLINK("https://github.com/k9mail/k-9/issues/1473", "show")</f>
        <v>show</v>
      </c>
      <c r="G1788" t="str">
        <f>HYPERLINK("https://github.com/k9mail/k-9", "show")</f>
        <v>show</v>
      </c>
      <c r="H1788" t="str">
        <f>HYPERLINK("https://github.com/k9mail/k-9/releases", "show")</f>
        <v>show</v>
      </c>
      <c r="I1788">
        <v>1</v>
      </c>
      <c r="J1788">
        <v>1</v>
      </c>
      <c r="K1788">
        <v>0</v>
      </c>
      <c r="L1788">
        <v>0</v>
      </c>
      <c r="M1788" t="s">
        <v>48</v>
      </c>
    </row>
    <row r="1789" spans="1:13" hidden="1" x14ac:dyDescent="0.15">
      <c r="A1789" t="s">
        <v>5720</v>
      </c>
      <c r="B1789" t="s">
        <v>5721</v>
      </c>
      <c r="C1789" t="s">
        <v>5722</v>
      </c>
      <c r="D1789" t="s">
        <v>5723</v>
      </c>
      <c r="E1789">
        <v>38</v>
      </c>
      <c r="F1789" t="str">
        <f>HYPERLINK("https://github.com/nextcloud/android/issues/78", "show")</f>
        <v>show</v>
      </c>
      <c r="G1789" t="str">
        <f>HYPERLINK("https://github.com/nextcloud/android", "show")</f>
        <v>show</v>
      </c>
      <c r="H1789" t="str">
        <f>HYPERLINK("https://github.com/nextcloud/android/releases", "show")</f>
        <v>show</v>
      </c>
      <c r="I1789">
        <v>0</v>
      </c>
      <c r="J1789">
        <v>0</v>
      </c>
      <c r="K1789">
        <v>1</v>
      </c>
      <c r="L1789">
        <v>0</v>
      </c>
      <c r="M1789" t="s">
        <v>122</v>
      </c>
    </row>
    <row r="1790" spans="1:13" hidden="1" x14ac:dyDescent="0.15">
      <c r="A1790" t="s">
        <v>5724</v>
      </c>
      <c r="B1790" t="s">
        <v>5725</v>
      </c>
      <c r="C1790" t="s">
        <v>5726</v>
      </c>
      <c r="D1790" t="s">
        <v>5723</v>
      </c>
      <c r="E1790">
        <v>0</v>
      </c>
      <c r="F1790" t="str">
        <f>HYPERLINK("https://github.com/fossasia/open-event-droidgen/issues/441", "show")</f>
        <v>show</v>
      </c>
      <c r="G1790" t="str">
        <f>HYPERLINK("https://github.com/fossasia/open-event-droidgen", "show")</f>
        <v>show</v>
      </c>
      <c r="H1790" t="str">
        <f>HYPERLINK("https://github.com/fossasia/open-event-droidgen/releases", "show")</f>
        <v>show</v>
      </c>
      <c r="I1790">
        <v>1</v>
      </c>
      <c r="J1790">
        <v>0</v>
      </c>
      <c r="K1790">
        <v>0</v>
      </c>
      <c r="L1790">
        <v>0</v>
      </c>
      <c r="M1790" t="s">
        <v>17</v>
      </c>
    </row>
    <row r="1791" spans="1:13" hidden="1" x14ac:dyDescent="0.15">
      <c r="A1791" t="s">
        <v>5727</v>
      </c>
      <c r="B1791" t="s">
        <v>5728</v>
      </c>
      <c r="C1791" t="s">
        <v>5729</v>
      </c>
      <c r="D1791" t="s">
        <v>5730</v>
      </c>
      <c r="E1791">
        <v>44</v>
      </c>
      <c r="F1791" t="str">
        <f>HYPERLINK("https://github.com/IvoGoman/Diabetes-App/issues/42", "show")</f>
        <v>show</v>
      </c>
      <c r="G1791" t="str">
        <f>HYPERLINK("https://github.com/IvoGoman/Diabetes-App", "show")</f>
        <v>show</v>
      </c>
      <c r="H1791" t="str">
        <f>HYPERLINK("https://github.com/IvoGoman/Diabetes-App/releases", "show")</f>
        <v>show</v>
      </c>
      <c r="I1791">
        <v>1</v>
      </c>
      <c r="J1791">
        <v>0</v>
      </c>
      <c r="K1791">
        <v>0</v>
      </c>
      <c r="L1791">
        <v>0</v>
      </c>
      <c r="M1791" t="s">
        <v>17</v>
      </c>
    </row>
    <row r="1792" spans="1:13" hidden="1" x14ac:dyDescent="0.15">
      <c r="A1792" t="s">
        <v>5731</v>
      </c>
      <c r="B1792" t="s">
        <v>5732</v>
      </c>
      <c r="D1792" t="s">
        <v>5730</v>
      </c>
      <c r="E1792">
        <v>13</v>
      </c>
      <c r="F1792" t="str">
        <f>HYPERLINK("https://github.com/IvoGoman/Diabetes-App/issues/37", "show")</f>
        <v>show</v>
      </c>
      <c r="G1792" t="str">
        <f>HYPERLINK("https://github.com/IvoGoman/Diabetes-App", "show")</f>
        <v>show</v>
      </c>
      <c r="H1792" t="str">
        <f>HYPERLINK("https://github.com/IvoGoman/Diabetes-App/releases", "show")</f>
        <v>show</v>
      </c>
      <c r="I1792">
        <v>1</v>
      </c>
      <c r="J1792">
        <v>0</v>
      </c>
      <c r="K1792">
        <v>0</v>
      </c>
      <c r="L1792">
        <v>0</v>
      </c>
      <c r="M1792" t="s">
        <v>17</v>
      </c>
    </row>
    <row r="1793" spans="1:13" hidden="1" x14ac:dyDescent="0.15">
      <c r="A1793" t="s">
        <v>5733</v>
      </c>
      <c r="B1793" t="s">
        <v>5734</v>
      </c>
      <c r="C1793" t="s">
        <v>5735</v>
      </c>
      <c r="D1793" t="s">
        <v>5730</v>
      </c>
      <c r="E1793">
        <v>249</v>
      </c>
      <c r="F1793" t="str">
        <f>HYPERLINK("https://github.com/Scaronthesky/UK-Gebaerden_Muensterland/issues/65", "show")</f>
        <v>show</v>
      </c>
      <c r="G1793" t="str">
        <f>HYPERLINK("https://github.com/Scaronthesky/UK-Gebaerden_Muensterland", "show")</f>
        <v>show</v>
      </c>
      <c r="H1793" t="str">
        <f>HYPERLINK("https://github.com/Scaronthesky/UK-Gebaerden_Muensterland/releases", "show")</f>
        <v>show</v>
      </c>
      <c r="I1793">
        <v>0</v>
      </c>
      <c r="J1793">
        <v>0</v>
      </c>
      <c r="K1793">
        <v>0</v>
      </c>
      <c r="L1793">
        <v>0</v>
      </c>
      <c r="M1793" t="s">
        <v>43</v>
      </c>
    </row>
    <row r="1794" spans="1:13" hidden="1" x14ac:dyDescent="0.15">
      <c r="A1794" t="s">
        <v>5736</v>
      </c>
      <c r="B1794" t="s">
        <v>5737</v>
      </c>
      <c r="D1794" t="s">
        <v>5730</v>
      </c>
      <c r="E1794">
        <v>0</v>
      </c>
      <c r="F1794" t="str">
        <f>HYPERLINK("https://github.com/pulkit4tech/Udacity_P3_stockhawk/issues/6", "show")</f>
        <v>show</v>
      </c>
      <c r="G1794" t="str">
        <f>HYPERLINK("https://github.com/pulkit4tech/Udacity_P3_stockhawk", "show")</f>
        <v>show</v>
      </c>
      <c r="H1794" t="str">
        <f>HYPERLINK("https://github.com/pulkit4tech/Udacity_P3_stockhawk/releases", "show")</f>
        <v>show</v>
      </c>
      <c r="I1794">
        <v>0</v>
      </c>
      <c r="J1794">
        <v>0</v>
      </c>
      <c r="K1794">
        <v>0</v>
      </c>
      <c r="L1794">
        <v>0</v>
      </c>
      <c r="M1794" t="s">
        <v>43</v>
      </c>
    </row>
    <row r="1795" spans="1:13" hidden="1" x14ac:dyDescent="0.15">
      <c r="A1795" t="s">
        <v>5738</v>
      </c>
      <c r="B1795" t="s">
        <v>5739</v>
      </c>
      <c r="C1795" t="s">
        <v>5740</v>
      </c>
      <c r="D1795" t="s">
        <v>5741</v>
      </c>
      <c r="E1795">
        <v>50</v>
      </c>
      <c r="F1795" t="str">
        <f>HYPERLINK("https://github.com/ZieIony/Carbon/issues/247", "show")</f>
        <v>show</v>
      </c>
      <c r="G1795" t="str">
        <f>HYPERLINK("https://github.com/ZieIony/Carbon", "show")</f>
        <v>show</v>
      </c>
      <c r="H1795" t="str">
        <f>HYPERLINK("https://github.com/ZieIony/Carbon/releases", "show")</f>
        <v>show</v>
      </c>
      <c r="I1795">
        <v>1</v>
      </c>
      <c r="J1795">
        <v>0</v>
      </c>
      <c r="K1795">
        <v>1</v>
      </c>
      <c r="L1795">
        <v>0</v>
      </c>
      <c r="M1795" t="s">
        <v>64</v>
      </c>
    </row>
    <row r="1796" spans="1:13" hidden="1" x14ac:dyDescent="0.15">
      <c r="A1796" t="s">
        <v>5742</v>
      </c>
      <c r="B1796" t="s">
        <v>5743</v>
      </c>
      <c r="C1796" t="s">
        <v>5744</v>
      </c>
      <c r="D1796" t="s">
        <v>5741</v>
      </c>
      <c r="E1796">
        <v>0</v>
      </c>
      <c r="F1796" t="str">
        <f>HYPERLINK("https://github.com/OneBusAway/onebusaway-android/issues/563", "show")</f>
        <v>show</v>
      </c>
      <c r="G1796" t="str">
        <f>HYPERLINK("https://github.com/OneBusAway/onebusaway-android", "show")</f>
        <v>show</v>
      </c>
      <c r="H1796" t="str">
        <f>HYPERLINK("https://github.com/OneBusAway/onebusaway-android/releases", "show")</f>
        <v>show</v>
      </c>
      <c r="I1796">
        <v>0</v>
      </c>
      <c r="J1796">
        <v>1</v>
      </c>
      <c r="K1796">
        <v>1</v>
      </c>
      <c r="L1796">
        <v>0</v>
      </c>
      <c r="M1796" t="s">
        <v>699</v>
      </c>
    </row>
    <row r="1797" spans="1:13" hidden="1" x14ac:dyDescent="0.15">
      <c r="A1797" t="s">
        <v>5745</v>
      </c>
      <c r="B1797" t="s">
        <v>5746</v>
      </c>
      <c r="C1797" t="s">
        <v>5747</v>
      </c>
      <c r="D1797" t="s">
        <v>5741</v>
      </c>
      <c r="E1797">
        <v>2</v>
      </c>
      <c r="F1797" t="str">
        <f>HYPERLINK("https://github.com/Dimezis/BlurView/issues/15", "show")</f>
        <v>show</v>
      </c>
      <c r="G1797" t="str">
        <f>HYPERLINK("https://github.com/Dimezis/BlurView", "show")</f>
        <v>show</v>
      </c>
      <c r="H1797" t="str">
        <f>HYPERLINK("https://github.com/Dimezis/BlurView/releases", "show")</f>
        <v>show</v>
      </c>
      <c r="I1797">
        <v>1</v>
      </c>
      <c r="J1797">
        <v>1</v>
      </c>
      <c r="K1797">
        <v>0</v>
      </c>
      <c r="L1797">
        <v>0</v>
      </c>
      <c r="M1797" t="s">
        <v>48</v>
      </c>
    </row>
    <row r="1798" spans="1:13" hidden="1" x14ac:dyDescent="0.15">
      <c r="A1798" t="s">
        <v>5748</v>
      </c>
      <c r="B1798" t="s">
        <v>5749</v>
      </c>
      <c r="C1798" t="s">
        <v>5750</v>
      </c>
      <c r="D1798" t="s">
        <v>5741</v>
      </c>
      <c r="E1798">
        <v>1</v>
      </c>
      <c r="F1798" t="str">
        <f>HYPERLINK("https://github.com/commons-app/apps-android-commons/issues/146", "show")</f>
        <v>show</v>
      </c>
      <c r="G1798" t="str">
        <f>HYPERLINK("https://github.com/commons-app/apps-android-commons", "show")</f>
        <v>show</v>
      </c>
      <c r="H1798" t="str">
        <f>HYPERLINK("https://github.com/commons-app/apps-android-commons/releases", "show")</f>
        <v>show</v>
      </c>
      <c r="I1798">
        <v>1</v>
      </c>
      <c r="J1798">
        <v>0</v>
      </c>
      <c r="K1798">
        <v>1</v>
      </c>
      <c r="L1798">
        <v>0</v>
      </c>
      <c r="M1798" t="s">
        <v>64</v>
      </c>
    </row>
    <row r="1799" spans="1:13" hidden="1" x14ac:dyDescent="0.15">
      <c r="A1799" t="s">
        <v>5751</v>
      </c>
      <c r="B1799" t="s">
        <v>5752</v>
      </c>
      <c r="C1799" t="s">
        <v>5753</v>
      </c>
      <c r="D1799" t="s">
        <v>5741</v>
      </c>
      <c r="E1799">
        <v>318</v>
      </c>
      <c r="F1799" t="str">
        <f>HYPERLINK("https://github.com/nextcloud/android/issues/81", "show")</f>
        <v>show</v>
      </c>
      <c r="G1799" t="str">
        <f>HYPERLINK("https://github.com/nextcloud/android", "show")</f>
        <v>show</v>
      </c>
      <c r="H1799" t="str">
        <f>HYPERLINK("https://github.com/nextcloud/android/releases", "show")</f>
        <v>show</v>
      </c>
      <c r="I1799">
        <v>1</v>
      </c>
      <c r="J1799">
        <v>1</v>
      </c>
      <c r="K1799">
        <v>0</v>
      </c>
      <c r="L1799">
        <v>0</v>
      </c>
      <c r="M1799" t="s">
        <v>48</v>
      </c>
    </row>
    <row r="1800" spans="1:13" hidden="1" x14ac:dyDescent="0.15">
      <c r="A1800" t="s">
        <v>5754</v>
      </c>
      <c r="B1800" t="s">
        <v>5755</v>
      </c>
      <c r="D1800" t="s">
        <v>5756</v>
      </c>
      <c r="E1800">
        <v>1</v>
      </c>
      <c r="F1800" t="str">
        <f>HYPERLINK("https://github.com/gearvrf/GearVRf-Demos/issues/219", "show")</f>
        <v>show</v>
      </c>
      <c r="G1800" t="str">
        <f>HYPERLINK("https://github.com/gearvrf/GearVRf-Demos", "show")</f>
        <v>show</v>
      </c>
      <c r="H1800" t="str">
        <f>HYPERLINK("https://github.com/gearvrf/GearVRf-Demos/releases", "show")</f>
        <v>show</v>
      </c>
      <c r="I1800">
        <v>1</v>
      </c>
      <c r="J1800">
        <v>0</v>
      </c>
      <c r="K1800">
        <v>1</v>
      </c>
      <c r="L1800">
        <v>0</v>
      </c>
      <c r="M1800" t="s">
        <v>64</v>
      </c>
    </row>
    <row r="1801" spans="1:13" hidden="1" x14ac:dyDescent="0.15">
      <c r="A1801" t="s">
        <v>5757</v>
      </c>
      <c r="B1801" t="s">
        <v>5758</v>
      </c>
      <c r="C1801" t="s">
        <v>5759</v>
      </c>
      <c r="D1801" t="s">
        <v>5756</v>
      </c>
      <c r="E1801">
        <v>11</v>
      </c>
      <c r="F1801" t="str">
        <f>HYPERLINK("https://github.com/square/okhttp/issues/2679", "show")</f>
        <v>show</v>
      </c>
      <c r="G1801" t="str">
        <f>HYPERLINK("https://github.com/square/okhttp", "show")</f>
        <v>show</v>
      </c>
      <c r="H1801" t="str">
        <f>HYPERLINK("https://github.com/square/okhttp/releases", "show")</f>
        <v>show</v>
      </c>
      <c r="I1801">
        <v>1</v>
      </c>
      <c r="J1801">
        <v>0</v>
      </c>
      <c r="K1801">
        <v>0</v>
      </c>
      <c r="L1801">
        <v>0</v>
      </c>
      <c r="M1801" t="s">
        <v>17</v>
      </c>
    </row>
    <row r="1802" spans="1:13" hidden="1" x14ac:dyDescent="0.15">
      <c r="A1802" t="s">
        <v>5760</v>
      </c>
      <c r="B1802" t="s">
        <v>5761</v>
      </c>
      <c r="C1802" t="s">
        <v>5762</v>
      </c>
      <c r="D1802" t="s">
        <v>5763</v>
      </c>
      <c r="E1802">
        <v>20</v>
      </c>
      <c r="F1802" t="str">
        <f>HYPERLINK("https://github.com/syncthing/syncthing-android/issues/690", "show")</f>
        <v>show</v>
      </c>
      <c r="G1802" t="str">
        <f>HYPERLINK("https://github.com/syncthing/syncthing-android", "show")</f>
        <v>show</v>
      </c>
      <c r="H1802" t="str">
        <f>HYPERLINK("https://github.com/syncthing/syncthing-android/releases", "show")</f>
        <v>show</v>
      </c>
      <c r="I1802">
        <v>1</v>
      </c>
      <c r="J1802">
        <v>0</v>
      </c>
      <c r="K1802">
        <v>0</v>
      </c>
      <c r="L1802">
        <v>0</v>
      </c>
      <c r="M1802" t="s">
        <v>17</v>
      </c>
    </row>
    <row r="1803" spans="1:13" hidden="1" x14ac:dyDescent="0.15">
      <c r="A1803" t="s">
        <v>5764</v>
      </c>
      <c r="B1803" t="s">
        <v>5765</v>
      </c>
      <c r="C1803" t="s">
        <v>5766</v>
      </c>
      <c r="D1803" t="s">
        <v>5767</v>
      </c>
      <c r="E1803">
        <v>41</v>
      </c>
      <c r="F1803" t="str">
        <f>HYPERLINK("https://github.com/wequick/Small/issues/189", "show")</f>
        <v>show</v>
      </c>
      <c r="G1803" t="str">
        <f>HYPERLINK("https://github.com/wequick/Small", "show")</f>
        <v>show</v>
      </c>
      <c r="H1803" t="str">
        <f>HYPERLINK("https://github.com/wequick/Small/releases", "show")</f>
        <v>show</v>
      </c>
      <c r="I1803">
        <v>1</v>
      </c>
      <c r="J1803">
        <v>0</v>
      </c>
      <c r="K1803">
        <v>1</v>
      </c>
      <c r="L1803">
        <v>0</v>
      </c>
      <c r="M1803" t="s">
        <v>64</v>
      </c>
    </row>
    <row r="1804" spans="1:13" hidden="1" x14ac:dyDescent="0.15">
      <c r="A1804" t="s">
        <v>5768</v>
      </c>
      <c r="B1804" t="s">
        <v>5769</v>
      </c>
      <c r="C1804" t="s">
        <v>5770</v>
      </c>
      <c r="D1804" t="s">
        <v>5767</v>
      </c>
      <c r="E1804">
        <v>137</v>
      </c>
      <c r="F1804" t="str">
        <f>HYPERLINK("https://github.com/bitstadium/HockeySDK-Android/issues/165", "show")</f>
        <v>show</v>
      </c>
      <c r="G1804" t="str">
        <f>HYPERLINK("https://github.com/bitstadium/HockeySDK-Android", "show")</f>
        <v>show</v>
      </c>
      <c r="H1804" t="str">
        <f>HYPERLINK("https://github.com/bitstadium/HockeySDK-Android/releases", "show")</f>
        <v>show</v>
      </c>
      <c r="I1804">
        <v>1</v>
      </c>
      <c r="J1804">
        <v>0</v>
      </c>
      <c r="K1804">
        <v>1</v>
      </c>
      <c r="L1804">
        <v>0</v>
      </c>
      <c r="M1804" t="s">
        <v>64</v>
      </c>
    </row>
    <row r="1805" spans="1:13" hidden="1" x14ac:dyDescent="0.15">
      <c r="A1805" t="s">
        <v>5771</v>
      </c>
      <c r="B1805" t="s">
        <v>5772</v>
      </c>
      <c r="C1805" t="s">
        <v>5773</v>
      </c>
      <c r="D1805" t="s">
        <v>5774</v>
      </c>
      <c r="E1805">
        <v>32</v>
      </c>
      <c r="F1805" t="str">
        <f>HYPERLINK("https://github.com/nextcloud/android/issues/90", "show")</f>
        <v>show</v>
      </c>
      <c r="G1805" t="str">
        <f>HYPERLINK("https://github.com/nextcloud/android", "show")</f>
        <v>show</v>
      </c>
      <c r="H1805" t="str">
        <f>HYPERLINK("https://github.com/nextcloud/android/releases", "show")</f>
        <v>show</v>
      </c>
      <c r="I1805">
        <v>1</v>
      </c>
      <c r="J1805">
        <v>0</v>
      </c>
      <c r="K1805">
        <v>1</v>
      </c>
      <c r="L1805">
        <v>0</v>
      </c>
      <c r="M1805" t="s">
        <v>64</v>
      </c>
    </row>
    <row r="1806" spans="1:13" hidden="1" x14ac:dyDescent="0.15">
      <c r="A1806" t="s">
        <v>5775</v>
      </c>
      <c r="B1806" t="s">
        <v>5776</v>
      </c>
      <c r="C1806" t="s">
        <v>5777</v>
      </c>
      <c r="D1806" t="s">
        <v>5774</v>
      </c>
      <c r="E1806">
        <v>0</v>
      </c>
      <c r="F1806" t="str">
        <f>HYPERLINK("https://github.com/nextcloud/android/issues/88", "show")</f>
        <v>show</v>
      </c>
      <c r="G1806" t="str">
        <f>HYPERLINK("https://github.com/nextcloud/android", "show")</f>
        <v>show</v>
      </c>
      <c r="H1806" t="str">
        <f>HYPERLINK("https://github.com/nextcloud/android/releases", "show")</f>
        <v>show</v>
      </c>
      <c r="I1806">
        <v>0</v>
      </c>
      <c r="J1806">
        <v>0</v>
      </c>
      <c r="K1806">
        <v>0</v>
      </c>
      <c r="L1806">
        <v>0</v>
      </c>
      <c r="M1806" t="s">
        <v>43</v>
      </c>
    </row>
    <row r="1807" spans="1:13" hidden="1" x14ac:dyDescent="0.15">
      <c r="A1807" t="s">
        <v>5778</v>
      </c>
      <c r="B1807" t="s">
        <v>5779</v>
      </c>
      <c r="C1807" t="s">
        <v>5780</v>
      </c>
      <c r="D1807" t="s">
        <v>5774</v>
      </c>
      <c r="E1807">
        <v>0</v>
      </c>
      <c r="F1807" t="str">
        <f>HYPERLINK("https://github.com/irccloud/android/issues/137", "show")</f>
        <v>show</v>
      </c>
      <c r="G1807" t="str">
        <f>HYPERLINK("https://github.com/irccloud/android", "show")</f>
        <v>show</v>
      </c>
      <c r="H1807" t="str">
        <f>HYPERLINK("https://github.com/irccloud/android/releases", "show")</f>
        <v>show</v>
      </c>
      <c r="I1807">
        <v>1</v>
      </c>
      <c r="J1807">
        <v>0</v>
      </c>
      <c r="K1807">
        <v>1</v>
      </c>
      <c r="L1807">
        <v>0</v>
      </c>
      <c r="M1807" t="s">
        <v>64</v>
      </c>
    </row>
    <row r="1808" spans="1:13" hidden="1" x14ac:dyDescent="0.15">
      <c r="A1808" t="s">
        <v>5781</v>
      </c>
      <c r="B1808" t="s">
        <v>5782</v>
      </c>
      <c r="D1808" t="s">
        <v>5783</v>
      </c>
      <c r="E1808">
        <v>64</v>
      </c>
      <c r="F1808" t="str">
        <f>HYPERLINK("https://github.com/jroal/a2dpvolume/issues/216", "show")</f>
        <v>show</v>
      </c>
      <c r="G1808" t="str">
        <f>HYPERLINK("https://github.com/jroal/a2dpvolume", "show")</f>
        <v>show</v>
      </c>
      <c r="H1808" t="str">
        <f>HYPERLINK("https://github.com/jroal/a2dpvolume/releases", "show")</f>
        <v>show</v>
      </c>
      <c r="I1808">
        <v>0</v>
      </c>
      <c r="J1808">
        <v>0</v>
      </c>
      <c r="K1808">
        <v>0</v>
      </c>
      <c r="L1808">
        <v>0</v>
      </c>
      <c r="M1808" t="s">
        <v>43</v>
      </c>
    </row>
    <row r="1809" spans="1:13" hidden="1" x14ac:dyDescent="0.15">
      <c r="A1809" t="s">
        <v>5784</v>
      </c>
      <c r="B1809" t="s">
        <v>5785</v>
      </c>
      <c r="C1809" t="s">
        <v>5786</v>
      </c>
      <c r="D1809" t="s">
        <v>5787</v>
      </c>
      <c r="E1809">
        <v>13</v>
      </c>
      <c r="F1809" t="str">
        <f>HYPERLINK("https://github.com/haiwen/seadroid/issues/550", "show")</f>
        <v>show</v>
      </c>
      <c r="G1809" t="str">
        <f>HYPERLINK("https://github.com/haiwen/seadroid", "show")</f>
        <v>show</v>
      </c>
      <c r="H1809" t="str">
        <f>HYPERLINK("https://github.com/haiwen/seadroid/releases", "show")</f>
        <v>show</v>
      </c>
      <c r="I1809">
        <v>1</v>
      </c>
      <c r="J1809">
        <v>0</v>
      </c>
      <c r="K1809">
        <v>0</v>
      </c>
      <c r="L1809">
        <v>0</v>
      </c>
      <c r="M1809" t="s">
        <v>17</v>
      </c>
    </row>
    <row r="1810" spans="1:13" hidden="1" x14ac:dyDescent="0.15">
      <c r="A1810" t="s">
        <v>5788</v>
      </c>
      <c r="B1810" t="s">
        <v>5789</v>
      </c>
      <c r="C1810" t="s">
        <v>5790</v>
      </c>
      <c r="D1810" t="s">
        <v>5787</v>
      </c>
      <c r="E1810">
        <v>1</v>
      </c>
      <c r="F1810" t="str">
        <f>HYPERLINK("https://github.com/dimagi/commcare-android/issues/1357", "show")</f>
        <v>show</v>
      </c>
      <c r="G1810" t="str">
        <f>HYPERLINK("https://github.com/dimagi/commcare-android", "show")</f>
        <v>show</v>
      </c>
      <c r="H1810" t="str">
        <f>HYPERLINK("https://github.com/dimagi/commcare-android/releases", "show")</f>
        <v>show</v>
      </c>
      <c r="I1810">
        <v>0</v>
      </c>
      <c r="J1810">
        <v>0</v>
      </c>
      <c r="K1810">
        <v>1</v>
      </c>
      <c r="L1810">
        <v>0</v>
      </c>
      <c r="M1810" t="s">
        <v>122</v>
      </c>
    </row>
    <row r="1811" spans="1:13" hidden="1" x14ac:dyDescent="0.15">
      <c r="A1811" t="s">
        <v>5791</v>
      </c>
      <c r="B1811" t="s">
        <v>5792</v>
      </c>
      <c r="C1811" t="s">
        <v>5793</v>
      </c>
      <c r="D1811" t="s">
        <v>5787</v>
      </c>
      <c r="E1811">
        <v>15</v>
      </c>
      <c r="F1811" t="str">
        <f>HYPERLINK("https://github.com/Z3r0byte/Magis/issues/18", "show")</f>
        <v>show</v>
      </c>
      <c r="G1811" t="str">
        <f>HYPERLINK("https://github.com/Z3r0byte/Magis", "show")</f>
        <v>show</v>
      </c>
      <c r="H1811" t="str">
        <f>HYPERLINK("https://github.com/Z3r0byte/Magis/releases", "show")</f>
        <v>show</v>
      </c>
      <c r="I1811">
        <v>0</v>
      </c>
      <c r="J1811">
        <v>0</v>
      </c>
      <c r="K1811">
        <v>0</v>
      </c>
      <c r="L1811">
        <v>0</v>
      </c>
      <c r="M1811" t="s">
        <v>43</v>
      </c>
    </row>
    <row r="1812" spans="1:13" hidden="1" x14ac:dyDescent="0.15">
      <c r="A1812" t="s">
        <v>5794</v>
      </c>
      <c r="B1812" t="s">
        <v>5795</v>
      </c>
      <c r="C1812" t="s">
        <v>5796</v>
      </c>
      <c r="D1812" t="s">
        <v>5797</v>
      </c>
      <c r="E1812">
        <v>9</v>
      </c>
      <c r="F1812" t="str">
        <f>HYPERLINK("https://github.com/rapidpro/surveyor/issues/9", "show")</f>
        <v>show</v>
      </c>
      <c r="G1812" t="str">
        <f>HYPERLINK("https://github.com/rapidpro/surveyor", "show")</f>
        <v>show</v>
      </c>
      <c r="H1812" t="str">
        <f>HYPERLINK("https://github.com/rapidpro/surveyor/releases", "show")</f>
        <v>show</v>
      </c>
      <c r="I1812">
        <v>1</v>
      </c>
      <c r="J1812">
        <v>0</v>
      </c>
      <c r="K1812">
        <v>0</v>
      </c>
      <c r="L1812">
        <v>0</v>
      </c>
      <c r="M1812" t="s">
        <v>17</v>
      </c>
    </row>
    <row r="1813" spans="1:13" hidden="1" x14ac:dyDescent="0.15">
      <c r="A1813" t="s">
        <v>5798</v>
      </c>
      <c r="B1813" t="s">
        <v>5799</v>
      </c>
      <c r="C1813" t="s">
        <v>5800</v>
      </c>
      <c r="D1813" t="s">
        <v>5797</v>
      </c>
      <c r="E1813">
        <v>9</v>
      </c>
      <c r="F1813" t="str">
        <f>HYPERLINK("https://github.com/rapidpro/surveyor/issues/8", "show")</f>
        <v>show</v>
      </c>
      <c r="G1813" t="str">
        <f>HYPERLINK("https://github.com/rapidpro/surveyor", "show")</f>
        <v>show</v>
      </c>
      <c r="H1813" t="str">
        <f>HYPERLINK("https://github.com/rapidpro/surveyor/releases", "show")</f>
        <v>show</v>
      </c>
      <c r="I1813">
        <v>1</v>
      </c>
      <c r="J1813">
        <v>0</v>
      </c>
      <c r="K1813">
        <v>1</v>
      </c>
      <c r="L1813">
        <v>0</v>
      </c>
      <c r="M1813" t="s">
        <v>64</v>
      </c>
    </row>
    <row r="1814" spans="1:13" hidden="1" x14ac:dyDescent="0.15">
      <c r="A1814" t="s">
        <v>5801</v>
      </c>
      <c r="B1814" t="s">
        <v>5789</v>
      </c>
      <c r="C1814" t="s">
        <v>5790</v>
      </c>
      <c r="D1814" t="s">
        <v>5797</v>
      </c>
      <c r="E1814">
        <v>0</v>
      </c>
      <c r="F1814" t="str">
        <f>HYPERLINK("https://github.com/dimagi/commcare-android/issues/1359", "show")</f>
        <v>show</v>
      </c>
      <c r="G1814" t="str">
        <f>HYPERLINK("https://github.com/dimagi/commcare-android", "show")</f>
        <v>show</v>
      </c>
      <c r="H1814" t="str">
        <f>HYPERLINK("https://github.com/dimagi/commcare-android/releases", "show")</f>
        <v>show</v>
      </c>
      <c r="I1814">
        <v>0</v>
      </c>
      <c r="J1814">
        <v>0</v>
      </c>
      <c r="K1814">
        <v>1</v>
      </c>
      <c r="L1814">
        <v>0</v>
      </c>
      <c r="M1814" t="s">
        <v>122</v>
      </c>
    </row>
    <row r="1815" spans="1:13" hidden="1" x14ac:dyDescent="0.15">
      <c r="A1815" t="s">
        <v>5802</v>
      </c>
      <c r="B1815" t="s">
        <v>5803</v>
      </c>
      <c r="C1815" t="s">
        <v>5804</v>
      </c>
      <c r="D1815" t="s">
        <v>5797</v>
      </c>
      <c r="E1815">
        <v>766</v>
      </c>
      <c r="F1815" t="str">
        <f>HYPERLINK("https://github.com/XspeedPL/XSharedLibrary/issues/1", "show")</f>
        <v>show</v>
      </c>
      <c r="G1815" t="str">
        <f>HYPERLINK("https://github.com/XspeedPL/XSharedLibrary", "show")</f>
        <v>show</v>
      </c>
      <c r="H1815" t="str">
        <f>HYPERLINK("https://github.com/XspeedPL/XSharedLibrary/releases", "show")</f>
        <v>show</v>
      </c>
      <c r="I1815">
        <v>1</v>
      </c>
      <c r="J1815">
        <v>0</v>
      </c>
      <c r="K1815">
        <v>0</v>
      </c>
      <c r="L1815">
        <v>0</v>
      </c>
      <c r="M1815" t="s">
        <v>17</v>
      </c>
    </row>
    <row r="1816" spans="1:13" hidden="1" x14ac:dyDescent="0.15">
      <c r="A1816" t="s">
        <v>5805</v>
      </c>
      <c r="B1816" t="s">
        <v>5806</v>
      </c>
      <c r="C1816" t="s">
        <v>5807</v>
      </c>
      <c r="D1816" t="s">
        <v>5797</v>
      </c>
      <c r="E1816">
        <v>23</v>
      </c>
      <c r="F1816" t="str">
        <f>HYPERLINK("https://github.com/dimagi/commcare-android/issues/1358", "show")</f>
        <v>show</v>
      </c>
      <c r="G1816" t="str">
        <f>HYPERLINK("https://github.com/dimagi/commcare-android", "show")</f>
        <v>show</v>
      </c>
      <c r="H1816" t="str">
        <f>HYPERLINK("https://github.com/dimagi/commcare-android/releases", "show")</f>
        <v>show</v>
      </c>
      <c r="I1816">
        <v>1</v>
      </c>
      <c r="J1816">
        <v>0</v>
      </c>
      <c r="K1816">
        <v>1</v>
      </c>
      <c r="L1816">
        <v>0</v>
      </c>
      <c r="M1816" t="s">
        <v>64</v>
      </c>
    </row>
    <row r="1817" spans="1:13" hidden="1" x14ac:dyDescent="0.15">
      <c r="A1817" t="s">
        <v>5808</v>
      </c>
      <c r="B1817" t="s">
        <v>5809</v>
      </c>
      <c r="C1817" t="s">
        <v>5810</v>
      </c>
      <c r="D1817" t="s">
        <v>5797</v>
      </c>
      <c r="E1817">
        <v>16</v>
      </c>
      <c r="F1817" t="str">
        <f>HYPERLINK("https://github.com/arimorty/floatingsearchview/issues/87", "show")</f>
        <v>show</v>
      </c>
      <c r="G1817" t="str">
        <f>HYPERLINK("https://github.com/arimorty/floatingsearchview", "show")</f>
        <v>show</v>
      </c>
      <c r="H1817" t="str">
        <f>HYPERLINK("https://github.com/arimorty/floatingsearchview/releases", "show")</f>
        <v>show</v>
      </c>
      <c r="I1817">
        <v>1</v>
      </c>
      <c r="J1817">
        <v>0</v>
      </c>
      <c r="K1817">
        <v>0</v>
      </c>
      <c r="L1817">
        <v>0</v>
      </c>
      <c r="M1817" t="s">
        <v>17</v>
      </c>
    </row>
    <row r="1818" spans="1:13" hidden="1" x14ac:dyDescent="0.15">
      <c r="A1818" t="s">
        <v>5811</v>
      </c>
      <c r="B1818" t="s">
        <v>5812</v>
      </c>
      <c r="C1818" t="s">
        <v>5813</v>
      </c>
      <c r="D1818" t="s">
        <v>5814</v>
      </c>
      <c r="E1818">
        <v>1</v>
      </c>
      <c r="F1818" t="str">
        <f>HYPERLINK("https://github.com/moneymanagerex/android-money-manager-ex/issues/856", "show")</f>
        <v>show</v>
      </c>
      <c r="G1818" t="str">
        <f>HYPERLINK("https://github.com/moneymanagerex/android-money-manager-ex", "show")</f>
        <v>show</v>
      </c>
      <c r="H1818" t="str">
        <f>HYPERLINK("https://github.com/moneymanagerex/android-money-manager-ex/releases", "show")</f>
        <v>show</v>
      </c>
      <c r="I1818">
        <v>0</v>
      </c>
      <c r="J1818">
        <v>0</v>
      </c>
      <c r="K1818">
        <v>1</v>
      </c>
      <c r="L1818">
        <v>0</v>
      </c>
      <c r="M1818" t="s">
        <v>122</v>
      </c>
    </row>
    <row r="1819" spans="1:13" hidden="1" x14ac:dyDescent="0.15">
      <c r="A1819" t="s">
        <v>5815</v>
      </c>
      <c r="B1819" t="s">
        <v>5816</v>
      </c>
      <c r="D1819" t="s">
        <v>5817</v>
      </c>
      <c r="E1819">
        <v>1</v>
      </c>
      <c r="F1819" t="str">
        <f>HYPERLINK("https://github.com/delorenzo/HitTheGym/issues/9", "show")</f>
        <v>show</v>
      </c>
      <c r="G1819" t="str">
        <f>HYPERLINK("https://github.com/delorenzo/HitTheGym", "show")</f>
        <v>show</v>
      </c>
      <c r="H1819" t="str">
        <f>HYPERLINK("https://github.com/delorenzo/HitTheGym/releases", "show")</f>
        <v>show</v>
      </c>
      <c r="I1819">
        <v>1</v>
      </c>
      <c r="J1819">
        <v>0</v>
      </c>
      <c r="K1819">
        <v>0</v>
      </c>
      <c r="L1819">
        <v>0</v>
      </c>
      <c r="M1819" t="s">
        <v>17</v>
      </c>
    </row>
    <row r="1820" spans="1:13" hidden="1" x14ac:dyDescent="0.15">
      <c r="A1820" t="s">
        <v>5818</v>
      </c>
      <c r="B1820" t="s">
        <v>5819</v>
      </c>
      <c r="C1820" t="s">
        <v>5820</v>
      </c>
      <c r="D1820" t="s">
        <v>5817</v>
      </c>
      <c r="E1820">
        <v>1</v>
      </c>
      <c r="F1820" t="str">
        <f>HYPERLINK("https://github.com/dimagi/commcare-android/issues/1364", "show")</f>
        <v>show</v>
      </c>
      <c r="G1820" t="str">
        <f>HYPERLINK("https://github.com/dimagi/commcare-android", "show")</f>
        <v>show</v>
      </c>
      <c r="H1820" t="str">
        <f>HYPERLINK("https://github.com/dimagi/commcare-android/releases", "show")</f>
        <v>show</v>
      </c>
      <c r="I1820">
        <v>1</v>
      </c>
      <c r="J1820">
        <v>1</v>
      </c>
      <c r="K1820">
        <v>1</v>
      </c>
      <c r="L1820">
        <v>0</v>
      </c>
      <c r="M1820" t="s">
        <v>59</v>
      </c>
    </row>
    <row r="1821" spans="1:13" hidden="1" x14ac:dyDescent="0.15">
      <c r="A1821" t="s">
        <v>5821</v>
      </c>
      <c r="B1821" t="s">
        <v>5822</v>
      </c>
      <c r="C1821" t="s">
        <v>5823</v>
      </c>
      <c r="D1821" t="s">
        <v>5817</v>
      </c>
      <c r="E1821">
        <v>0</v>
      </c>
      <c r="F1821" t="str">
        <f>HYPERLINK("https://github.com/BrimeNotes/android/issues/23", "show")</f>
        <v>show</v>
      </c>
      <c r="G1821" t="str">
        <f>HYPERLINK("https://github.com/BrimeNotes/android", "show")</f>
        <v>show</v>
      </c>
      <c r="H1821" t="str">
        <f>HYPERLINK("https://github.com/BrimeNotes/android/releases", "show")</f>
        <v>show</v>
      </c>
      <c r="I1821">
        <v>1</v>
      </c>
      <c r="J1821">
        <v>0</v>
      </c>
      <c r="K1821">
        <v>0</v>
      </c>
      <c r="L1821">
        <v>0</v>
      </c>
      <c r="M1821" t="s">
        <v>17</v>
      </c>
    </row>
    <row r="1822" spans="1:13" hidden="1" x14ac:dyDescent="0.15">
      <c r="A1822" t="s">
        <v>5824</v>
      </c>
      <c r="B1822" t="s">
        <v>5825</v>
      </c>
      <c r="C1822" t="s">
        <v>5826</v>
      </c>
      <c r="D1822" t="s">
        <v>5817</v>
      </c>
      <c r="E1822">
        <v>0</v>
      </c>
      <c r="F1822" t="str">
        <f>HYPERLINK("https://github.com/Beamanator/Ulti-Mate/issues/16", "show")</f>
        <v>show</v>
      </c>
      <c r="G1822" t="str">
        <f>HYPERLINK("https://github.com/Beamanator/Ulti-Mate", "show")</f>
        <v>show</v>
      </c>
      <c r="H1822" t="str">
        <f>HYPERLINK("https://github.com/Beamanator/Ulti-Mate/releases", "show")</f>
        <v>show</v>
      </c>
      <c r="I1822">
        <v>1</v>
      </c>
      <c r="J1822">
        <v>0</v>
      </c>
      <c r="K1822">
        <v>0</v>
      </c>
      <c r="L1822">
        <v>0</v>
      </c>
      <c r="M1822" t="s">
        <v>17</v>
      </c>
    </row>
    <row r="1823" spans="1:13" hidden="1" x14ac:dyDescent="0.15">
      <c r="A1823" t="s">
        <v>5827</v>
      </c>
      <c r="B1823" t="s">
        <v>5828</v>
      </c>
      <c r="D1823" t="s">
        <v>5817</v>
      </c>
      <c r="E1823">
        <v>14</v>
      </c>
      <c r="F1823" t="str">
        <f>HYPERLINK("https://github.com/leancloud/LeanCloudChatKit-Android/issues/12", "show")</f>
        <v>show</v>
      </c>
      <c r="G1823" t="str">
        <f>HYPERLINK("https://github.com/leancloud/LeanCloudChatKit-Android", "show")</f>
        <v>show</v>
      </c>
      <c r="H1823" t="str">
        <f>HYPERLINK("https://github.com/leancloud/LeanCloudChatKit-Android/releases", "show")</f>
        <v>show</v>
      </c>
      <c r="I1823">
        <v>0</v>
      </c>
      <c r="J1823">
        <v>0</v>
      </c>
      <c r="K1823">
        <v>0</v>
      </c>
      <c r="L1823">
        <v>0</v>
      </c>
      <c r="M1823" t="s">
        <v>43</v>
      </c>
    </row>
    <row r="1824" spans="1:13" hidden="1" x14ac:dyDescent="0.15">
      <c r="A1824" t="s">
        <v>5829</v>
      </c>
      <c r="B1824" t="s">
        <v>5830</v>
      </c>
      <c r="C1824" t="s">
        <v>5831</v>
      </c>
      <c r="D1824" t="s">
        <v>5832</v>
      </c>
      <c r="E1824">
        <v>1550</v>
      </c>
      <c r="F1824" t="str">
        <f>HYPERLINK("https://github.com/k9mail/k-9/issues/1494", "show")</f>
        <v>show</v>
      </c>
      <c r="G1824" t="str">
        <f>HYPERLINK("https://github.com/k9mail/k-9", "show")</f>
        <v>show</v>
      </c>
      <c r="H1824" t="str">
        <f>HYPERLINK("https://github.com/k9mail/k-9/releases", "show")</f>
        <v>show</v>
      </c>
      <c r="I1824">
        <v>1</v>
      </c>
      <c r="J1824">
        <v>1</v>
      </c>
      <c r="K1824">
        <v>1</v>
      </c>
      <c r="L1824">
        <v>0</v>
      </c>
      <c r="M1824" t="s">
        <v>59</v>
      </c>
    </row>
    <row r="1825" spans="1:13" hidden="1" x14ac:dyDescent="0.15">
      <c r="A1825" t="s">
        <v>5833</v>
      </c>
      <c r="B1825" t="s">
        <v>5834</v>
      </c>
      <c r="C1825" t="s">
        <v>5835</v>
      </c>
      <c r="D1825" t="s">
        <v>5832</v>
      </c>
      <c r="E1825">
        <v>0</v>
      </c>
      <c r="F1825" t="str">
        <f>HYPERLINK("https://github.com/EyeSeeTea/malariapp/issues/1112", "show")</f>
        <v>show</v>
      </c>
      <c r="G1825" t="str">
        <f>HYPERLINK("https://github.com/EyeSeeTea/malariapp", "show")</f>
        <v>show</v>
      </c>
      <c r="H1825" t="str">
        <f>HYPERLINK("https://github.com/EyeSeeTea/malariapp/releases", "show")</f>
        <v>show</v>
      </c>
      <c r="I1825">
        <v>0</v>
      </c>
      <c r="J1825">
        <v>0</v>
      </c>
      <c r="K1825">
        <v>0</v>
      </c>
      <c r="L1825">
        <v>0</v>
      </c>
      <c r="M1825" t="s">
        <v>43</v>
      </c>
    </row>
    <row r="1826" spans="1:13" hidden="1" x14ac:dyDescent="0.15">
      <c r="A1826" t="s">
        <v>5836</v>
      </c>
      <c r="B1826" t="s">
        <v>5837</v>
      </c>
      <c r="C1826" t="s">
        <v>5838</v>
      </c>
      <c r="D1826" t="s">
        <v>5832</v>
      </c>
      <c r="E1826">
        <v>722</v>
      </c>
      <c r="F1826" t="str">
        <f>HYPERLINK("https://github.com/openbmap/radiocells-nlp-android/issues/25", "show")</f>
        <v>show</v>
      </c>
      <c r="G1826" t="str">
        <f>HYPERLINK("https://github.com/openbmap/radiocells-nlp-android", "show")</f>
        <v>show</v>
      </c>
      <c r="H1826" t="str">
        <f>HYPERLINK("https://github.com/openbmap/radiocells-nlp-android/releases", "show")</f>
        <v>show</v>
      </c>
      <c r="I1826">
        <v>0</v>
      </c>
      <c r="J1826">
        <v>0</v>
      </c>
      <c r="K1826">
        <v>0</v>
      </c>
      <c r="L1826">
        <v>0</v>
      </c>
      <c r="M1826" t="s">
        <v>43</v>
      </c>
    </row>
    <row r="1827" spans="1:13" hidden="1" x14ac:dyDescent="0.15">
      <c r="A1827" t="s">
        <v>5839</v>
      </c>
      <c r="B1827" t="s">
        <v>5840</v>
      </c>
      <c r="C1827" t="s">
        <v>5841</v>
      </c>
      <c r="D1827" t="s">
        <v>5842</v>
      </c>
      <c r="E1827">
        <v>0</v>
      </c>
      <c r="F1827" t="str">
        <f>HYPERLINK("https://github.com/Devlight/NavigationTabBar/issues/37", "show")</f>
        <v>show</v>
      </c>
      <c r="G1827" t="str">
        <f>HYPERLINK("https://github.com/Devlight/NavigationTabBar", "show")</f>
        <v>show</v>
      </c>
      <c r="H1827" t="str">
        <f>HYPERLINK("https://github.com/Devlight/NavigationTabBar/releases", "show")</f>
        <v>show</v>
      </c>
      <c r="I1827">
        <v>0</v>
      </c>
      <c r="J1827">
        <v>0</v>
      </c>
      <c r="K1827">
        <v>0</v>
      </c>
      <c r="L1827">
        <v>0</v>
      </c>
      <c r="M1827" t="s">
        <v>43</v>
      </c>
    </row>
    <row r="1828" spans="1:13" hidden="1" x14ac:dyDescent="0.15">
      <c r="A1828" t="s">
        <v>5843</v>
      </c>
      <c r="B1828" t="s">
        <v>5844</v>
      </c>
      <c r="C1828" t="s">
        <v>5845</v>
      </c>
      <c r="D1828" t="s">
        <v>5846</v>
      </c>
      <c r="E1828">
        <v>8</v>
      </c>
      <c r="F1828" t="str">
        <f>HYPERLINK("https://github.com/nextcloud/android/issues/117", "show")</f>
        <v>show</v>
      </c>
      <c r="G1828" t="str">
        <f>HYPERLINK("https://github.com/nextcloud/android", "show")</f>
        <v>show</v>
      </c>
      <c r="H1828" t="str">
        <f>HYPERLINK("https://github.com/nextcloud/android/releases", "show")</f>
        <v>show</v>
      </c>
      <c r="I1828">
        <v>1</v>
      </c>
      <c r="J1828">
        <v>1</v>
      </c>
      <c r="K1828">
        <v>0</v>
      </c>
      <c r="L1828">
        <v>0</v>
      </c>
      <c r="M1828" t="s">
        <v>48</v>
      </c>
    </row>
    <row r="1829" spans="1:13" hidden="1" x14ac:dyDescent="0.15">
      <c r="A1829" t="s">
        <v>5847</v>
      </c>
      <c r="B1829" t="s">
        <v>5848</v>
      </c>
      <c r="C1829" t="s">
        <v>5849</v>
      </c>
      <c r="D1829" t="s">
        <v>5846</v>
      </c>
      <c r="E1829">
        <v>0</v>
      </c>
      <c r="F1829" t="str">
        <f>HYPERLINK("https://github.com/BrimeNotes/android/issues/34", "show")</f>
        <v>show</v>
      </c>
      <c r="G1829" t="str">
        <f>HYPERLINK("https://github.com/BrimeNotes/android", "show")</f>
        <v>show</v>
      </c>
      <c r="H1829" t="str">
        <f>HYPERLINK("https://github.com/BrimeNotes/android/releases", "show")</f>
        <v>show</v>
      </c>
      <c r="I1829">
        <v>1</v>
      </c>
      <c r="J1829">
        <v>0</v>
      </c>
      <c r="K1829">
        <v>0</v>
      </c>
      <c r="L1829">
        <v>0</v>
      </c>
      <c r="M1829" t="s">
        <v>17</v>
      </c>
    </row>
    <row r="1830" spans="1:13" hidden="1" x14ac:dyDescent="0.15">
      <c r="A1830" t="s">
        <v>5850</v>
      </c>
      <c r="B1830" t="s">
        <v>5851</v>
      </c>
      <c r="C1830" t="s">
        <v>5852</v>
      </c>
      <c r="D1830" t="s">
        <v>5853</v>
      </c>
      <c r="E1830">
        <v>0</v>
      </c>
      <c r="F1830" t="str">
        <f>HYPERLINK("https://github.com/Beamanator/Ulti-Mate/issues/32", "show")</f>
        <v>show</v>
      </c>
      <c r="G1830" t="str">
        <f>HYPERLINK("https://github.com/Beamanator/Ulti-Mate", "show")</f>
        <v>show</v>
      </c>
      <c r="H1830" t="str">
        <f>HYPERLINK("https://github.com/Beamanator/Ulti-Mate/releases", "show")</f>
        <v>show</v>
      </c>
      <c r="I1830">
        <v>1</v>
      </c>
      <c r="J1830">
        <v>0</v>
      </c>
      <c r="K1830">
        <v>0</v>
      </c>
      <c r="L1830">
        <v>0</v>
      </c>
      <c r="M1830" t="s">
        <v>17</v>
      </c>
    </row>
    <row r="1831" spans="1:13" hidden="1" x14ac:dyDescent="0.15">
      <c r="A1831" t="s">
        <v>5854</v>
      </c>
      <c r="B1831" t="s">
        <v>5855</v>
      </c>
      <c r="D1831" t="s">
        <v>5856</v>
      </c>
      <c r="E1831">
        <v>2</v>
      </c>
      <c r="F1831" t="str">
        <f>HYPERLINK("https://github.com/gearvrf/GearVRf-Demos/issues/233", "show")</f>
        <v>show</v>
      </c>
      <c r="G1831" t="str">
        <f>HYPERLINK("https://github.com/gearvrf/GearVRf-Demos", "show")</f>
        <v>show</v>
      </c>
      <c r="H1831" t="str">
        <f>HYPERLINK("https://github.com/gearvrf/GearVRf-Demos/releases", "show")</f>
        <v>show</v>
      </c>
      <c r="I1831">
        <v>0</v>
      </c>
      <c r="J1831">
        <v>0</v>
      </c>
      <c r="K1831">
        <v>0</v>
      </c>
      <c r="L1831">
        <v>0</v>
      </c>
      <c r="M1831" t="s">
        <v>43</v>
      </c>
    </row>
    <row r="1832" spans="1:13" hidden="1" x14ac:dyDescent="0.15">
      <c r="A1832" t="s">
        <v>5857</v>
      </c>
      <c r="B1832" t="s">
        <v>5858</v>
      </c>
      <c r="D1832" t="s">
        <v>5856</v>
      </c>
      <c r="E1832">
        <v>1</v>
      </c>
      <c r="F1832" t="str">
        <f>HYPERLINK("https://github.com/ccm-innovation/react-native-twilio-ip-messaging/issues/15", "show")</f>
        <v>show</v>
      </c>
      <c r="G1832" t="str">
        <f>HYPERLINK("https://github.com/ccm-innovation/react-native-twilio-ip-messaging", "show")</f>
        <v>show</v>
      </c>
      <c r="H1832" t="str">
        <f>HYPERLINK("https://github.com/ccm-innovation/react-native-twilio-ip-messaging/releases", "show")</f>
        <v>show</v>
      </c>
      <c r="I1832">
        <v>1</v>
      </c>
      <c r="J1832">
        <v>0</v>
      </c>
      <c r="K1832">
        <v>0</v>
      </c>
      <c r="L1832">
        <v>0</v>
      </c>
      <c r="M1832" t="s">
        <v>17</v>
      </c>
    </row>
    <row r="1833" spans="1:13" hidden="1" x14ac:dyDescent="0.15">
      <c r="A1833" t="s">
        <v>5859</v>
      </c>
      <c r="B1833" t="s">
        <v>5860</v>
      </c>
      <c r="C1833" t="s">
        <v>5861</v>
      </c>
      <c r="D1833" t="s">
        <v>5856</v>
      </c>
      <c r="E1833">
        <v>54</v>
      </c>
      <c r="F1833" t="str">
        <f>HYPERLINK("https://github.com/cohenadair/anglers-log/issues/79", "show")</f>
        <v>show</v>
      </c>
      <c r="G1833" t="str">
        <f>HYPERLINK("https://github.com/cohenadair/anglers-log", "show")</f>
        <v>show</v>
      </c>
      <c r="H1833" t="str">
        <f>HYPERLINK("https://github.com/cohenadair/anglers-log/releases", "show")</f>
        <v>show</v>
      </c>
      <c r="I1833">
        <v>0</v>
      </c>
      <c r="J1833">
        <v>0</v>
      </c>
      <c r="K1833">
        <v>0</v>
      </c>
      <c r="L1833">
        <v>0</v>
      </c>
      <c r="M1833" t="s">
        <v>43</v>
      </c>
    </row>
    <row r="1834" spans="1:13" hidden="1" x14ac:dyDescent="0.15">
      <c r="A1834" t="s">
        <v>5862</v>
      </c>
      <c r="B1834" t="s">
        <v>5863</v>
      </c>
      <c r="C1834" t="s">
        <v>5864</v>
      </c>
      <c r="D1834" t="s">
        <v>5856</v>
      </c>
      <c r="E1834">
        <v>54</v>
      </c>
      <c r="F1834" t="str">
        <f>HYPERLINK("https://github.com/cohenadair/anglers-log/issues/73", "show")</f>
        <v>show</v>
      </c>
      <c r="G1834" t="str">
        <f>HYPERLINK("https://github.com/cohenadair/anglers-log", "show")</f>
        <v>show</v>
      </c>
      <c r="H1834" t="str">
        <f>HYPERLINK("https://github.com/cohenadair/anglers-log/releases", "show")</f>
        <v>show</v>
      </c>
      <c r="I1834">
        <v>0</v>
      </c>
      <c r="J1834">
        <v>0</v>
      </c>
      <c r="K1834">
        <v>0</v>
      </c>
      <c r="L1834">
        <v>0</v>
      </c>
      <c r="M1834" t="s">
        <v>43</v>
      </c>
    </row>
    <row r="1835" spans="1:13" hidden="1" x14ac:dyDescent="0.15">
      <c r="A1835" t="s">
        <v>5865</v>
      </c>
      <c r="B1835" t="s">
        <v>5866</v>
      </c>
      <c r="C1835" t="s">
        <v>5867</v>
      </c>
      <c r="D1835" t="s">
        <v>5856</v>
      </c>
      <c r="E1835">
        <v>1</v>
      </c>
      <c r="F1835" t="str">
        <f>HYPERLINK("https://github.com/mpcjanssen/simpletask-android/issues/476", "show")</f>
        <v>show</v>
      </c>
      <c r="G1835" t="str">
        <f>HYPERLINK("https://github.com/mpcjanssen/simpletask-android", "show")</f>
        <v>show</v>
      </c>
      <c r="H1835" t="str">
        <f>HYPERLINK("https://github.com/mpcjanssen/simpletask-android/releases", "show")</f>
        <v>show</v>
      </c>
      <c r="I1835">
        <v>1</v>
      </c>
      <c r="J1835">
        <v>0</v>
      </c>
      <c r="K1835">
        <v>1</v>
      </c>
      <c r="L1835">
        <v>0</v>
      </c>
      <c r="M1835" t="s">
        <v>64</v>
      </c>
    </row>
    <row r="1836" spans="1:13" hidden="1" x14ac:dyDescent="0.15">
      <c r="A1836" t="s">
        <v>5868</v>
      </c>
      <c r="B1836" t="s">
        <v>5869</v>
      </c>
      <c r="C1836" t="s">
        <v>5870</v>
      </c>
      <c r="D1836" t="s">
        <v>5856</v>
      </c>
      <c r="E1836">
        <v>8</v>
      </c>
      <c r="F1836" t="str">
        <f>HYPERLINK("https://github.com/ZorgeR/datFM/issues/1", "show")</f>
        <v>show</v>
      </c>
      <c r="G1836" t="str">
        <f>HYPERLINK("https://github.com/ZorgeR/datFM", "show")</f>
        <v>show</v>
      </c>
      <c r="H1836" t="str">
        <f>HYPERLINK("https://github.com/ZorgeR/datFM/releases", "show")</f>
        <v>show</v>
      </c>
      <c r="I1836">
        <v>1</v>
      </c>
      <c r="J1836">
        <v>0</v>
      </c>
      <c r="K1836">
        <v>0</v>
      </c>
      <c r="L1836">
        <v>0</v>
      </c>
      <c r="M1836" t="s">
        <v>17</v>
      </c>
    </row>
    <row r="1837" spans="1:13" hidden="1" x14ac:dyDescent="0.15">
      <c r="A1837" t="s">
        <v>5871</v>
      </c>
      <c r="B1837" t="s">
        <v>5872</v>
      </c>
      <c r="C1837" t="s">
        <v>5873</v>
      </c>
      <c r="D1837" t="s">
        <v>5856</v>
      </c>
      <c r="E1837">
        <v>0</v>
      </c>
      <c r="F1837" t="str">
        <f>HYPERLINK("https://github.com/BrimeNotes/android/issues/51", "show")</f>
        <v>show</v>
      </c>
      <c r="G1837" t="str">
        <f>HYPERLINK("https://github.com/BrimeNotes/android", "show")</f>
        <v>show</v>
      </c>
      <c r="H1837" t="str">
        <f>HYPERLINK("https://github.com/BrimeNotes/android/releases", "show")</f>
        <v>show</v>
      </c>
      <c r="I1837">
        <v>0</v>
      </c>
      <c r="J1837">
        <v>0</v>
      </c>
      <c r="K1837">
        <v>0</v>
      </c>
      <c r="L1837">
        <v>0</v>
      </c>
      <c r="M1837" t="s">
        <v>43</v>
      </c>
    </row>
    <row r="1838" spans="1:13" hidden="1" x14ac:dyDescent="0.15">
      <c r="A1838" t="s">
        <v>5874</v>
      </c>
      <c r="B1838" t="s">
        <v>5875</v>
      </c>
      <c r="C1838" t="s">
        <v>5876</v>
      </c>
      <c r="D1838" t="s">
        <v>5856</v>
      </c>
      <c r="E1838">
        <v>0</v>
      </c>
      <c r="F1838" t="str">
        <f>HYPERLINK("https://github.com/cohenadair/anglers-log/issues/13", "show")</f>
        <v>show</v>
      </c>
      <c r="G1838" t="str">
        <f>HYPERLINK("https://github.com/cohenadair/anglers-log", "show")</f>
        <v>show</v>
      </c>
      <c r="H1838" t="str">
        <f>HYPERLINK("https://github.com/cohenadair/anglers-log/releases", "show")</f>
        <v>show</v>
      </c>
      <c r="I1838">
        <v>1</v>
      </c>
      <c r="J1838">
        <v>0</v>
      </c>
      <c r="K1838">
        <v>0</v>
      </c>
      <c r="L1838">
        <v>0</v>
      </c>
      <c r="M1838" t="s">
        <v>17</v>
      </c>
    </row>
    <row r="1839" spans="1:13" hidden="1" x14ac:dyDescent="0.15">
      <c r="A1839" t="s">
        <v>5877</v>
      </c>
      <c r="B1839" t="s">
        <v>5878</v>
      </c>
      <c r="C1839" t="s">
        <v>5879</v>
      </c>
      <c r="D1839" t="s">
        <v>5856</v>
      </c>
      <c r="E1839">
        <v>0</v>
      </c>
      <c r="F1839" t="str">
        <f>HYPERLINK("https://github.com/cohenadair/anglers-log/issues/11", "show")</f>
        <v>show</v>
      </c>
      <c r="G1839" t="str">
        <f>HYPERLINK("https://github.com/cohenadair/anglers-log", "show")</f>
        <v>show</v>
      </c>
      <c r="H1839" t="str">
        <f>HYPERLINK("https://github.com/cohenadair/anglers-log/releases", "show")</f>
        <v>show</v>
      </c>
      <c r="I1839">
        <v>1</v>
      </c>
      <c r="J1839">
        <v>0</v>
      </c>
      <c r="K1839">
        <v>0</v>
      </c>
      <c r="L1839">
        <v>0</v>
      </c>
      <c r="M1839" t="s">
        <v>17</v>
      </c>
    </row>
    <row r="1840" spans="1:13" hidden="1" x14ac:dyDescent="0.15">
      <c r="A1840" t="s">
        <v>5880</v>
      </c>
      <c r="B1840" t="s">
        <v>5881</v>
      </c>
      <c r="C1840" t="s">
        <v>5882</v>
      </c>
      <c r="D1840" t="s">
        <v>5856</v>
      </c>
      <c r="E1840">
        <v>0</v>
      </c>
      <c r="F1840" t="str">
        <f>HYPERLINK("https://github.com/cohenadair/anglers-log/issues/9", "show")</f>
        <v>show</v>
      </c>
      <c r="G1840" t="str">
        <f>HYPERLINK("https://github.com/cohenadair/anglers-log", "show")</f>
        <v>show</v>
      </c>
      <c r="H1840" t="str">
        <f>HYPERLINK("https://github.com/cohenadair/anglers-log/releases", "show")</f>
        <v>show</v>
      </c>
      <c r="I1840">
        <v>1</v>
      </c>
      <c r="J1840">
        <v>0</v>
      </c>
      <c r="K1840">
        <v>0</v>
      </c>
      <c r="L1840">
        <v>0</v>
      </c>
      <c r="M1840" t="s">
        <v>17</v>
      </c>
    </row>
    <row r="1841" spans="1:13" hidden="1" x14ac:dyDescent="0.15">
      <c r="A1841" t="s">
        <v>5883</v>
      </c>
      <c r="B1841" t="s">
        <v>5884</v>
      </c>
      <c r="C1841" t="s">
        <v>5885</v>
      </c>
      <c r="D1841" t="s">
        <v>5856</v>
      </c>
      <c r="E1841">
        <v>0</v>
      </c>
      <c r="F1841" t="str">
        <f>HYPERLINK("https://github.com/cohenadair/anglers-log/issues/3", "show")</f>
        <v>show</v>
      </c>
      <c r="G1841" t="str">
        <f>HYPERLINK("https://github.com/cohenadair/anglers-log", "show")</f>
        <v>show</v>
      </c>
      <c r="H1841" t="str">
        <f>HYPERLINK("https://github.com/cohenadair/anglers-log/releases", "show")</f>
        <v>show</v>
      </c>
      <c r="I1841">
        <v>0</v>
      </c>
      <c r="J1841">
        <v>0</v>
      </c>
      <c r="K1841">
        <v>0</v>
      </c>
      <c r="L1841">
        <v>0</v>
      </c>
      <c r="M1841" t="s">
        <v>43</v>
      </c>
    </row>
    <row r="1842" spans="1:13" hidden="1" x14ac:dyDescent="0.15">
      <c r="A1842" t="s">
        <v>5886</v>
      </c>
      <c r="B1842" t="s">
        <v>5887</v>
      </c>
      <c r="C1842" t="s">
        <v>5888</v>
      </c>
      <c r="D1842" t="s">
        <v>5856</v>
      </c>
      <c r="E1842">
        <v>2</v>
      </c>
      <c r="F1842" t="str">
        <f>HYPERLINK("https://github.com/dbaldwin/DronePan-Android/issues/2", "show")</f>
        <v>show</v>
      </c>
      <c r="G1842" t="str">
        <f>HYPERLINK("https://github.com/dbaldwin/DronePan-Android", "show")</f>
        <v>show</v>
      </c>
      <c r="H1842" t="str">
        <f>HYPERLINK("https://github.com/dbaldwin/DronePan-Android/releases", "show")</f>
        <v>show</v>
      </c>
      <c r="I1842">
        <v>1</v>
      </c>
      <c r="J1842">
        <v>0</v>
      </c>
      <c r="K1842">
        <v>0</v>
      </c>
      <c r="L1842">
        <v>0</v>
      </c>
      <c r="M1842" t="s">
        <v>17</v>
      </c>
    </row>
    <row r="1843" spans="1:13" hidden="1" x14ac:dyDescent="0.15">
      <c r="A1843" t="s">
        <v>5889</v>
      </c>
      <c r="B1843" t="s">
        <v>5890</v>
      </c>
      <c r="C1843" t="s">
        <v>5891</v>
      </c>
      <c r="D1843" t="s">
        <v>5892</v>
      </c>
      <c r="E1843">
        <v>0</v>
      </c>
      <c r="F1843" t="str">
        <f>HYPERLINK("https://github.com/OneBusAway/onebusaway-android/issues/594", "show")</f>
        <v>show</v>
      </c>
      <c r="G1843" t="str">
        <f>HYPERLINK("https://github.com/OneBusAway/onebusaway-android", "show")</f>
        <v>show</v>
      </c>
      <c r="H1843" t="str">
        <f>HYPERLINK("https://github.com/OneBusAway/onebusaway-android/releases", "show")</f>
        <v>show</v>
      </c>
      <c r="I1843">
        <v>0</v>
      </c>
      <c r="J1843">
        <v>0</v>
      </c>
      <c r="K1843">
        <v>1</v>
      </c>
      <c r="L1843">
        <v>0</v>
      </c>
      <c r="M1843" t="s">
        <v>122</v>
      </c>
    </row>
    <row r="1844" spans="1:13" hidden="1" x14ac:dyDescent="0.15">
      <c r="A1844" t="s">
        <v>5893</v>
      </c>
      <c r="B1844" t="s">
        <v>5894</v>
      </c>
      <c r="C1844" t="s">
        <v>5895</v>
      </c>
      <c r="D1844" t="s">
        <v>5892</v>
      </c>
      <c r="E1844">
        <v>66</v>
      </c>
      <c r="F1844" t="str">
        <f>HYPERLINK("https://github.com/IvoGoman/Diabetes-App/issues/59", "show")</f>
        <v>show</v>
      </c>
      <c r="G1844" t="str">
        <f>HYPERLINK("https://github.com/IvoGoman/Diabetes-App", "show")</f>
        <v>show</v>
      </c>
      <c r="H1844" t="str">
        <f>HYPERLINK("https://github.com/IvoGoman/Diabetes-App/releases", "show")</f>
        <v>show</v>
      </c>
      <c r="I1844">
        <v>1</v>
      </c>
      <c r="J1844">
        <v>1</v>
      </c>
      <c r="K1844">
        <v>0</v>
      </c>
      <c r="L1844">
        <v>0</v>
      </c>
      <c r="M1844" t="s">
        <v>48</v>
      </c>
    </row>
    <row r="1845" spans="1:13" hidden="1" x14ac:dyDescent="0.15">
      <c r="A1845" t="s">
        <v>5896</v>
      </c>
      <c r="B1845" t="s">
        <v>5897</v>
      </c>
      <c r="D1845" t="s">
        <v>5898</v>
      </c>
      <c r="E1845">
        <v>2</v>
      </c>
      <c r="F1845" t="str">
        <f>HYPERLINK("https://github.com/Intelehealth/Android-Mobile-Client/issues/116", "show")</f>
        <v>show</v>
      </c>
      <c r="G1845" t="str">
        <f>HYPERLINK("https://github.com/Intelehealth/Android-Mobile-Client", "show")</f>
        <v>show</v>
      </c>
      <c r="H1845" t="str">
        <f>HYPERLINK("https://github.com/Intelehealth/Android-Mobile-Client/releases", "show")</f>
        <v>show</v>
      </c>
      <c r="I1845">
        <v>0</v>
      </c>
      <c r="J1845">
        <v>0</v>
      </c>
      <c r="K1845">
        <v>0</v>
      </c>
      <c r="L1845">
        <v>0</v>
      </c>
      <c r="M1845" t="s">
        <v>43</v>
      </c>
    </row>
    <row r="1846" spans="1:13" hidden="1" x14ac:dyDescent="0.15">
      <c r="A1846" t="s">
        <v>5899</v>
      </c>
      <c r="B1846" t="s">
        <v>5900</v>
      </c>
      <c r="D1846" t="s">
        <v>5898</v>
      </c>
      <c r="E1846">
        <v>1</v>
      </c>
      <c r="F1846" t="str">
        <f>HYPERLINK("https://github.com/gearvrf/GearVRf-Demos/issues/248", "show")</f>
        <v>show</v>
      </c>
      <c r="G1846" t="str">
        <f>HYPERLINK("https://github.com/gearvrf/GearVRf-Demos", "show")</f>
        <v>show</v>
      </c>
      <c r="H1846" t="str">
        <f>HYPERLINK("https://github.com/gearvrf/GearVRf-Demos/releases", "show")</f>
        <v>show</v>
      </c>
      <c r="I1846">
        <v>0</v>
      </c>
      <c r="J1846">
        <v>0</v>
      </c>
      <c r="K1846">
        <v>0</v>
      </c>
      <c r="L1846">
        <v>0</v>
      </c>
      <c r="M1846" t="s">
        <v>43</v>
      </c>
    </row>
    <row r="1847" spans="1:13" hidden="1" x14ac:dyDescent="0.15">
      <c r="A1847" t="s">
        <v>5901</v>
      </c>
      <c r="B1847" t="s">
        <v>5902</v>
      </c>
      <c r="D1847" t="s">
        <v>5898</v>
      </c>
      <c r="E1847">
        <v>1</v>
      </c>
      <c r="F1847" t="str">
        <f>HYPERLINK("https://github.com/gearvrf/GearVRf-Demos/issues/247", "show")</f>
        <v>show</v>
      </c>
      <c r="G1847" t="str">
        <f>HYPERLINK("https://github.com/gearvrf/GearVRf-Demos", "show")</f>
        <v>show</v>
      </c>
      <c r="H1847" t="str">
        <f>HYPERLINK("https://github.com/gearvrf/GearVRf-Demos/releases", "show")</f>
        <v>show</v>
      </c>
      <c r="I1847">
        <v>0</v>
      </c>
      <c r="J1847">
        <v>0</v>
      </c>
      <c r="K1847">
        <v>0</v>
      </c>
      <c r="L1847">
        <v>0</v>
      </c>
      <c r="M1847" t="s">
        <v>43</v>
      </c>
    </row>
    <row r="1848" spans="1:13" hidden="1" x14ac:dyDescent="0.15">
      <c r="A1848" t="s">
        <v>5903</v>
      </c>
      <c r="B1848" t="s">
        <v>5904</v>
      </c>
      <c r="D1848" t="s">
        <v>5898</v>
      </c>
      <c r="E1848">
        <v>0</v>
      </c>
      <c r="F1848" t="str">
        <f>HYPERLINK("https://github.com/gearvrf/GearVRf-Demos/issues/246", "show")</f>
        <v>show</v>
      </c>
      <c r="G1848" t="str">
        <f>HYPERLINK("https://github.com/gearvrf/GearVRf-Demos", "show")</f>
        <v>show</v>
      </c>
      <c r="H1848" t="str">
        <f>HYPERLINK("https://github.com/gearvrf/GearVRf-Demos/releases", "show")</f>
        <v>show</v>
      </c>
      <c r="I1848">
        <v>0</v>
      </c>
      <c r="J1848">
        <v>0</v>
      </c>
      <c r="K1848">
        <v>1</v>
      </c>
      <c r="L1848">
        <v>0</v>
      </c>
      <c r="M1848" t="s">
        <v>122</v>
      </c>
    </row>
    <row r="1849" spans="1:13" hidden="1" x14ac:dyDescent="0.15">
      <c r="A1849" t="s">
        <v>5905</v>
      </c>
      <c r="B1849" t="s">
        <v>5906</v>
      </c>
      <c r="C1849" t="s">
        <v>5907</v>
      </c>
      <c r="D1849" t="s">
        <v>5898</v>
      </c>
      <c r="E1849">
        <v>0</v>
      </c>
      <c r="F1849" t="str">
        <f>HYPERLINK("https://github.com/gearvrf/GearVRf-Demos/issues/245", "show")</f>
        <v>show</v>
      </c>
      <c r="G1849" t="str">
        <f>HYPERLINK("https://github.com/gearvrf/GearVRf-Demos", "show")</f>
        <v>show</v>
      </c>
      <c r="H1849" t="str">
        <f>HYPERLINK("https://github.com/gearvrf/GearVRf-Demos/releases", "show")</f>
        <v>show</v>
      </c>
      <c r="I1849">
        <v>0</v>
      </c>
      <c r="J1849">
        <v>0</v>
      </c>
      <c r="K1849">
        <v>1</v>
      </c>
      <c r="L1849">
        <v>0</v>
      </c>
      <c r="M1849" t="s">
        <v>122</v>
      </c>
    </row>
    <row r="1850" spans="1:13" hidden="1" x14ac:dyDescent="0.15">
      <c r="A1850" t="s">
        <v>5908</v>
      </c>
      <c r="B1850" t="s">
        <v>5909</v>
      </c>
      <c r="C1850" t="s">
        <v>5910</v>
      </c>
      <c r="D1850" t="s">
        <v>5898</v>
      </c>
      <c r="E1850">
        <v>0</v>
      </c>
      <c r="F1850" t="str">
        <f>HYPERLINK("https://github.com/commons-app/apps-android-commons/issues/187", "show")</f>
        <v>show</v>
      </c>
      <c r="G1850" t="str">
        <f>HYPERLINK("https://github.com/commons-app/apps-android-commons", "show")</f>
        <v>show</v>
      </c>
      <c r="H1850" t="str">
        <f>HYPERLINK("https://github.com/commons-app/apps-android-commons/releases", "show")</f>
        <v>show</v>
      </c>
      <c r="I1850">
        <v>1</v>
      </c>
      <c r="J1850">
        <v>0</v>
      </c>
      <c r="K1850">
        <v>0</v>
      </c>
      <c r="L1850">
        <v>0</v>
      </c>
      <c r="M1850" t="s">
        <v>17</v>
      </c>
    </row>
    <row r="1851" spans="1:13" hidden="1" x14ac:dyDescent="0.15">
      <c r="A1851" t="s">
        <v>5911</v>
      </c>
      <c r="B1851" t="s">
        <v>5912</v>
      </c>
      <c r="D1851" t="s">
        <v>5898</v>
      </c>
      <c r="E1851">
        <v>0</v>
      </c>
      <c r="F1851" t="str">
        <f>HYPERLINK("https://github.com/couchbaselabs/couchbase-lite-java-forestdb/issues/72", "show")</f>
        <v>show</v>
      </c>
      <c r="G1851" t="str">
        <f>HYPERLINK("https://github.com/couchbaselabs/couchbase-lite-java-forestdb", "show")</f>
        <v>show</v>
      </c>
      <c r="H1851" t="str">
        <f>HYPERLINK("https://github.com/couchbaselabs/couchbase-lite-java-forestdb/releases", "show")</f>
        <v>show</v>
      </c>
      <c r="I1851">
        <v>0</v>
      </c>
      <c r="J1851">
        <v>0</v>
      </c>
      <c r="K1851">
        <v>0</v>
      </c>
      <c r="L1851">
        <v>0</v>
      </c>
      <c r="M1851" t="s">
        <v>43</v>
      </c>
    </row>
    <row r="1852" spans="1:13" hidden="1" x14ac:dyDescent="0.15">
      <c r="A1852" t="s">
        <v>5913</v>
      </c>
      <c r="B1852" t="s">
        <v>5914</v>
      </c>
      <c r="D1852" t="s">
        <v>5915</v>
      </c>
      <c r="E1852">
        <v>1</v>
      </c>
      <c r="F1852" t="str">
        <f>HYPERLINK("https://github.com/gearvrf/GearVRf-Demos/issues/254", "show")</f>
        <v>show</v>
      </c>
      <c r="G1852" t="str">
        <f>HYPERLINK("https://github.com/gearvrf/GearVRf-Demos", "show")</f>
        <v>show</v>
      </c>
      <c r="H1852" t="str">
        <f>HYPERLINK("https://github.com/gearvrf/GearVRf-Demos/releases", "show")</f>
        <v>show</v>
      </c>
      <c r="I1852">
        <v>0</v>
      </c>
      <c r="J1852">
        <v>0</v>
      </c>
      <c r="K1852">
        <v>0</v>
      </c>
      <c r="L1852">
        <v>0</v>
      </c>
      <c r="M1852" t="s">
        <v>43</v>
      </c>
    </row>
    <row r="1853" spans="1:13" x14ac:dyDescent="0.15">
      <c r="A1853" t="s">
        <v>5916</v>
      </c>
      <c r="B1853" t="s">
        <v>5917</v>
      </c>
      <c r="C1853" t="s">
        <v>5918</v>
      </c>
      <c r="D1853" t="s">
        <v>5919</v>
      </c>
      <c r="E1853">
        <v>327</v>
      </c>
      <c r="F1853" t="str">
        <f>HYPERLINK("https://github.com/eclipse/californium/issues/73", "show")</f>
        <v>show</v>
      </c>
      <c r="G1853" t="str">
        <f>HYPERLINK("https://github.com/eclipse/californium", "show")</f>
        <v>show</v>
      </c>
      <c r="H1853" t="str">
        <f>HYPERLINK("https://github.com/eclipse/californium/releases", "show")</f>
        <v>show</v>
      </c>
      <c r="I1853">
        <v>0</v>
      </c>
      <c r="J1853">
        <v>1</v>
      </c>
      <c r="K1853">
        <v>0</v>
      </c>
      <c r="L1853">
        <v>0</v>
      </c>
      <c r="M1853" t="s">
        <v>139</v>
      </c>
    </row>
    <row r="1854" spans="1:13" hidden="1" x14ac:dyDescent="0.15">
      <c r="A1854" t="s">
        <v>5920</v>
      </c>
      <c r="B1854" t="s">
        <v>5921</v>
      </c>
      <c r="C1854" t="s">
        <v>5922</v>
      </c>
      <c r="D1854" t="s">
        <v>5923</v>
      </c>
      <c r="E1854">
        <v>0</v>
      </c>
      <c r="F1854" t="str">
        <f>HYPERLINK("https://github.com/translation-cards/translation-cards/issues/247", "show")</f>
        <v>show</v>
      </c>
      <c r="G1854" t="str">
        <f>HYPERLINK("https://github.com/translation-cards/translation-cards", "show")</f>
        <v>show</v>
      </c>
      <c r="H1854" t="str">
        <f>HYPERLINK("https://github.com/translation-cards/translation-cards/releases", "show")</f>
        <v>show</v>
      </c>
      <c r="I1854">
        <v>1</v>
      </c>
      <c r="J1854">
        <v>1</v>
      </c>
      <c r="K1854">
        <v>0</v>
      </c>
      <c r="L1854">
        <v>0</v>
      </c>
      <c r="M1854" t="s">
        <v>48</v>
      </c>
    </row>
    <row r="1855" spans="1:13" hidden="1" x14ac:dyDescent="0.15">
      <c r="A1855" t="s">
        <v>5924</v>
      </c>
      <c r="B1855" t="s">
        <v>5925</v>
      </c>
      <c r="C1855" t="s">
        <v>5926</v>
      </c>
      <c r="D1855" t="s">
        <v>5923</v>
      </c>
      <c r="E1855">
        <v>26</v>
      </c>
      <c r="F1855" t="str">
        <f>HYPERLINK("https://github.com/Devsoc-BPGC/DoJMA/issues/19", "show")</f>
        <v>show</v>
      </c>
      <c r="G1855" t="str">
        <f>HYPERLINK("https://github.com/Devsoc-BPGC/DoJMA", "show")</f>
        <v>show</v>
      </c>
      <c r="H1855" t="str">
        <f>HYPERLINK("https://github.com/Devsoc-BPGC/DoJMA/releases", "show")</f>
        <v>show</v>
      </c>
      <c r="I1855">
        <v>1</v>
      </c>
      <c r="J1855">
        <v>0</v>
      </c>
      <c r="K1855">
        <v>0</v>
      </c>
      <c r="L1855">
        <v>0</v>
      </c>
      <c r="M1855" t="s">
        <v>17</v>
      </c>
    </row>
    <row r="1856" spans="1:13" hidden="1" x14ac:dyDescent="0.15">
      <c r="A1856" t="s">
        <v>5927</v>
      </c>
      <c r="B1856" t="s">
        <v>5928</v>
      </c>
      <c r="C1856" t="s">
        <v>5929</v>
      </c>
      <c r="D1856" t="s">
        <v>5923</v>
      </c>
      <c r="E1856">
        <v>134</v>
      </c>
      <c r="F1856" t="str">
        <f>HYPERLINK("https://github.com/eclipse/paho.mqtt.android/issues/101", "show")</f>
        <v>show</v>
      </c>
      <c r="G1856" t="str">
        <f>HYPERLINK("https://github.com/eclipse/paho.mqtt.android", "show")</f>
        <v>show</v>
      </c>
      <c r="H1856" t="str">
        <f>HYPERLINK("https://github.com/eclipse/paho.mqtt.android/releases", "show")</f>
        <v>show</v>
      </c>
      <c r="I1856">
        <v>1</v>
      </c>
      <c r="J1856">
        <v>0</v>
      </c>
      <c r="K1856">
        <v>0</v>
      </c>
      <c r="L1856">
        <v>0</v>
      </c>
      <c r="M1856" t="s">
        <v>17</v>
      </c>
    </row>
    <row r="1857" spans="1:13" hidden="1" x14ac:dyDescent="0.15">
      <c r="A1857" t="s">
        <v>5930</v>
      </c>
      <c r="B1857" t="s">
        <v>5931</v>
      </c>
      <c r="C1857" t="s">
        <v>5932</v>
      </c>
      <c r="D1857" t="s">
        <v>5923</v>
      </c>
      <c r="E1857">
        <v>11</v>
      </c>
      <c r="F1857" t="str">
        <f>HYPERLINK("https://github.com/gearvrf/GearVRf-Demos/issues/256", "show")</f>
        <v>show</v>
      </c>
      <c r="G1857" t="str">
        <f>HYPERLINK("https://github.com/gearvrf/GearVRf-Demos", "show")</f>
        <v>show</v>
      </c>
      <c r="H1857" t="str">
        <f>HYPERLINK("https://github.com/gearvrf/GearVRf-Demos/releases", "show")</f>
        <v>show</v>
      </c>
      <c r="I1857">
        <v>0</v>
      </c>
      <c r="J1857">
        <v>0</v>
      </c>
      <c r="K1857">
        <v>0</v>
      </c>
      <c r="L1857">
        <v>0</v>
      </c>
      <c r="M1857" t="s">
        <v>43</v>
      </c>
    </row>
    <row r="1858" spans="1:13" hidden="1" x14ac:dyDescent="0.15">
      <c r="A1858" t="s">
        <v>5933</v>
      </c>
      <c r="B1858" t="s">
        <v>5934</v>
      </c>
      <c r="C1858" t="s">
        <v>5935</v>
      </c>
      <c r="D1858" t="s">
        <v>5936</v>
      </c>
      <c r="E1858">
        <v>2</v>
      </c>
      <c r="F1858" t="str">
        <f>HYPERLINK("https://github.com/nextcloud/android/issues/138", "show")</f>
        <v>show</v>
      </c>
      <c r="G1858" t="str">
        <f>HYPERLINK("https://github.com/nextcloud/android", "show")</f>
        <v>show</v>
      </c>
      <c r="H1858" t="str">
        <f>HYPERLINK("https://github.com/nextcloud/android/releases", "show")</f>
        <v>show</v>
      </c>
      <c r="I1858">
        <v>1</v>
      </c>
      <c r="J1858">
        <v>0</v>
      </c>
      <c r="K1858">
        <v>0</v>
      </c>
      <c r="L1858">
        <v>0</v>
      </c>
      <c r="M1858" t="s">
        <v>17</v>
      </c>
    </row>
    <row r="1859" spans="1:13" hidden="1" x14ac:dyDescent="0.15">
      <c r="A1859" t="s">
        <v>5937</v>
      </c>
      <c r="B1859" t="s">
        <v>5938</v>
      </c>
      <c r="C1859" t="s">
        <v>5939</v>
      </c>
      <c r="D1859" t="s">
        <v>5940</v>
      </c>
      <c r="E1859">
        <v>34</v>
      </c>
      <c r="F1859" t="str">
        <f>HYPERLINK("https://github.com/Gericop/Android-Support-Preference-V7-Fix/issues/29", "show")</f>
        <v>show</v>
      </c>
      <c r="G1859" t="str">
        <f>HYPERLINK("https://github.com/Gericop/Android-Support-Preference-V7-Fix", "show")</f>
        <v>show</v>
      </c>
      <c r="H1859" t="str">
        <f>HYPERLINK("https://github.com/Gericop/Android-Support-Preference-V7-Fix/releases", "show")</f>
        <v>show</v>
      </c>
      <c r="I1859">
        <v>1</v>
      </c>
      <c r="J1859">
        <v>0</v>
      </c>
      <c r="K1859">
        <v>1</v>
      </c>
      <c r="L1859">
        <v>0</v>
      </c>
      <c r="M1859" t="s">
        <v>64</v>
      </c>
    </row>
    <row r="1860" spans="1:13" hidden="1" x14ac:dyDescent="0.15">
      <c r="A1860" t="s">
        <v>5941</v>
      </c>
      <c r="B1860" t="s">
        <v>5942</v>
      </c>
      <c r="C1860" t="s">
        <v>5943</v>
      </c>
      <c r="D1860" t="s">
        <v>5940</v>
      </c>
      <c r="E1860">
        <v>3</v>
      </c>
      <c r="F1860" t="str">
        <f>HYPERLINK("https://github.com/h6ah4i/android-tablayouthelper/issues/8", "show")</f>
        <v>show</v>
      </c>
      <c r="G1860" t="str">
        <f>HYPERLINK("https://github.com/h6ah4i/android-tablayouthelper", "show")</f>
        <v>show</v>
      </c>
      <c r="H1860" t="str">
        <f>HYPERLINK("https://github.com/h6ah4i/android-tablayouthelper/releases", "show")</f>
        <v>show</v>
      </c>
      <c r="I1860">
        <v>0</v>
      </c>
      <c r="J1860">
        <v>0</v>
      </c>
      <c r="K1860">
        <v>1</v>
      </c>
      <c r="L1860">
        <v>0</v>
      </c>
      <c r="M1860" t="s">
        <v>122</v>
      </c>
    </row>
    <row r="1861" spans="1:13" hidden="1" x14ac:dyDescent="0.15">
      <c r="A1861" t="s">
        <v>5944</v>
      </c>
      <c r="B1861" t="s">
        <v>5945</v>
      </c>
      <c r="C1861" t="s">
        <v>5946</v>
      </c>
      <c r="D1861" t="s">
        <v>5940</v>
      </c>
      <c r="E1861">
        <v>1</v>
      </c>
      <c r="F1861" t="str">
        <f>HYPERLINK("https://github.com/omkarmoghe/Pokemap/issues/7", "show")</f>
        <v>show</v>
      </c>
      <c r="G1861" t="str">
        <f>HYPERLINK("https://github.com/omkarmoghe/Pokemap", "show")</f>
        <v>show</v>
      </c>
      <c r="H1861" t="str">
        <f>HYPERLINK("https://github.com/omkarmoghe/Pokemap/releases", "show")</f>
        <v>show</v>
      </c>
      <c r="I1861">
        <v>1</v>
      </c>
      <c r="J1861">
        <v>0</v>
      </c>
      <c r="K1861">
        <v>0</v>
      </c>
      <c r="L1861">
        <v>0</v>
      </c>
      <c r="M1861" t="s">
        <v>17</v>
      </c>
    </row>
    <row r="1862" spans="1:13" hidden="1" x14ac:dyDescent="0.15">
      <c r="A1862" t="s">
        <v>5947</v>
      </c>
      <c r="B1862" t="s">
        <v>5948</v>
      </c>
      <c r="C1862" t="s">
        <v>5949</v>
      </c>
      <c r="D1862" t="s">
        <v>5940</v>
      </c>
      <c r="E1862">
        <v>0</v>
      </c>
      <c r="F1862" t="str">
        <f>HYPERLINK("https://github.com/omkarmoghe/Pokemap/issues/1", "show")</f>
        <v>show</v>
      </c>
      <c r="G1862" t="str">
        <f>HYPERLINK("https://github.com/omkarmoghe/Pokemap", "show")</f>
        <v>show</v>
      </c>
      <c r="H1862" t="str">
        <f>HYPERLINK("https://github.com/omkarmoghe/Pokemap/releases", "show")</f>
        <v>show</v>
      </c>
      <c r="I1862">
        <v>0</v>
      </c>
      <c r="J1862">
        <v>0</v>
      </c>
      <c r="K1862">
        <v>0</v>
      </c>
      <c r="L1862">
        <v>0</v>
      </c>
      <c r="M1862" t="s">
        <v>43</v>
      </c>
    </row>
    <row r="1863" spans="1:13" hidden="1" x14ac:dyDescent="0.15">
      <c r="A1863" t="s">
        <v>5950</v>
      </c>
      <c r="B1863" t="s">
        <v>5951</v>
      </c>
      <c r="C1863" t="s">
        <v>5952</v>
      </c>
      <c r="D1863" t="s">
        <v>5940</v>
      </c>
      <c r="E1863">
        <v>0</v>
      </c>
      <c r="F1863" t="str">
        <f>HYPERLINK("https://github.com/commons-app/apps-android-commons/issues/197", "show")</f>
        <v>show</v>
      </c>
      <c r="G1863" t="str">
        <f>HYPERLINK("https://github.com/commons-app/apps-android-commons", "show")</f>
        <v>show</v>
      </c>
      <c r="H1863" t="str">
        <f>HYPERLINK("https://github.com/commons-app/apps-android-commons/releases", "show")</f>
        <v>show</v>
      </c>
      <c r="I1863">
        <v>0</v>
      </c>
      <c r="J1863">
        <v>0</v>
      </c>
      <c r="K1863">
        <v>1</v>
      </c>
      <c r="L1863">
        <v>0</v>
      </c>
      <c r="M1863" t="s">
        <v>122</v>
      </c>
    </row>
    <row r="1864" spans="1:13" hidden="1" x14ac:dyDescent="0.15">
      <c r="A1864" t="s">
        <v>5953</v>
      </c>
      <c r="B1864" t="s">
        <v>5954</v>
      </c>
      <c r="C1864" t="s">
        <v>5955</v>
      </c>
      <c r="D1864" t="s">
        <v>5940</v>
      </c>
      <c r="E1864">
        <v>22</v>
      </c>
      <c r="F1864" t="str">
        <f>HYPERLINK("https://github.com/Devsoc-BPGC/DoJMA/issues/22", "show")</f>
        <v>show</v>
      </c>
      <c r="G1864" t="str">
        <f>HYPERLINK("https://github.com/Devsoc-BPGC/DoJMA", "show")</f>
        <v>show</v>
      </c>
      <c r="H1864" t="str">
        <f>HYPERLINK("https://github.com/Devsoc-BPGC/DoJMA/releases", "show")</f>
        <v>show</v>
      </c>
      <c r="I1864">
        <v>1</v>
      </c>
      <c r="J1864">
        <v>0</v>
      </c>
      <c r="K1864">
        <v>0</v>
      </c>
      <c r="L1864">
        <v>0</v>
      </c>
      <c r="M1864" t="s">
        <v>17</v>
      </c>
    </row>
    <row r="1865" spans="1:13" hidden="1" x14ac:dyDescent="0.15">
      <c r="A1865" t="s">
        <v>5956</v>
      </c>
      <c r="B1865" t="s">
        <v>5957</v>
      </c>
      <c r="D1865" t="s">
        <v>5958</v>
      </c>
      <c r="E1865">
        <v>9</v>
      </c>
      <c r="F1865" t="str">
        <f>HYPERLINK("https://github.com/samarthd/FutureMessengerApp/issues/20", "show")</f>
        <v>show</v>
      </c>
      <c r="G1865" t="str">
        <f>HYPERLINK("https://github.com/samarthd/FutureMessengerApp", "show")</f>
        <v>show</v>
      </c>
      <c r="H1865" t="str">
        <f>HYPERLINK("https://github.com/samarthd/FutureMessengerApp/releases", "show")</f>
        <v>show</v>
      </c>
      <c r="I1865">
        <v>1</v>
      </c>
      <c r="J1865">
        <v>0</v>
      </c>
      <c r="K1865">
        <v>0</v>
      </c>
      <c r="L1865">
        <v>0</v>
      </c>
      <c r="M1865" t="s">
        <v>17</v>
      </c>
    </row>
    <row r="1866" spans="1:13" hidden="1" x14ac:dyDescent="0.15">
      <c r="A1866" t="s">
        <v>5959</v>
      </c>
      <c r="B1866" t="s">
        <v>5960</v>
      </c>
      <c r="C1866" t="s">
        <v>5961</v>
      </c>
      <c r="D1866" t="s">
        <v>5962</v>
      </c>
      <c r="E1866">
        <v>16</v>
      </c>
      <c r="F1866" t="str">
        <f>HYPERLINK("https://github.com/nbossard/packlist/issues/42", "show")</f>
        <v>show</v>
      </c>
      <c r="G1866" t="str">
        <f>HYPERLINK("https://github.com/nbossard/packlist", "show")</f>
        <v>show</v>
      </c>
      <c r="H1866" t="str">
        <f>HYPERLINK("https://github.com/nbossard/packlist/releases", "show")</f>
        <v>show</v>
      </c>
      <c r="I1866">
        <v>1</v>
      </c>
      <c r="J1866">
        <v>0</v>
      </c>
      <c r="K1866">
        <v>0</v>
      </c>
      <c r="L1866">
        <v>0</v>
      </c>
      <c r="M1866" t="s">
        <v>17</v>
      </c>
    </row>
    <row r="1867" spans="1:13" hidden="1" x14ac:dyDescent="0.15">
      <c r="A1867" t="s">
        <v>5963</v>
      </c>
      <c r="B1867" t="s">
        <v>5964</v>
      </c>
      <c r="C1867" t="s">
        <v>5965</v>
      </c>
      <c r="D1867" t="s">
        <v>5962</v>
      </c>
      <c r="E1867">
        <v>59</v>
      </c>
      <c r="F1867" t="str">
        <f>HYPERLINK("https://github.com/ac-pm/Inspeckage/issues/35", "show")</f>
        <v>show</v>
      </c>
      <c r="G1867" t="str">
        <f>HYPERLINK("https://github.com/ac-pm/Inspeckage", "show")</f>
        <v>show</v>
      </c>
      <c r="H1867" t="str">
        <f>HYPERLINK("https://github.com/ac-pm/Inspeckage/releases", "show")</f>
        <v>show</v>
      </c>
      <c r="I1867">
        <v>1</v>
      </c>
      <c r="J1867">
        <v>0</v>
      </c>
      <c r="K1867">
        <v>0</v>
      </c>
      <c r="L1867">
        <v>0</v>
      </c>
      <c r="M1867" t="s">
        <v>17</v>
      </c>
    </row>
    <row r="1868" spans="1:13" hidden="1" x14ac:dyDescent="0.15">
      <c r="A1868" t="s">
        <v>5966</v>
      </c>
      <c r="B1868" t="s">
        <v>5967</v>
      </c>
      <c r="C1868" t="s">
        <v>5968</v>
      </c>
      <c r="D1868" t="s">
        <v>5962</v>
      </c>
      <c r="E1868">
        <v>230</v>
      </c>
      <c r="F1868" t="str">
        <f>HYPERLINK("https://github.com/commons-app/apps-android-commons/issues/204", "show")</f>
        <v>show</v>
      </c>
      <c r="G1868" t="str">
        <f>HYPERLINK("https://github.com/commons-app/apps-android-commons", "show")</f>
        <v>show</v>
      </c>
      <c r="H1868" t="str">
        <f>HYPERLINK("https://github.com/commons-app/apps-android-commons/releases", "show")</f>
        <v>show</v>
      </c>
      <c r="I1868">
        <v>1</v>
      </c>
      <c r="J1868">
        <v>0</v>
      </c>
      <c r="K1868">
        <v>0</v>
      </c>
      <c r="L1868">
        <v>0</v>
      </c>
      <c r="M1868" t="s">
        <v>17</v>
      </c>
    </row>
    <row r="1869" spans="1:13" hidden="1" x14ac:dyDescent="0.15">
      <c r="A1869" t="s">
        <v>5969</v>
      </c>
      <c r="B1869" t="s">
        <v>5970</v>
      </c>
      <c r="C1869" t="s">
        <v>5971</v>
      </c>
      <c r="D1869" t="s">
        <v>5972</v>
      </c>
      <c r="E1869">
        <v>12</v>
      </c>
      <c r="F1869" t="str">
        <f>HYPERLINK("https://github.com/3meters/patchr-android/issues/242", "show")</f>
        <v>show</v>
      </c>
      <c r="G1869" t="str">
        <f>HYPERLINK("https://github.com/3meters/patchr-android", "show")</f>
        <v>show</v>
      </c>
      <c r="H1869" t="str">
        <f>HYPERLINK("https://github.com/3meters/patchr-android/releases", "show")</f>
        <v>show</v>
      </c>
      <c r="I1869">
        <v>1</v>
      </c>
      <c r="J1869">
        <v>0</v>
      </c>
      <c r="K1869">
        <v>1</v>
      </c>
      <c r="L1869">
        <v>0</v>
      </c>
      <c r="M1869" t="s">
        <v>64</v>
      </c>
    </row>
    <row r="1870" spans="1:13" hidden="1" x14ac:dyDescent="0.15">
      <c r="A1870" t="s">
        <v>5973</v>
      </c>
      <c r="B1870" t="s">
        <v>5974</v>
      </c>
      <c r="C1870" t="s">
        <v>5975</v>
      </c>
      <c r="D1870" t="s">
        <v>5972</v>
      </c>
      <c r="E1870">
        <v>1</v>
      </c>
      <c r="F1870" t="str">
        <f>HYPERLINK("https://github.com/omkarmoghe/Pokemap/issues/100", "show")</f>
        <v>show</v>
      </c>
      <c r="G1870" t="str">
        <f>HYPERLINK("https://github.com/omkarmoghe/Pokemap", "show")</f>
        <v>show</v>
      </c>
      <c r="H1870" t="str">
        <f>HYPERLINK("https://github.com/omkarmoghe/Pokemap/releases", "show")</f>
        <v>show</v>
      </c>
      <c r="I1870">
        <v>1</v>
      </c>
      <c r="J1870">
        <v>0</v>
      </c>
      <c r="K1870">
        <v>0</v>
      </c>
      <c r="L1870">
        <v>0</v>
      </c>
      <c r="M1870" t="s">
        <v>17</v>
      </c>
    </row>
    <row r="1871" spans="1:13" hidden="1" x14ac:dyDescent="0.15">
      <c r="A1871" t="s">
        <v>5976</v>
      </c>
      <c r="B1871" t="s">
        <v>5977</v>
      </c>
      <c r="C1871" t="s">
        <v>5978</v>
      </c>
      <c r="D1871" t="s">
        <v>5979</v>
      </c>
      <c r="E1871">
        <v>104</v>
      </c>
      <c r="F1871" t="str">
        <f>HYPERLINK("https://github.com/requery/requery/issues/232", "show")</f>
        <v>show</v>
      </c>
      <c r="G1871" t="str">
        <f>HYPERLINK("https://github.com/requery/requery", "show")</f>
        <v>show</v>
      </c>
      <c r="H1871" t="str">
        <f>HYPERLINK("https://github.com/requery/requery/releases", "show")</f>
        <v>show</v>
      </c>
      <c r="I1871">
        <v>1</v>
      </c>
      <c r="J1871">
        <v>0</v>
      </c>
      <c r="K1871">
        <v>0</v>
      </c>
      <c r="L1871">
        <v>0</v>
      </c>
      <c r="M1871" t="s">
        <v>17</v>
      </c>
    </row>
    <row r="1872" spans="1:13" hidden="1" x14ac:dyDescent="0.15">
      <c r="A1872" t="s">
        <v>5980</v>
      </c>
      <c r="B1872" t="s">
        <v>5981</v>
      </c>
      <c r="C1872" t="s">
        <v>5982</v>
      </c>
      <c r="D1872" t="s">
        <v>5979</v>
      </c>
      <c r="E1872">
        <v>111</v>
      </c>
      <c r="F1872" t="str">
        <f>HYPERLINK("https://github.com/square/okhttp/issues/2749", "show")</f>
        <v>show</v>
      </c>
      <c r="G1872" t="str">
        <f>HYPERLINK("https://github.com/square/okhttp", "show")</f>
        <v>show</v>
      </c>
      <c r="H1872" t="str">
        <f>HYPERLINK("https://github.com/square/okhttp/releases", "show")</f>
        <v>show</v>
      </c>
      <c r="I1872">
        <v>0</v>
      </c>
      <c r="J1872">
        <v>0</v>
      </c>
      <c r="K1872">
        <v>1</v>
      </c>
      <c r="L1872">
        <v>0</v>
      </c>
      <c r="M1872" t="s">
        <v>122</v>
      </c>
    </row>
    <row r="1873" spans="1:13" hidden="1" x14ac:dyDescent="0.15">
      <c r="A1873" t="s">
        <v>5983</v>
      </c>
      <c r="B1873" t="s">
        <v>5984</v>
      </c>
      <c r="C1873" t="s">
        <v>5985</v>
      </c>
      <c r="D1873" t="s">
        <v>5979</v>
      </c>
      <c r="E1873">
        <v>2</v>
      </c>
      <c r="F1873" t="str">
        <f>HYPERLINK("https://github.com/omkarmoghe/Pokemap/issues/131", "show")</f>
        <v>show</v>
      </c>
      <c r="G1873" t="str">
        <f>HYPERLINK("https://github.com/omkarmoghe/Pokemap", "show")</f>
        <v>show</v>
      </c>
      <c r="H1873" t="str">
        <f>HYPERLINK("https://github.com/omkarmoghe/Pokemap/releases", "show")</f>
        <v>show</v>
      </c>
      <c r="I1873">
        <v>1</v>
      </c>
      <c r="J1873">
        <v>0</v>
      </c>
      <c r="K1873">
        <v>1</v>
      </c>
      <c r="L1873">
        <v>0</v>
      </c>
      <c r="M1873" t="s">
        <v>64</v>
      </c>
    </row>
    <row r="1874" spans="1:13" hidden="1" x14ac:dyDescent="0.15">
      <c r="A1874" t="s">
        <v>5986</v>
      </c>
      <c r="B1874" t="s">
        <v>5987</v>
      </c>
      <c r="C1874" t="s">
        <v>5988</v>
      </c>
      <c r="D1874" t="s">
        <v>5979</v>
      </c>
      <c r="E1874">
        <v>0</v>
      </c>
      <c r="F1874" t="str">
        <f>HYPERLINK("https://github.com/barteksc/AndroidPdfViewer/issues/43", "show")</f>
        <v>show</v>
      </c>
      <c r="G1874" t="str">
        <f>HYPERLINK("https://github.com/barteksc/AndroidPdfViewer", "show")</f>
        <v>show</v>
      </c>
      <c r="H1874" t="str">
        <f>HYPERLINK("https://github.com/barteksc/AndroidPdfViewer/releases", "show")</f>
        <v>show</v>
      </c>
      <c r="I1874">
        <v>1</v>
      </c>
      <c r="J1874">
        <v>0</v>
      </c>
      <c r="K1874">
        <v>1</v>
      </c>
      <c r="L1874">
        <v>0</v>
      </c>
      <c r="M1874" t="s">
        <v>64</v>
      </c>
    </row>
    <row r="1875" spans="1:13" hidden="1" x14ac:dyDescent="0.15">
      <c r="A1875" t="s">
        <v>5989</v>
      </c>
      <c r="B1875" t="s">
        <v>5990</v>
      </c>
      <c r="C1875" t="s">
        <v>5991</v>
      </c>
      <c r="D1875" t="s">
        <v>5992</v>
      </c>
      <c r="E1875">
        <v>237</v>
      </c>
      <c r="F1875" t="str">
        <f>HYPERLINK("https://github.com/Freeyourgadget/Gadgetbridge/issues/364", "show")</f>
        <v>show</v>
      </c>
      <c r="G1875" t="str">
        <f>HYPERLINK("https://github.com/Freeyourgadget/Gadgetbridge", "show")</f>
        <v>show</v>
      </c>
      <c r="H1875" t="str">
        <f>HYPERLINK("https://github.com/Freeyourgadget/Gadgetbridge/releases", "show")</f>
        <v>show</v>
      </c>
      <c r="I1875">
        <v>0</v>
      </c>
      <c r="J1875">
        <v>0</v>
      </c>
      <c r="K1875">
        <v>0</v>
      </c>
      <c r="L1875">
        <v>0</v>
      </c>
      <c r="M1875" t="s">
        <v>43</v>
      </c>
    </row>
    <row r="1876" spans="1:13" hidden="1" x14ac:dyDescent="0.15">
      <c r="A1876" t="s">
        <v>5993</v>
      </c>
      <c r="B1876" t="s">
        <v>5994</v>
      </c>
      <c r="C1876" t="s">
        <v>5995</v>
      </c>
      <c r="D1876" t="s">
        <v>5992</v>
      </c>
      <c r="E1876">
        <v>1</v>
      </c>
      <c r="F1876" t="str">
        <f>HYPERLINK("https://github.com/marverenic/Jockey/issues/102", "show")</f>
        <v>show</v>
      </c>
      <c r="G1876" t="str">
        <f>HYPERLINK("https://github.com/marverenic/Jockey", "show")</f>
        <v>show</v>
      </c>
      <c r="H1876" t="str">
        <f>HYPERLINK("https://github.com/marverenic/Jockey/releases", "show")</f>
        <v>show</v>
      </c>
      <c r="I1876">
        <v>0</v>
      </c>
      <c r="J1876">
        <v>0</v>
      </c>
      <c r="K1876">
        <v>0</v>
      </c>
      <c r="L1876">
        <v>0</v>
      </c>
      <c r="M1876" t="s">
        <v>43</v>
      </c>
    </row>
    <row r="1877" spans="1:13" hidden="1" x14ac:dyDescent="0.15">
      <c r="A1877" t="s">
        <v>5996</v>
      </c>
      <c r="B1877" t="s">
        <v>5997</v>
      </c>
      <c r="C1877" t="s">
        <v>5998</v>
      </c>
      <c r="D1877" t="s">
        <v>5992</v>
      </c>
      <c r="E1877">
        <v>190</v>
      </c>
      <c r="F1877" t="str">
        <f>HYPERLINK("https://github.com/ludomuse/Ludomuse/issues/19", "show")</f>
        <v>show</v>
      </c>
      <c r="G1877" t="str">
        <f>HYPERLINK("https://github.com/ludomuse/Ludomuse", "show")</f>
        <v>show</v>
      </c>
      <c r="H1877" t="str">
        <f>HYPERLINK("https://github.com/ludomuse/Ludomuse/releases", "show")</f>
        <v>show</v>
      </c>
      <c r="I1877">
        <v>1</v>
      </c>
      <c r="J1877">
        <v>0</v>
      </c>
      <c r="K1877">
        <v>0</v>
      </c>
      <c r="L1877">
        <v>0</v>
      </c>
      <c r="M1877" t="s">
        <v>17</v>
      </c>
    </row>
    <row r="1878" spans="1:13" hidden="1" x14ac:dyDescent="0.15">
      <c r="A1878" t="s">
        <v>5999</v>
      </c>
      <c r="B1878" t="s">
        <v>6000</v>
      </c>
      <c r="C1878" t="s">
        <v>6001</v>
      </c>
      <c r="D1878" t="s">
        <v>6002</v>
      </c>
      <c r="E1878">
        <v>478</v>
      </c>
      <c r="F1878" t="str">
        <f>HYPERLINK("https://github.com/commons-app/apps-android-commons/issues/211", "show")</f>
        <v>show</v>
      </c>
      <c r="G1878" t="str">
        <f>HYPERLINK("https://github.com/commons-app/apps-android-commons", "show")</f>
        <v>show</v>
      </c>
      <c r="H1878" t="str">
        <f>HYPERLINK("https://github.com/commons-app/apps-android-commons/releases", "show")</f>
        <v>show</v>
      </c>
      <c r="I1878">
        <v>1</v>
      </c>
      <c r="J1878">
        <v>0</v>
      </c>
      <c r="K1878">
        <v>1</v>
      </c>
      <c r="L1878">
        <v>0</v>
      </c>
      <c r="M1878" t="s">
        <v>64</v>
      </c>
    </row>
    <row r="1879" spans="1:13" hidden="1" x14ac:dyDescent="0.15">
      <c r="A1879" t="s">
        <v>6003</v>
      </c>
      <c r="B1879" t="s">
        <v>6004</v>
      </c>
      <c r="C1879" t="s">
        <v>6005</v>
      </c>
      <c r="D1879" t="s">
        <v>6006</v>
      </c>
      <c r="E1879">
        <v>434</v>
      </c>
      <c r="F1879" t="str">
        <f>HYPERLINK("https://github.com/aws-amplify/aws-sdk-android/issues/182", "show")</f>
        <v>show</v>
      </c>
      <c r="G1879" t="str">
        <f>HYPERLINK("https://github.com/aws-amplify/aws-sdk-android", "show")</f>
        <v>show</v>
      </c>
      <c r="H1879" t="str">
        <f>HYPERLINK("https://github.com/aws-amplify/aws-sdk-android/releases", "show")</f>
        <v>show</v>
      </c>
      <c r="I1879">
        <v>1</v>
      </c>
      <c r="J1879">
        <v>0</v>
      </c>
      <c r="K1879">
        <v>0</v>
      </c>
      <c r="L1879">
        <v>0</v>
      </c>
      <c r="M1879" t="s">
        <v>17</v>
      </c>
    </row>
    <row r="1880" spans="1:13" hidden="1" x14ac:dyDescent="0.15">
      <c r="A1880" t="s">
        <v>6007</v>
      </c>
      <c r="B1880" t="s">
        <v>6008</v>
      </c>
      <c r="C1880" t="s">
        <v>6009</v>
      </c>
      <c r="D1880" t="s">
        <v>6006</v>
      </c>
      <c r="E1880">
        <v>1</v>
      </c>
      <c r="F1880" t="str">
        <f>HYPERLINK("https://github.com/omkarmoghe/Pokemap/issues/300", "show")</f>
        <v>show</v>
      </c>
      <c r="G1880" t="str">
        <f>HYPERLINK("https://github.com/omkarmoghe/Pokemap", "show")</f>
        <v>show</v>
      </c>
      <c r="H1880" t="str">
        <f>HYPERLINK("https://github.com/omkarmoghe/Pokemap/releases", "show")</f>
        <v>show</v>
      </c>
      <c r="I1880">
        <v>1</v>
      </c>
      <c r="J1880">
        <v>0</v>
      </c>
      <c r="K1880">
        <v>1</v>
      </c>
      <c r="L1880">
        <v>0</v>
      </c>
      <c r="M1880" t="s">
        <v>64</v>
      </c>
    </row>
    <row r="1881" spans="1:13" hidden="1" x14ac:dyDescent="0.15">
      <c r="A1881" t="s">
        <v>6010</v>
      </c>
      <c r="B1881" t="s">
        <v>6011</v>
      </c>
      <c r="C1881" t="s">
        <v>6012</v>
      </c>
      <c r="D1881" t="s">
        <v>6013</v>
      </c>
      <c r="E1881">
        <v>5</v>
      </c>
      <c r="F1881" t="str">
        <f>HYPERLINK("https://github.com/QuantumBadger/RedReader/issues/360", "show")</f>
        <v>show</v>
      </c>
      <c r="G1881" t="str">
        <f>HYPERLINK("https://github.com/QuantumBadger/RedReader", "show")</f>
        <v>show</v>
      </c>
      <c r="H1881" t="str">
        <f>HYPERLINK("https://github.com/QuantumBadger/RedReader/releases", "show")</f>
        <v>show</v>
      </c>
      <c r="I1881">
        <v>1</v>
      </c>
      <c r="J1881">
        <v>0</v>
      </c>
      <c r="K1881">
        <v>0</v>
      </c>
      <c r="L1881">
        <v>0</v>
      </c>
      <c r="M1881" t="s">
        <v>17</v>
      </c>
    </row>
    <row r="1882" spans="1:13" hidden="1" x14ac:dyDescent="0.15">
      <c r="A1882" t="s">
        <v>6014</v>
      </c>
      <c r="B1882" t="s">
        <v>6015</v>
      </c>
      <c r="C1882" t="s">
        <v>6016</v>
      </c>
      <c r="D1882" t="s">
        <v>6013</v>
      </c>
      <c r="E1882">
        <v>490</v>
      </c>
      <c r="F1882" t="str">
        <f>HYPERLINK("https://github.com/kartaview/android/issues/10", "show")</f>
        <v>show</v>
      </c>
      <c r="G1882" t="str">
        <f>HYPERLINK("https://github.com/kartaview/android", "show")</f>
        <v>show</v>
      </c>
      <c r="H1882" t="str">
        <f>HYPERLINK("https://github.com/kartaview/android/releases", "show")</f>
        <v>show</v>
      </c>
      <c r="I1882">
        <v>1</v>
      </c>
      <c r="J1882">
        <v>0</v>
      </c>
      <c r="K1882">
        <v>0</v>
      </c>
      <c r="L1882">
        <v>0</v>
      </c>
      <c r="M1882" t="s">
        <v>17</v>
      </c>
    </row>
    <row r="1883" spans="1:13" hidden="1" x14ac:dyDescent="0.15">
      <c r="A1883" t="s">
        <v>6017</v>
      </c>
      <c r="B1883" t="s">
        <v>6018</v>
      </c>
      <c r="C1883" t="s">
        <v>6019</v>
      </c>
      <c r="D1883" t="s">
        <v>6013</v>
      </c>
      <c r="E1883">
        <v>7</v>
      </c>
      <c r="F1883" t="str">
        <f>HYPERLINK("https://github.com/yigit/android-priority-jobqueue/issues/220", "show")</f>
        <v>show</v>
      </c>
      <c r="G1883" t="str">
        <f>HYPERLINK("https://github.com/yigit/android-priority-jobqueue", "show")</f>
        <v>show</v>
      </c>
      <c r="H1883" t="str">
        <f>HYPERLINK("https://github.com/yigit/android-priority-jobqueue/releases", "show")</f>
        <v>show</v>
      </c>
      <c r="I1883">
        <v>1</v>
      </c>
      <c r="J1883">
        <v>0</v>
      </c>
      <c r="K1883">
        <v>1</v>
      </c>
      <c r="L1883">
        <v>0</v>
      </c>
      <c r="M1883" t="s">
        <v>64</v>
      </c>
    </row>
    <row r="1884" spans="1:13" hidden="1" x14ac:dyDescent="0.15">
      <c r="A1884" t="s">
        <v>6020</v>
      </c>
      <c r="B1884" t="s">
        <v>6021</v>
      </c>
      <c r="C1884" t="s">
        <v>6022</v>
      </c>
      <c r="D1884" t="s">
        <v>6013</v>
      </c>
      <c r="E1884">
        <v>7</v>
      </c>
      <c r="F1884" t="str">
        <f>HYPERLINK("https://github.com/kartaview/android/issues/9", "show")</f>
        <v>show</v>
      </c>
      <c r="G1884" t="str">
        <f>HYPERLINK("https://github.com/kartaview/android", "show")</f>
        <v>show</v>
      </c>
      <c r="H1884" t="str">
        <f>HYPERLINK("https://github.com/kartaview/android/releases", "show")</f>
        <v>show</v>
      </c>
      <c r="I1884">
        <v>0</v>
      </c>
      <c r="J1884">
        <v>0</v>
      </c>
      <c r="K1884">
        <v>0</v>
      </c>
      <c r="L1884">
        <v>0</v>
      </c>
      <c r="M1884" t="s">
        <v>43</v>
      </c>
    </row>
    <row r="1885" spans="1:13" hidden="1" x14ac:dyDescent="0.15">
      <c r="A1885" t="s">
        <v>6023</v>
      </c>
      <c r="B1885" t="s">
        <v>6024</v>
      </c>
      <c r="C1885" t="s">
        <v>6025</v>
      </c>
      <c r="D1885" t="s">
        <v>6013</v>
      </c>
      <c r="E1885">
        <v>9</v>
      </c>
      <c r="F1885" t="str">
        <f>HYPERLINK("https://github.com/fenimore/DemocracyDroid/issues/7", "show")</f>
        <v>show</v>
      </c>
      <c r="G1885" t="str">
        <f>HYPERLINK("https://github.com/fenimore/DemocracyDroid", "show")</f>
        <v>show</v>
      </c>
      <c r="H1885" t="str">
        <f>HYPERLINK("https://github.com/fenimore/DemocracyDroid/releases", "show")</f>
        <v>show</v>
      </c>
      <c r="I1885">
        <v>1</v>
      </c>
      <c r="J1885">
        <v>0</v>
      </c>
      <c r="K1885">
        <v>0</v>
      </c>
      <c r="L1885">
        <v>0</v>
      </c>
      <c r="M1885" t="s">
        <v>17</v>
      </c>
    </row>
    <row r="1886" spans="1:13" hidden="1" x14ac:dyDescent="0.15">
      <c r="A1886" t="s">
        <v>6026</v>
      </c>
      <c r="B1886" t="s">
        <v>6027</v>
      </c>
      <c r="C1886" t="s">
        <v>6028</v>
      </c>
      <c r="D1886" t="s">
        <v>6029</v>
      </c>
      <c r="E1886">
        <v>30</v>
      </c>
      <c r="F1886" t="str">
        <f>HYPERLINK("https://github.com/coomar2841/android-multipicker-library/issues/44", "show")</f>
        <v>show</v>
      </c>
      <c r="G1886" t="str">
        <f>HYPERLINK("https://github.com/coomar2841/android-multipicker-library", "show")</f>
        <v>show</v>
      </c>
      <c r="H1886" t="str">
        <f>HYPERLINK("https://github.com/coomar2841/android-multipicker-library/releases", "show")</f>
        <v>show</v>
      </c>
      <c r="I1886">
        <v>0</v>
      </c>
      <c r="J1886">
        <v>0</v>
      </c>
      <c r="K1886">
        <v>0</v>
      </c>
      <c r="L1886">
        <v>0</v>
      </c>
      <c r="M1886" t="s">
        <v>43</v>
      </c>
    </row>
    <row r="1887" spans="1:13" hidden="1" x14ac:dyDescent="0.15">
      <c r="A1887" t="s">
        <v>6030</v>
      </c>
      <c r="B1887" t="s">
        <v>6031</v>
      </c>
      <c r="C1887" t="s">
        <v>6032</v>
      </c>
      <c r="D1887" t="s">
        <v>6029</v>
      </c>
      <c r="E1887">
        <v>0</v>
      </c>
      <c r="F1887" t="str">
        <f>HYPERLINK("https://github.com/Beamanator/Ulti-Mate/issues/68", "show")</f>
        <v>show</v>
      </c>
      <c r="G1887" t="str">
        <f>HYPERLINK("https://github.com/Beamanator/Ulti-Mate", "show")</f>
        <v>show</v>
      </c>
      <c r="H1887" t="str">
        <f>HYPERLINK("https://github.com/Beamanator/Ulti-Mate/releases", "show")</f>
        <v>show</v>
      </c>
      <c r="I1887">
        <v>1</v>
      </c>
      <c r="J1887">
        <v>1</v>
      </c>
      <c r="K1887">
        <v>0</v>
      </c>
      <c r="L1887">
        <v>0</v>
      </c>
      <c r="M1887" t="s">
        <v>48</v>
      </c>
    </row>
    <row r="1888" spans="1:13" hidden="1" x14ac:dyDescent="0.15">
      <c r="A1888" t="s">
        <v>6033</v>
      </c>
      <c r="B1888" t="s">
        <v>6034</v>
      </c>
      <c r="C1888" t="s">
        <v>6035</v>
      </c>
      <c r="D1888" t="s">
        <v>6029</v>
      </c>
      <c r="E1888">
        <v>49</v>
      </c>
      <c r="F1888" t="str">
        <f>HYPERLINK("https://github.com/nitaliano/react-native-mapbox-gl/issues/394", "show")</f>
        <v>show</v>
      </c>
      <c r="G1888" t="str">
        <f>HYPERLINK("https://github.com/nitaliano/react-native-mapbox-gl", "show")</f>
        <v>show</v>
      </c>
      <c r="H1888" t="str">
        <f>HYPERLINK("https://github.com/nitaliano/react-native-mapbox-gl/releases", "show")</f>
        <v>show</v>
      </c>
      <c r="I1888">
        <v>1</v>
      </c>
      <c r="J1888">
        <v>0</v>
      </c>
      <c r="K1888">
        <v>0</v>
      </c>
      <c r="L1888">
        <v>0</v>
      </c>
      <c r="M1888" t="s">
        <v>17</v>
      </c>
    </row>
    <row r="1889" spans="1:13" hidden="1" x14ac:dyDescent="0.15">
      <c r="A1889" t="s">
        <v>6036</v>
      </c>
      <c r="B1889" t="s">
        <v>5133</v>
      </c>
      <c r="C1889" t="s">
        <v>6037</v>
      </c>
      <c r="D1889" t="s">
        <v>6029</v>
      </c>
      <c r="E1889">
        <v>17</v>
      </c>
      <c r="F1889" t="str">
        <f>HYPERLINK("https://github.com/tera-insights/2Q2R-android/issues/5", "show")</f>
        <v>show</v>
      </c>
      <c r="G1889" t="str">
        <f>HYPERLINK("https://github.com/tera-insights/2Q2R-android", "show")</f>
        <v>show</v>
      </c>
      <c r="H1889" t="str">
        <f>HYPERLINK("https://github.com/tera-insights/2Q2R-android/releases", "show")</f>
        <v>show</v>
      </c>
      <c r="I1889">
        <v>0</v>
      </c>
      <c r="J1889">
        <v>0</v>
      </c>
      <c r="K1889">
        <v>0</v>
      </c>
      <c r="L1889">
        <v>0</v>
      </c>
      <c r="M1889" t="s">
        <v>43</v>
      </c>
    </row>
    <row r="1890" spans="1:13" hidden="1" x14ac:dyDescent="0.15">
      <c r="A1890" t="s">
        <v>6038</v>
      </c>
      <c r="B1890" t="s">
        <v>6039</v>
      </c>
      <c r="C1890" t="s">
        <v>6040</v>
      </c>
      <c r="D1890" t="s">
        <v>6029</v>
      </c>
      <c r="E1890">
        <v>30</v>
      </c>
      <c r="F1890" t="str">
        <f>HYPERLINK("https://github.com/Dimezis/BlurView/issues/22", "show")</f>
        <v>show</v>
      </c>
      <c r="G1890" t="str">
        <f>HYPERLINK("https://github.com/Dimezis/BlurView", "show")</f>
        <v>show</v>
      </c>
      <c r="H1890" t="str">
        <f>HYPERLINK("https://github.com/Dimezis/BlurView/releases", "show")</f>
        <v>show</v>
      </c>
      <c r="I1890">
        <v>0</v>
      </c>
      <c r="J1890">
        <v>0</v>
      </c>
      <c r="K1890">
        <v>1</v>
      </c>
      <c r="L1890">
        <v>0</v>
      </c>
      <c r="M1890" t="s">
        <v>122</v>
      </c>
    </row>
    <row r="1891" spans="1:13" hidden="1" x14ac:dyDescent="0.15">
      <c r="A1891" t="s">
        <v>6041</v>
      </c>
      <c r="B1891" t="s">
        <v>6042</v>
      </c>
      <c r="C1891" t="s">
        <v>6043</v>
      </c>
      <c r="D1891" t="s">
        <v>6029</v>
      </c>
      <c r="E1891">
        <v>784</v>
      </c>
      <c r="F1891" t="str">
        <f>HYPERLINK("https://github.com/react-native-camera/react-native-camera/issues/357", "show")</f>
        <v>show</v>
      </c>
      <c r="G1891" t="str">
        <f>HYPERLINK("https://github.com/react-native-camera/react-native-camera", "show")</f>
        <v>show</v>
      </c>
      <c r="H1891" t="str">
        <f>HYPERLINK("https://github.com/react-native-camera/react-native-camera/releases", "show")</f>
        <v>show</v>
      </c>
      <c r="I1891">
        <v>1</v>
      </c>
      <c r="J1891">
        <v>0</v>
      </c>
      <c r="K1891">
        <v>1</v>
      </c>
      <c r="L1891">
        <v>0</v>
      </c>
      <c r="M1891" t="s">
        <v>64</v>
      </c>
    </row>
    <row r="1892" spans="1:13" hidden="1" x14ac:dyDescent="0.15">
      <c r="A1892" t="s">
        <v>6044</v>
      </c>
      <c r="B1892" t="s">
        <v>6045</v>
      </c>
      <c r="C1892" t="s">
        <v>6046</v>
      </c>
      <c r="D1892" t="s">
        <v>6029</v>
      </c>
      <c r="E1892">
        <v>3</v>
      </c>
      <c r="F1892" t="str">
        <f>HYPERLINK("https://github.com/lingochamp/FileDownloader/issues/243", "show")</f>
        <v>show</v>
      </c>
      <c r="G1892" t="str">
        <f>HYPERLINK("https://github.com/lingochamp/FileDownloader", "show")</f>
        <v>show</v>
      </c>
      <c r="H1892" t="str">
        <f>HYPERLINK("https://github.com/lingochamp/FileDownloader/releases", "show")</f>
        <v>show</v>
      </c>
      <c r="I1892">
        <v>0</v>
      </c>
      <c r="J1892">
        <v>0</v>
      </c>
      <c r="K1892">
        <v>1</v>
      </c>
      <c r="L1892">
        <v>0</v>
      </c>
      <c r="M1892" t="s">
        <v>122</v>
      </c>
    </row>
    <row r="1893" spans="1:13" hidden="1" x14ac:dyDescent="0.15">
      <c r="A1893" t="s">
        <v>6047</v>
      </c>
      <c r="B1893" t="s">
        <v>6048</v>
      </c>
      <c r="C1893" t="s">
        <v>6049</v>
      </c>
      <c r="D1893" t="s">
        <v>6050</v>
      </c>
      <c r="E1893">
        <v>1</v>
      </c>
      <c r="F1893" t="str">
        <f>HYPERLINK("https://github.com/OneBusAway/onebusaway-android/issues/649", "show")</f>
        <v>show</v>
      </c>
      <c r="G1893" t="str">
        <f>HYPERLINK("https://github.com/OneBusAway/onebusaway-android", "show")</f>
        <v>show</v>
      </c>
      <c r="H1893" t="str">
        <f>HYPERLINK("https://github.com/OneBusAway/onebusaway-android/releases", "show")</f>
        <v>show</v>
      </c>
      <c r="I1893">
        <v>1</v>
      </c>
      <c r="J1893">
        <v>1</v>
      </c>
      <c r="K1893">
        <v>0</v>
      </c>
      <c r="L1893">
        <v>0</v>
      </c>
      <c r="M1893" t="s">
        <v>48</v>
      </c>
    </row>
    <row r="1894" spans="1:13" hidden="1" x14ac:dyDescent="0.15">
      <c r="A1894" t="s">
        <v>6051</v>
      </c>
      <c r="B1894" t="s">
        <v>6052</v>
      </c>
      <c r="C1894" t="s">
        <v>6053</v>
      </c>
      <c r="D1894" t="s">
        <v>6050</v>
      </c>
      <c r="E1894">
        <v>0</v>
      </c>
      <c r="F1894" t="str">
        <f>HYPERLINK("https://github.com/3meters/patchr-android/issues/244", "show")</f>
        <v>show</v>
      </c>
      <c r="G1894" t="str">
        <f>HYPERLINK("https://github.com/3meters/patchr-android", "show")</f>
        <v>show</v>
      </c>
      <c r="H1894" t="str">
        <f>HYPERLINK("https://github.com/3meters/patchr-android/releases", "show")</f>
        <v>show</v>
      </c>
      <c r="I1894">
        <v>1</v>
      </c>
      <c r="J1894">
        <v>0</v>
      </c>
      <c r="K1894">
        <v>1</v>
      </c>
      <c r="L1894">
        <v>0</v>
      </c>
      <c r="M1894" t="s">
        <v>64</v>
      </c>
    </row>
    <row r="1895" spans="1:13" hidden="1" x14ac:dyDescent="0.15">
      <c r="A1895" t="s">
        <v>6054</v>
      </c>
      <c r="B1895" t="s">
        <v>6055</v>
      </c>
      <c r="C1895" t="s">
        <v>6056</v>
      </c>
      <c r="D1895" t="s">
        <v>6050</v>
      </c>
      <c r="E1895">
        <v>283</v>
      </c>
      <c r="F1895" t="str">
        <f>HYPERLINK("https://github.com/cgeo/cgeo/issues/5874", "show")</f>
        <v>show</v>
      </c>
      <c r="G1895" t="str">
        <f>HYPERLINK("https://github.com/cgeo/cgeo", "show")</f>
        <v>show</v>
      </c>
      <c r="H1895" t="str">
        <f>HYPERLINK("https://github.com/cgeo/cgeo/releases", "show")</f>
        <v>show</v>
      </c>
      <c r="I1895">
        <v>1</v>
      </c>
      <c r="J1895">
        <v>0</v>
      </c>
      <c r="K1895">
        <v>1</v>
      </c>
      <c r="L1895">
        <v>0</v>
      </c>
      <c r="M1895" t="s">
        <v>64</v>
      </c>
    </row>
    <row r="1896" spans="1:13" hidden="1" x14ac:dyDescent="0.15">
      <c r="A1896" t="s">
        <v>6057</v>
      </c>
      <c r="B1896" t="s">
        <v>6058</v>
      </c>
      <c r="C1896" t="s">
        <v>6059</v>
      </c>
      <c r="D1896" t="s">
        <v>6050</v>
      </c>
      <c r="E1896">
        <v>68</v>
      </c>
      <c r="F1896" t="str">
        <f>HYPERLINK("https://github.com/mozilla-magnet/magnet-client/issues/200", "show")</f>
        <v>show</v>
      </c>
      <c r="G1896" t="str">
        <f>HYPERLINK("https://github.com/mozilla-magnet/magnet-client", "show")</f>
        <v>show</v>
      </c>
      <c r="H1896" t="str">
        <f>HYPERLINK("https://github.com/mozilla-magnet/magnet-client/releases", "show")</f>
        <v>show</v>
      </c>
      <c r="I1896">
        <v>1</v>
      </c>
      <c r="J1896">
        <v>0</v>
      </c>
      <c r="K1896">
        <v>0</v>
      </c>
      <c r="L1896">
        <v>0</v>
      </c>
      <c r="M1896" t="s">
        <v>17</v>
      </c>
    </row>
    <row r="1897" spans="1:13" hidden="1" x14ac:dyDescent="0.15">
      <c r="A1897" t="s">
        <v>6060</v>
      </c>
      <c r="B1897" t="s">
        <v>6061</v>
      </c>
      <c r="C1897" t="s">
        <v>6062</v>
      </c>
      <c r="D1897" t="s">
        <v>6063</v>
      </c>
      <c r="E1897">
        <v>0</v>
      </c>
      <c r="F1897" t="str">
        <f>HYPERLINK("https://github.com/UWICompSociety/FSTApp/issues/4", "show")</f>
        <v>show</v>
      </c>
      <c r="G1897" t="str">
        <f>HYPERLINK("https://github.com/UWICompSociety/FSTApp", "show")</f>
        <v>show</v>
      </c>
      <c r="H1897" t="str">
        <f>HYPERLINK("https://github.com/UWICompSociety/FSTApp/releases", "show")</f>
        <v>show</v>
      </c>
      <c r="I1897">
        <v>1</v>
      </c>
      <c r="J1897">
        <v>0</v>
      </c>
      <c r="K1897">
        <v>0</v>
      </c>
      <c r="L1897">
        <v>0</v>
      </c>
      <c r="M1897" t="s">
        <v>17</v>
      </c>
    </row>
    <row r="1898" spans="1:13" hidden="1" x14ac:dyDescent="0.15">
      <c r="A1898" t="s">
        <v>6064</v>
      </c>
      <c r="B1898" t="s">
        <v>6065</v>
      </c>
      <c r="C1898" t="s">
        <v>6066</v>
      </c>
      <c r="D1898" t="s">
        <v>6063</v>
      </c>
      <c r="E1898">
        <v>0</v>
      </c>
      <c r="F1898" t="str">
        <f>HYPERLINK("https://github.com/UWICompSociety/FSTApp/issues/3", "show")</f>
        <v>show</v>
      </c>
      <c r="G1898" t="str">
        <f>HYPERLINK("https://github.com/UWICompSociety/FSTApp", "show")</f>
        <v>show</v>
      </c>
      <c r="H1898" t="str">
        <f>HYPERLINK("https://github.com/UWICompSociety/FSTApp/releases", "show")</f>
        <v>show</v>
      </c>
      <c r="I1898">
        <v>1</v>
      </c>
      <c r="J1898">
        <v>0</v>
      </c>
      <c r="K1898">
        <v>0</v>
      </c>
      <c r="L1898">
        <v>0</v>
      </c>
      <c r="M1898" t="s">
        <v>17</v>
      </c>
    </row>
    <row r="1899" spans="1:13" hidden="1" x14ac:dyDescent="0.15">
      <c r="A1899" t="s">
        <v>6067</v>
      </c>
      <c r="B1899" t="s">
        <v>6068</v>
      </c>
      <c r="C1899" t="s">
        <v>6069</v>
      </c>
      <c r="D1899" t="s">
        <v>6063</v>
      </c>
      <c r="E1899">
        <v>0</v>
      </c>
      <c r="F1899" t="str">
        <f>HYPERLINK("https://github.com/UWICompSociety/FSTApp/issues/2", "show")</f>
        <v>show</v>
      </c>
      <c r="G1899" t="str">
        <f>HYPERLINK("https://github.com/UWICompSociety/FSTApp", "show")</f>
        <v>show</v>
      </c>
      <c r="H1899" t="str">
        <f>HYPERLINK("https://github.com/UWICompSociety/FSTApp/releases", "show")</f>
        <v>show</v>
      </c>
      <c r="I1899">
        <v>1</v>
      </c>
      <c r="J1899">
        <v>0</v>
      </c>
      <c r="K1899">
        <v>0</v>
      </c>
      <c r="L1899">
        <v>0</v>
      </c>
      <c r="M1899" t="s">
        <v>17</v>
      </c>
    </row>
    <row r="1900" spans="1:13" hidden="1" x14ac:dyDescent="0.15">
      <c r="A1900" t="s">
        <v>6070</v>
      </c>
      <c r="B1900" t="s">
        <v>6071</v>
      </c>
      <c r="C1900" t="s">
        <v>6072</v>
      </c>
      <c r="D1900" t="s">
        <v>6063</v>
      </c>
      <c r="E1900">
        <v>295</v>
      </c>
      <c r="F1900" t="str">
        <f>HYPERLINK("https://github.com/Ereza/CustomActivityOnCrash/issues/26", "show")</f>
        <v>show</v>
      </c>
      <c r="G1900" t="str">
        <f>HYPERLINK("https://github.com/Ereza/CustomActivityOnCrash", "show")</f>
        <v>show</v>
      </c>
      <c r="H1900" t="str">
        <f>HYPERLINK("https://github.com/Ereza/CustomActivityOnCrash/releases", "show")</f>
        <v>show</v>
      </c>
      <c r="I1900">
        <v>1</v>
      </c>
      <c r="J1900">
        <v>0</v>
      </c>
      <c r="K1900">
        <v>0</v>
      </c>
      <c r="L1900">
        <v>0</v>
      </c>
      <c r="M1900" t="s">
        <v>17</v>
      </c>
    </row>
    <row r="1901" spans="1:13" hidden="1" x14ac:dyDescent="0.15">
      <c r="A1901" t="s">
        <v>6073</v>
      </c>
      <c r="B1901" t="s">
        <v>6074</v>
      </c>
      <c r="C1901" t="s">
        <v>6075</v>
      </c>
      <c r="D1901" t="s">
        <v>6063</v>
      </c>
      <c r="E1901">
        <v>113</v>
      </c>
      <c r="F1901" t="str">
        <f>HYPERLINK("https://github.com/google/ExoPlayer/issues/1716", "show")</f>
        <v>show</v>
      </c>
      <c r="G1901" t="str">
        <f>HYPERLINK("https://github.com/google/ExoPlayer", "show")</f>
        <v>show</v>
      </c>
      <c r="H1901" t="str">
        <f>HYPERLINK("https://github.com/google/ExoPlayer/releases", "show")</f>
        <v>show</v>
      </c>
      <c r="I1901">
        <v>1</v>
      </c>
      <c r="J1901">
        <v>0</v>
      </c>
      <c r="K1901">
        <v>1</v>
      </c>
      <c r="L1901">
        <v>0</v>
      </c>
      <c r="M1901" t="s">
        <v>64</v>
      </c>
    </row>
    <row r="1902" spans="1:13" hidden="1" x14ac:dyDescent="0.15">
      <c r="A1902" t="s">
        <v>6076</v>
      </c>
      <c r="B1902" t="s">
        <v>6077</v>
      </c>
      <c r="C1902" t="s">
        <v>6078</v>
      </c>
      <c r="D1902" t="s">
        <v>6063</v>
      </c>
      <c r="E1902">
        <v>165</v>
      </c>
      <c r="F1902" t="str">
        <f>HYPERLINK("https://github.com/square/flow/issues/198", "show")</f>
        <v>show</v>
      </c>
      <c r="G1902" t="str">
        <f>HYPERLINK("https://github.com/square/flow", "show")</f>
        <v>show</v>
      </c>
      <c r="H1902" t="str">
        <f>HYPERLINK("https://github.com/square/flow/releases", "show")</f>
        <v>show</v>
      </c>
      <c r="I1902">
        <v>1</v>
      </c>
      <c r="J1902">
        <v>0</v>
      </c>
      <c r="K1902">
        <v>0</v>
      </c>
      <c r="L1902">
        <v>0</v>
      </c>
      <c r="M1902" t="s">
        <v>17</v>
      </c>
    </row>
    <row r="1903" spans="1:13" hidden="1" x14ac:dyDescent="0.15">
      <c r="A1903" t="s">
        <v>6079</v>
      </c>
      <c r="B1903" t="s">
        <v>6080</v>
      </c>
      <c r="C1903" t="s">
        <v>6081</v>
      </c>
      <c r="D1903" t="s">
        <v>6082</v>
      </c>
      <c r="E1903">
        <v>0</v>
      </c>
      <c r="F1903" t="str">
        <f>HYPERLINK("https://github.com/fossasia/open-event-droidgen/issues/536", "show")</f>
        <v>show</v>
      </c>
      <c r="G1903" t="str">
        <f>HYPERLINK("https://github.com/fossasia/open-event-droidgen", "show")</f>
        <v>show</v>
      </c>
      <c r="H1903" t="str">
        <f>HYPERLINK("https://github.com/fossasia/open-event-droidgen/releases", "show")</f>
        <v>show</v>
      </c>
      <c r="I1903">
        <v>0</v>
      </c>
      <c r="J1903">
        <v>0</v>
      </c>
      <c r="K1903">
        <v>1</v>
      </c>
      <c r="L1903">
        <v>0</v>
      </c>
      <c r="M1903" t="s">
        <v>122</v>
      </c>
    </row>
    <row r="1904" spans="1:13" hidden="1" x14ac:dyDescent="0.15">
      <c r="A1904" t="s">
        <v>6083</v>
      </c>
      <c r="B1904" t="s">
        <v>6084</v>
      </c>
      <c r="C1904" t="s">
        <v>6085</v>
      </c>
      <c r="D1904" t="s">
        <v>6082</v>
      </c>
      <c r="E1904">
        <v>113</v>
      </c>
      <c r="F1904" t="str">
        <f>HYPERLINK("https://github.com/ukanth/afwall/issues/555", "show")</f>
        <v>show</v>
      </c>
      <c r="G1904" t="str">
        <f>HYPERLINK("https://github.com/ukanth/afwall", "show")</f>
        <v>show</v>
      </c>
      <c r="H1904" t="str">
        <f>HYPERLINK("https://github.com/ukanth/afwall/releases", "show")</f>
        <v>show</v>
      </c>
      <c r="I1904">
        <v>0</v>
      </c>
      <c r="J1904">
        <v>0</v>
      </c>
      <c r="K1904">
        <v>0</v>
      </c>
      <c r="L1904">
        <v>0</v>
      </c>
      <c r="M1904" t="s">
        <v>43</v>
      </c>
    </row>
    <row r="1905" spans="1:13" hidden="1" x14ac:dyDescent="0.15">
      <c r="A1905" t="s">
        <v>6086</v>
      </c>
      <c r="B1905" t="s">
        <v>6087</v>
      </c>
      <c r="C1905" t="s">
        <v>6088</v>
      </c>
      <c r="D1905" t="s">
        <v>6082</v>
      </c>
      <c r="E1905">
        <v>341</v>
      </c>
      <c r="F1905" t="str">
        <f>HYPERLINK("https://github.com/lgallard/qBittorrent-Controller/issues/101", "show")</f>
        <v>show</v>
      </c>
      <c r="G1905" t="str">
        <f>HYPERLINK("https://github.com/lgallard/qBittorrent-Controller", "show")</f>
        <v>show</v>
      </c>
      <c r="H1905" t="str">
        <f>HYPERLINK("https://github.com/lgallard/qBittorrent-Controller/releases", "show")</f>
        <v>show</v>
      </c>
      <c r="I1905">
        <v>1</v>
      </c>
      <c r="J1905">
        <v>0</v>
      </c>
      <c r="K1905">
        <v>0</v>
      </c>
      <c r="L1905">
        <v>0</v>
      </c>
      <c r="M1905" t="s">
        <v>17</v>
      </c>
    </row>
    <row r="1906" spans="1:13" hidden="1" x14ac:dyDescent="0.15">
      <c r="A1906" t="s">
        <v>6089</v>
      </c>
      <c r="B1906" t="s">
        <v>6090</v>
      </c>
      <c r="C1906" t="s">
        <v>6091</v>
      </c>
      <c r="D1906" t="s">
        <v>6082</v>
      </c>
      <c r="E1906">
        <v>13</v>
      </c>
      <c r="F1906" t="str">
        <f>HYPERLINK("https://github.com/codinguser/gnucash-android/issues/532", "show")</f>
        <v>show</v>
      </c>
      <c r="G1906" t="str">
        <f>HYPERLINK("https://github.com/codinguser/gnucash-android", "show")</f>
        <v>show</v>
      </c>
      <c r="H1906" t="str">
        <f>HYPERLINK("https://github.com/codinguser/gnucash-android/releases", "show")</f>
        <v>show</v>
      </c>
      <c r="I1906">
        <v>1</v>
      </c>
      <c r="J1906">
        <v>0</v>
      </c>
      <c r="K1906">
        <v>0</v>
      </c>
      <c r="L1906">
        <v>0</v>
      </c>
      <c r="M1906" t="s">
        <v>17</v>
      </c>
    </row>
    <row r="1907" spans="1:13" hidden="1" x14ac:dyDescent="0.15">
      <c r="A1907" t="s">
        <v>6092</v>
      </c>
      <c r="B1907" t="s">
        <v>6093</v>
      </c>
      <c r="D1907" t="s">
        <v>6094</v>
      </c>
      <c r="E1907">
        <v>5</v>
      </c>
      <c r="F1907" t="str">
        <f>HYPERLINK("https://github.com/coolerfall/LunarLite/issues/6", "show")</f>
        <v>show</v>
      </c>
      <c r="G1907" t="str">
        <f>HYPERLINK("https://github.com/coolerfall/LunarLite", "show")</f>
        <v>show</v>
      </c>
      <c r="H1907" t="str">
        <f>HYPERLINK("https://github.com/coolerfall/LunarLite/releases", "show")</f>
        <v>show</v>
      </c>
      <c r="I1907">
        <v>0</v>
      </c>
      <c r="J1907">
        <v>0</v>
      </c>
      <c r="K1907">
        <v>0</v>
      </c>
      <c r="L1907">
        <v>0</v>
      </c>
      <c r="M1907" t="s">
        <v>43</v>
      </c>
    </row>
    <row r="1908" spans="1:13" hidden="1" x14ac:dyDescent="0.15">
      <c r="A1908" t="s">
        <v>6095</v>
      </c>
      <c r="B1908" t="s">
        <v>6096</v>
      </c>
      <c r="C1908" t="s">
        <v>6097</v>
      </c>
      <c r="D1908" t="s">
        <v>6094</v>
      </c>
      <c r="E1908">
        <v>8</v>
      </c>
      <c r="F1908" t="str">
        <f>HYPERLINK("https://github.com/translation-cards/translation-cards/issues/278", "show")</f>
        <v>show</v>
      </c>
      <c r="G1908" t="str">
        <f>HYPERLINK("https://github.com/translation-cards/translation-cards", "show")</f>
        <v>show</v>
      </c>
      <c r="H1908" t="str">
        <f>HYPERLINK("https://github.com/translation-cards/translation-cards/releases", "show")</f>
        <v>show</v>
      </c>
      <c r="I1908">
        <v>1</v>
      </c>
      <c r="J1908">
        <v>1</v>
      </c>
      <c r="K1908">
        <v>0</v>
      </c>
      <c r="L1908">
        <v>0</v>
      </c>
      <c r="M1908" t="s">
        <v>48</v>
      </c>
    </row>
    <row r="1909" spans="1:13" hidden="1" x14ac:dyDescent="0.15">
      <c r="A1909" t="s">
        <v>6098</v>
      </c>
      <c r="B1909" t="s">
        <v>6099</v>
      </c>
      <c r="C1909" t="s">
        <v>6100</v>
      </c>
      <c r="D1909" t="s">
        <v>6101</v>
      </c>
      <c r="E1909">
        <v>1</v>
      </c>
      <c r="F1909" t="str">
        <f>HYPERLINK("https://github.com/the-blue-alliance/the-blue-alliance-android/issues/768", "show")</f>
        <v>show</v>
      </c>
      <c r="G1909" t="str">
        <f>HYPERLINK("https://github.com/the-blue-alliance/the-blue-alliance-android", "show")</f>
        <v>show</v>
      </c>
      <c r="H1909" t="str">
        <f>HYPERLINK("https://github.com/the-blue-alliance/the-blue-alliance-android/releases", "show")</f>
        <v>show</v>
      </c>
      <c r="I1909">
        <v>1</v>
      </c>
      <c r="J1909">
        <v>1</v>
      </c>
      <c r="K1909">
        <v>1</v>
      </c>
      <c r="L1909">
        <v>0</v>
      </c>
      <c r="M1909" t="s">
        <v>59</v>
      </c>
    </row>
    <row r="1910" spans="1:13" hidden="1" x14ac:dyDescent="0.15">
      <c r="A1910" t="s">
        <v>6102</v>
      </c>
      <c r="B1910" t="s">
        <v>6103</v>
      </c>
      <c r="C1910" t="s">
        <v>6104</v>
      </c>
      <c r="D1910" t="s">
        <v>6101</v>
      </c>
      <c r="E1910">
        <v>34</v>
      </c>
      <c r="F1910" t="str">
        <f>HYPERLINK("https://github.com/vexelon-dot-net/currencybg.app/issues/13", "show")</f>
        <v>show</v>
      </c>
      <c r="G1910" t="str">
        <f>HYPERLINK("https://github.com/vexelon-dot-net/currencybg.app", "show")</f>
        <v>show</v>
      </c>
      <c r="H1910" t="str">
        <f>HYPERLINK("https://github.com/vexelon-dot-net/currencybg.app/releases", "show")</f>
        <v>show</v>
      </c>
      <c r="I1910">
        <v>0</v>
      </c>
      <c r="J1910">
        <v>0</v>
      </c>
      <c r="K1910">
        <v>0</v>
      </c>
      <c r="L1910">
        <v>0</v>
      </c>
      <c r="M1910" t="s">
        <v>43</v>
      </c>
    </row>
    <row r="1911" spans="1:13" hidden="1" x14ac:dyDescent="0.15">
      <c r="A1911" t="s">
        <v>6105</v>
      </c>
      <c r="B1911" t="s">
        <v>6106</v>
      </c>
      <c r="C1911" t="s">
        <v>6107</v>
      </c>
      <c r="D1911" t="s">
        <v>6101</v>
      </c>
      <c r="E1911">
        <v>0</v>
      </c>
      <c r="F1911" t="str">
        <f>HYPERLINK("https://github.com/fossasia/open-event-droidgen/issues/544", "show")</f>
        <v>show</v>
      </c>
      <c r="G1911" t="str">
        <f>HYPERLINK("https://github.com/fossasia/open-event-droidgen", "show")</f>
        <v>show</v>
      </c>
      <c r="H1911" t="str">
        <f>HYPERLINK("https://github.com/fossasia/open-event-droidgen/releases", "show")</f>
        <v>show</v>
      </c>
      <c r="I1911">
        <v>1</v>
      </c>
      <c r="J1911">
        <v>0</v>
      </c>
      <c r="K1911">
        <v>0</v>
      </c>
      <c r="L1911">
        <v>0</v>
      </c>
      <c r="M1911" t="s">
        <v>17</v>
      </c>
    </row>
    <row r="1912" spans="1:13" x14ac:dyDescent="0.15">
      <c r="A1912" t="s">
        <v>6108</v>
      </c>
      <c r="B1912" t="s">
        <v>6109</v>
      </c>
      <c r="C1912" t="s">
        <v>6110</v>
      </c>
      <c r="D1912" t="s">
        <v>6111</v>
      </c>
      <c r="E1912">
        <v>1</v>
      </c>
      <c r="F1912" t="str">
        <f>HYPERLINK("https://github.com/OneBusAway/onebusaway-android/issues/653", "show")</f>
        <v>show</v>
      </c>
      <c r="G1912" t="str">
        <f>HYPERLINK("https://github.com/OneBusAway/onebusaway-android", "show")</f>
        <v>show</v>
      </c>
      <c r="H1912" t="str">
        <f>HYPERLINK("https://github.com/OneBusAway/onebusaway-android/releases", "show")</f>
        <v>show</v>
      </c>
      <c r="I1912">
        <v>0</v>
      </c>
      <c r="J1912">
        <v>1</v>
      </c>
      <c r="K1912">
        <v>0</v>
      </c>
      <c r="L1912">
        <v>0</v>
      </c>
      <c r="M1912" t="s">
        <v>139</v>
      </c>
    </row>
    <row r="1913" spans="1:13" hidden="1" x14ac:dyDescent="0.15">
      <c r="A1913" t="s">
        <v>6112</v>
      </c>
      <c r="B1913" t="s">
        <v>6113</v>
      </c>
      <c r="C1913" t="s">
        <v>6114</v>
      </c>
      <c r="D1913" t="s">
        <v>6111</v>
      </c>
      <c r="E1913">
        <v>0</v>
      </c>
      <c r="F1913" t="str">
        <f>HYPERLINK("https://github.com/OneBusAway/onebusaway-android/issues/652", "show")</f>
        <v>show</v>
      </c>
      <c r="G1913" t="str">
        <f>HYPERLINK("https://github.com/OneBusAway/onebusaway-android", "show")</f>
        <v>show</v>
      </c>
      <c r="H1913" t="str">
        <f>HYPERLINK("https://github.com/OneBusAway/onebusaway-android/releases", "show")</f>
        <v>show</v>
      </c>
      <c r="I1913">
        <v>1</v>
      </c>
      <c r="J1913">
        <v>0</v>
      </c>
      <c r="K1913">
        <v>1</v>
      </c>
      <c r="L1913">
        <v>0</v>
      </c>
      <c r="M1913" t="s">
        <v>64</v>
      </c>
    </row>
    <row r="1914" spans="1:13" hidden="1" x14ac:dyDescent="0.15">
      <c r="A1914" t="s">
        <v>6115</v>
      </c>
      <c r="B1914" t="s">
        <v>6116</v>
      </c>
      <c r="C1914" t="s">
        <v>6117</v>
      </c>
      <c r="D1914" t="s">
        <v>6111</v>
      </c>
      <c r="E1914">
        <v>280</v>
      </c>
      <c r="F1914" t="str">
        <f>HYPERLINK("https://github.com/nextcloud/android/issues/198", "show")</f>
        <v>show</v>
      </c>
      <c r="G1914" t="str">
        <f>HYPERLINK("https://github.com/nextcloud/android", "show")</f>
        <v>show</v>
      </c>
      <c r="H1914" t="str">
        <f>HYPERLINK("https://github.com/nextcloud/android/releases", "show")</f>
        <v>show</v>
      </c>
      <c r="I1914">
        <v>0</v>
      </c>
      <c r="J1914">
        <v>0</v>
      </c>
      <c r="K1914">
        <v>1</v>
      </c>
      <c r="L1914">
        <v>0</v>
      </c>
      <c r="M1914" t="s">
        <v>122</v>
      </c>
    </row>
    <row r="1915" spans="1:13" hidden="1" x14ac:dyDescent="0.15">
      <c r="A1915" t="s">
        <v>6118</v>
      </c>
      <c r="B1915" t="s">
        <v>6119</v>
      </c>
      <c r="C1915" t="s">
        <v>6120</v>
      </c>
      <c r="D1915" t="s">
        <v>6111</v>
      </c>
      <c r="E1915">
        <v>4</v>
      </c>
      <c r="F1915" t="str">
        <f>HYPERLINK("https://github.com/PhilJay/MPAndroidChart/issues/2115", "show")</f>
        <v>show</v>
      </c>
      <c r="G1915" t="str">
        <f>HYPERLINK("https://github.com/PhilJay/MPAndroidChart", "show")</f>
        <v>show</v>
      </c>
      <c r="H1915" t="str">
        <f>HYPERLINK("https://github.com/PhilJay/MPAndroidChart/releases", "show")</f>
        <v>show</v>
      </c>
      <c r="I1915">
        <v>0</v>
      </c>
      <c r="J1915">
        <v>0</v>
      </c>
      <c r="K1915">
        <v>1</v>
      </c>
      <c r="L1915">
        <v>0</v>
      </c>
      <c r="M1915" t="s">
        <v>122</v>
      </c>
    </row>
    <row r="1916" spans="1:13" hidden="1" x14ac:dyDescent="0.15">
      <c r="A1916" t="s">
        <v>6121</v>
      </c>
      <c r="B1916" t="s">
        <v>6122</v>
      </c>
      <c r="C1916" t="s">
        <v>6123</v>
      </c>
      <c r="D1916" t="s">
        <v>6124</v>
      </c>
      <c r="E1916">
        <v>21</v>
      </c>
      <c r="F1916" t="str">
        <f>HYPERLINK("https://github.com/JoaquimLey/avenging/issues/2", "show")</f>
        <v>show</v>
      </c>
      <c r="G1916" t="str">
        <f>HYPERLINK("https://github.com/JoaquimLey/avenging", "show")</f>
        <v>show</v>
      </c>
      <c r="H1916" t="str">
        <f>HYPERLINK("https://github.com/JoaquimLey/avenging/releases", "show")</f>
        <v>show</v>
      </c>
      <c r="I1916">
        <v>1</v>
      </c>
      <c r="J1916">
        <v>1</v>
      </c>
      <c r="K1916">
        <v>0</v>
      </c>
      <c r="L1916">
        <v>0</v>
      </c>
      <c r="M1916" t="s">
        <v>48</v>
      </c>
    </row>
    <row r="1917" spans="1:13" hidden="1" x14ac:dyDescent="0.15">
      <c r="A1917" t="s">
        <v>6125</v>
      </c>
      <c r="B1917" t="s">
        <v>6126</v>
      </c>
      <c r="C1917" t="s">
        <v>6127</v>
      </c>
      <c r="D1917" t="s">
        <v>6124</v>
      </c>
      <c r="E1917">
        <v>21</v>
      </c>
      <c r="F1917" t="str">
        <f>HYPERLINK("https://github.com/JoaquimLey/avenging/issues/1", "show")</f>
        <v>show</v>
      </c>
      <c r="G1917" t="str">
        <f>HYPERLINK("https://github.com/JoaquimLey/avenging", "show")</f>
        <v>show</v>
      </c>
      <c r="H1917" t="str">
        <f>HYPERLINK("https://github.com/JoaquimLey/avenging/releases", "show")</f>
        <v>show</v>
      </c>
      <c r="I1917">
        <v>1</v>
      </c>
      <c r="J1917">
        <v>1</v>
      </c>
      <c r="K1917">
        <v>0</v>
      </c>
      <c r="L1917">
        <v>0</v>
      </c>
      <c r="M1917" t="s">
        <v>48</v>
      </c>
    </row>
    <row r="1918" spans="1:13" hidden="1" x14ac:dyDescent="0.15">
      <c r="A1918" t="s">
        <v>6128</v>
      </c>
      <c r="B1918" t="s">
        <v>6129</v>
      </c>
      <c r="C1918" t="s">
        <v>6130</v>
      </c>
      <c r="D1918" t="s">
        <v>6124</v>
      </c>
      <c r="E1918">
        <v>68</v>
      </c>
      <c r="F1918" t="str">
        <f>HYPERLINK("https://github.com/square/okhttp/issues/2781", "show")</f>
        <v>show</v>
      </c>
      <c r="G1918" t="str">
        <f>HYPERLINK("https://github.com/square/okhttp", "show")</f>
        <v>show</v>
      </c>
      <c r="H1918" t="str">
        <f>HYPERLINK("https://github.com/square/okhttp/releases", "show")</f>
        <v>show</v>
      </c>
      <c r="I1918">
        <v>1</v>
      </c>
      <c r="J1918">
        <v>0</v>
      </c>
      <c r="K1918">
        <v>1</v>
      </c>
      <c r="L1918">
        <v>0</v>
      </c>
      <c r="M1918" t="s">
        <v>64</v>
      </c>
    </row>
    <row r="1919" spans="1:13" hidden="1" x14ac:dyDescent="0.15">
      <c r="A1919" t="s">
        <v>6131</v>
      </c>
      <c r="B1919" t="s">
        <v>6132</v>
      </c>
      <c r="C1919" t="s">
        <v>6133</v>
      </c>
      <c r="D1919" t="s">
        <v>6124</v>
      </c>
      <c r="E1919">
        <v>323</v>
      </c>
      <c r="F1919" t="str">
        <f>HYPERLINK("https://github.com/pedrovgs/EffectiveAndroidUI/issues/23", "show")</f>
        <v>show</v>
      </c>
      <c r="G1919" t="str">
        <f>HYPERLINK("https://github.com/pedrovgs/EffectiveAndroidUI", "show")</f>
        <v>show</v>
      </c>
      <c r="H1919" t="str">
        <f>HYPERLINK("https://github.com/pedrovgs/EffectiveAndroidUI/releases", "show")</f>
        <v>show</v>
      </c>
      <c r="I1919">
        <v>0</v>
      </c>
      <c r="J1919">
        <v>0</v>
      </c>
      <c r="K1919">
        <v>1</v>
      </c>
      <c r="L1919">
        <v>0</v>
      </c>
      <c r="M1919" t="s">
        <v>122</v>
      </c>
    </row>
    <row r="1920" spans="1:13" hidden="1" x14ac:dyDescent="0.15">
      <c r="A1920" t="s">
        <v>6134</v>
      </c>
      <c r="B1920" t="s">
        <v>6135</v>
      </c>
      <c r="C1920" t="s">
        <v>504</v>
      </c>
      <c r="D1920" t="s">
        <v>6136</v>
      </c>
      <c r="E1920">
        <v>78</v>
      </c>
      <c r="F1920" t="str">
        <f>HYPERLINK("https://github.com/niclabs/adkintunmobile-androidclient/issues/125", "show")</f>
        <v>show</v>
      </c>
      <c r="G1920" t="str">
        <f>HYPERLINK("https://github.com/niclabs/adkintunmobile-androidclient", "show")</f>
        <v>show</v>
      </c>
      <c r="H1920" t="str">
        <f>HYPERLINK("https://github.com/niclabs/adkintunmobile-androidclient/releases", "show")</f>
        <v>show</v>
      </c>
      <c r="I1920">
        <v>1</v>
      </c>
      <c r="J1920">
        <v>0</v>
      </c>
      <c r="K1920">
        <v>0</v>
      </c>
      <c r="L1920">
        <v>0</v>
      </c>
      <c r="M1920" t="s">
        <v>17</v>
      </c>
    </row>
    <row r="1921" spans="1:13" hidden="1" x14ac:dyDescent="0.15">
      <c r="A1921" t="s">
        <v>6137</v>
      </c>
      <c r="B1921" t="s">
        <v>6138</v>
      </c>
      <c r="C1921" t="s">
        <v>6139</v>
      </c>
      <c r="D1921" t="s">
        <v>6136</v>
      </c>
      <c r="E1921">
        <v>38</v>
      </c>
      <c r="F1921" t="str">
        <f>HYPERLINK("https://github.com/davideas/FlexibleAdapter/issues/161", "show")</f>
        <v>show</v>
      </c>
      <c r="G1921" t="str">
        <f>HYPERLINK("https://github.com/davideas/FlexibleAdapter", "show")</f>
        <v>show</v>
      </c>
      <c r="H1921" t="str">
        <f>HYPERLINK("https://github.com/davideas/FlexibleAdapter/releases", "show")</f>
        <v>show</v>
      </c>
      <c r="I1921">
        <v>1</v>
      </c>
      <c r="J1921">
        <v>0</v>
      </c>
      <c r="K1921">
        <v>1</v>
      </c>
      <c r="L1921">
        <v>0</v>
      </c>
      <c r="M1921" t="s">
        <v>64</v>
      </c>
    </row>
    <row r="1922" spans="1:13" hidden="1" x14ac:dyDescent="0.15">
      <c r="A1922" t="s">
        <v>6140</v>
      </c>
      <c r="B1922" t="s">
        <v>6141</v>
      </c>
      <c r="C1922" t="s">
        <v>6142</v>
      </c>
      <c r="D1922" t="s">
        <v>6143</v>
      </c>
      <c r="E1922">
        <v>17</v>
      </c>
      <c r="F1922" t="str">
        <f>HYPERLINK("https://github.com/react-native-camera/react-native-camera/issues/367", "show")</f>
        <v>show</v>
      </c>
      <c r="G1922" t="str">
        <f>HYPERLINK("https://github.com/react-native-camera/react-native-camera", "show")</f>
        <v>show</v>
      </c>
      <c r="H1922" t="str">
        <f>HYPERLINK("https://github.com/react-native-camera/react-native-camera/releases", "show")</f>
        <v>show</v>
      </c>
      <c r="I1922">
        <v>1</v>
      </c>
      <c r="J1922">
        <v>0</v>
      </c>
      <c r="K1922">
        <v>0</v>
      </c>
      <c r="L1922">
        <v>0</v>
      </c>
      <c r="M1922" t="s">
        <v>17</v>
      </c>
    </row>
    <row r="1923" spans="1:13" hidden="1" x14ac:dyDescent="0.15">
      <c r="A1923" t="s">
        <v>6144</v>
      </c>
      <c r="B1923" t="s">
        <v>6145</v>
      </c>
      <c r="C1923" t="s">
        <v>504</v>
      </c>
      <c r="D1923" t="s">
        <v>6143</v>
      </c>
      <c r="E1923">
        <v>6</v>
      </c>
      <c r="F1923" t="str">
        <f>HYPERLINK("https://github.com/niclabs/adkintunmobile-androidclient/issues/126", "show")</f>
        <v>show</v>
      </c>
      <c r="G1923" t="str">
        <f>HYPERLINK("https://github.com/niclabs/adkintunmobile-androidclient", "show")</f>
        <v>show</v>
      </c>
      <c r="H1923" t="str">
        <f>HYPERLINK("https://github.com/niclabs/adkintunmobile-androidclient/releases", "show")</f>
        <v>show</v>
      </c>
      <c r="I1923">
        <v>1</v>
      </c>
      <c r="J1923">
        <v>0</v>
      </c>
      <c r="K1923">
        <v>0</v>
      </c>
      <c r="L1923">
        <v>0</v>
      </c>
      <c r="M1923" t="s">
        <v>17</v>
      </c>
    </row>
    <row r="1924" spans="1:13" hidden="1" x14ac:dyDescent="0.15">
      <c r="A1924" t="s">
        <v>6146</v>
      </c>
      <c r="B1924" t="s">
        <v>6147</v>
      </c>
      <c r="C1924" t="s">
        <v>6148</v>
      </c>
      <c r="D1924" t="s">
        <v>6143</v>
      </c>
      <c r="E1924">
        <v>0</v>
      </c>
      <c r="F1924" t="str">
        <f>HYPERLINK("https://github.com/kontalk/androidclient/issues/780", "show")</f>
        <v>show</v>
      </c>
      <c r="G1924" t="str">
        <f>HYPERLINK("https://github.com/kontalk/androidclient", "show")</f>
        <v>show</v>
      </c>
      <c r="H1924" t="str">
        <f>HYPERLINK("https://github.com/kontalk/androidclient/releases", "show")</f>
        <v>show</v>
      </c>
      <c r="I1924">
        <v>1</v>
      </c>
      <c r="J1924">
        <v>0</v>
      </c>
      <c r="K1924">
        <v>0</v>
      </c>
      <c r="L1924">
        <v>0</v>
      </c>
      <c r="M1924" t="s">
        <v>17</v>
      </c>
    </row>
    <row r="1925" spans="1:13" hidden="1" x14ac:dyDescent="0.15">
      <c r="A1925" t="s">
        <v>6149</v>
      </c>
      <c r="B1925" t="s">
        <v>6150</v>
      </c>
      <c r="C1925" t="s">
        <v>6151</v>
      </c>
      <c r="D1925" t="s">
        <v>6152</v>
      </c>
      <c r="E1925">
        <v>83</v>
      </c>
      <c r="F1925" t="str">
        <f>HYPERLINK("https://github.com/NemProject/NEMAndroidApp/issues/242", "show")</f>
        <v>show</v>
      </c>
      <c r="G1925" t="str">
        <f>HYPERLINK("https://github.com/NemProject/NEMAndroidApp", "show")</f>
        <v>show</v>
      </c>
      <c r="H1925" t="str">
        <f>HYPERLINK("https://github.com/NemProject/NEMAndroidApp/releases", "show")</f>
        <v>show</v>
      </c>
      <c r="I1925">
        <v>0</v>
      </c>
      <c r="J1925">
        <v>0</v>
      </c>
      <c r="K1925">
        <v>0</v>
      </c>
      <c r="L1925">
        <v>1</v>
      </c>
      <c r="M1925" t="s">
        <v>581</v>
      </c>
    </row>
    <row r="1926" spans="1:13" hidden="1" x14ac:dyDescent="0.15">
      <c r="A1926" t="s">
        <v>6153</v>
      </c>
      <c r="B1926" t="s">
        <v>6154</v>
      </c>
      <c r="C1926" t="s">
        <v>6155</v>
      </c>
      <c r="D1926" t="s">
        <v>6152</v>
      </c>
      <c r="E1926">
        <v>11</v>
      </c>
      <c r="F1926" t="str">
        <f>HYPERLINK("https://github.com/EyeSeeTea/pictureapp/issues/380", "show")</f>
        <v>show</v>
      </c>
      <c r="G1926" t="str">
        <f>HYPERLINK("https://github.com/EyeSeeTea/pictureapp", "show")</f>
        <v>show</v>
      </c>
      <c r="H1926" t="str">
        <f>HYPERLINK("https://github.com/EyeSeeTea/pictureapp/releases", "show")</f>
        <v>show</v>
      </c>
      <c r="I1926">
        <v>1</v>
      </c>
      <c r="J1926">
        <v>0</v>
      </c>
      <c r="K1926">
        <v>0</v>
      </c>
      <c r="L1926">
        <v>0</v>
      </c>
      <c r="M1926" t="s">
        <v>17</v>
      </c>
    </row>
    <row r="1927" spans="1:13" hidden="1" x14ac:dyDescent="0.15">
      <c r="A1927" t="s">
        <v>6156</v>
      </c>
      <c r="B1927" t="s">
        <v>6157</v>
      </c>
      <c r="C1927" t="s">
        <v>6158</v>
      </c>
      <c r="D1927" t="s">
        <v>6152</v>
      </c>
      <c r="E1927">
        <v>578</v>
      </c>
      <c r="F1927" t="str">
        <f>HYPERLINK("https://github.com/ably/demo-mobile-android/issues/6", "show")</f>
        <v>show</v>
      </c>
      <c r="G1927" t="str">
        <f>HYPERLINK("https://github.com/ably/demo-mobile-android", "show")</f>
        <v>show</v>
      </c>
      <c r="H1927" t="str">
        <f>HYPERLINK("https://github.com/ably/demo-mobile-android/releases", "show")</f>
        <v>show</v>
      </c>
      <c r="I1927">
        <v>1</v>
      </c>
      <c r="J1927">
        <v>0</v>
      </c>
      <c r="K1927">
        <v>1</v>
      </c>
      <c r="L1927">
        <v>0</v>
      </c>
      <c r="M1927" t="s">
        <v>64</v>
      </c>
    </row>
    <row r="1928" spans="1:13" hidden="1" x14ac:dyDescent="0.15">
      <c r="A1928" t="s">
        <v>6159</v>
      </c>
      <c r="B1928" t="s">
        <v>6160</v>
      </c>
      <c r="C1928" t="s">
        <v>6161</v>
      </c>
      <c r="D1928" t="s">
        <v>6162</v>
      </c>
      <c r="E1928">
        <v>180</v>
      </c>
      <c r="F1928" t="str">
        <f>HYPERLINK("https://github.com/k9mail/k-9/issues/1561", "show")</f>
        <v>show</v>
      </c>
      <c r="G1928" t="str">
        <f>HYPERLINK("https://github.com/k9mail/k-9", "show")</f>
        <v>show</v>
      </c>
      <c r="H1928" t="str">
        <f>HYPERLINK("https://github.com/k9mail/k-9/releases", "show")</f>
        <v>show</v>
      </c>
      <c r="I1928">
        <v>1</v>
      </c>
      <c r="J1928">
        <v>1</v>
      </c>
      <c r="K1928">
        <v>1</v>
      </c>
      <c r="L1928">
        <v>0</v>
      </c>
      <c r="M1928" t="s">
        <v>59</v>
      </c>
    </row>
    <row r="1929" spans="1:13" hidden="1" x14ac:dyDescent="0.15">
      <c r="A1929" t="s">
        <v>6163</v>
      </c>
      <c r="B1929" t="s">
        <v>6164</v>
      </c>
      <c r="C1929" t="s">
        <v>6165</v>
      </c>
      <c r="D1929" t="s">
        <v>6166</v>
      </c>
      <c r="E1929">
        <v>6</v>
      </c>
      <c r="F1929" t="str">
        <f>HYPERLINK("https://github.com/rosenpin/always-on-amoled/issues/217", "show")</f>
        <v>show</v>
      </c>
      <c r="G1929" t="str">
        <f>HYPERLINK("https://github.com/rosenpin/always-on-amoled", "show")</f>
        <v>show</v>
      </c>
      <c r="H1929" t="str">
        <f>HYPERLINK("https://github.com/rosenpin/always-on-amoled/releases", "show")</f>
        <v>show</v>
      </c>
      <c r="I1929">
        <v>0</v>
      </c>
      <c r="J1929">
        <v>0</v>
      </c>
      <c r="K1929">
        <v>0</v>
      </c>
      <c r="L1929">
        <v>0</v>
      </c>
      <c r="M1929" t="s">
        <v>43</v>
      </c>
    </row>
    <row r="1930" spans="1:13" hidden="1" x14ac:dyDescent="0.15">
      <c r="A1930" t="s">
        <v>6167</v>
      </c>
      <c r="B1930" t="s">
        <v>6168</v>
      </c>
      <c r="D1930" t="s">
        <v>6166</v>
      </c>
      <c r="E1930">
        <v>0</v>
      </c>
      <c r="F1930" t="str">
        <f>HYPERLINK("https://github.com/fossasia/open-event-droidgen/issues/589", "show")</f>
        <v>show</v>
      </c>
      <c r="G1930" t="str">
        <f>HYPERLINK("https://github.com/fossasia/open-event-droidgen", "show")</f>
        <v>show</v>
      </c>
      <c r="H1930" t="str">
        <f>HYPERLINK("https://github.com/fossasia/open-event-droidgen/releases", "show")</f>
        <v>show</v>
      </c>
      <c r="I1930">
        <v>0</v>
      </c>
      <c r="J1930">
        <v>0</v>
      </c>
      <c r="K1930">
        <v>0</v>
      </c>
      <c r="L1930">
        <v>0</v>
      </c>
      <c r="M1930" t="s">
        <v>43</v>
      </c>
    </row>
    <row r="1931" spans="1:13" hidden="1" x14ac:dyDescent="0.15">
      <c r="A1931" t="s">
        <v>6169</v>
      </c>
      <c r="B1931" t="s">
        <v>6170</v>
      </c>
      <c r="C1931" t="s">
        <v>6171</v>
      </c>
      <c r="D1931" t="s">
        <v>6172</v>
      </c>
      <c r="E1931">
        <v>0</v>
      </c>
      <c r="F1931" t="str">
        <f>HYPERLINK("https://github.com/barteksc/AndroidPdfViewer/issues/66", "show")</f>
        <v>show</v>
      </c>
      <c r="G1931" t="str">
        <f>HYPERLINK("https://github.com/barteksc/AndroidPdfViewer", "show")</f>
        <v>show</v>
      </c>
      <c r="H1931" t="str">
        <f>HYPERLINK("https://github.com/barteksc/AndroidPdfViewer/releases", "show")</f>
        <v>show</v>
      </c>
      <c r="I1931">
        <v>1</v>
      </c>
      <c r="J1931">
        <v>0</v>
      </c>
      <c r="K1931">
        <v>1</v>
      </c>
      <c r="L1931">
        <v>0</v>
      </c>
      <c r="M1931" t="s">
        <v>64</v>
      </c>
    </row>
    <row r="1932" spans="1:13" hidden="1" x14ac:dyDescent="0.15">
      <c r="A1932" t="s">
        <v>6173</v>
      </c>
      <c r="B1932" t="s">
        <v>6174</v>
      </c>
      <c r="C1932" t="s">
        <v>6175</v>
      </c>
      <c r="D1932" t="s">
        <v>6172</v>
      </c>
      <c r="E1932">
        <v>43</v>
      </c>
      <c r="F1932" t="str">
        <f>HYPERLINK("https://github.com/gsantner/dandelion/issues/52", "show")</f>
        <v>show</v>
      </c>
      <c r="G1932" t="str">
        <f>HYPERLINK("https://github.com/gsantner/dandelion", "show")</f>
        <v>show</v>
      </c>
      <c r="H1932" t="str">
        <f>HYPERLINK("https://github.com/gsantner/dandelion/releases", "show")</f>
        <v>show</v>
      </c>
      <c r="I1932">
        <v>1</v>
      </c>
      <c r="J1932">
        <v>1</v>
      </c>
      <c r="K1932">
        <v>0</v>
      </c>
      <c r="L1932">
        <v>0</v>
      </c>
      <c r="M1932" t="s">
        <v>48</v>
      </c>
    </row>
    <row r="1933" spans="1:13" hidden="1" x14ac:dyDescent="0.15">
      <c r="A1933" t="s">
        <v>6176</v>
      </c>
      <c r="B1933" t="s">
        <v>6177</v>
      </c>
      <c r="C1933" t="s">
        <v>6178</v>
      </c>
      <c r="D1933" t="s">
        <v>6179</v>
      </c>
      <c r="E1933">
        <v>1</v>
      </c>
      <c r="F1933" t="str">
        <f>HYPERLINK("https://github.com/marzika/Snapprefs/issues/155", "show")</f>
        <v>show</v>
      </c>
      <c r="G1933" t="str">
        <f>HYPERLINK("https://github.com/marzika/Snapprefs", "show")</f>
        <v>show</v>
      </c>
      <c r="H1933" t="str">
        <f>HYPERLINK("https://github.com/marzika/Snapprefs/releases", "show")</f>
        <v>show</v>
      </c>
      <c r="I1933">
        <v>1</v>
      </c>
      <c r="J1933">
        <v>0</v>
      </c>
      <c r="K1933">
        <v>0</v>
      </c>
      <c r="L1933">
        <v>0</v>
      </c>
      <c r="M1933" t="s">
        <v>17</v>
      </c>
    </row>
    <row r="1934" spans="1:13" hidden="1" x14ac:dyDescent="0.15">
      <c r="A1934" t="s">
        <v>6180</v>
      </c>
      <c r="B1934" t="s">
        <v>6181</v>
      </c>
      <c r="C1934" t="s">
        <v>6182</v>
      </c>
      <c r="D1934" t="s">
        <v>6179</v>
      </c>
      <c r="E1934">
        <v>6</v>
      </c>
      <c r="F1934" t="str">
        <f>HYPERLINK("https://github.com/OneBusAway/onebusaway-android/issues/669", "show")</f>
        <v>show</v>
      </c>
      <c r="G1934" t="str">
        <f>HYPERLINK("https://github.com/OneBusAway/onebusaway-android", "show")</f>
        <v>show</v>
      </c>
      <c r="H1934" t="str">
        <f>HYPERLINK("https://github.com/OneBusAway/onebusaway-android/releases", "show")</f>
        <v>show</v>
      </c>
      <c r="I1934">
        <v>1</v>
      </c>
      <c r="J1934">
        <v>1</v>
      </c>
      <c r="K1934">
        <v>1</v>
      </c>
      <c r="L1934">
        <v>0</v>
      </c>
      <c r="M1934" t="s">
        <v>59</v>
      </c>
    </row>
    <row r="1935" spans="1:13" hidden="1" x14ac:dyDescent="0.15">
      <c r="A1935" t="s">
        <v>6183</v>
      </c>
      <c r="B1935" t="s">
        <v>6184</v>
      </c>
      <c r="C1935" t="s">
        <v>6185</v>
      </c>
      <c r="D1935" t="s">
        <v>6179</v>
      </c>
      <c r="E1935">
        <v>0</v>
      </c>
      <c r="F1935" t="str">
        <f>HYPERLINK("https://github.com/vector-im/riot-android/issues/387", "show")</f>
        <v>show</v>
      </c>
      <c r="G1935" t="str">
        <f>HYPERLINK("https://github.com/vector-im/riot-android", "show")</f>
        <v>show</v>
      </c>
      <c r="H1935" t="str">
        <f>HYPERLINK("https://github.com/vector-im/riot-android/releases", "show")</f>
        <v>show</v>
      </c>
      <c r="I1935">
        <v>0</v>
      </c>
      <c r="J1935">
        <v>0</v>
      </c>
      <c r="K1935">
        <v>0</v>
      </c>
      <c r="L1935">
        <v>0</v>
      </c>
      <c r="M1935" t="s">
        <v>43</v>
      </c>
    </row>
    <row r="1936" spans="1:13" hidden="1" x14ac:dyDescent="0.15">
      <c r="A1936" t="s">
        <v>6186</v>
      </c>
      <c r="B1936" t="s">
        <v>6187</v>
      </c>
      <c r="C1936" t="s">
        <v>6188</v>
      </c>
      <c r="D1936" t="s">
        <v>6179</v>
      </c>
      <c r="E1936">
        <v>14</v>
      </c>
      <c r="F1936" t="str">
        <f>HYPERLINK("https://github.com/fossasia/phimpme-android/issues/11", "show")</f>
        <v>show</v>
      </c>
      <c r="G1936" t="str">
        <f>HYPERLINK("https://github.com/fossasia/phimpme-android", "show")</f>
        <v>show</v>
      </c>
      <c r="H1936" t="str">
        <f>HYPERLINK("https://github.com/fossasia/phimpme-android/releases", "show")</f>
        <v>show</v>
      </c>
      <c r="I1936">
        <v>0</v>
      </c>
      <c r="J1936">
        <v>0</v>
      </c>
      <c r="K1936">
        <v>1</v>
      </c>
      <c r="L1936">
        <v>0</v>
      </c>
      <c r="M1936" t="s">
        <v>122</v>
      </c>
    </row>
    <row r="1937" spans="1:13" hidden="1" x14ac:dyDescent="0.15">
      <c r="A1937" t="s">
        <v>6189</v>
      </c>
      <c r="B1937" t="s">
        <v>6190</v>
      </c>
      <c r="C1937" t="s">
        <v>6191</v>
      </c>
      <c r="D1937" t="s">
        <v>6179</v>
      </c>
      <c r="E1937">
        <v>104</v>
      </c>
      <c r="F1937" t="str">
        <f>HYPERLINK("https://github.com/anyaudio/anyaudio-android-app/issues/19", "show")</f>
        <v>show</v>
      </c>
      <c r="G1937" t="str">
        <f>HYPERLINK("https://github.com/anyaudio/anyaudio-android-app", "show")</f>
        <v>show</v>
      </c>
      <c r="H1937" t="str">
        <f>HYPERLINK("https://github.com/anyaudio/anyaudio-android-app/releases", "show")</f>
        <v>show</v>
      </c>
      <c r="I1937">
        <v>0</v>
      </c>
      <c r="J1937">
        <v>0</v>
      </c>
      <c r="K1937">
        <v>1</v>
      </c>
      <c r="L1937">
        <v>0</v>
      </c>
      <c r="M1937" t="s">
        <v>122</v>
      </c>
    </row>
    <row r="1938" spans="1:13" hidden="1" x14ac:dyDescent="0.15">
      <c r="A1938" t="s">
        <v>6192</v>
      </c>
      <c r="B1938" t="s">
        <v>6193</v>
      </c>
      <c r="C1938" t="s">
        <v>6194</v>
      </c>
      <c r="D1938" t="s">
        <v>6195</v>
      </c>
      <c r="E1938">
        <v>11</v>
      </c>
      <c r="F1938" t="str">
        <f>HYPERLINK("https://github.com/auth0/Lock.Android/issues/331", "show")</f>
        <v>show</v>
      </c>
      <c r="G1938" t="str">
        <f>HYPERLINK("https://github.com/auth0/Lock.Android", "show")</f>
        <v>show</v>
      </c>
      <c r="H1938" t="str">
        <f>HYPERLINK("https://github.com/auth0/Lock.Android/releases", "show")</f>
        <v>show</v>
      </c>
      <c r="I1938">
        <v>1</v>
      </c>
      <c r="J1938">
        <v>0</v>
      </c>
      <c r="K1938">
        <v>1</v>
      </c>
      <c r="L1938">
        <v>0</v>
      </c>
      <c r="M1938" t="s">
        <v>64</v>
      </c>
    </row>
    <row r="1939" spans="1:13" hidden="1" x14ac:dyDescent="0.15">
      <c r="A1939" t="s">
        <v>6196</v>
      </c>
      <c r="B1939" t="s">
        <v>6197</v>
      </c>
      <c r="C1939" t="s">
        <v>6198</v>
      </c>
      <c r="D1939" t="s">
        <v>6195</v>
      </c>
      <c r="E1939">
        <v>2</v>
      </c>
      <c r="F1939" t="str">
        <f>HYPERLINK("https://github.com/marzika/Snapprefs/issues/158", "show")</f>
        <v>show</v>
      </c>
      <c r="G1939" t="str">
        <f>HYPERLINK("https://github.com/marzika/Snapprefs", "show")</f>
        <v>show</v>
      </c>
      <c r="H1939" t="str">
        <f>HYPERLINK("https://github.com/marzika/Snapprefs/releases", "show")</f>
        <v>show</v>
      </c>
      <c r="I1939">
        <v>1</v>
      </c>
      <c r="J1939">
        <v>0</v>
      </c>
      <c r="K1939">
        <v>0</v>
      </c>
      <c r="L1939">
        <v>0</v>
      </c>
      <c r="M1939" t="s">
        <v>17</v>
      </c>
    </row>
    <row r="1940" spans="1:13" hidden="1" x14ac:dyDescent="0.15">
      <c r="A1940" t="s">
        <v>6199</v>
      </c>
      <c r="B1940" t="s">
        <v>6200</v>
      </c>
      <c r="C1940" t="s">
        <v>6201</v>
      </c>
      <c r="D1940" t="s">
        <v>6195</v>
      </c>
      <c r="E1940">
        <v>11</v>
      </c>
      <c r="F1940" t="str">
        <f>HYPERLINK("https://github.com/javiersantos/BottomDialogs/issues/16", "show")</f>
        <v>show</v>
      </c>
      <c r="G1940" t="str">
        <f>HYPERLINK("https://github.com/javiersantos/BottomDialogs", "show")</f>
        <v>show</v>
      </c>
      <c r="H1940" t="str">
        <f>HYPERLINK("https://github.com/javiersantos/BottomDialogs/releases", "show")</f>
        <v>show</v>
      </c>
      <c r="I1940">
        <v>1</v>
      </c>
      <c r="J1940">
        <v>0</v>
      </c>
      <c r="K1940">
        <v>0</v>
      </c>
      <c r="L1940">
        <v>0</v>
      </c>
      <c r="M1940" t="s">
        <v>17</v>
      </c>
    </row>
    <row r="1941" spans="1:13" hidden="1" x14ac:dyDescent="0.15">
      <c r="A1941" t="s">
        <v>6202</v>
      </c>
      <c r="B1941" t="s">
        <v>6203</v>
      </c>
      <c r="C1941" t="s">
        <v>6204</v>
      </c>
      <c r="D1941" t="s">
        <v>6195</v>
      </c>
      <c r="E1941">
        <v>63</v>
      </c>
      <c r="F1941" t="str">
        <f>HYPERLINK("https://github.com/iomodo/Wally/issues/42", "show")</f>
        <v>show</v>
      </c>
      <c r="G1941" t="str">
        <f>HYPERLINK("https://github.com/iomodo/Wally", "show")</f>
        <v>show</v>
      </c>
      <c r="H1941" t="str">
        <f>HYPERLINK("https://github.com/iomodo/Wally/releases", "show")</f>
        <v>show</v>
      </c>
      <c r="I1941">
        <v>0</v>
      </c>
      <c r="J1941">
        <v>0</v>
      </c>
      <c r="K1941">
        <v>0</v>
      </c>
      <c r="L1941">
        <v>0</v>
      </c>
      <c r="M1941" t="s">
        <v>43</v>
      </c>
    </row>
    <row r="1942" spans="1:13" hidden="1" x14ac:dyDescent="0.15">
      <c r="A1942" t="s">
        <v>6205</v>
      </c>
      <c r="B1942" t="s">
        <v>6206</v>
      </c>
      <c r="C1942" t="s">
        <v>6207</v>
      </c>
      <c r="D1942" t="s">
        <v>6195</v>
      </c>
      <c r="E1942">
        <v>54</v>
      </c>
      <c r="F1942" t="str">
        <f>HYPERLINK("https://github.com/yigit/android-priority-jobqueue/issues/233", "show")</f>
        <v>show</v>
      </c>
      <c r="G1942" t="str">
        <f>HYPERLINK("https://github.com/yigit/android-priority-jobqueue", "show")</f>
        <v>show</v>
      </c>
      <c r="H1942" t="str">
        <f>HYPERLINK("https://github.com/yigit/android-priority-jobqueue/releases", "show")</f>
        <v>show</v>
      </c>
      <c r="I1942">
        <v>1</v>
      </c>
      <c r="J1942">
        <v>0</v>
      </c>
      <c r="K1942">
        <v>1</v>
      </c>
      <c r="L1942">
        <v>0</v>
      </c>
      <c r="M1942" t="s">
        <v>64</v>
      </c>
    </row>
    <row r="1943" spans="1:13" hidden="1" x14ac:dyDescent="0.15">
      <c r="A1943" t="s">
        <v>6208</v>
      </c>
      <c r="B1943" t="s">
        <v>6209</v>
      </c>
      <c r="D1943" t="s">
        <v>6195</v>
      </c>
      <c r="E1943">
        <v>0</v>
      </c>
      <c r="F1943" t="str">
        <f>HYPERLINK("https://github.com/codinguser/gnucash-android/issues/548", "show")</f>
        <v>show</v>
      </c>
      <c r="G1943" t="str">
        <f>HYPERLINK("https://github.com/codinguser/gnucash-android", "show")</f>
        <v>show</v>
      </c>
      <c r="H1943" t="str">
        <f>HYPERLINK("https://github.com/codinguser/gnucash-android/releases", "show")</f>
        <v>show</v>
      </c>
      <c r="I1943">
        <v>1</v>
      </c>
      <c r="J1943">
        <v>0</v>
      </c>
      <c r="K1943">
        <v>0</v>
      </c>
      <c r="L1943">
        <v>0</v>
      </c>
      <c r="M1943" t="s">
        <v>17</v>
      </c>
    </row>
    <row r="1944" spans="1:13" x14ac:dyDescent="0.15">
      <c r="A1944" t="s">
        <v>6210</v>
      </c>
      <c r="B1944" t="s">
        <v>6211</v>
      </c>
      <c r="C1944" t="s">
        <v>6212</v>
      </c>
      <c r="D1944" t="s">
        <v>6195</v>
      </c>
      <c r="E1944">
        <v>12</v>
      </c>
      <c r="F1944" t="str">
        <f>HYPERLINK("https://github.com/nextcloud/android/issues/221", "show")</f>
        <v>show</v>
      </c>
      <c r="G1944" t="str">
        <f>HYPERLINK("https://github.com/nextcloud/android", "show")</f>
        <v>show</v>
      </c>
      <c r="H1944" t="str">
        <f>HYPERLINK("https://github.com/nextcloud/android/releases", "show")</f>
        <v>show</v>
      </c>
      <c r="I1944">
        <v>0</v>
      </c>
      <c r="J1944">
        <v>1</v>
      </c>
      <c r="K1944">
        <v>0</v>
      </c>
      <c r="L1944">
        <v>0</v>
      </c>
      <c r="M1944" t="s">
        <v>139</v>
      </c>
    </row>
    <row r="1945" spans="1:13" hidden="1" x14ac:dyDescent="0.15">
      <c r="A1945" t="s">
        <v>6213</v>
      </c>
      <c r="B1945" t="s">
        <v>6214</v>
      </c>
      <c r="C1945" t="s">
        <v>6215</v>
      </c>
      <c r="D1945" t="s">
        <v>6216</v>
      </c>
      <c r="E1945">
        <v>18</v>
      </c>
      <c r="F1945" t="str">
        <f>HYPERLINK("https://github.com/cforlando/PetAdoption-Android/issues/41", "show")</f>
        <v>show</v>
      </c>
      <c r="G1945" t="str">
        <f>HYPERLINK("https://github.com/cforlando/PetAdoption-Android", "show")</f>
        <v>show</v>
      </c>
      <c r="H1945" t="str">
        <f>HYPERLINK("https://github.com/cforlando/PetAdoption-Android/releases", "show")</f>
        <v>show</v>
      </c>
      <c r="I1945">
        <v>1</v>
      </c>
      <c r="J1945">
        <v>0</v>
      </c>
      <c r="K1945">
        <v>0</v>
      </c>
      <c r="L1945">
        <v>0</v>
      </c>
      <c r="M1945" t="s">
        <v>17</v>
      </c>
    </row>
    <row r="1946" spans="1:13" hidden="1" x14ac:dyDescent="0.15">
      <c r="A1946" t="s">
        <v>6217</v>
      </c>
      <c r="B1946" t="s">
        <v>6218</v>
      </c>
      <c r="C1946" t="s">
        <v>6219</v>
      </c>
      <c r="D1946" t="s">
        <v>6216</v>
      </c>
      <c r="E1946">
        <v>1</v>
      </c>
      <c r="F1946" t="str">
        <f>HYPERLINK("https://github.com/longdivision/hex/issues/9", "show")</f>
        <v>show</v>
      </c>
      <c r="G1946" t="str">
        <f>HYPERLINK("https://github.com/longdivision/hex", "show")</f>
        <v>show</v>
      </c>
      <c r="H1946" t="str">
        <f>HYPERLINK("https://github.com/longdivision/hex/releases", "show")</f>
        <v>show</v>
      </c>
      <c r="I1946">
        <v>1</v>
      </c>
      <c r="J1946">
        <v>1</v>
      </c>
      <c r="K1946">
        <v>0</v>
      </c>
      <c r="L1946">
        <v>0</v>
      </c>
      <c r="M1946" t="s">
        <v>48</v>
      </c>
    </row>
    <row r="1947" spans="1:13" hidden="1" x14ac:dyDescent="0.15">
      <c r="A1947" t="s">
        <v>6220</v>
      </c>
      <c r="B1947" t="s">
        <v>6221</v>
      </c>
      <c r="D1947" t="s">
        <v>6222</v>
      </c>
      <c r="E1947">
        <v>37</v>
      </c>
      <c r="F1947" t="str">
        <f>HYPERLINK("https://github.com/praneetloke/AzureStorageExplorerAndroid/issues/14", "show")</f>
        <v>show</v>
      </c>
      <c r="G1947" t="str">
        <f>HYPERLINK("https://github.com/praneetloke/AzureStorageExplorerAndroid", "show")</f>
        <v>show</v>
      </c>
      <c r="H1947" t="str">
        <f>HYPERLINK("https://github.com/praneetloke/AzureStorageExplorerAndroid/releases", "show")</f>
        <v>show</v>
      </c>
      <c r="I1947">
        <v>1</v>
      </c>
      <c r="J1947">
        <v>0</v>
      </c>
      <c r="K1947">
        <v>1</v>
      </c>
      <c r="L1947">
        <v>0</v>
      </c>
      <c r="M1947" t="s">
        <v>64</v>
      </c>
    </row>
    <row r="1948" spans="1:13" hidden="1" x14ac:dyDescent="0.15">
      <c r="A1948" t="s">
        <v>6223</v>
      </c>
      <c r="B1948" t="s">
        <v>6224</v>
      </c>
      <c r="C1948" t="s">
        <v>6225</v>
      </c>
      <c r="D1948" t="s">
        <v>6222</v>
      </c>
      <c r="E1948">
        <v>338</v>
      </c>
      <c r="F1948" t="str">
        <f>HYPERLINK("https://github.com/erickok/transdroid/issues/325", "show")</f>
        <v>show</v>
      </c>
      <c r="G1948" t="str">
        <f>HYPERLINK("https://github.com/erickok/transdroid", "show")</f>
        <v>show</v>
      </c>
      <c r="H1948" t="str">
        <f>HYPERLINK("https://github.com/erickok/transdroid/releases", "show")</f>
        <v>show</v>
      </c>
      <c r="I1948">
        <v>1</v>
      </c>
      <c r="J1948">
        <v>0</v>
      </c>
      <c r="K1948">
        <v>1</v>
      </c>
      <c r="L1948">
        <v>0</v>
      </c>
      <c r="M1948" t="s">
        <v>64</v>
      </c>
    </row>
    <row r="1949" spans="1:13" hidden="1" x14ac:dyDescent="0.15">
      <c r="A1949" t="s">
        <v>6226</v>
      </c>
      <c r="B1949" t="s">
        <v>4257</v>
      </c>
      <c r="C1949" t="s">
        <v>6227</v>
      </c>
      <c r="D1949" t="s">
        <v>6222</v>
      </c>
      <c r="E1949">
        <v>0</v>
      </c>
      <c r="F1949" t="str">
        <f>HYPERLINK("https://github.com/clockbyte/admobadapter/issues/20", "show")</f>
        <v>show</v>
      </c>
      <c r="G1949" t="str">
        <f>HYPERLINK("https://github.com/clockbyte/admobadapter", "show")</f>
        <v>show</v>
      </c>
      <c r="H1949" t="str">
        <f>HYPERLINK("https://github.com/clockbyte/admobadapter/releases", "show")</f>
        <v>show</v>
      </c>
      <c r="I1949">
        <v>1</v>
      </c>
      <c r="J1949">
        <v>0</v>
      </c>
      <c r="K1949">
        <v>0</v>
      </c>
      <c r="L1949">
        <v>1</v>
      </c>
      <c r="M1949" t="s">
        <v>29</v>
      </c>
    </row>
    <row r="1950" spans="1:13" x14ac:dyDescent="0.15">
      <c r="A1950" t="s">
        <v>6228</v>
      </c>
      <c r="B1950" t="s">
        <v>6229</v>
      </c>
      <c r="C1950" t="s">
        <v>6230</v>
      </c>
      <c r="D1950" t="s">
        <v>6231</v>
      </c>
      <c r="E1950">
        <v>3</v>
      </c>
      <c r="F1950" t="str">
        <f>HYPERLINK("https://github.com/farkam135/GoIV/issues/135", "show")</f>
        <v>show</v>
      </c>
      <c r="G1950" t="str">
        <f>HYPERLINK("https://github.com/farkam135/GoIV", "show")</f>
        <v>show</v>
      </c>
      <c r="H1950" t="str">
        <f>HYPERLINK("https://github.com/farkam135/GoIV/releases", "show")</f>
        <v>show</v>
      </c>
      <c r="I1950">
        <v>0</v>
      </c>
      <c r="J1950">
        <v>1</v>
      </c>
      <c r="K1950">
        <v>0</v>
      </c>
      <c r="L1950">
        <v>0</v>
      </c>
      <c r="M1950" t="s">
        <v>139</v>
      </c>
    </row>
    <row r="1951" spans="1:13" hidden="1" x14ac:dyDescent="0.15">
      <c r="A1951" t="s">
        <v>6232</v>
      </c>
      <c r="B1951" t="s">
        <v>6233</v>
      </c>
      <c r="C1951" t="s">
        <v>6234</v>
      </c>
      <c r="D1951" t="s">
        <v>6231</v>
      </c>
      <c r="E1951">
        <v>3</v>
      </c>
      <c r="F1951" t="str">
        <f>HYPERLINK("https://github.com/codinguser/gnucash-android/issues/553", "show")</f>
        <v>show</v>
      </c>
      <c r="G1951" t="str">
        <f>HYPERLINK("https://github.com/codinguser/gnucash-android", "show")</f>
        <v>show</v>
      </c>
      <c r="H1951" t="str">
        <f>HYPERLINK("https://github.com/codinguser/gnucash-android/releases", "show")</f>
        <v>show</v>
      </c>
      <c r="I1951">
        <v>1</v>
      </c>
      <c r="J1951">
        <v>0</v>
      </c>
      <c r="K1951">
        <v>0</v>
      </c>
      <c r="L1951">
        <v>0</v>
      </c>
      <c r="M1951" t="s">
        <v>17</v>
      </c>
    </row>
    <row r="1952" spans="1:13" hidden="1" x14ac:dyDescent="0.15">
      <c r="A1952" t="s">
        <v>6235</v>
      </c>
      <c r="B1952" t="s">
        <v>6236</v>
      </c>
      <c r="C1952" t="s">
        <v>6237</v>
      </c>
      <c r="D1952" t="s">
        <v>6231</v>
      </c>
      <c r="E1952">
        <v>0</v>
      </c>
      <c r="F1952" t="str">
        <f>HYPERLINK("https://github.com/fossasia/phimpme-android/issues/15", "show")</f>
        <v>show</v>
      </c>
      <c r="G1952" t="str">
        <f>HYPERLINK("https://github.com/fossasia/phimpme-android", "show")</f>
        <v>show</v>
      </c>
      <c r="H1952" t="str">
        <f>HYPERLINK("https://github.com/fossasia/phimpme-android/releases", "show")</f>
        <v>show</v>
      </c>
      <c r="I1952">
        <v>0</v>
      </c>
      <c r="J1952">
        <v>0</v>
      </c>
      <c r="K1952">
        <v>0</v>
      </c>
      <c r="L1952">
        <v>0</v>
      </c>
      <c r="M1952" t="s">
        <v>43</v>
      </c>
    </row>
    <row r="1953" spans="1:13" hidden="1" x14ac:dyDescent="0.15">
      <c r="A1953" t="s">
        <v>6238</v>
      </c>
      <c r="B1953" t="s">
        <v>6239</v>
      </c>
      <c r="C1953" t="s">
        <v>6240</v>
      </c>
      <c r="D1953" t="s">
        <v>6231</v>
      </c>
      <c r="E1953">
        <v>10</v>
      </c>
      <c r="F1953" t="str">
        <f>HYPERLINK("https://github.com/alibaba/freeline/issues/8", "show")</f>
        <v>show</v>
      </c>
      <c r="G1953" t="str">
        <f>HYPERLINK("https://github.com/alibaba/freeline", "show")</f>
        <v>show</v>
      </c>
      <c r="H1953" t="str">
        <f>HYPERLINK("https://github.com/alibaba/freeline/releases", "show")</f>
        <v>show</v>
      </c>
      <c r="I1953">
        <v>0</v>
      </c>
      <c r="J1953">
        <v>0</v>
      </c>
      <c r="K1953">
        <v>0</v>
      </c>
      <c r="L1953">
        <v>0</v>
      </c>
      <c r="M1953" t="s">
        <v>43</v>
      </c>
    </row>
    <row r="1954" spans="1:13" hidden="1" x14ac:dyDescent="0.15">
      <c r="A1954" t="s">
        <v>6241</v>
      </c>
      <c r="B1954" t="s">
        <v>6242</v>
      </c>
      <c r="C1954" t="s">
        <v>6243</v>
      </c>
      <c r="D1954" t="s">
        <v>6244</v>
      </c>
      <c r="E1954">
        <v>6</v>
      </c>
      <c r="F1954" t="str">
        <f>HYPERLINK("https://github.com/fossasia/open-event-droidgen/issues/638", "show")</f>
        <v>show</v>
      </c>
      <c r="G1954" t="str">
        <f>HYPERLINK("https://github.com/fossasia/open-event-droidgen", "show")</f>
        <v>show</v>
      </c>
      <c r="H1954" t="str">
        <f>HYPERLINK("https://github.com/fossasia/open-event-droidgen/releases", "show")</f>
        <v>show</v>
      </c>
      <c r="I1954">
        <v>0</v>
      </c>
      <c r="J1954">
        <v>1</v>
      </c>
      <c r="K1954">
        <v>1</v>
      </c>
      <c r="L1954">
        <v>0</v>
      </c>
      <c r="M1954" t="s">
        <v>699</v>
      </c>
    </row>
    <row r="1955" spans="1:13" hidden="1" x14ac:dyDescent="0.15">
      <c r="A1955" t="s">
        <v>6245</v>
      </c>
      <c r="B1955" t="s">
        <v>6246</v>
      </c>
      <c r="C1955" t="s">
        <v>6247</v>
      </c>
      <c r="D1955" t="s">
        <v>6244</v>
      </c>
      <c r="E1955">
        <v>7</v>
      </c>
      <c r="F1955" t="str">
        <f>HYPERLINK("https://github.com/cgeo/cgeo/issues/5919", "show")</f>
        <v>show</v>
      </c>
      <c r="G1955" t="str">
        <f>HYPERLINK("https://github.com/cgeo/cgeo", "show")</f>
        <v>show</v>
      </c>
      <c r="H1955" t="str">
        <f>HYPERLINK("https://github.com/cgeo/cgeo/releases", "show")</f>
        <v>show</v>
      </c>
      <c r="I1955">
        <v>1</v>
      </c>
      <c r="J1955">
        <v>1</v>
      </c>
      <c r="K1955">
        <v>0</v>
      </c>
      <c r="L1955">
        <v>0</v>
      </c>
      <c r="M1955" t="s">
        <v>48</v>
      </c>
    </row>
    <row r="1956" spans="1:13" hidden="1" x14ac:dyDescent="0.15">
      <c r="A1956" t="s">
        <v>6248</v>
      </c>
      <c r="B1956" t="s">
        <v>6249</v>
      </c>
      <c r="C1956" t="s">
        <v>6250</v>
      </c>
      <c r="D1956" t="s">
        <v>6244</v>
      </c>
      <c r="E1956">
        <v>4</v>
      </c>
      <c r="F1956" t="str">
        <f>HYPERLINK("https://github.com/moneymanagerex/android-money-manager-ex/issues/978", "show")</f>
        <v>show</v>
      </c>
      <c r="G1956" t="str">
        <f>HYPERLINK("https://github.com/moneymanagerex/android-money-manager-ex", "show")</f>
        <v>show</v>
      </c>
      <c r="H1956" t="str">
        <f>HYPERLINK("https://github.com/moneymanagerex/android-money-manager-ex/releases", "show")</f>
        <v>show</v>
      </c>
      <c r="I1956">
        <v>0</v>
      </c>
      <c r="J1956">
        <v>0</v>
      </c>
      <c r="K1956">
        <v>1</v>
      </c>
      <c r="L1956">
        <v>0</v>
      </c>
      <c r="M1956" t="s">
        <v>122</v>
      </c>
    </row>
    <row r="1957" spans="1:13" hidden="1" x14ac:dyDescent="0.15">
      <c r="A1957" t="s">
        <v>6251</v>
      </c>
      <c r="B1957" t="s">
        <v>6252</v>
      </c>
      <c r="C1957" t="s">
        <v>6253</v>
      </c>
      <c r="D1957" t="s">
        <v>6254</v>
      </c>
      <c r="E1957">
        <v>5</v>
      </c>
      <c r="F1957" t="str">
        <f>HYPERLINK("https://github.com/barteksc/AndroidPdfViewer/issues/77", "show")</f>
        <v>show</v>
      </c>
      <c r="G1957" t="str">
        <f>HYPERLINK("https://github.com/barteksc/AndroidPdfViewer", "show")</f>
        <v>show</v>
      </c>
      <c r="H1957" t="str">
        <f>HYPERLINK("https://github.com/barteksc/AndroidPdfViewer/releases", "show")</f>
        <v>show</v>
      </c>
      <c r="I1957">
        <v>1</v>
      </c>
      <c r="J1957">
        <v>1</v>
      </c>
      <c r="K1957">
        <v>1</v>
      </c>
      <c r="L1957">
        <v>0</v>
      </c>
      <c r="M1957" t="s">
        <v>59</v>
      </c>
    </row>
    <row r="1958" spans="1:13" hidden="1" x14ac:dyDescent="0.15">
      <c r="A1958" t="s">
        <v>6255</v>
      </c>
      <c r="B1958" t="s">
        <v>6256</v>
      </c>
      <c r="C1958" t="s">
        <v>6257</v>
      </c>
      <c r="D1958" t="s">
        <v>6254</v>
      </c>
      <c r="E1958">
        <v>7</v>
      </c>
      <c r="F1958" t="str">
        <f>HYPERLINK("https://github.com/translation-cards/translation-cards/issues/285", "show")</f>
        <v>show</v>
      </c>
      <c r="G1958" t="str">
        <f>HYPERLINK("https://github.com/translation-cards/translation-cards", "show")</f>
        <v>show</v>
      </c>
      <c r="H1958" t="str">
        <f>HYPERLINK("https://github.com/translation-cards/translation-cards/releases", "show")</f>
        <v>show</v>
      </c>
      <c r="I1958">
        <v>1</v>
      </c>
      <c r="J1958">
        <v>0</v>
      </c>
      <c r="K1958">
        <v>0</v>
      </c>
      <c r="L1958">
        <v>0</v>
      </c>
      <c r="M1958" t="s">
        <v>17</v>
      </c>
    </row>
    <row r="1959" spans="1:13" hidden="1" x14ac:dyDescent="0.15">
      <c r="A1959" t="s">
        <v>6258</v>
      </c>
      <c r="B1959" t="s">
        <v>6259</v>
      </c>
      <c r="C1959" t="s">
        <v>6260</v>
      </c>
      <c r="D1959" t="s">
        <v>6254</v>
      </c>
      <c r="E1959">
        <v>3</v>
      </c>
      <c r="F1959" t="str">
        <f>HYPERLINK("https://github.com/farkam135/GoIV/issues/171", "show")</f>
        <v>show</v>
      </c>
      <c r="G1959" t="str">
        <f>HYPERLINK("https://github.com/farkam135/GoIV", "show")</f>
        <v>show</v>
      </c>
      <c r="H1959" t="str">
        <f>HYPERLINK("https://github.com/farkam135/GoIV/releases", "show")</f>
        <v>show</v>
      </c>
      <c r="I1959">
        <v>1</v>
      </c>
      <c r="J1959">
        <v>0</v>
      </c>
      <c r="K1959">
        <v>0</v>
      </c>
      <c r="L1959">
        <v>0</v>
      </c>
      <c r="M1959" t="s">
        <v>17</v>
      </c>
    </row>
    <row r="1960" spans="1:13" hidden="1" x14ac:dyDescent="0.15">
      <c r="A1960" t="s">
        <v>6261</v>
      </c>
      <c r="B1960" t="s">
        <v>6262</v>
      </c>
      <c r="C1960" t="s">
        <v>6263</v>
      </c>
      <c r="D1960" t="s">
        <v>6254</v>
      </c>
      <c r="E1960">
        <v>0</v>
      </c>
      <c r="F1960" t="str">
        <f>HYPERLINK("https://github.com/nbsp-team/MaterialFilePicker/issues/34", "show")</f>
        <v>show</v>
      </c>
      <c r="G1960" t="str">
        <f>HYPERLINK("https://github.com/nbsp-team/MaterialFilePicker", "show")</f>
        <v>show</v>
      </c>
      <c r="H1960" t="str">
        <f>HYPERLINK("https://github.com/nbsp-team/MaterialFilePicker/releases", "show")</f>
        <v>show</v>
      </c>
      <c r="I1960">
        <v>0</v>
      </c>
      <c r="J1960">
        <v>0</v>
      </c>
      <c r="K1960">
        <v>1</v>
      </c>
      <c r="L1960">
        <v>0</v>
      </c>
      <c r="M1960" t="s">
        <v>122</v>
      </c>
    </row>
    <row r="1961" spans="1:13" hidden="1" x14ac:dyDescent="0.15">
      <c r="A1961" t="s">
        <v>6264</v>
      </c>
      <c r="B1961" t="s">
        <v>6265</v>
      </c>
      <c r="C1961" t="s">
        <v>6266</v>
      </c>
      <c r="D1961" t="s">
        <v>6267</v>
      </c>
      <c r="E1961">
        <v>1</v>
      </c>
      <c r="F1961" t="str">
        <f>HYPERLINK("https://github.com/dimagi/commcare-android/issues/1469", "show")</f>
        <v>show</v>
      </c>
      <c r="G1961" t="str">
        <f>HYPERLINK("https://github.com/dimagi/commcare-android", "show")</f>
        <v>show</v>
      </c>
      <c r="H1961" t="str">
        <f>HYPERLINK("https://github.com/dimagi/commcare-android/releases", "show")</f>
        <v>show</v>
      </c>
      <c r="I1961">
        <v>0</v>
      </c>
      <c r="J1961">
        <v>0</v>
      </c>
      <c r="K1961">
        <v>1</v>
      </c>
      <c r="L1961">
        <v>0</v>
      </c>
      <c r="M1961" t="s">
        <v>122</v>
      </c>
    </row>
    <row r="1962" spans="1:13" hidden="1" x14ac:dyDescent="0.15">
      <c r="A1962" t="s">
        <v>6268</v>
      </c>
      <c r="B1962" t="s">
        <v>6269</v>
      </c>
      <c r="C1962" t="s">
        <v>6270</v>
      </c>
      <c r="D1962" t="s">
        <v>6267</v>
      </c>
      <c r="E1962">
        <v>0</v>
      </c>
      <c r="F1962" t="str">
        <f>HYPERLINK("https://github.com/dimagi/commcare-android/issues/1468", "show")</f>
        <v>show</v>
      </c>
      <c r="G1962" t="str">
        <f>HYPERLINK("https://github.com/dimagi/commcare-android", "show")</f>
        <v>show</v>
      </c>
      <c r="H1962" t="str">
        <f>HYPERLINK("https://github.com/dimagi/commcare-android/releases", "show")</f>
        <v>show</v>
      </c>
      <c r="I1962">
        <v>1</v>
      </c>
      <c r="J1962">
        <v>0</v>
      </c>
      <c r="K1962">
        <v>1</v>
      </c>
      <c r="L1962">
        <v>0</v>
      </c>
      <c r="M1962" t="s">
        <v>64</v>
      </c>
    </row>
    <row r="1963" spans="1:13" hidden="1" x14ac:dyDescent="0.15">
      <c r="A1963" t="s">
        <v>6271</v>
      </c>
      <c r="B1963" t="s">
        <v>6272</v>
      </c>
      <c r="C1963" t="s">
        <v>6273</v>
      </c>
      <c r="D1963" t="s">
        <v>6267</v>
      </c>
      <c r="E1963">
        <v>24</v>
      </c>
      <c r="F1963" t="str">
        <f>HYPERLINK("https://github.com/farkam135/GoIV/issues/183", "show")</f>
        <v>show</v>
      </c>
      <c r="G1963" t="str">
        <f>HYPERLINK("https://github.com/farkam135/GoIV", "show")</f>
        <v>show</v>
      </c>
      <c r="H1963" t="str">
        <f>HYPERLINK("https://github.com/farkam135/GoIV/releases", "show")</f>
        <v>show</v>
      </c>
      <c r="I1963">
        <v>1</v>
      </c>
      <c r="J1963">
        <v>0</v>
      </c>
      <c r="K1963">
        <v>0</v>
      </c>
      <c r="L1963">
        <v>0</v>
      </c>
      <c r="M1963" t="s">
        <v>17</v>
      </c>
    </row>
    <row r="1964" spans="1:13" hidden="1" x14ac:dyDescent="0.15">
      <c r="A1964" t="s">
        <v>6274</v>
      </c>
      <c r="B1964" t="s">
        <v>6275</v>
      </c>
      <c r="C1964" t="s">
        <v>6276</v>
      </c>
      <c r="D1964" t="s">
        <v>6267</v>
      </c>
      <c r="E1964">
        <v>7</v>
      </c>
      <c r="F1964" t="str">
        <f>HYPERLINK("https://github.com/ArtiomCX75/WeatherForecast/issues/18", "show")</f>
        <v>show</v>
      </c>
      <c r="G1964" t="str">
        <f>HYPERLINK("https://github.com/ArtiomCX75/WeatherForecast", "show")</f>
        <v>show</v>
      </c>
      <c r="H1964" t="str">
        <f>HYPERLINK("https://github.com/ArtiomCX75/WeatherForecast/releases", "show")</f>
        <v>show</v>
      </c>
      <c r="I1964">
        <v>0</v>
      </c>
      <c r="J1964">
        <v>0</v>
      </c>
      <c r="K1964">
        <v>0</v>
      </c>
      <c r="L1964">
        <v>0</v>
      </c>
      <c r="M1964" t="s">
        <v>43</v>
      </c>
    </row>
    <row r="1965" spans="1:13" hidden="1" x14ac:dyDescent="0.15">
      <c r="A1965" t="s">
        <v>6277</v>
      </c>
      <c r="B1965" t="s">
        <v>6278</v>
      </c>
      <c r="C1965" t="s">
        <v>6279</v>
      </c>
      <c r="D1965" t="s">
        <v>6280</v>
      </c>
      <c r="E1965">
        <v>150</v>
      </c>
      <c r="F1965" t="str">
        <f>HYPERLINK("https://github.com/grpc/grpc-java/issues/2207", "show")</f>
        <v>show</v>
      </c>
      <c r="G1965" t="str">
        <f>HYPERLINK("https://github.com/grpc/grpc-java", "show")</f>
        <v>show</v>
      </c>
      <c r="H1965" t="str">
        <f>HYPERLINK("https://github.com/grpc/grpc-java/releases", "show")</f>
        <v>show</v>
      </c>
      <c r="I1965">
        <v>1</v>
      </c>
      <c r="J1965">
        <v>0</v>
      </c>
      <c r="K1965">
        <v>0</v>
      </c>
      <c r="L1965">
        <v>0</v>
      </c>
      <c r="M1965" t="s">
        <v>17</v>
      </c>
    </row>
    <row r="1966" spans="1:13" hidden="1" x14ac:dyDescent="0.15">
      <c r="A1966" t="s">
        <v>6281</v>
      </c>
      <c r="B1966" t="s">
        <v>6282</v>
      </c>
      <c r="C1966" t="s">
        <v>6283</v>
      </c>
      <c r="D1966" t="s">
        <v>6280</v>
      </c>
      <c r="E1966">
        <v>81</v>
      </c>
      <c r="F1966" t="str">
        <f>HYPERLINK("https://github.com/bitstadium/HockeySDK-Android/issues/172", "show")</f>
        <v>show</v>
      </c>
      <c r="G1966" t="str">
        <f>HYPERLINK("https://github.com/bitstadium/HockeySDK-Android", "show")</f>
        <v>show</v>
      </c>
      <c r="H1966" t="str">
        <f>HYPERLINK("https://github.com/bitstadium/HockeySDK-Android/releases", "show")</f>
        <v>show</v>
      </c>
      <c r="I1966">
        <v>0</v>
      </c>
      <c r="J1966">
        <v>0</v>
      </c>
      <c r="K1966">
        <v>0</v>
      </c>
      <c r="L1966">
        <v>0</v>
      </c>
      <c r="M1966" t="s">
        <v>43</v>
      </c>
    </row>
    <row r="1967" spans="1:13" hidden="1" x14ac:dyDescent="0.15">
      <c r="A1967" t="s">
        <v>6284</v>
      </c>
      <c r="B1967" t="s">
        <v>6285</v>
      </c>
      <c r="C1967" t="s">
        <v>6286</v>
      </c>
      <c r="D1967" t="s">
        <v>6287</v>
      </c>
      <c r="E1967">
        <v>2</v>
      </c>
      <c r="F1967" t="str">
        <f>HYPERLINK("https://github.com/farkam135/GoIV/issues/234", "show")</f>
        <v>show</v>
      </c>
      <c r="G1967" t="str">
        <f>HYPERLINK("https://github.com/farkam135/GoIV", "show")</f>
        <v>show</v>
      </c>
      <c r="H1967" t="str">
        <f>HYPERLINK("https://github.com/farkam135/GoIV/releases", "show")</f>
        <v>show</v>
      </c>
      <c r="I1967">
        <v>0</v>
      </c>
      <c r="J1967">
        <v>0</v>
      </c>
      <c r="K1967">
        <v>0</v>
      </c>
      <c r="L1967">
        <v>0</v>
      </c>
      <c r="M1967" t="s">
        <v>43</v>
      </c>
    </row>
    <row r="1968" spans="1:13" hidden="1" x14ac:dyDescent="0.15">
      <c r="A1968" t="s">
        <v>6288</v>
      </c>
      <c r="B1968" t="s">
        <v>6289</v>
      </c>
      <c r="C1968" t="s">
        <v>6290</v>
      </c>
      <c r="D1968" t="s">
        <v>6287</v>
      </c>
      <c r="E1968">
        <v>6</v>
      </c>
      <c r="F1968" t="str">
        <f>HYPERLINK("https://github.com/fossasia/open-event-droidgen/issues/667", "show")</f>
        <v>show</v>
      </c>
      <c r="G1968" t="str">
        <f>HYPERLINK("https://github.com/fossasia/open-event-droidgen", "show")</f>
        <v>show</v>
      </c>
      <c r="H1968" t="str">
        <f>HYPERLINK("https://github.com/fossasia/open-event-droidgen/releases", "show")</f>
        <v>show</v>
      </c>
      <c r="I1968">
        <v>1</v>
      </c>
      <c r="J1968">
        <v>0</v>
      </c>
      <c r="K1968">
        <v>0</v>
      </c>
      <c r="L1968">
        <v>0</v>
      </c>
      <c r="M1968" t="s">
        <v>17</v>
      </c>
    </row>
    <row r="1969" spans="1:13" hidden="1" x14ac:dyDescent="0.15">
      <c r="A1969" t="s">
        <v>6291</v>
      </c>
      <c r="B1969" t="s">
        <v>6292</v>
      </c>
      <c r="C1969" t="s">
        <v>6293</v>
      </c>
      <c r="D1969" t="s">
        <v>6287</v>
      </c>
      <c r="E1969">
        <v>2</v>
      </c>
      <c r="F1969" t="str">
        <f>HYPERLINK("https://github.com/bgogetap/StickyHeaders/issues/18", "show")</f>
        <v>show</v>
      </c>
      <c r="G1969" t="str">
        <f>HYPERLINK("https://github.com/bgogetap/StickyHeaders", "show")</f>
        <v>show</v>
      </c>
      <c r="H1969" t="str">
        <f>HYPERLINK("https://github.com/bgogetap/StickyHeaders/releases", "show")</f>
        <v>show</v>
      </c>
      <c r="I1969">
        <v>1</v>
      </c>
      <c r="J1969">
        <v>0</v>
      </c>
      <c r="K1969">
        <v>1</v>
      </c>
      <c r="L1969">
        <v>0</v>
      </c>
      <c r="M1969" t="s">
        <v>64</v>
      </c>
    </row>
    <row r="1970" spans="1:13" hidden="1" x14ac:dyDescent="0.15">
      <c r="A1970" t="s">
        <v>6294</v>
      </c>
      <c r="B1970" t="s">
        <v>6295</v>
      </c>
      <c r="C1970" t="s">
        <v>6296</v>
      </c>
      <c r="D1970" t="s">
        <v>6297</v>
      </c>
      <c r="E1970">
        <v>11</v>
      </c>
      <c r="F1970" t="str">
        <f>HYPERLINK("https://github.com/marzika/Snapprefs/issues/185", "show")</f>
        <v>show</v>
      </c>
      <c r="G1970" t="str">
        <f>HYPERLINK("https://github.com/marzika/Snapprefs", "show")</f>
        <v>show</v>
      </c>
      <c r="H1970" t="str">
        <f>HYPERLINK("https://github.com/marzika/Snapprefs/releases", "show")</f>
        <v>show</v>
      </c>
      <c r="I1970">
        <v>1</v>
      </c>
      <c r="J1970">
        <v>0</v>
      </c>
      <c r="K1970">
        <v>0</v>
      </c>
      <c r="L1970">
        <v>0</v>
      </c>
      <c r="M1970" t="s">
        <v>17</v>
      </c>
    </row>
    <row r="1971" spans="1:13" hidden="1" x14ac:dyDescent="0.15">
      <c r="A1971" t="s">
        <v>6298</v>
      </c>
      <c r="B1971" t="s">
        <v>6299</v>
      </c>
      <c r="D1971" t="s">
        <v>6297</v>
      </c>
      <c r="E1971">
        <v>0</v>
      </c>
      <c r="F1971" t="str">
        <f>HYPERLINK("https://github.com/praneetloke/AzureStorageExplorerAndroid/issues/15", "show")</f>
        <v>show</v>
      </c>
      <c r="G1971" t="str">
        <f>HYPERLINK("https://github.com/praneetloke/AzureStorageExplorerAndroid", "show")</f>
        <v>show</v>
      </c>
      <c r="H1971" t="str">
        <f>HYPERLINK("https://github.com/praneetloke/AzureStorageExplorerAndroid/releases", "show")</f>
        <v>show</v>
      </c>
      <c r="I1971">
        <v>1</v>
      </c>
      <c r="J1971">
        <v>0</v>
      </c>
      <c r="K1971">
        <v>0</v>
      </c>
      <c r="L1971">
        <v>0</v>
      </c>
      <c r="M1971" t="s">
        <v>17</v>
      </c>
    </row>
    <row r="1972" spans="1:13" hidden="1" x14ac:dyDescent="0.15">
      <c r="A1972" t="s">
        <v>6300</v>
      </c>
      <c r="B1972" t="s">
        <v>6301</v>
      </c>
      <c r="C1972" t="s">
        <v>6302</v>
      </c>
      <c r="D1972" t="s">
        <v>6297</v>
      </c>
      <c r="E1972">
        <v>0</v>
      </c>
      <c r="F1972" t="str">
        <f>HYPERLINK("https://github.com/farkam135/GoIV/issues/256", "show")</f>
        <v>show</v>
      </c>
      <c r="G1972" t="str">
        <f>HYPERLINK("https://github.com/farkam135/GoIV", "show")</f>
        <v>show</v>
      </c>
      <c r="H1972" t="str">
        <f>HYPERLINK("https://github.com/farkam135/GoIV/releases", "show")</f>
        <v>show</v>
      </c>
      <c r="I1972">
        <v>0</v>
      </c>
      <c r="J1972">
        <v>0</v>
      </c>
      <c r="K1972">
        <v>0</v>
      </c>
      <c r="L1972">
        <v>0</v>
      </c>
      <c r="M1972" t="s">
        <v>43</v>
      </c>
    </row>
    <row r="1973" spans="1:13" hidden="1" x14ac:dyDescent="0.15">
      <c r="A1973" t="s">
        <v>6303</v>
      </c>
      <c r="B1973" t="s">
        <v>6304</v>
      </c>
      <c r="C1973" t="s">
        <v>6305</v>
      </c>
      <c r="D1973" t="s">
        <v>6297</v>
      </c>
      <c r="E1973">
        <v>19</v>
      </c>
      <c r="F1973" t="str">
        <f>HYPERLINK("https://github.com/iomodo/Wally/issues/53", "show")</f>
        <v>show</v>
      </c>
      <c r="G1973" t="str">
        <f>HYPERLINK("https://github.com/iomodo/Wally", "show")</f>
        <v>show</v>
      </c>
      <c r="H1973" t="str">
        <f>HYPERLINK("https://github.com/iomodo/Wally/releases", "show")</f>
        <v>show</v>
      </c>
      <c r="I1973">
        <v>0</v>
      </c>
      <c r="J1973">
        <v>0</v>
      </c>
      <c r="K1973">
        <v>1</v>
      </c>
      <c r="L1973">
        <v>0</v>
      </c>
      <c r="M1973" t="s">
        <v>122</v>
      </c>
    </row>
    <row r="1974" spans="1:13" hidden="1" x14ac:dyDescent="0.15">
      <c r="A1974" t="s">
        <v>6306</v>
      </c>
      <c r="B1974" t="s">
        <v>6307</v>
      </c>
      <c r="C1974" t="s">
        <v>6308</v>
      </c>
      <c r="D1974" t="s">
        <v>6297</v>
      </c>
      <c r="E1974">
        <v>13</v>
      </c>
      <c r="F1974" t="str">
        <f>HYPERLINK("https://github.com/ELynx/pokemon-go-xposed-mitm/issues/9", "show")</f>
        <v>show</v>
      </c>
      <c r="G1974" t="str">
        <f>HYPERLINK("https://github.com/ELynx/pokemon-go-xposed-mitm", "show")</f>
        <v>show</v>
      </c>
      <c r="H1974" t="str">
        <f>HYPERLINK("https://github.com/ELynx/pokemon-go-xposed-mitm/releases", "show")</f>
        <v>show</v>
      </c>
      <c r="I1974">
        <v>0</v>
      </c>
      <c r="J1974">
        <v>0</v>
      </c>
      <c r="K1974">
        <v>0</v>
      </c>
      <c r="L1974">
        <v>0</v>
      </c>
      <c r="M1974" t="s">
        <v>43</v>
      </c>
    </row>
    <row r="1975" spans="1:13" hidden="1" x14ac:dyDescent="0.15">
      <c r="A1975" t="s">
        <v>6309</v>
      </c>
      <c r="B1975" t="s">
        <v>6310</v>
      </c>
      <c r="C1975" t="s">
        <v>6311</v>
      </c>
      <c r="D1975" t="s">
        <v>6312</v>
      </c>
      <c r="E1975">
        <v>1</v>
      </c>
      <c r="F1975" t="str">
        <f>HYPERLINK("https://github.com/farkam135/GoIV/issues/284", "show")</f>
        <v>show</v>
      </c>
      <c r="G1975" t="str">
        <f>HYPERLINK("https://github.com/farkam135/GoIV", "show")</f>
        <v>show</v>
      </c>
      <c r="H1975" t="str">
        <f>HYPERLINK("https://github.com/farkam135/GoIV/releases", "show")</f>
        <v>show</v>
      </c>
      <c r="I1975">
        <v>0</v>
      </c>
      <c r="J1975">
        <v>0</v>
      </c>
      <c r="K1975">
        <v>0</v>
      </c>
      <c r="L1975">
        <v>0</v>
      </c>
      <c r="M1975" t="s">
        <v>43</v>
      </c>
    </row>
    <row r="1976" spans="1:13" hidden="1" x14ac:dyDescent="0.15">
      <c r="A1976" t="s">
        <v>6313</v>
      </c>
      <c r="B1976" t="s">
        <v>6314</v>
      </c>
      <c r="C1976" t="s">
        <v>6315</v>
      </c>
      <c r="D1976" t="s">
        <v>6312</v>
      </c>
      <c r="E1976">
        <v>4</v>
      </c>
      <c r="F1976" t="str">
        <f>HYPERLINK("https://github.com/itachi1706/CheesecakeAppUpdater/issues/2", "show")</f>
        <v>show</v>
      </c>
      <c r="G1976" t="str">
        <f>HYPERLINK("https://github.com/itachi1706/CheesecakeAppUpdater", "show")</f>
        <v>show</v>
      </c>
      <c r="H1976" t="str">
        <f>HYPERLINK("https://github.com/itachi1706/CheesecakeAppUpdater/releases", "show")</f>
        <v>show</v>
      </c>
      <c r="I1976">
        <v>1</v>
      </c>
      <c r="J1976">
        <v>0</v>
      </c>
      <c r="K1976">
        <v>0</v>
      </c>
      <c r="L1976">
        <v>0</v>
      </c>
      <c r="M1976" t="s">
        <v>17</v>
      </c>
    </row>
    <row r="1977" spans="1:13" hidden="1" x14ac:dyDescent="0.15">
      <c r="A1977" t="s">
        <v>6316</v>
      </c>
      <c r="B1977" t="s">
        <v>6317</v>
      </c>
      <c r="C1977" t="s">
        <v>6318</v>
      </c>
      <c r="D1977" t="s">
        <v>6319</v>
      </c>
      <c r="E1977">
        <v>8</v>
      </c>
      <c r="F1977" t="str">
        <f>HYPERLINK("https://github.com/mauron85/react-native-background-geolocation/issues/10", "show")</f>
        <v>show</v>
      </c>
      <c r="G1977" t="str">
        <f>HYPERLINK("https://github.com/mauron85/react-native-background-geolocation", "show")</f>
        <v>show</v>
      </c>
      <c r="H1977" t="str">
        <f>HYPERLINK("https://github.com/mauron85/react-native-background-geolocation/releases", "show")</f>
        <v>show</v>
      </c>
      <c r="I1977">
        <v>1</v>
      </c>
      <c r="J1977">
        <v>0</v>
      </c>
      <c r="K1977">
        <v>0</v>
      </c>
      <c r="L1977">
        <v>0</v>
      </c>
      <c r="M1977" t="s">
        <v>17</v>
      </c>
    </row>
    <row r="1978" spans="1:13" hidden="1" x14ac:dyDescent="0.15">
      <c r="A1978" t="s">
        <v>6320</v>
      </c>
      <c r="B1978" t="s">
        <v>6321</v>
      </c>
      <c r="C1978" t="s">
        <v>6322</v>
      </c>
      <c r="D1978" t="s">
        <v>6319</v>
      </c>
      <c r="E1978">
        <v>0</v>
      </c>
      <c r="F1978" t="str">
        <f>HYPERLINK("https://github.com/TodorGinchev/ThePRECIOUSprojectAPP/issues/3", "show")</f>
        <v>show</v>
      </c>
      <c r="G1978" t="str">
        <f>HYPERLINK("https://github.com/TodorGinchev/ThePRECIOUSprojectAPP", "show")</f>
        <v>show</v>
      </c>
      <c r="H1978" t="str">
        <f>HYPERLINK("https://github.com/TodorGinchev/ThePRECIOUSprojectAPP/releases", "show")</f>
        <v>show</v>
      </c>
      <c r="I1978">
        <v>1</v>
      </c>
      <c r="J1978">
        <v>0</v>
      </c>
      <c r="K1978">
        <v>0</v>
      </c>
      <c r="L1978">
        <v>0</v>
      </c>
      <c r="M1978" t="s">
        <v>17</v>
      </c>
    </row>
    <row r="1979" spans="1:13" hidden="1" x14ac:dyDescent="0.15">
      <c r="A1979" t="s">
        <v>6323</v>
      </c>
      <c r="B1979" t="s">
        <v>6324</v>
      </c>
      <c r="C1979" t="s">
        <v>6325</v>
      </c>
      <c r="D1979" t="s">
        <v>6319</v>
      </c>
      <c r="E1979">
        <v>0</v>
      </c>
      <c r="F1979" t="str">
        <f>HYPERLINK("https://github.com/k9mail/k-9/issues/1582", "show")</f>
        <v>show</v>
      </c>
      <c r="G1979" t="str">
        <f>HYPERLINK("https://github.com/k9mail/k-9", "show")</f>
        <v>show</v>
      </c>
      <c r="H1979" t="str">
        <f>HYPERLINK("https://github.com/k9mail/k-9/releases", "show")</f>
        <v>show</v>
      </c>
      <c r="I1979">
        <v>1</v>
      </c>
      <c r="J1979">
        <v>1</v>
      </c>
      <c r="K1979">
        <v>1</v>
      </c>
      <c r="L1979">
        <v>0</v>
      </c>
      <c r="M1979" t="s">
        <v>59</v>
      </c>
    </row>
    <row r="1980" spans="1:13" hidden="1" x14ac:dyDescent="0.15">
      <c r="A1980" t="s">
        <v>6326</v>
      </c>
      <c r="B1980" t="s">
        <v>6327</v>
      </c>
      <c r="C1980" t="s">
        <v>6328</v>
      </c>
      <c r="D1980" t="s">
        <v>6329</v>
      </c>
      <c r="E1980">
        <v>0</v>
      </c>
      <c r="F1980" t="str">
        <f>HYPERLINK("https://github.com/osmdroid/osmdroid/issues/393", "show")</f>
        <v>show</v>
      </c>
      <c r="G1980" t="str">
        <f>HYPERLINK("https://github.com/osmdroid/osmdroid", "show")</f>
        <v>show</v>
      </c>
      <c r="H1980" t="str">
        <f>HYPERLINK("https://github.com/osmdroid/osmdroid/releases", "show")</f>
        <v>show</v>
      </c>
      <c r="I1980">
        <v>0</v>
      </c>
      <c r="J1980">
        <v>0</v>
      </c>
      <c r="K1980">
        <v>0</v>
      </c>
      <c r="L1980">
        <v>0</v>
      </c>
      <c r="M1980" t="s">
        <v>43</v>
      </c>
    </row>
    <row r="1981" spans="1:13" hidden="1" x14ac:dyDescent="0.15">
      <c r="A1981" t="s">
        <v>6330</v>
      </c>
      <c r="B1981" t="s">
        <v>6331</v>
      </c>
      <c r="C1981" t="s">
        <v>6332</v>
      </c>
      <c r="D1981" t="s">
        <v>6329</v>
      </c>
      <c r="E1981">
        <v>22</v>
      </c>
      <c r="F1981" t="str">
        <f>HYPERLINK("https://github.com/stefan-niedermann/nextcloud-notes/issues/130", "show")</f>
        <v>show</v>
      </c>
      <c r="G1981" t="str">
        <f>HYPERLINK("https://github.com/stefan-niedermann/nextcloud-notes", "show")</f>
        <v>show</v>
      </c>
      <c r="H1981" t="str">
        <f>HYPERLINK("https://github.com/stefan-niedermann/nextcloud-notes/releases", "show")</f>
        <v>show</v>
      </c>
      <c r="I1981">
        <v>1</v>
      </c>
      <c r="J1981">
        <v>0</v>
      </c>
      <c r="K1981">
        <v>0</v>
      </c>
      <c r="L1981">
        <v>0</v>
      </c>
      <c r="M1981" t="s">
        <v>17</v>
      </c>
    </row>
    <row r="1982" spans="1:13" hidden="1" x14ac:dyDescent="0.15">
      <c r="A1982" t="s">
        <v>6333</v>
      </c>
      <c r="B1982" t="s">
        <v>6334</v>
      </c>
      <c r="C1982" t="s">
        <v>6335</v>
      </c>
      <c r="D1982" t="s">
        <v>6329</v>
      </c>
      <c r="E1982">
        <v>413</v>
      </c>
      <c r="F1982" t="str">
        <f>HYPERLINK("https://github.com/aws-amplify/aws-sdk-android/issues/191", "show")</f>
        <v>show</v>
      </c>
      <c r="G1982" t="str">
        <f>HYPERLINK("https://github.com/aws-amplify/aws-sdk-android", "show")</f>
        <v>show</v>
      </c>
      <c r="H1982" t="str">
        <f>HYPERLINK("https://github.com/aws-amplify/aws-sdk-android/releases", "show")</f>
        <v>show</v>
      </c>
      <c r="I1982">
        <v>0</v>
      </c>
      <c r="J1982">
        <v>0</v>
      </c>
      <c r="K1982">
        <v>1</v>
      </c>
      <c r="L1982">
        <v>0</v>
      </c>
      <c r="M1982" t="s">
        <v>122</v>
      </c>
    </row>
    <row r="1983" spans="1:13" hidden="1" x14ac:dyDescent="0.15">
      <c r="A1983" t="s">
        <v>6336</v>
      </c>
      <c r="B1983" t="s">
        <v>6337</v>
      </c>
      <c r="C1983" t="s">
        <v>6338</v>
      </c>
      <c r="D1983" t="s">
        <v>6329</v>
      </c>
      <c r="E1983">
        <v>6</v>
      </c>
      <c r="F1983" t="str">
        <f>HYPERLINK("https://github.com/requery/requery/issues/267", "show")</f>
        <v>show</v>
      </c>
      <c r="G1983" t="str">
        <f>HYPERLINK("https://github.com/requery/requery", "show")</f>
        <v>show</v>
      </c>
      <c r="H1983" t="str">
        <f>HYPERLINK("https://github.com/requery/requery/releases", "show")</f>
        <v>show</v>
      </c>
      <c r="I1983">
        <v>1</v>
      </c>
      <c r="J1983">
        <v>0</v>
      </c>
      <c r="K1983">
        <v>1</v>
      </c>
      <c r="L1983">
        <v>0</v>
      </c>
      <c r="M1983" t="s">
        <v>64</v>
      </c>
    </row>
    <row r="1984" spans="1:13" hidden="1" x14ac:dyDescent="0.15">
      <c r="A1984" t="s">
        <v>6339</v>
      </c>
      <c r="B1984" t="s">
        <v>6340</v>
      </c>
      <c r="C1984" t="s">
        <v>6341</v>
      </c>
      <c r="D1984" t="s">
        <v>6342</v>
      </c>
      <c r="E1984">
        <v>0</v>
      </c>
      <c r="F1984" t="str">
        <f>HYPERLINK("https://github.com/KeepSafe/ReLinker/issues/27", "show")</f>
        <v>show</v>
      </c>
      <c r="G1984" t="str">
        <f>HYPERLINK("https://github.com/KeepSafe/ReLinker", "show")</f>
        <v>show</v>
      </c>
      <c r="H1984" t="str">
        <f>HYPERLINK("https://github.com/KeepSafe/ReLinker/releases", "show")</f>
        <v>show</v>
      </c>
      <c r="I1984">
        <v>0</v>
      </c>
      <c r="J1984">
        <v>0</v>
      </c>
      <c r="K1984">
        <v>0</v>
      </c>
      <c r="L1984">
        <v>0</v>
      </c>
      <c r="M1984" t="s">
        <v>43</v>
      </c>
    </row>
    <row r="1985" spans="1:13" hidden="1" x14ac:dyDescent="0.15">
      <c r="A1985" t="s">
        <v>6343</v>
      </c>
      <c r="B1985" t="s">
        <v>6344</v>
      </c>
      <c r="C1985" t="s">
        <v>6345</v>
      </c>
      <c r="D1985" t="s">
        <v>6346</v>
      </c>
      <c r="E1985">
        <v>6</v>
      </c>
      <c r="F1985" t="str">
        <f>HYPERLINK("https://github.com/farkam135/GoIV/issues/357", "show")</f>
        <v>show</v>
      </c>
      <c r="G1985" t="str">
        <f>HYPERLINK("https://github.com/farkam135/GoIV", "show")</f>
        <v>show</v>
      </c>
      <c r="H1985" t="str">
        <f>HYPERLINK("https://github.com/farkam135/GoIV/releases", "show")</f>
        <v>show</v>
      </c>
      <c r="I1985">
        <v>0</v>
      </c>
      <c r="J1985">
        <v>0</v>
      </c>
      <c r="K1985">
        <v>0</v>
      </c>
      <c r="L1985">
        <v>0</v>
      </c>
      <c r="M1985" t="s">
        <v>43</v>
      </c>
    </row>
    <row r="1986" spans="1:13" hidden="1" x14ac:dyDescent="0.15">
      <c r="A1986" t="s">
        <v>6347</v>
      </c>
      <c r="B1986" t="s">
        <v>6348</v>
      </c>
      <c r="D1986" t="s">
        <v>6349</v>
      </c>
      <c r="E1986">
        <v>0</v>
      </c>
      <c r="F1986" t="str">
        <f>HYPERLINK("https://github.com/fennifith/Status/issues/16", "show")</f>
        <v>show</v>
      </c>
      <c r="G1986" t="str">
        <f>HYPERLINK("https://github.com/fennifith/Status", "show")</f>
        <v>show</v>
      </c>
      <c r="H1986" t="str">
        <f>HYPERLINK("https://github.com/fennifith/Status/releases", "show")</f>
        <v>show</v>
      </c>
      <c r="I1986">
        <v>1</v>
      </c>
      <c r="J1986">
        <v>0</v>
      </c>
      <c r="K1986">
        <v>0</v>
      </c>
      <c r="L1986">
        <v>0</v>
      </c>
      <c r="M1986" t="s">
        <v>17</v>
      </c>
    </row>
    <row r="1987" spans="1:13" x14ac:dyDescent="0.15">
      <c r="A1987" t="s">
        <v>6350</v>
      </c>
      <c r="B1987" t="s">
        <v>6351</v>
      </c>
      <c r="C1987" t="s">
        <v>6352</v>
      </c>
      <c r="D1987" t="s">
        <v>6349</v>
      </c>
      <c r="E1987">
        <v>52</v>
      </c>
      <c r="F1987" t="str">
        <f>HYPERLINK("https://github.com/hidroh/materialistic/issues/654", "show")</f>
        <v>show</v>
      </c>
      <c r="G1987" t="str">
        <f>HYPERLINK("https://github.com/hidroh/materialistic", "show")</f>
        <v>show</v>
      </c>
      <c r="H1987" t="str">
        <f>HYPERLINK("https://github.com/hidroh/materialistic/releases", "show")</f>
        <v>show</v>
      </c>
      <c r="I1987">
        <v>0</v>
      </c>
      <c r="J1987">
        <v>1</v>
      </c>
      <c r="K1987">
        <v>0</v>
      </c>
      <c r="L1987">
        <v>0</v>
      </c>
      <c r="M1987" t="s">
        <v>139</v>
      </c>
    </row>
    <row r="1988" spans="1:13" hidden="1" x14ac:dyDescent="0.15">
      <c r="A1988" t="s">
        <v>6353</v>
      </c>
      <c r="B1988" t="s">
        <v>6354</v>
      </c>
      <c r="C1988" t="s">
        <v>6355</v>
      </c>
      <c r="D1988" t="s">
        <v>6356</v>
      </c>
      <c r="E1988">
        <v>609</v>
      </c>
      <c r="F1988" t="str">
        <f>HYPERLINK("https://github.com/getodk/collect/issues/190", "show")</f>
        <v>show</v>
      </c>
      <c r="G1988" t="str">
        <f t="shared" ref="G1988:G2004" si="14">HYPERLINK("https://github.com/getodk/collect", "show")</f>
        <v>show</v>
      </c>
      <c r="H1988" t="str">
        <f t="shared" ref="H1988:H2004" si="15">HYPERLINK("https://github.com/getodk/collect/releases", "show")</f>
        <v>show</v>
      </c>
      <c r="I1988">
        <v>1</v>
      </c>
      <c r="J1988">
        <v>0</v>
      </c>
      <c r="K1988">
        <v>0</v>
      </c>
      <c r="L1988">
        <v>0</v>
      </c>
      <c r="M1988" t="s">
        <v>17</v>
      </c>
    </row>
    <row r="1989" spans="1:13" hidden="1" x14ac:dyDescent="0.15">
      <c r="A1989" t="s">
        <v>6357</v>
      </c>
      <c r="B1989" t="s">
        <v>6358</v>
      </c>
      <c r="C1989" t="s">
        <v>6359</v>
      </c>
      <c r="D1989" t="s">
        <v>6356</v>
      </c>
      <c r="E1989">
        <v>43</v>
      </c>
      <c r="F1989" t="str">
        <f>HYPERLINK("https://github.com/getodk/collect/issues/188", "show")</f>
        <v>show</v>
      </c>
      <c r="G1989" t="str">
        <f t="shared" si="14"/>
        <v>show</v>
      </c>
      <c r="H1989" t="str">
        <f t="shared" si="15"/>
        <v>show</v>
      </c>
      <c r="I1989">
        <v>1</v>
      </c>
      <c r="J1989">
        <v>0</v>
      </c>
      <c r="K1989">
        <v>0</v>
      </c>
      <c r="L1989">
        <v>0</v>
      </c>
      <c r="M1989" t="s">
        <v>17</v>
      </c>
    </row>
    <row r="1990" spans="1:13" x14ac:dyDescent="0.15">
      <c r="A1990" t="s">
        <v>6360</v>
      </c>
      <c r="B1990" t="s">
        <v>6361</v>
      </c>
      <c r="C1990" t="s">
        <v>6362</v>
      </c>
      <c r="D1990" t="s">
        <v>6356</v>
      </c>
      <c r="E1990">
        <v>51</v>
      </c>
      <c r="F1990" t="str">
        <f>HYPERLINK("https://github.com/getodk/collect/issues/175", "show")</f>
        <v>show</v>
      </c>
      <c r="G1990" t="str">
        <f t="shared" si="14"/>
        <v>show</v>
      </c>
      <c r="H1990" t="str">
        <f t="shared" si="15"/>
        <v>show</v>
      </c>
      <c r="I1990">
        <v>0</v>
      </c>
      <c r="J1990">
        <v>1</v>
      </c>
      <c r="K1990">
        <v>0</v>
      </c>
      <c r="L1990">
        <v>0</v>
      </c>
      <c r="M1990" t="s">
        <v>139</v>
      </c>
    </row>
    <row r="1991" spans="1:13" hidden="1" x14ac:dyDescent="0.15">
      <c r="A1991" t="s">
        <v>6363</v>
      </c>
      <c r="B1991" t="s">
        <v>6364</v>
      </c>
      <c r="C1991" t="s">
        <v>6365</v>
      </c>
      <c r="D1991" t="s">
        <v>6356</v>
      </c>
      <c r="E1991">
        <v>176</v>
      </c>
      <c r="F1991" t="str">
        <f>HYPERLINK("https://github.com/getodk/collect/issues/156", "show")</f>
        <v>show</v>
      </c>
      <c r="G1991" t="str">
        <f t="shared" si="14"/>
        <v>show</v>
      </c>
      <c r="H1991" t="str">
        <f t="shared" si="15"/>
        <v>show</v>
      </c>
      <c r="I1991">
        <v>1</v>
      </c>
      <c r="J1991">
        <v>1</v>
      </c>
      <c r="K1991">
        <v>1</v>
      </c>
      <c r="L1991">
        <v>0</v>
      </c>
      <c r="M1991" t="s">
        <v>59</v>
      </c>
    </row>
    <row r="1992" spans="1:13" x14ac:dyDescent="0.15">
      <c r="A1992" t="s">
        <v>6366</v>
      </c>
      <c r="B1992" t="s">
        <v>6367</v>
      </c>
      <c r="C1992" t="s">
        <v>6368</v>
      </c>
      <c r="D1992" t="s">
        <v>6356</v>
      </c>
      <c r="E1992">
        <v>421</v>
      </c>
      <c r="F1992" t="str">
        <f>HYPERLINK("https://github.com/getodk/collect/issues/155", "show")</f>
        <v>show</v>
      </c>
      <c r="G1992" t="str">
        <f t="shared" si="14"/>
        <v>show</v>
      </c>
      <c r="H1992" t="str">
        <f t="shared" si="15"/>
        <v>show</v>
      </c>
      <c r="I1992">
        <v>0</v>
      </c>
      <c r="J1992">
        <v>1</v>
      </c>
      <c r="K1992">
        <v>0</v>
      </c>
      <c r="L1992">
        <v>0</v>
      </c>
      <c r="M1992" t="s">
        <v>139</v>
      </c>
    </row>
    <row r="1993" spans="1:13" hidden="1" x14ac:dyDescent="0.15">
      <c r="A1993" t="s">
        <v>6369</v>
      </c>
      <c r="B1993" t="s">
        <v>6370</v>
      </c>
      <c r="C1993" t="s">
        <v>6371</v>
      </c>
      <c r="D1993" t="s">
        <v>6356</v>
      </c>
      <c r="E1993">
        <v>154</v>
      </c>
      <c r="F1993" t="str">
        <f>HYPERLINK("https://github.com/getodk/collect/issues/149", "show")</f>
        <v>show</v>
      </c>
      <c r="G1993" t="str">
        <f t="shared" si="14"/>
        <v>show</v>
      </c>
      <c r="H1993" t="str">
        <f t="shared" si="15"/>
        <v>show</v>
      </c>
      <c r="I1993">
        <v>0</v>
      </c>
      <c r="J1993">
        <v>0</v>
      </c>
      <c r="K1993">
        <v>0</v>
      </c>
      <c r="L1993">
        <v>0</v>
      </c>
      <c r="M1993" t="s">
        <v>43</v>
      </c>
    </row>
    <row r="1994" spans="1:13" x14ac:dyDescent="0.15">
      <c r="A1994" t="s">
        <v>6372</v>
      </c>
      <c r="B1994" t="s">
        <v>6373</v>
      </c>
      <c r="C1994" t="s">
        <v>6374</v>
      </c>
      <c r="D1994" t="s">
        <v>6356</v>
      </c>
      <c r="E1994">
        <v>151</v>
      </c>
      <c r="F1994" t="str">
        <f>HYPERLINK("https://github.com/getodk/collect/issues/145", "show")</f>
        <v>show</v>
      </c>
      <c r="G1994" t="str">
        <f t="shared" si="14"/>
        <v>show</v>
      </c>
      <c r="H1994" t="str">
        <f t="shared" si="15"/>
        <v>show</v>
      </c>
      <c r="I1994">
        <v>0</v>
      </c>
      <c r="J1994">
        <v>1</v>
      </c>
      <c r="K1994">
        <v>0</v>
      </c>
      <c r="L1994">
        <v>0</v>
      </c>
      <c r="M1994" t="s">
        <v>139</v>
      </c>
    </row>
    <row r="1995" spans="1:13" hidden="1" x14ac:dyDescent="0.15">
      <c r="A1995" t="s">
        <v>6375</v>
      </c>
      <c r="B1995" t="s">
        <v>6376</v>
      </c>
      <c r="C1995" t="s">
        <v>6377</v>
      </c>
      <c r="D1995" t="s">
        <v>6356</v>
      </c>
      <c r="E1995">
        <v>441</v>
      </c>
      <c r="F1995" t="str">
        <f>HYPERLINK("https://github.com/getodk/collect/issues/137", "show")</f>
        <v>show</v>
      </c>
      <c r="G1995" t="str">
        <f t="shared" si="14"/>
        <v>show</v>
      </c>
      <c r="H1995" t="str">
        <f t="shared" si="15"/>
        <v>show</v>
      </c>
      <c r="I1995">
        <v>0</v>
      </c>
      <c r="J1995">
        <v>0</v>
      </c>
      <c r="K1995">
        <v>0</v>
      </c>
      <c r="L1995">
        <v>0</v>
      </c>
      <c r="M1995" t="s">
        <v>43</v>
      </c>
    </row>
    <row r="1996" spans="1:13" hidden="1" x14ac:dyDescent="0.15">
      <c r="A1996" t="s">
        <v>6378</v>
      </c>
      <c r="B1996" t="s">
        <v>6379</v>
      </c>
      <c r="C1996" t="s">
        <v>6380</v>
      </c>
      <c r="D1996" t="s">
        <v>6356</v>
      </c>
      <c r="E1996">
        <v>184</v>
      </c>
      <c r="F1996" t="str">
        <f>HYPERLINK("https://github.com/getodk/collect/issues/132", "show")</f>
        <v>show</v>
      </c>
      <c r="G1996" t="str">
        <f t="shared" si="14"/>
        <v>show</v>
      </c>
      <c r="H1996" t="str">
        <f t="shared" si="15"/>
        <v>show</v>
      </c>
      <c r="I1996">
        <v>1</v>
      </c>
      <c r="J1996">
        <v>0</v>
      </c>
      <c r="K1996">
        <v>0</v>
      </c>
      <c r="L1996">
        <v>0</v>
      </c>
      <c r="M1996" t="s">
        <v>17</v>
      </c>
    </row>
    <row r="1997" spans="1:13" hidden="1" x14ac:dyDescent="0.15">
      <c r="A1997" t="s">
        <v>6381</v>
      </c>
      <c r="B1997" t="s">
        <v>6382</v>
      </c>
      <c r="C1997" t="s">
        <v>6383</v>
      </c>
      <c r="D1997" t="s">
        <v>6356</v>
      </c>
      <c r="E1997">
        <v>410</v>
      </c>
      <c r="F1997" t="str">
        <f>HYPERLINK("https://github.com/getodk/collect/issues/126", "show")</f>
        <v>show</v>
      </c>
      <c r="G1997" t="str">
        <f t="shared" si="14"/>
        <v>show</v>
      </c>
      <c r="H1997" t="str">
        <f t="shared" si="15"/>
        <v>show</v>
      </c>
      <c r="I1997">
        <v>1</v>
      </c>
      <c r="J1997">
        <v>1</v>
      </c>
      <c r="K1997">
        <v>0</v>
      </c>
      <c r="L1997">
        <v>0</v>
      </c>
      <c r="M1997" t="s">
        <v>48</v>
      </c>
    </row>
    <row r="1998" spans="1:13" hidden="1" x14ac:dyDescent="0.15">
      <c r="A1998" t="s">
        <v>6384</v>
      </c>
      <c r="B1998" t="s">
        <v>6385</v>
      </c>
      <c r="C1998" t="s">
        <v>6386</v>
      </c>
      <c r="D1998" t="s">
        <v>6356</v>
      </c>
      <c r="E1998">
        <v>59</v>
      </c>
      <c r="F1998" t="str">
        <f>HYPERLINK("https://github.com/getodk/collect/issues/118", "show")</f>
        <v>show</v>
      </c>
      <c r="G1998" t="str">
        <f t="shared" si="14"/>
        <v>show</v>
      </c>
      <c r="H1998" t="str">
        <f t="shared" si="15"/>
        <v>show</v>
      </c>
      <c r="I1998">
        <v>0</v>
      </c>
      <c r="J1998">
        <v>0</v>
      </c>
      <c r="K1998">
        <v>0</v>
      </c>
      <c r="L1998">
        <v>0</v>
      </c>
      <c r="M1998" t="s">
        <v>43</v>
      </c>
    </row>
    <row r="1999" spans="1:13" hidden="1" x14ac:dyDescent="0.15">
      <c r="A1999" t="s">
        <v>6387</v>
      </c>
      <c r="B1999" t="s">
        <v>6388</v>
      </c>
      <c r="C1999" t="s">
        <v>6389</v>
      </c>
      <c r="D1999" t="s">
        <v>6356</v>
      </c>
      <c r="E1999">
        <v>441</v>
      </c>
      <c r="F1999" t="str">
        <f>HYPERLINK("https://github.com/getodk/collect/issues/113", "show")</f>
        <v>show</v>
      </c>
      <c r="G1999" t="str">
        <f t="shared" si="14"/>
        <v>show</v>
      </c>
      <c r="H1999" t="str">
        <f t="shared" si="15"/>
        <v>show</v>
      </c>
      <c r="I1999">
        <v>1</v>
      </c>
      <c r="J1999">
        <v>1</v>
      </c>
      <c r="K1999">
        <v>1</v>
      </c>
      <c r="L1999">
        <v>0</v>
      </c>
      <c r="M1999" t="s">
        <v>59</v>
      </c>
    </row>
    <row r="2000" spans="1:13" hidden="1" x14ac:dyDescent="0.15">
      <c r="A2000" t="s">
        <v>6390</v>
      </c>
      <c r="B2000" t="s">
        <v>6391</v>
      </c>
      <c r="C2000" t="s">
        <v>6392</v>
      </c>
      <c r="D2000" t="s">
        <v>6356</v>
      </c>
      <c r="E2000">
        <v>141</v>
      </c>
      <c r="F2000" t="str">
        <f>HYPERLINK("https://github.com/getodk/collect/issues/94", "show")</f>
        <v>show</v>
      </c>
      <c r="G2000" t="str">
        <f t="shared" si="14"/>
        <v>show</v>
      </c>
      <c r="H2000" t="str">
        <f t="shared" si="15"/>
        <v>show</v>
      </c>
      <c r="I2000">
        <v>1</v>
      </c>
      <c r="J2000">
        <v>0</v>
      </c>
      <c r="K2000">
        <v>0</v>
      </c>
      <c r="L2000">
        <v>0</v>
      </c>
      <c r="M2000" t="s">
        <v>17</v>
      </c>
    </row>
    <row r="2001" spans="1:13" x14ac:dyDescent="0.15">
      <c r="A2001" t="s">
        <v>6393</v>
      </c>
      <c r="B2001" t="s">
        <v>6394</v>
      </c>
      <c r="C2001" t="s">
        <v>6395</v>
      </c>
      <c r="D2001" t="s">
        <v>6356</v>
      </c>
      <c r="E2001">
        <v>161</v>
      </c>
      <c r="F2001" t="str">
        <f>HYPERLINK("https://github.com/getodk/collect/issues/51", "show")</f>
        <v>show</v>
      </c>
      <c r="G2001" t="str">
        <f t="shared" si="14"/>
        <v>show</v>
      </c>
      <c r="H2001" t="str">
        <f t="shared" si="15"/>
        <v>show</v>
      </c>
      <c r="I2001">
        <v>0</v>
      </c>
      <c r="J2001">
        <v>1</v>
      </c>
      <c r="K2001">
        <v>0</v>
      </c>
      <c r="L2001">
        <v>0</v>
      </c>
      <c r="M2001" t="s">
        <v>139</v>
      </c>
    </row>
    <row r="2002" spans="1:13" hidden="1" x14ac:dyDescent="0.15">
      <c r="A2002" t="s">
        <v>6396</v>
      </c>
      <c r="B2002" t="s">
        <v>6397</v>
      </c>
      <c r="C2002" t="s">
        <v>6398</v>
      </c>
      <c r="D2002" t="s">
        <v>6356</v>
      </c>
      <c r="E2002">
        <v>155</v>
      </c>
      <c r="F2002" t="str">
        <f>HYPERLINK("https://github.com/getodk/collect/issues/43", "show")</f>
        <v>show</v>
      </c>
      <c r="G2002" t="str">
        <f t="shared" si="14"/>
        <v>show</v>
      </c>
      <c r="H2002" t="str">
        <f t="shared" si="15"/>
        <v>show</v>
      </c>
      <c r="I2002">
        <v>1</v>
      </c>
      <c r="J2002">
        <v>0</v>
      </c>
      <c r="K2002">
        <v>1</v>
      </c>
      <c r="L2002">
        <v>0</v>
      </c>
      <c r="M2002" t="s">
        <v>64</v>
      </c>
    </row>
    <row r="2003" spans="1:13" x14ac:dyDescent="0.15">
      <c r="A2003" t="s">
        <v>6399</v>
      </c>
      <c r="B2003" t="s">
        <v>6400</v>
      </c>
      <c r="C2003" t="s">
        <v>6401</v>
      </c>
      <c r="D2003" t="s">
        <v>6356</v>
      </c>
      <c r="E2003">
        <v>59</v>
      </c>
      <c r="F2003" t="str">
        <f>HYPERLINK("https://github.com/getodk/collect/issues/32", "show")</f>
        <v>show</v>
      </c>
      <c r="G2003" t="str">
        <f t="shared" si="14"/>
        <v>show</v>
      </c>
      <c r="H2003" t="str">
        <f t="shared" si="15"/>
        <v>show</v>
      </c>
      <c r="I2003">
        <v>0</v>
      </c>
      <c r="J2003">
        <v>1</v>
      </c>
      <c r="K2003">
        <v>0</v>
      </c>
      <c r="L2003">
        <v>0</v>
      </c>
      <c r="M2003" t="s">
        <v>139</v>
      </c>
    </row>
    <row r="2004" spans="1:13" hidden="1" x14ac:dyDescent="0.15">
      <c r="A2004" t="s">
        <v>6402</v>
      </c>
      <c r="B2004" t="s">
        <v>6403</v>
      </c>
      <c r="C2004" t="s">
        <v>6404</v>
      </c>
      <c r="D2004" t="s">
        <v>6356</v>
      </c>
      <c r="E2004">
        <v>59</v>
      </c>
      <c r="F2004" t="str">
        <f>HYPERLINK("https://github.com/getodk/collect/issues/31", "show")</f>
        <v>show</v>
      </c>
      <c r="G2004" t="str">
        <f t="shared" si="14"/>
        <v>show</v>
      </c>
      <c r="H2004" t="str">
        <f t="shared" si="15"/>
        <v>show</v>
      </c>
      <c r="I2004">
        <v>1</v>
      </c>
      <c r="J2004">
        <v>1</v>
      </c>
      <c r="K2004">
        <v>1</v>
      </c>
      <c r="L2004">
        <v>0</v>
      </c>
      <c r="M2004" t="s">
        <v>59</v>
      </c>
    </row>
    <row r="2005" spans="1:13" hidden="1" x14ac:dyDescent="0.15">
      <c r="A2005" t="s">
        <v>6405</v>
      </c>
      <c r="B2005" t="s">
        <v>6406</v>
      </c>
      <c r="C2005" t="s">
        <v>6407</v>
      </c>
      <c r="D2005" t="s">
        <v>6356</v>
      </c>
      <c r="E2005">
        <v>0</v>
      </c>
      <c r="F2005" t="str">
        <f>HYPERLINK("https://github.com/Karumi/Dexter/issues/86", "show")</f>
        <v>show</v>
      </c>
      <c r="G2005" t="str">
        <f>HYPERLINK("https://github.com/Karumi/Dexter", "show")</f>
        <v>show</v>
      </c>
      <c r="H2005" t="str">
        <f>HYPERLINK("https://github.com/Karumi/Dexter/releases", "show")</f>
        <v>show</v>
      </c>
      <c r="I2005">
        <v>0</v>
      </c>
      <c r="J2005">
        <v>0</v>
      </c>
      <c r="K2005">
        <v>1</v>
      </c>
      <c r="L2005">
        <v>0</v>
      </c>
      <c r="M2005" t="s">
        <v>122</v>
      </c>
    </row>
    <row r="2006" spans="1:13" hidden="1" x14ac:dyDescent="0.15">
      <c r="A2006" t="s">
        <v>6408</v>
      </c>
      <c r="B2006" t="s">
        <v>6409</v>
      </c>
      <c r="D2006" t="s">
        <v>6356</v>
      </c>
      <c r="E2006">
        <v>0</v>
      </c>
      <c r="F2006" t="str">
        <f>HYPERLINK("https://github.com/GregHilston/rsi-companion/issues/2", "show")</f>
        <v>show</v>
      </c>
      <c r="G2006" t="str">
        <f>HYPERLINK("https://github.com/GregHilston/rsi-companion", "show")</f>
        <v>show</v>
      </c>
      <c r="H2006" t="str">
        <f>HYPERLINK("https://github.com/GregHilston/rsi-companion/releases", "show")</f>
        <v>show</v>
      </c>
      <c r="I2006">
        <v>1</v>
      </c>
      <c r="J2006">
        <v>0</v>
      </c>
      <c r="K2006">
        <v>0</v>
      </c>
      <c r="L2006">
        <v>0</v>
      </c>
      <c r="M2006" t="s">
        <v>17</v>
      </c>
    </row>
    <row r="2007" spans="1:13" hidden="1" x14ac:dyDescent="0.15">
      <c r="A2007" t="s">
        <v>6410</v>
      </c>
      <c r="B2007" t="s">
        <v>6411</v>
      </c>
      <c r="C2007" t="s">
        <v>6412</v>
      </c>
      <c r="D2007" t="s">
        <v>6413</v>
      </c>
      <c r="E2007">
        <v>204</v>
      </c>
      <c r="F2007" t="str">
        <f>HYPERLINK("https://github.com/Gericop/Android-Support-Preference-V7-Fix/issues/44", "show")</f>
        <v>show</v>
      </c>
      <c r="G2007" t="str">
        <f>HYPERLINK("https://github.com/Gericop/Android-Support-Preference-V7-Fix", "show")</f>
        <v>show</v>
      </c>
      <c r="H2007" t="str">
        <f>HYPERLINK("https://github.com/Gericop/Android-Support-Preference-V7-Fix/releases", "show")</f>
        <v>show</v>
      </c>
      <c r="I2007">
        <v>0</v>
      </c>
      <c r="J2007">
        <v>0</v>
      </c>
      <c r="K2007">
        <v>0</v>
      </c>
      <c r="L2007">
        <v>0</v>
      </c>
      <c r="M2007" t="s">
        <v>43</v>
      </c>
    </row>
    <row r="2008" spans="1:13" hidden="1" x14ac:dyDescent="0.15">
      <c r="A2008" t="s">
        <v>6414</v>
      </c>
      <c r="B2008" t="s">
        <v>6415</v>
      </c>
      <c r="C2008" t="s">
        <v>6416</v>
      </c>
      <c r="D2008" t="s">
        <v>6413</v>
      </c>
      <c r="E2008">
        <v>254</v>
      </c>
      <c r="F2008" t="str">
        <f>HYPERLINK("https://github.com/Cloudkibo/Android/issues/183", "show")</f>
        <v>show</v>
      </c>
      <c r="G2008" t="str">
        <f>HYPERLINK("https://github.com/Cloudkibo/Android", "show")</f>
        <v>show</v>
      </c>
      <c r="H2008" t="str">
        <f>HYPERLINK("https://github.com/Cloudkibo/Android/releases", "show")</f>
        <v>show</v>
      </c>
      <c r="I2008">
        <v>0</v>
      </c>
      <c r="J2008">
        <v>0</v>
      </c>
      <c r="K2008">
        <v>0</v>
      </c>
      <c r="L2008">
        <v>0</v>
      </c>
      <c r="M2008" t="s">
        <v>43</v>
      </c>
    </row>
    <row r="2009" spans="1:13" hidden="1" x14ac:dyDescent="0.15">
      <c r="A2009" t="s">
        <v>6417</v>
      </c>
      <c r="B2009" t="s">
        <v>6418</v>
      </c>
      <c r="C2009" t="s">
        <v>6419</v>
      </c>
      <c r="D2009" t="s">
        <v>6413</v>
      </c>
      <c r="E2009">
        <v>188</v>
      </c>
      <c r="F2009" t="str">
        <f>HYPERLINK("https://github.com/fossasia/phimpme-android/issues/20", "show")</f>
        <v>show</v>
      </c>
      <c r="G2009" t="str">
        <f>HYPERLINK("https://github.com/fossasia/phimpme-android", "show")</f>
        <v>show</v>
      </c>
      <c r="H2009" t="str">
        <f>HYPERLINK("https://github.com/fossasia/phimpme-android/releases", "show")</f>
        <v>show</v>
      </c>
      <c r="I2009">
        <v>1</v>
      </c>
      <c r="J2009">
        <v>0</v>
      </c>
      <c r="K2009">
        <v>0</v>
      </c>
      <c r="L2009">
        <v>0</v>
      </c>
      <c r="M2009" t="s">
        <v>17</v>
      </c>
    </row>
    <row r="2010" spans="1:13" hidden="1" x14ac:dyDescent="0.15">
      <c r="A2010" t="s">
        <v>6420</v>
      </c>
      <c r="B2010" t="s">
        <v>6421</v>
      </c>
      <c r="C2010" t="s">
        <v>6422</v>
      </c>
      <c r="D2010" t="s">
        <v>6413</v>
      </c>
      <c r="E2010">
        <v>114</v>
      </c>
      <c r="F2010" t="str">
        <f>HYPERLINK("https://github.com/alter-ego/androidbound/issues/56", "show")</f>
        <v>show</v>
      </c>
      <c r="G2010" t="str">
        <f>HYPERLINK("https://github.com/alter-ego/androidbound", "show")</f>
        <v>show</v>
      </c>
      <c r="H2010" t="str">
        <f>HYPERLINK("https://github.com/alter-ego/androidbound/releases", "show")</f>
        <v>show</v>
      </c>
      <c r="I2010">
        <v>0</v>
      </c>
      <c r="J2010">
        <v>0</v>
      </c>
      <c r="K2010">
        <v>1</v>
      </c>
      <c r="L2010">
        <v>0</v>
      </c>
      <c r="M2010" t="s">
        <v>122</v>
      </c>
    </row>
    <row r="2011" spans="1:13" hidden="1" x14ac:dyDescent="0.15">
      <c r="A2011" t="s">
        <v>6423</v>
      </c>
      <c r="B2011" t="s">
        <v>6424</v>
      </c>
      <c r="C2011" t="s">
        <v>6425</v>
      </c>
      <c r="D2011" t="s">
        <v>6413</v>
      </c>
      <c r="E2011">
        <v>359</v>
      </c>
      <c r="F2011" t="str">
        <f>HYPERLINK("https://github.com/SufficientlySecure/document-viewer/issues/211", "show")</f>
        <v>show</v>
      </c>
      <c r="G2011" t="str">
        <f>HYPERLINK("https://github.com/SufficientlySecure/document-viewer", "show")</f>
        <v>show</v>
      </c>
      <c r="H2011" t="str">
        <f>HYPERLINK("https://github.com/SufficientlySecure/document-viewer/releases", "show")</f>
        <v>show</v>
      </c>
      <c r="I2011">
        <v>1</v>
      </c>
      <c r="J2011">
        <v>0</v>
      </c>
      <c r="K2011">
        <v>1</v>
      </c>
      <c r="L2011">
        <v>0</v>
      </c>
      <c r="M2011" t="s">
        <v>64</v>
      </c>
    </row>
    <row r="2012" spans="1:13" hidden="1" x14ac:dyDescent="0.15">
      <c r="A2012" t="s">
        <v>6426</v>
      </c>
      <c r="B2012" t="s">
        <v>6427</v>
      </c>
      <c r="C2012" t="s">
        <v>6428</v>
      </c>
      <c r="D2012" t="s">
        <v>6429</v>
      </c>
      <c r="E2012">
        <v>4</v>
      </c>
      <c r="F2012" t="str">
        <f>HYPERLINK("https://github.com/Flaredown/FlaredownAndroid/issues/61", "show")</f>
        <v>show</v>
      </c>
      <c r="G2012" t="str">
        <f>HYPERLINK("https://github.com/Flaredown/FlaredownAndroid", "show")</f>
        <v>show</v>
      </c>
      <c r="H2012" t="str">
        <f>HYPERLINK("https://github.com/Flaredown/FlaredownAndroid/releases", "show")</f>
        <v>show</v>
      </c>
      <c r="I2012">
        <v>1</v>
      </c>
      <c r="J2012">
        <v>0</v>
      </c>
      <c r="K2012">
        <v>1</v>
      </c>
      <c r="L2012">
        <v>0</v>
      </c>
      <c r="M2012" t="s">
        <v>64</v>
      </c>
    </row>
    <row r="2013" spans="1:13" hidden="1" x14ac:dyDescent="0.15">
      <c r="A2013" t="s">
        <v>6430</v>
      </c>
      <c r="B2013" t="s">
        <v>6431</v>
      </c>
      <c r="C2013" t="s">
        <v>6432</v>
      </c>
      <c r="D2013" t="s">
        <v>6429</v>
      </c>
      <c r="E2013">
        <v>86</v>
      </c>
      <c r="F2013" t="str">
        <f>HYPERLINK("https://github.com/bitstadium/HockeySDK-Android/issues/174", "show")</f>
        <v>show</v>
      </c>
      <c r="G2013" t="str">
        <f>HYPERLINK("https://github.com/bitstadium/HockeySDK-Android", "show")</f>
        <v>show</v>
      </c>
      <c r="H2013" t="str">
        <f>HYPERLINK("https://github.com/bitstadium/HockeySDK-Android/releases", "show")</f>
        <v>show</v>
      </c>
      <c r="I2013">
        <v>0</v>
      </c>
      <c r="J2013">
        <v>0</v>
      </c>
      <c r="K2013">
        <v>0</v>
      </c>
      <c r="L2013">
        <v>0</v>
      </c>
      <c r="M2013" t="s">
        <v>43</v>
      </c>
    </row>
    <row r="2014" spans="1:13" hidden="1" x14ac:dyDescent="0.15">
      <c r="A2014" t="s">
        <v>6433</v>
      </c>
      <c r="B2014" t="s">
        <v>6434</v>
      </c>
      <c r="C2014" t="s">
        <v>6435</v>
      </c>
      <c r="D2014" t="s">
        <v>6429</v>
      </c>
      <c r="E2014">
        <v>113</v>
      </c>
      <c r="F2014" t="str">
        <f>HYPERLINK("https://github.com/alter-ego/androidbound/issues/57", "show")</f>
        <v>show</v>
      </c>
      <c r="G2014" t="str">
        <f>HYPERLINK("https://github.com/alter-ego/androidbound", "show")</f>
        <v>show</v>
      </c>
      <c r="H2014" t="str">
        <f>HYPERLINK("https://github.com/alter-ego/androidbound/releases", "show")</f>
        <v>show</v>
      </c>
      <c r="I2014">
        <v>1</v>
      </c>
      <c r="J2014">
        <v>0</v>
      </c>
      <c r="K2014">
        <v>0</v>
      </c>
      <c r="L2014">
        <v>0</v>
      </c>
      <c r="M2014" t="s">
        <v>17</v>
      </c>
    </row>
    <row r="2015" spans="1:13" hidden="1" x14ac:dyDescent="0.15">
      <c r="A2015" t="s">
        <v>6436</v>
      </c>
      <c r="B2015" t="s">
        <v>6437</v>
      </c>
      <c r="C2015" t="s">
        <v>6438</v>
      </c>
      <c r="D2015" t="s">
        <v>6429</v>
      </c>
      <c r="E2015">
        <v>19</v>
      </c>
      <c r="F2015" t="str">
        <f>HYPERLINK("https://github.com/translation-cards/translation-cards/issues/291", "show")</f>
        <v>show</v>
      </c>
      <c r="G2015" t="str">
        <f>HYPERLINK("https://github.com/translation-cards/translation-cards", "show")</f>
        <v>show</v>
      </c>
      <c r="H2015" t="str">
        <f>HYPERLINK("https://github.com/translation-cards/translation-cards/releases", "show")</f>
        <v>show</v>
      </c>
      <c r="I2015">
        <v>1</v>
      </c>
      <c r="J2015">
        <v>0</v>
      </c>
      <c r="K2015">
        <v>0</v>
      </c>
      <c r="L2015">
        <v>0</v>
      </c>
      <c r="M2015" t="s">
        <v>17</v>
      </c>
    </row>
    <row r="2016" spans="1:13" hidden="1" x14ac:dyDescent="0.15">
      <c r="A2016" t="s">
        <v>6439</v>
      </c>
      <c r="B2016" t="s">
        <v>6440</v>
      </c>
      <c r="C2016" t="s">
        <v>6441</v>
      </c>
      <c r="D2016" t="s">
        <v>6442</v>
      </c>
      <c r="E2016">
        <v>1</v>
      </c>
      <c r="F2016" t="str">
        <f>HYPERLINK("https://github.com/gsantner/dandelion/issues/65", "show")</f>
        <v>show</v>
      </c>
      <c r="G2016" t="str">
        <f>HYPERLINK("https://github.com/gsantner/dandelion", "show")</f>
        <v>show</v>
      </c>
      <c r="H2016" t="str">
        <f>HYPERLINK("https://github.com/gsantner/dandelion/releases", "show")</f>
        <v>show</v>
      </c>
      <c r="I2016">
        <v>1</v>
      </c>
      <c r="J2016">
        <v>1</v>
      </c>
      <c r="K2016">
        <v>0</v>
      </c>
      <c r="L2016">
        <v>0</v>
      </c>
      <c r="M2016" t="s">
        <v>48</v>
      </c>
    </row>
    <row r="2017" spans="1:13" hidden="1" x14ac:dyDescent="0.15">
      <c r="A2017" t="s">
        <v>6443</v>
      </c>
      <c r="B2017" t="s">
        <v>6444</v>
      </c>
      <c r="D2017" t="s">
        <v>6442</v>
      </c>
      <c r="E2017">
        <v>295</v>
      </c>
      <c r="F2017" t="str">
        <f>HYPERLINK("https://github.com/GEANT/CAT-Android/issues/4", "show")</f>
        <v>show</v>
      </c>
      <c r="G2017" t="str">
        <f>HYPERLINK("https://github.com/GEANT/CAT-Android", "show")</f>
        <v>show</v>
      </c>
      <c r="H2017" t="str">
        <f>HYPERLINK("https://github.com/GEANT/CAT-Android/releases", "show")</f>
        <v>show</v>
      </c>
      <c r="I2017">
        <v>1</v>
      </c>
      <c r="J2017">
        <v>0</v>
      </c>
      <c r="K2017">
        <v>1</v>
      </c>
      <c r="L2017">
        <v>0</v>
      </c>
      <c r="M2017" t="s">
        <v>64</v>
      </c>
    </row>
    <row r="2018" spans="1:13" hidden="1" x14ac:dyDescent="0.15">
      <c r="A2018" t="s">
        <v>6445</v>
      </c>
      <c r="B2018" t="s">
        <v>6446</v>
      </c>
      <c r="D2018" t="s">
        <v>6442</v>
      </c>
      <c r="E2018">
        <v>295</v>
      </c>
      <c r="F2018" t="str">
        <f>HYPERLINK("https://github.com/GEANT/CAT-Android/issues/3", "show")</f>
        <v>show</v>
      </c>
      <c r="G2018" t="str">
        <f>HYPERLINK("https://github.com/GEANT/CAT-Android", "show")</f>
        <v>show</v>
      </c>
      <c r="H2018" t="str">
        <f>HYPERLINK("https://github.com/GEANT/CAT-Android/releases", "show")</f>
        <v>show</v>
      </c>
      <c r="I2018">
        <v>0</v>
      </c>
      <c r="J2018">
        <v>0</v>
      </c>
      <c r="K2018">
        <v>1</v>
      </c>
      <c r="L2018">
        <v>0</v>
      </c>
      <c r="M2018" t="s">
        <v>122</v>
      </c>
    </row>
    <row r="2019" spans="1:13" hidden="1" x14ac:dyDescent="0.15">
      <c r="A2019" t="s">
        <v>6447</v>
      </c>
      <c r="B2019" t="s">
        <v>6448</v>
      </c>
      <c r="C2019" t="s">
        <v>6449</v>
      </c>
      <c r="D2019" t="s">
        <v>6442</v>
      </c>
      <c r="E2019">
        <v>295</v>
      </c>
      <c r="F2019" t="str">
        <f>HYPERLINK("https://github.com/GEANT/CAT-Android/issues/2", "show")</f>
        <v>show</v>
      </c>
      <c r="G2019" t="str">
        <f>HYPERLINK("https://github.com/GEANT/CAT-Android", "show")</f>
        <v>show</v>
      </c>
      <c r="H2019" t="str">
        <f>HYPERLINK("https://github.com/GEANT/CAT-Android/releases", "show")</f>
        <v>show</v>
      </c>
      <c r="I2019">
        <v>1</v>
      </c>
      <c r="J2019">
        <v>0</v>
      </c>
      <c r="K2019">
        <v>1</v>
      </c>
      <c r="L2019">
        <v>0</v>
      </c>
      <c r="M2019" t="s">
        <v>64</v>
      </c>
    </row>
    <row r="2020" spans="1:13" hidden="1" x14ac:dyDescent="0.15">
      <c r="A2020" t="s">
        <v>6450</v>
      </c>
      <c r="B2020" t="s">
        <v>6451</v>
      </c>
      <c r="C2020" t="s">
        <v>6452</v>
      </c>
      <c r="D2020" t="s">
        <v>6442</v>
      </c>
      <c r="E2020">
        <v>16</v>
      </c>
      <c r="F2020" t="str">
        <f>HYPERLINK("https://github.com/krtkush/MarsExplorer/issues/1", "show")</f>
        <v>show</v>
      </c>
      <c r="G2020" t="str">
        <f>HYPERLINK("https://github.com/krtkush/MarsExplorer", "show")</f>
        <v>show</v>
      </c>
      <c r="H2020" t="str">
        <f>HYPERLINK("https://github.com/krtkush/MarsExplorer/releases", "show")</f>
        <v>show</v>
      </c>
      <c r="I2020">
        <v>1</v>
      </c>
      <c r="J2020">
        <v>0</v>
      </c>
      <c r="K2020">
        <v>0</v>
      </c>
      <c r="L2020">
        <v>0</v>
      </c>
      <c r="M2020" t="s">
        <v>17</v>
      </c>
    </row>
    <row r="2021" spans="1:13" hidden="1" x14ac:dyDescent="0.15">
      <c r="A2021" t="s">
        <v>6453</v>
      </c>
      <c r="B2021" t="s">
        <v>6454</v>
      </c>
      <c r="C2021" t="s">
        <v>6455</v>
      </c>
      <c r="D2021" t="s">
        <v>6456</v>
      </c>
      <c r="E2021">
        <v>4</v>
      </c>
      <c r="F2021" t="str">
        <f>HYPERLINK("https://github.com/k9mail/k-9/issues/1607", "show")</f>
        <v>show</v>
      </c>
      <c r="G2021" t="str">
        <f>HYPERLINK("https://github.com/k9mail/k-9", "show")</f>
        <v>show</v>
      </c>
      <c r="H2021" t="str">
        <f>HYPERLINK("https://github.com/k9mail/k-9/releases", "show")</f>
        <v>show</v>
      </c>
      <c r="I2021">
        <v>1</v>
      </c>
      <c r="J2021">
        <v>1</v>
      </c>
      <c r="K2021">
        <v>1</v>
      </c>
      <c r="L2021">
        <v>0</v>
      </c>
      <c r="M2021" t="s">
        <v>59</v>
      </c>
    </row>
    <row r="2022" spans="1:13" hidden="1" x14ac:dyDescent="0.15">
      <c r="A2022" t="s">
        <v>6457</v>
      </c>
      <c r="B2022" t="s">
        <v>6458</v>
      </c>
      <c r="C2022" t="s">
        <v>6459</v>
      </c>
      <c r="D2022" t="s">
        <v>6456</v>
      </c>
      <c r="E2022">
        <v>2</v>
      </c>
      <c r="F2022" t="str">
        <f>HYPERLINK("https://github.com/alhazmy13/MediaPicker/issues/10", "show")</f>
        <v>show</v>
      </c>
      <c r="G2022" t="str">
        <f>HYPERLINK("https://github.com/alhazmy13/MediaPicker", "show")</f>
        <v>show</v>
      </c>
      <c r="H2022" t="str">
        <f>HYPERLINK("https://github.com/alhazmy13/MediaPicker/releases", "show")</f>
        <v>show</v>
      </c>
      <c r="I2022">
        <v>1</v>
      </c>
      <c r="J2022">
        <v>0</v>
      </c>
      <c r="K2022">
        <v>0</v>
      </c>
      <c r="L2022">
        <v>0</v>
      </c>
      <c r="M2022" t="s">
        <v>17</v>
      </c>
    </row>
    <row r="2023" spans="1:13" hidden="1" x14ac:dyDescent="0.15">
      <c r="A2023" t="s">
        <v>6460</v>
      </c>
      <c r="B2023" t="s">
        <v>6461</v>
      </c>
      <c r="C2023" t="s">
        <v>6462</v>
      </c>
      <c r="D2023" t="s">
        <v>6456</v>
      </c>
      <c r="E2023">
        <v>9</v>
      </c>
      <c r="F2023" t="str">
        <f>HYPERLINK("https://github.com/IvoGoman/Diabetes-App/issues/69", "show")</f>
        <v>show</v>
      </c>
      <c r="G2023" t="str">
        <f>HYPERLINK("https://github.com/IvoGoman/Diabetes-App", "show")</f>
        <v>show</v>
      </c>
      <c r="H2023" t="str">
        <f>HYPERLINK("https://github.com/IvoGoman/Diabetes-App/releases", "show")</f>
        <v>show</v>
      </c>
      <c r="I2023">
        <v>0</v>
      </c>
      <c r="J2023">
        <v>0</v>
      </c>
      <c r="K2023">
        <v>0</v>
      </c>
      <c r="L2023">
        <v>0</v>
      </c>
      <c r="M2023" t="s">
        <v>43</v>
      </c>
    </row>
    <row r="2024" spans="1:13" hidden="1" x14ac:dyDescent="0.15">
      <c r="A2024" t="s">
        <v>6463</v>
      </c>
      <c r="B2024" t="s">
        <v>6464</v>
      </c>
      <c r="C2024" t="s">
        <v>6465</v>
      </c>
      <c r="D2024" t="s">
        <v>6456</v>
      </c>
      <c r="E2024">
        <v>0</v>
      </c>
      <c r="F2024" t="str">
        <f>HYPERLINK("https://github.com/QuantumBadger/RedReader/issues/383", "show")</f>
        <v>show</v>
      </c>
      <c r="G2024" t="str">
        <f>HYPERLINK("https://github.com/QuantumBadger/RedReader", "show")</f>
        <v>show</v>
      </c>
      <c r="H2024" t="str">
        <f>HYPERLINK("https://github.com/QuantumBadger/RedReader/releases", "show")</f>
        <v>show</v>
      </c>
      <c r="I2024">
        <v>1</v>
      </c>
      <c r="J2024">
        <v>0</v>
      </c>
      <c r="K2024">
        <v>0</v>
      </c>
      <c r="L2024">
        <v>0</v>
      </c>
      <c r="M2024" t="s">
        <v>17</v>
      </c>
    </row>
    <row r="2025" spans="1:13" hidden="1" x14ac:dyDescent="0.15">
      <c r="A2025" t="s">
        <v>6466</v>
      </c>
      <c r="B2025" t="s">
        <v>6467</v>
      </c>
      <c r="D2025" t="s">
        <v>6456</v>
      </c>
      <c r="E2025">
        <v>0</v>
      </c>
      <c r="F2025" t="str">
        <f>HYPERLINK("https://github.com/leancloud/LeanCloudChatKit-Android/issues/25", "show")</f>
        <v>show</v>
      </c>
      <c r="G2025" t="str">
        <f>HYPERLINK("https://github.com/leancloud/LeanCloudChatKit-Android", "show")</f>
        <v>show</v>
      </c>
      <c r="H2025" t="str">
        <f>HYPERLINK("https://github.com/leancloud/LeanCloudChatKit-Android/releases", "show")</f>
        <v>show</v>
      </c>
      <c r="I2025">
        <v>0</v>
      </c>
      <c r="J2025">
        <v>0</v>
      </c>
      <c r="K2025">
        <v>0</v>
      </c>
      <c r="L2025">
        <v>0</v>
      </c>
      <c r="M2025" t="s">
        <v>43</v>
      </c>
    </row>
    <row r="2026" spans="1:13" hidden="1" x14ac:dyDescent="0.15">
      <c r="A2026" t="s">
        <v>6468</v>
      </c>
      <c r="B2026" t="s">
        <v>6469</v>
      </c>
      <c r="C2026" t="s">
        <v>6470</v>
      </c>
      <c r="D2026" t="s">
        <v>6471</v>
      </c>
      <c r="E2026">
        <v>24</v>
      </c>
      <c r="F2026" t="str">
        <f>HYPERLINK("https://github.com/google/cameraview/issues/1", "show")</f>
        <v>show</v>
      </c>
      <c r="G2026" t="str">
        <f>HYPERLINK("https://github.com/google/cameraview", "show")</f>
        <v>show</v>
      </c>
      <c r="H2026" t="str">
        <f>HYPERLINK("https://github.com/google/cameraview/releases", "show")</f>
        <v>show</v>
      </c>
      <c r="I2026">
        <v>1</v>
      </c>
      <c r="J2026">
        <v>1</v>
      </c>
      <c r="K2026">
        <v>1</v>
      </c>
      <c r="L2026">
        <v>0</v>
      </c>
      <c r="M2026" t="s">
        <v>59</v>
      </c>
    </row>
    <row r="2027" spans="1:13" hidden="1" x14ac:dyDescent="0.15">
      <c r="A2027" t="s">
        <v>6472</v>
      </c>
      <c r="B2027" t="s">
        <v>6473</v>
      </c>
      <c r="C2027" t="s">
        <v>6474</v>
      </c>
      <c r="D2027" t="s">
        <v>6471</v>
      </c>
      <c r="E2027">
        <v>24</v>
      </c>
      <c r="F2027" t="str">
        <f>HYPERLINK("https://github.com/Z3r0byte/Magis/issues/35", "show")</f>
        <v>show</v>
      </c>
      <c r="G2027" t="str">
        <f>HYPERLINK("https://github.com/Z3r0byte/Magis", "show")</f>
        <v>show</v>
      </c>
      <c r="H2027" t="str">
        <f>HYPERLINK("https://github.com/Z3r0byte/Magis/releases", "show")</f>
        <v>show</v>
      </c>
      <c r="I2027">
        <v>1</v>
      </c>
      <c r="J2027">
        <v>0</v>
      </c>
      <c r="K2027">
        <v>1</v>
      </c>
      <c r="L2027">
        <v>0</v>
      </c>
      <c r="M2027" t="s">
        <v>64</v>
      </c>
    </row>
    <row r="2028" spans="1:13" hidden="1" x14ac:dyDescent="0.15">
      <c r="A2028" t="s">
        <v>6475</v>
      </c>
      <c r="B2028" t="s">
        <v>6476</v>
      </c>
      <c r="C2028" t="s">
        <v>6477</v>
      </c>
      <c r="D2028" t="s">
        <v>6478</v>
      </c>
      <c r="E2028">
        <v>0</v>
      </c>
      <c r="F2028" t="str">
        <f>HYPERLINK("https://github.com/d4rken/reddit-android-appstore/issues/42", "show")</f>
        <v>show</v>
      </c>
      <c r="G2028" t="str">
        <f>HYPERLINK("https://github.com/d4rken/reddit-android-appstore", "show")</f>
        <v>show</v>
      </c>
      <c r="H2028" t="str">
        <f>HYPERLINK("https://github.com/d4rken/reddit-android-appstore/releases", "show")</f>
        <v>show</v>
      </c>
      <c r="I2028">
        <v>1</v>
      </c>
      <c r="J2028">
        <v>0</v>
      </c>
      <c r="K2028">
        <v>0</v>
      </c>
      <c r="L2028">
        <v>0</v>
      </c>
      <c r="M2028" t="s">
        <v>17</v>
      </c>
    </row>
    <row r="2029" spans="1:13" hidden="1" x14ac:dyDescent="0.15">
      <c r="A2029" t="s">
        <v>6479</v>
      </c>
      <c r="B2029" t="s">
        <v>6480</v>
      </c>
      <c r="C2029" t="s">
        <v>6481</v>
      </c>
      <c r="D2029" t="s">
        <v>6478</v>
      </c>
      <c r="E2029">
        <v>25</v>
      </c>
      <c r="F2029" t="str">
        <f>HYPERLINK("https://github.com/cgeo/cgeo/issues/5948", "show")</f>
        <v>show</v>
      </c>
      <c r="G2029" t="str">
        <f>HYPERLINK("https://github.com/cgeo/cgeo", "show")</f>
        <v>show</v>
      </c>
      <c r="H2029" t="str">
        <f>HYPERLINK("https://github.com/cgeo/cgeo/releases", "show")</f>
        <v>show</v>
      </c>
      <c r="I2029">
        <v>0</v>
      </c>
      <c r="J2029">
        <v>0</v>
      </c>
      <c r="K2029">
        <v>0</v>
      </c>
      <c r="L2029">
        <v>0</v>
      </c>
      <c r="M2029" t="s">
        <v>43</v>
      </c>
    </row>
    <row r="2030" spans="1:13" hidden="1" x14ac:dyDescent="0.15">
      <c r="A2030" t="s">
        <v>6482</v>
      </c>
      <c r="B2030" t="s">
        <v>6483</v>
      </c>
      <c r="C2030" t="s">
        <v>6484</v>
      </c>
      <c r="D2030" t="s">
        <v>6478</v>
      </c>
      <c r="E2030">
        <v>74</v>
      </c>
      <c r="F2030" t="str">
        <f>HYPERLINK("https://github.com/Intelehealth/Android-Mobile-Client/issues/163", "show")</f>
        <v>show</v>
      </c>
      <c r="G2030" t="str">
        <f>HYPERLINK("https://github.com/Intelehealth/Android-Mobile-Client", "show")</f>
        <v>show</v>
      </c>
      <c r="H2030" t="str">
        <f>HYPERLINK("https://github.com/Intelehealth/Android-Mobile-Client/releases", "show")</f>
        <v>show</v>
      </c>
      <c r="I2030">
        <v>1</v>
      </c>
      <c r="J2030">
        <v>0</v>
      </c>
      <c r="K2030">
        <v>0</v>
      </c>
      <c r="L2030">
        <v>0</v>
      </c>
      <c r="M2030" t="s">
        <v>17</v>
      </c>
    </row>
    <row r="2031" spans="1:13" hidden="1" x14ac:dyDescent="0.15">
      <c r="A2031" t="s">
        <v>6485</v>
      </c>
      <c r="B2031" t="s">
        <v>6486</v>
      </c>
      <c r="C2031" t="s">
        <v>6487</v>
      </c>
      <c r="D2031" t="s">
        <v>6478</v>
      </c>
      <c r="E2031">
        <v>297</v>
      </c>
      <c r="F2031" t="str">
        <f>HYPERLINK("https://github.com/RFO-BASIC/Basic/issues/216", "show")</f>
        <v>show</v>
      </c>
      <c r="G2031" t="str">
        <f>HYPERLINK("https://github.com/RFO-BASIC/Basic", "show")</f>
        <v>show</v>
      </c>
      <c r="H2031" t="str">
        <f>HYPERLINK("https://github.com/RFO-BASIC/Basic/releases", "show")</f>
        <v>show</v>
      </c>
      <c r="I2031">
        <v>1</v>
      </c>
      <c r="J2031">
        <v>0</v>
      </c>
      <c r="K2031">
        <v>0</v>
      </c>
      <c r="L2031">
        <v>0</v>
      </c>
      <c r="M2031" t="s">
        <v>17</v>
      </c>
    </row>
    <row r="2032" spans="1:13" hidden="1" x14ac:dyDescent="0.15">
      <c r="A2032" t="s">
        <v>6488</v>
      </c>
      <c r="B2032" t="s">
        <v>6489</v>
      </c>
      <c r="C2032" t="s">
        <v>6490</v>
      </c>
      <c r="D2032" t="s">
        <v>6491</v>
      </c>
      <c r="E2032">
        <v>28</v>
      </c>
      <c r="F2032" t="str">
        <f>HYPERLINK("https://github.com/lostzen/lost/issues/107", "show")</f>
        <v>show</v>
      </c>
      <c r="G2032" t="str">
        <f>HYPERLINK("https://github.com/lostzen/lost", "show")</f>
        <v>show</v>
      </c>
      <c r="H2032" t="str">
        <f>HYPERLINK("https://github.com/lostzen/lost/releases", "show")</f>
        <v>show</v>
      </c>
      <c r="I2032">
        <v>1</v>
      </c>
      <c r="J2032">
        <v>1</v>
      </c>
      <c r="K2032">
        <v>0</v>
      </c>
      <c r="L2032">
        <v>0</v>
      </c>
      <c r="M2032" t="s">
        <v>48</v>
      </c>
    </row>
    <row r="2033" spans="1:13" hidden="1" x14ac:dyDescent="0.15">
      <c r="A2033" t="s">
        <v>6492</v>
      </c>
      <c r="B2033" t="s">
        <v>6493</v>
      </c>
      <c r="C2033" t="s">
        <v>6494</v>
      </c>
      <c r="D2033" t="s">
        <v>6491</v>
      </c>
      <c r="E2033">
        <v>40</v>
      </c>
      <c r="F2033" t="str">
        <f>HYPERLINK("https://github.com/wasdennnoch/AndroidN-ify/issues/830", "show")</f>
        <v>show</v>
      </c>
      <c r="G2033" t="str">
        <f>HYPERLINK("https://github.com/wasdennnoch/AndroidN-ify", "show")</f>
        <v>show</v>
      </c>
      <c r="H2033" t="str">
        <f>HYPERLINK("https://github.com/wasdennnoch/AndroidN-ify/releases", "show")</f>
        <v>show</v>
      </c>
      <c r="I2033">
        <v>1</v>
      </c>
      <c r="J2033">
        <v>0</v>
      </c>
      <c r="K2033">
        <v>0</v>
      </c>
      <c r="L2033">
        <v>0</v>
      </c>
      <c r="M2033" t="s">
        <v>17</v>
      </c>
    </row>
    <row r="2034" spans="1:13" hidden="1" x14ac:dyDescent="0.15">
      <c r="A2034" t="s">
        <v>6495</v>
      </c>
      <c r="B2034" t="s">
        <v>6496</v>
      </c>
      <c r="C2034" t="s">
        <v>6497</v>
      </c>
      <c r="D2034" t="s">
        <v>6491</v>
      </c>
      <c r="E2034">
        <v>0</v>
      </c>
      <c r="F2034" t="str">
        <f>HYPERLINK("https://github.com/OneBusAway/onebusaway-android/issues/691", "show")</f>
        <v>show</v>
      </c>
      <c r="G2034" t="str">
        <f>HYPERLINK("https://github.com/OneBusAway/onebusaway-android", "show")</f>
        <v>show</v>
      </c>
      <c r="H2034" t="str">
        <f>HYPERLINK("https://github.com/OneBusAway/onebusaway-android/releases", "show")</f>
        <v>show</v>
      </c>
      <c r="I2034">
        <v>1</v>
      </c>
      <c r="J2034">
        <v>1</v>
      </c>
      <c r="K2034">
        <v>1</v>
      </c>
      <c r="L2034">
        <v>0</v>
      </c>
      <c r="M2034" t="s">
        <v>59</v>
      </c>
    </row>
    <row r="2035" spans="1:13" hidden="1" x14ac:dyDescent="0.15">
      <c r="A2035" t="s">
        <v>6498</v>
      </c>
      <c r="B2035" t="s">
        <v>6499</v>
      </c>
      <c r="C2035" t="s">
        <v>6500</v>
      </c>
      <c r="D2035" t="s">
        <v>6491</v>
      </c>
      <c r="E2035">
        <v>0</v>
      </c>
      <c r="F2035" t="str">
        <f>HYPERLINK("https://github.com/OneBusAway/onebusaway-android/issues/690", "show")</f>
        <v>show</v>
      </c>
      <c r="G2035" t="str">
        <f>HYPERLINK("https://github.com/OneBusAway/onebusaway-android", "show")</f>
        <v>show</v>
      </c>
      <c r="H2035" t="str">
        <f>HYPERLINK("https://github.com/OneBusAway/onebusaway-android/releases", "show")</f>
        <v>show</v>
      </c>
      <c r="I2035">
        <v>1</v>
      </c>
      <c r="J2035">
        <v>1</v>
      </c>
      <c r="K2035">
        <v>1</v>
      </c>
      <c r="L2035">
        <v>0</v>
      </c>
      <c r="M2035" t="s">
        <v>59</v>
      </c>
    </row>
    <row r="2036" spans="1:13" hidden="1" x14ac:dyDescent="0.15">
      <c r="A2036" t="s">
        <v>6501</v>
      </c>
      <c r="B2036" t="s">
        <v>6502</v>
      </c>
      <c r="C2036" t="s">
        <v>6503</v>
      </c>
      <c r="D2036" t="s">
        <v>6491</v>
      </c>
      <c r="E2036">
        <v>3</v>
      </c>
      <c r="F2036" t="str">
        <f>HYPERLINK("https://github.com/moneymanagerex/android-money-manager-ex/issues/1005", "show")</f>
        <v>show</v>
      </c>
      <c r="G2036" t="str">
        <f>HYPERLINK("https://github.com/moneymanagerex/android-money-manager-ex", "show")</f>
        <v>show</v>
      </c>
      <c r="H2036" t="str">
        <f>HYPERLINK("https://github.com/moneymanagerex/android-money-manager-ex/releases", "show")</f>
        <v>show</v>
      </c>
      <c r="I2036">
        <v>1</v>
      </c>
      <c r="J2036">
        <v>0</v>
      </c>
      <c r="K2036">
        <v>0</v>
      </c>
      <c r="L2036">
        <v>1</v>
      </c>
      <c r="M2036" t="s">
        <v>29</v>
      </c>
    </row>
    <row r="2037" spans="1:13" hidden="1" x14ac:dyDescent="0.15">
      <c r="A2037" t="s">
        <v>6504</v>
      </c>
      <c r="B2037" t="s">
        <v>6505</v>
      </c>
      <c r="C2037" t="s">
        <v>6506</v>
      </c>
      <c r="D2037" t="s">
        <v>6491</v>
      </c>
      <c r="E2037">
        <v>0</v>
      </c>
      <c r="F2037" t="str">
        <f>HYPERLINK("https://github.com/michael-rapp/AndroidPreferenceActivity/issues/18", "show")</f>
        <v>show</v>
      </c>
      <c r="G2037" t="str">
        <f>HYPERLINK("https://github.com/michael-rapp/AndroidPreferenceActivity", "show")</f>
        <v>show</v>
      </c>
      <c r="H2037" t="str">
        <f>HYPERLINK("https://github.com/michael-rapp/AndroidPreferenceActivity/releases", "show")</f>
        <v>show</v>
      </c>
      <c r="I2037">
        <v>1</v>
      </c>
      <c r="J2037">
        <v>0</v>
      </c>
      <c r="K2037">
        <v>1</v>
      </c>
      <c r="L2037">
        <v>0</v>
      </c>
      <c r="M2037" t="s">
        <v>64</v>
      </c>
    </row>
    <row r="2038" spans="1:13" hidden="1" x14ac:dyDescent="0.15">
      <c r="A2038" t="s">
        <v>6507</v>
      </c>
      <c r="B2038" t="s">
        <v>6508</v>
      </c>
      <c r="C2038" t="s">
        <v>6509</v>
      </c>
      <c r="D2038" t="s">
        <v>6510</v>
      </c>
      <c r="E2038">
        <v>1</v>
      </c>
      <c r="F2038" t="str">
        <f>HYPERLINK("https://github.com/forrestguice/SuntimesWidget/issues/58", "show")</f>
        <v>show</v>
      </c>
      <c r="G2038" t="str">
        <f>HYPERLINK("https://github.com/forrestguice/SuntimesWidget", "show")</f>
        <v>show</v>
      </c>
      <c r="H2038" t="str">
        <f>HYPERLINK("https://github.com/forrestguice/SuntimesWidget/releases", "show")</f>
        <v>show</v>
      </c>
      <c r="I2038">
        <v>1</v>
      </c>
      <c r="J2038">
        <v>0</v>
      </c>
      <c r="K2038">
        <v>0</v>
      </c>
      <c r="L2038">
        <v>0</v>
      </c>
      <c r="M2038" t="s">
        <v>17</v>
      </c>
    </row>
    <row r="2039" spans="1:13" hidden="1" x14ac:dyDescent="0.15">
      <c r="A2039" t="s">
        <v>6511</v>
      </c>
      <c r="B2039" t="s">
        <v>6512</v>
      </c>
      <c r="C2039" t="s">
        <v>6513</v>
      </c>
      <c r="D2039" t="s">
        <v>6510</v>
      </c>
      <c r="E2039">
        <v>2</v>
      </c>
      <c r="F2039" t="str">
        <f>HYPERLINK("https://github.com/alhazmy13/MediaPicker/issues/13", "show")</f>
        <v>show</v>
      </c>
      <c r="G2039" t="str">
        <f>HYPERLINK("https://github.com/alhazmy13/MediaPicker", "show")</f>
        <v>show</v>
      </c>
      <c r="H2039" t="str">
        <f>HYPERLINK("https://github.com/alhazmy13/MediaPicker/releases", "show")</f>
        <v>show</v>
      </c>
      <c r="I2039">
        <v>1</v>
      </c>
      <c r="J2039">
        <v>0</v>
      </c>
      <c r="K2039">
        <v>0</v>
      </c>
      <c r="L2039">
        <v>0</v>
      </c>
      <c r="M2039" t="s">
        <v>17</v>
      </c>
    </row>
    <row r="2040" spans="1:13" hidden="1" x14ac:dyDescent="0.15">
      <c r="A2040" t="s">
        <v>6514</v>
      </c>
      <c r="B2040" t="s">
        <v>6515</v>
      </c>
      <c r="C2040" t="s">
        <v>6516</v>
      </c>
      <c r="D2040" t="s">
        <v>6510</v>
      </c>
      <c r="E2040">
        <v>0</v>
      </c>
      <c r="F2040" t="str">
        <f>HYPERLINK("https://github.com/forrestguice/SuntimesWidget/issues/55", "show")</f>
        <v>show</v>
      </c>
      <c r="G2040" t="str">
        <f>HYPERLINK("https://github.com/forrestguice/SuntimesWidget", "show")</f>
        <v>show</v>
      </c>
      <c r="H2040" t="str">
        <f>HYPERLINK("https://github.com/forrestguice/SuntimesWidget/releases", "show")</f>
        <v>show</v>
      </c>
      <c r="I2040">
        <v>1</v>
      </c>
      <c r="J2040">
        <v>0</v>
      </c>
      <c r="K2040">
        <v>0</v>
      </c>
      <c r="L2040">
        <v>0</v>
      </c>
      <c r="M2040" t="s">
        <v>17</v>
      </c>
    </row>
    <row r="2041" spans="1:13" hidden="1" x14ac:dyDescent="0.15">
      <c r="A2041" t="s">
        <v>6517</v>
      </c>
      <c r="B2041" t="s">
        <v>6518</v>
      </c>
      <c r="C2041" t="s">
        <v>6519</v>
      </c>
      <c r="D2041" t="s">
        <v>6510</v>
      </c>
      <c r="E2041">
        <v>3</v>
      </c>
      <c r="F2041" t="str">
        <f>HYPERLINK("https://github.com/aviadmini/quickimagepick/issues/3", "show")</f>
        <v>show</v>
      </c>
      <c r="G2041" t="str">
        <f>HYPERLINK("https://github.com/aviadmini/quickimagepick", "show")</f>
        <v>show</v>
      </c>
      <c r="H2041" t="str">
        <f>HYPERLINK("https://github.com/aviadmini/quickimagepick/releases", "show")</f>
        <v>show</v>
      </c>
      <c r="I2041">
        <v>1</v>
      </c>
      <c r="J2041">
        <v>0</v>
      </c>
      <c r="K2041">
        <v>0</v>
      </c>
      <c r="L2041">
        <v>0</v>
      </c>
      <c r="M2041" t="s">
        <v>17</v>
      </c>
    </row>
    <row r="2042" spans="1:13" hidden="1" x14ac:dyDescent="0.15">
      <c r="A2042" t="s">
        <v>6520</v>
      </c>
      <c r="B2042" t="s">
        <v>6521</v>
      </c>
      <c r="C2042" t="s">
        <v>6522</v>
      </c>
      <c r="D2042" t="s">
        <v>6510</v>
      </c>
      <c r="E2042">
        <v>118</v>
      </c>
      <c r="F2042" t="str">
        <f>HYPERLINK("https://github.com/mixpanel/mixpanel-android/issues/395", "show")</f>
        <v>show</v>
      </c>
      <c r="G2042" t="str">
        <f>HYPERLINK("https://github.com/mixpanel/mixpanel-android", "show")</f>
        <v>show</v>
      </c>
      <c r="H2042" t="str">
        <f>HYPERLINK("https://github.com/mixpanel/mixpanel-android/releases", "show")</f>
        <v>show</v>
      </c>
      <c r="I2042">
        <v>1</v>
      </c>
      <c r="J2042">
        <v>0</v>
      </c>
      <c r="K2042">
        <v>0</v>
      </c>
      <c r="L2042">
        <v>0</v>
      </c>
      <c r="M2042" t="s">
        <v>17</v>
      </c>
    </row>
    <row r="2043" spans="1:13" hidden="1" x14ac:dyDescent="0.15">
      <c r="A2043" t="s">
        <v>6523</v>
      </c>
      <c r="B2043" t="s">
        <v>6524</v>
      </c>
      <c r="C2043" t="s">
        <v>6525</v>
      </c>
      <c r="D2043" t="s">
        <v>6526</v>
      </c>
      <c r="E2043">
        <v>433</v>
      </c>
      <c r="F2043" t="str">
        <f>HYPERLINK("https://github.com/zom/Zom-Android-XMPP/issues/142", "show")</f>
        <v>show</v>
      </c>
      <c r="G2043" t="str">
        <f>HYPERLINK("https://github.com/zom/Zom-Android-XMPP", "show")</f>
        <v>show</v>
      </c>
      <c r="H2043" t="str">
        <f>HYPERLINK("https://github.com/zom/Zom-Android-XMPP/releases", "show")</f>
        <v>show</v>
      </c>
      <c r="I2043">
        <v>1</v>
      </c>
      <c r="J2043">
        <v>0</v>
      </c>
      <c r="K2043">
        <v>0</v>
      </c>
      <c r="L2043">
        <v>0</v>
      </c>
      <c r="M2043" t="s">
        <v>17</v>
      </c>
    </row>
    <row r="2044" spans="1:13" hidden="1" x14ac:dyDescent="0.15">
      <c r="A2044" t="s">
        <v>6527</v>
      </c>
      <c r="B2044" t="s">
        <v>6528</v>
      </c>
      <c r="C2044" t="s">
        <v>504</v>
      </c>
      <c r="D2044" t="s">
        <v>6526</v>
      </c>
      <c r="E2044">
        <v>105</v>
      </c>
      <c r="F2044" t="str">
        <f>HYPERLINK("https://github.com/niclabs/adkintunmobile-androidclient/issues/131", "show")</f>
        <v>show</v>
      </c>
      <c r="G2044" t="str">
        <f>HYPERLINK("https://github.com/niclabs/adkintunmobile-androidclient", "show")</f>
        <v>show</v>
      </c>
      <c r="H2044" t="str">
        <f>HYPERLINK("https://github.com/niclabs/adkintunmobile-androidclient/releases", "show")</f>
        <v>show</v>
      </c>
      <c r="I2044">
        <v>1</v>
      </c>
      <c r="J2044">
        <v>0</v>
      </c>
      <c r="K2044">
        <v>0</v>
      </c>
      <c r="L2044">
        <v>0</v>
      </c>
      <c r="M2044" t="s">
        <v>17</v>
      </c>
    </row>
    <row r="2045" spans="1:13" hidden="1" x14ac:dyDescent="0.15">
      <c r="A2045" t="s">
        <v>6529</v>
      </c>
      <c r="B2045" t="s">
        <v>6530</v>
      </c>
      <c r="C2045" t="s">
        <v>6531</v>
      </c>
      <c r="D2045" t="s">
        <v>6526</v>
      </c>
      <c r="E2045">
        <v>221</v>
      </c>
      <c r="F2045" t="str">
        <f>HYPERLINK("https://github.com/CodelightStudios/Android-Smart-Login/issues/29", "show")</f>
        <v>show</v>
      </c>
      <c r="G2045" t="str">
        <f>HYPERLINK("https://github.com/CodelightStudios/Android-Smart-Login", "show")</f>
        <v>show</v>
      </c>
      <c r="H2045" t="str">
        <f>HYPERLINK("https://github.com/CodelightStudios/Android-Smart-Login/releases", "show")</f>
        <v>show</v>
      </c>
      <c r="I2045">
        <v>1</v>
      </c>
      <c r="J2045">
        <v>0</v>
      </c>
      <c r="K2045">
        <v>1</v>
      </c>
      <c r="L2045">
        <v>0</v>
      </c>
      <c r="M2045" t="s">
        <v>64</v>
      </c>
    </row>
    <row r="2046" spans="1:13" hidden="1" x14ac:dyDescent="0.15">
      <c r="A2046" t="s">
        <v>6532</v>
      </c>
      <c r="B2046" t="s">
        <v>6533</v>
      </c>
      <c r="C2046" t="s">
        <v>6534</v>
      </c>
      <c r="D2046" t="s">
        <v>6526</v>
      </c>
      <c r="E2046">
        <v>0</v>
      </c>
      <c r="F2046" t="str">
        <f>HYPERLINK("https://github.com/vector-im/riot-android/issues/501", "show")</f>
        <v>show</v>
      </c>
      <c r="G2046" t="str">
        <f>HYPERLINK("https://github.com/vector-im/riot-android", "show")</f>
        <v>show</v>
      </c>
      <c r="H2046" t="str">
        <f>HYPERLINK("https://github.com/vector-im/riot-android/releases", "show")</f>
        <v>show</v>
      </c>
      <c r="I2046">
        <v>1</v>
      </c>
      <c r="J2046">
        <v>1</v>
      </c>
      <c r="K2046">
        <v>0</v>
      </c>
      <c r="L2046">
        <v>0</v>
      </c>
      <c r="M2046" t="s">
        <v>48</v>
      </c>
    </row>
    <row r="2047" spans="1:13" hidden="1" x14ac:dyDescent="0.15">
      <c r="A2047" t="s">
        <v>6535</v>
      </c>
      <c r="B2047" t="s">
        <v>6536</v>
      </c>
      <c r="C2047" t="s">
        <v>6537</v>
      </c>
      <c r="D2047" t="s">
        <v>6526</v>
      </c>
      <c r="E2047">
        <v>0</v>
      </c>
      <c r="F2047" t="str">
        <f>HYPERLINK("https://github.com/vector-im/riot-android/issues/499", "show")</f>
        <v>show</v>
      </c>
      <c r="G2047" t="str">
        <f>HYPERLINK("https://github.com/vector-im/riot-android", "show")</f>
        <v>show</v>
      </c>
      <c r="H2047" t="str">
        <f>HYPERLINK("https://github.com/vector-im/riot-android/releases", "show")</f>
        <v>show</v>
      </c>
      <c r="I2047">
        <v>1</v>
      </c>
      <c r="J2047">
        <v>1</v>
      </c>
      <c r="K2047">
        <v>0</v>
      </c>
      <c r="L2047">
        <v>0</v>
      </c>
      <c r="M2047" t="s">
        <v>48</v>
      </c>
    </row>
    <row r="2048" spans="1:13" hidden="1" x14ac:dyDescent="0.15">
      <c r="A2048" t="s">
        <v>6538</v>
      </c>
      <c r="B2048" t="s">
        <v>6539</v>
      </c>
      <c r="C2048" t="s">
        <v>6540</v>
      </c>
      <c r="D2048" t="s">
        <v>6526</v>
      </c>
      <c r="E2048">
        <v>3</v>
      </c>
      <c r="F2048" t="str">
        <f>HYPERLINK("https://github.com/harrij15/SquareMeals/issues/35", "show")</f>
        <v>show</v>
      </c>
      <c r="G2048" t="str">
        <f>HYPERLINK("https://github.com/harrij15/SquareMeals", "show")</f>
        <v>show</v>
      </c>
      <c r="H2048" t="str">
        <f>HYPERLINK("https://github.com/harrij15/SquareMeals/releases", "show")</f>
        <v>show</v>
      </c>
      <c r="I2048">
        <v>1</v>
      </c>
      <c r="J2048">
        <v>0</v>
      </c>
      <c r="K2048">
        <v>0</v>
      </c>
      <c r="L2048">
        <v>0</v>
      </c>
      <c r="M2048" t="s">
        <v>17</v>
      </c>
    </row>
    <row r="2049" spans="1:13" hidden="1" x14ac:dyDescent="0.15">
      <c r="A2049" t="s">
        <v>6541</v>
      </c>
      <c r="B2049" t="s">
        <v>6542</v>
      </c>
      <c r="C2049" t="s">
        <v>6543</v>
      </c>
      <c r="D2049" t="s">
        <v>6526</v>
      </c>
      <c r="E2049">
        <v>9</v>
      </c>
      <c r="F2049" t="str">
        <f>HYPERLINK("https://github.com/evernote/android-job/issues/77", "show")</f>
        <v>show</v>
      </c>
      <c r="G2049" t="str">
        <f>HYPERLINK("https://github.com/evernote/android-job", "show")</f>
        <v>show</v>
      </c>
      <c r="H2049" t="str">
        <f>HYPERLINK("https://github.com/evernote/android-job/releases", "show")</f>
        <v>show</v>
      </c>
      <c r="I2049">
        <v>0</v>
      </c>
      <c r="J2049">
        <v>0</v>
      </c>
      <c r="K2049">
        <v>0</v>
      </c>
      <c r="L2049">
        <v>0</v>
      </c>
      <c r="M2049" t="s">
        <v>43</v>
      </c>
    </row>
    <row r="2050" spans="1:13" hidden="1" x14ac:dyDescent="0.15">
      <c r="A2050" t="s">
        <v>6544</v>
      </c>
      <c r="B2050" t="s">
        <v>6545</v>
      </c>
      <c r="C2050" t="s">
        <v>6546</v>
      </c>
      <c r="D2050" t="s">
        <v>6547</v>
      </c>
      <c r="E2050">
        <v>1</v>
      </c>
      <c r="F2050" t="str">
        <f>HYPERLINK("https://github.com/portexe/CompTIA-Aplus-Study-Practice/issues/8", "show")</f>
        <v>show</v>
      </c>
      <c r="G2050" t="str">
        <f>HYPERLINK("https://github.com/portexe/CompTIA-Aplus-Study-Practice", "show")</f>
        <v>show</v>
      </c>
      <c r="H2050" t="str">
        <f>HYPERLINK("https://github.com/portexe/CompTIA-Aplus-Study-Practice/releases", "show")</f>
        <v>show</v>
      </c>
      <c r="I2050">
        <v>0</v>
      </c>
      <c r="J2050">
        <v>0</v>
      </c>
      <c r="K2050">
        <v>1</v>
      </c>
      <c r="L2050">
        <v>0</v>
      </c>
      <c r="M2050" t="s">
        <v>122</v>
      </c>
    </row>
    <row r="2051" spans="1:13" hidden="1" x14ac:dyDescent="0.15">
      <c r="A2051" t="s">
        <v>6548</v>
      </c>
      <c r="B2051" t="s">
        <v>6549</v>
      </c>
      <c r="C2051" t="s">
        <v>6550</v>
      </c>
      <c r="D2051" t="s">
        <v>6547</v>
      </c>
      <c r="E2051">
        <v>70</v>
      </c>
      <c r="F2051" t="str">
        <f>HYPERLINK("https://github.com/Intelehealth/Android-Mobile-Client/issues/164", "show")</f>
        <v>show</v>
      </c>
      <c r="G2051" t="str">
        <f>HYPERLINK("https://github.com/Intelehealth/Android-Mobile-Client", "show")</f>
        <v>show</v>
      </c>
      <c r="H2051" t="str">
        <f>HYPERLINK("https://github.com/Intelehealth/Android-Mobile-Client/releases", "show")</f>
        <v>show</v>
      </c>
      <c r="I2051">
        <v>1</v>
      </c>
      <c r="J2051">
        <v>0</v>
      </c>
      <c r="K2051">
        <v>0</v>
      </c>
      <c r="L2051">
        <v>0</v>
      </c>
      <c r="M2051" t="s">
        <v>17</v>
      </c>
    </row>
    <row r="2052" spans="1:13" hidden="1" x14ac:dyDescent="0.15">
      <c r="A2052" t="s">
        <v>6551</v>
      </c>
      <c r="B2052" t="s">
        <v>6552</v>
      </c>
      <c r="D2052" t="s">
        <v>6547</v>
      </c>
      <c r="E2052">
        <v>7</v>
      </c>
      <c r="F2052" t="str">
        <f>HYPERLINK("https://github.com/zom/Zom-Android-XMPP/issues/145", "show")</f>
        <v>show</v>
      </c>
      <c r="G2052" t="str">
        <f>HYPERLINK("https://github.com/zom/Zom-Android-XMPP", "show")</f>
        <v>show</v>
      </c>
      <c r="H2052" t="str">
        <f>HYPERLINK("https://github.com/zom/Zom-Android-XMPP/releases", "show")</f>
        <v>show</v>
      </c>
      <c r="I2052">
        <v>1</v>
      </c>
      <c r="J2052">
        <v>0</v>
      </c>
      <c r="K2052">
        <v>0</v>
      </c>
      <c r="L2052">
        <v>0</v>
      </c>
      <c r="M2052" t="s">
        <v>17</v>
      </c>
    </row>
    <row r="2053" spans="1:13" hidden="1" x14ac:dyDescent="0.15">
      <c r="A2053" t="s">
        <v>6553</v>
      </c>
      <c r="B2053" t="s">
        <v>6554</v>
      </c>
      <c r="C2053" t="s">
        <v>6555</v>
      </c>
      <c r="D2053" t="s">
        <v>6547</v>
      </c>
      <c r="E2053">
        <v>0</v>
      </c>
      <c r="F2053" t="str">
        <f>HYPERLINK("https://github.com/cgeo/cgeo/issues/5965", "show")</f>
        <v>show</v>
      </c>
      <c r="G2053" t="str">
        <f>HYPERLINK("https://github.com/cgeo/cgeo", "show")</f>
        <v>show</v>
      </c>
      <c r="H2053" t="str">
        <f>HYPERLINK("https://github.com/cgeo/cgeo/releases", "show")</f>
        <v>show</v>
      </c>
      <c r="I2053">
        <v>0</v>
      </c>
      <c r="J2053">
        <v>0</v>
      </c>
      <c r="K2053">
        <v>1</v>
      </c>
      <c r="L2053">
        <v>0</v>
      </c>
      <c r="M2053" t="s">
        <v>122</v>
      </c>
    </row>
    <row r="2054" spans="1:13" hidden="1" x14ac:dyDescent="0.15">
      <c r="A2054" t="s">
        <v>6556</v>
      </c>
      <c r="B2054" t="s">
        <v>6557</v>
      </c>
      <c r="D2054" t="s">
        <v>6547</v>
      </c>
      <c r="E2054">
        <v>3</v>
      </c>
      <c r="F2054" t="str">
        <f>HYPERLINK("https://github.com/fennifith/Status/issues/30", "show")</f>
        <v>show</v>
      </c>
      <c r="G2054" t="str">
        <f>HYPERLINK("https://github.com/fennifith/Status", "show")</f>
        <v>show</v>
      </c>
      <c r="H2054" t="str">
        <f>HYPERLINK("https://github.com/fennifith/Status/releases", "show")</f>
        <v>show</v>
      </c>
      <c r="I2054">
        <v>0</v>
      </c>
      <c r="J2054">
        <v>0</v>
      </c>
      <c r="K2054">
        <v>0</v>
      </c>
      <c r="L2054">
        <v>0</v>
      </c>
      <c r="M2054" t="s">
        <v>43</v>
      </c>
    </row>
    <row r="2055" spans="1:13" hidden="1" x14ac:dyDescent="0.15">
      <c r="A2055" t="s">
        <v>6558</v>
      </c>
      <c r="B2055" t="s">
        <v>6559</v>
      </c>
      <c r="C2055" t="s">
        <v>6560</v>
      </c>
      <c r="D2055" t="s">
        <v>6547</v>
      </c>
      <c r="E2055">
        <v>0</v>
      </c>
      <c r="F2055" t="str">
        <f>HYPERLINK("https://github.com/cgeo/cgeo/issues/5963", "show")</f>
        <v>show</v>
      </c>
      <c r="G2055" t="str">
        <f>HYPERLINK("https://github.com/cgeo/cgeo", "show")</f>
        <v>show</v>
      </c>
      <c r="H2055" t="str">
        <f>HYPERLINK("https://github.com/cgeo/cgeo/releases", "show")</f>
        <v>show</v>
      </c>
      <c r="I2055">
        <v>0</v>
      </c>
      <c r="J2055">
        <v>0</v>
      </c>
      <c r="K2055">
        <v>1</v>
      </c>
      <c r="L2055">
        <v>0</v>
      </c>
      <c r="M2055" t="s">
        <v>122</v>
      </c>
    </row>
    <row r="2056" spans="1:13" hidden="1" x14ac:dyDescent="0.15">
      <c r="A2056" t="s">
        <v>6561</v>
      </c>
      <c r="B2056" t="s">
        <v>6562</v>
      </c>
      <c r="D2056" t="s">
        <v>6547</v>
      </c>
      <c r="E2056">
        <v>0</v>
      </c>
      <c r="F2056" t="str">
        <f>HYPERLINK("https://github.com/MattiaPrimavera/PieSender/issues/21", "show")</f>
        <v>show</v>
      </c>
      <c r="G2056" t="str">
        <f>HYPERLINK("https://github.com/MattiaPrimavera/PieSender", "show")</f>
        <v>show</v>
      </c>
      <c r="H2056" t="str">
        <f>HYPERLINK("https://github.com/MattiaPrimavera/PieSender/releases", "show")</f>
        <v>show</v>
      </c>
      <c r="I2056">
        <v>1</v>
      </c>
      <c r="J2056">
        <v>0</v>
      </c>
      <c r="K2056">
        <v>0</v>
      </c>
      <c r="L2056">
        <v>0</v>
      </c>
      <c r="M2056" t="s">
        <v>17</v>
      </c>
    </row>
    <row r="2057" spans="1:13" hidden="1" x14ac:dyDescent="0.15">
      <c r="A2057" t="s">
        <v>6563</v>
      </c>
      <c r="B2057" t="s">
        <v>6564</v>
      </c>
      <c r="C2057" t="s">
        <v>6565</v>
      </c>
      <c r="D2057" t="s">
        <v>6566</v>
      </c>
      <c r="E2057">
        <v>24</v>
      </c>
      <c r="F2057" t="str">
        <f>HYPERLINK("https://github.com/k3b/APhotoManager/issues/71", "show")</f>
        <v>show</v>
      </c>
      <c r="G2057" t="str">
        <f>HYPERLINK("https://github.com/k3b/APhotoManager", "show")</f>
        <v>show</v>
      </c>
      <c r="H2057" t="str">
        <f>HYPERLINK("https://github.com/k3b/APhotoManager/releases", "show")</f>
        <v>show</v>
      </c>
      <c r="I2057">
        <v>1</v>
      </c>
      <c r="J2057">
        <v>1</v>
      </c>
      <c r="K2057">
        <v>0</v>
      </c>
      <c r="L2057">
        <v>0</v>
      </c>
      <c r="M2057" t="s">
        <v>48</v>
      </c>
    </row>
    <row r="2058" spans="1:13" hidden="1" x14ac:dyDescent="0.15">
      <c r="A2058" t="s">
        <v>6567</v>
      </c>
      <c r="B2058" t="s">
        <v>6568</v>
      </c>
      <c r="C2058" t="s">
        <v>6569</v>
      </c>
      <c r="D2058" t="s">
        <v>6566</v>
      </c>
      <c r="E2058">
        <v>1</v>
      </c>
      <c r="F2058" t="str">
        <f>HYPERLINK("https://github.com/IvoGoman/Diabetes-App/issues/76", "show")</f>
        <v>show</v>
      </c>
      <c r="G2058" t="str">
        <f>HYPERLINK("https://github.com/IvoGoman/Diabetes-App", "show")</f>
        <v>show</v>
      </c>
      <c r="H2058" t="str">
        <f>HYPERLINK("https://github.com/IvoGoman/Diabetes-App/releases", "show")</f>
        <v>show</v>
      </c>
      <c r="I2058">
        <v>0</v>
      </c>
      <c r="J2058">
        <v>0</v>
      </c>
      <c r="K2058">
        <v>0</v>
      </c>
      <c r="L2058">
        <v>0</v>
      </c>
      <c r="M2058" t="s">
        <v>43</v>
      </c>
    </row>
    <row r="2059" spans="1:13" hidden="1" x14ac:dyDescent="0.15">
      <c r="A2059" t="s">
        <v>6570</v>
      </c>
      <c r="B2059" t="s">
        <v>6571</v>
      </c>
      <c r="C2059" t="s">
        <v>6572</v>
      </c>
      <c r="D2059" t="s">
        <v>6566</v>
      </c>
      <c r="E2059">
        <v>0</v>
      </c>
      <c r="F2059" t="str">
        <f>HYPERLINK("https://github.com/IvoGoman/Diabetes-App/issues/73", "show")</f>
        <v>show</v>
      </c>
      <c r="G2059" t="str">
        <f>HYPERLINK("https://github.com/IvoGoman/Diabetes-App", "show")</f>
        <v>show</v>
      </c>
      <c r="H2059" t="str">
        <f>HYPERLINK("https://github.com/IvoGoman/Diabetes-App/releases", "show")</f>
        <v>show</v>
      </c>
      <c r="I2059">
        <v>1</v>
      </c>
      <c r="J2059">
        <v>0</v>
      </c>
      <c r="K2059">
        <v>1</v>
      </c>
      <c r="L2059">
        <v>0</v>
      </c>
      <c r="M2059" t="s">
        <v>64</v>
      </c>
    </row>
    <row r="2060" spans="1:13" hidden="1" x14ac:dyDescent="0.15">
      <c r="A2060" t="s">
        <v>6573</v>
      </c>
      <c r="B2060" t="s">
        <v>6574</v>
      </c>
      <c r="D2060" t="s">
        <v>6566</v>
      </c>
      <c r="E2060">
        <v>10</v>
      </c>
      <c r="F2060" t="str">
        <f>HYPERLINK("https://github.com/IvoGoman/Diabetes-App/issues/72", "show")</f>
        <v>show</v>
      </c>
      <c r="G2060" t="str">
        <f>HYPERLINK("https://github.com/IvoGoman/Diabetes-App", "show")</f>
        <v>show</v>
      </c>
      <c r="H2060" t="str">
        <f>HYPERLINK("https://github.com/IvoGoman/Diabetes-App/releases", "show")</f>
        <v>show</v>
      </c>
      <c r="I2060">
        <v>1</v>
      </c>
      <c r="J2060">
        <v>0</v>
      </c>
      <c r="K2060">
        <v>1</v>
      </c>
      <c r="L2060">
        <v>0</v>
      </c>
      <c r="M2060" t="s">
        <v>64</v>
      </c>
    </row>
    <row r="2061" spans="1:13" hidden="1" x14ac:dyDescent="0.15">
      <c r="A2061" t="s">
        <v>6575</v>
      </c>
      <c r="B2061" t="s">
        <v>6576</v>
      </c>
      <c r="C2061" t="s">
        <v>6577</v>
      </c>
      <c r="D2061" t="s">
        <v>6566</v>
      </c>
      <c r="E2061">
        <v>20</v>
      </c>
      <c r="F2061" t="str">
        <f>HYPERLINK("https://github.com/Cloudkibo/Android/issues/189", "show")</f>
        <v>show</v>
      </c>
      <c r="G2061" t="str">
        <f>HYPERLINK("https://github.com/Cloudkibo/Android", "show")</f>
        <v>show</v>
      </c>
      <c r="H2061" t="str">
        <f>HYPERLINK("https://github.com/Cloudkibo/Android/releases", "show")</f>
        <v>show</v>
      </c>
      <c r="I2061">
        <v>1</v>
      </c>
      <c r="J2061">
        <v>0</v>
      </c>
      <c r="K2061">
        <v>0</v>
      </c>
      <c r="L2061">
        <v>0</v>
      </c>
      <c r="M2061" t="s">
        <v>17</v>
      </c>
    </row>
    <row r="2062" spans="1:13" hidden="1" x14ac:dyDescent="0.15">
      <c r="A2062" t="s">
        <v>6578</v>
      </c>
      <c r="B2062" t="s">
        <v>6579</v>
      </c>
      <c r="C2062" t="s">
        <v>6580</v>
      </c>
      <c r="D2062" t="s">
        <v>6581</v>
      </c>
      <c r="E2062">
        <v>41</v>
      </c>
      <c r="F2062" t="str">
        <f>HYPERLINK("https://github.com/farkam135/GoIV/issues/420", "show")</f>
        <v>show</v>
      </c>
      <c r="G2062" t="str">
        <f>HYPERLINK("https://github.com/farkam135/GoIV", "show")</f>
        <v>show</v>
      </c>
      <c r="H2062" t="str">
        <f>HYPERLINK("https://github.com/farkam135/GoIV/releases", "show")</f>
        <v>show</v>
      </c>
      <c r="I2062">
        <v>1</v>
      </c>
      <c r="J2062">
        <v>0</v>
      </c>
      <c r="K2062">
        <v>0</v>
      </c>
      <c r="L2062">
        <v>0</v>
      </c>
      <c r="M2062" t="s">
        <v>17</v>
      </c>
    </row>
    <row r="2063" spans="1:13" hidden="1" x14ac:dyDescent="0.15">
      <c r="A2063" t="s">
        <v>6582</v>
      </c>
      <c r="B2063" t="s">
        <v>6583</v>
      </c>
      <c r="C2063" t="s">
        <v>6584</v>
      </c>
      <c r="D2063" t="s">
        <v>6581</v>
      </c>
      <c r="E2063">
        <v>847</v>
      </c>
      <c r="F2063" t="str">
        <f>HYPERLINK("https://github.com/redsolution/xabber-android/issues/663", "show")</f>
        <v>show</v>
      </c>
      <c r="G2063" t="str">
        <f>HYPERLINK("https://github.com/redsolution/xabber-android", "show")</f>
        <v>show</v>
      </c>
      <c r="H2063" t="str">
        <f>HYPERLINK("https://github.com/redsolution/xabber-android/releases", "show")</f>
        <v>show</v>
      </c>
      <c r="I2063">
        <v>1</v>
      </c>
      <c r="J2063">
        <v>0</v>
      </c>
      <c r="K2063">
        <v>1</v>
      </c>
      <c r="L2063">
        <v>0</v>
      </c>
      <c r="M2063" t="s">
        <v>64</v>
      </c>
    </row>
    <row r="2064" spans="1:13" hidden="1" x14ac:dyDescent="0.15">
      <c r="A2064" t="s">
        <v>6585</v>
      </c>
      <c r="B2064" t="s">
        <v>6586</v>
      </c>
      <c r="C2064" t="s">
        <v>6587</v>
      </c>
      <c r="D2064" t="s">
        <v>6588</v>
      </c>
      <c r="E2064">
        <v>35</v>
      </c>
      <c r="F2064" t="str">
        <f>HYPERLINK("https://github.com/lgallard/qBittorrent-Controller/issues/109", "show")</f>
        <v>show</v>
      </c>
      <c r="G2064" t="str">
        <f>HYPERLINK("https://github.com/lgallard/qBittorrent-Controller", "show")</f>
        <v>show</v>
      </c>
      <c r="H2064" t="str">
        <f>HYPERLINK("https://github.com/lgallard/qBittorrent-Controller/releases", "show")</f>
        <v>show</v>
      </c>
      <c r="I2064">
        <v>1</v>
      </c>
      <c r="J2064">
        <v>0</v>
      </c>
      <c r="K2064">
        <v>0</v>
      </c>
      <c r="L2064">
        <v>0</v>
      </c>
      <c r="M2064" t="s">
        <v>17</v>
      </c>
    </row>
    <row r="2065" spans="1:13" hidden="1" x14ac:dyDescent="0.15">
      <c r="A2065" t="s">
        <v>6589</v>
      </c>
      <c r="B2065" t="s">
        <v>6590</v>
      </c>
      <c r="C2065" t="s">
        <v>6591</v>
      </c>
      <c r="D2065" t="s">
        <v>6592</v>
      </c>
      <c r="E2065">
        <v>4</v>
      </c>
      <c r="F2065" t="str">
        <f>HYPERLINK("https://github.com/mvysny/aedict/issues/700", "show")</f>
        <v>show</v>
      </c>
      <c r="G2065" t="str">
        <f>HYPERLINK("https://github.com/mvysny/aedict", "show")</f>
        <v>show</v>
      </c>
      <c r="H2065" t="str">
        <f>HYPERLINK("https://github.com/mvysny/aedict/releases", "show")</f>
        <v>show</v>
      </c>
      <c r="I2065">
        <v>1</v>
      </c>
      <c r="J2065">
        <v>0</v>
      </c>
      <c r="K2065">
        <v>0</v>
      </c>
      <c r="L2065">
        <v>1</v>
      </c>
      <c r="M2065" t="s">
        <v>29</v>
      </c>
    </row>
    <row r="2066" spans="1:13" hidden="1" x14ac:dyDescent="0.15">
      <c r="A2066" t="s">
        <v>6593</v>
      </c>
      <c r="B2066" t="s">
        <v>6594</v>
      </c>
      <c r="C2066" t="s">
        <v>6595</v>
      </c>
      <c r="D2066" t="s">
        <v>6596</v>
      </c>
      <c r="E2066">
        <v>4</v>
      </c>
      <c r="F2066" t="str">
        <f>HYPERLINK("https://github.com/Cloudkibo/Android/issues/198", "show")</f>
        <v>show</v>
      </c>
      <c r="G2066" t="str">
        <f>HYPERLINK("https://github.com/Cloudkibo/Android", "show")</f>
        <v>show</v>
      </c>
      <c r="H2066" t="str">
        <f>HYPERLINK("https://github.com/Cloudkibo/Android/releases", "show")</f>
        <v>show</v>
      </c>
      <c r="I2066">
        <v>1</v>
      </c>
      <c r="J2066">
        <v>0</v>
      </c>
      <c r="K2066">
        <v>0</v>
      </c>
      <c r="L2066">
        <v>0</v>
      </c>
      <c r="M2066" t="s">
        <v>17</v>
      </c>
    </row>
    <row r="2067" spans="1:13" hidden="1" x14ac:dyDescent="0.15">
      <c r="A2067" t="s">
        <v>6597</v>
      </c>
      <c r="B2067" t="s">
        <v>6598</v>
      </c>
      <c r="C2067" t="s">
        <v>6599</v>
      </c>
      <c r="D2067" t="s">
        <v>6596</v>
      </c>
      <c r="E2067">
        <v>1</v>
      </c>
      <c r="F2067" t="str">
        <f>HYPERLINK("https://github.com/fullstackreact/react-native-firestack/issues/32", "show")</f>
        <v>show</v>
      </c>
      <c r="G2067" t="str">
        <f>HYPERLINK("https://github.com/fullstackreact/react-native-firestack", "show")</f>
        <v>show</v>
      </c>
      <c r="H2067" t="str">
        <f>HYPERLINK("https://github.com/fullstackreact/react-native-firestack/releases", "show")</f>
        <v>show</v>
      </c>
      <c r="I2067">
        <v>0</v>
      </c>
      <c r="J2067">
        <v>0</v>
      </c>
      <c r="K2067">
        <v>0</v>
      </c>
      <c r="L2067">
        <v>0</v>
      </c>
      <c r="M2067" t="s">
        <v>43</v>
      </c>
    </row>
    <row r="2068" spans="1:13" hidden="1" x14ac:dyDescent="0.15">
      <c r="A2068" t="s">
        <v>6600</v>
      </c>
      <c r="B2068" t="s">
        <v>6601</v>
      </c>
      <c r="C2068" t="s">
        <v>6602</v>
      </c>
      <c r="D2068" t="s">
        <v>6596</v>
      </c>
      <c r="E2068">
        <v>15</v>
      </c>
      <c r="F2068" t="str">
        <f>HYPERLINK("https://github.com/nextcloud/android/issues/279", "show")</f>
        <v>show</v>
      </c>
      <c r="G2068" t="str">
        <f>HYPERLINK("https://github.com/nextcloud/android", "show")</f>
        <v>show</v>
      </c>
      <c r="H2068" t="str">
        <f>HYPERLINK("https://github.com/nextcloud/android/releases", "show")</f>
        <v>show</v>
      </c>
      <c r="I2068">
        <v>1</v>
      </c>
      <c r="J2068">
        <v>1</v>
      </c>
      <c r="K2068">
        <v>1</v>
      </c>
      <c r="L2068">
        <v>0</v>
      </c>
      <c r="M2068" t="s">
        <v>59</v>
      </c>
    </row>
    <row r="2069" spans="1:13" hidden="1" x14ac:dyDescent="0.15">
      <c r="A2069" t="s">
        <v>6603</v>
      </c>
      <c r="B2069" t="s">
        <v>6604</v>
      </c>
      <c r="C2069" t="s">
        <v>6605</v>
      </c>
      <c r="D2069" t="s">
        <v>6606</v>
      </c>
      <c r="E2069">
        <v>332</v>
      </c>
      <c r="F2069" t="str">
        <f>HYPERLINK("https://github.com/processing/processing-android/issues/253", "show")</f>
        <v>show</v>
      </c>
      <c r="G2069" t="str">
        <f>HYPERLINK("https://github.com/processing/processing-android", "show")</f>
        <v>show</v>
      </c>
      <c r="H2069" t="str">
        <f>HYPERLINK("https://github.com/processing/processing-android/releases", "show")</f>
        <v>show</v>
      </c>
      <c r="I2069">
        <v>1</v>
      </c>
      <c r="J2069">
        <v>0</v>
      </c>
      <c r="K2069">
        <v>0</v>
      </c>
      <c r="L2069">
        <v>0</v>
      </c>
      <c r="M2069" t="s">
        <v>17</v>
      </c>
    </row>
    <row r="2070" spans="1:13" hidden="1" x14ac:dyDescent="0.15">
      <c r="A2070" t="s">
        <v>6607</v>
      </c>
      <c r="B2070" t="s">
        <v>6608</v>
      </c>
      <c r="C2070" t="s">
        <v>6609</v>
      </c>
      <c r="D2070" t="s">
        <v>6606</v>
      </c>
      <c r="E2070">
        <v>890</v>
      </c>
      <c r="F2070" t="str">
        <f>HYPERLINK("https://github.com/k9mail/k-9/issues/1627", "show")</f>
        <v>show</v>
      </c>
      <c r="G2070" t="str">
        <f>HYPERLINK("https://github.com/k9mail/k-9", "show")</f>
        <v>show</v>
      </c>
      <c r="H2070" t="str">
        <f>HYPERLINK("https://github.com/k9mail/k-9/releases", "show")</f>
        <v>show</v>
      </c>
      <c r="I2070">
        <v>1</v>
      </c>
      <c r="J2070">
        <v>1</v>
      </c>
      <c r="K2070">
        <v>0</v>
      </c>
      <c r="L2070">
        <v>0</v>
      </c>
      <c r="M2070" t="s">
        <v>48</v>
      </c>
    </row>
    <row r="2071" spans="1:13" hidden="1" x14ac:dyDescent="0.15">
      <c r="A2071" t="s">
        <v>6610</v>
      </c>
      <c r="B2071" t="s">
        <v>6611</v>
      </c>
      <c r="C2071" t="s">
        <v>6612</v>
      </c>
      <c r="D2071" t="s">
        <v>6606</v>
      </c>
      <c r="E2071">
        <v>20</v>
      </c>
      <c r="F2071" t="str">
        <f>HYPERLINK("https://github.com/osmdroid/osmdroid/issues/424", "show")</f>
        <v>show</v>
      </c>
      <c r="G2071" t="str">
        <f>HYPERLINK("https://github.com/osmdroid/osmdroid", "show")</f>
        <v>show</v>
      </c>
      <c r="H2071" t="str">
        <f>HYPERLINK("https://github.com/osmdroid/osmdroid/releases", "show")</f>
        <v>show</v>
      </c>
      <c r="I2071">
        <v>1</v>
      </c>
      <c r="J2071">
        <v>0</v>
      </c>
      <c r="K2071">
        <v>1</v>
      </c>
      <c r="L2071">
        <v>0</v>
      </c>
      <c r="M2071" t="s">
        <v>64</v>
      </c>
    </row>
    <row r="2072" spans="1:13" hidden="1" x14ac:dyDescent="0.15">
      <c r="A2072" t="s">
        <v>6613</v>
      </c>
      <c r="B2072" t="s">
        <v>6614</v>
      </c>
      <c r="C2072" t="s">
        <v>6615</v>
      </c>
      <c r="D2072" t="s">
        <v>6606</v>
      </c>
      <c r="E2072">
        <v>3</v>
      </c>
      <c r="F2072" t="str">
        <f>HYPERLINK("https://github.com/koelleChristian/trickytripper/issues/21", "show")</f>
        <v>show</v>
      </c>
      <c r="G2072" t="str">
        <f>HYPERLINK("https://github.com/koelleChristian/trickytripper", "show")</f>
        <v>show</v>
      </c>
      <c r="H2072" t="str">
        <f>HYPERLINK("https://github.com/koelleChristian/trickytripper/releases", "show")</f>
        <v>show</v>
      </c>
      <c r="I2072">
        <v>1</v>
      </c>
      <c r="J2072">
        <v>1</v>
      </c>
      <c r="K2072">
        <v>0</v>
      </c>
      <c r="L2072">
        <v>0</v>
      </c>
      <c r="M2072" t="s">
        <v>48</v>
      </c>
    </row>
    <row r="2073" spans="1:13" hidden="1" x14ac:dyDescent="0.15">
      <c r="A2073" t="s">
        <v>6616</v>
      </c>
      <c r="B2073" t="s">
        <v>6617</v>
      </c>
      <c r="C2073" t="s">
        <v>6618</v>
      </c>
      <c r="D2073" t="s">
        <v>6606</v>
      </c>
      <c r="E2073">
        <v>2</v>
      </c>
      <c r="F2073" t="str">
        <f>HYPERLINK("https://github.com/eleme/Amigo/issues/73", "show")</f>
        <v>show</v>
      </c>
      <c r="G2073" t="str">
        <f>HYPERLINK("https://github.com/eleme/Amigo", "show")</f>
        <v>show</v>
      </c>
      <c r="H2073" t="str">
        <f>HYPERLINK("https://github.com/eleme/Amigo/releases", "show")</f>
        <v>show</v>
      </c>
      <c r="I2073">
        <v>1</v>
      </c>
      <c r="J2073">
        <v>0</v>
      </c>
      <c r="K2073">
        <v>0</v>
      </c>
      <c r="L2073">
        <v>0</v>
      </c>
      <c r="M2073" t="s">
        <v>17</v>
      </c>
    </row>
    <row r="2074" spans="1:13" hidden="1" x14ac:dyDescent="0.15">
      <c r="A2074" t="s">
        <v>6619</v>
      </c>
      <c r="B2074" t="s">
        <v>6620</v>
      </c>
      <c r="C2074" t="s">
        <v>6621</v>
      </c>
      <c r="D2074" t="s">
        <v>6622</v>
      </c>
      <c r="E2074">
        <v>4</v>
      </c>
      <c r="F2074" t="str">
        <f>HYPERLINK("https://github.com/Intelehealth/Android-Mobile-Client/issues/184", "show")</f>
        <v>show</v>
      </c>
      <c r="G2074" t="str">
        <f>HYPERLINK("https://github.com/Intelehealth/Android-Mobile-Client", "show")</f>
        <v>show</v>
      </c>
      <c r="H2074" t="str">
        <f>HYPERLINK("https://github.com/Intelehealth/Android-Mobile-Client/releases", "show")</f>
        <v>show</v>
      </c>
      <c r="I2074">
        <v>1</v>
      </c>
      <c r="J2074">
        <v>0</v>
      </c>
      <c r="K2074">
        <v>0</v>
      </c>
      <c r="L2074">
        <v>0</v>
      </c>
      <c r="M2074" t="s">
        <v>17</v>
      </c>
    </row>
    <row r="2075" spans="1:13" hidden="1" x14ac:dyDescent="0.15">
      <c r="A2075" t="s">
        <v>6623</v>
      </c>
      <c r="B2075" t="s">
        <v>6624</v>
      </c>
      <c r="C2075" t="s">
        <v>6625</v>
      </c>
      <c r="D2075" t="s">
        <v>6622</v>
      </c>
      <c r="E2075">
        <v>1</v>
      </c>
      <c r="F2075" t="str">
        <f>HYPERLINK("https://github.com/mauron85/cordova-plugin-background-geolocation/issues/173", "show")</f>
        <v>show</v>
      </c>
      <c r="G2075" t="str">
        <f>HYPERLINK("https://github.com/mauron85/cordova-plugin-background-geolocation", "show")</f>
        <v>show</v>
      </c>
      <c r="H2075" t="str">
        <f>HYPERLINK("https://github.com/mauron85/cordova-plugin-background-geolocation/releases", "show")</f>
        <v>show</v>
      </c>
      <c r="I2075">
        <v>0</v>
      </c>
      <c r="J2075">
        <v>1</v>
      </c>
      <c r="K2075">
        <v>1</v>
      </c>
      <c r="L2075">
        <v>0</v>
      </c>
      <c r="M2075" t="s">
        <v>699</v>
      </c>
    </row>
    <row r="2076" spans="1:13" hidden="1" x14ac:dyDescent="0.15">
      <c r="A2076" t="s">
        <v>6626</v>
      </c>
      <c r="B2076" t="s">
        <v>6627</v>
      </c>
      <c r="C2076" t="s">
        <v>6628</v>
      </c>
      <c r="D2076" t="s">
        <v>6622</v>
      </c>
      <c r="E2076">
        <v>889</v>
      </c>
      <c r="F2076" t="str">
        <f>HYPERLINK("https://github.com/k9mail/k-9/issues/1628", "show")</f>
        <v>show</v>
      </c>
      <c r="G2076" t="str">
        <f>HYPERLINK("https://github.com/k9mail/k-9", "show")</f>
        <v>show</v>
      </c>
      <c r="H2076" t="str">
        <f>HYPERLINK("https://github.com/k9mail/k-9/releases", "show")</f>
        <v>show</v>
      </c>
      <c r="I2076">
        <v>0</v>
      </c>
      <c r="J2076">
        <v>0</v>
      </c>
      <c r="K2076">
        <v>0</v>
      </c>
      <c r="L2076">
        <v>0</v>
      </c>
      <c r="M2076" t="s">
        <v>43</v>
      </c>
    </row>
    <row r="2077" spans="1:13" hidden="1" x14ac:dyDescent="0.15">
      <c r="A2077" t="s">
        <v>6629</v>
      </c>
      <c r="B2077" t="s">
        <v>6630</v>
      </c>
      <c r="C2077" t="s">
        <v>6631</v>
      </c>
      <c r="D2077" t="s">
        <v>6622</v>
      </c>
      <c r="E2077">
        <v>63</v>
      </c>
      <c r="F2077" t="str">
        <f>HYPERLINK("https://github.com/Odoo-mobile/framework/issues/228", "show")</f>
        <v>show</v>
      </c>
      <c r="G2077" t="str">
        <f>HYPERLINK("https://github.com/Odoo-mobile/framework", "show")</f>
        <v>show</v>
      </c>
      <c r="H2077" t="str">
        <f>HYPERLINK("https://github.com/Odoo-mobile/framework/releases", "show")</f>
        <v>show</v>
      </c>
      <c r="I2077">
        <v>1</v>
      </c>
      <c r="J2077">
        <v>1</v>
      </c>
      <c r="K2077">
        <v>1</v>
      </c>
      <c r="L2077">
        <v>0</v>
      </c>
      <c r="M2077" t="s">
        <v>59</v>
      </c>
    </row>
    <row r="2078" spans="1:13" hidden="1" x14ac:dyDescent="0.15">
      <c r="A2078" t="s">
        <v>6632</v>
      </c>
      <c r="B2078" t="s">
        <v>6633</v>
      </c>
      <c r="C2078" t="s">
        <v>6634</v>
      </c>
      <c r="D2078" t="s">
        <v>6622</v>
      </c>
      <c r="E2078">
        <v>44</v>
      </c>
      <c r="F2078" t="str">
        <f>HYPERLINK("https://github.com/farkam135/GoIV/issues/463", "show")</f>
        <v>show</v>
      </c>
      <c r="G2078" t="str">
        <f>HYPERLINK("https://github.com/farkam135/GoIV", "show")</f>
        <v>show</v>
      </c>
      <c r="H2078" t="str">
        <f>HYPERLINK("https://github.com/farkam135/GoIV/releases", "show")</f>
        <v>show</v>
      </c>
      <c r="I2078">
        <v>1</v>
      </c>
      <c r="J2078">
        <v>0</v>
      </c>
      <c r="K2078">
        <v>0</v>
      </c>
      <c r="L2078">
        <v>1</v>
      </c>
      <c r="M2078" t="s">
        <v>29</v>
      </c>
    </row>
    <row r="2079" spans="1:13" hidden="1" x14ac:dyDescent="0.15">
      <c r="A2079" t="s">
        <v>6635</v>
      </c>
      <c r="B2079" t="s">
        <v>6636</v>
      </c>
      <c r="C2079" t="s">
        <v>6637</v>
      </c>
      <c r="D2079" t="s">
        <v>6622</v>
      </c>
      <c r="E2079">
        <v>36</v>
      </c>
      <c r="F2079" t="str">
        <f>HYPERLINK("https://github.com/koral--/android-gif-drawable/issues/343", "show")</f>
        <v>show</v>
      </c>
      <c r="G2079" t="str">
        <f>HYPERLINK("https://github.com/koral--/android-gif-drawable", "show")</f>
        <v>show</v>
      </c>
      <c r="H2079" t="str">
        <f>HYPERLINK("https://github.com/koral--/android-gif-drawable/releases", "show")</f>
        <v>show</v>
      </c>
      <c r="I2079">
        <v>1</v>
      </c>
      <c r="J2079">
        <v>0</v>
      </c>
      <c r="K2079">
        <v>1</v>
      </c>
      <c r="L2079">
        <v>0</v>
      </c>
      <c r="M2079" t="s">
        <v>64</v>
      </c>
    </row>
    <row r="2080" spans="1:13" hidden="1" x14ac:dyDescent="0.15">
      <c r="A2080" t="s">
        <v>6638</v>
      </c>
      <c r="B2080" t="s">
        <v>6639</v>
      </c>
      <c r="C2080" t="s">
        <v>6640</v>
      </c>
      <c r="D2080" t="s">
        <v>6641</v>
      </c>
      <c r="E2080">
        <v>3</v>
      </c>
      <c r="F2080" t="str">
        <f>HYPERLINK("https://github.com/davideas/FlexibleAdapter/issues/173", "show")</f>
        <v>show</v>
      </c>
      <c r="G2080" t="str">
        <f>HYPERLINK("https://github.com/davideas/FlexibleAdapter", "show")</f>
        <v>show</v>
      </c>
      <c r="H2080" t="str">
        <f>HYPERLINK("https://github.com/davideas/FlexibleAdapter/releases", "show")</f>
        <v>show</v>
      </c>
      <c r="I2080">
        <v>1</v>
      </c>
      <c r="J2080">
        <v>1</v>
      </c>
      <c r="K2080">
        <v>0</v>
      </c>
      <c r="L2080">
        <v>0</v>
      </c>
      <c r="M2080" t="s">
        <v>48</v>
      </c>
    </row>
    <row r="2081" spans="1:13" hidden="1" x14ac:dyDescent="0.15">
      <c r="A2081" t="s">
        <v>6642</v>
      </c>
      <c r="B2081" t="s">
        <v>6643</v>
      </c>
      <c r="C2081" t="s">
        <v>6644</v>
      </c>
      <c r="D2081" t="s">
        <v>6641</v>
      </c>
      <c r="E2081">
        <v>62</v>
      </c>
      <c r="F2081" t="str">
        <f>HYPERLINK("https://github.com/permissions-dispatcher/PermissionsDispatcher/issues/203", "show")</f>
        <v>show</v>
      </c>
      <c r="G2081" t="str">
        <f>HYPERLINK("https://github.com/permissions-dispatcher/PermissionsDispatcher", "show")</f>
        <v>show</v>
      </c>
      <c r="H2081" t="str">
        <f>HYPERLINK("https://github.com/permissions-dispatcher/PermissionsDispatcher/releases", "show")</f>
        <v>show</v>
      </c>
      <c r="I2081">
        <v>0</v>
      </c>
      <c r="J2081">
        <v>0</v>
      </c>
      <c r="K2081">
        <v>0</v>
      </c>
      <c r="L2081">
        <v>0</v>
      </c>
      <c r="M2081" t="s">
        <v>43</v>
      </c>
    </row>
    <row r="2082" spans="1:13" hidden="1" x14ac:dyDescent="0.15">
      <c r="A2082" t="s">
        <v>6645</v>
      </c>
      <c r="B2082" t="s">
        <v>6646</v>
      </c>
      <c r="C2082" t="s">
        <v>6647</v>
      </c>
      <c r="D2082" t="s">
        <v>6641</v>
      </c>
      <c r="E2082">
        <v>0</v>
      </c>
      <c r="F2082" t="str">
        <f>HYPERLINK("https://github.com/farkam135/GoIV/issues/465", "show")</f>
        <v>show</v>
      </c>
      <c r="G2082" t="str">
        <f>HYPERLINK("https://github.com/farkam135/GoIV", "show")</f>
        <v>show</v>
      </c>
      <c r="H2082" t="str">
        <f>HYPERLINK("https://github.com/farkam135/GoIV/releases", "show")</f>
        <v>show</v>
      </c>
      <c r="I2082">
        <v>0</v>
      </c>
      <c r="J2082">
        <v>0</v>
      </c>
      <c r="K2082">
        <v>1</v>
      </c>
      <c r="L2082">
        <v>0</v>
      </c>
      <c r="M2082" t="s">
        <v>122</v>
      </c>
    </row>
    <row r="2083" spans="1:13" hidden="1" x14ac:dyDescent="0.15">
      <c r="A2083" t="s">
        <v>6648</v>
      </c>
      <c r="B2083" t="s">
        <v>6649</v>
      </c>
      <c r="C2083" t="s">
        <v>6650</v>
      </c>
      <c r="D2083" t="s">
        <v>6641</v>
      </c>
      <c r="E2083">
        <v>15</v>
      </c>
      <c r="F2083" t="str">
        <f>HYPERLINK("https://github.com/k9mail/k-9/issues/1629", "show")</f>
        <v>show</v>
      </c>
      <c r="G2083" t="str">
        <f>HYPERLINK("https://github.com/k9mail/k-9", "show")</f>
        <v>show</v>
      </c>
      <c r="H2083" t="str">
        <f>HYPERLINK("https://github.com/k9mail/k-9/releases", "show")</f>
        <v>show</v>
      </c>
      <c r="I2083">
        <v>0</v>
      </c>
      <c r="J2083">
        <v>1</v>
      </c>
      <c r="K2083">
        <v>1</v>
      </c>
      <c r="L2083">
        <v>0</v>
      </c>
      <c r="M2083" t="s">
        <v>699</v>
      </c>
    </row>
    <row r="2084" spans="1:13" hidden="1" x14ac:dyDescent="0.15">
      <c r="A2084" t="s">
        <v>6651</v>
      </c>
      <c r="B2084" t="s">
        <v>6652</v>
      </c>
      <c r="C2084" t="s">
        <v>6653</v>
      </c>
      <c r="D2084" t="s">
        <v>6654</v>
      </c>
      <c r="E2084">
        <v>48</v>
      </c>
      <c r="F2084" t="str">
        <f>HYPERLINK("https://github.com/farkam135/GoIV/issues/477", "show")</f>
        <v>show</v>
      </c>
      <c r="G2084" t="str">
        <f>HYPERLINK("https://github.com/farkam135/GoIV", "show")</f>
        <v>show</v>
      </c>
      <c r="H2084" t="str">
        <f>HYPERLINK("https://github.com/farkam135/GoIV/releases", "show")</f>
        <v>show</v>
      </c>
      <c r="I2084">
        <v>0</v>
      </c>
      <c r="J2084">
        <v>0</v>
      </c>
      <c r="K2084">
        <v>1</v>
      </c>
      <c r="L2084">
        <v>0</v>
      </c>
      <c r="M2084" t="s">
        <v>122</v>
      </c>
    </row>
    <row r="2085" spans="1:13" hidden="1" x14ac:dyDescent="0.15">
      <c r="A2085" t="s">
        <v>6655</v>
      </c>
      <c r="B2085" t="s">
        <v>6656</v>
      </c>
      <c r="C2085" t="s">
        <v>6657</v>
      </c>
      <c r="D2085" t="s">
        <v>6654</v>
      </c>
      <c r="E2085">
        <v>42</v>
      </c>
      <c r="F2085" t="str">
        <f>HYPERLINK("https://github.com/wasdennnoch/AndroidN-ify/issues/953", "show")</f>
        <v>show</v>
      </c>
      <c r="G2085" t="str">
        <f>HYPERLINK("https://github.com/wasdennnoch/AndroidN-ify", "show")</f>
        <v>show</v>
      </c>
      <c r="H2085" t="str">
        <f>HYPERLINK("https://github.com/wasdennnoch/AndroidN-ify/releases", "show")</f>
        <v>show</v>
      </c>
      <c r="I2085">
        <v>1</v>
      </c>
      <c r="J2085">
        <v>1</v>
      </c>
      <c r="K2085">
        <v>0</v>
      </c>
      <c r="L2085">
        <v>1</v>
      </c>
      <c r="M2085" t="s">
        <v>1894</v>
      </c>
    </row>
    <row r="2086" spans="1:13" hidden="1" x14ac:dyDescent="0.15">
      <c r="A2086" t="s">
        <v>6658</v>
      </c>
      <c r="B2086" t="s">
        <v>6659</v>
      </c>
      <c r="C2086" t="s">
        <v>6660</v>
      </c>
      <c r="D2086" t="s">
        <v>6654</v>
      </c>
      <c r="E2086">
        <v>19</v>
      </c>
      <c r="F2086" t="str">
        <f>HYPERLINK("https://github.com/farkam135/GoIV/issues/475", "show")</f>
        <v>show</v>
      </c>
      <c r="G2086" t="str">
        <f>HYPERLINK("https://github.com/farkam135/GoIV", "show")</f>
        <v>show</v>
      </c>
      <c r="H2086" t="str">
        <f>HYPERLINK("https://github.com/farkam135/GoIV/releases", "show")</f>
        <v>show</v>
      </c>
      <c r="I2086">
        <v>1</v>
      </c>
      <c r="J2086">
        <v>0</v>
      </c>
      <c r="K2086">
        <v>0</v>
      </c>
      <c r="L2086">
        <v>0</v>
      </c>
      <c r="M2086" t="s">
        <v>17</v>
      </c>
    </row>
    <row r="2087" spans="1:13" hidden="1" x14ac:dyDescent="0.15">
      <c r="A2087" t="s">
        <v>6661</v>
      </c>
      <c r="B2087" t="s">
        <v>6662</v>
      </c>
      <c r="C2087" t="s">
        <v>6663</v>
      </c>
      <c r="D2087" t="s">
        <v>6654</v>
      </c>
      <c r="E2087">
        <v>0</v>
      </c>
      <c r="F2087" t="str">
        <f>HYPERLINK("https://github.com/wasdennnoch/AndroidN-ify/issues/951", "show")</f>
        <v>show</v>
      </c>
      <c r="G2087" t="str">
        <f>HYPERLINK("https://github.com/wasdennnoch/AndroidN-ify", "show")</f>
        <v>show</v>
      </c>
      <c r="H2087" t="str">
        <f>HYPERLINK("https://github.com/wasdennnoch/AndroidN-ify/releases", "show")</f>
        <v>show</v>
      </c>
      <c r="I2087">
        <v>1</v>
      </c>
      <c r="J2087">
        <v>0</v>
      </c>
      <c r="K2087">
        <v>0</v>
      </c>
      <c r="L2087">
        <v>0</v>
      </c>
      <c r="M2087" t="s">
        <v>17</v>
      </c>
    </row>
    <row r="2088" spans="1:13" hidden="1" x14ac:dyDescent="0.15">
      <c r="A2088" t="s">
        <v>6664</v>
      </c>
      <c r="B2088" t="s">
        <v>6665</v>
      </c>
      <c r="C2088" t="s">
        <v>6666</v>
      </c>
      <c r="D2088" t="s">
        <v>6654</v>
      </c>
      <c r="E2088">
        <v>370</v>
      </c>
      <c r="F2088" t="str">
        <f>HYPERLINK("https://github.com/farkam135/GoIV/issues/472", "show")</f>
        <v>show</v>
      </c>
      <c r="G2088" t="str">
        <f>HYPERLINK("https://github.com/farkam135/GoIV", "show")</f>
        <v>show</v>
      </c>
      <c r="H2088" t="str">
        <f>HYPERLINK("https://github.com/farkam135/GoIV/releases", "show")</f>
        <v>show</v>
      </c>
      <c r="I2088">
        <v>1</v>
      </c>
      <c r="J2088">
        <v>0</v>
      </c>
      <c r="K2088">
        <v>1</v>
      </c>
      <c r="L2088">
        <v>0</v>
      </c>
      <c r="M2088" t="s">
        <v>64</v>
      </c>
    </row>
    <row r="2089" spans="1:13" hidden="1" x14ac:dyDescent="0.15">
      <c r="A2089" t="s">
        <v>6667</v>
      </c>
      <c r="B2089" t="s">
        <v>6668</v>
      </c>
      <c r="C2089" t="s">
        <v>6669</v>
      </c>
      <c r="D2089" t="s">
        <v>6670</v>
      </c>
      <c r="E2089">
        <v>1016</v>
      </c>
      <c r="F2089" t="str">
        <f>HYPERLINK("https://github.com/microg/RemoteDroidGuard/issues/1", "show")</f>
        <v>show</v>
      </c>
      <c r="G2089" t="str">
        <f>HYPERLINK("https://github.com/microg/RemoteDroidGuard", "show")</f>
        <v>show</v>
      </c>
      <c r="H2089" t="str">
        <f>HYPERLINK("https://github.com/microg/RemoteDroidGuard/releases", "show")</f>
        <v>show</v>
      </c>
      <c r="I2089">
        <v>1</v>
      </c>
      <c r="J2089">
        <v>0</v>
      </c>
      <c r="K2089">
        <v>0</v>
      </c>
      <c r="L2089">
        <v>0</v>
      </c>
      <c r="M2089" t="s">
        <v>17</v>
      </c>
    </row>
    <row r="2090" spans="1:13" hidden="1" x14ac:dyDescent="0.15">
      <c r="A2090" t="s">
        <v>6671</v>
      </c>
      <c r="B2090" t="s">
        <v>6672</v>
      </c>
      <c r="C2090" t="s">
        <v>6673</v>
      </c>
      <c r="D2090" t="s">
        <v>6674</v>
      </c>
      <c r="E2090">
        <v>9</v>
      </c>
      <c r="F2090" t="str">
        <f>HYPERLINK("https://github.com/nextcloud/android/issues/290", "show")</f>
        <v>show</v>
      </c>
      <c r="G2090" t="str">
        <f>HYPERLINK("https://github.com/nextcloud/android", "show")</f>
        <v>show</v>
      </c>
      <c r="H2090" t="str">
        <f>HYPERLINK("https://github.com/nextcloud/android/releases", "show")</f>
        <v>show</v>
      </c>
      <c r="I2090">
        <v>1</v>
      </c>
      <c r="J2090">
        <v>0</v>
      </c>
      <c r="K2090">
        <v>0</v>
      </c>
      <c r="L2090">
        <v>0</v>
      </c>
      <c r="M2090" t="s">
        <v>17</v>
      </c>
    </row>
    <row r="2091" spans="1:13" hidden="1" x14ac:dyDescent="0.15">
      <c r="A2091" t="s">
        <v>6675</v>
      </c>
      <c r="B2091" t="s">
        <v>6676</v>
      </c>
      <c r="C2091" t="s">
        <v>6677</v>
      </c>
      <c r="D2091" t="s">
        <v>6678</v>
      </c>
      <c r="E2091">
        <v>141</v>
      </c>
      <c r="F2091" t="str">
        <f>HYPERLINK("https://github.com/google/ExoPlayer/issues/1865", "show")</f>
        <v>show</v>
      </c>
      <c r="G2091" t="str">
        <f>HYPERLINK("https://github.com/google/ExoPlayer", "show")</f>
        <v>show</v>
      </c>
      <c r="H2091" t="str">
        <f>HYPERLINK("https://github.com/google/ExoPlayer/releases", "show")</f>
        <v>show</v>
      </c>
      <c r="I2091">
        <v>1</v>
      </c>
      <c r="J2091">
        <v>0</v>
      </c>
      <c r="K2091">
        <v>1</v>
      </c>
      <c r="L2091">
        <v>0</v>
      </c>
      <c r="M2091" t="s">
        <v>64</v>
      </c>
    </row>
    <row r="2092" spans="1:13" hidden="1" x14ac:dyDescent="0.15">
      <c r="A2092" t="s">
        <v>6679</v>
      </c>
      <c r="B2092" t="s">
        <v>6680</v>
      </c>
      <c r="C2092" t="s">
        <v>6681</v>
      </c>
      <c r="D2092" t="s">
        <v>6678</v>
      </c>
      <c r="E2092">
        <v>1</v>
      </c>
      <c r="F2092" t="str">
        <f>HYPERLINK("https://github.com/ikurek/PWr-App/issues/30", "show")</f>
        <v>show</v>
      </c>
      <c r="G2092" t="str">
        <f>HYPERLINK("https://github.com/ikurek/PWr-App", "show")</f>
        <v>show</v>
      </c>
      <c r="H2092" t="str">
        <f>HYPERLINK("https://github.com/ikurek/PWr-App/releases", "show")</f>
        <v>show</v>
      </c>
      <c r="I2092">
        <v>0</v>
      </c>
      <c r="J2092">
        <v>0</v>
      </c>
      <c r="K2092">
        <v>0</v>
      </c>
      <c r="L2092">
        <v>0</v>
      </c>
      <c r="M2092" t="s">
        <v>43</v>
      </c>
    </row>
    <row r="2093" spans="1:13" hidden="1" x14ac:dyDescent="0.15">
      <c r="A2093" t="s">
        <v>6682</v>
      </c>
      <c r="B2093" t="s">
        <v>6683</v>
      </c>
      <c r="C2093" t="s">
        <v>6684</v>
      </c>
      <c r="D2093" t="s">
        <v>6678</v>
      </c>
      <c r="E2093">
        <v>344</v>
      </c>
      <c r="F2093" t="str">
        <f>HYPERLINK("https://github.com/nitaliano/react-native-mapbox-gl/issues/428", "show")</f>
        <v>show</v>
      </c>
      <c r="G2093" t="str">
        <f>HYPERLINK("https://github.com/nitaliano/react-native-mapbox-gl", "show")</f>
        <v>show</v>
      </c>
      <c r="H2093" t="str">
        <f>HYPERLINK("https://github.com/nitaliano/react-native-mapbox-gl/releases", "show")</f>
        <v>show</v>
      </c>
      <c r="I2093">
        <v>1</v>
      </c>
      <c r="J2093">
        <v>0</v>
      </c>
      <c r="K2093">
        <v>0</v>
      </c>
      <c r="L2093">
        <v>1</v>
      </c>
      <c r="M2093" t="s">
        <v>29</v>
      </c>
    </row>
    <row r="2094" spans="1:13" hidden="1" x14ac:dyDescent="0.15">
      <c r="A2094" t="s">
        <v>6685</v>
      </c>
      <c r="B2094" t="s">
        <v>6686</v>
      </c>
      <c r="C2094" t="s">
        <v>6687</v>
      </c>
      <c r="D2094" t="s">
        <v>6688</v>
      </c>
      <c r="E2094">
        <v>3</v>
      </c>
      <c r="F2094" t="str">
        <f>HYPERLINK("https://github.com/inaturalist/iNaturalistAndroid/issues/249", "show")</f>
        <v>show</v>
      </c>
      <c r="G2094" t="str">
        <f>HYPERLINK("https://github.com/inaturalist/iNaturalistAndroid", "show")</f>
        <v>show</v>
      </c>
      <c r="H2094" t="str">
        <f>HYPERLINK("https://github.com/inaturalist/iNaturalistAndroid/releases", "show")</f>
        <v>show</v>
      </c>
      <c r="I2094">
        <v>1</v>
      </c>
      <c r="J2094">
        <v>0</v>
      </c>
      <c r="K2094">
        <v>0</v>
      </c>
      <c r="L2094">
        <v>0</v>
      </c>
      <c r="M2094" t="s">
        <v>17</v>
      </c>
    </row>
    <row r="2095" spans="1:13" hidden="1" x14ac:dyDescent="0.15">
      <c r="A2095" t="s">
        <v>6689</v>
      </c>
      <c r="B2095" t="s">
        <v>6690</v>
      </c>
      <c r="C2095" t="s">
        <v>6691</v>
      </c>
      <c r="D2095" t="s">
        <v>6688</v>
      </c>
      <c r="E2095">
        <v>757</v>
      </c>
      <c r="F2095" t="str">
        <f>HYPERLINK("https://github.com/Rajawali/Rajawali/issues/1781", "show")</f>
        <v>show</v>
      </c>
      <c r="G2095" t="str">
        <f>HYPERLINK("https://github.com/Rajawali/Rajawali", "show")</f>
        <v>show</v>
      </c>
      <c r="H2095" t="str">
        <f>HYPERLINK("https://github.com/Rajawali/Rajawali/releases", "show")</f>
        <v>show</v>
      </c>
      <c r="I2095">
        <v>0</v>
      </c>
      <c r="J2095">
        <v>0</v>
      </c>
      <c r="K2095">
        <v>0</v>
      </c>
      <c r="L2095">
        <v>0</v>
      </c>
      <c r="M2095" t="s">
        <v>43</v>
      </c>
    </row>
    <row r="2096" spans="1:13" hidden="1" x14ac:dyDescent="0.15">
      <c r="A2096" t="s">
        <v>6692</v>
      </c>
      <c r="B2096" t="s">
        <v>6693</v>
      </c>
      <c r="C2096" t="s">
        <v>6694</v>
      </c>
      <c r="D2096" t="s">
        <v>6688</v>
      </c>
      <c r="E2096">
        <v>56</v>
      </c>
      <c r="F2096" t="str">
        <f>HYPERLINK("https://github.com/OneBusAway/onebusaway-android/issues/703", "show")</f>
        <v>show</v>
      </c>
      <c r="G2096" t="str">
        <f>HYPERLINK("https://github.com/OneBusAway/onebusaway-android", "show")</f>
        <v>show</v>
      </c>
      <c r="H2096" t="str">
        <f>HYPERLINK("https://github.com/OneBusAway/onebusaway-android/releases", "show")</f>
        <v>show</v>
      </c>
      <c r="I2096">
        <v>0</v>
      </c>
      <c r="J2096">
        <v>0</v>
      </c>
      <c r="K2096">
        <v>1</v>
      </c>
      <c r="L2096">
        <v>0</v>
      </c>
      <c r="M2096" t="s">
        <v>122</v>
      </c>
    </row>
    <row r="2097" spans="1:13" hidden="1" x14ac:dyDescent="0.15">
      <c r="A2097" t="s">
        <v>6695</v>
      </c>
      <c r="B2097" t="s">
        <v>6696</v>
      </c>
      <c r="C2097" t="s">
        <v>6697</v>
      </c>
      <c r="D2097" t="s">
        <v>6688</v>
      </c>
      <c r="E2097">
        <v>5</v>
      </c>
      <c r="F2097" t="str">
        <f>HYPERLINK("https://github.com/RestComm/restcomm-android-sdk/issues/412", "show")</f>
        <v>show</v>
      </c>
      <c r="G2097" t="str">
        <f>HYPERLINK("https://github.com/RestComm/restcomm-android-sdk", "show")</f>
        <v>show</v>
      </c>
      <c r="H2097" t="str">
        <f>HYPERLINK("https://github.com/RestComm/restcomm-android-sdk/releases", "show")</f>
        <v>show</v>
      </c>
      <c r="I2097">
        <v>1</v>
      </c>
      <c r="J2097">
        <v>0</v>
      </c>
      <c r="K2097">
        <v>0</v>
      </c>
      <c r="L2097">
        <v>0</v>
      </c>
      <c r="M2097" t="s">
        <v>17</v>
      </c>
    </row>
    <row r="2098" spans="1:13" hidden="1" x14ac:dyDescent="0.15">
      <c r="A2098" t="s">
        <v>6698</v>
      </c>
      <c r="B2098" t="s">
        <v>6699</v>
      </c>
      <c r="C2098" t="s">
        <v>6700</v>
      </c>
      <c r="D2098" t="s">
        <v>6701</v>
      </c>
      <c r="E2098">
        <v>6</v>
      </c>
      <c r="F2098" t="str">
        <f>HYPERLINK("https://github.com/daneren2005/Subsonic/issues/738", "show")</f>
        <v>show</v>
      </c>
      <c r="G2098" t="str">
        <f>HYPERLINK("https://github.com/daneren2005/Subsonic", "show")</f>
        <v>show</v>
      </c>
      <c r="H2098" t="str">
        <f>HYPERLINK("https://github.com/daneren2005/Subsonic/releases", "show")</f>
        <v>show</v>
      </c>
      <c r="I2098">
        <v>0</v>
      </c>
      <c r="J2098">
        <v>0</v>
      </c>
      <c r="K2098">
        <v>0</v>
      </c>
      <c r="L2098">
        <v>0</v>
      </c>
      <c r="M2098" t="s">
        <v>43</v>
      </c>
    </row>
    <row r="2099" spans="1:13" hidden="1" x14ac:dyDescent="0.15">
      <c r="A2099" t="s">
        <v>6702</v>
      </c>
      <c r="B2099" t="s">
        <v>6703</v>
      </c>
      <c r="C2099" t="s">
        <v>6704</v>
      </c>
      <c r="D2099" t="s">
        <v>6701</v>
      </c>
      <c r="E2099">
        <v>4</v>
      </c>
      <c r="F2099" t="str">
        <f>HYPERLINK("https://github.com/RestComm/restcomm-android-sdk/issues/417", "show")</f>
        <v>show</v>
      </c>
      <c r="G2099" t="str">
        <f>HYPERLINK("https://github.com/RestComm/restcomm-android-sdk", "show")</f>
        <v>show</v>
      </c>
      <c r="H2099" t="str">
        <f>HYPERLINK("https://github.com/RestComm/restcomm-android-sdk/releases", "show")</f>
        <v>show</v>
      </c>
      <c r="I2099">
        <v>0</v>
      </c>
      <c r="J2099">
        <v>0</v>
      </c>
      <c r="K2099">
        <v>1</v>
      </c>
      <c r="L2099">
        <v>0</v>
      </c>
      <c r="M2099" t="s">
        <v>122</v>
      </c>
    </row>
    <row r="2100" spans="1:13" hidden="1" x14ac:dyDescent="0.15">
      <c r="A2100" t="s">
        <v>6705</v>
      </c>
      <c r="B2100" t="s">
        <v>6706</v>
      </c>
      <c r="C2100" t="s">
        <v>6707</v>
      </c>
      <c r="D2100" t="s">
        <v>6701</v>
      </c>
      <c r="E2100">
        <v>4</v>
      </c>
      <c r="F2100" t="str">
        <f>HYPERLINK("https://github.com/RestComm/restcomm-android-sdk/issues/415", "show")</f>
        <v>show</v>
      </c>
      <c r="G2100" t="str">
        <f>HYPERLINK("https://github.com/RestComm/restcomm-android-sdk", "show")</f>
        <v>show</v>
      </c>
      <c r="H2100" t="str">
        <f>HYPERLINK("https://github.com/RestComm/restcomm-android-sdk/releases", "show")</f>
        <v>show</v>
      </c>
      <c r="I2100">
        <v>1</v>
      </c>
      <c r="J2100">
        <v>0</v>
      </c>
      <c r="K2100">
        <v>1</v>
      </c>
      <c r="L2100">
        <v>0</v>
      </c>
      <c r="M2100" t="s">
        <v>64</v>
      </c>
    </row>
    <row r="2101" spans="1:13" hidden="1" x14ac:dyDescent="0.15">
      <c r="A2101" t="s">
        <v>6708</v>
      </c>
      <c r="B2101" t="s">
        <v>6709</v>
      </c>
      <c r="C2101" t="s">
        <v>6710</v>
      </c>
      <c r="D2101" t="s">
        <v>6701</v>
      </c>
      <c r="E2101">
        <v>1376</v>
      </c>
      <c r="F2101" t="str">
        <f>HYPERLINK("https://github.com/pwittchen/ReactiveNetwork/issues/87", "show")</f>
        <v>show</v>
      </c>
      <c r="G2101" t="str">
        <f>HYPERLINK("https://github.com/pwittchen/ReactiveNetwork", "show")</f>
        <v>show</v>
      </c>
      <c r="H2101" t="str">
        <f>HYPERLINK("https://github.com/pwittchen/ReactiveNetwork/releases", "show")</f>
        <v>show</v>
      </c>
      <c r="I2101">
        <v>1</v>
      </c>
      <c r="J2101">
        <v>0</v>
      </c>
      <c r="K2101">
        <v>1</v>
      </c>
      <c r="L2101">
        <v>0</v>
      </c>
      <c r="M2101" t="s">
        <v>64</v>
      </c>
    </row>
    <row r="2102" spans="1:13" hidden="1" x14ac:dyDescent="0.15">
      <c r="A2102" t="s">
        <v>6711</v>
      </c>
      <c r="B2102" t="s">
        <v>6712</v>
      </c>
      <c r="C2102" t="s">
        <v>6713</v>
      </c>
      <c r="D2102" t="s">
        <v>6714</v>
      </c>
      <c r="E2102">
        <v>3</v>
      </c>
      <c r="F2102" t="str">
        <f>HYPERLINK("https://github.com/google/ExoPlayer/issues/1882", "show")</f>
        <v>show</v>
      </c>
      <c r="G2102" t="str">
        <f>HYPERLINK("https://github.com/google/ExoPlayer", "show")</f>
        <v>show</v>
      </c>
      <c r="H2102" t="str">
        <f>HYPERLINK("https://github.com/google/ExoPlayer/releases", "show")</f>
        <v>show</v>
      </c>
      <c r="I2102">
        <v>1</v>
      </c>
      <c r="J2102">
        <v>0</v>
      </c>
      <c r="K2102">
        <v>0</v>
      </c>
      <c r="L2102">
        <v>0</v>
      </c>
      <c r="M2102" t="s">
        <v>17</v>
      </c>
    </row>
    <row r="2103" spans="1:13" hidden="1" x14ac:dyDescent="0.15">
      <c r="A2103" t="s">
        <v>6715</v>
      </c>
      <c r="B2103" t="s">
        <v>6716</v>
      </c>
      <c r="C2103" t="s">
        <v>6717</v>
      </c>
      <c r="D2103" t="s">
        <v>6714</v>
      </c>
      <c r="E2103">
        <v>167</v>
      </c>
      <c r="F2103" t="str">
        <f>HYPERLINK("https://github.com/couchbaselabs/couchbase-lite-java-forestdb/issues/89", "show")</f>
        <v>show</v>
      </c>
      <c r="G2103" t="str">
        <f>HYPERLINK("https://github.com/couchbaselabs/couchbase-lite-java-forestdb", "show")</f>
        <v>show</v>
      </c>
      <c r="H2103" t="str">
        <f>HYPERLINK("https://github.com/couchbaselabs/couchbase-lite-java-forestdb/releases", "show")</f>
        <v>show</v>
      </c>
      <c r="I2103">
        <v>0</v>
      </c>
      <c r="J2103">
        <v>0</v>
      </c>
      <c r="K2103">
        <v>0</v>
      </c>
      <c r="L2103">
        <v>0</v>
      </c>
      <c r="M2103" t="s">
        <v>43</v>
      </c>
    </row>
    <row r="2104" spans="1:13" hidden="1" x14ac:dyDescent="0.15">
      <c r="A2104" t="s">
        <v>6718</v>
      </c>
      <c r="B2104" t="s">
        <v>6719</v>
      </c>
      <c r="C2104" t="s">
        <v>6720</v>
      </c>
      <c r="D2104" t="s">
        <v>6714</v>
      </c>
      <c r="E2104">
        <v>66</v>
      </c>
      <c r="F2104" t="str">
        <f>HYPERLINK("https://github.com/ludomuse/Ludomuse/issues/22", "show")</f>
        <v>show</v>
      </c>
      <c r="G2104" t="str">
        <f>HYPERLINK("https://github.com/ludomuse/Ludomuse", "show")</f>
        <v>show</v>
      </c>
      <c r="H2104" t="str">
        <f>HYPERLINK("https://github.com/ludomuse/Ludomuse/releases", "show")</f>
        <v>show</v>
      </c>
      <c r="I2104">
        <v>1</v>
      </c>
      <c r="J2104">
        <v>0</v>
      </c>
      <c r="K2104">
        <v>0</v>
      </c>
      <c r="L2104">
        <v>0</v>
      </c>
      <c r="M2104" t="s">
        <v>17</v>
      </c>
    </row>
    <row r="2105" spans="1:13" hidden="1" x14ac:dyDescent="0.15">
      <c r="A2105" t="s">
        <v>6721</v>
      </c>
      <c r="B2105" t="s">
        <v>6722</v>
      </c>
      <c r="D2105" t="s">
        <v>6723</v>
      </c>
      <c r="E2105">
        <v>22</v>
      </c>
      <c r="F2105" t="str">
        <f>HYPERLINK("https://github.com/AnaelMobilia/NextINpact-Unofficial/issues/214", "show")</f>
        <v>show</v>
      </c>
      <c r="G2105" t="str">
        <f>HYPERLINK("https://github.com/AnaelMobilia/NextINpact-Unofficial", "show")</f>
        <v>show</v>
      </c>
      <c r="H2105" t="str">
        <f>HYPERLINK("https://github.com/AnaelMobilia/NextINpact-Unofficial/releases", "show")</f>
        <v>show</v>
      </c>
      <c r="I2105">
        <v>0</v>
      </c>
      <c r="J2105">
        <v>0</v>
      </c>
      <c r="K2105">
        <v>1</v>
      </c>
      <c r="L2105">
        <v>0</v>
      </c>
      <c r="M2105" t="s">
        <v>122</v>
      </c>
    </row>
    <row r="2106" spans="1:13" hidden="1" x14ac:dyDescent="0.15">
      <c r="A2106" t="s">
        <v>6724</v>
      </c>
      <c r="B2106" t="s">
        <v>6725</v>
      </c>
      <c r="C2106" t="s">
        <v>6726</v>
      </c>
      <c r="D2106" t="s">
        <v>6727</v>
      </c>
      <c r="E2106">
        <v>0</v>
      </c>
      <c r="F2106" t="str">
        <f>HYPERLINK("https://github.com/mozilla/Jisort/issues/222", "show")</f>
        <v>show</v>
      </c>
      <c r="G2106" t="str">
        <f>HYPERLINK("https://github.com/mozilla/Jisort", "show")</f>
        <v>show</v>
      </c>
      <c r="H2106" t="str">
        <f>HYPERLINK("https://github.com/mozilla/Jisort/releases", "show")</f>
        <v>show</v>
      </c>
      <c r="I2106">
        <v>1</v>
      </c>
      <c r="J2106">
        <v>0</v>
      </c>
      <c r="K2106">
        <v>0</v>
      </c>
      <c r="L2106">
        <v>0</v>
      </c>
      <c r="M2106" t="s">
        <v>17</v>
      </c>
    </row>
    <row r="2107" spans="1:13" hidden="1" x14ac:dyDescent="0.15">
      <c r="A2107" t="s">
        <v>6728</v>
      </c>
      <c r="B2107" t="s">
        <v>6729</v>
      </c>
      <c r="C2107" t="s">
        <v>6730</v>
      </c>
      <c r="D2107" t="s">
        <v>6727</v>
      </c>
      <c r="E2107">
        <v>17</v>
      </c>
      <c r="F2107" t="str">
        <f>HYPERLINK("https://github.com/k9mail/k-9/issues/1658", "show")</f>
        <v>show</v>
      </c>
      <c r="G2107" t="str">
        <f>HYPERLINK("https://github.com/k9mail/k-9", "show")</f>
        <v>show</v>
      </c>
      <c r="H2107" t="str">
        <f>HYPERLINK("https://github.com/k9mail/k-9/releases", "show")</f>
        <v>show</v>
      </c>
      <c r="I2107">
        <v>1</v>
      </c>
      <c r="J2107">
        <v>1</v>
      </c>
      <c r="K2107">
        <v>0</v>
      </c>
      <c r="L2107">
        <v>0</v>
      </c>
      <c r="M2107" t="s">
        <v>48</v>
      </c>
    </row>
    <row r="2108" spans="1:13" hidden="1" x14ac:dyDescent="0.15">
      <c r="A2108" t="s">
        <v>6731</v>
      </c>
      <c r="B2108" t="s">
        <v>6732</v>
      </c>
      <c r="D2108" t="s">
        <v>6727</v>
      </c>
      <c r="E2108">
        <v>0</v>
      </c>
      <c r="F2108" t="str">
        <f>HYPERLINK("https://github.com/aaronjwood/PortAuthority/issues/56", "show")</f>
        <v>show</v>
      </c>
      <c r="G2108" t="str">
        <f>HYPERLINK("https://github.com/aaronjwood/PortAuthority", "show")</f>
        <v>show</v>
      </c>
      <c r="H2108" t="str">
        <f>HYPERLINK("https://github.com/aaronjwood/PortAuthority/releases", "show")</f>
        <v>show</v>
      </c>
      <c r="I2108">
        <v>1</v>
      </c>
      <c r="J2108">
        <v>0</v>
      </c>
      <c r="K2108">
        <v>0</v>
      </c>
      <c r="L2108">
        <v>0</v>
      </c>
      <c r="M2108" t="s">
        <v>17</v>
      </c>
    </row>
    <row r="2109" spans="1:13" hidden="1" x14ac:dyDescent="0.15">
      <c r="A2109" t="s">
        <v>6733</v>
      </c>
      <c r="B2109" t="s">
        <v>6734</v>
      </c>
      <c r="C2109" t="s">
        <v>6735</v>
      </c>
      <c r="D2109" t="s">
        <v>6727</v>
      </c>
      <c r="E2109">
        <v>1225</v>
      </c>
      <c r="F2109" t="str">
        <f>HYPERLINK("https://github.com/wasdennnoch/AndroidN-ify/issues/1016", "show")</f>
        <v>show</v>
      </c>
      <c r="G2109" t="str">
        <f>HYPERLINK("https://github.com/wasdennnoch/AndroidN-ify", "show")</f>
        <v>show</v>
      </c>
      <c r="H2109" t="str">
        <f>HYPERLINK("https://github.com/wasdennnoch/AndroidN-ify/releases", "show")</f>
        <v>show</v>
      </c>
      <c r="I2109">
        <v>1</v>
      </c>
      <c r="J2109">
        <v>0</v>
      </c>
      <c r="K2109">
        <v>1</v>
      </c>
      <c r="L2109">
        <v>0</v>
      </c>
      <c r="M2109" t="s">
        <v>64</v>
      </c>
    </row>
    <row r="2110" spans="1:13" hidden="1" x14ac:dyDescent="0.15">
      <c r="A2110" t="s">
        <v>6736</v>
      </c>
      <c r="B2110" t="s">
        <v>6737</v>
      </c>
      <c r="C2110" t="s">
        <v>736</v>
      </c>
      <c r="D2110" t="s">
        <v>6738</v>
      </c>
      <c r="E2110">
        <v>15</v>
      </c>
      <c r="F2110" t="str">
        <f>HYPERLINK("https://github.com/iomodo/Wally/issues/74", "show")</f>
        <v>show</v>
      </c>
      <c r="G2110" t="str">
        <f>HYPERLINK("https://github.com/iomodo/Wally", "show")</f>
        <v>show</v>
      </c>
      <c r="H2110" t="str">
        <f>HYPERLINK("https://github.com/iomodo/Wally/releases", "show")</f>
        <v>show</v>
      </c>
      <c r="I2110">
        <v>0</v>
      </c>
      <c r="J2110">
        <v>0</v>
      </c>
      <c r="K2110">
        <v>1</v>
      </c>
      <c r="L2110">
        <v>0</v>
      </c>
      <c r="M2110" t="s">
        <v>122</v>
      </c>
    </row>
    <row r="2111" spans="1:13" hidden="1" x14ac:dyDescent="0.15">
      <c r="A2111" t="s">
        <v>6739</v>
      </c>
      <c r="B2111" t="s">
        <v>6740</v>
      </c>
      <c r="C2111" t="s">
        <v>6741</v>
      </c>
      <c r="D2111" t="s">
        <v>6738</v>
      </c>
      <c r="E2111">
        <v>4</v>
      </c>
      <c r="F2111" t="str">
        <f>HYPERLINK("https://github.com/Z3r0byte/Magis/issues/47", "show")</f>
        <v>show</v>
      </c>
      <c r="G2111" t="str">
        <f>HYPERLINK("https://github.com/Z3r0byte/Magis", "show")</f>
        <v>show</v>
      </c>
      <c r="H2111" t="str">
        <f>HYPERLINK("https://github.com/Z3r0byte/Magis/releases", "show")</f>
        <v>show</v>
      </c>
      <c r="I2111">
        <v>1</v>
      </c>
      <c r="J2111">
        <v>0</v>
      </c>
      <c r="K2111">
        <v>0</v>
      </c>
      <c r="L2111">
        <v>0</v>
      </c>
      <c r="M2111" t="s">
        <v>17</v>
      </c>
    </row>
    <row r="2112" spans="1:13" hidden="1" x14ac:dyDescent="0.15">
      <c r="A2112" t="s">
        <v>6742</v>
      </c>
      <c r="B2112" t="s">
        <v>6743</v>
      </c>
      <c r="C2112" t="s">
        <v>6744</v>
      </c>
      <c r="D2112" t="s">
        <v>6738</v>
      </c>
      <c r="E2112">
        <v>0</v>
      </c>
      <c r="F2112" t="str">
        <f>HYPERLINK("https://github.com/google/ExoPlayer/issues/1899", "show")</f>
        <v>show</v>
      </c>
      <c r="G2112" t="str">
        <f>HYPERLINK("https://github.com/google/ExoPlayer", "show")</f>
        <v>show</v>
      </c>
      <c r="H2112" t="str">
        <f>HYPERLINK("https://github.com/google/ExoPlayer/releases", "show")</f>
        <v>show</v>
      </c>
      <c r="I2112">
        <v>1</v>
      </c>
      <c r="J2112">
        <v>0</v>
      </c>
      <c r="K2112">
        <v>1</v>
      </c>
      <c r="L2112">
        <v>0</v>
      </c>
      <c r="M2112" t="s">
        <v>64</v>
      </c>
    </row>
    <row r="2113" spans="1:13" hidden="1" x14ac:dyDescent="0.15">
      <c r="A2113" t="s">
        <v>6745</v>
      </c>
      <c r="B2113" t="s">
        <v>6746</v>
      </c>
      <c r="C2113" t="s">
        <v>6747</v>
      </c>
      <c r="D2113" t="s">
        <v>6738</v>
      </c>
      <c r="E2113">
        <v>5</v>
      </c>
      <c r="F2113" t="str">
        <f>HYPERLINK("https://github.com/ludomuse/Ludomuse/issues/23", "show")</f>
        <v>show</v>
      </c>
      <c r="G2113" t="str">
        <f>HYPERLINK("https://github.com/ludomuse/Ludomuse", "show")</f>
        <v>show</v>
      </c>
      <c r="H2113" t="str">
        <f>HYPERLINK("https://github.com/ludomuse/Ludomuse/releases", "show")</f>
        <v>show</v>
      </c>
      <c r="I2113">
        <v>0</v>
      </c>
      <c r="J2113">
        <v>0</v>
      </c>
      <c r="K2113">
        <v>0</v>
      </c>
      <c r="L2113">
        <v>0</v>
      </c>
      <c r="M2113" t="s">
        <v>43</v>
      </c>
    </row>
    <row r="2114" spans="1:13" hidden="1" x14ac:dyDescent="0.15">
      <c r="A2114" t="s">
        <v>6748</v>
      </c>
      <c r="B2114" t="s">
        <v>6749</v>
      </c>
      <c r="C2114" t="s">
        <v>6750</v>
      </c>
      <c r="D2114" t="s">
        <v>6738</v>
      </c>
      <c r="E2114">
        <v>165</v>
      </c>
      <c r="F2114" t="str">
        <f>HYPERLINK("https://github.com/chandevel/Clover/issues/239", "show")</f>
        <v>show</v>
      </c>
      <c r="G2114" t="str">
        <f>HYPERLINK("https://github.com/chandevel/Clover", "show")</f>
        <v>show</v>
      </c>
      <c r="H2114" t="str">
        <f>HYPERLINK("https://github.com/chandevel/Clover/releases", "show")</f>
        <v>show</v>
      </c>
      <c r="I2114">
        <v>1</v>
      </c>
      <c r="J2114">
        <v>0</v>
      </c>
      <c r="K2114">
        <v>0</v>
      </c>
      <c r="L2114">
        <v>0</v>
      </c>
      <c r="M2114" t="s">
        <v>17</v>
      </c>
    </row>
    <row r="2115" spans="1:13" hidden="1" x14ac:dyDescent="0.15">
      <c r="A2115" t="s">
        <v>6751</v>
      </c>
      <c r="B2115" t="s">
        <v>6752</v>
      </c>
      <c r="C2115" t="s">
        <v>6753</v>
      </c>
      <c r="D2115" t="s">
        <v>6738</v>
      </c>
      <c r="E2115">
        <v>40</v>
      </c>
      <c r="F2115" t="str">
        <f>HYPERLINK("https://github.com/ftctechnh/ftc_app/issues/224", "show")</f>
        <v>show</v>
      </c>
      <c r="G2115" t="str">
        <f>HYPERLINK("https://github.com/ftctechnh/ftc_app", "show")</f>
        <v>show</v>
      </c>
      <c r="H2115" t="str">
        <f>HYPERLINK("https://github.com/ftctechnh/ftc_app/releases", "show")</f>
        <v>show</v>
      </c>
      <c r="I2115">
        <v>1</v>
      </c>
      <c r="J2115">
        <v>1</v>
      </c>
      <c r="K2115">
        <v>1</v>
      </c>
      <c r="L2115">
        <v>0</v>
      </c>
      <c r="M2115" t="s">
        <v>59</v>
      </c>
    </row>
    <row r="2116" spans="1:13" hidden="1" x14ac:dyDescent="0.15">
      <c r="A2116" t="s">
        <v>6754</v>
      </c>
      <c r="B2116" t="s">
        <v>6755</v>
      </c>
      <c r="C2116" t="s">
        <v>6756</v>
      </c>
      <c r="D2116" t="s">
        <v>6757</v>
      </c>
      <c r="E2116">
        <v>4</v>
      </c>
      <c r="F2116" t="str">
        <f>HYPERLINK("https://github.com/innoveit/react-native-ble-manager/issues/64", "show")</f>
        <v>show</v>
      </c>
      <c r="G2116" t="str">
        <f>HYPERLINK("https://github.com/innoveit/react-native-ble-manager", "show")</f>
        <v>show</v>
      </c>
      <c r="H2116" t="str">
        <f>HYPERLINK("https://github.com/innoveit/react-native-ble-manager/releases", "show")</f>
        <v>show</v>
      </c>
      <c r="I2116">
        <v>1</v>
      </c>
      <c r="J2116">
        <v>0</v>
      </c>
      <c r="K2116">
        <v>0</v>
      </c>
      <c r="L2116">
        <v>1</v>
      </c>
      <c r="M2116" t="s">
        <v>29</v>
      </c>
    </row>
    <row r="2117" spans="1:13" hidden="1" x14ac:dyDescent="0.15">
      <c r="A2117" t="s">
        <v>6758</v>
      </c>
      <c r="B2117" t="s">
        <v>6759</v>
      </c>
      <c r="D2117" t="s">
        <v>6760</v>
      </c>
      <c r="E2117">
        <v>156</v>
      </c>
      <c r="F2117" t="str">
        <f>HYPERLINK("https://github.com/philliphsu/ClockPlus/issues/8", "show")</f>
        <v>show</v>
      </c>
      <c r="G2117" t="str">
        <f>HYPERLINK("https://github.com/philliphsu/ClockPlus", "show")</f>
        <v>show</v>
      </c>
      <c r="H2117" t="str">
        <f>HYPERLINK("https://github.com/philliphsu/ClockPlus/releases", "show")</f>
        <v>show</v>
      </c>
      <c r="I2117">
        <v>0</v>
      </c>
      <c r="J2117">
        <v>0</v>
      </c>
      <c r="K2117">
        <v>0</v>
      </c>
      <c r="L2117">
        <v>0</v>
      </c>
      <c r="M2117" t="s">
        <v>43</v>
      </c>
    </row>
    <row r="2118" spans="1:13" hidden="1" x14ac:dyDescent="0.15">
      <c r="A2118" t="s">
        <v>6761</v>
      </c>
      <c r="B2118" t="s">
        <v>6762</v>
      </c>
      <c r="C2118" t="s">
        <v>6763</v>
      </c>
      <c r="D2118" t="s">
        <v>6760</v>
      </c>
      <c r="E2118">
        <v>100</v>
      </c>
      <c r="F2118" t="str">
        <f>HYPERLINK("https://github.com/davideas/FlexibleAdapter/issues/191", "show")</f>
        <v>show</v>
      </c>
      <c r="G2118" t="str">
        <f>HYPERLINK("https://github.com/davideas/FlexibleAdapter", "show")</f>
        <v>show</v>
      </c>
      <c r="H2118" t="str">
        <f>HYPERLINK("https://github.com/davideas/FlexibleAdapter/releases", "show")</f>
        <v>show</v>
      </c>
      <c r="I2118">
        <v>1</v>
      </c>
      <c r="J2118">
        <v>0</v>
      </c>
      <c r="K2118">
        <v>0</v>
      </c>
      <c r="L2118">
        <v>0</v>
      </c>
      <c r="M2118" t="s">
        <v>17</v>
      </c>
    </row>
    <row r="2119" spans="1:13" hidden="1" x14ac:dyDescent="0.15">
      <c r="A2119" t="s">
        <v>6764</v>
      </c>
      <c r="B2119" t="s">
        <v>6765</v>
      </c>
      <c r="C2119" t="s">
        <v>6766</v>
      </c>
      <c r="D2119" t="s">
        <v>6760</v>
      </c>
      <c r="E2119">
        <v>6</v>
      </c>
      <c r="F2119" t="str">
        <f>HYPERLINK("https://github.com/iomodo/Wally/issues/76", "show")</f>
        <v>show</v>
      </c>
      <c r="G2119" t="str">
        <f>HYPERLINK("https://github.com/iomodo/Wally", "show")</f>
        <v>show</v>
      </c>
      <c r="H2119" t="str">
        <f>HYPERLINK("https://github.com/iomodo/Wally/releases", "show")</f>
        <v>show</v>
      </c>
      <c r="I2119">
        <v>1</v>
      </c>
      <c r="J2119">
        <v>0</v>
      </c>
      <c r="K2119">
        <v>1</v>
      </c>
      <c r="L2119">
        <v>0</v>
      </c>
      <c r="M2119" t="s">
        <v>64</v>
      </c>
    </row>
    <row r="2120" spans="1:13" x14ac:dyDescent="0.15">
      <c r="A2120" t="s">
        <v>6767</v>
      </c>
      <c r="B2120" t="s">
        <v>6768</v>
      </c>
      <c r="C2120" t="s">
        <v>6769</v>
      </c>
      <c r="D2120" t="s">
        <v>6770</v>
      </c>
      <c r="E2120">
        <v>0</v>
      </c>
      <c r="F2120" t="str">
        <f>HYPERLINK("https://github.com/cgeo/cgeo/issues/6025", "show")</f>
        <v>show</v>
      </c>
      <c r="G2120" t="str">
        <f>HYPERLINK("https://github.com/cgeo/cgeo", "show")</f>
        <v>show</v>
      </c>
      <c r="H2120" t="str">
        <f>HYPERLINK("https://github.com/cgeo/cgeo/releases", "show")</f>
        <v>show</v>
      </c>
      <c r="I2120">
        <v>0</v>
      </c>
      <c r="J2120">
        <v>1</v>
      </c>
      <c r="K2120">
        <v>0</v>
      </c>
      <c r="L2120">
        <v>0</v>
      </c>
      <c r="M2120" t="s">
        <v>139</v>
      </c>
    </row>
    <row r="2121" spans="1:13" hidden="1" x14ac:dyDescent="0.15">
      <c r="A2121" t="s">
        <v>6771</v>
      </c>
      <c r="B2121" t="s">
        <v>6772</v>
      </c>
      <c r="D2121" t="s">
        <v>6773</v>
      </c>
      <c r="E2121">
        <v>22</v>
      </c>
      <c r="F2121" t="str">
        <f>HYPERLINK("https://github.com/7LPdWcaW/GrowTracker-Android/issues/34", "show")</f>
        <v>show</v>
      </c>
      <c r="G2121" t="str">
        <f>HYPERLINK("https://github.com/7LPdWcaW/GrowTracker-Android", "show")</f>
        <v>show</v>
      </c>
      <c r="H2121" t="str">
        <f>HYPERLINK("https://github.com/7LPdWcaW/GrowTracker-Android/releases", "show")</f>
        <v>show</v>
      </c>
      <c r="I2121">
        <v>1</v>
      </c>
      <c r="J2121">
        <v>0</v>
      </c>
      <c r="K2121">
        <v>0</v>
      </c>
      <c r="L2121">
        <v>0</v>
      </c>
      <c r="M2121" t="s">
        <v>17</v>
      </c>
    </row>
    <row r="2122" spans="1:13" hidden="1" x14ac:dyDescent="0.15">
      <c r="A2122" t="s">
        <v>6774</v>
      </c>
      <c r="B2122" t="s">
        <v>6775</v>
      </c>
      <c r="C2122" t="s">
        <v>6776</v>
      </c>
      <c r="D2122" t="s">
        <v>6773</v>
      </c>
      <c r="E2122">
        <v>1</v>
      </c>
      <c r="F2122" t="str">
        <f>HYPERLINK("https://github.com/PuffOpenSource/Puff-Android/issues/3", "show")</f>
        <v>show</v>
      </c>
      <c r="G2122" t="str">
        <f>HYPERLINK("https://github.com/PuffOpenSource/Puff-Android", "show")</f>
        <v>show</v>
      </c>
      <c r="H2122" t="str">
        <f>HYPERLINK("https://github.com/PuffOpenSource/Puff-Android/releases", "show")</f>
        <v>show</v>
      </c>
      <c r="I2122">
        <v>1</v>
      </c>
      <c r="J2122">
        <v>0</v>
      </c>
      <c r="K2122">
        <v>0</v>
      </c>
      <c r="L2122">
        <v>0</v>
      </c>
      <c r="M2122" t="s">
        <v>17</v>
      </c>
    </row>
    <row r="2123" spans="1:13" hidden="1" x14ac:dyDescent="0.15">
      <c r="A2123" t="s">
        <v>6777</v>
      </c>
      <c r="B2123" t="s">
        <v>6778</v>
      </c>
      <c r="C2123" t="s">
        <v>6779</v>
      </c>
      <c r="D2123" t="s">
        <v>6773</v>
      </c>
      <c r="E2123">
        <v>34</v>
      </c>
      <c r="F2123" t="str">
        <f>HYPERLINK("https://github.com/marzika/Snapprefs/issues/261", "show")</f>
        <v>show</v>
      </c>
      <c r="G2123" t="str">
        <f>HYPERLINK("https://github.com/marzika/Snapprefs", "show")</f>
        <v>show</v>
      </c>
      <c r="H2123" t="str">
        <f>HYPERLINK("https://github.com/marzika/Snapprefs/releases", "show")</f>
        <v>show</v>
      </c>
      <c r="I2123">
        <v>1</v>
      </c>
      <c r="J2123">
        <v>0</v>
      </c>
      <c r="K2123">
        <v>0</v>
      </c>
      <c r="L2123">
        <v>0</v>
      </c>
      <c r="M2123" t="s">
        <v>17</v>
      </c>
    </row>
    <row r="2124" spans="1:13" hidden="1" x14ac:dyDescent="0.15">
      <c r="A2124" t="s">
        <v>6780</v>
      </c>
      <c r="B2124" t="s">
        <v>6781</v>
      </c>
      <c r="C2124" t="s">
        <v>6782</v>
      </c>
      <c r="D2124" t="s">
        <v>6783</v>
      </c>
      <c r="E2124">
        <v>0</v>
      </c>
      <c r="F2124" t="str">
        <f>HYPERLINK("https://github.com/igoticecream/Snorlax/issues/20", "show")</f>
        <v>show</v>
      </c>
      <c r="G2124" t="str">
        <f>HYPERLINK("https://github.com/igoticecream/Snorlax", "show")</f>
        <v>show</v>
      </c>
      <c r="H2124" t="str">
        <f>HYPERLINK("https://github.com/igoticecream/Snorlax/releases", "show")</f>
        <v>show</v>
      </c>
      <c r="I2124">
        <v>1</v>
      </c>
      <c r="J2124">
        <v>0</v>
      </c>
      <c r="K2124">
        <v>0</v>
      </c>
      <c r="L2124">
        <v>0</v>
      </c>
      <c r="M2124" t="s">
        <v>17</v>
      </c>
    </row>
    <row r="2125" spans="1:13" hidden="1" x14ac:dyDescent="0.15">
      <c r="A2125" t="s">
        <v>6784</v>
      </c>
      <c r="B2125" t="s">
        <v>6785</v>
      </c>
      <c r="C2125" t="s">
        <v>6786</v>
      </c>
      <c r="D2125" t="s">
        <v>6783</v>
      </c>
      <c r="E2125">
        <v>79</v>
      </c>
      <c r="F2125" t="str">
        <f>HYPERLINK("https://github.com/alter-ego/androidbound/issues/63", "show")</f>
        <v>show</v>
      </c>
      <c r="G2125" t="str">
        <f>HYPERLINK("https://github.com/alter-ego/androidbound", "show")</f>
        <v>show</v>
      </c>
      <c r="H2125" t="str">
        <f>HYPERLINK("https://github.com/alter-ego/androidbound/releases", "show")</f>
        <v>show</v>
      </c>
      <c r="I2125">
        <v>0</v>
      </c>
      <c r="J2125">
        <v>0</v>
      </c>
      <c r="K2125">
        <v>1</v>
      </c>
      <c r="L2125">
        <v>0</v>
      </c>
      <c r="M2125" t="s">
        <v>122</v>
      </c>
    </row>
    <row r="2126" spans="1:13" hidden="1" x14ac:dyDescent="0.15">
      <c r="A2126" t="s">
        <v>6787</v>
      </c>
      <c r="B2126" t="s">
        <v>6788</v>
      </c>
      <c r="C2126" t="s">
        <v>6789</v>
      </c>
      <c r="D2126" t="s">
        <v>6783</v>
      </c>
      <c r="E2126">
        <v>332</v>
      </c>
      <c r="F2126" t="str">
        <f>HYPERLINK("https://github.com/dmfs/opentasks/issues/286", "show")</f>
        <v>show</v>
      </c>
      <c r="G2126" t="str">
        <f>HYPERLINK("https://github.com/dmfs/opentasks", "show")</f>
        <v>show</v>
      </c>
      <c r="H2126" t="str">
        <f>HYPERLINK("https://github.com/dmfs/opentasks/releases", "show")</f>
        <v>show</v>
      </c>
      <c r="I2126">
        <v>1</v>
      </c>
      <c r="J2126">
        <v>0</v>
      </c>
      <c r="K2126">
        <v>0</v>
      </c>
      <c r="L2126">
        <v>0</v>
      </c>
      <c r="M2126" t="s">
        <v>17</v>
      </c>
    </row>
    <row r="2127" spans="1:13" hidden="1" x14ac:dyDescent="0.15">
      <c r="A2127" t="s">
        <v>6790</v>
      </c>
      <c r="B2127" t="s">
        <v>6791</v>
      </c>
      <c r="C2127" t="s">
        <v>6792</v>
      </c>
      <c r="D2127" t="s">
        <v>6793</v>
      </c>
      <c r="E2127">
        <v>1</v>
      </c>
      <c r="F2127" t="str">
        <f>HYPERLINK("https://github.com/barbeau/gpstest/issues/61", "show")</f>
        <v>show</v>
      </c>
      <c r="G2127" t="str">
        <f>HYPERLINK("https://github.com/barbeau/gpstest", "show")</f>
        <v>show</v>
      </c>
      <c r="H2127" t="str">
        <f>HYPERLINK("https://github.com/barbeau/gpstest/releases", "show")</f>
        <v>show</v>
      </c>
      <c r="I2127">
        <v>1</v>
      </c>
      <c r="J2127">
        <v>1</v>
      </c>
      <c r="K2127">
        <v>1</v>
      </c>
      <c r="L2127">
        <v>0</v>
      </c>
      <c r="M2127" t="s">
        <v>59</v>
      </c>
    </row>
    <row r="2128" spans="1:13" hidden="1" x14ac:dyDescent="0.15">
      <c r="A2128" t="s">
        <v>6794</v>
      </c>
      <c r="B2128" t="s">
        <v>6795</v>
      </c>
      <c r="C2128" t="s">
        <v>6796</v>
      </c>
      <c r="D2128" t="s">
        <v>6793</v>
      </c>
      <c r="E2128">
        <v>366</v>
      </c>
      <c r="F2128" t="str">
        <f>HYPERLINK("https://github.com/open-keychain/open-keychain/issues/1936", "show")</f>
        <v>show</v>
      </c>
      <c r="G2128" t="str">
        <f>HYPERLINK("https://github.com/open-keychain/open-keychain", "show")</f>
        <v>show</v>
      </c>
      <c r="H2128" t="str">
        <f>HYPERLINK("https://github.com/open-keychain/open-keychain/releases", "show")</f>
        <v>show</v>
      </c>
      <c r="I2128">
        <v>1</v>
      </c>
      <c r="J2128">
        <v>1</v>
      </c>
      <c r="K2128">
        <v>0</v>
      </c>
      <c r="L2128">
        <v>0</v>
      </c>
      <c r="M2128" t="s">
        <v>48</v>
      </c>
    </row>
    <row r="2129" spans="1:13" hidden="1" x14ac:dyDescent="0.15">
      <c r="A2129" t="s">
        <v>6797</v>
      </c>
      <c r="B2129" t="s">
        <v>6798</v>
      </c>
      <c r="C2129" t="s">
        <v>6799</v>
      </c>
      <c r="D2129" t="s">
        <v>6800</v>
      </c>
      <c r="E2129">
        <v>1</v>
      </c>
      <c r="F2129" t="str">
        <f>HYPERLINK("https://github.com/google/ExoPlayer/issues/1943", "show")</f>
        <v>show</v>
      </c>
      <c r="G2129" t="str">
        <f>HYPERLINK("https://github.com/google/ExoPlayer", "show")</f>
        <v>show</v>
      </c>
      <c r="H2129" t="str">
        <f>HYPERLINK("https://github.com/google/ExoPlayer/releases", "show")</f>
        <v>show</v>
      </c>
      <c r="I2129">
        <v>1</v>
      </c>
      <c r="J2129">
        <v>1</v>
      </c>
      <c r="K2129">
        <v>0</v>
      </c>
      <c r="L2129">
        <v>1</v>
      </c>
      <c r="M2129" t="s">
        <v>1894</v>
      </c>
    </row>
    <row r="2130" spans="1:13" hidden="1" x14ac:dyDescent="0.15">
      <c r="A2130" t="s">
        <v>6801</v>
      </c>
      <c r="B2130" t="s">
        <v>6802</v>
      </c>
      <c r="C2130" t="s">
        <v>6803</v>
      </c>
      <c r="D2130" t="s">
        <v>6804</v>
      </c>
      <c r="E2130">
        <v>2</v>
      </c>
      <c r="F2130" t="str">
        <f>HYPERLINK("https://github.com/bumptech/glide/issues/1523", "show")</f>
        <v>show</v>
      </c>
      <c r="G2130" t="str">
        <f>HYPERLINK("https://github.com/bumptech/glide", "show")</f>
        <v>show</v>
      </c>
      <c r="H2130" t="str">
        <f>HYPERLINK("https://github.com/bumptech/glide/releases", "show")</f>
        <v>show</v>
      </c>
      <c r="I2130">
        <v>1</v>
      </c>
      <c r="J2130">
        <v>0</v>
      </c>
      <c r="K2130">
        <v>0</v>
      </c>
      <c r="L2130">
        <v>0</v>
      </c>
      <c r="M2130" t="s">
        <v>17</v>
      </c>
    </row>
    <row r="2131" spans="1:13" hidden="1" x14ac:dyDescent="0.15">
      <c r="A2131" t="s">
        <v>6805</v>
      </c>
      <c r="B2131" t="s">
        <v>6806</v>
      </c>
      <c r="C2131" t="s">
        <v>6807</v>
      </c>
      <c r="D2131" t="s">
        <v>6804</v>
      </c>
      <c r="E2131">
        <v>250</v>
      </c>
      <c r="F2131" t="str">
        <f>HYPERLINK("https://github.com/mapzen/android/issues/201", "show")</f>
        <v>show</v>
      </c>
      <c r="G2131" t="str">
        <f>HYPERLINK("https://github.com/mapzen/android", "show")</f>
        <v>show</v>
      </c>
      <c r="H2131" t="str">
        <f>HYPERLINK("https://github.com/mapzen/android/releases", "show")</f>
        <v>show</v>
      </c>
      <c r="I2131">
        <v>1</v>
      </c>
      <c r="J2131">
        <v>0</v>
      </c>
      <c r="K2131">
        <v>0</v>
      </c>
      <c r="L2131">
        <v>0</v>
      </c>
      <c r="M2131" t="s">
        <v>17</v>
      </c>
    </row>
    <row r="2132" spans="1:13" hidden="1" x14ac:dyDescent="0.15">
      <c r="A2132" t="s">
        <v>6808</v>
      </c>
      <c r="B2132" t="s">
        <v>6809</v>
      </c>
      <c r="C2132" t="s">
        <v>6810</v>
      </c>
      <c r="D2132" t="s">
        <v>6804</v>
      </c>
      <c r="E2132">
        <v>12</v>
      </c>
      <c r="F2132" t="str">
        <f>HYPERLINK("https://github.com/twilio/video-quickstart-android/issues/31", "show")</f>
        <v>show</v>
      </c>
      <c r="G2132" t="str">
        <f>HYPERLINK("https://github.com/twilio/video-quickstart-android", "show")</f>
        <v>show</v>
      </c>
      <c r="H2132" t="str">
        <f>HYPERLINK("https://github.com/twilio/video-quickstart-android/releases", "show")</f>
        <v>show</v>
      </c>
      <c r="I2132">
        <v>1</v>
      </c>
      <c r="J2132">
        <v>0</v>
      </c>
      <c r="K2132">
        <v>1</v>
      </c>
      <c r="L2132">
        <v>0</v>
      </c>
      <c r="M2132" t="s">
        <v>64</v>
      </c>
    </row>
    <row r="2133" spans="1:13" hidden="1" x14ac:dyDescent="0.15">
      <c r="A2133" t="s">
        <v>6811</v>
      </c>
      <c r="B2133" t="s">
        <v>6812</v>
      </c>
      <c r="C2133" t="s">
        <v>6813</v>
      </c>
      <c r="D2133" t="s">
        <v>6804</v>
      </c>
      <c r="E2133">
        <v>1</v>
      </c>
      <c r="F2133" t="str">
        <f>HYPERLINK("https://github.com/wasdennnoch/AndroidN-ify/issues/1049", "show")</f>
        <v>show</v>
      </c>
      <c r="G2133" t="str">
        <f>HYPERLINK("https://github.com/wasdennnoch/AndroidN-ify", "show")</f>
        <v>show</v>
      </c>
      <c r="H2133" t="str">
        <f>HYPERLINK("https://github.com/wasdennnoch/AndroidN-ify/releases", "show")</f>
        <v>show</v>
      </c>
      <c r="I2133">
        <v>1</v>
      </c>
      <c r="J2133">
        <v>0</v>
      </c>
      <c r="K2133">
        <v>0</v>
      </c>
      <c r="L2133">
        <v>0</v>
      </c>
      <c r="M2133" t="s">
        <v>17</v>
      </c>
    </row>
    <row r="2134" spans="1:13" hidden="1" x14ac:dyDescent="0.15">
      <c r="A2134" t="s">
        <v>6814</v>
      </c>
      <c r="B2134" t="s">
        <v>6815</v>
      </c>
      <c r="C2134" t="s">
        <v>6816</v>
      </c>
      <c r="D2134" t="s">
        <v>6804</v>
      </c>
      <c r="E2134">
        <v>4</v>
      </c>
      <c r="F2134" t="str">
        <f>HYPERLINK("https://github.com/gitskarios/Gitskarios/issues/592", "show")</f>
        <v>show</v>
      </c>
      <c r="G2134" t="str">
        <f>HYPERLINK("https://github.com/gitskarios/Gitskarios", "show")</f>
        <v>show</v>
      </c>
      <c r="H2134" t="str">
        <f>HYPERLINK("https://github.com/gitskarios/Gitskarios/releases", "show")</f>
        <v>show</v>
      </c>
      <c r="I2134">
        <v>1</v>
      </c>
      <c r="J2134">
        <v>0</v>
      </c>
      <c r="K2134">
        <v>1</v>
      </c>
      <c r="L2134">
        <v>0</v>
      </c>
      <c r="M2134" t="s">
        <v>64</v>
      </c>
    </row>
    <row r="2135" spans="1:13" hidden="1" x14ac:dyDescent="0.15">
      <c r="A2135" t="s">
        <v>6817</v>
      </c>
      <c r="B2135" t="s">
        <v>6818</v>
      </c>
      <c r="C2135" t="s">
        <v>6819</v>
      </c>
      <c r="D2135" t="s">
        <v>6820</v>
      </c>
      <c r="E2135">
        <v>26</v>
      </c>
      <c r="F2135" t="str">
        <f>HYPERLINK("https://github.com/nextcloud/android/issues/336", "show")</f>
        <v>show</v>
      </c>
      <c r="G2135" t="str">
        <f>HYPERLINK("https://github.com/nextcloud/android", "show")</f>
        <v>show</v>
      </c>
      <c r="H2135" t="str">
        <f>HYPERLINK("https://github.com/nextcloud/android/releases", "show")</f>
        <v>show</v>
      </c>
      <c r="I2135">
        <v>1</v>
      </c>
      <c r="J2135">
        <v>1</v>
      </c>
      <c r="K2135">
        <v>0</v>
      </c>
      <c r="L2135">
        <v>0</v>
      </c>
      <c r="M2135" t="s">
        <v>48</v>
      </c>
    </row>
    <row r="2136" spans="1:13" hidden="1" x14ac:dyDescent="0.15">
      <c r="A2136" t="s">
        <v>6821</v>
      </c>
      <c r="B2136" t="s">
        <v>6822</v>
      </c>
      <c r="C2136" t="s">
        <v>504</v>
      </c>
      <c r="D2136" t="s">
        <v>6820</v>
      </c>
      <c r="E2136">
        <v>1282</v>
      </c>
      <c r="F2136" t="str">
        <f>HYPERLINK("https://github.com/BaseballCardTracker/bbct-android/issues/401", "show")</f>
        <v>show</v>
      </c>
      <c r="G2136" t="str">
        <f>HYPERLINK("https://github.com/BaseballCardTracker/bbct-android", "show")</f>
        <v>show</v>
      </c>
      <c r="H2136" t="str">
        <f>HYPERLINK("https://github.com/BaseballCardTracker/bbct-android/releases", "show")</f>
        <v>show</v>
      </c>
      <c r="I2136">
        <v>1</v>
      </c>
      <c r="J2136">
        <v>0</v>
      </c>
      <c r="K2136">
        <v>0</v>
      </c>
      <c r="L2136">
        <v>0</v>
      </c>
      <c r="M2136" t="s">
        <v>17</v>
      </c>
    </row>
    <row r="2137" spans="1:13" hidden="1" x14ac:dyDescent="0.15">
      <c r="A2137" t="s">
        <v>6823</v>
      </c>
      <c r="B2137" t="s">
        <v>6824</v>
      </c>
      <c r="C2137" t="s">
        <v>6825</v>
      </c>
      <c r="D2137" t="s">
        <v>6820</v>
      </c>
      <c r="E2137">
        <v>1</v>
      </c>
      <c r="F2137" t="str">
        <f>HYPERLINK("https://github.com/barbeau/gpstest/issues/64", "show")</f>
        <v>show</v>
      </c>
      <c r="G2137" t="str">
        <f>HYPERLINK("https://github.com/barbeau/gpstest", "show")</f>
        <v>show</v>
      </c>
      <c r="H2137" t="str">
        <f>HYPERLINK("https://github.com/barbeau/gpstest/releases", "show")</f>
        <v>show</v>
      </c>
      <c r="I2137">
        <v>1</v>
      </c>
      <c r="J2137">
        <v>0</v>
      </c>
      <c r="K2137">
        <v>1</v>
      </c>
      <c r="L2137">
        <v>0</v>
      </c>
      <c r="M2137" t="s">
        <v>64</v>
      </c>
    </row>
    <row r="2138" spans="1:13" hidden="1" x14ac:dyDescent="0.15">
      <c r="A2138" t="s">
        <v>6826</v>
      </c>
      <c r="B2138" t="s">
        <v>6827</v>
      </c>
      <c r="D2138" t="s">
        <v>6828</v>
      </c>
      <c r="E2138">
        <v>3</v>
      </c>
      <c r="F2138" t="str">
        <f>HYPERLINK("https://github.com/BrimeNotes/android/issues/66", "show")</f>
        <v>show</v>
      </c>
      <c r="G2138" t="str">
        <f>HYPERLINK("https://github.com/BrimeNotes/android", "show")</f>
        <v>show</v>
      </c>
      <c r="H2138" t="str">
        <f>HYPERLINK("https://github.com/BrimeNotes/android/releases", "show")</f>
        <v>show</v>
      </c>
      <c r="I2138">
        <v>1</v>
      </c>
      <c r="J2138">
        <v>0</v>
      </c>
      <c r="K2138">
        <v>1</v>
      </c>
      <c r="L2138">
        <v>0</v>
      </c>
      <c r="M2138" t="s">
        <v>64</v>
      </c>
    </row>
    <row r="2139" spans="1:13" hidden="1" x14ac:dyDescent="0.15">
      <c r="A2139" t="s">
        <v>6829</v>
      </c>
      <c r="B2139" t="s">
        <v>6830</v>
      </c>
      <c r="C2139" t="s">
        <v>6831</v>
      </c>
      <c r="D2139" t="s">
        <v>6832</v>
      </c>
      <c r="E2139">
        <v>24</v>
      </c>
      <c r="F2139" t="str">
        <f>HYPERLINK("https://github.com/nextcloud/android/issues/346", "show")</f>
        <v>show</v>
      </c>
      <c r="G2139" t="str">
        <f>HYPERLINK("https://github.com/nextcloud/android", "show")</f>
        <v>show</v>
      </c>
      <c r="H2139" t="str">
        <f>HYPERLINK("https://github.com/nextcloud/android/releases", "show")</f>
        <v>show</v>
      </c>
      <c r="I2139">
        <v>1</v>
      </c>
      <c r="J2139">
        <v>0</v>
      </c>
      <c r="K2139">
        <v>0</v>
      </c>
      <c r="L2139">
        <v>0</v>
      </c>
      <c r="M2139" t="s">
        <v>17</v>
      </c>
    </row>
    <row r="2140" spans="1:13" hidden="1" x14ac:dyDescent="0.15">
      <c r="A2140" t="s">
        <v>6833</v>
      </c>
      <c r="B2140" t="s">
        <v>6834</v>
      </c>
      <c r="C2140" t="s">
        <v>6835</v>
      </c>
      <c r="D2140" t="s">
        <v>6832</v>
      </c>
      <c r="E2140">
        <v>30</v>
      </c>
      <c r="F2140" t="str">
        <f>HYPERLINK("https://github.com/vector-im/riot-android/issues/634", "show")</f>
        <v>show</v>
      </c>
      <c r="G2140" t="str">
        <f>HYPERLINK("https://github.com/vector-im/riot-android", "show")</f>
        <v>show</v>
      </c>
      <c r="H2140" t="str">
        <f>HYPERLINK("https://github.com/vector-im/riot-android/releases", "show")</f>
        <v>show</v>
      </c>
      <c r="I2140">
        <v>1</v>
      </c>
      <c r="J2140">
        <v>1</v>
      </c>
      <c r="K2140">
        <v>0</v>
      </c>
      <c r="L2140">
        <v>0</v>
      </c>
      <c r="M2140" t="s">
        <v>48</v>
      </c>
    </row>
    <row r="2141" spans="1:13" hidden="1" x14ac:dyDescent="0.15">
      <c r="A2141" t="s">
        <v>6836</v>
      </c>
      <c r="B2141" t="s">
        <v>6837</v>
      </c>
      <c r="C2141" t="s">
        <v>6838</v>
      </c>
      <c r="D2141" t="s">
        <v>6839</v>
      </c>
      <c r="E2141">
        <v>124</v>
      </c>
      <c r="F2141" t="str">
        <f>HYPERLINK("https://github.com/SkyTubeTeam/SkyTube/issues/34", "show")</f>
        <v>show</v>
      </c>
      <c r="G2141" t="str">
        <f>HYPERLINK("https://github.com/SkyTubeTeam/SkyTube", "show")</f>
        <v>show</v>
      </c>
      <c r="H2141" t="str">
        <f>HYPERLINK("https://github.com/SkyTubeTeam/SkyTube/releases", "show")</f>
        <v>show</v>
      </c>
      <c r="I2141">
        <v>1</v>
      </c>
      <c r="J2141">
        <v>0</v>
      </c>
      <c r="K2141">
        <v>1</v>
      </c>
      <c r="L2141">
        <v>0</v>
      </c>
      <c r="M2141" t="s">
        <v>64</v>
      </c>
    </row>
    <row r="2142" spans="1:13" hidden="1" x14ac:dyDescent="0.15">
      <c r="A2142" t="s">
        <v>6840</v>
      </c>
      <c r="B2142" t="s">
        <v>6841</v>
      </c>
      <c r="C2142" t="s">
        <v>6842</v>
      </c>
      <c r="D2142" t="s">
        <v>6839</v>
      </c>
      <c r="E2142">
        <v>1</v>
      </c>
      <c r="F2142" t="str">
        <f>HYPERLINK("https://github.com/flowupio/FlowUpAndroidSDK/issues/91", "show")</f>
        <v>show</v>
      </c>
      <c r="G2142" t="str">
        <f>HYPERLINK("https://github.com/flowupio/FlowUpAndroidSDK", "show")</f>
        <v>show</v>
      </c>
      <c r="H2142" t="str">
        <f>HYPERLINK("https://github.com/flowupio/FlowUpAndroidSDK/releases", "show")</f>
        <v>show</v>
      </c>
      <c r="I2142">
        <v>1</v>
      </c>
      <c r="J2142">
        <v>0</v>
      </c>
      <c r="K2142">
        <v>0</v>
      </c>
      <c r="L2142">
        <v>0</v>
      </c>
      <c r="M2142" t="s">
        <v>17</v>
      </c>
    </row>
    <row r="2143" spans="1:13" hidden="1" x14ac:dyDescent="0.15">
      <c r="A2143" t="s">
        <v>6843</v>
      </c>
      <c r="B2143" t="s">
        <v>6844</v>
      </c>
      <c r="C2143" t="s">
        <v>6845</v>
      </c>
      <c r="D2143" t="s">
        <v>6839</v>
      </c>
      <c r="E2143">
        <v>247</v>
      </c>
      <c r="F2143" t="str">
        <f>HYPERLINK("https://github.com/d4rken/reddit-android-appstore/issues/74", "show")</f>
        <v>show</v>
      </c>
      <c r="G2143" t="str">
        <f>HYPERLINK("https://github.com/d4rken/reddit-android-appstore", "show")</f>
        <v>show</v>
      </c>
      <c r="H2143" t="str">
        <f>HYPERLINK("https://github.com/d4rken/reddit-android-appstore/releases", "show")</f>
        <v>show</v>
      </c>
      <c r="I2143">
        <v>1</v>
      </c>
      <c r="J2143">
        <v>0</v>
      </c>
      <c r="K2143">
        <v>1</v>
      </c>
      <c r="L2143">
        <v>0</v>
      </c>
      <c r="M2143" t="s">
        <v>64</v>
      </c>
    </row>
    <row r="2144" spans="1:13" hidden="1" x14ac:dyDescent="0.15">
      <c r="A2144" t="s">
        <v>6846</v>
      </c>
      <c r="B2144" t="s">
        <v>6847</v>
      </c>
      <c r="C2144" t="s">
        <v>6848</v>
      </c>
      <c r="D2144" t="s">
        <v>6839</v>
      </c>
      <c r="E2144">
        <v>37</v>
      </c>
      <c r="F2144" t="str">
        <f>HYPERLINK("https://github.com/nilsbraden/ttrss-reader-fork/issues/331", "show")</f>
        <v>show</v>
      </c>
      <c r="G2144" t="str">
        <f>HYPERLINK("https://github.com/nilsbraden/ttrss-reader-fork", "show")</f>
        <v>show</v>
      </c>
      <c r="H2144" t="str">
        <f>HYPERLINK("https://github.com/nilsbraden/ttrss-reader-fork/releases", "show")</f>
        <v>show</v>
      </c>
      <c r="I2144">
        <v>1</v>
      </c>
      <c r="J2144">
        <v>0</v>
      </c>
      <c r="K2144">
        <v>0</v>
      </c>
      <c r="L2144">
        <v>0</v>
      </c>
      <c r="M2144" t="s">
        <v>17</v>
      </c>
    </row>
    <row r="2145" spans="1:13" hidden="1" x14ac:dyDescent="0.15">
      <c r="A2145" t="s">
        <v>6849</v>
      </c>
      <c r="B2145" t="s">
        <v>6850</v>
      </c>
      <c r="C2145" t="s">
        <v>6851</v>
      </c>
      <c r="D2145" t="s">
        <v>6852</v>
      </c>
      <c r="E2145">
        <v>14</v>
      </c>
      <c r="F2145" t="str">
        <f>HYPERLINK("https://github.com/JakeWharton/butterknife/issues/782", "show")</f>
        <v>show</v>
      </c>
      <c r="G2145" t="str">
        <f>HYPERLINK("https://github.com/JakeWharton/butterknife", "show")</f>
        <v>show</v>
      </c>
      <c r="H2145" t="str">
        <f>HYPERLINK("https://github.com/JakeWharton/butterknife/releases", "show")</f>
        <v>show</v>
      </c>
      <c r="I2145">
        <v>1</v>
      </c>
      <c r="J2145">
        <v>0</v>
      </c>
      <c r="K2145">
        <v>0</v>
      </c>
      <c r="L2145">
        <v>0</v>
      </c>
      <c r="M2145" t="s">
        <v>17</v>
      </c>
    </row>
    <row r="2146" spans="1:13" hidden="1" x14ac:dyDescent="0.15">
      <c r="A2146" t="s">
        <v>6853</v>
      </c>
      <c r="B2146" t="s">
        <v>6854</v>
      </c>
      <c r="C2146" t="s">
        <v>6855</v>
      </c>
      <c r="D2146" t="s">
        <v>6852</v>
      </c>
      <c r="E2146">
        <v>13</v>
      </c>
      <c r="F2146" t="str">
        <f>HYPERLINK("https://github.com/dasmikko/facepunchdroid/issues/78", "show")</f>
        <v>show</v>
      </c>
      <c r="G2146" t="str">
        <f>HYPERLINK("https://github.com/dasmikko/facepunchdroid", "show")</f>
        <v>show</v>
      </c>
      <c r="H2146" t="str">
        <f>HYPERLINK("https://github.com/dasmikko/facepunchdroid/releases", "show")</f>
        <v>show</v>
      </c>
      <c r="I2146">
        <v>1</v>
      </c>
      <c r="J2146">
        <v>0</v>
      </c>
      <c r="K2146">
        <v>0</v>
      </c>
      <c r="L2146">
        <v>0</v>
      </c>
      <c r="M2146" t="s">
        <v>17</v>
      </c>
    </row>
    <row r="2147" spans="1:13" hidden="1" x14ac:dyDescent="0.15">
      <c r="A2147" t="s">
        <v>6856</v>
      </c>
      <c r="B2147" t="s">
        <v>6857</v>
      </c>
      <c r="D2147" t="s">
        <v>6852</v>
      </c>
      <c r="E2147">
        <v>7</v>
      </c>
      <c r="F2147" t="str">
        <f>HYPERLINK("https://github.com/AnnaForAndroid/ANNA/issues/6", "show")</f>
        <v>show</v>
      </c>
      <c r="G2147" t="str">
        <f>HYPERLINK("https://github.com/AnnaForAndroid/ANNA", "show")</f>
        <v>show</v>
      </c>
      <c r="H2147" t="str">
        <f>HYPERLINK("https://github.com/AnnaForAndroid/ANNA/releases", "show")</f>
        <v>show</v>
      </c>
      <c r="I2147">
        <v>0</v>
      </c>
      <c r="J2147">
        <v>0</v>
      </c>
      <c r="K2147">
        <v>0</v>
      </c>
      <c r="L2147">
        <v>0</v>
      </c>
      <c r="M2147" t="s">
        <v>43</v>
      </c>
    </row>
    <row r="2148" spans="1:13" hidden="1" x14ac:dyDescent="0.15">
      <c r="A2148" t="s">
        <v>6858</v>
      </c>
      <c r="B2148" t="s">
        <v>6859</v>
      </c>
      <c r="C2148" t="s">
        <v>6860</v>
      </c>
      <c r="D2148" t="s">
        <v>6861</v>
      </c>
      <c r="E2148">
        <v>11</v>
      </c>
      <c r="F2148" t="str">
        <f>HYPERLINK("https://github.com/syncthing/syncthing-android/issues/767", "show")</f>
        <v>show</v>
      </c>
      <c r="G2148" t="str">
        <f>HYPERLINK("https://github.com/syncthing/syncthing-android", "show")</f>
        <v>show</v>
      </c>
      <c r="H2148" t="str">
        <f>HYPERLINK("https://github.com/syncthing/syncthing-android/releases", "show")</f>
        <v>show</v>
      </c>
      <c r="I2148">
        <v>0</v>
      </c>
      <c r="J2148">
        <v>0</v>
      </c>
      <c r="K2148">
        <v>0</v>
      </c>
      <c r="L2148">
        <v>0</v>
      </c>
      <c r="M2148" t="s">
        <v>43</v>
      </c>
    </row>
    <row r="2149" spans="1:13" hidden="1" x14ac:dyDescent="0.15">
      <c r="A2149" t="s">
        <v>6862</v>
      </c>
      <c r="B2149" t="s">
        <v>6863</v>
      </c>
      <c r="C2149" t="s">
        <v>6864</v>
      </c>
      <c r="D2149" t="s">
        <v>6861</v>
      </c>
      <c r="E2149">
        <v>1</v>
      </c>
      <c r="F2149" t="str">
        <f>HYPERLINK("https://github.com/gateship-one/odyssey/issues/3", "show")</f>
        <v>show</v>
      </c>
      <c r="G2149" t="str">
        <f>HYPERLINK("https://github.com/gateship-one/odyssey", "show")</f>
        <v>show</v>
      </c>
      <c r="H2149" t="str">
        <f>HYPERLINK("https://github.com/gateship-one/odyssey/releases", "show")</f>
        <v>show</v>
      </c>
      <c r="I2149">
        <v>0</v>
      </c>
      <c r="J2149">
        <v>0</v>
      </c>
      <c r="K2149">
        <v>0</v>
      </c>
      <c r="L2149">
        <v>0</v>
      </c>
      <c r="M2149" t="s">
        <v>43</v>
      </c>
    </row>
    <row r="2150" spans="1:13" hidden="1" x14ac:dyDescent="0.15">
      <c r="A2150" t="s">
        <v>6865</v>
      </c>
      <c r="B2150" t="s">
        <v>6866</v>
      </c>
      <c r="C2150" t="s">
        <v>6867</v>
      </c>
      <c r="D2150" t="s">
        <v>6861</v>
      </c>
      <c r="E2150">
        <v>5</v>
      </c>
      <c r="F2150" t="str">
        <f>HYPERLINK("https://github.com/dariuszseweryn/RxAndroidBle/issues/83", "show")</f>
        <v>show</v>
      </c>
      <c r="G2150" t="str">
        <f>HYPERLINK("https://github.com/dariuszseweryn/RxAndroidBle", "show")</f>
        <v>show</v>
      </c>
      <c r="H2150" t="str">
        <f>HYPERLINK("https://github.com/dariuszseweryn/RxAndroidBle/releases", "show")</f>
        <v>show</v>
      </c>
      <c r="I2150">
        <v>1</v>
      </c>
      <c r="J2150">
        <v>0</v>
      </c>
      <c r="K2150">
        <v>0</v>
      </c>
      <c r="L2150">
        <v>0</v>
      </c>
      <c r="M2150" t="s">
        <v>17</v>
      </c>
    </row>
    <row r="2151" spans="1:13" hidden="1" x14ac:dyDescent="0.15">
      <c r="A2151" t="s">
        <v>6868</v>
      </c>
      <c r="B2151" t="s">
        <v>6869</v>
      </c>
      <c r="C2151" t="s">
        <v>6870</v>
      </c>
      <c r="D2151" t="s">
        <v>6871</v>
      </c>
      <c r="E2151">
        <v>3</v>
      </c>
      <c r="F2151" t="str">
        <f>HYPERLINK("https://github.com/lostzen/lost/issues/132", "show")</f>
        <v>show</v>
      </c>
      <c r="G2151" t="str">
        <f>HYPERLINK("https://github.com/lostzen/lost", "show")</f>
        <v>show</v>
      </c>
      <c r="H2151" t="str">
        <f>HYPERLINK("https://github.com/lostzen/lost/releases", "show")</f>
        <v>show</v>
      </c>
      <c r="I2151">
        <v>0</v>
      </c>
      <c r="J2151">
        <v>0</v>
      </c>
      <c r="K2151">
        <v>1</v>
      </c>
      <c r="L2151">
        <v>0</v>
      </c>
      <c r="M2151" t="s">
        <v>122</v>
      </c>
    </row>
    <row r="2152" spans="1:13" hidden="1" x14ac:dyDescent="0.15">
      <c r="A2152" t="s">
        <v>6872</v>
      </c>
      <c r="B2152" t="s">
        <v>6873</v>
      </c>
      <c r="C2152" t="s">
        <v>6874</v>
      </c>
      <c r="D2152" t="s">
        <v>6871</v>
      </c>
      <c r="E2152">
        <v>852</v>
      </c>
      <c r="F2152" t="str">
        <f>HYPERLINK("https://github.com/grpc/grpc-java/issues/2363", "show")</f>
        <v>show</v>
      </c>
      <c r="G2152" t="str">
        <f>HYPERLINK("https://github.com/grpc/grpc-java", "show")</f>
        <v>show</v>
      </c>
      <c r="H2152" t="str">
        <f>HYPERLINK("https://github.com/grpc/grpc-java/releases", "show")</f>
        <v>show</v>
      </c>
      <c r="I2152">
        <v>1</v>
      </c>
      <c r="J2152">
        <v>0</v>
      </c>
      <c r="K2152">
        <v>1</v>
      </c>
      <c r="L2152">
        <v>0</v>
      </c>
      <c r="M2152" t="s">
        <v>64</v>
      </c>
    </row>
    <row r="2153" spans="1:13" hidden="1" x14ac:dyDescent="0.15">
      <c r="A2153" t="s">
        <v>6875</v>
      </c>
      <c r="B2153" t="s">
        <v>6876</v>
      </c>
      <c r="C2153" t="s">
        <v>6877</v>
      </c>
      <c r="D2153" t="s">
        <v>6878</v>
      </c>
      <c r="E2153">
        <v>175</v>
      </c>
      <c r="F2153" t="str">
        <f>HYPERLINK("https://github.com/square/okhttp/issues/2934", "show")</f>
        <v>show</v>
      </c>
      <c r="G2153" t="str">
        <f>HYPERLINK("https://github.com/square/okhttp", "show")</f>
        <v>show</v>
      </c>
      <c r="H2153" t="str">
        <f>HYPERLINK("https://github.com/square/okhttp/releases", "show")</f>
        <v>show</v>
      </c>
      <c r="I2153">
        <v>1</v>
      </c>
      <c r="J2153">
        <v>0</v>
      </c>
      <c r="K2153">
        <v>0</v>
      </c>
      <c r="L2153">
        <v>0</v>
      </c>
      <c r="M2153" t="s">
        <v>17</v>
      </c>
    </row>
    <row r="2154" spans="1:13" hidden="1" x14ac:dyDescent="0.15">
      <c r="A2154" t="s">
        <v>6879</v>
      </c>
      <c r="B2154" t="s">
        <v>6880</v>
      </c>
      <c r="C2154" t="s">
        <v>6881</v>
      </c>
      <c r="D2154" t="s">
        <v>6878</v>
      </c>
      <c r="E2154">
        <v>0</v>
      </c>
      <c r="F2154" t="str">
        <f>HYPERLINK("https://github.com/alexstyl/Memento-Calendar/issues/65", "show")</f>
        <v>show</v>
      </c>
      <c r="G2154" t="str">
        <f>HYPERLINK("https://github.com/alexstyl/Memento-Calendar", "show")</f>
        <v>show</v>
      </c>
      <c r="H2154" t="str">
        <f>HYPERLINK("https://github.com/alexstyl/Memento-Calendar/releases", "show")</f>
        <v>show</v>
      </c>
      <c r="I2154">
        <v>1</v>
      </c>
      <c r="J2154">
        <v>0</v>
      </c>
      <c r="K2154">
        <v>0</v>
      </c>
      <c r="L2154">
        <v>0</v>
      </c>
      <c r="M2154" t="s">
        <v>17</v>
      </c>
    </row>
    <row r="2155" spans="1:13" hidden="1" x14ac:dyDescent="0.15">
      <c r="A2155" t="s">
        <v>6882</v>
      </c>
      <c r="B2155" t="s">
        <v>6883</v>
      </c>
      <c r="C2155" t="s">
        <v>6884</v>
      </c>
      <c r="D2155" t="s">
        <v>6878</v>
      </c>
      <c r="E2155">
        <v>5</v>
      </c>
      <c r="F2155" t="str">
        <f>HYPERLINK("https://github.com/appteam-nith/Hillffair/issues/118", "show")</f>
        <v>show</v>
      </c>
      <c r="G2155" t="str">
        <f>HYPERLINK("https://github.com/appteam-nith/Hillffair", "show")</f>
        <v>show</v>
      </c>
      <c r="H2155" t="str">
        <f>HYPERLINK("https://github.com/appteam-nith/Hillffair/releases", "show")</f>
        <v>show</v>
      </c>
      <c r="I2155">
        <v>0</v>
      </c>
      <c r="J2155">
        <v>0</v>
      </c>
      <c r="K2155">
        <v>0</v>
      </c>
      <c r="L2155">
        <v>0</v>
      </c>
      <c r="M2155" t="s">
        <v>43</v>
      </c>
    </row>
    <row r="2156" spans="1:13" hidden="1" x14ac:dyDescent="0.15">
      <c r="A2156" t="s">
        <v>6885</v>
      </c>
      <c r="B2156" t="s">
        <v>6886</v>
      </c>
      <c r="C2156" t="s">
        <v>6887</v>
      </c>
      <c r="D2156" t="s">
        <v>6888</v>
      </c>
      <c r="E2156">
        <v>22</v>
      </c>
      <c r="F2156" t="str">
        <f>HYPERLINK("https://github.com/Yalantis/uCrop/issues/212", "show")</f>
        <v>show</v>
      </c>
      <c r="G2156" t="str">
        <f>HYPERLINK("https://github.com/Yalantis/uCrop", "show")</f>
        <v>show</v>
      </c>
      <c r="H2156" t="str">
        <f>HYPERLINK("https://github.com/Yalantis/uCrop/releases", "show")</f>
        <v>show</v>
      </c>
      <c r="I2156">
        <v>1</v>
      </c>
      <c r="J2156">
        <v>1</v>
      </c>
      <c r="K2156">
        <v>0</v>
      </c>
      <c r="L2156">
        <v>0</v>
      </c>
      <c r="M2156" t="s">
        <v>48</v>
      </c>
    </row>
    <row r="2157" spans="1:13" hidden="1" x14ac:dyDescent="0.15">
      <c r="A2157" t="s">
        <v>6889</v>
      </c>
      <c r="B2157" t="s">
        <v>6890</v>
      </c>
      <c r="C2157" t="s">
        <v>6891</v>
      </c>
      <c r="D2157" t="s">
        <v>6888</v>
      </c>
      <c r="E2157">
        <v>2</v>
      </c>
      <c r="F2157" t="str">
        <f>HYPERLINK("https://github.com/dimagi/commcare-android/issues/1524", "show")</f>
        <v>show</v>
      </c>
      <c r="G2157" t="str">
        <f>HYPERLINK("https://github.com/dimagi/commcare-android", "show")</f>
        <v>show</v>
      </c>
      <c r="H2157" t="str">
        <f>HYPERLINK("https://github.com/dimagi/commcare-android/releases", "show")</f>
        <v>show</v>
      </c>
      <c r="I2157">
        <v>1</v>
      </c>
      <c r="J2157">
        <v>0</v>
      </c>
      <c r="K2157">
        <v>1</v>
      </c>
      <c r="L2157">
        <v>0</v>
      </c>
      <c r="M2157" t="s">
        <v>64</v>
      </c>
    </row>
    <row r="2158" spans="1:13" hidden="1" x14ac:dyDescent="0.15">
      <c r="A2158" t="s">
        <v>6892</v>
      </c>
      <c r="B2158" t="s">
        <v>6893</v>
      </c>
      <c r="C2158" t="s">
        <v>6894</v>
      </c>
      <c r="D2158" t="s">
        <v>6895</v>
      </c>
      <c r="E2158">
        <v>28</v>
      </c>
      <c r="F2158" t="str">
        <f>HYPERLINK("https://github.com/gsantner/dandelion/issues/97", "show")</f>
        <v>show</v>
      </c>
      <c r="G2158" t="str">
        <f>HYPERLINK("https://github.com/gsantner/dandelion", "show")</f>
        <v>show</v>
      </c>
      <c r="H2158" t="str">
        <f>HYPERLINK("https://github.com/gsantner/dandelion/releases", "show")</f>
        <v>show</v>
      </c>
      <c r="I2158">
        <v>1</v>
      </c>
      <c r="J2158">
        <v>1</v>
      </c>
      <c r="K2158">
        <v>1</v>
      </c>
      <c r="L2158">
        <v>0</v>
      </c>
      <c r="M2158" t="s">
        <v>59</v>
      </c>
    </row>
    <row r="2159" spans="1:13" hidden="1" x14ac:dyDescent="0.15">
      <c r="A2159" t="s">
        <v>6896</v>
      </c>
      <c r="B2159" t="s">
        <v>6897</v>
      </c>
      <c r="C2159" t="s">
        <v>6898</v>
      </c>
      <c r="D2159" t="s">
        <v>6895</v>
      </c>
      <c r="E2159">
        <v>18</v>
      </c>
      <c r="F2159" t="str">
        <f>HYPERLINK("https://github.com/appdockProject/appDockApp/issues/2", "show")</f>
        <v>show</v>
      </c>
      <c r="G2159" t="str">
        <f>HYPERLINK("https://github.com/appdockProject/appDockApp", "show")</f>
        <v>show</v>
      </c>
      <c r="H2159" t="str">
        <f>HYPERLINK("https://github.com/appdockProject/appDockApp/releases", "show")</f>
        <v>show</v>
      </c>
      <c r="I2159">
        <v>0</v>
      </c>
      <c r="J2159">
        <v>0</v>
      </c>
      <c r="K2159">
        <v>0</v>
      </c>
      <c r="L2159">
        <v>0</v>
      </c>
      <c r="M2159" t="s">
        <v>43</v>
      </c>
    </row>
    <row r="2160" spans="1:13" hidden="1" x14ac:dyDescent="0.15">
      <c r="A2160" t="s">
        <v>6899</v>
      </c>
      <c r="B2160" t="s">
        <v>6900</v>
      </c>
      <c r="C2160" t="s">
        <v>6901</v>
      </c>
      <c r="D2160" t="s">
        <v>6895</v>
      </c>
      <c r="E2160">
        <v>737</v>
      </c>
      <c r="F2160" t="str">
        <f>HYPERLINK("https://github.com/commons-app/apps-android-commons/issues/307", "show")</f>
        <v>show</v>
      </c>
      <c r="G2160" t="str">
        <f>HYPERLINK("https://github.com/commons-app/apps-android-commons", "show")</f>
        <v>show</v>
      </c>
      <c r="H2160" t="str">
        <f>HYPERLINK("https://github.com/commons-app/apps-android-commons/releases", "show")</f>
        <v>show</v>
      </c>
      <c r="I2160">
        <v>1</v>
      </c>
      <c r="J2160">
        <v>0</v>
      </c>
      <c r="K2160">
        <v>0</v>
      </c>
      <c r="L2160">
        <v>0</v>
      </c>
      <c r="M2160" t="s">
        <v>17</v>
      </c>
    </row>
    <row r="2161" spans="1:13" hidden="1" x14ac:dyDescent="0.15">
      <c r="A2161" t="s">
        <v>6902</v>
      </c>
      <c r="B2161" t="s">
        <v>6903</v>
      </c>
      <c r="C2161" t="s">
        <v>6904</v>
      </c>
      <c r="D2161" t="s">
        <v>6895</v>
      </c>
      <c r="E2161">
        <v>213</v>
      </c>
      <c r="F2161" t="str">
        <f>HYPERLINK("https://github.com/Ereza/CustomActivityOnCrash/issues/28", "show")</f>
        <v>show</v>
      </c>
      <c r="G2161" t="str">
        <f>HYPERLINK("https://github.com/Ereza/CustomActivityOnCrash", "show")</f>
        <v>show</v>
      </c>
      <c r="H2161" t="str">
        <f>HYPERLINK("https://github.com/Ereza/CustomActivityOnCrash/releases", "show")</f>
        <v>show</v>
      </c>
      <c r="I2161">
        <v>1</v>
      </c>
      <c r="J2161">
        <v>0</v>
      </c>
      <c r="K2161">
        <v>0</v>
      </c>
      <c r="L2161">
        <v>0</v>
      </c>
      <c r="M2161" t="s">
        <v>17</v>
      </c>
    </row>
    <row r="2162" spans="1:13" hidden="1" x14ac:dyDescent="0.15">
      <c r="A2162" t="s">
        <v>6905</v>
      </c>
      <c r="B2162" t="s">
        <v>6906</v>
      </c>
      <c r="C2162" t="s">
        <v>6907</v>
      </c>
      <c r="D2162" t="s">
        <v>6895</v>
      </c>
      <c r="E2162">
        <v>8</v>
      </c>
      <c r="F2162" t="str">
        <f>HYPERLINK("https://github.com/WishCanTaiwan/VocabuLazy-Android/issues/55", "show")</f>
        <v>show</v>
      </c>
      <c r="G2162" t="str">
        <f>HYPERLINK("https://github.com/WishCanTaiwan/VocabuLazy-Android", "show")</f>
        <v>show</v>
      </c>
      <c r="H2162" t="str">
        <f>HYPERLINK("https://github.com/WishCanTaiwan/VocabuLazy-Android/releases", "show")</f>
        <v>show</v>
      </c>
      <c r="I2162">
        <v>1</v>
      </c>
      <c r="J2162">
        <v>0</v>
      </c>
      <c r="K2162">
        <v>0</v>
      </c>
      <c r="L2162">
        <v>0</v>
      </c>
      <c r="M2162" t="s">
        <v>17</v>
      </c>
    </row>
    <row r="2163" spans="1:13" hidden="1" x14ac:dyDescent="0.15">
      <c r="A2163" t="s">
        <v>6908</v>
      </c>
      <c r="B2163" t="s">
        <v>6909</v>
      </c>
      <c r="C2163" t="s">
        <v>6910</v>
      </c>
      <c r="D2163" t="s">
        <v>6911</v>
      </c>
      <c r="E2163">
        <v>0</v>
      </c>
      <c r="F2163" t="str">
        <f>HYPERLINK("https://github.com/gsantner/dandelion/issues/99", "show")</f>
        <v>show</v>
      </c>
      <c r="G2163" t="str">
        <f>HYPERLINK("https://github.com/gsantner/dandelion", "show")</f>
        <v>show</v>
      </c>
      <c r="H2163" t="str">
        <f>HYPERLINK("https://github.com/gsantner/dandelion/releases", "show")</f>
        <v>show</v>
      </c>
      <c r="I2163">
        <v>1</v>
      </c>
      <c r="J2163">
        <v>1</v>
      </c>
      <c r="K2163">
        <v>1</v>
      </c>
      <c r="L2163">
        <v>0</v>
      </c>
      <c r="M2163" t="s">
        <v>59</v>
      </c>
    </row>
    <row r="2164" spans="1:13" hidden="1" x14ac:dyDescent="0.15">
      <c r="A2164" t="s">
        <v>6912</v>
      </c>
      <c r="B2164" t="s">
        <v>6913</v>
      </c>
      <c r="C2164" t="s">
        <v>6914</v>
      </c>
      <c r="D2164" t="s">
        <v>6911</v>
      </c>
      <c r="E2164">
        <v>0</v>
      </c>
      <c r="F2164" t="str">
        <f>HYPERLINK("https://github.com/OneBusAway/onebusaway-android/issues/711", "show")</f>
        <v>show</v>
      </c>
      <c r="G2164" t="str">
        <f>HYPERLINK("https://github.com/OneBusAway/onebusaway-android", "show")</f>
        <v>show</v>
      </c>
      <c r="H2164" t="str">
        <f>HYPERLINK("https://github.com/OneBusAway/onebusaway-android/releases", "show")</f>
        <v>show</v>
      </c>
      <c r="I2164">
        <v>1</v>
      </c>
      <c r="J2164">
        <v>1</v>
      </c>
      <c r="K2164">
        <v>1</v>
      </c>
      <c r="L2164">
        <v>0</v>
      </c>
      <c r="M2164" t="s">
        <v>59</v>
      </c>
    </row>
    <row r="2165" spans="1:13" hidden="1" x14ac:dyDescent="0.15">
      <c r="A2165" t="s">
        <v>6915</v>
      </c>
      <c r="B2165" t="s">
        <v>6916</v>
      </c>
      <c r="C2165" t="s">
        <v>6917</v>
      </c>
      <c r="D2165" t="s">
        <v>6918</v>
      </c>
      <c r="E2165">
        <v>7</v>
      </c>
      <c r="F2165" t="str">
        <f>HYPERLINK("https://github.com/nextcloud/android/issues/361", "show")</f>
        <v>show</v>
      </c>
      <c r="G2165" t="str">
        <f>HYPERLINK("https://github.com/nextcloud/android", "show")</f>
        <v>show</v>
      </c>
      <c r="H2165" t="str">
        <f>HYPERLINK("https://github.com/nextcloud/android/releases", "show")</f>
        <v>show</v>
      </c>
      <c r="I2165">
        <v>1</v>
      </c>
      <c r="J2165">
        <v>1</v>
      </c>
      <c r="K2165">
        <v>1</v>
      </c>
      <c r="L2165">
        <v>0</v>
      </c>
      <c r="M2165" t="s">
        <v>59</v>
      </c>
    </row>
    <row r="2166" spans="1:13" hidden="1" x14ac:dyDescent="0.15">
      <c r="A2166" t="s">
        <v>6919</v>
      </c>
      <c r="B2166" t="s">
        <v>6920</v>
      </c>
      <c r="C2166" t="s">
        <v>6921</v>
      </c>
      <c r="D2166" t="s">
        <v>6918</v>
      </c>
      <c r="E2166">
        <v>1</v>
      </c>
      <c r="F2166" t="str">
        <f>HYPERLINK("https://github.com/KeepSafe/TapTargetView/issues/55", "show")</f>
        <v>show</v>
      </c>
      <c r="G2166" t="str">
        <f>HYPERLINK("https://github.com/KeepSafe/TapTargetView", "show")</f>
        <v>show</v>
      </c>
      <c r="H2166" t="str">
        <f>HYPERLINK("https://github.com/KeepSafe/TapTargetView/releases", "show")</f>
        <v>show</v>
      </c>
      <c r="I2166">
        <v>1</v>
      </c>
      <c r="J2166">
        <v>0</v>
      </c>
      <c r="K2166">
        <v>1</v>
      </c>
      <c r="L2166">
        <v>0</v>
      </c>
      <c r="M2166" t="s">
        <v>64</v>
      </c>
    </row>
    <row r="2167" spans="1:13" hidden="1" x14ac:dyDescent="0.15">
      <c r="A2167" t="s">
        <v>6922</v>
      </c>
      <c r="B2167" t="s">
        <v>6923</v>
      </c>
      <c r="D2167" t="s">
        <v>6924</v>
      </c>
      <c r="E2167">
        <v>9</v>
      </c>
      <c r="F2167" t="str">
        <f>HYPERLINK("https://github.com/jacob-g/cleveland-rta-next-bus-train/issues/30", "show")</f>
        <v>show</v>
      </c>
      <c r="G2167" t="str">
        <f>HYPERLINK("https://github.com/jacob-g/cleveland-rta-next-bus-train", "show")</f>
        <v>show</v>
      </c>
      <c r="H2167" t="str">
        <f>HYPERLINK("https://github.com/jacob-g/cleveland-rta-next-bus-train/releases", "show")</f>
        <v>show</v>
      </c>
      <c r="I2167">
        <v>1</v>
      </c>
      <c r="J2167">
        <v>0</v>
      </c>
      <c r="K2167">
        <v>0</v>
      </c>
      <c r="L2167">
        <v>0</v>
      </c>
      <c r="M2167" t="s">
        <v>17</v>
      </c>
    </row>
    <row r="2168" spans="1:13" hidden="1" x14ac:dyDescent="0.15">
      <c r="A2168" t="s">
        <v>6925</v>
      </c>
      <c r="B2168" t="s">
        <v>6926</v>
      </c>
      <c r="C2168" t="s">
        <v>6927</v>
      </c>
      <c r="D2168" t="s">
        <v>6928</v>
      </c>
      <c r="E2168">
        <v>16</v>
      </c>
      <c r="F2168" t="str">
        <f>HYPERLINK("https://github.com/koelleChristian/trickytripper/issues/24", "show")</f>
        <v>show</v>
      </c>
      <c r="G2168" t="str">
        <f>HYPERLINK("https://github.com/koelleChristian/trickytripper", "show")</f>
        <v>show</v>
      </c>
      <c r="H2168" t="str">
        <f>HYPERLINK("https://github.com/koelleChristian/trickytripper/releases", "show")</f>
        <v>show</v>
      </c>
      <c r="I2168">
        <v>0</v>
      </c>
      <c r="J2168">
        <v>0</v>
      </c>
      <c r="K2168">
        <v>0</v>
      </c>
      <c r="L2168">
        <v>0</v>
      </c>
      <c r="M2168" t="s">
        <v>43</v>
      </c>
    </row>
    <row r="2169" spans="1:13" hidden="1" x14ac:dyDescent="0.15">
      <c r="A2169" t="s">
        <v>6929</v>
      </c>
      <c r="B2169" t="s">
        <v>6930</v>
      </c>
      <c r="C2169" t="s">
        <v>6931</v>
      </c>
      <c r="D2169" t="s">
        <v>6928</v>
      </c>
      <c r="E2169">
        <v>26</v>
      </c>
      <c r="F2169" t="str">
        <f>HYPERLINK("https://github.com/haiwen/seadroid/issues/592", "show")</f>
        <v>show</v>
      </c>
      <c r="G2169" t="str">
        <f>HYPERLINK("https://github.com/haiwen/seadroid", "show")</f>
        <v>show</v>
      </c>
      <c r="H2169" t="str">
        <f>HYPERLINK("https://github.com/haiwen/seadroid/releases", "show")</f>
        <v>show</v>
      </c>
      <c r="I2169">
        <v>1</v>
      </c>
      <c r="J2169">
        <v>0</v>
      </c>
      <c r="K2169">
        <v>1</v>
      </c>
      <c r="L2169">
        <v>0</v>
      </c>
      <c r="M2169" t="s">
        <v>64</v>
      </c>
    </row>
    <row r="2170" spans="1:13" hidden="1" x14ac:dyDescent="0.15">
      <c r="A2170" t="s">
        <v>6932</v>
      </c>
      <c r="B2170" t="s">
        <v>6933</v>
      </c>
      <c r="C2170" t="s">
        <v>6934</v>
      </c>
      <c r="D2170" t="s">
        <v>6935</v>
      </c>
      <c r="E2170">
        <v>120</v>
      </c>
      <c r="F2170" t="str">
        <f>HYPERLINK("https://github.com/tlenclos/react-native-audio-streaming/issues/33", "show")</f>
        <v>show</v>
      </c>
      <c r="G2170" t="str">
        <f>HYPERLINK("https://github.com/tlenclos/react-native-audio-streaming", "show")</f>
        <v>show</v>
      </c>
      <c r="H2170" t="str">
        <f>HYPERLINK("https://github.com/tlenclos/react-native-audio-streaming/releases", "show")</f>
        <v>show</v>
      </c>
      <c r="I2170">
        <v>1</v>
      </c>
      <c r="J2170">
        <v>0</v>
      </c>
      <c r="K2170">
        <v>1</v>
      </c>
      <c r="L2170">
        <v>0</v>
      </c>
      <c r="M2170" t="s">
        <v>64</v>
      </c>
    </row>
    <row r="2171" spans="1:13" hidden="1" x14ac:dyDescent="0.15">
      <c r="A2171" t="s">
        <v>6936</v>
      </c>
      <c r="B2171" t="s">
        <v>6937</v>
      </c>
      <c r="C2171" t="s">
        <v>6938</v>
      </c>
      <c r="D2171" t="s">
        <v>6939</v>
      </c>
      <c r="E2171">
        <v>6</v>
      </c>
      <c r="F2171" t="str">
        <f>HYPERLINK("https://github.com/nerzhul/ncsms-android/issues/113", "show")</f>
        <v>show</v>
      </c>
      <c r="G2171" t="str">
        <f>HYPERLINK("https://github.com/nerzhul/ncsms-android", "show")</f>
        <v>show</v>
      </c>
      <c r="H2171" t="str">
        <f>HYPERLINK("https://github.com/nerzhul/ncsms-android/releases", "show")</f>
        <v>show</v>
      </c>
      <c r="I2171">
        <v>1</v>
      </c>
      <c r="J2171">
        <v>0</v>
      </c>
      <c r="K2171">
        <v>1</v>
      </c>
      <c r="L2171">
        <v>0</v>
      </c>
      <c r="M2171" t="s">
        <v>64</v>
      </c>
    </row>
    <row r="2172" spans="1:13" hidden="1" x14ac:dyDescent="0.15">
      <c r="A2172" t="s">
        <v>6940</v>
      </c>
      <c r="B2172" t="s">
        <v>6941</v>
      </c>
      <c r="C2172" t="s">
        <v>6942</v>
      </c>
      <c r="D2172" t="s">
        <v>6939</v>
      </c>
      <c r="E2172">
        <v>46</v>
      </c>
      <c r="F2172" t="str">
        <f>HYPERLINK("https://github.com/NikitaKozlov/Pury/issues/26", "show")</f>
        <v>show</v>
      </c>
      <c r="G2172" t="str">
        <f>HYPERLINK("https://github.com/NikitaKozlov/Pury", "show")</f>
        <v>show</v>
      </c>
      <c r="H2172" t="str">
        <f>HYPERLINK("https://github.com/NikitaKozlov/Pury/releases", "show")</f>
        <v>show</v>
      </c>
      <c r="I2172">
        <v>1</v>
      </c>
      <c r="J2172">
        <v>0</v>
      </c>
      <c r="K2172">
        <v>1</v>
      </c>
      <c r="L2172">
        <v>0</v>
      </c>
      <c r="M2172" t="s">
        <v>64</v>
      </c>
    </row>
    <row r="2173" spans="1:13" hidden="1" x14ac:dyDescent="0.15">
      <c r="A2173" t="s">
        <v>6943</v>
      </c>
      <c r="B2173" t="s">
        <v>6944</v>
      </c>
      <c r="D2173" t="s">
        <v>6939</v>
      </c>
      <c r="E2173">
        <v>49</v>
      </c>
      <c r="F2173" t="str">
        <f>HYPERLINK("https://github.com/lipangit/JiaoZiVideoPlayer/issues/462", "show")</f>
        <v>show</v>
      </c>
      <c r="G2173" t="str">
        <f>HYPERLINK("https://github.com/lipangit/JiaoZiVideoPlayer", "show")</f>
        <v>show</v>
      </c>
      <c r="H2173" t="str">
        <f>HYPERLINK("https://github.com/lipangit/JiaoZiVideoPlayer/releases", "show")</f>
        <v>show</v>
      </c>
      <c r="I2173">
        <v>1</v>
      </c>
      <c r="J2173">
        <v>0</v>
      </c>
      <c r="K2173">
        <v>0</v>
      </c>
      <c r="L2173">
        <v>0</v>
      </c>
      <c r="M2173" t="s">
        <v>17</v>
      </c>
    </row>
    <row r="2174" spans="1:13" hidden="1" x14ac:dyDescent="0.15">
      <c r="A2174" t="s">
        <v>6945</v>
      </c>
      <c r="B2174" t="s">
        <v>6946</v>
      </c>
      <c r="C2174" t="s">
        <v>6947</v>
      </c>
      <c r="D2174" t="s">
        <v>6948</v>
      </c>
      <c r="E2174">
        <v>102</v>
      </c>
      <c r="F2174" t="str">
        <f>HYPERLINK("https://github.com/vickychijwani/quill/issues/147", "show")</f>
        <v>show</v>
      </c>
      <c r="G2174" t="str">
        <f>HYPERLINK("https://github.com/vickychijwani/quill", "show")</f>
        <v>show</v>
      </c>
      <c r="H2174" t="str">
        <f>HYPERLINK("https://github.com/vickychijwani/quill/releases", "show")</f>
        <v>show</v>
      </c>
      <c r="I2174">
        <v>1</v>
      </c>
      <c r="J2174">
        <v>0</v>
      </c>
      <c r="K2174">
        <v>0</v>
      </c>
      <c r="L2174">
        <v>0</v>
      </c>
      <c r="M2174" t="s">
        <v>17</v>
      </c>
    </row>
    <row r="2175" spans="1:13" hidden="1" x14ac:dyDescent="0.15">
      <c r="A2175" t="s">
        <v>6949</v>
      </c>
      <c r="B2175" t="s">
        <v>6950</v>
      </c>
      <c r="C2175" t="s">
        <v>6951</v>
      </c>
      <c r="D2175" t="s">
        <v>6948</v>
      </c>
      <c r="E2175">
        <v>58</v>
      </c>
      <c r="F2175" t="str">
        <f>HYPERLINK("https://github.com/pcuco/eSettings/issues/2", "show")</f>
        <v>show</v>
      </c>
      <c r="G2175" t="str">
        <f>HYPERLINK("https://github.com/pcuco/eSettings", "show")</f>
        <v>show</v>
      </c>
      <c r="H2175" t="str">
        <f>HYPERLINK("https://github.com/pcuco/eSettings/releases", "show")</f>
        <v>show</v>
      </c>
      <c r="I2175">
        <v>1</v>
      </c>
      <c r="J2175">
        <v>0</v>
      </c>
      <c r="K2175">
        <v>1</v>
      </c>
      <c r="L2175">
        <v>0</v>
      </c>
      <c r="M2175" t="s">
        <v>64</v>
      </c>
    </row>
    <row r="2176" spans="1:13" hidden="1" x14ac:dyDescent="0.15">
      <c r="A2176" t="s">
        <v>6952</v>
      </c>
      <c r="B2176" t="s">
        <v>6953</v>
      </c>
      <c r="C2176" t="s">
        <v>6954</v>
      </c>
      <c r="D2176" t="s">
        <v>6955</v>
      </c>
      <c r="E2176">
        <v>3</v>
      </c>
      <c r="F2176" t="str">
        <f>HYPERLINK("https://github.com/iamMehedi/Secured-Preference-Store/issues/5", "show")</f>
        <v>show</v>
      </c>
      <c r="G2176" t="str">
        <f>HYPERLINK("https://github.com/iamMehedi/Secured-Preference-Store", "show")</f>
        <v>show</v>
      </c>
      <c r="H2176" t="str">
        <f>HYPERLINK("https://github.com/iamMehedi/Secured-Preference-Store/releases", "show")</f>
        <v>show</v>
      </c>
      <c r="I2176">
        <v>1</v>
      </c>
      <c r="J2176">
        <v>0</v>
      </c>
      <c r="K2176">
        <v>0</v>
      </c>
      <c r="L2176">
        <v>0</v>
      </c>
      <c r="M2176" t="s">
        <v>17</v>
      </c>
    </row>
    <row r="2177" spans="1:13" hidden="1" x14ac:dyDescent="0.15">
      <c r="A2177" t="s">
        <v>6956</v>
      </c>
      <c r="B2177" t="s">
        <v>6957</v>
      </c>
      <c r="C2177" t="s">
        <v>6958</v>
      </c>
      <c r="D2177" t="s">
        <v>6955</v>
      </c>
      <c r="E2177">
        <v>0</v>
      </c>
      <c r="F2177" t="str">
        <f>HYPERLINK("https://github.com/SimoUmbMos/TL_Project/issues/2", "show")</f>
        <v>show</v>
      </c>
      <c r="G2177" t="str">
        <f>HYPERLINK("https://github.com/SimoUmbMos/TL_Project", "show")</f>
        <v>show</v>
      </c>
      <c r="H2177" t="str">
        <f>HYPERLINK("https://github.com/SimoUmbMos/TL_Project/releases", "show")</f>
        <v>show</v>
      </c>
      <c r="I2177">
        <v>1</v>
      </c>
      <c r="J2177">
        <v>0</v>
      </c>
      <c r="K2177">
        <v>0</v>
      </c>
      <c r="L2177">
        <v>0</v>
      </c>
      <c r="M2177" t="s">
        <v>17</v>
      </c>
    </row>
    <row r="2178" spans="1:13" hidden="1" x14ac:dyDescent="0.15">
      <c r="A2178" t="s">
        <v>6959</v>
      </c>
      <c r="B2178" t="s">
        <v>6960</v>
      </c>
      <c r="C2178" t="s">
        <v>6961</v>
      </c>
      <c r="D2178" t="s">
        <v>6955</v>
      </c>
      <c r="E2178">
        <v>61</v>
      </c>
      <c r="F2178" t="str">
        <f>HYPERLINK("https://github.com/kiall/android-tvheadend/issues/84", "show")</f>
        <v>show</v>
      </c>
      <c r="G2178" t="str">
        <f>HYPERLINK("https://github.com/kiall/android-tvheadend", "show")</f>
        <v>show</v>
      </c>
      <c r="H2178" t="str">
        <f>HYPERLINK("https://github.com/kiall/android-tvheadend/releases", "show")</f>
        <v>show</v>
      </c>
      <c r="I2178">
        <v>0</v>
      </c>
      <c r="J2178">
        <v>0</v>
      </c>
      <c r="K2178">
        <v>0</v>
      </c>
      <c r="L2178">
        <v>0</v>
      </c>
      <c r="M2178" t="s">
        <v>43</v>
      </c>
    </row>
    <row r="2179" spans="1:13" hidden="1" x14ac:dyDescent="0.15">
      <c r="A2179" t="s">
        <v>6962</v>
      </c>
      <c r="B2179" t="s">
        <v>6963</v>
      </c>
      <c r="C2179" t="s">
        <v>6964</v>
      </c>
      <c r="D2179" t="s">
        <v>6955</v>
      </c>
      <c r="E2179">
        <v>3</v>
      </c>
      <c r="F2179" t="str">
        <f>HYPERLINK("https://github.com/dividiti/crowdsource-video-experiments-on-android/issues/27", "show")</f>
        <v>show</v>
      </c>
      <c r="G2179" t="str">
        <f>HYPERLINK("https://github.com/dividiti/crowdsource-video-experiments-on-android", "show")</f>
        <v>show</v>
      </c>
      <c r="H2179" t="str">
        <f>HYPERLINK("https://github.com/dividiti/crowdsource-video-experiments-on-android/releases", "show")</f>
        <v>show</v>
      </c>
      <c r="I2179">
        <v>1</v>
      </c>
      <c r="J2179">
        <v>0</v>
      </c>
      <c r="K2179">
        <v>0</v>
      </c>
      <c r="L2179">
        <v>0</v>
      </c>
      <c r="M2179" t="s">
        <v>17</v>
      </c>
    </row>
    <row r="2180" spans="1:13" hidden="1" x14ac:dyDescent="0.15">
      <c r="A2180" t="s">
        <v>6965</v>
      </c>
      <c r="B2180" t="s">
        <v>6966</v>
      </c>
      <c r="C2180" t="s">
        <v>6967</v>
      </c>
      <c r="D2180" t="s">
        <v>6968</v>
      </c>
      <c r="E2180">
        <v>1</v>
      </c>
      <c r="F2180" t="str">
        <f>HYPERLINK("https://github.com/Diolor/Swipecards/issues/165", "show")</f>
        <v>show</v>
      </c>
      <c r="G2180" t="str">
        <f>HYPERLINK("https://github.com/Diolor/Swipecards", "show")</f>
        <v>show</v>
      </c>
      <c r="H2180" t="str">
        <f>HYPERLINK("https://github.com/Diolor/Swipecards/releases", "show")</f>
        <v>show</v>
      </c>
      <c r="I2180">
        <v>1</v>
      </c>
      <c r="J2180">
        <v>0</v>
      </c>
      <c r="K2180">
        <v>0</v>
      </c>
      <c r="L2180">
        <v>0</v>
      </c>
      <c r="M2180" t="s">
        <v>17</v>
      </c>
    </row>
    <row r="2181" spans="1:13" hidden="1" x14ac:dyDescent="0.15">
      <c r="A2181" t="s">
        <v>6969</v>
      </c>
      <c r="B2181" t="s">
        <v>6970</v>
      </c>
      <c r="C2181" t="s">
        <v>6971</v>
      </c>
      <c r="D2181" t="s">
        <v>6968</v>
      </c>
      <c r="E2181">
        <v>3</v>
      </c>
      <c r="F2181" t="str">
        <f>HYPERLINK("https://github.com/infinum/MjolnirRecyclerView/issues/16", "show")</f>
        <v>show</v>
      </c>
      <c r="G2181" t="str">
        <f>HYPERLINK("https://github.com/infinum/MjolnirRecyclerView", "show")</f>
        <v>show</v>
      </c>
      <c r="H2181" t="str">
        <f>HYPERLINK("https://github.com/infinum/MjolnirRecyclerView/releases", "show")</f>
        <v>show</v>
      </c>
      <c r="I2181">
        <v>1</v>
      </c>
      <c r="J2181">
        <v>0</v>
      </c>
      <c r="K2181">
        <v>1</v>
      </c>
      <c r="L2181">
        <v>0</v>
      </c>
      <c r="M2181" t="s">
        <v>64</v>
      </c>
    </row>
    <row r="2182" spans="1:13" hidden="1" x14ac:dyDescent="0.15">
      <c r="A2182" t="s">
        <v>6972</v>
      </c>
      <c r="B2182" t="s">
        <v>6973</v>
      </c>
      <c r="C2182" t="s">
        <v>6974</v>
      </c>
      <c r="D2182" t="s">
        <v>6975</v>
      </c>
      <c r="E2182">
        <v>29</v>
      </c>
      <c r="F2182" t="str">
        <f>HYPERLINK("https://github.com/Diolor/Swipecards/issues/166", "show")</f>
        <v>show</v>
      </c>
      <c r="G2182" t="str">
        <f>HYPERLINK("https://github.com/Diolor/Swipecards", "show")</f>
        <v>show</v>
      </c>
      <c r="H2182" t="str">
        <f>HYPERLINK("https://github.com/Diolor/Swipecards/releases", "show")</f>
        <v>show</v>
      </c>
      <c r="I2182">
        <v>0</v>
      </c>
      <c r="J2182">
        <v>0</v>
      </c>
      <c r="K2182">
        <v>0</v>
      </c>
      <c r="L2182">
        <v>0</v>
      </c>
      <c r="M2182" t="s">
        <v>43</v>
      </c>
    </row>
    <row r="2183" spans="1:13" hidden="1" x14ac:dyDescent="0.15">
      <c r="A2183" t="s">
        <v>6976</v>
      </c>
      <c r="B2183" t="s">
        <v>6977</v>
      </c>
      <c r="C2183" t="s">
        <v>6978</v>
      </c>
      <c r="D2183" t="s">
        <v>6979</v>
      </c>
      <c r="E2183">
        <v>4</v>
      </c>
      <c r="F2183" t="str">
        <f>HYPERLINK("https://github.com/nextcloud/android/issues/372", "show")</f>
        <v>show</v>
      </c>
      <c r="G2183" t="str">
        <f>HYPERLINK("https://github.com/nextcloud/android", "show")</f>
        <v>show</v>
      </c>
      <c r="H2183" t="str">
        <f>HYPERLINK("https://github.com/nextcloud/android/releases", "show")</f>
        <v>show</v>
      </c>
      <c r="I2183">
        <v>1</v>
      </c>
      <c r="J2183">
        <v>0</v>
      </c>
      <c r="K2183">
        <v>0</v>
      </c>
      <c r="L2183">
        <v>0</v>
      </c>
      <c r="M2183" t="s">
        <v>17</v>
      </c>
    </row>
    <row r="2184" spans="1:13" x14ac:dyDescent="0.15">
      <c r="A2184" t="s">
        <v>6980</v>
      </c>
      <c r="B2184" t="s">
        <v>6981</v>
      </c>
      <c r="C2184" t="s">
        <v>6982</v>
      </c>
      <c r="D2184" t="s">
        <v>6983</v>
      </c>
      <c r="E2184">
        <v>8</v>
      </c>
      <c r="F2184" t="str">
        <f>HYPERLINK("https://github.com/openid/AppAuth-Android/issues/124", "show")</f>
        <v>show</v>
      </c>
      <c r="G2184" t="str">
        <f>HYPERLINK("https://github.com/openid/AppAuth-Android", "show")</f>
        <v>show</v>
      </c>
      <c r="H2184" t="str">
        <f>HYPERLINK("https://github.com/openid/AppAuth-Android/releases", "show")</f>
        <v>show</v>
      </c>
      <c r="I2184">
        <v>0</v>
      </c>
      <c r="J2184">
        <v>1</v>
      </c>
      <c r="K2184">
        <v>0</v>
      </c>
      <c r="L2184">
        <v>0</v>
      </c>
      <c r="M2184" t="s">
        <v>139</v>
      </c>
    </row>
    <row r="2185" spans="1:13" hidden="1" x14ac:dyDescent="0.15">
      <c r="A2185" t="s">
        <v>6984</v>
      </c>
      <c r="B2185" t="s">
        <v>6985</v>
      </c>
      <c r="C2185" t="s">
        <v>6986</v>
      </c>
      <c r="D2185" t="s">
        <v>6987</v>
      </c>
      <c r="E2185">
        <v>1</v>
      </c>
      <c r="F2185" t="str">
        <f>HYPERLINK("https://github.com/requery/requery/issues/329", "show")</f>
        <v>show</v>
      </c>
      <c r="G2185" t="str">
        <f>HYPERLINK("https://github.com/requery/requery", "show")</f>
        <v>show</v>
      </c>
      <c r="H2185" t="str">
        <f>HYPERLINK("https://github.com/requery/requery/releases", "show")</f>
        <v>show</v>
      </c>
      <c r="I2185">
        <v>1</v>
      </c>
      <c r="J2185">
        <v>0</v>
      </c>
      <c r="K2185">
        <v>1</v>
      </c>
      <c r="L2185">
        <v>0</v>
      </c>
      <c r="M2185" t="s">
        <v>64</v>
      </c>
    </row>
    <row r="2186" spans="1:13" hidden="1" x14ac:dyDescent="0.15">
      <c r="A2186" t="s">
        <v>6988</v>
      </c>
      <c r="B2186" t="s">
        <v>6989</v>
      </c>
      <c r="C2186" t="s">
        <v>6990</v>
      </c>
      <c r="D2186" t="s">
        <v>6991</v>
      </c>
      <c r="E2186">
        <v>0</v>
      </c>
      <c r="F2186" t="str">
        <f>HYPERLINK("https://github.com/hossain-khan/android-daily-headlines/issues/124", "show")</f>
        <v>show</v>
      </c>
      <c r="G2186" t="str">
        <f>HYPERLINK("https://github.com/hossain-khan/android-daily-headlines", "show")</f>
        <v>show</v>
      </c>
      <c r="H2186" t="str">
        <f>HYPERLINK("https://github.com/hossain-khan/android-daily-headlines/releases", "show")</f>
        <v>show</v>
      </c>
      <c r="I2186">
        <v>0</v>
      </c>
      <c r="J2186">
        <v>0</v>
      </c>
      <c r="K2186">
        <v>1</v>
      </c>
      <c r="L2186">
        <v>0</v>
      </c>
      <c r="M2186" t="s">
        <v>122</v>
      </c>
    </row>
    <row r="2187" spans="1:13" hidden="1" x14ac:dyDescent="0.15">
      <c r="A2187" t="s">
        <v>6992</v>
      </c>
      <c r="B2187" t="s">
        <v>6993</v>
      </c>
      <c r="C2187" t="s">
        <v>6994</v>
      </c>
      <c r="D2187" t="s">
        <v>6991</v>
      </c>
      <c r="E2187">
        <v>6</v>
      </c>
      <c r="F2187" t="str">
        <f>HYPERLINK("https://github.com/requery/requery/issues/332", "show")</f>
        <v>show</v>
      </c>
      <c r="G2187" t="str">
        <f>HYPERLINK("https://github.com/requery/requery", "show")</f>
        <v>show</v>
      </c>
      <c r="H2187" t="str">
        <f>HYPERLINK("https://github.com/requery/requery/releases", "show")</f>
        <v>show</v>
      </c>
      <c r="I2187">
        <v>0</v>
      </c>
      <c r="J2187">
        <v>0</v>
      </c>
      <c r="K2187">
        <v>1</v>
      </c>
      <c r="L2187">
        <v>0</v>
      </c>
      <c r="M2187" t="s">
        <v>122</v>
      </c>
    </row>
    <row r="2188" spans="1:13" hidden="1" x14ac:dyDescent="0.15">
      <c r="A2188" t="s">
        <v>6995</v>
      </c>
      <c r="B2188" t="s">
        <v>6996</v>
      </c>
      <c r="C2188" t="s">
        <v>6997</v>
      </c>
      <c r="D2188" t="s">
        <v>6991</v>
      </c>
      <c r="E2188">
        <v>20</v>
      </c>
      <c r="F2188" t="str">
        <f>HYPERLINK("https://github.com/WishCanTaiwan/VocabuLazy-Android/issues/85", "show")</f>
        <v>show</v>
      </c>
      <c r="G2188" t="str">
        <f>HYPERLINK("https://github.com/WishCanTaiwan/VocabuLazy-Android", "show")</f>
        <v>show</v>
      </c>
      <c r="H2188" t="str">
        <f>HYPERLINK("https://github.com/WishCanTaiwan/VocabuLazy-Android/releases", "show")</f>
        <v>show</v>
      </c>
      <c r="I2188">
        <v>0</v>
      </c>
      <c r="J2188">
        <v>0</v>
      </c>
      <c r="K2188">
        <v>0</v>
      </c>
      <c r="L2188">
        <v>0</v>
      </c>
      <c r="M2188" t="s">
        <v>43</v>
      </c>
    </row>
    <row r="2189" spans="1:13" hidden="1" x14ac:dyDescent="0.15">
      <c r="A2189" t="s">
        <v>6998</v>
      </c>
      <c r="B2189" t="s">
        <v>6999</v>
      </c>
      <c r="C2189" t="s">
        <v>7000</v>
      </c>
      <c r="D2189" t="s">
        <v>6991</v>
      </c>
      <c r="E2189">
        <v>43</v>
      </c>
      <c r="F2189" t="str">
        <f>HYPERLINK("https://github.com/gateship-one/odyssey/issues/29", "show")</f>
        <v>show</v>
      </c>
      <c r="G2189" t="str">
        <f>HYPERLINK("https://github.com/gateship-one/odyssey", "show")</f>
        <v>show</v>
      </c>
      <c r="H2189" t="str">
        <f>HYPERLINK("https://github.com/gateship-one/odyssey/releases", "show")</f>
        <v>show</v>
      </c>
      <c r="I2189">
        <v>1</v>
      </c>
      <c r="J2189">
        <v>0</v>
      </c>
      <c r="K2189">
        <v>0</v>
      </c>
      <c r="L2189">
        <v>0</v>
      </c>
      <c r="M2189" t="s">
        <v>17</v>
      </c>
    </row>
    <row r="2190" spans="1:13" hidden="1" x14ac:dyDescent="0.15">
      <c r="A2190" t="s">
        <v>7001</v>
      </c>
      <c r="B2190" t="s">
        <v>7002</v>
      </c>
      <c r="C2190" t="s">
        <v>7003</v>
      </c>
      <c r="D2190" t="s">
        <v>7004</v>
      </c>
      <c r="E2190">
        <v>4</v>
      </c>
      <c r="F2190" t="str">
        <f>HYPERLINK("https://github.com/smartdevicelink/sdl_java_suite/issues/364", "show")</f>
        <v>show</v>
      </c>
      <c r="G2190" t="str">
        <f>HYPERLINK("https://github.com/smartdevicelink/sdl_java_suite", "show")</f>
        <v>show</v>
      </c>
      <c r="H2190" t="str">
        <f>HYPERLINK("https://github.com/smartdevicelink/sdl_java_suite/releases", "show")</f>
        <v>show</v>
      </c>
      <c r="I2190">
        <v>0</v>
      </c>
      <c r="J2190">
        <v>0</v>
      </c>
      <c r="K2190">
        <v>0</v>
      </c>
      <c r="L2190">
        <v>0</v>
      </c>
      <c r="M2190" t="s">
        <v>43</v>
      </c>
    </row>
    <row r="2191" spans="1:13" hidden="1" x14ac:dyDescent="0.15">
      <c r="A2191" t="s">
        <v>7005</v>
      </c>
      <c r="B2191" t="s">
        <v>7006</v>
      </c>
      <c r="C2191" t="s">
        <v>7007</v>
      </c>
      <c r="D2191" t="s">
        <v>7004</v>
      </c>
      <c r="E2191">
        <v>4</v>
      </c>
      <c r="F2191" t="str">
        <f>HYPERLINK("https://github.com/smartdevicelink/sdl_java_suite/issues/363", "show")</f>
        <v>show</v>
      </c>
      <c r="G2191" t="str">
        <f>HYPERLINK("https://github.com/smartdevicelink/sdl_java_suite", "show")</f>
        <v>show</v>
      </c>
      <c r="H2191" t="str">
        <f>HYPERLINK("https://github.com/smartdevicelink/sdl_java_suite/releases", "show")</f>
        <v>show</v>
      </c>
      <c r="I2191">
        <v>1</v>
      </c>
      <c r="J2191">
        <v>0</v>
      </c>
      <c r="K2191">
        <v>0</v>
      </c>
      <c r="L2191">
        <v>0</v>
      </c>
      <c r="M2191" t="s">
        <v>17</v>
      </c>
    </row>
    <row r="2192" spans="1:13" hidden="1" x14ac:dyDescent="0.15">
      <c r="A2192" t="s">
        <v>7008</v>
      </c>
      <c r="B2192" t="s">
        <v>7009</v>
      </c>
      <c r="C2192" t="s">
        <v>7010</v>
      </c>
      <c r="D2192" t="s">
        <v>7004</v>
      </c>
      <c r="E2192">
        <v>11</v>
      </c>
      <c r="F2192" t="str">
        <f>HYPERLINK("https://github.com/kennanmell/Handoff/issues/4", "show")</f>
        <v>show</v>
      </c>
      <c r="G2192" t="str">
        <f>HYPERLINK("https://github.com/kennanmell/Handoff", "show")</f>
        <v>show</v>
      </c>
      <c r="H2192" t="str">
        <f>HYPERLINK("https://github.com/kennanmell/Handoff/releases", "show")</f>
        <v>show</v>
      </c>
      <c r="I2192">
        <v>1</v>
      </c>
      <c r="J2192">
        <v>0</v>
      </c>
      <c r="K2192">
        <v>0</v>
      </c>
      <c r="L2192">
        <v>0</v>
      </c>
      <c r="M2192" t="s">
        <v>17</v>
      </c>
    </row>
    <row r="2193" spans="1:13" hidden="1" x14ac:dyDescent="0.15">
      <c r="A2193" t="s">
        <v>7011</v>
      </c>
      <c r="B2193" t="s">
        <v>7012</v>
      </c>
      <c r="C2193" t="s">
        <v>7013</v>
      </c>
      <c r="D2193" t="s">
        <v>7014</v>
      </c>
      <c r="E2193">
        <v>0</v>
      </c>
      <c r="F2193" t="str">
        <f>HYPERLINK("https://github.com/CSE403FindersKeepers/finders-keepers/issues/14", "show")</f>
        <v>show</v>
      </c>
      <c r="G2193" t="str">
        <f>HYPERLINK("https://github.com/CSE403FindersKeepers/finders-keepers", "show")</f>
        <v>show</v>
      </c>
      <c r="H2193" t="str">
        <f>HYPERLINK("https://github.com/CSE403FindersKeepers/finders-keepers/releases", "show")</f>
        <v>show</v>
      </c>
      <c r="I2193">
        <v>1</v>
      </c>
      <c r="J2193">
        <v>0</v>
      </c>
      <c r="K2193">
        <v>0</v>
      </c>
      <c r="L2193">
        <v>0</v>
      </c>
      <c r="M2193" t="s">
        <v>17</v>
      </c>
    </row>
    <row r="2194" spans="1:13" hidden="1" x14ac:dyDescent="0.15">
      <c r="A2194" t="s">
        <v>7015</v>
      </c>
      <c r="B2194" t="s">
        <v>7016</v>
      </c>
      <c r="C2194" t="s">
        <v>7017</v>
      </c>
      <c r="D2194" t="s">
        <v>7014</v>
      </c>
      <c r="E2194">
        <v>3</v>
      </c>
      <c r="F2194" t="str">
        <f>HYPERLINK("https://github.com/flowupio/FlowUpAndroidSDK/issues/124", "show")</f>
        <v>show</v>
      </c>
      <c r="G2194" t="str">
        <f>HYPERLINK("https://github.com/flowupio/FlowUpAndroidSDK", "show")</f>
        <v>show</v>
      </c>
      <c r="H2194" t="str">
        <f>HYPERLINK("https://github.com/flowupio/FlowUpAndroidSDK/releases", "show")</f>
        <v>show</v>
      </c>
      <c r="I2194">
        <v>0</v>
      </c>
      <c r="J2194">
        <v>0</v>
      </c>
      <c r="K2194">
        <v>0</v>
      </c>
      <c r="L2194">
        <v>0</v>
      </c>
      <c r="M2194" t="s">
        <v>43</v>
      </c>
    </row>
    <row r="2195" spans="1:13" hidden="1" x14ac:dyDescent="0.15">
      <c r="A2195" t="s">
        <v>7018</v>
      </c>
      <c r="B2195" t="s">
        <v>7019</v>
      </c>
      <c r="C2195" t="s">
        <v>7020</v>
      </c>
      <c r="D2195" t="s">
        <v>7014</v>
      </c>
      <c r="E2195">
        <v>673</v>
      </c>
      <c r="F2195" t="str">
        <f>HYPERLINK("https://github.com/avluis/Hentoid/issues/131", "show")</f>
        <v>show</v>
      </c>
      <c r="G2195" t="str">
        <f>HYPERLINK("https://github.com/avluis/Hentoid", "show")</f>
        <v>show</v>
      </c>
      <c r="H2195" t="str">
        <f>HYPERLINK("https://github.com/avluis/Hentoid/releases", "show")</f>
        <v>show</v>
      </c>
      <c r="I2195">
        <v>1</v>
      </c>
      <c r="J2195">
        <v>0</v>
      </c>
      <c r="K2195">
        <v>0</v>
      </c>
      <c r="L2195">
        <v>0</v>
      </c>
      <c r="M2195" t="s">
        <v>17</v>
      </c>
    </row>
    <row r="2196" spans="1:13" hidden="1" x14ac:dyDescent="0.15">
      <c r="A2196" t="s">
        <v>7021</v>
      </c>
      <c r="B2196" t="s">
        <v>7022</v>
      </c>
      <c r="C2196" t="s">
        <v>7023</v>
      </c>
      <c r="D2196" t="s">
        <v>7014</v>
      </c>
      <c r="E2196">
        <v>3</v>
      </c>
      <c r="F2196" t="str">
        <f>HYPERLINK("https://github.com/funplus-sdk/android-sdk-core/issues/1", "show")</f>
        <v>show</v>
      </c>
      <c r="G2196" t="str">
        <f>HYPERLINK("https://github.com/funplus-sdk/android-sdk-core", "show")</f>
        <v>show</v>
      </c>
      <c r="H2196" t="str">
        <f>HYPERLINK("https://github.com/funplus-sdk/android-sdk-core/releases", "show")</f>
        <v>show</v>
      </c>
      <c r="I2196">
        <v>1</v>
      </c>
      <c r="J2196">
        <v>0</v>
      </c>
      <c r="K2196">
        <v>1</v>
      </c>
      <c r="L2196">
        <v>0</v>
      </c>
      <c r="M2196" t="s">
        <v>64</v>
      </c>
    </row>
    <row r="2197" spans="1:13" hidden="1" x14ac:dyDescent="0.15">
      <c r="A2197" t="s">
        <v>7024</v>
      </c>
      <c r="B2197" t="s">
        <v>7025</v>
      </c>
      <c r="C2197" t="s">
        <v>7026</v>
      </c>
      <c r="D2197" t="s">
        <v>7014</v>
      </c>
      <c r="E2197">
        <v>7</v>
      </c>
      <c r="F2197" t="str">
        <f>HYPERLINK("https://github.com/google/ExoPlayer/issues/2059", "show")</f>
        <v>show</v>
      </c>
      <c r="G2197" t="str">
        <f>HYPERLINK("https://github.com/google/ExoPlayer", "show")</f>
        <v>show</v>
      </c>
      <c r="H2197" t="str">
        <f>HYPERLINK("https://github.com/google/ExoPlayer/releases", "show")</f>
        <v>show</v>
      </c>
      <c r="I2197">
        <v>0</v>
      </c>
      <c r="J2197">
        <v>0</v>
      </c>
      <c r="K2197">
        <v>1</v>
      </c>
      <c r="L2197">
        <v>0</v>
      </c>
      <c r="M2197" t="s">
        <v>122</v>
      </c>
    </row>
    <row r="2198" spans="1:13" hidden="1" x14ac:dyDescent="0.15">
      <c r="A2198" t="s">
        <v>7027</v>
      </c>
      <c r="B2198" t="s">
        <v>7028</v>
      </c>
      <c r="C2198" t="s">
        <v>7029</v>
      </c>
      <c r="D2198" t="s">
        <v>7030</v>
      </c>
      <c r="E2198">
        <v>99</v>
      </c>
      <c r="F2198" t="str">
        <f>HYPERLINK("https://github.com/nextcloud/android/issues/380", "show")</f>
        <v>show</v>
      </c>
      <c r="G2198" t="str">
        <f>HYPERLINK("https://github.com/nextcloud/android", "show")</f>
        <v>show</v>
      </c>
      <c r="H2198" t="str">
        <f>HYPERLINK("https://github.com/nextcloud/android/releases", "show")</f>
        <v>show</v>
      </c>
      <c r="I2198">
        <v>1</v>
      </c>
      <c r="J2198">
        <v>1</v>
      </c>
      <c r="K2198">
        <v>1</v>
      </c>
      <c r="L2198">
        <v>0</v>
      </c>
      <c r="M2198" t="s">
        <v>59</v>
      </c>
    </row>
    <row r="2199" spans="1:13" x14ac:dyDescent="0.15">
      <c r="A2199" t="s">
        <v>7031</v>
      </c>
      <c r="B2199" t="s">
        <v>7032</v>
      </c>
      <c r="C2199" t="s">
        <v>7033</v>
      </c>
      <c r="D2199" t="s">
        <v>7030</v>
      </c>
      <c r="E2199">
        <v>6</v>
      </c>
      <c r="F2199" t="str">
        <f>HYPERLINK("https://github.com/cgeo/cgeo/issues/6114", "show")</f>
        <v>show</v>
      </c>
      <c r="G2199" t="str">
        <f>HYPERLINK("https://github.com/cgeo/cgeo", "show")</f>
        <v>show</v>
      </c>
      <c r="H2199" t="str">
        <f>HYPERLINK("https://github.com/cgeo/cgeo/releases", "show")</f>
        <v>show</v>
      </c>
      <c r="I2199">
        <v>0</v>
      </c>
      <c r="J2199">
        <v>1</v>
      </c>
      <c r="K2199">
        <v>0</v>
      </c>
      <c r="L2199">
        <v>0</v>
      </c>
      <c r="M2199" t="s">
        <v>139</v>
      </c>
    </row>
    <row r="2200" spans="1:13" hidden="1" x14ac:dyDescent="0.15">
      <c r="A2200" t="s">
        <v>7034</v>
      </c>
      <c r="B2200" t="s">
        <v>7035</v>
      </c>
      <c r="C2200" t="s">
        <v>7036</v>
      </c>
      <c r="D2200" t="s">
        <v>7030</v>
      </c>
      <c r="E2200">
        <v>6</v>
      </c>
      <c r="F2200" t="str">
        <f>HYPERLINK("https://github.com/CSE403FindersKeepers/finders-keepers/issues/23", "show")</f>
        <v>show</v>
      </c>
      <c r="G2200" t="str">
        <f>HYPERLINK("https://github.com/CSE403FindersKeepers/finders-keepers", "show")</f>
        <v>show</v>
      </c>
      <c r="H2200" t="str">
        <f>HYPERLINK("https://github.com/CSE403FindersKeepers/finders-keepers/releases", "show")</f>
        <v>show</v>
      </c>
      <c r="I2200">
        <v>1</v>
      </c>
      <c r="J2200">
        <v>0</v>
      </c>
      <c r="K2200">
        <v>0</v>
      </c>
      <c r="L2200">
        <v>0</v>
      </c>
      <c r="M2200" t="s">
        <v>17</v>
      </c>
    </row>
    <row r="2201" spans="1:13" hidden="1" x14ac:dyDescent="0.15">
      <c r="A2201" t="s">
        <v>7037</v>
      </c>
      <c r="B2201" t="s">
        <v>7038</v>
      </c>
      <c r="C2201" t="s">
        <v>7039</v>
      </c>
      <c r="D2201" t="s">
        <v>7030</v>
      </c>
      <c r="E2201">
        <v>19</v>
      </c>
      <c r="F2201" t="str">
        <f>HYPERLINK("https://github.com/kennanmell/Handoff/issues/8", "show")</f>
        <v>show</v>
      </c>
      <c r="G2201" t="str">
        <f>HYPERLINK("https://github.com/kennanmell/Handoff", "show")</f>
        <v>show</v>
      </c>
      <c r="H2201" t="str">
        <f>HYPERLINK("https://github.com/kennanmell/Handoff/releases", "show")</f>
        <v>show</v>
      </c>
      <c r="I2201">
        <v>1</v>
      </c>
      <c r="J2201">
        <v>0</v>
      </c>
      <c r="K2201">
        <v>0</v>
      </c>
      <c r="L2201">
        <v>0</v>
      </c>
      <c r="M2201" t="s">
        <v>17</v>
      </c>
    </row>
    <row r="2202" spans="1:13" hidden="1" x14ac:dyDescent="0.15">
      <c r="A2202" t="s">
        <v>7040</v>
      </c>
      <c r="B2202" t="s">
        <v>7041</v>
      </c>
      <c r="C2202" t="s">
        <v>7042</v>
      </c>
      <c r="D2202" t="s">
        <v>7043</v>
      </c>
      <c r="E2202">
        <v>5</v>
      </c>
      <c r="F2202" t="str">
        <f>HYPERLINK("https://github.com/dxl360/Student_Portal/issues/6", "show")</f>
        <v>show</v>
      </c>
      <c r="G2202" t="str">
        <f>HYPERLINK("https://github.com/dxl360/Student_Portal", "show")</f>
        <v>show</v>
      </c>
      <c r="H2202" t="str">
        <f>HYPERLINK("https://github.com/dxl360/Student_Portal/releases", "show")</f>
        <v>show</v>
      </c>
      <c r="I2202">
        <v>1</v>
      </c>
      <c r="J2202">
        <v>0</v>
      </c>
      <c r="K2202">
        <v>0</v>
      </c>
      <c r="L2202">
        <v>0</v>
      </c>
      <c r="M2202" t="s">
        <v>17</v>
      </c>
    </row>
    <row r="2203" spans="1:13" hidden="1" x14ac:dyDescent="0.15">
      <c r="A2203" t="s">
        <v>7044</v>
      </c>
      <c r="B2203" t="s">
        <v>7045</v>
      </c>
      <c r="C2203" t="s">
        <v>7046</v>
      </c>
      <c r="D2203" t="s">
        <v>7047</v>
      </c>
      <c r="E2203">
        <v>0</v>
      </c>
      <c r="F2203" t="str">
        <f>HYPERLINK("https://github.com/dimamo5/movimento1euro-android/issues/22", "show")</f>
        <v>show</v>
      </c>
      <c r="G2203" t="str">
        <f>HYPERLINK("https://github.com/dimamo5/movimento1euro-android", "show")</f>
        <v>show</v>
      </c>
      <c r="H2203" t="str">
        <f>HYPERLINK("https://github.com/dimamo5/movimento1euro-android/releases", "show")</f>
        <v>show</v>
      </c>
      <c r="I2203">
        <v>1</v>
      </c>
      <c r="J2203">
        <v>0</v>
      </c>
      <c r="K2203">
        <v>0</v>
      </c>
      <c r="L2203">
        <v>0</v>
      </c>
      <c r="M2203" t="s">
        <v>17</v>
      </c>
    </row>
    <row r="2204" spans="1:13" hidden="1" x14ac:dyDescent="0.15">
      <c r="A2204" t="s">
        <v>7048</v>
      </c>
      <c r="B2204" t="s">
        <v>7049</v>
      </c>
      <c r="C2204" t="s">
        <v>7050</v>
      </c>
      <c r="D2204" t="s">
        <v>7047</v>
      </c>
      <c r="E2204">
        <v>0</v>
      </c>
      <c r="F2204" t="str">
        <f>HYPERLINK("https://github.com/flowupio/FlowUpAndroidSDK/issues/127", "show")</f>
        <v>show</v>
      </c>
      <c r="G2204" t="str">
        <f>HYPERLINK("https://github.com/flowupio/FlowUpAndroidSDK", "show")</f>
        <v>show</v>
      </c>
      <c r="H2204" t="str">
        <f>HYPERLINK("https://github.com/flowupio/FlowUpAndroidSDK/releases", "show")</f>
        <v>show</v>
      </c>
      <c r="I2204">
        <v>0</v>
      </c>
      <c r="J2204">
        <v>0</v>
      </c>
      <c r="K2204">
        <v>0</v>
      </c>
      <c r="L2204">
        <v>1</v>
      </c>
      <c r="M2204" t="s">
        <v>581</v>
      </c>
    </row>
    <row r="2205" spans="1:13" hidden="1" x14ac:dyDescent="0.15">
      <c r="A2205" t="s">
        <v>7051</v>
      </c>
      <c r="B2205" t="s">
        <v>7052</v>
      </c>
      <c r="C2205" t="s">
        <v>7053</v>
      </c>
      <c r="D2205" t="s">
        <v>7054</v>
      </c>
      <c r="E2205">
        <v>16</v>
      </c>
      <c r="F2205" t="str">
        <f>HYPERLINK("https://github.com/testica/text-scanner/issues/1", "show")</f>
        <v>show</v>
      </c>
      <c r="G2205" t="str">
        <f>HYPERLINK("https://github.com/testica/text-scanner", "show")</f>
        <v>show</v>
      </c>
      <c r="H2205" t="str">
        <f>HYPERLINK("https://github.com/testica/text-scanner/releases", "show")</f>
        <v>show</v>
      </c>
      <c r="I2205">
        <v>1</v>
      </c>
      <c r="J2205">
        <v>0</v>
      </c>
      <c r="K2205">
        <v>0</v>
      </c>
      <c r="L2205">
        <v>0</v>
      </c>
      <c r="M2205" t="s">
        <v>17</v>
      </c>
    </row>
    <row r="2206" spans="1:13" hidden="1" x14ac:dyDescent="0.15">
      <c r="A2206" t="s">
        <v>7055</v>
      </c>
      <c r="B2206" t="s">
        <v>7056</v>
      </c>
      <c r="C2206" t="s">
        <v>7057</v>
      </c>
      <c r="D2206" t="s">
        <v>7058</v>
      </c>
      <c r="E2206">
        <v>1</v>
      </c>
      <c r="F2206" t="str">
        <f>HYPERLINK("https://github.com/rodrif/RecorridasZOTP/issues/87", "show")</f>
        <v>show</v>
      </c>
      <c r="G2206" t="str">
        <f>HYPERLINK("https://github.com/rodrif/RecorridasZOTP", "show")</f>
        <v>show</v>
      </c>
      <c r="H2206" t="str">
        <f>HYPERLINK("https://github.com/rodrif/RecorridasZOTP/releases", "show")</f>
        <v>show</v>
      </c>
      <c r="I2206">
        <v>0</v>
      </c>
      <c r="J2206">
        <v>0</v>
      </c>
      <c r="K2206">
        <v>0</v>
      </c>
      <c r="L2206">
        <v>0</v>
      </c>
      <c r="M2206" t="s">
        <v>43</v>
      </c>
    </row>
    <row r="2207" spans="1:13" hidden="1" x14ac:dyDescent="0.15">
      <c r="A2207" t="s">
        <v>7059</v>
      </c>
      <c r="B2207" t="s">
        <v>7060</v>
      </c>
      <c r="C2207" t="s">
        <v>7061</v>
      </c>
      <c r="D2207" t="s">
        <v>7058</v>
      </c>
      <c r="E2207">
        <v>11</v>
      </c>
      <c r="F2207" t="str">
        <f>HYPERLINK("https://github.com/ParanoidAndroid3/Journey/issues/7", "show")</f>
        <v>show</v>
      </c>
      <c r="G2207" t="str">
        <f>HYPERLINK("https://github.com/ParanoidAndroid3/Journey", "show")</f>
        <v>show</v>
      </c>
      <c r="H2207" t="str">
        <f>HYPERLINK("https://github.com/ParanoidAndroid3/Journey/releases", "show")</f>
        <v>show</v>
      </c>
      <c r="I2207">
        <v>0</v>
      </c>
      <c r="J2207">
        <v>0</v>
      </c>
      <c r="K2207">
        <v>0</v>
      </c>
      <c r="L2207">
        <v>0</v>
      </c>
      <c r="M2207" t="s">
        <v>43</v>
      </c>
    </row>
    <row r="2208" spans="1:13" hidden="1" x14ac:dyDescent="0.15">
      <c r="A2208" t="s">
        <v>7062</v>
      </c>
      <c r="B2208" t="s">
        <v>7063</v>
      </c>
      <c r="C2208" t="s">
        <v>7064</v>
      </c>
      <c r="D2208" t="s">
        <v>7058</v>
      </c>
      <c r="E2208">
        <v>0</v>
      </c>
      <c r="F2208" t="str">
        <f>HYPERLINK("https://github.com/flowupio/FlowUpAndroidSDK/issues/135", "show")</f>
        <v>show</v>
      </c>
      <c r="G2208" t="str">
        <f>HYPERLINK("https://github.com/flowupio/FlowUpAndroidSDK", "show")</f>
        <v>show</v>
      </c>
      <c r="H2208" t="str">
        <f>HYPERLINK("https://github.com/flowupio/FlowUpAndroidSDK/releases", "show")</f>
        <v>show</v>
      </c>
      <c r="I2208">
        <v>0</v>
      </c>
      <c r="J2208">
        <v>0</v>
      </c>
      <c r="K2208">
        <v>0</v>
      </c>
      <c r="L2208">
        <v>0</v>
      </c>
      <c r="M2208" t="s">
        <v>43</v>
      </c>
    </row>
    <row r="2209" spans="1:13" hidden="1" x14ac:dyDescent="0.15">
      <c r="A2209" t="s">
        <v>7065</v>
      </c>
      <c r="B2209" t="s">
        <v>7066</v>
      </c>
      <c r="C2209" t="s">
        <v>7067</v>
      </c>
      <c r="D2209" t="s">
        <v>7068</v>
      </c>
      <c r="E2209">
        <v>164</v>
      </c>
      <c r="F2209" t="str">
        <f>HYPERLINK("https://github.com/azb/SE195A_SeniorProject/issues/16", "show")</f>
        <v>show</v>
      </c>
      <c r="G2209" t="str">
        <f>HYPERLINK("https://github.com/azb/SE195A_SeniorProject", "show")</f>
        <v>show</v>
      </c>
      <c r="H2209" t="str">
        <f>HYPERLINK("https://github.com/azb/SE195A_SeniorProject/releases", "show")</f>
        <v>show</v>
      </c>
      <c r="I2209">
        <v>1</v>
      </c>
      <c r="J2209">
        <v>0</v>
      </c>
      <c r="K2209">
        <v>0</v>
      </c>
      <c r="L2209">
        <v>0</v>
      </c>
      <c r="M2209" t="s">
        <v>17</v>
      </c>
    </row>
    <row r="2210" spans="1:13" hidden="1" x14ac:dyDescent="0.15">
      <c r="A2210" t="s">
        <v>7069</v>
      </c>
      <c r="B2210" t="s">
        <v>7070</v>
      </c>
      <c r="C2210" t="s">
        <v>7071</v>
      </c>
      <c r="D2210" t="s">
        <v>7068</v>
      </c>
      <c r="E2210">
        <v>1</v>
      </c>
      <c r="F2210" t="str">
        <f>HYPERLINK("https://github.com/commons-app/apps-android-commons/issues/326", "show")</f>
        <v>show</v>
      </c>
      <c r="G2210" t="str">
        <f>HYPERLINK("https://github.com/commons-app/apps-android-commons", "show")</f>
        <v>show</v>
      </c>
      <c r="H2210" t="str">
        <f>HYPERLINK("https://github.com/commons-app/apps-android-commons/releases", "show")</f>
        <v>show</v>
      </c>
      <c r="I2210">
        <v>0</v>
      </c>
      <c r="J2210">
        <v>0</v>
      </c>
      <c r="K2210">
        <v>1</v>
      </c>
      <c r="L2210">
        <v>1</v>
      </c>
      <c r="M2210" t="s">
        <v>351</v>
      </c>
    </row>
    <row r="2211" spans="1:13" hidden="1" x14ac:dyDescent="0.15">
      <c r="A2211" t="s">
        <v>7072</v>
      </c>
      <c r="B2211" t="s">
        <v>7073</v>
      </c>
      <c r="C2211" t="s">
        <v>7074</v>
      </c>
      <c r="D2211" t="s">
        <v>7068</v>
      </c>
      <c r="E2211">
        <v>363</v>
      </c>
      <c r="F2211" t="str">
        <f>HYPERLINK("https://github.com/bumptech/glide/issues/1592", "show")</f>
        <v>show</v>
      </c>
      <c r="G2211" t="str">
        <f>HYPERLINK("https://github.com/bumptech/glide", "show")</f>
        <v>show</v>
      </c>
      <c r="H2211" t="str">
        <f>HYPERLINK("https://github.com/bumptech/glide/releases", "show")</f>
        <v>show</v>
      </c>
      <c r="I2211">
        <v>1</v>
      </c>
      <c r="J2211">
        <v>1</v>
      </c>
      <c r="K2211">
        <v>1</v>
      </c>
      <c r="L2211">
        <v>0</v>
      </c>
      <c r="M2211" t="s">
        <v>59</v>
      </c>
    </row>
    <row r="2212" spans="1:13" hidden="1" x14ac:dyDescent="0.15">
      <c r="A2212" t="s">
        <v>7075</v>
      </c>
      <c r="B2212" t="s">
        <v>7076</v>
      </c>
      <c r="C2212" t="s">
        <v>7077</v>
      </c>
      <c r="D2212" t="s">
        <v>7078</v>
      </c>
      <c r="E2212">
        <v>4</v>
      </c>
      <c r="F2212" t="str">
        <f>HYPERLINK("https://github.com/smartdevicelink/sdl_java_suite/issues/366", "show")</f>
        <v>show</v>
      </c>
      <c r="G2212" t="str">
        <f>HYPERLINK("https://github.com/smartdevicelink/sdl_java_suite", "show")</f>
        <v>show</v>
      </c>
      <c r="H2212" t="str">
        <f>HYPERLINK("https://github.com/smartdevicelink/sdl_java_suite/releases", "show")</f>
        <v>show</v>
      </c>
      <c r="I2212">
        <v>0</v>
      </c>
      <c r="J2212">
        <v>0</v>
      </c>
      <c r="K2212">
        <v>0</v>
      </c>
      <c r="L2212">
        <v>0</v>
      </c>
      <c r="M2212" t="s">
        <v>43</v>
      </c>
    </row>
    <row r="2213" spans="1:13" hidden="1" x14ac:dyDescent="0.15">
      <c r="A2213" t="s">
        <v>7079</v>
      </c>
      <c r="B2213" t="s">
        <v>7080</v>
      </c>
      <c r="C2213" t="s">
        <v>7081</v>
      </c>
      <c r="D2213" t="s">
        <v>7078</v>
      </c>
      <c r="E2213">
        <v>0</v>
      </c>
      <c r="F2213" t="str">
        <f>HYPERLINK("https://github.com/JRempel/HKBU-Map/issues/33", "show")</f>
        <v>show</v>
      </c>
      <c r="G2213" t="str">
        <f>HYPERLINK("https://github.com/JRempel/HKBU-Map", "show")</f>
        <v>show</v>
      </c>
      <c r="H2213" t="str">
        <f>HYPERLINK("https://github.com/JRempel/HKBU-Map/releases", "show")</f>
        <v>show</v>
      </c>
      <c r="I2213">
        <v>1</v>
      </c>
      <c r="J2213">
        <v>0</v>
      </c>
      <c r="K2213">
        <v>0</v>
      </c>
      <c r="L2213">
        <v>0</v>
      </c>
      <c r="M2213" t="s">
        <v>17</v>
      </c>
    </row>
    <row r="2214" spans="1:13" hidden="1" x14ac:dyDescent="0.15">
      <c r="A2214" t="s">
        <v>7082</v>
      </c>
      <c r="B2214" t="s">
        <v>7083</v>
      </c>
      <c r="C2214" t="s">
        <v>7084</v>
      </c>
      <c r="D2214" t="s">
        <v>7078</v>
      </c>
      <c r="E2214">
        <v>4</v>
      </c>
      <c r="F2214" t="str">
        <f>HYPERLINK("https://github.com/nextcloud/android/issues/388", "show")</f>
        <v>show</v>
      </c>
      <c r="G2214" t="str">
        <f>HYPERLINK("https://github.com/nextcloud/android", "show")</f>
        <v>show</v>
      </c>
      <c r="H2214" t="str">
        <f>HYPERLINK("https://github.com/nextcloud/android/releases", "show")</f>
        <v>show</v>
      </c>
      <c r="I2214">
        <v>1</v>
      </c>
      <c r="J2214">
        <v>0</v>
      </c>
      <c r="K2214">
        <v>1</v>
      </c>
      <c r="L2214">
        <v>0</v>
      </c>
      <c r="M2214" t="s">
        <v>64</v>
      </c>
    </row>
    <row r="2215" spans="1:13" hidden="1" x14ac:dyDescent="0.15">
      <c r="A2215" t="s">
        <v>7085</v>
      </c>
      <c r="B2215" t="s">
        <v>7086</v>
      </c>
      <c r="C2215" t="s">
        <v>7087</v>
      </c>
      <c r="D2215" t="s">
        <v>7088</v>
      </c>
      <c r="E2215">
        <v>11</v>
      </c>
      <c r="F2215" t="str">
        <f>HYPERLINK("https://github.com/vijai1996/screenrecorder/issues/9", "show")</f>
        <v>show</v>
      </c>
      <c r="G2215" t="str">
        <f>HYPERLINK("https://github.com/vijai1996/screenrecorder", "show")</f>
        <v>show</v>
      </c>
      <c r="H2215" t="str">
        <f>HYPERLINK("https://github.com/vijai1996/screenrecorder/releases", "show")</f>
        <v>show</v>
      </c>
      <c r="I2215">
        <v>1</v>
      </c>
      <c r="J2215">
        <v>0</v>
      </c>
      <c r="K2215">
        <v>0</v>
      </c>
      <c r="L2215">
        <v>0</v>
      </c>
      <c r="M2215" t="s">
        <v>17</v>
      </c>
    </row>
    <row r="2216" spans="1:13" hidden="1" x14ac:dyDescent="0.15">
      <c r="A2216" t="s">
        <v>7089</v>
      </c>
      <c r="B2216" t="s">
        <v>7090</v>
      </c>
      <c r="D2216" t="s">
        <v>7088</v>
      </c>
      <c r="E2216">
        <v>2</v>
      </c>
      <c r="F2216" t="str">
        <f>HYPERLINK("https://github.com/Cloudkibo/Android/issues/306", "show")</f>
        <v>show</v>
      </c>
      <c r="G2216" t="str">
        <f>HYPERLINK("https://github.com/Cloudkibo/Android", "show")</f>
        <v>show</v>
      </c>
      <c r="H2216" t="str">
        <f>HYPERLINK("https://github.com/Cloudkibo/Android/releases", "show")</f>
        <v>show</v>
      </c>
      <c r="I2216">
        <v>0</v>
      </c>
      <c r="J2216">
        <v>0</v>
      </c>
      <c r="K2216">
        <v>0</v>
      </c>
      <c r="L2216">
        <v>0</v>
      </c>
      <c r="M2216" t="s">
        <v>43</v>
      </c>
    </row>
    <row r="2217" spans="1:13" hidden="1" x14ac:dyDescent="0.15">
      <c r="A2217" t="s">
        <v>7091</v>
      </c>
      <c r="B2217" t="s">
        <v>7092</v>
      </c>
      <c r="C2217" t="s">
        <v>7093</v>
      </c>
      <c r="D2217" t="s">
        <v>7088</v>
      </c>
      <c r="E2217">
        <v>496</v>
      </c>
      <c r="F2217" t="str">
        <f>HYPERLINK("https://github.com/haiwen/seadroid/issues/598", "show")</f>
        <v>show</v>
      </c>
      <c r="G2217" t="str">
        <f>HYPERLINK("https://github.com/haiwen/seadroid", "show")</f>
        <v>show</v>
      </c>
      <c r="H2217" t="str">
        <f>HYPERLINK("https://github.com/haiwen/seadroid/releases", "show")</f>
        <v>show</v>
      </c>
      <c r="I2217">
        <v>1</v>
      </c>
      <c r="J2217">
        <v>0</v>
      </c>
      <c r="K2217">
        <v>0</v>
      </c>
      <c r="L2217">
        <v>0</v>
      </c>
      <c r="M2217" t="s">
        <v>17</v>
      </c>
    </row>
    <row r="2218" spans="1:13" hidden="1" x14ac:dyDescent="0.15">
      <c r="A2218" t="s">
        <v>7094</v>
      </c>
      <c r="B2218" t="s">
        <v>7095</v>
      </c>
      <c r="C2218" t="s">
        <v>7096</v>
      </c>
      <c r="D2218" t="s">
        <v>7097</v>
      </c>
      <c r="E2218">
        <v>4</v>
      </c>
      <c r="F2218" t="str">
        <f>HYPERLINK("https://github.com/kontalk/androidclient/issues/863", "show")</f>
        <v>show</v>
      </c>
      <c r="G2218" t="str">
        <f>HYPERLINK("https://github.com/kontalk/androidclient", "show")</f>
        <v>show</v>
      </c>
      <c r="H2218" t="str">
        <f>HYPERLINK("https://github.com/kontalk/androidclient/releases", "show")</f>
        <v>show</v>
      </c>
      <c r="I2218">
        <v>1</v>
      </c>
      <c r="J2218">
        <v>1</v>
      </c>
      <c r="K2218">
        <v>0</v>
      </c>
      <c r="L2218">
        <v>0</v>
      </c>
      <c r="M2218" t="s">
        <v>48</v>
      </c>
    </row>
    <row r="2219" spans="1:13" hidden="1" x14ac:dyDescent="0.15">
      <c r="A2219" t="s">
        <v>7098</v>
      </c>
      <c r="B2219" t="s">
        <v>7099</v>
      </c>
      <c r="C2219" t="s">
        <v>7100</v>
      </c>
      <c r="D2219" t="s">
        <v>7097</v>
      </c>
      <c r="E2219">
        <v>4</v>
      </c>
      <c r="F2219" t="str">
        <f>HYPERLINK("https://github.com/kontalk/androidclient/issues/862", "show")</f>
        <v>show</v>
      </c>
      <c r="G2219" t="str">
        <f>HYPERLINK("https://github.com/kontalk/androidclient", "show")</f>
        <v>show</v>
      </c>
      <c r="H2219" t="str">
        <f>HYPERLINK("https://github.com/kontalk/androidclient/releases", "show")</f>
        <v>show</v>
      </c>
      <c r="I2219">
        <v>1</v>
      </c>
      <c r="J2219">
        <v>1</v>
      </c>
      <c r="K2219">
        <v>0</v>
      </c>
      <c r="L2219">
        <v>0</v>
      </c>
      <c r="M2219" t="s">
        <v>48</v>
      </c>
    </row>
    <row r="2220" spans="1:13" hidden="1" x14ac:dyDescent="0.15">
      <c r="A2220" t="s">
        <v>7101</v>
      </c>
      <c r="B2220" t="s">
        <v>7102</v>
      </c>
      <c r="C2220" t="s">
        <v>7103</v>
      </c>
      <c r="D2220" t="s">
        <v>7097</v>
      </c>
      <c r="E2220">
        <v>0</v>
      </c>
      <c r="F2220" t="str">
        <f>HYPERLINK("https://github.com/RiccardoMoro/RMSwitch/issues/5", "show")</f>
        <v>show</v>
      </c>
      <c r="G2220" t="str">
        <f>HYPERLINK("https://github.com/RiccardoMoro/RMSwitch", "show")</f>
        <v>show</v>
      </c>
      <c r="H2220" t="str">
        <f>HYPERLINK("https://github.com/RiccardoMoro/RMSwitch/releases", "show")</f>
        <v>show</v>
      </c>
      <c r="I2220">
        <v>1</v>
      </c>
      <c r="J2220">
        <v>0</v>
      </c>
      <c r="K2220">
        <v>1</v>
      </c>
      <c r="L2220">
        <v>0</v>
      </c>
      <c r="M2220" t="s">
        <v>64</v>
      </c>
    </row>
    <row r="2221" spans="1:13" hidden="1" x14ac:dyDescent="0.15">
      <c r="A2221" t="s">
        <v>7104</v>
      </c>
      <c r="B2221" t="s">
        <v>7105</v>
      </c>
      <c r="C2221" t="s">
        <v>7106</v>
      </c>
      <c r="D2221" t="s">
        <v>7107</v>
      </c>
      <c r="E2221">
        <v>0</v>
      </c>
      <c r="F2221" t="str">
        <f>HYPERLINK("https://github.com/ParanoidAndroid3/Journey/issues/17", "show")</f>
        <v>show</v>
      </c>
      <c r="G2221" t="str">
        <f>HYPERLINK("https://github.com/ParanoidAndroid3/Journey", "show")</f>
        <v>show</v>
      </c>
      <c r="H2221" t="str">
        <f>HYPERLINK("https://github.com/ParanoidAndroid3/Journey/releases", "show")</f>
        <v>show</v>
      </c>
      <c r="I2221">
        <v>1</v>
      </c>
      <c r="J2221">
        <v>0</v>
      </c>
      <c r="K2221">
        <v>0</v>
      </c>
      <c r="L2221">
        <v>0</v>
      </c>
      <c r="M2221" t="s">
        <v>17</v>
      </c>
    </row>
    <row r="2222" spans="1:13" hidden="1" x14ac:dyDescent="0.15">
      <c r="A2222" t="s">
        <v>7108</v>
      </c>
      <c r="B2222" t="s">
        <v>7109</v>
      </c>
      <c r="C2222" t="s">
        <v>7110</v>
      </c>
      <c r="D2222" t="s">
        <v>7107</v>
      </c>
      <c r="E2222">
        <v>6</v>
      </c>
      <c r="F2222" t="str">
        <f>HYPERLINK("https://github.com/google/physical-web/issues/856", "show")</f>
        <v>show</v>
      </c>
      <c r="G2222" t="str">
        <f>HYPERLINK("https://github.com/google/physical-web", "show")</f>
        <v>show</v>
      </c>
      <c r="H2222" t="str">
        <f>HYPERLINK("https://github.com/google/physical-web/releases", "show")</f>
        <v>show</v>
      </c>
      <c r="I2222">
        <v>1</v>
      </c>
      <c r="J2222">
        <v>0</v>
      </c>
      <c r="K2222">
        <v>1</v>
      </c>
      <c r="L2222">
        <v>0</v>
      </c>
      <c r="M2222" t="s">
        <v>64</v>
      </c>
    </row>
    <row r="2223" spans="1:13" hidden="1" x14ac:dyDescent="0.15">
      <c r="A2223" t="s">
        <v>7111</v>
      </c>
      <c r="B2223" t="s">
        <v>7112</v>
      </c>
      <c r="C2223" t="s">
        <v>7113</v>
      </c>
      <c r="D2223" t="s">
        <v>7107</v>
      </c>
      <c r="E2223">
        <v>7</v>
      </c>
      <c r="F2223" t="str">
        <f>HYPERLINK("https://github.com/CSE403FindersKeepers/finders-keepers/issues/29", "show")</f>
        <v>show</v>
      </c>
      <c r="G2223" t="str">
        <f>HYPERLINK("https://github.com/CSE403FindersKeepers/finders-keepers", "show")</f>
        <v>show</v>
      </c>
      <c r="H2223" t="str">
        <f>HYPERLINK("https://github.com/CSE403FindersKeepers/finders-keepers/releases", "show")</f>
        <v>show</v>
      </c>
      <c r="I2223">
        <v>0</v>
      </c>
      <c r="J2223">
        <v>0</v>
      </c>
      <c r="K2223">
        <v>0</v>
      </c>
      <c r="L2223">
        <v>0</v>
      </c>
      <c r="M2223" t="s">
        <v>43</v>
      </c>
    </row>
    <row r="2224" spans="1:13" hidden="1" x14ac:dyDescent="0.15">
      <c r="A2224" t="s">
        <v>7114</v>
      </c>
      <c r="B2224" t="s">
        <v>7115</v>
      </c>
      <c r="D2224" t="s">
        <v>7107</v>
      </c>
      <c r="E2224">
        <v>10</v>
      </c>
      <c r="F2224" t="str">
        <f>HYPERLINK("https://github.com/zhanhui913/Budget/issues/112", "show")</f>
        <v>show</v>
      </c>
      <c r="G2224" t="str">
        <f>HYPERLINK("https://github.com/zhanhui913/Budget", "show")</f>
        <v>show</v>
      </c>
      <c r="H2224" t="str">
        <f>HYPERLINK("https://github.com/zhanhui913/Budget/releases", "show")</f>
        <v>show</v>
      </c>
      <c r="I2224">
        <v>1</v>
      </c>
      <c r="J2224">
        <v>0</v>
      </c>
      <c r="K2224">
        <v>0</v>
      </c>
      <c r="L2224">
        <v>0</v>
      </c>
      <c r="M2224" t="s">
        <v>17</v>
      </c>
    </row>
    <row r="2225" spans="1:13" hidden="1" x14ac:dyDescent="0.15">
      <c r="A2225" t="s">
        <v>7116</v>
      </c>
      <c r="B2225" t="s">
        <v>7117</v>
      </c>
      <c r="D2225" t="s">
        <v>7118</v>
      </c>
      <c r="E2225">
        <v>0</v>
      </c>
      <c r="F2225" t="str">
        <f>HYPERLINK("https://github.com/Mauin/RxFingerprint/issues/20", "show")</f>
        <v>show</v>
      </c>
      <c r="G2225" t="str">
        <f>HYPERLINK("https://github.com/Mauin/RxFingerprint", "show")</f>
        <v>show</v>
      </c>
      <c r="H2225" t="str">
        <f>HYPERLINK("https://github.com/Mauin/RxFingerprint/releases", "show")</f>
        <v>show</v>
      </c>
      <c r="I2225">
        <v>1</v>
      </c>
      <c r="J2225">
        <v>0</v>
      </c>
      <c r="K2225">
        <v>1</v>
      </c>
      <c r="L2225">
        <v>0</v>
      </c>
      <c r="M2225" t="s">
        <v>64</v>
      </c>
    </row>
    <row r="2226" spans="1:13" hidden="1" x14ac:dyDescent="0.15">
      <c r="A2226" t="s">
        <v>7119</v>
      </c>
      <c r="B2226" t="s">
        <v>7120</v>
      </c>
      <c r="C2226" t="s">
        <v>7121</v>
      </c>
      <c r="D2226" t="s">
        <v>7118</v>
      </c>
      <c r="E2226">
        <v>266</v>
      </c>
      <c r="F2226" t="str">
        <f>HYPERLINK("https://github.com/aricneto/TwistyTimer/issues/68", "show")</f>
        <v>show</v>
      </c>
      <c r="G2226" t="str">
        <f>HYPERLINK("https://github.com/aricneto/TwistyTimer", "show")</f>
        <v>show</v>
      </c>
      <c r="H2226" t="str">
        <f>HYPERLINK("https://github.com/aricneto/TwistyTimer/releases", "show")</f>
        <v>show</v>
      </c>
      <c r="I2226">
        <v>0</v>
      </c>
      <c r="J2226">
        <v>0</v>
      </c>
      <c r="K2226">
        <v>0</v>
      </c>
      <c r="L2226">
        <v>0</v>
      </c>
      <c r="M2226" t="s">
        <v>43</v>
      </c>
    </row>
    <row r="2227" spans="1:13" hidden="1" x14ac:dyDescent="0.15">
      <c r="A2227" t="s">
        <v>7122</v>
      </c>
      <c r="B2227" t="s">
        <v>7123</v>
      </c>
      <c r="C2227" t="s">
        <v>7124</v>
      </c>
      <c r="D2227" t="s">
        <v>7125</v>
      </c>
      <c r="E2227">
        <v>0</v>
      </c>
      <c r="F2227" t="str">
        <f>HYPERLINK("https://github.com/cgeo/cgeo/issues/6159", "show")</f>
        <v>show</v>
      </c>
      <c r="G2227" t="str">
        <f>HYPERLINK("https://github.com/cgeo/cgeo", "show")</f>
        <v>show</v>
      </c>
      <c r="H2227" t="str">
        <f>HYPERLINK("https://github.com/cgeo/cgeo/releases", "show")</f>
        <v>show</v>
      </c>
      <c r="I2227">
        <v>1</v>
      </c>
      <c r="J2227">
        <v>0</v>
      </c>
      <c r="K2227">
        <v>1</v>
      </c>
      <c r="L2227">
        <v>0</v>
      </c>
      <c r="M2227" t="s">
        <v>64</v>
      </c>
    </row>
    <row r="2228" spans="1:13" hidden="1" x14ac:dyDescent="0.15">
      <c r="A2228" t="s">
        <v>7126</v>
      </c>
      <c r="B2228" t="s">
        <v>7127</v>
      </c>
      <c r="C2228" t="s">
        <v>7128</v>
      </c>
      <c r="D2228" t="s">
        <v>7125</v>
      </c>
      <c r="E2228">
        <v>37</v>
      </c>
      <c r="F2228" t="str">
        <f>HYPERLINK("https://github.com/Cloudkibo/Android/issues/313", "show")</f>
        <v>show</v>
      </c>
      <c r="G2228" t="str">
        <f>HYPERLINK("https://github.com/Cloudkibo/Android", "show")</f>
        <v>show</v>
      </c>
      <c r="H2228" t="str">
        <f>HYPERLINK("https://github.com/Cloudkibo/Android/releases", "show")</f>
        <v>show</v>
      </c>
      <c r="I2228">
        <v>1</v>
      </c>
      <c r="J2228">
        <v>0</v>
      </c>
      <c r="K2228">
        <v>0</v>
      </c>
      <c r="L2228">
        <v>0</v>
      </c>
      <c r="M2228" t="s">
        <v>17</v>
      </c>
    </row>
    <row r="2229" spans="1:13" hidden="1" x14ac:dyDescent="0.15">
      <c r="A2229" t="s">
        <v>7129</v>
      </c>
      <c r="B2229" t="s">
        <v>7130</v>
      </c>
      <c r="C2229" t="s">
        <v>7131</v>
      </c>
      <c r="D2229" t="s">
        <v>7132</v>
      </c>
      <c r="E2229">
        <v>6</v>
      </c>
      <c r="F2229" t="str">
        <f>HYPERLINK("https://github.com/vector-im/riot-android/issues/754", "show")</f>
        <v>show</v>
      </c>
      <c r="G2229" t="str">
        <f>HYPERLINK("https://github.com/vector-im/riot-android", "show")</f>
        <v>show</v>
      </c>
      <c r="H2229" t="str">
        <f>HYPERLINK("https://github.com/vector-im/riot-android/releases", "show")</f>
        <v>show</v>
      </c>
      <c r="I2229">
        <v>1</v>
      </c>
      <c r="J2229">
        <v>0</v>
      </c>
      <c r="K2229">
        <v>0</v>
      </c>
      <c r="L2229">
        <v>1</v>
      </c>
      <c r="M2229" t="s">
        <v>29</v>
      </c>
    </row>
    <row r="2230" spans="1:13" hidden="1" x14ac:dyDescent="0.15">
      <c r="A2230" t="s">
        <v>7133</v>
      </c>
      <c r="B2230" t="s">
        <v>7134</v>
      </c>
      <c r="C2230" t="s">
        <v>736</v>
      </c>
      <c r="D2230" t="s">
        <v>7135</v>
      </c>
      <c r="E2230">
        <v>17</v>
      </c>
      <c r="F2230" t="str">
        <f>HYPERLINK("https://github.com/elimu-ai/appstore/issues/38", "show")</f>
        <v>show</v>
      </c>
      <c r="G2230" t="str">
        <f>HYPERLINK("https://github.com/elimu-ai/appstore", "show")</f>
        <v>show</v>
      </c>
      <c r="H2230" t="str">
        <f>HYPERLINK("https://github.com/elimu-ai/appstore/releases", "show")</f>
        <v>show</v>
      </c>
      <c r="I2230">
        <v>0</v>
      </c>
      <c r="J2230">
        <v>0</v>
      </c>
      <c r="K2230">
        <v>1</v>
      </c>
      <c r="L2230">
        <v>0</v>
      </c>
      <c r="M2230" t="s">
        <v>122</v>
      </c>
    </row>
    <row r="2231" spans="1:13" hidden="1" x14ac:dyDescent="0.15">
      <c r="A2231" t="s">
        <v>7136</v>
      </c>
      <c r="B2231" t="s">
        <v>7137</v>
      </c>
      <c r="C2231" t="s">
        <v>7138</v>
      </c>
      <c r="D2231" t="s">
        <v>7135</v>
      </c>
      <c r="E2231">
        <v>1</v>
      </c>
      <c r="F2231" t="str">
        <f>HYPERLINK("https://github.com/mvysny/aedict/issues/711", "show")</f>
        <v>show</v>
      </c>
      <c r="G2231" t="str">
        <f>HYPERLINK("https://github.com/mvysny/aedict", "show")</f>
        <v>show</v>
      </c>
      <c r="H2231" t="str">
        <f>HYPERLINK("https://github.com/mvysny/aedict/releases", "show")</f>
        <v>show</v>
      </c>
      <c r="I2231">
        <v>1</v>
      </c>
      <c r="J2231">
        <v>0</v>
      </c>
      <c r="K2231">
        <v>1</v>
      </c>
      <c r="L2231">
        <v>0</v>
      </c>
      <c r="M2231" t="s">
        <v>64</v>
      </c>
    </row>
    <row r="2232" spans="1:13" hidden="1" x14ac:dyDescent="0.15">
      <c r="A2232" t="s">
        <v>7139</v>
      </c>
      <c r="B2232" t="s">
        <v>7140</v>
      </c>
      <c r="C2232" t="s">
        <v>7141</v>
      </c>
      <c r="D2232" t="s">
        <v>7142</v>
      </c>
      <c r="E2232">
        <v>1</v>
      </c>
      <c r="F2232" t="str">
        <f>HYPERLINK("https://github.com/flowupio/FlowUpAndroidSDK/issues/147", "show")</f>
        <v>show</v>
      </c>
      <c r="G2232" t="str">
        <f>HYPERLINK("https://github.com/flowupio/FlowUpAndroidSDK", "show")</f>
        <v>show</v>
      </c>
      <c r="H2232" t="str">
        <f>HYPERLINK("https://github.com/flowupio/FlowUpAndroidSDK/releases", "show")</f>
        <v>show</v>
      </c>
      <c r="I2232">
        <v>0</v>
      </c>
      <c r="J2232">
        <v>0</v>
      </c>
      <c r="K2232">
        <v>1</v>
      </c>
      <c r="L2232">
        <v>0</v>
      </c>
      <c r="M2232" t="s">
        <v>122</v>
      </c>
    </row>
    <row r="2233" spans="1:13" hidden="1" x14ac:dyDescent="0.15">
      <c r="A2233" t="s">
        <v>7143</v>
      </c>
      <c r="B2233" t="s">
        <v>7144</v>
      </c>
      <c r="C2233" t="s">
        <v>7145</v>
      </c>
      <c r="D2233" t="s">
        <v>7142</v>
      </c>
      <c r="E2233">
        <v>0</v>
      </c>
      <c r="F2233" t="str">
        <f>HYPERLINK("https://github.com/ParanoidAndroid3/Journey/issues/30", "show")</f>
        <v>show</v>
      </c>
      <c r="G2233" t="str">
        <f>HYPERLINK("https://github.com/ParanoidAndroid3/Journey", "show")</f>
        <v>show</v>
      </c>
      <c r="H2233" t="str">
        <f>HYPERLINK("https://github.com/ParanoidAndroid3/Journey/releases", "show")</f>
        <v>show</v>
      </c>
      <c r="I2233">
        <v>1</v>
      </c>
      <c r="J2233">
        <v>0</v>
      </c>
      <c r="K2233">
        <v>0</v>
      </c>
      <c r="L2233">
        <v>0</v>
      </c>
      <c r="M2233" t="s">
        <v>17</v>
      </c>
    </row>
    <row r="2234" spans="1:13" hidden="1" x14ac:dyDescent="0.15">
      <c r="A2234" t="s">
        <v>7146</v>
      </c>
      <c r="B2234" t="s">
        <v>7147</v>
      </c>
      <c r="C2234" t="s">
        <v>7148</v>
      </c>
      <c r="D2234" t="s">
        <v>7142</v>
      </c>
      <c r="E2234">
        <v>0</v>
      </c>
      <c r="F2234" t="str">
        <f>HYPERLINK("https://github.com/ParanoidAndroid3/Journey/issues/28", "show")</f>
        <v>show</v>
      </c>
      <c r="G2234" t="str">
        <f>HYPERLINK("https://github.com/ParanoidAndroid3/Journey", "show")</f>
        <v>show</v>
      </c>
      <c r="H2234" t="str">
        <f>HYPERLINK("https://github.com/ParanoidAndroid3/Journey/releases", "show")</f>
        <v>show</v>
      </c>
      <c r="I2234">
        <v>0</v>
      </c>
      <c r="J2234">
        <v>0</v>
      </c>
      <c r="K2234">
        <v>0</v>
      </c>
      <c r="L2234">
        <v>0</v>
      </c>
      <c r="M2234" t="s">
        <v>43</v>
      </c>
    </row>
    <row r="2235" spans="1:13" hidden="1" x14ac:dyDescent="0.15">
      <c r="A2235" t="s">
        <v>7149</v>
      </c>
      <c r="B2235" t="s">
        <v>6008</v>
      </c>
      <c r="C2235" t="s">
        <v>7150</v>
      </c>
      <c r="D2235" t="s">
        <v>7142</v>
      </c>
      <c r="E2235">
        <v>1</v>
      </c>
      <c r="F2235" t="str">
        <f>HYPERLINK("https://github.com/teamOSC/DigitalOceanApp/issues/34", "show")</f>
        <v>show</v>
      </c>
      <c r="G2235" t="str">
        <f>HYPERLINK("https://github.com/teamOSC/DigitalOceanApp", "show")</f>
        <v>show</v>
      </c>
      <c r="H2235" t="str">
        <f>HYPERLINK("https://github.com/teamOSC/DigitalOceanApp/releases", "show")</f>
        <v>show</v>
      </c>
      <c r="I2235">
        <v>1</v>
      </c>
      <c r="J2235">
        <v>0</v>
      </c>
      <c r="K2235">
        <v>1</v>
      </c>
      <c r="L2235">
        <v>0</v>
      </c>
      <c r="M2235" t="s">
        <v>64</v>
      </c>
    </row>
    <row r="2236" spans="1:13" hidden="1" x14ac:dyDescent="0.15">
      <c r="A2236" t="s">
        <v>7151</v>
      </c>
      <c r="B2236" t="s">
        <v>7152</v>
      </c>
      <c r="C2236" t="s">
        <v>7153</v>
      </c>
      <c r="D2236" t="s">
        <v>7154</v>
      </c>
      <c r="E2236">
        <v>420</v>
      </c>
      <c r="F2236" t="str">
        <f>HYPERLINK("https://github.com/inaturalist/iNaturalistAndroid/issues/266", "show")</f>
        <v>show</v>
      </c>
      <c r="G2236" t="str">
        <f>HYPERLINK("https://github.com/inaturalist/iNaturalistAndroid", "show")</f>
        <v>show</v>
      </c>
      <c r="H2236" t="str">
        <f>HYPERLINK("https://github.com/inaturalist/iNaturalistAndroid/releases", "show")</f>
        <v>show</v>
      </c>
      <c r="I2236">
        <v>0</v>
      </c>
      <c r="J2236">
        <v>0</v>
      </c>
      <c r="K2236">
        <v>0</v>
      </c>
      <c r="L2236">
        <v>0</v>
      </c>
      <c r="M2236" t="s">
        <v>43</v>
      </c>
    </row>
    <row r="2237" spans="1:13" hidden="1" x14ac:dyDescent="0.15">
      <c r="A2237" t="s">
        <v>7155</v>
      </c>
      <c r="B2237" t="s">
        <v>7156</v>
      </c>
      <c r="D2237" t="s">
        <v>7154</v>
      </c>
      <c r="E2237">
        <v>0</v>
      </c>
      <c r="F2237" t="str">
        <f>HYPERLINK("https://github.com/honza-kasik/OlomouckyBazen/issues/27", "show")</f>
        <v>show</v>
      </c>
      <c r="G2237" t="str">
        <f>HYPERLINK("https://github.com/honza-kasik/OlomouckyBazen", "show")</f>
        <v>show</v>
      </c>
      <c r="H2237" t="str">
        <f>HYPERLINK("https://github.com/honza-kasik/OlomouckyBazen/releases", "show")</f>
        <v>show</v>
      </c>
      <c r="I2237">
        <v>1</v>
      </c>
      <c r="J2237">
        <v>0</v>
      </c>
      <c r="K2237">
        <v>0</v>
      </c>
      <c r="L2237">
        <v>0</v>
      </c>
      <c r="M2237" t="s">
        <v>17</v>
      </c>
    </row>
    <row r="2238" spans="1:13" hidden="1" x14ac:dyDescent="0.15">
      <c r="A2238" t="s">
        <v>7157</v>
      </c>
      <c r="B2238" t="s">
        <v>7158</v>
      </c>
      <c r="C2238" t="s">
        <v>7159</v>
      </c>
      <c r="D2238" t="s">
        <v>7160</v>
      </c>
      <c r="E2238">
        <v>49</v>
      </c>
      <c r="F2238" t="str">
        <f>HYPERLINK("https://github.com/unfoldingWord-dev/uw-android/issues/181", "show")</f>
        <v>show</v>
      </c>
      <c r="G2238" t="str">
        <f>HYPERLINK("https://github.com/unfoldingWord-dev/uw-android", "show")</f>
        <v>show</v>
      </c>
      <c r="H2238" t="str">
        <f>HYPERLINK("https://github.com/unfoldingWord-dev/uw-android/releases", "show")</f>
        <v>show</v>
      </c>
      <c r="I2238">
        <v>1</v>
      </c>
      <c r="J2238">
        <v>0</v>
      </c>
      <c r="K2238">
        <v>0</v>
      </c>
      <c r="L2238">
        <v>0</v>
      </c>
      <c r="M2238" t="s">
        <v>17</v>
      </c>
    </row>
    <row r="2239" spans="1:13" hidden="1" x14ac:dyDescent="0.15">
      <c r="A2239" t="s">
        <v>7161</v>
      </c>
      <c r="B2239" t="s">
        <v>7162</v>
      </c>
      <c r="C2239" t="s">
        <v>7163</v>
      </c>
      <c r="D2239" t="s">
        <v>7160</v>
      </c>
      <c r="E2239">
        <v>23</v>
      </c>
      <c r="F2239" t="str">
        <f>HYPERLINK("https://github.com/frc2052/FRC-Krawler/issues/15", "show")</f>
        <v>show</v>
      </c>
      <c r="G2239" t="str">
        <f>HYPERLINK("https://github.com/frc2052/FRC-Krawler", "show")</f>
        <v>show</v>
      </c>
      <c r="H2239" t="str">
        <f>HYPERLINK("https://github.com/frc2052/FRC-Krawler/releases", "show")</f>
        <v>show</v>
      </c>
      <c r="I2239">
        <v>1</v>
      </c>
      <c r="J2239">
        <v>0</v>
      </c>
      <c r="K2239">
        <v>0</v>
      </c>
      <c r="L2239">
        <v>0</v>
      </c>
      <c r="M2239" t="s">
        <v>17</v>
      </c>
    </row>
    <row r="2240" spans="1:13" hidden="1" x14ac:dyDescent="0.15">
      <c r="A2240" t="s">
        <v>7164</v>
      </c>
      <c r="B2240" t="s">
        <v>7165</v>
      </c>
      <c r="C2240" t="s">
        <v>7166</v>
      </c>
      <c r="D2240" t="s">
        <v>7160</v>
      </c>
      <c r="E2240">
        <v>50</v>
      </c>
      <c r="F2240" t="str">
        <f>HYPERLINK("https://github.com/praekeltfoundation/gem-bbb-indo/issues/155", "show")</f>
        <v>show</v>
      </c>
      <c r="G2240" t="str">
        <f>HYPERLINK("https://github.com/praekeltfoundation/gem-bbb-indo", "show")</f>
        <v>show</v>
      </c>
      <c r="H2240" t="str">
        <f>HYPERLINK("https://github.com/praekeltfoundation/gem-bbb-indo/releases", "show")</f>
        <v>show</v>
      </c>
      <c r="I2240">
        <v>0</v>
      </c>
      <c r="J2240">
        <v>0</v>
      </c>
      <c r="K2240">
        <v>0</v>
      </c>
      <c r="L2240">
        <v>0</v>
      </c>
      <c r="M2240" t="s">
        <v>43</v>
      </c>
    </row>
    <row r="2241" spans="1:13" hidden="1" x14ac:dyDescent="0.15">
      <c r="A2241" t="s">
        <v>7167</v>
      </c>
      <c r="B2241" t="s">
        <v>7168</v>
      </c>
      <c r="C2241" t="s">
        <v>7169</v>
      </c>
      <c r="D2241" t="s">
        <v>7160</v>
      </c>
      <c r="E2241">
        <v>905</v>
      </c>
      <c r="F2241" t="str">
        <f>HYPERLINK("https://github.com/nextcloud/android/issues/413", "show")</f>
        <v>show</v>
      </c>
      <c r="G2241" t="str">
        <f>HYPERLINK("https://github.com/nextcloud/android", "show")</f>
        <v>show</v>
      </c>
      <c r="H2241" t="str">
        <f>HYPERLINK("https://github.com/nextcloud/android/releases", "show")</f>
        <v>show</v>
      </c>
      <c r="I2241">
        <v>1</v>
      </c>
      <c r="J2241">
        <v>1</v>
      </c>
      <c r="K2241">
        <v>1</v>
      </c>
      <c r="L2241">
        <v>0</v>
      </c>
      <c r="M2241" t="s">
        <v>59</v>
      </c>
    </row>
    <row r="2242" spans="1:13" hidden="1" x14ac:dyDescent="0.15">
      <c r="A2242" t="s">
        <v>7170</v>
      </c>
      <c r="B2242" t="s">
        <v>7171</v>
      </c>
      <c r="C2242" t="s">
        <v>7172</v>
      </c>
      <c r="D2242" t="s">
        <v>7173</v>
      </c>
      <c r="E2242">
        <v>4</v>
      </c>
      <c r="F2242" t="str">
        <f>HYPERLINK("https://github.com/syncthing/syncthing-android/issues/798", "show")</f>
        <v>show</v>
      </c>
      <c r="G2242" t="str">
        <f>HYPERLINK("https://github.com/syncthing/syncthing-android", "show")</f>
        <v>show</v>
      </c>
      <c r="H2242" t="str">
        <f>HYPERLINK("https://github.com/syncthing/syncthing-android/releases", "show")</f>
        <v>show</v>
      </c>
      <c r="I2242">
        <v>1</v>
      </c>
      <c r="J2242">
        <v>0</v>
      </c>
      <c r="K2242">
        <v>0</v>
      </c>
      <c r="L2242">
        <v>0</v>
      </c>
      <c r="M2242" t="s">
        <v>17</v>
      </c>
    </row>
    <row r="2243" spans="1:13" hidden="1" x14ac:dyDescent="0.15">
      <c r="A2243" t="s">
        <v>7174</v>
      </c>
      <c r="B2243" t="s">
        <v>7175</v>
      </c>
      <c r="C2243" t="s">
        <v>7176</v>
      </c>
      <c r="D2243" t="s">
        <v>7173</v>
      </c>
      <c r="E2243">
        <v>4</v>
      </c>
      <c r="F2243" t="str">
        <f>HYPERLINK("https://github.com/flowupio/FlowUpAndroidSDK/issues/155", "show")</f>
        <v>show</v>
      </c>
      <c r="G2243" t="str">
        <f>HYPERLINK("https://github.com/flowupio/FlowUpAndroidSDK", "show")</f>
        <v>show</v>
      </c>
      <c r="H2243" t="str">
        <f>HYPERLINK("https://github.com/flowupio/FlowUpAndroidSDK/releases", "show")</f>
        <v>show</v>
      </c>
      <c r="I2243">
        <v>0</v>
      </c>
      <c r="J2243">
        <v>0</v>
      </c>
      <c r="K2243">
        <v>1</v>
      </c>
      <c r="L2243">
        <v>0</v>
      </c>
      <c r="M2243" t="s">
        <v>122</v>
      </c>
    </row>
    <row r="2244" spans="1:13" hidden="1" x14ac:dyDescent="0.15">
      <c r="A2244" t="s">
        <v>7177</v>
      </c>
      <c r="B2244" t="s">
        <v>7178</v>
      </c>
      <c r="C2244" t="s">
        <v>7179</v>
      </c>
      <c r="D2244" t="s">
        <v>7173</v>
      </c>
      <c r="E2244">
        <v>10</v>
      </c>
      <c r="F2244" t="str">
        <f>HYPERLINK("https://github.com/k9mail/k-9/issues/1826", "show")</f>
        <v>show</v>
      </c>
      <c r="G2244" t="str">
        <f>HYPERLINK("https://github.com/k9mail/k-9", "show")</f>
        <v>show</v>
      </c>
      <c r="H2244" t="str">
        <f>HYPERLINK("https://github.com/k9mail/k-9/releases", "show")</f>
        <v>show</v>
      </c>
      <c r="I2244">
        <v>1</v>
      </c>
      <c r="J2244">
        <v>0</v>
      </c>
      <c r="K2244">
        <v>1</v>
      </c>
      <c r="L2244">
        <v>0</v>
      </c>
      <c r="M2244" t="s">
        <v>64</v>
      </c>
    </row>
    <row r="2245" spans="1:13" hidden="1" x14ac:dyDescent="0.15">
      <c r="A2245" t="s">
        <v>7180</v>
      </c>
      <c r="B2245" t="s">
        <v>7181</v>
      </c>
      <c r="C2245" t="s">
        <v>7182</v>
      </c>
      <c r="D2245" t="s">
        <v>7173</v>
      </c>
      <c r="E2245">
        <v>5</v>
      </c>
      <c r="F2245" t="str">
        <f>HYPERLINK("https://github.com/WhatAKitty/react-native-bottom-sheet/issues/4", "show")</f>
        <v>show</v>
      </c>
      <c r="G2245" t="str">
        <f>HYPERLINK("https://github.com/WhatAKitty/react-native-bottom-sheet", "show")</f>
        <v>show</v>
      </c>
      <c r="H2245" t="str">
        <f>HYPERLINK("https://github.com/WhatAKitty/react-native-bottom-sheet/releases", "show")</f>
        <v>show</v>
      </c>
      <c r="I2245">
        <v>1</v>
      </c>
      <c r="J2245">
        <v>0</v>
      </c>
      <c r="K2245">
        <v>0</v>
      </c>
      <c r="L2245">
        <v>0</v>
      </c>
      <c r="M2245" t="s">
        <v>17</v>
      </c>
    </row>
    <row r="2246" spans="1:13" hidden="1" x14ac:dyDescent="0.15">
      <c r="A2246" t="s">
        <v>7183</v>
      </c>
      <c r="B2246" t="s">
        <v>7184</v>
      </c>
      <c r="C2246" t="s">
        <v>7185</v>
      </c>
      <c r="D2246" t="s">
        <v>7186</v>
      </c>
      <c r="E2246">
        <v>4</v>
      </c>
      <c r="F2246" t="str">
        <f>HYPERLINK("https://github.com/BandUp/band-up-android/issues/6", "show")</f>
        <v>show</v>
      </c>
      <c r="G2246" t="str">
        <f>HYPERLINK("https://github.com/BandUp/band-up-android", "show")</f>
        <v>show</v>
      </c>
      <c r="H2246" t="str">
        <f>HYPERLINK("https://github.com/BandUp/band-up-android/releases", "show")</f>
        <v>show</v>
      </c>
      <c r="I2246">
        <v>1</v>
      </c>
      <c r="J2246">
        <v>0</v>
      </c>
      <c r="K2246">
        <v>0</v>
      </c>
      <c r="L2246">
        <v>0</v>
      </c>
      <c r="M2246" t="s">
        <v>17</v>
      </c>
    </row>
    <row r="2247" spans="1:13" hidden="1" x14ac:dyDescent="0.15">
      <c r="A2247" t="s">
        <v>7187</v>
      </c>
      <c r="B2247" t="s">
        <v>7188</v>
      </c>
      <c r="C2247" t="s">
        <v>7189</v>
      </c>
      <c r="D2247" t="s">
        <v>7186</v>
      </c>
      <c r="E2247">
        <v>5</v>
      </c>
      <c r="F2247" t="str">
        <f>HYPERLINK("https://github.com/BandUp/band-up-android/issues/1", "show")</f>
        <v>show</v>
      </c>
      <c r="G2247" t="str">
        <f>HYPERLINK("https://github.com/BandUp/band-up-android", "show")</f>
        <v>show</v>
      </c>
      <c r="H2247" t="str">
        <f>HYPERLINK("https://github.com/BandUp/band-up-android/releases", "show")</f>
        <v>show</v>
      </c>
      <c r="I2247">
        <v>0</v>
      </c>
      <c r="J2247">
        <v>1</v>
      </c>
      <c r="K2247">
        <v>0</v>
      </c>
      <c r="L2247">
        <v>1</v>
      </c>
      <c r="M2247" t="s">
        <v>1732</v>
      </c>
    </row>
    <row r="2248" spans="1:13" hidden="1" x14ac:dyDescent="0.15">
      <c r="A2248" t="s">
        <v>7190</v>
      </c>
      <c r="B2248" t="s">
        <v>7191</v>
      </c>
      <c r="C2248" t="s">
        <v>7192</v>
      </c>
      <c r="D2248" t="s">
        <v>7186</v>
      </c>
      <c r="E2248">
        <v>455</v>
      </c>
      <c r="F2248" t="str">
        <f>HYPERLINK("https://github.com/tanrabad/survey/issues/2", "show")</f>
        <v>show</v>
      </c>
      <c r="G2248" t="str">
        <f>HYPERLINK("https://github.com/tanrabad/survey", "show")</f>
        <v>show</v>
      </c>
      <c r="H2248" t="str">
        <f>HYPERLINK("https://github.com/tanrabad/survey/releases", "show")</f>
        <v>show</v>
      </c>
      <c r="I2248">
        <v>1</v>
      </c>
      <c r="J2248">
        <v>0</v>
      </c>
      <c r="K2248">
        <v>0</v>
      </c>
      <c r="L2248">
        <v>0</v>
      </c>
      <c r="M2248" t="s">
        <v>17</v>
      </c>
    </row>
    <row r="2249" spans="1:13" hidden="1" x14ac:dyDescent="0.15">
      <c r="A2249" t="s">
        <v>7193</v>
      </c>
      <c r="B2249" t="s">
        <v>7194</v>
      </c>
      <c r="C2249" t="s">
        <v>7194</v>
      </c>
      <c r="D2249" t="s">
        <v>7195</v>
      </c>
      <c r="E2249">
        <v>3</v>
      </c>
      <c r="F2249" t="str">
        <f>HYPERLINK("https://github.com/Cloudkibo/Android/issues/330", "show")</f>
        <v>show</v>
      </c>
      <c r="G2249" t="str">
        <f>HYPERLINK("https://github.com/Cloudkibo/Android", "show")</f>
        <v>show</v>
      </c>
      <c r="H2249" t="str">
        <f>HYPERLINK("https://github.com/Cloudkibo/Android/releases", "show")</f>
        <v>show</v>
      </c>
      <c r="I2249">
        <v>0</v>
      </c>
      <c r="J2249">
        <v>0</v>
      </c>
      <c r="K2249">
        <v>0</v>
      </c>
      <c r="L2249">
        <v>1</v>
      </c>
      <c r="M2249" t="s">
        <v>581</v>
      </c>
    </row>
    <row r="2250" spans="1:13" hidden="1" x14ac:dyDescent="0.15">
      <c r="A2250" t="s">
        <v>7196</v>
      </c>
      <c r="B2250" t="s">
        <v>7197</v>
      </c>
      <c r="C2250" t="s">
        <v>7198</v>
      </c>
      <c r="D2250" t="s">
        <v>7199</v>
      </c>
      <c r="E2250">
        <v>2</v>
      </c>
      <c r="F2250" t="str">
        <f>HYPERLINK("https://github.com/danimahardhika/candybar-library/issues/10", "show")</f>
        <v>show</v>
      </c>
      <c r="G2250" t="str">
        <f>HYPERLINK("https://github.com/danimahardhika/candybar-library", "show")</f>
        <v>show</v>
      </c>
      <c r="H2250" t="str">
        <f>HYPERLINK("https://github.com/danimahardhika/candybar-library/releases", "show")</f>
        <v>show</v>
      </c>
      <c r="I2250">
        <v>1</v>
      </c>
      <c r="J2250">
        <v>0</v>
      </c>
      <c r="K2250">
        <v>0</v>
      </c>
      <c r="L2250">
        <v>0</v>
      </c>
      <c r="M2250" t="s">
        <v>17</v>
      </c>
    </row>
    <row r="2251" spans="1:13" hidden="1" x14ac:dyDescent="0.15">
      <c r="A2251" t="s">
        <v>7200</v>
      </c>
      <c r="B2251" t="s">
        <v>4871</v>
      </c>
      <c r="C2251" t="s">
        <v>504</v>
      </c>
      <c r="D2251" t="s">
        <v>7199</v>
      </c>
      <c r="E2251">
        <v>453</v>
      </c>
      <c r="F2251" t="str">
        <f>HYPERLINK("https://github.com/tanrabad/survey/issues/5", "show")</f>
        <v>show</v>
      </c>
      <c r="G2251" t="str">
        <f>HYPERLINK("https://github.com/tanrabad/survey", "show")</f>
        <v>show</v>
      </c>
      <c r="H2251" t="str">
        <f>HYPERLINK("https://github.com/tanrabad/survey/releases", "show")</f>
        <v>show</v>
      </c>
      <c r="I2251">
        <v>1</v>
      </c>
      <c r="J2251">
        <v>0</v>
      </c>
      <c r="K2251">
        <v>0</v>
      </c>
      <c r="L2251">
        <v>0</v>
      </c>
      <c r="M2251" t="s">
        <v>17</v>
      </c>
    </row>
    <row r="2252" spans="1:13" hidden="1" x14ac:dyDescent="0.15">
      <c r="A2252" t="s">
        <v>7201</v>
      </c>
      <c r="B2252" t="s">
        <v>4871</v>
      </c>
      <c r="C2252" t="s">
        <v>504</v>
      </c>
      <c r="D2252" t="s">
        <v>7199</v>
      </c>
      <c r="E2252">
        <v>453</v>
      </c>
      <c r="F2252" t="str">
        <f>HYPERLINK("https://github.com/tanrabad/survey/issues/4", "show")</f>
        <v>show</v>
      </c>
      <c r="G2252" t="str">
        <f>HYPERLINK("https://github.com/tanrabad/survey", "show")</f>
        <v>show</v>
      </c>
      <c r="H2252" t="str">
        <f>HYPERLINK("https://github.com/tanrabad/survey/releases", "show")</f>
        <v>show</v>
      </c>
      <c r="I2252">
        <v>1</v>
      </c>
      <c r="J2252">
        <v>0</v>
      </c>
      <c r="K2252">
        <v>0</v>
      </c>
      <c r="L2252">
        <v>0</v>
      </c>
      <c r="M2252" t="s">
        <v>17</v>
      </c>
    </row>
    <row r="2253" spans="1:13" hidden="1" x14ac:dyDescent="0.15">
      <c r="A2253" t="s">
        <v>7202</v>
      </c>
      <c r="B2253" t="s">
        <v>4871</v>
      </c>
      <c r="C2253" t="s">
        <v>504</v>
      </c>
      <c r="D2253" t="s">
        <v>7199</v>
      </c>
      <c r="E2253">
        <v>453</v>
      </c>
      <c r="F2253" t="str">
        <f>HYPERLINK("https://github.com/tanrabad/survey/issues/3", "show")</f>
        <v>show</v>
      </c>
      <c r="G2253" t="str">
        <f>HYPERLINK("https://github.com/tanrabad/survey", "show")</f>
        <v>show</v>
      </c>
      <c r="H2253" t="str">
        <f>HYPERLINK("https://github.com/tanrabad/survey/releases", "show")</f>
        <v>show</v>
      </c>
      <c r="I2253">
        <v>1</v>
      </c>
      <c r="J2253">
        <v>0</v>
      </c>
      <c r="K2253">
        <v>0</v>
      </c>
      <c r="L2253">
        <v>0</v>
      </c>
      <c r="M2253" t="s">
        <v>17</v>
      </c>
    </row>
    <row r="2254" spans="1:13" hidden="1" x14ac:dyDescent="0.15">
      <c r="A2254" t="s">
        <v>7203</v>
      </c>
      <c r="B2254" t="s">
        <v>7204</v>
      </c>
      <c r="C2254" t="s">
        <v>7205</v>
      </c>
      <c r="D2254" t="s">
        <v>7206</v>
      </c>
      <c r="E2254">
        <v>2</v>
      </c>
      <c r="F2254" t="str">
        <f>HYPERLINK("https://github.com/maximova136/EffectiveTravel-client/issues/12", "show")</f>
        <v>show</v>
      </c>
      <c r="G2254" t="str">
        <f>HYPERLINK("https://github.com/maximova136/EffectiveTravel-client", "show")</f>
        <v>show</v>
      </c>
      <c r="H2254" t="str">
        <f>HYPERLINK("https://github.com/maximova136/EffectiveTravel-client/releases", "show")</f>
        <v>show</v>
      </c>
      <c r="I2254">
        <v>1</v>
      </c>
      <c r="J2254">
        <v>0</v>
      </c>
      <c r="K2254">
        <v>0</v>
      </c>
      <c r="L2254">
        <v>0</v>
      </c>
      <c r="M2254" t="s">
        <v>17</v>
      </c>
    </row>
    <row r="2255" spans="1:13" hidden="1" x14ac:dyDescent="0.15">
      <c r="A2255" t="s">
        <v>7207</v>
      </c>
      <c r="B2255" t="s">
        <v>7208</v>
      </c>
      <c r="C2255" t="s">
        <v>7209</v>
      </c>
      <c r="D2255" t="s">
        <v>7206</v>
      </c>
      <c r="E2255">
        <v>25</v>
      </c>
      <c r="F2255" t="str">
        <f>HYPERLINK("https://github.com/nextcloud/android/issues/425", "show")</f>
        <v>show</v>
      </c>
      <c r="G2255" t="str">
        <f>HYPERLINK("https://github.com/nextcloud/android", "show")</f>
        <v>show</v>
      </c>
      <c r="H2255" t="str">
        <f>HYPERLINK("https://github.com/nextcloud/android/releases", "show")</f>
        <v>show</v>
      </c>
      <c r="I2255">
        <v>1</v>
      </c>
      <c r="J2255">
        <v>0</v>
      </c>
      <c r="K2255">
        <v>1</v>
      </c>
      <c r="L2255">
        <v>0</v>
      </c>
      <c r="M2255" t="s">
        <v>64</v>
      </c>
    </row>
    <row r="2256" spans="1:13" hidden="1" x14ac:dyDescent="0.15">
      <c r="A2256" t="s">
        <v>7210</v>
      </c>
      <c r="B2256" t="s">
        <v>7211</v>
      </c>
      <c r="C2256" t="s">
        <v>7212</v>
      </c>
      <c r="D2256" t="s">
        <v>7206</v>
      </c>
      <c r="E2256">
        <v>53</v>
      </c>
      <c r="F2256" t="str">
        <f>HYPERLINK("https://github.com/Fleker/CumulusTV/issues/199", "show")</f>
        <v>show</v>
      </c>
      <c r="G2256" t="str">
        <f>HYPERLINK("https://github.com/Fleker/CumulusTV", "show")</f>
        <v>show</v>
      </c>
      <c r="H2256" t="str">
        <f>HYPERLINK("https://github.com/Fleker/CumulusTV/releases", "show")</f>
        <v>show</v>
      </c>
      <c r="I2256">
        <v>1</v>
      </c>
      <c r="J2256">
        <v>0</v>
      </c>
      <c r="K2256">
        <v>0</v>
      </c>
      <c r="L2256">
        <v>0</v>
      </c>
      <c r="M2256" t="s">
        <v>17</v>
      </c>
    </row>
    <row r="2257" spans="1:13" hidden="1" x14ac:dyDescent="0.15">
      <c r="A2257" t="s">
        <v>7213</v>
      </c>
      <c r="B2257" t="s">
        <v>7214</v>
      </c>
      <c r="C2257" t="s">
        <v>7215</v>
      </c>
      <c r="D2257" t="s">
        <v>7206</v>
      </c>
      <c r="E2257">
        <v>0</v>
      </c>
      <c r="F2257" t="str">
        <f>HYPERLINK("https://github.com/ozelevrim/EvrimNews/issues/4", "show")</f>
        <v>show</v>
      </c>
      <c r="G2257" t="str">
        <f>HYPERLINK("https://github.com/ozelevrim/EvrimNews", "show")</f>
        <v>show</v>
      </c>
      <c r="H2257" t="str">
        <f>HYPERLINK("https://github.com/ozelevrim/EvrimNews/releases", "show")</f>
        <v>show</v>
      </c>
      <c r="I2257">
        <v>1</v>
      </c>
      <c r="J2257">
        <v>0</v>
      </c>
      <c r="K2257">
        <v>0</v>
      </c>
      <c r="L2257">
        <v>0</v>
      </c>
      <c r="M2257" t="s">
        <v>17</v>
      </c>
    </row>
    <row r="2258" spans="1:13" hidden="1" x14ac:dyDescent="0.15">
      <c r="A2258" t="s">
        <v>7216</v>
      </c>
      <c r="B2258" t="s">
        <v>7217</v>
      </c>
      <c r="C2258" t="s">
        <v>7218</v>
      </c>
      <c r="D2258" t="s">
        <v>7206</v>
      </c>
      <c r="E2258">
        <v>0</v>
      </c>
      <c r="F2258" t="str">
        <f>HYPERLINK("https://github.com/ozelevrim/EvrimNews/issues/1", "show")</f>
        <v>show</v>
      </c>
      <c r="G2258" t="str">
        <f>HYPERLINK("https://github.com/ozelevrim/EvrimNews", "show")</f>
        <v>show</v>
      </c>
      <c r="H2258" t="str">
        <f>HYPERLINK("https://github.com/ozelevrim/EvrimNews/releases", "show")</f>
        <v>show</v>
      </c>
      <c r="I2258">
        <v>0</v>
      </c>
      <c r="J2258">
        <v>0</v>
      </c>
      <c r="K2258">
        <v>0</v>
      </c>
      <c r="L2258">
        <v>0</v>
      </c>
      <c r="M2258" t="s">
        <v>43</v>
      </c>
    </row>
    <row r="2259" spans="1:13" hidden="1" x14ac:dyDescent="0.15">
      <c r="A2259" t="s">
        <v>7219</v>
      </c>
      <c r="B2259" t="s">
        <v>7220</v>
      </c>
      <c r="C2259" t="s">
        <v>7221</v>
      </c>
      <c r="D2259" t="s">
        <v>7222</v>
      </c>
      <c r="E2259">
        <v>2</v>
      </c>
      <c r="F2259" t="str">
        <f>HYPERLINK("https://github.com/k9mail/k-9/issues/1836", "show")</f>
        <v>show</v>
      </c>
      <c r="G2259" t="str">
        <f>HYPERLINK("https://github.com/k9mail/k-9", "show")</f>
        <v>show</v>
      </c>
      <c r="H2259" t="str">
        <f>HYPERLINK("https://github.com/k9mail/k-9/releases", "show")</f>
        <v>show</v>
      </c>
      <c r="I2259">
        <v>1</v>
      </c>
      <c r="J2259">
        <v>0</v>
      </c>
      <c r="K2259">
        <v>0</v>
      </c>
      <c r="L2259">
        <v>0</v>
      </c>
      <c r="M2259" t="s">
        <v>17</v>
      </c>
    </row>
    <row r="2260" spans="1:13" hidden="1" x14ac:dyDescent="0.15">
      <c r="A2260" t="s">
        <v>7223</v>
      </c>
      <c r="B2260" t="s">
        <v>7224</v>
      </c>
      <c r="C2260" t="s">
        <v>7225</v>
      </c>
      <c r="D2260" t="s">
        <v>7222</v>
      </c>
      <c r="E2260">
        <v>5</v>
      </c>
      <c r="F2260" t="str">
        <f>HYPERLINK("https://github.com/elimu-ai/ml-authentication/issues/230", "show")</f>
        <v>show</v>
      </c>
      <c r="G2260" t="str">
        <f>HYPERLINK("https://github.com/elimu-ai/ml-authentication", "show")</f>
        <v>show</v>
      </c>
      <c r="H2260" t="str">
        <f>HYPERLINK("https://github.com/elimu-ai/ml-authentication/releases", "show")</f>
        <v>show</v>
      </c>
      <c r="I2260">
        <v>0</v>
      </c>
      <c r="J2260">
        <v>0</v>
      </c>
      <c r="K2260">
        <v>1</v>
      </c>
      <c r="L2260">
        <v>0</v>
      </c>
      <c r="M2260" t="s">
        <v>122</v>
      </c>
    </row>
    <row r="2261" spans="1:13" hidden="1" x14ac:dyDescent="0.15">
      <c r="A2261" t="s">
        <v>7226</v>
      </c>
      <c r="B2261" t="s">
        <v>7227</v>
      </c>
      <c r="C2261" t="s">
        <v>7228</v>
      </c>
      <c r="D2261" t="s">
        <v>7222</v>
      </c>
      <c r="E2261">
        <v>3</v>
      </c>
      <c r="F2261" t="str">
        <f>HYPERLINK("https://github.com/HugoGresse/Anecdote/issues/19", "show")</f>
        <v>show</v>
      </c>
      <c r="G2261" t="str">
        <f>HYPERLINK("https://github.com/HugoGresse/Anecdote", "show")</f>
        <v>show</v>
      </c>
      <c r="H2261" t="str">
        <f>HYPERLINK("https://github.com/HugoGresse/Anecdote/releases", "show")</f>
        <v>show</v>
      </c>
      <c r="I2261">
        <v>1</v>
      </c>
      <c r="J2261">
        <v>0</v>
      </c>
      <c r="K2261">
        <v>0</v>
      </c>
      <c r="L2261">
        <v>0</v>
      </c>
      <c r="M2261" t="s">
        <v>17</v>
      </c>
    </row>
    <row r="2262" spans="1:13" hidden="1" x14ac:dyDescent="0.15">
      <c r="A2262" t="s">
        <v>7229</v>
      </c>
      <c r="B2262" t="s">
        <v>7230</v>
      </c>
      <c r="C2262" t="s">
        <v>7231</v>
      </c>
      <c r="D2262" t="s">
        <v>7222</v>
      </c>
      <c r="E2262">
        <v>7</v>
      </c>
      <c r="F2262" t="str">
        <f>HYPERLINK("https://github.com/mudounet/TranslatorGame/issues/4", "show")</f>
        <v>show</v>
      </c>
      <c r="G2262" t="str">
        <f>HYPERLINK("https://github.com/mudounet/TranslatorGame", "show")</f>
        <v>show</v>
      </c>
      <c r="H2262" t="str">
        <f>HYPERLINK("https://github.com/mudounet/TranslatorGame/releases", "show")</f>
        <v>show</v>
      </c>
      <c r="I2262">
        <v>0</v>
      </c>
      <c r="J2262">
        <v>0</v>
      </c>
      <c r="K2262">
        <v>0</v>
      </c>
      <c r="L2262">
        <v>0</v>
      </c>
      <c r="M2262" t="s">
        <v>43</v>
      </c>
    </row>
    <row r="2263" spans="1:13" hidden="1" x14ac:dyDescent="0.15">
      <c r="A2263" t="s">
        <v>7232</v>
      </c>
      <c r="B2263" t="s">
        <v>7233</v>
      </c>
      <c r="C2263" t="s">
        <v>7234</v>
      </c>
      <c r="D2263" t="s">
        <v>7222</v>
      </c>
      <c r="E2263">
        <v>3</v>
      </c>
      <c r="F2263" t="str">
        <f>HYPERLINK("https://github.com/Cloudkibo/Android/issues/337", "show")</f>
        <v>show</v>
      </c>
      <c r="G2263" t="str">
        <f>HYPERLINK("https://github.com/Cloudkibo/Android", "show")</f>
        <v>show</v>
      </c>
      <c r="H2263" t="str">
        <f>HYPERLINK("https://github.com/Cloudkibo/Android/releases", "show")</f>
        <v>show</v>
      </c>
      <c r="I2263">
        <v>0</v>
      </c>
      <c r="J2263">
        <v>0</v>
      </c>
      <c r="K2263">
        <v>0</v>
      </c>
      <c r="L2263">
        <v>1</v>
      </c>
      <c r="M2263" t="s">
        <v>581</v>
      </c>
    </row>
    <row r="2264" spans="1:13" hidden="1" x14ac:dyDescent="0.15">
      <c r="A2264" t="s">
        <v>7235</v>
      </c>
      <c r="B2264" t="s">
        <v>7236</v>
      </c>
      <c r="C2264" t="s">
        <v>7237</v>
      </c>
      <c r="D2264" t="s">
        <v>7222</v>
      </c>
      <c r="E2264">
        <v>6</v>
      </c>
      <c r="F2264" t="str">
        <f>HYPERLINK("https://github.com/inaturalist/iNaturalistAndroid/issues/275", "show")</f>
        <v>show</v>
      </c>
      <c r="G2264" t="str">
        <f>HYPERLINK("https://github.com/inaturalist/iNaturalistAndroid", "show")</f>
        <v>show</v>
      </c>
      <c r="H2264" t="str">
        <f>HYPERLINK("https://github.com/inaturalist/iNaturalistAndroid/releases", "show")</f>
        <v>show</v>
      </c>
      <c r="I2264">
        <v>1</v>
      </c>
      <c r="J2264">
        <v>0</v>
      </c>
      <c r="K2264">
        <v>1</v>
      </c>
      <c r="L2264">
        <v>0</v>
      </c>
      <c r="M2264" t="s">
        <v>64</v>
      </c>
    </row>
    <row r="2265" spans="1:13" hidden="1" x14ac:dyDescent="0.15">
      <c r="A2265" t="s">
        <v>7238</v>
      </c>
      <c r="B2265" t="s">
        <v>7239</v>
      </c>
      <c r="C2265" t="s">
        <v>7240</v>
      </c>
      <c r="D2265" t="s">
        <v>7241</v>
      </c>
      <c r="E2265">
        <v>6</v>
      </c>
      <c r="F2265" t="str">
        <f>HYPERLINK("https://github.com/Cloudkibo/Android/issues/339", "show")</f>
        <v>show</v>
      </c>
      <c r="G2265" t="str">
        <f>HYPERLINK("https://github.com/Cloudkibo/Android", "show")</f>
        <v>show</v>
      </c>
      <c r="H2265" t="str">
        <f>HYPERLINK("https://github.com/Cloudkibo/Android/releases", "show")</f>
        <v>show</v>
      </c>
      <c r="I2265">
        <v>0</v>
      </c>
      <c r="J2265">
        <v>0</v>
      </c>
      <c r="K2265">
        <v>0</v>
      </c>
      <c r="L2265">
        <v>0</v>
      </c>
      <c r="M2265" t="s">
        <v>43</v>
      </c>
    </row>
    <row r="2266" spans="1:13" hidden="1" x14ac:dyDescent="0.15">
      <c r="A2266" t="s">
        <v>7242</v>
      </c>
      <c r="B2266" t="s">
        <v>7243</v>
      </c>
      <c r="C2266" t="s">
        <v>7244</v>
      </c>
      <c r="D2266" t="s">
        <v>7241</v>
      </c>
      <c r="E2266">
        <v>1</v>
      </c>
      <c r="F2266" t="str">
        <f>HYPERLINK("https://github.com/AppsFlyerSDK/appsflyer-react-native-plugin/issues/5", "show")</f>
        <v>show</v>
      </c>
      <c r="G2266" t="str">
        <f>HYPERLINK("https://github.com/AppsFlyerSDK/appsflyer-react-native-plugin", "show")</f>
        <v>show</v>
      </c>
      <c r="H2266" t="str">
        <f>HYPERLINK("https://github.com/AppsFlyerSDK/appsflyer-react-native-plugin/releases", "show")</f>
        <v>show</v>
      </c>
      <c r="I2266">
        <v>1</v>
      </c>
      <c r="J2266">
        <v>0</v>
      </c>
      <c r="K2266">
        <v>0</v>
      </c>
      <c r="L2266">
        <v>0</v>
      </c>
      <c r="M2266" t="s">
        <v>17</v>
      </c>
    </row>
    <row r="2267" spans="1:13" hidden="1" x14ac:dyDescent="0.15">
      <c r="A2267" t="s">
        <v>7245</v>
      </c>
      <c r="B2267" t="s">
        <v>7246</v>
      </c>
      <c r="C2267" t="s">
        <v>7247</v>
      </c>
      <c r="D2267" t="s">
        <v>7241</v>
      </c>
      <c r="E2267">
        <v>7</v>
      </c>
      <c r="F2267" t="str">
        <f>HYPERLINK("https://github.com/AppsFlyerSDK/appsflyer-react-native-plugin/issues/4", "show")</f>
        <v>show</v>
      </c>
      <c r="G2267" t="str">
        <f>HYPERLINK("https://github.com/AppsFlyerSDK/appsflyer-react-native-plugin", "show")</f>
        <v>show</v>
      </c>
      <c r="H2267" t="str">
        <f>HYPERLINK("https://github.com/AppsFlyerSDK/appsflyer-react-native-plugin/releases", "show")</f>
        <v>show</v>
      </c>
      <c r="I2267">
        <v>1</v>
      </c>
      <c r="J2267">
        <v>0</v>
      </c>
      <c r="K2267">
        <v>1</v>
      </c>
      <c r="L2267">
        <v>0</v>
      </c>
      <c r="M2267" t="s">
        <v>64</v>
      </c>
    </row>
    <row r="2268" spans="1:13" hidden="1" x14ac:dyDescent="0.15">
      <c r="A2268" t="s">
        <v>7248</v>
      </c>
      <c r="B2268" t="s">
        <v>7249</v>
      </c>
      <c r="C2268" t="s">
        <v>7250</v>
      </c>
      <c r="D2268" t="s">
        <v>7241</v>
      </c>
      <c r="E2268">
        <v>0</v>
      </c>
      <c r="F2268" t="str">
        <f>HYPERLINK("https://github.com/AdevintaSpain/Parallax-Layer-Layout/issues/12", "show")</f>
        <v>show</v>
      </c>
      <c r="G2268" t="str">
        <f>HYPERLINK("https://github.com/AdevintaSpain/Parallax-Layer-Layout", "show")</f>
        <v>show</v>
      </c>
      <c r="H2268" t="str">
        <f>HYPERLINK("https://github.com/AdevintaSpain/Parallax-Layer-Layout/releases", "show")</f>
        <v>show</v>
      </c>
      <c r="I2268">
        <v>1</v>
      </c>
      <c r="J2268">
        <v>0</v>
      </c>
      <c r="K2268">
        <v>0</v>
      </c>
      <c r="L2268">
        <v>0</v>
      </c>
      <c r="M2268" t="s">
        <v>17</v>
      </c>
    </row>
    <row r="2269" spans="1:13" hidden="1" x14ac:dyDescent="0.15">
      <c r="A2269" t="s">
        <v>7251</v>
      </c>
      <c r="B2269" t="s">
        <v>7252</v>
      </c>
      <c r="C2269" t="s">
        <v>7253</v>
      </c>
      <c r="D2269" t="s">
        <v>7254</v>
      </c>
      <c r="E2269">
        <v>53</v>
      </c>
      <c r="F2269" t="str">
        <f>HYPERLINK("https://github.com/getodk/collect/issues/289", "show")</f>
        <v>show</v>
      </c>
      <c r="G2269" t="str">
        <f>HYPERLINK("https://github.com/getodk/collect", "show")</f>
        <v>show</v>
      </c>
      <c r="H2269" t="str">
        <f>HYPERLINK("https://github.com/getodk/collect/releases", "show")</f>
        <v>show</v>
      </c>
      <c r="I2269">
        <v>1</v>
      </c>
      <c r="J2269">
        <v>1</v>
      </c>
      <c r="K2269">
        <v>1</v>
      </c>
      <c r="L2269">
        <v>0</v>
      </c>
      <c r="M2269" t="s">
        <v>59</v>
      </c>
    </row>
    <row r="2270" spans="1:13" hidden="1" x14ac:dyDescent="0.15">
      <c r="A2270" t="s">
        <v>7255</v>
      </c>
      <c r="B2270" t="s">
        <v>7256</v>
      </c>
      <c r="C2270" t="s">
        <v>7257</v>
      </c>
      <c r="D2270" t="s">
        <v>7258</v>
      </c>
      <c r="E2270">
        <v>31</v>
      </c>
      <c r="F2270" t="str">
        <f>HYPERLINK("https://github.com/lingochamp/FileDownloader/issues/420", "show")</f>
        <v>show</v>
      </c>
      <c r="G2270" t="str">
        <f>HYPERLINK("https://github.com/lingochamp/FileDownloader", "show")</f>
        <v>show</v>
      </c>
      <c r="H2270" t="str">
        <f>HYPERLINK("https://github.com/lingochamp/FileDownloader/releases", "show")</f>
        <v>show</v>
      </c>
      <c r="I2270">
        <v>1</v>
      </c>
      <c r="J2270">
        <v>0</v>
      </c>
      <c r="K2270">
        <v>1</v>
      </c>
      <c r="L2270">
        <v>0</v>
      </c>
      <c r="M2270" t="s">
        <v>64</v>
      </c>
    </row>
    <row r="2271" spans="1:13" hidden="1" x14ac:dyDescent="0.15">
      <c r="A2271" t="s">
        <v>7259</v>
      </c>
      <c r="B2271" t="s">
        <v>7260</v>
      </c>
      <c r="C2271" t="s">
        <v>7261</v>
      </c>
      <c r="D2271" t="s">
        <v>7262</v>
      </c>
      <c r="E2271">
        <v>2</v>
      </c>
      <c r="F2271" t="str">
        <f>HYPERLINK("https://github.com/syncthing/syncthing-android/issues/806", "show")</f>
        <v>show</v>
      </c>
      <c r="G2271" t="str">
        <f>HYPERLINK("https://github.com/syncthing/syncthing-android", "show")</f>
        <v>show</v>
      </c>
      <c r="H2271" t="str">
        <f>HYPERLINK("https://github.com/syncthing/syncthing-android/releases", "show")</f>
        <v>show</v>
      </c>
      <c r="I2271">
        <v>1</v>
      </c>
      <c r="J2271">
        <v>1</v>
      </c>
      <c r="K2271">
        <v>0</v>
      </c>
      <c r="L2271">
        <v>0</v>
      </c>
      <c r="M2271" t="s">
        <v>48</v>
      </c>
    </row>
    <row r="2272" spans="1:13" hidden="1" x14ac:dyDescent="0.15">
      <c r="A2272" t="s">
        <v>7263</v>
      </c>
      <c r="B2272" t="s">
        <v>7264</v>
      </c>
      <c r="C2272" t="s">
        <v>7265</v>
      </c>
      <c r="D2272" t="s">
        <v>7262</v>
      </c>
      <c r="E2272">
        <v>755</v>
      </c>
      <c r="F2272" t="str">
        <f>HYPERLINK("https://github.com/popcorn-official/popcorn-android/issues/106", "show")</f>
        <v>show</v>
      </c>
      <c r="G2272" t="str">
        <f>HYPERLINK("https://github.com/popcorn-official/popcorn-android", "show")</f>
        <v>show</v>
      </c>
      <c r="H2272" t="str">
        <f>HYPERLINK("https://github.com/popcorn-official/popcorn-android/releases", "show")</f>
        <v>show</v>
      </c>
      <c r="I2272">
        <v>1</v>
      </c>
      <c r="J2272">
        <v>1</v>
      </c>
      <c r="K2272">
        <v>0</v>
      </c>
      <c r="L2272">
        <v>0</v>
      </c>
      <c r="M2272" t="s">
        <v>48</v>
      </c>
    </row>
    <row r="2273" spans="1:13" hidden="1" x14ac:dyDescent="0.15">
      <c r="A2273" t="s">
        <v>7266</v>
      </c>
      <c r="B2273" t="s">
        <v>7267</v>
      </c>
      <c r="C2273" t="s">
        <v>7268</v>
      </c>
      <c r="D2273" t="s">
        <v>7262</v>
      </c>
      <c r="E2273">
        <v>102</v>
      </c>
      <c r="F2273" t="str">
        <f>HYPERLINK("https://github.com/yydcdut/RxMarkdown/issues/8", "show")</f>
        <v>show</v>
      </c>
      <c r="G2273" t="str">
        <f>HYPERLINK("https://github.com/yydcdut/RxMarkdown", "show")</f>
        <v>show</v>
      </c>
      <c r="H2273" t="str">
        <f>HYPERLINK("https://github.com/yydcdut/RxMarkdown/releases", "show")</f>
        <v>show</v>
      </c>
      <c r="I2273">
        <v>1</v>
      </c>
      <c r="J2273">
        <v>0</v>
      </c>
      <c r="K2273">
        <v>0</v>
      </c>
      <c r="L2273">
        <v>1</v>
      </c>
      <c r="M2273" t="s">
        <v>29</v>
      </c>
    </row>
    <row r="2274" spans="1:13" hidden="1" x14ac:dyDescent="0.15">
      <c r="A2274" t="s">
        <v>7269</v>
      </c>
      <c r="B2274" t="s">
        <v>7270</v>
      </c>
      <c r="C2274" t="s">
        <v>7271</v>
      </c>
      <c r="D2274" t="s">
        <v>7272</v>
      </c>
      <c r="E2274">
        <v>5</v>
      </c>
      <c r="F2274" t="str">
        <f>HYPERLINK("https://github.com/maximova136/EffectiveTravel-client/issues/25", "show")</f>
        <v>show</v>
      </c>
      <c r="G2274" t="str">
        <f>HYPERLINK("https://github.com/maximova136/EffectiveTravel-client", "show")</f>
        <v>show</v>
      </c>
      <c r="H2274" t="str">
        <f>HYPERLINK("https://github.com/maximova136/EffectiveTravel-client/releases", "show")</f>
        <v>show</v>
      </c>
      <c r="I2274">
        <v>0</v>
      </c>
      <c r="J2274">
        <v>0</v>
      </c>
      <c r="K2274">
        <v>0</v>
      </c>
      <c r="L2274">
        <v>0</v>
      </c>
      <c r="M2274" t="s">
        <v>43</v>
      </c>
    </row>
    <row r="2275" spans="1:13" hidden="1" x14ac:dyDescent="0.15">
      <c r="A2275" t="s">
        <v>7273</v>
      </c>
      <c r="B2275" t="s">
        <v>7274</v>
      </c>
      <c r="C2275" t="s">
        <v>7275</v>
      </c>
      <c r="D2275" t="s">
        <v>7272</v>
      </c>
      <c r="E2275">
        <v>1</v>
      </c>
      <c r="F2275" t="str">
        <f>HYPERLINK("https://github.com/nextcloud/android/issues/442", "show")</f>
        <v>show</v>
      </c>
      <c r="G2275" t="str">
        <f>HYPERLINK("https://github.com/nextcloud/android", "show")</f>
        <v>show</v>
      </c>
      <c r="H2275" t="str">
        <f>HYPERLINK("https://github.com/nextcloud/android/releases", "show")</f>
        <v>show</v>
      </c>
      <c r="I2275">
        <v>1</v>
      </c>
      <c r="J2275">
        <v>1</v>
      </c>
      <c r="K2275">
        <v>0</v>
      </c>
      <c r="L2275">
        <v>0</v>
      </c>
      <c r="M2275" t="s">
        <v>48</v>
      </c>
    </row>
    <row r="2276" spans="1:13" hidden="1" x14ac:dyDescent="0.15">
      <c r="A2276" t="s">
        <v>7276</v>
      </c>
      <c r="B2276" t="s">
        <v>7277</v>
      </c>
      <c r="C2276" t="s">
        <v>7278</v>
      </c>
      <c r="D2276" t="s">
        <v>7272</v>
      </c>
      <c r="E2276">
        <v>166</v>
      </c>
      <c r="F2276" t="str">
        <f>HYPERLINK("https://github.com/wasdennnoch/AndroidN-ify/issues/1259", "show")</f>
        <v>show</v>
      </c>
      <c r="G2276" t="str">
        <f>HYPERLINK("https://github.com/wasdennnoch/AndroidN-ify", "show")</f>
        <v>show</v>
      </c>
      <c r="H2276" t="str">
        <f>HYPERLINK("https://github.com/wasdennnoch/AndroidN-ify/releases", "show")</f>
        <v>show</v>
      </c>
      <c r="I2276">
        <v>1</v>
      </c>
      <c r="J2276">
        <v>1</v>
      </c>
      <c r="K2276">
        <v>0</v>
      </c>
      <c r="L2276">
        <v>0</v>
      </c>
      <c r="M2276" t="s">
        <v>48</v>
      </c>
    </row>
    <row r="2277" spans="1:13" hidden="1" x14ac:dyDescent="0.15">
      <c r="A2277" t="s">
        <v>7279</v>
      </c>
      <c r="B2277" t="s">
        <v>7280</v>
      </c>
      <c r="C2277" t="s">
        <v>504</v>
      </c>
      <c r="D2277" t="s">
        <v>7281</v>
      </c>
      <c r="E2277">
        <v>16</v>
      </c>
      <c r="F2277" t="str">
        <f>HYPERLINK("https://github.com/niclabs/adkintunmobile-androidclient/issues/142", "show")</f>
        <v>show</v>
      </c>
      <c r="G2277" t="str">
        <f>HYPERLINK("https://github.com/niclabs/adkintunmobile-androidclient", "show")</f>
        <v>show</v>
      </c>
      <c r="H2277" t="str">
        <f>HYPERLINK("https://github.com/niclabs/adkintunmobile-androidclient/releases", "show")</f>
        <v>show</v>
      </c>
      <c r="I2277">
        <v>1</v>
      </c>
      <c r="J2277">
        <v>0</v>
      </c>
      <c r="K2277">
        <v>0</v>
      </c>
      <c r="L2277">
        <v>0</v>
      </c>
      <c r="M2277" t="s">
        <v>17</v>
      </c>
    </row>
    <row r="2278" spans="1:13" hidden="1" x14ac:dyDescent="0.15">
      <c r="A2278" t="s">
        <v>7282</v>
      </c>
      <c r="B2278" t="s">
        <v>7283</v>
      </c>
      <c r="C2278" t="s">
        <v>7284</v>
      </c>
      <c r="D2278" t="s">
        <v>7285</v>
      </c>
      <c r="E2278">
        <v>15</v>
      </c>
      <c r="F2278" t="str">
        <f>HYPERLINK("https://github.com/Cloudkibo/Android/issues/351", "show")</f>
        <v>show</v>
      </c>
      <c r="G2278" t="str">
        <f>HYPERLINK("https://github.com/Cloudkibo/Android", "show")</f>
        <v>show</v>
      </c>
      <c r="H2278" t="str">
        <f>HYPERLINK("https://github.com/Cloudkibo/Android/releases", "show")</f>
        <v>show</v>
      </c>
      <c r="I2278">
        <v>0</v>
      </c>
      <c r="J2278">
        <v>0</v>
      </c>
      <c r="K2278">
        <v>0</v>
      </c>
      <c r="L2278">
        <v>0</v>
      </c>
      <c r="M2278" t="s">
        <v>43</v>
      </c>
    </row>
    <row r="2279" spans="1:13" hidden="1" x14ac:dyDescent="0.15">
      <c r="A2279" t="s">
        <v>7286</v>
      </c>
      <c r="B2279" t="s">
        <v>7287</v>
      </c>
      <c r="C2279" t="s">
        <v>7288</v>
      </c>
      <c r="D2279" t="s">
        <v>7285</v>
      </c>
      <c r="E2279">
        <v>182</v>
      </c>
      <c r="F2279" t="str">
        <f>HYPERLINK("https://github.com/wasdennnoch/AndroidN-ify/issues/1267", "show")</f>
        <v>show</v>
      </c>
      <c r="G2279" t="str">
        <f>HYPERLINK("https://github.com/wasdennnoch/AndroidN-ify", "show")</f>
        <v>show</v>
      </c>
      <c r="H2279" t="str">
        <f>HYPERLINK("https://github.com/wasdennnoch/AndroidN-ify/releases", "show")</f>
        <v>show</v>
      </c>
      <c r="I2279">
        <v>1</v>
      </c>
      <c r="J2279">
        <v>1</v>
      </c>
      <c r="K2279">
        <v>0</v>
      </c>
      <c r="L2279">
        <v>0</v>
      </c>
      <c r="M2279" t="s">
        <v>48</v>
      </c>
    </row>
    <row r="2280" spans="1:13" hidden="1" x14ac:dyDescent="0.15">
      <c r="A2280" t="s">
        <v>7289</v>
      </c>
      <c r="B2280" t="s">
        <v>7290</v>
      </c>
      <c r="C2280" t="s">
        <v>7291</v>
      </c>
      <c r="D2280" t="s">
        <v>7285</v>
      </c>
      <c r="E2280">
        <v>1</v>
      </c>
      <c r="F2280" t="str">
        <f>HYPERLINK("https://github.com/praekeltfoundation/gem-bbb-indo/issues/262", "show")</f>
        <v>show</v>
      </c>
      <c r="G2280" t="str">
        <f>HYPERLINK("https://github.com/praekeltfoundation/gem-bbb-indo", "show")</f>
        <v>show</v>
      </c>
      <c r="H2280" t="str">
        <f>HYPERLINK("https://github.com/praekeltfoundation/gem-bbb-indo/releases", "show")</f>
        <v>show</v>
      </c>
      <c r="I2280">
        <v>1</v>
      </c>
      <c r="J2280">
        <v>0</v>
      </c>
      <c r="K2280">
        <v>0</v>
      </c>
      <c r="L2280">
        <v>0</v>
      </c>
      <c r="M2280" t="s">
        <v>17</v>
      </c>
    </row>
    <row r="2281" spans="1:13" hidden="1" x14ac:dyDescent="0.15">
      <c r="A2281" t="s">
        <v>7292</v>
      </c>
      <c r="B2281" t="s">
        <v>7293</v>
      </c>
      <c r="C2281" t="s">
        <v>7294</v>
      </c>
      <c r="D2281" t="s">
        <v>7285</v>
      </c>
      <c r="E2281">
        <v>150</v>
      </c>
      <c r="F2281" t="str">
        <f>HYPERLINK("https://github.com/nextcloud/android/issues/448", "show")</f>
        <v>show</v>
      </c>
      <c r="G2281" t="str">
        <f>HYPERLINK("https://github.com/nextcloud/android", "show")</f>
        <v>show</v>
      </c>
      <c r="H2281" t="str">
        <f>HYPERLINK("https://github.com/nextcloud/android/releases", "show")</f>
        <v>show</v>
      </c>
      <c r="I2281">
        <v>1</v>
      </c>
      <c r="J2281">
        <v>1</v>
      </c>
      <c r="K2281">
        <v>1</v>
      </c>
      <c r="L2281">
        <v>0</v>
      </c>
      <c r="M2281" t="s">
        <v>59</v>
      </c>
    </row>
    <row r="2282" spans="1:13" hidden="1" x14ac:dyDescent="0.15">
      <c r="A2282" t="s">
        <v>7295</v>
      </c>
      <c r="B2282" t="s">
        <v>7296</v>
      </c>
      <c r="C2282" t="s">
        <v>7297</v>
      </c>
      <c r="D2282" t="s">
        <v>7298</v>
      </c>
      <c r="E2282">
        <v>5</v>
      </c>
      <c r="F2282" t="str">
        <f>HYPERLINK("https://github.com/julian-klode/dns66/issues/51", "show")</f>
        <v>show</v>
      </c>
      <c r="G2282" t="str">
        <f>HYPERLINK("https://github.com/julian-klode/dns66", "show")</f>
        <v>show</v>
      </c>
      <c r="H2282" t="str">
        <f>HYPERLINK("https://github.com/julian-klode/dns66/releases", "show")</f>
        <v>show</v>
      </c>
      <c r="I2282">
        <v>1</v>
      </c>
      <c r="J2282">
        <v>0</v>
      </c>
      <c r="K2282">
        <v>0</v>
      </c>
      <c r="L2282">
        <v>0</v>
      </c>
      <c r="M2282" t="s">
        <v>17</v>
      </c>
    </row>
    <row r="2283" spans="1:13" hidden="1" x14ac:dyDescent="0.15">
      <c r="A2283" t="s">
        <v>7299</v>
      </c>
      <c r="B2283" t="s">
        <v>7300</v>
      </c>
      <c r="C2283" t="s">
        <v>7301</v>
      </c>
      <c r="D2283" t="s">
        <v>7298</v>
      </c>
      <c r="E2283">
        <v>37</v>
      </c>
      <c r="F2283" t="str">
        <f>HYPERLINK("https://github.com/praekeltfoundation/gem-bbb-indo/issues/265", "show")</f>
        <v>show</v>
      </c>
      <c r="G2283" t="str">
        <f>HYPERLINK("https://github.com/praekeltfoundation/gem-bbb-indo", "show")</f>
        <v>show</v>
      </c>
      <c r="H2283" t="str">
        <f>HYPERLINK("https://github.com/praekeltfoundation/gem-bbb-indo/releases", "show")</f>
        <v>show</v>
      </c>
      <c r="I2283">
        <v>0</v>
      </c>
      <c r="J2283">
        <v>0</v>
      </c>
      <c r="K2283">
        <v>1</v>
      </c>
      <c r="L2283">
        <v>0</v>
      </c>
      <c r="M2283" t="s">
        <v>122</v>
      </c>
    </row>
    <row r="2284" spans="1:13" hidden="1" x14ac:dyDescent="0.15">
      <c r="A2284" t="s">
        <v>7302</v>
      </c>
      <c r="B2284" t="s">
        <v>7303</v>
      </c>
      <c r="C2284" t="s">
        <v>7304</v>
      </c>
      <c r="D2284" t="s">
        <v>7305</v>
      </c>
      <c r="E2284">
        <v>7</v>
      </c>
      <c r="F2284" t="str">
        <f>HYPERLINK("https://github.com/OneBusAway/onebusaway-android/issues/730", "show")</f>
        <v>show</v>
      </c>
      <c r="G2284" t="str">
        <f>HYPERLINK("https://github.com/OneBusAway/onebusaway-android", "show")</f>
        <v>show</v>
      </c>
      <c r="H2284" t="str">
        <f>HYPERLINK("https://github.com/OneBusAway/onebusaway-android/releases", "show")</f>
        <v>show</v>
      </c>
      <c r="I2284">
        <v>1</v>
      </c>
      <c r="J2284">
        <v>1</v>
      </c>
      <c r="K2284">
        <v>1</v>
      </c>
      <c r="L2284">
        <v>0</v>
      </c>
      <c r="M2284" t="s">
        <v>59</v>
      </c>
    </row>
    <row r="2285" spans="1:13" hidden="1" x14ac:dyDescent="0.15">
      <c r="A2285" t="s">
        <v>7306</v>
      </c>
      <c r="B2285" t="s">
        <v>7307</v>
      </c>
      <c r="C2285" t="s">
        <v>7308</v>
      </c>
      <c r="D2285" t="s">
        <v>7305</v>
      </c>
      <c r="E2285">
        <v>3</v>
      </c>
      <c r="F2285" t="str">
        <f>HYPERLINK("https://github.com/kontalk/androidclient/issues/901", "show")</f>
        <v>show</v>
      </c>
      <c r="G2285" t="str">
        <f>HYPERLINK("https://github.com/kontalk/androidclient", "show")</f>
        <v>show</v>
      </c>
      <c r="H2285" t="str">
        <f>HYPERLINK("https://github.com/kontalk/androidclient/releases", "show")</f>
        <v>show</v>
      </c>
      <c r="I2285">
        <v>1</v>
      </c>
      <c r="J2285">
        <v>0</v>
      </c>
      <c r="K2285">
        <v>1</v>
      </c>
      <c r="L2285">
        <v>0</v>
      </c>
      <c r="M2285" t="s">
        <v>64</v>
      </c>
    </row>
    <row r="2286" spans="1:13" hidden="1" x14ac:dyDescent="0.15">
      <c r="A2286" t="s">
        <v>7309</v>
      </c>
      <c r="B2286" t="s">
        <v>7310</v>
      </c>
      <c r="C2286" t="s">
        <v>7311</v>
      </c>
      <c r="D2286" t="s">
        <v>7305</v>
      </c>
      <c r="E2286">
        <v>40</v>
      </c>
      <c r="F2286" t="str">
        <f>HYPERLINK("https://github.com/googlesamples/easypermissions/issues/65", "show")</f>
        <v>show</v>
      </c>
      <c r="G2286" t="str">
        <f>HYPERLINK("https://github.com/googlesamples/easypermissions", "show")</f>
        <v>show</v>
      </c>
      <c r="H2286" t="str">
        <f>HYPERLINK("https://github.com/googlesamples/easypermissions/releases", "show")</f>
        <v>show</v>
      </c>
      <c r="I2286">
        <v>1</v>
      </c>
      <c r="J2286">
        <v>0</v>
      </c>
      <c r="K2286">
        <v>1</v>
      </c>
      <c r="L2286">
        <v>0</v>
      </c>
      <c r="M2286" t="s">
        <v>64</v>
      </c>
    </row>
    <row r="2287" spans="1:13" hidden="1" x14ac:dyDescent="0.15">
      <c r="A2287" t="s">
        <v>7312</v>
      </c>
      <c r="B2287" t="s">
        <v>7313</v>
      </c>
      <c r="C2287" t="s">
        <v>7314</v>
      </c>
      <c r="D2287" t="s">
        <v>7305</v>
      </c>
      <c r="E2287">
        <v>551</v>
      </c>
      <c r="F2287" t="str">
        <f>HYPERLINK("https://github.com/OpenArchive/Save-app-android/issues/51", "show")</f>
        <v>show</v>
      </c>
      <c r="G2287" t="str">
        <f>HYPERLINK("https://github.com/OpenArchive/Save-app-android", "show")</f>
        <v>show</v>
      </c>
      <c r="H2287" t="str">
        <f>HYPERLINK("https://github.com/OpenArchive/Save-app-android/releases", "show")</f>
        <v>show</v>
      </c>
      <c r="I2287">
        <v>1</v>
      </c>
      <c r="J2287">
        <v>0</v>
      </c>
      <c r="K2287">
        <v>1</v>
      </c>
      <c r="L2287">
        <v>0</v>
      </c>
      <c r="M2287" t="s">
        <v>64</v>
      </c>
    </row>
    <row r="2288" spans="1:13" hidden="1" x14ac:dyDescent="0.15">
      <c r="A2288" t="s">
        <v>7315</v>
      </c>
      <c r="B2288" t="s">
        <v>7316</v>
      </c>
      <c r="C2288" t="s">
        <v>7317</v>
      </c>
      <c r="D2288" t="s">
        <v>7305</v>
      </c>
      <c r="E2288">
        <v>20</v>
      </c>
      <c r="F2288" t="str">
        <f>HYPERLINK("https://github.com/HRVBand/hrv-band/issues/76", "show")</f>
        <v>show</v>
      </c>
      <c r="G2288" t="str">
        <f>HYPERLINK("https://github.com/HRVBand/hrv-band", "show")</f>
        <v>show</v>
      </c>
      <c r="H2288" t="str">
        <f>HYPERLINK("https://github.com/HRVBand/hrv-band/releases", "show")</f>
        <v>show</v>
      </c>
      <c r="I2288">
        <v>0</v>
      </c>
      <c r="J2288">
        <v>0</v>
      </c>
      <c r="K2288">
        <v>1</v>
      </c>
      <c r="L2288">
        <v>0</v>
      </c>
      <c r="M2288" t="s">
        <v>122</v>
      </c>
    </row>
    <row r="2289" spans="1:13" hidden="1" x14ac:dyDescent="0.15">
      <c r="A2289" t="s">
        <v>7318</v>
      </c>
      <c r="B2289" t="s">
        <v>7319</v>
      </c>
      <c r="D2289" t="s">
        <v>7305</v>
      </c>
      <c r="E2289">
        <v>25</v>
      </c>
      <c r="F2289" t="str">
        <f>HYPERLINK("https://github.com/Gear61/Random-Number-Generator/issues/9", "show")</f>
        <v>show</v>
      </c>
      <c r="G2289" t="str">
        <f>HYPERLINK("https://github.com/Gear61/Random-Number-Generator", "show")</f>
        <v>show</v>
      </c>
      <c r="H2289" t="str">
        <f>HYPERLINK("https://github.com/Gear61/Random-Number-Generator/releases", "show")</f>
        <v>show</v>
      </c>
      <c r="I2289">
        <v>1</v>
      </c>
      <c r="J2289">
        <v>0</v>
      </c>
      <c r="K2289">
        <v>0</v>
      </c>
      <c r="L2289">
        <v>0</v>
      </c>
      <c r="M2289" t="s">
        <v>17</v>
      </c>
    </row>
    <row r="2290" spans="1:13" hidden="1" x14ac:dyDescent="0.15">
      <c r="A2290" t="s">
        <v>7320</v>
      </c>
      <c r="B2290" t="s">
        <v>7321</v>
      </c>
      <c r="C2290" t="s">
        <v>7322</v>
      </c>
      <c r="D2290" t="s">
        <v>7305</v>
      </c>
      <c r="E2290">
        <v>31</v>
      </c>
      <c r="F2290" t="str">
        <f>HYPERLINK("https://github.com/schotten-totten-company/schotten-totten/issues/8", "show")</f>
        <v>show</v>
      </c>
      <c r="G2290" t="str">
        <f>HYPERLINK("https://github.com/schotten-totten-company/schotten-totten", "show")</f>
        <v>show</v>
      </c>
      <c r="H2290" t="str">
        <f>HYPERLINK("https://github.com/schotten-totten-company/schotten-totten/releases", "show")</f>
        <v>show</v>
      </c>
      <c r="I2290">
        <v>0</v>
      </c>
      <c r="J2290">
        <v>0</v>
      </c>
      <c r="K2290">
        <v>0</v>
      </c>
      <c r="L2290">
        <v>1</v>
      </c>
      <c r="M2290" t="s">
        <v>581</v>
      </c>
    </row>
    <row r="2291" spans="1:13" hidden="1" x14ac:dyDescent="0.15">
      <c r="A2291" t="s">
        <v>7323</v>
      </c>
      <c r="B2291" t="s">
        <v>7324</v>
      </c>
      <c r="C2291" t="s">
        <v>7325</v>
      </c>
      <c r="D2291" t="s">
        <v>7305</v>
      </c>
      <c r="E2291">
        <v>6</v>
      </c>
      <c r="F2291" t="str">
        <f>HYPERLINK("https://github.com/praekeltfoundation/gem-bbb-indo/issues/268", "show")</f>
        <v>show</v>
      </c>
      <c r="G2291" t="str">
        <f>HYPERLINK("https://github.com/praekeltfoundation/gem-bbb-indo", "show")</f>
        <v>show</v>
      </c>
      <c r="H2291" t="str">
        <f>HYPERLINK("https://github.com/praekeltfoundation/gem-bbb-indo/releases", "show")</f>
        <v>show</v>
      </c>
      <c r="I2291">
        <v>1</v>
      </c>
      <c r="J2291">
        <v>0</v>
      </c>
      <c r="K2291">
        <v>0</v>
      </c>
      <c r="L2291">
        <v>0</v>
      </c>
      <c r="M2291" t="s">
        <v>17</v>
      </c>
    </row>
    <row r="2292" spans="1:13" hidden="1" x14ac:dyDescent="0.15">
      <c r="A2292" t="s">
        <v>7326</v>
      </c>
      <c r="B2292" t="s">
        <v>7327</v>
      </c>
      <c r="C2292" t="s">
        <v>7328</v>
      </c>
      <c r="D2292" t="s">
        <v>7329</v>
      </c>
      <c r="E2292">
        <v>177</v>
      </c>
      <c r="F2292" t="str">
        <f>HYPERLINK("https://github.com/projectwife/mtesitoo-android/issues/59", "show")</f>
        <v>show</v>
      </c>
      <c r="G2292" t="str">
        <f>HYPERLINK("https://github.com/projectwife/mtesitoo-android", "show")</f>
        <v>show</v>
      </c>
      <c r="H2292" t="str">
        <f>HYPERLINK("https://github.com/projectwife/mtesitoo-android/releases", "show")</f>
        <v>show</v>
      </c>
      <c r="I2292">
        <v>0</v>
      </c>
      <c r="J2292">
        <v>0</v>
      </c>
      <c r="K2292">
        <v>1</v>
      </c>
      <c r="L2292">
        <v>0</v>
      </c>
      <c r="M2292" t="s">
        <v>122</v>
      </c>
    </row>
    <row r="2293" spans="1:13" hidden="1" x14ac:dyDescent="0.15">
      <c r="A2293" t="s">
        <v>7330</v>
      </c>
      <c r="B2293" t="s">
        <v>7331</v>
      </c>
      <c r="C2293" t="s">
        <v>7332</v>
      </c>
      <c r="D2293" t="s">
        <v>7329</v>
      </c>
      <c r="E2293">
        <v>0</v>
      </c>
      <c r="F2293" t="str">
        <f>HYPERLINK("https://github.com/veritrans/veritrans-android/issues/194", "show")</f>
        <v>show</v>
      </c>
      <c r="G2293" t="str">
        <f>HYPERLINK("https://github.com/veritrans/veritrans-android", "show")</f>
        <v>show</v>
      </c>
      <c r="H2293" t="str">
        <f>HYPERLINK("https://github.com/veritrans/veritrans-android/releases", "show")</f>
        <v>show</v>
      </c>
      <c r="I2293">
        <v>1</v>
      </c>
      <c r="J2293">
        <v>0</v>
      </c>
      <c r="K2293">
        <v>0</v>
      </c>
      <c r="L2293">
        <v>0</v>
      </c>
      <c r="M2293" t="s">
        <v>17</v>
      </c>
    </row>
    <row r="2294" spans="1:13" hidden="1" x14ac:dyDescent="0.15">
      <c r="A2294" t="s">
        <v>7333</v>
      </c>
      <c r="B2294" t="s">
        <v>7334</v>
      </c>
      <c r="C2294" t="s">
        <v>7335</v>
      </c>
      <c r="D2294" t="s">
        <v>7336</v>
      </c>
      <c r="E2294">
        <v>3</v>
      </c>
      <c r="F2294" t="str">
        <f>HYPERLINK("https://github.com/tvbarthel/IntentShare/issues/46", "show")</f>
        <v>show</v>
      </c>
      <c r="G2294" t="str">
        <f>HYPERLINK("https://github.com/tvbarthel/IntentShare", "show")</f>
        <v>show</v>
      </c>
      <c r="H2294" t="str">
        <f>HYPERLINK("https://github.com/tvbarthel/IntentShare/releases", "show")</f>
        <v>show</v>
      </c>
      <c r="I2294">
        <v>1</v>
      </c>
      <c r="J2294">
        <v>0</v>
      </c>
      <c r="K2294">
        <v>1</v>
      </c>
      <c r="L2294">
        <v>0</v>
      </c>
      <c r="M2294" t="s">
        <v>64</v>
      </c>
    </row>
    <row r="2295" spans="1:13" hidden="1" x14ac:dyDescent="0.15">
      <c r="A2295" t="s">
        <v>7337</v>
      </c>
      <c r="B2295" t="s">
        <v>7338</v>
      </c>
      <c r="C2295" t="s">
        <v>7339</v>
      </c>
      <c r="D2295" t="s">
        <v>7336</v>
      </c>
      <c r="E2295">
        <v>0</v>
      </c>
      <c r="F2295" t="str">
        <f>HYPERLINK("https://github.com/vanilla-music/vanilla/issues/490", "show")</f>
        <v>show</v>
      </c>
      <c r="G2295" t="str">
        <f>HYPERLINK("https://github.com/vanilla-music/vanilla", "show")</f>
        <v>show</v>
      </c>
      <c r="H2295" t="str">
        <f>HYPERLINK("https://github.com/vanilla-music/vanilla/releases", "show")</f>
        <v>show</v>
      </c>
      <c r="I2295">
        <v>0</v>
      </c>
      <c r="J2295">
        <v>0</v>
      </c>
      <c r="K2295">
        <v>0</v>
      </c>
      <c r="L2295">
        <v>0</v>
      </c>
      <c r="M2295" t="s">
        <v>43</v>
      </c>
    </row>
    <row r="2296" spans="1:13" hidden="1" x14ac:dyDescent="0.15">
      <c r="A2296" t="s">
        <v>7340</v>
      </c>
      <c r="B2296" t="s">
        <v>7341</v>
      </c>
      <c r="C2296" t="s">
        <v>7342</v>
      </c>
      <c r="D2296" t="s">
        <v>7343</v>
      </c>
      <c r="E2296">
        <v>9</v>
      </c>
      <c r="F2296" t="str">
        <f>HYPERLINK("https://github.com/kontalk/androidclient/issues/908", "show")</f>
        <v>show</v>
      </c>
      <c r="G2296" t="str">
        <f>HYPERLINK("https://github.com/kontalk/androidclient", "show")</f>
        <v>show</v>
      </c>
      <c r="H2296" t="str">
        <f>HYPERLINK("https://github.com/kontalk/androidclient/releases", "show")</f>
        <v>show</v>
      </c>
      <c r="I2296">
        <v>1</v>
      </c>
      <c r="J2296">
        <v>1</v>
      </c>
      <c r="K2296">
        <v>0</v>
      </c>
      <c r="L2296">
        <v>0</v>
      </c>
      <c r="M2296" t="s">
        <v>48</v>
      </c>
    </row>
    <row r="2297" spans="1:13" hidden="1" x14ac:dyDescent="0.15">
      <c r="A2297" t="s">
        <v>7344</v>
      </c>
      <c r="B2297" t="s">
        <v>7345</v>
      </c>
      <c r="C2297" t="s">
        <v>7346</v>
      </c>
      <c r="D2297" t="s">
        <v>7343</v>
      </c>
      <c r="E2297">
        <v>125</v>
      </c>
      <c r="F2297" t="str">
        <f>HYPERLINK("https://github.com/danikula/AndroidVideoCache/issues/105", "show")</f>
        <v>show</v>
      </c>
      <c r="G2297" t="str">
        <f>HYPERLINK("https://github.com/danikula/AndroidVideoCache", "show")</f>
        <v>show</v>
      </c>
      <c r="H2297" t="str">
        <f>HYPERLINK("https://github.com/danikula/AndroidVideoCache/releases", "show")</f>
        <v>show</v>
      </c>
      <c r="I2297">
        <v>0</v>
      </c>
      <c r="J2297">
        <v>0</v>
      </c>
      <c r="K2297">
        <v>1</v>
      </c>
      <c r="L2297">
        <v>0</v>
      </c>
      <c r="M2297" t="s">
        <v>122</v>
      </c>
    </row>
    <row r="2298" spans="1:13" hidden="1" x14ac:dyDescent="0.15">
      <c r="A2298" t="s">
        <v>7347</v>
      </c>
      <c r="B2298" t="s">
        <v>7348</v>
      </c>
      <c r="D2298" t="s">
        <v>7343</v>
      </c>
      <c r="E2298">
        <v>17</v>
      </c>
      <c r="F2298" t="str">
        <f>HYPERLINK("https://github.com/dimamo5/movimento1euro-android/issues/55", "show")</f>
        <v>show</v>
      </c>
      <c r="G2298" t="str">
        <f>HYPERLINK("https://github.com/dimamo5/movimento1euro-android", "show")</f>
        <v>show</v>
      </c>
      <c r="H2298" t="str">
        <f>HYPERLINK("https://github.com/dimamo5/movimento1euro-android/releases", "show")</f>
        <v>show</v>
      </c>
      <c r="I2298">
        <v>1</v>
      </c>
      <c r="J2298">
        <v>0</v>
      </c>
      <c r="K2298">
        <v>0</v>
      </c>
      <c r="L2298">
        <v>0</v>
      </c>
      <c r="M2298" t="s">
        <v>17</v>
      </c>
    </row>
    <row r="2299" spans="1:13" hidden="1" x14ac:dyDescent="0.15">
      <c r="A2299" t="s">
        <v>7349</v>
      </c>
      <c r="B2299" t="s">
        <v>7350</v>
      </c>
      <c r="C2299" t="s">
        <v>7351</v>
      </c>
      <c r="D2299" t="s">
        <v>7352</v>
      </c>
      <c r="E2299">
        <v>0</v>
      </c>
      <c r="F2299" t="str">
        <f>HYPERLINK("https://github.com/schedjoules/android-event-discovery-sdk/issues/48", "show")</f>
        <v>show</v>
      </c>
      <c r="G2299" t="str">
        <f>HYPERLINK("https://github.com/schedjoules/android-event-discovery-sdk", "show")</f>
        <v>show</v>
      </c>
      <c r="H2299" t="str">
        <f>HYPERLINK("https://github.com/schedjoules/android-event-discovery-sdk/releases", "show")</f>
        <v>show</v>
      </c>
      <c r="I2299">
        <v>1</v>
      </c>
      <c r="J2299">
        <v>0</v>
      </c>
      <c r="K2299">
        <v>1</v>
      </c>
      <c r="L2299">
        <v>0</v>
      </c>
      <c r="M2299" t="s">
        <v>64</v>
      </c>
    </row>
    <row r="2300" spans="1:13" hidden="1" x14ac:dyDescent="0.15">
      <c r="A2300" t="s">
        <v>7353</v>
      </c>
      <c r="B2300" t="s">
        <v>7354</v>
      </c>
      <c r="C2300" t="s">
        <v>7355</v>
      </c>
      <c r="D2300" t="s">
        <v>7356</v>
      </c>
      <c r="E2300">
        <v>0</v>
      </c>
      <c r="F2300" t="str">
        <f>HYPERLINK("https://github.com/kontalk/androidclient/issues/911", "show")</f>
        <v>show</v>
      </c>
      <c r="G2300" t="str">
        <f>HYPERLINK("https://github.com/kontalk/androidclient", "show")</f>
        <v>show</v>
      </c>
      <c r="H2300" t="str">
        <f>HYPERLINK("https://github.com/kontalk/androidclient/releases", "show")</f>
        <v>show</v>
      </c>
      <c r="I2300">
        <v>1</v>
      </c>
      <c r="J2300">
        <v>1</v>
      </c>
      <c r="K2300">
        <v>1</v>
      </c>
      <c r="L2300">
        <v>0</v>
      </c>
      <c r="M2300" t="s">
        <v>59</v>
      </c>
    </row>
    <row r="2301" spans="1:13" hidden="1" x14ac:dyDescent="0.15">
      <c r="A2301" t="s">
        <v>7357</v>
      </c>
      <c r="B2301" t="s">
        <v>7358</v>
      </c>
      <c r="D2301" t="s">
        <v>7356</v>
      </c>
      <c r="E2301">
        <v>36</v>
      </c>
      <c r="F2301" t="str">
        <f>HYPERLINK("https://github.com/WatchFriends/Android/issues/161", "show")</f>
        <v>show</v>
      </c>
      <c r="G2301" t="str">
        <f>HYPERLINK("https://github.com/WatchFriends/Android", "show")</f>
        <v>show</v>
      </c>
      <c r="H2301" t="str">
        <f>HYPERLINK("https://github.com/WatchFriends/Android/releases", "show")</f>
        <v>show</v>
      </c>
      <c r="I2301">
        <v>0</v>
      </c>
      <c r="J2301">
        <v>0</v>
      </c>
      <c r="K2301">
        <v>0</v>
      </c>
      <c r="L2301">
        <v>0</v>
      </c>
      <c r="M2301" t="s">
        <v>43</v>
      </c>
    </row>
    <row r="2302" spans="1:13" hidden="1" x14ac:dyDescent="0.15">
      <c r="A2302" t="s">
        <v>7359</v>
      </c>
      <c r="B2302" t="s">
        <v>7360</v>
      </c>
      <c r="C2302" t="s">
        <v>7361</v>
      </c>
      <c r="D2302" t="s">
        <v>7356</v>
      </c>
      <c r="E2302">
        <v>0</v>
      </c>
      <c r="F2302" t="str">
        <f>HYPERLINK("https://github.com/flowupio/FlowUpAndroidSDK/issues/172", "show")</f>
        <v>show</v>
      </c>
      <c r="G2302" t="str">
        <f>HYPERLINK("https://github.com/flowupio/FlowUpAndroidSDK", "show")</f>
        <v>show</v>
      </c>
      <c r="H2302" t="str">
        <f>HYPERLINK("https://github.com/flowupio/FlowUpAndroidSDK/releases", "show")</f>
        <v>show</v>
      </c>
      <c r="I2302">
        <v>0</v>
      </c>
      <c r="J2302">
        <v>0</v>
      </c>
      <c r="K2302">
        <v>1</v>
      </c>
      <c r="L2302">
        <v>0</v>
      </c>
      <c r="M2302" t="s">
        <v>122</v>
      </c>
    </row>
    <row r="2303" spans="1:13" hidden="1" x14ac:dyDescent="0.15">
      <c r="A2303" t="s">
        <v>7362</v>
      </c>
      <c r="B2303" t="s">
        <v>7363</v>
      </c>
      <c r="C2303" t="s">
        <v>7361</v>
      </c>
      <c r="D2303" t="s">
        <v>7356</v>
      </c>
      <c r="E2303">
        <v>0</v>
      </c>
      <c r="F2303" t="str">
        <f>HYPERLINK("https://github.com/flowupio/FlowUpAndroidSDK/issues/171", "show")</f>
        <v>show</v>
      </c>
      <c r="G2303" t="str">
        <f>HYPERLINK("https://github.com/flowupio/FlowUpAndroidSDK", "show")</f>
        <v>show</v>
      </c>
      <c r="H2303" t="str">
        <f>HYPERLINK("https://github.com/flowupio/FlowUpAndroidSDK/releases", "show")</f>
        <v>show</v>
      </c>
      <c r="I2303">
        <v>0</v>
      </c>
      <c r="J2303">
        <v>0</v>
      </c>
      <c r="K2303">
        <v>0</v>
      </c>
      <c r="L2303">
        <v>0</v>
      </c>
      <c r="M2303" t="s">
        <v>43</v>
      </c>
    </row>
    <row r="2304" spans="1:13" hidden="1" x14ac:dyDescent="0.15">
      <c r="A2304" t="s">
        <v>7364</v>
      </c>
      <c r="B2304" t="s">
        <v>7365</v>
      </c>
      <c r="D2304" t="s">
        <v>7356</v>
      </c>
      <c r="E2304">
        <v>0</v>
      </c>
      <c r="F2304" t="str">
        <f>HYPERLINK("https://github.com/veritrans/veritrans-android/issues/202", "show")</f>
        <v>show</v>
      </c>
      <c r="G2304" t="str">
        <f>HYPERLINK("https://github.com/veritrans/veritrans-android", "show")</f>
        <v>show</v>
      </c>
      <c r="H2304" t="str">
        <f>HYPERLINK("https://github.com/veritrans/veritrans-android/releases", "show")</f>
        <v>show</v>
      </c>
      <c r="I2304">
        <v>1</v>
      </c>
      <c r="J2304">
        <v>0</v>
      </c>
      <c r="K2304">
        <v>0</v>
      </c>
      <c r="L2304">
        <v>0</v>
      </c>
      <c r="M2304" t="s">
        <v>17</v>
      </c>
    </row>
    <row r="2305" spans="1:13" hidden="1" x14ac:dyDescent="0.15">
      <c r="A2305" t="s">
        <v>7366</v>
      </c>
      <c r="B2305" t="s">
        <v>7367</v>
      </c>
      <c r="C2305" t="s">
        <v>7368</v>
      </c>
      <c r="D2305" t="s">
        <v>7369</v>
      </c>
      <c r="E2305">
        <v>5</v>
      </c>
      <c r="F2305" t="str">
        <f>HYPERLINK("https://github.com/6peterlu/Breathalyzer/issues/11", "show")</f>
        <v>show</v>
      </c>
      <c r="G2305" t="str">
        <f>HYPERLINK("https://github.com/6peterlu/Breathalyzer", "show")</f>
        <v>show</v>
      </c>
      <c r="H2305" t="str">
        <f>HYPERLINK("https://github.com/6peterlu/Breathalyzer/releases", "show")</f>
        <v>show</v>
      </c>
      <c r="I2305">
        <v>0</v>
      </c>
      <c r="J2305">
        <v>0</v>
      </c>
      <c r="K2305">
        <v>0</v>
      </c>
      <c r="L2305">
        <v>0</v>
      </c>
      <c r="M2305" t="s">
        <v>43</v>
      </c>
    </row>
    <row r="2306" spans="1:13" hidden="1" x14ac:dyDescent="0.15">
      <c r="A2306" t="s">
        <v>7370</v>
      </c>
      <c r="B2306" t="s">
        <v>7371</v>
      </c>
      <c r="C2306" t="s">
        <v>7372</v>
      </c>
      <c r="D2306" t="s">
        <v>7373</v>
      </c>
      <c r="E2306">
        <v>3</v>
      </c>
      <c r="F2306" t="str">
        <f>HYPERLINK("https://github.com/syncthing/syncthing-android/issues/822", "show")</f>
        <v>show</v>
      </c>
      <c r="G2306" t="str">
        <f>HYPERLINK("https://github.com/syncthing/syncthing-android", "show")</f>
        <v>show</v>
      </c>
      <c r="H2306" t="str">
        <f>HYPERLINK("https://github.com/syncthing/syncthing-android/releases", "show")</f>
        <v>show</v>
      </c>
      <c r="I2306">
        <v>1</v>
      </c>
      <c r="J2306">
        <v>0</v>
      </c>
      <c r="K2306">
        <v>0</v>
      </c>
      <c r="L2306">
        <v>0</v>
      </c>
      <c r="M2306" t="s">
        <v>17</v>
      </c>
    </row>
    <row r="2307" spans="1:13" hidden="1" x14ac:dyDescent="0.15">
      <c r="A2307" t="s">
        <v>7374</v>
      </c>
      <c r="B2307" t="s">
        <v>7375</v>
      </c>
      <c r="C2307" t="s">
        <v>7376</v>
      </c>
      <c r="D2307" t="s">
        <v>7373</v>
      </c>
      <c r="E2307">
        <v>0</v>
      </c>
      <c r="F2307" t="str">
        <f>HYPERLINK("https://github.com/SecUSo/privacy-friendly-pedometer/issues/28", "show")</f>
        <v>show</v>
      </c>
      <c r="G2307" t="str">
        <f>HYPERLINK("https://github.com/SecUSo/privacy-friendly-pedometer", "show")</f>
        <v>show</v>
      </c>
      <c r="H2307" t="str">
        <f>HYPERLINK("https://github.com/SecUSo/privacy-friendly-pedometer/releases", "show")</f>
        <v>show</v>
      </c>
      <c r="I2307">
        <v>1</v>
      </c>
      <c r="J2307">
        <v>0</v>
      </c>
      <c r="K2307">
        <v>0</v>
      </c>
      <c r="L2307">
        <v>0</v>
      </c>
      <c r="M2307" t="s">
        <v>17</v>
      </c>
    </row>
    <row r="2308" spans="1:13" hidden="1" x14ac:dyDescent="0.15">
      <c r="A2308" t="s">
        <v>7377</v>
      </c>
      <c r="B2308" t="s">
        <v>7378</v>
      </c>
      <c r="D2308" t="s">
        <v>7379</v>
      </c>
      <c r="E2308">
        <v>51</v>
      </c>
      <c r="F2308" t="str">
        <f>HYPERLINK("https://github.com/amosyuen/FFmpegVideoRecorder/issues/3", "show")</f>
        <v>show</v>
      </c>
      <c r="G2308" t="str">
        <f>HYPERLINK("https://github.com/amosyuen/FFmpegVideoRecorder", "show")</f>
        <v>show</v>
      </c>
      <c r="H2308" t="str">
        <f>HYPERLINK("https://github.com/amosyuen/FFmpegVideoRecorder/releases", "show")</f>
        <v>show</v>
      </c>
      <c r="I2308">
        <v>0</v>
      </c>
      <c r="J2308">
        <v>0</v>
      </c>
      <c r="K2308">
        <v>0</v>
      </c>
      <c r="L2308">
        <v>1</v>
      </c>
      <c r="M2308" t="s">
        <v>581</v>
      </c>
    </row>
    <row r="2309" spans="1:13" hidden="1" x14ac:dyDescent="0.15">
      <c r="A2309" t="s">
        <v>7380</v>
      </c>
      <c r="B2309" t="s">
        <v>7381</v>
      </c>
      <c r="C2309" t="s">
        <v>7382</v>
      </c>
      <c r="D2309" t="s">
        <v>7383</v>
      </c>
      <c r="E2309">
        <v>3</v>
      </c>
      <c r="F2309" t="str">
        <f>HYPERLINK("https://github.com/Cloudkibo/Android/issues/380", "show")</f>
        <v>show</v>
      </c>
      <c r="G2309" t="str">
        <f>HYPERLINK("https://github.com/Cloudkibo/Android", "show")</f>
        <v>show</v>
      </c>
      <c r="H2309" t="str">
        <f>HYPERLINK("https://github.com/Cloudkibo/Android/releases", "show")</f>
        <v>show</v>
      </c>
      <c r="I2309">
        <v>1</v>
      </c>
      <c r="J2309">
        <v>0</v>
      </c>
      <c r="K2309">
        <v>0</v>
      </c>
      <c r="L2309">
        <v>1</v>
      </c>
      <c r="M2309" t="s">
        <v>29</v>
      </c>
    </row>
    <row r="2310" spans="1:13" hidden="1" x14ac:dyDescent="0.15">
      <c r="A2310" t="s">
        <v>7384</v>
      </c>
      <c r="B2310" t="s">
        <v>7385</v>
      </c>
      <c r="C2310" t="s">
        <v>7386</v>
      </c>
      <c r="D2310" t="s">
        <v>7387</v>
      </c>
      <c r="E2310">
        <v>44</v>
      </c>
      <c r="F2310" t="str">
        <f>HYPERLINK("https://github.com/morenoh149/react-native-contacts/issues/136", "show")</f>
        <v>show</v>
      </c>
      <c r="G2310" t="str">
        <f>HYPERLINK("https://github.com/morenoh149/react-native-contacts", "show")</f>
        <v>show</v>
      </c>
      <c r="H2310" t="str">
        <f>HYPERLINK("https://github.com/morenoh149/react-native-contacts/releases", "show")</f>
        <v>show</v>
      </c>
      <c r="I2310">
        <v>1</v>
      </c>
      <c r="J2310">
        <v>0</v>
      </c>
      <c r="K2310">
        <v>0</v>
      </c>
      <c r="L2310">
        <v>0</v>
      </c>
      <c r="M2310" t="s">
        <v>17</v>
      </c>
    </row>
    <row r="2311" spans="1:13" hidden="1" x14ac:dyDescent="0.15">
      <c r="A2311" t="s">
        <v>7388</v>
      </c>
      <c r="B2311" t="s">
        <v>7389</v>
      </c>
      <c r="C2311" t="s">
        <v>7390</v>
      </c>
      <c r="D2311" t="s">
        <v>7387</v>
      </c>
      <c r="E2311">
        <v>8</v>
      </c>
      <c r="F2311" t="str">
        <f>HYPERLINK("https://github.com/innoveit/react-native-ble-manager/issues/90", "show")</f>
        <v>show</v>
      </c>
      <c r="G2311" t="str">
        <f>HYPERLINK("https://github.com/innoveit/react-native-ble-manager", "show")</f>
        <v>show</v>
      </c>
      <c r="H2311" t="str">
        <f>HYPERLINK("https://github.com/innoveit/react-native-ble-manager/releases", "show")</f>
        <v>show</v>
      </c>
      <c r="I2311">
        <v>1</v>
      </c>
      <c r="J2311">
        <v>0</v>
      </c>
      <c r="K2311">
        <v>1</v>
      </c>
      <c r="L2311">
        <v>0</v>
      </c>
      <c r="M2311" t="s">
        <v>64</v>
      </c>
    </row>
    <row r="2312" spans="1:13" hidden="1" x14ac:dyDescent="0.15">
      <c r="A2312" t="s">
        <v>7391</v>
      </c>
      <c r="B2312" t="s">
        <v>7392</v>
      </c>
      <c r="C2312" t="s">
        <v>7393</v>
      </c>
      <c r="D2312" t="s">
        <v>7394</v>
      </c>
      <c r="E2312">
        <v>2</v>
      </c>
      <c r="F2312" t="str">
        <f>HYPERLINK("https://github.com/nextcloud/android/issues/477", "show")</f>
        <v>show</v>
      </c>
      <c r="G2312" t="str">
        <f>HYPERLINK("https://github.com/nextcloud/android", "show")</f>
        <v>show</v>
      </c>
      <c r="H2312" t="str">
        <f>HYPERLINK("https://github.com/nextcloud/android/releases", "show")</f>
        <v>show</v>
      </c>
      <c r="I2312">
        <v>0</v>
      </c>
      <c r="J2312">
        <v>1</v>
      </c>
      <c r="K2312">
        <v>1</v>
      </c>
      <c r="L2312">
        <v>0</v>
      </c>
      <c r="M2312" t="s">
        <v>699</v>
      </c>
    </row>
    <row r="2313" spans="1:13" hidden="1" x14ac:dyDescent="0.15">
      <c r="A2313" t="s">
        <v>7395</v>
      </c>
      <c r="B2313" t="s">
        <v>7396</v>
      </c>
      <c r="C2313" t="s">
        <v>7397</v>
      </c>
      <c r="D2313" t="s">
        <v>7394</v>
      </c>
      <c r="E2313">
        <v>1</v>
      </c>
      <c r="F2313" t="str">
        <f>HYPERLINK("https://github.com/dimagi/commcare-android/issues/1608", "show")</f>
        <v>show</v>
      </c>
      <c r="G2313" t="str">
        <f>HYPERLINK("https://github.com/dimagi/commcare-android", "show")</f>
        <v>show</v>
      </c>
      <c r="H2313" t="str">
        <f>HYPERLINK("https://github.com/dimagi/commcare-android/releases", "show")</f>
        <v>show</v>
      </c>
      <c r="I2313">
        <v>0</v>
      </c>
      <c r="J2313">
        <v>0</v>
      </c>
      <c r="K2313">
        <v>0</v>
      </c>
      <c r="L2313">
        <v>0</v>
      </c>
      <c r="M2313" t="s">
        <v>43</v>
      </c>
    </row>
    <row r="2314" spans="1:13" hidden="1" x14ac:dyDescent="0.15">
      <c r="A2314" t="s">
        <v>7398</v>
      </c>
      <c r="B2314" t="s">
        <v>7399</v>
      </c>
      <c r="C2314" t="s">
        <v>7400</v>
      </c>
      <c r="D2314" t="s">
        <v>7394</v>
      </c>
      <c r="E2314">
        <v>8</v>
      </c>
      <c r="F2314" t="str">
        <f>HYPERLINK("https://github.com/google/ExoPlayer/issues/2264", "show")</f>
        <v>show</v>
      </c>
      <c r="G2314" t="str">
        <f>HYPERLINK("https://github.com/google/ExoPlayer", "show")</f>
        <v>show</v>
      </c>
      <c r="H2314" t="str">
        <f>HYPERLINK("https://github.com/google/ExoPlayer/releases", "show")</f>
        <v>show</v>
      </c>
      <c r="I2314">
        <v>1</v>
      </c>
      <c r="J2314">
        <v>0</v>
      </c>
      <c r="K2314">
        <v>1</v>
      </c>
      <c r="L2314">
        <v>0</v>
      </c>
      <c r="M2314" t="s">
        <v>64</v>
      </c>
    </row>
    <row r="2315" spans="1:13" hidden="1" x14ac:dyDescent="0.15">
      <c r="A2315" t="s">
        <v>7401</v>
      </c>
      <c r="B2315" t="s">
        <v>7402</v>
      </c>
      <c r="C2315" t="s">
        <v>7403</v>
      </c>
      <c r="D2315" t="s">
        <v>7394</v>
      </c>
      <c r="E2315">
        <v>11</v>
      </c>
      <c r="F2315" t="str">
        <f>HYPERLINK("https://github.com/romandanylyk/PageIndicatorView/issues/13", "show")</f>
        <v>show</v>
      </c>
      <c r="G2315" t="str">
        <f>HYPERLINK("https://github.com/romandanylyk/PageIndicatorView", "show")</f>
        <v>show</v>
      </c>
      <c r="H2315" t="str">
        <f>HYPERLINK("https://github.com/romandanylyk/PageIndicatorView/releases", "show")</f>
        <v>show</v>
      </c>
      <c r="I2315">
        <v>0</v>
      </c>
      <c r="J2315">
        <v>0</v>
      </c>
      <c r="K2315">
        <v>1</v>
      </c>
      <c r="L2315">
        <v>0</v>
      </c>
      <c r="M2315" t="s">
        <v>122</v>
      </c>
    </row>
    <row r="2316" spans="1:13" hidden="1" x14ac:dyDescent="0.15">
      <c r="A2316" t="s">
        <v>7404</v>
      </c>
      <c r="B2316" t="s">
        <v>7405</v>
      </c>
      <c r="C2316" t="s">
        <v>7406</v>
      </c>
      <c r="D2316" t="s">
        <v>7407</v>
      </c>
      <c r="E2316">
        <v>1381</v>
      </c>
      <c r="F2316" t="str">
        <f>HYPERLINK("https://github.com/cachapa/AerialDream/issues/4", "show")</f>
        <v>show</v>
      </c>
      <c r="G2316" t="str">
        <f>HYPERLINK("https://github.com/cachapa/AerialDream", "show")</f>
        <v>show</v>
      </c>
      <c r="H2316" t="str">
        <f>HYPERLINK("https://github.com/cachapa/AerialDream/releases", "show")</f>
        <v>show</v>
      </c>
      <c r="I2316">
        <v>0</v>
      </c>
      <c r="J2316">
        <v>0</v>
      </c>
      <c r="K2316">
        <v>0</v>
      </c>
      <c r="L2316">
        <v>0</v>
      </c>
      <c r="M2316" t="s">
        <v>43</v>
      </c>
    </row>
    <row r="2317" spans="1:13" hidden="1" x14ac:dyDescent="0.15">
      <c r="A2317" t="s">
        <v>7408</v>
      </c>
      <c r="B2317" t="s">
        <v>7409</v>
      </c>
      <c r="C2317" t="s">
        <v>7410</v>
      </c>
      <c r="D2317" t="s">
        <v>7407</v>
      </c>
      <c r="E2317">
        <v>2</v>
      </c>
      <c r="F2317" t="str">
        <f>HYPERLINK("https://github.com/nextcloud/android/issues/483", "show")</f>
        <v>show</v>
      </c>
      <c r="G2317" t="str">
        <f>HYPERLINK("https://github.com/nextcloud/android", "show")</f>
        <v>show</v>
      </c>
      <c r="H2317" t="str">
        <f>HYPERLINK("https://github.com/nextcloud/android/releases", "show")</f>
        <v>show</v>
      </c>
      <c r="I2317">
        <v>1</v>
      </c>
      <c r="J2317">
        <v>0</v>
      </c>
      <c r="K2317">
        <v>0</v>
      </c>
      <c r="L2317">
        <v>0</v>
      </c>
      <c r="M2317" t="s">
        <v>17</v>
      </c>
    </row>
    <row r="2318" spans="1:13" hidden="1" x14ac:dyDescent="0.15">
      <c r="A2318" t="s">
        <v>7411</v>
      </c>
      <c r="B2318" t="s">
        <v>7412</v>
      </c>
      <c r="C2318" t="s">
        <v>7413</v>
      </c>
      <c r="D2318" t="s">
        <v>7414</v>
      </c>
      <c r="E2318">
        <v>8</v>
      </c>
      <c r="F2318" t="str">
        <f>HYPERLINK("https://github.com/inaturalist/iNaturalistAndroid/issues/287", "show")</f>
        <v>show</v>
      </c>
      <c r="G2318" t="str">
        <f>HYPERLINK("https://github.com/inaturalist/iNaturalistAndroid", "show")</f>
        <v>show</v>
      </c>
      <c r="H2318" t="str">
        <f>HYPERLINK("https://github.com/inaturalist/iNaturalistAndroid/releases", "show")</f>
        <v>show</v>
      </c>
      <c r="I2318">
        <v>1</v>
      </c>
      <c r="J2318">
        <v>0</v>
      </c>
      <c r="K2318">
        <v>1</v>
      </c>
      <c r="L2318">
        <v>0</v>
      </c>
      <c r="M2318" t="s">
        <v>64</v>
      </c>
    </row>
    <row r="2319" spans="1:13" hidden="1" x14ac:dyDescent="0.15">
      <c r="A2319" t="s">
        <v>7415</v>
      </c>
      <c r="B2319" t="s">
        <v>7416</v>
      </c>
      <c r="C2319" t="s">
        <v>504</v>
      </c>
      <c r="D2319" t="s">
        <v>7414</v>
      </c>
      <c r="E2319">
        <v>1</v>
      </c>
      <c r="F2319" t="str">
        <f>HYPERLINK("https://github.com/niclabs/adkintunmobile-androidclient/issues/149", "show")</f>
        <v>show</v>
      </c>
      <c r="G2319" t="str">
        <f>HYPERLINK("https://github.com/niclabs/adkintunmobile-androidclient", "show")</f>
        <v>show</v>
      </c>
      <c r="H2319" t="str">
        <f>HYPERLINK("https://github.com/niclabs/adkintunmobile-androidclient/releases", "show")</f>
        <v>show</v>
      </c>
      <c r="I2319">
        <v>1</v>
      </c>
      <c r="J2319">
        <v>0</v>
      </c>
      <c r="K2319">
        <v>0</v>
      </c>
      <c r="L2319">
        <v>0</v>
      </c>
      <c r="M2319" t="s">
        <v>17</v>
      </c>
    </row>
    <row r="2320" spans="1:13" hidden="1" x14ac:dyDescent="0.15">
      <c r="A2320" t="s">
        <v>7417</v>
      </c>
      <c r="B2320" t="s">
        <v>7418</v>
      </c>
      <c r="C2320" t="s">
        <v>7419</v>
      </c>
      <c r="D2320" t="s">
        <v>7414</v>
      </c>
      <c r="E2320">
        <v>139</v>
      </c>
      <c r="F2320" t="str">
        <f>HYPERLINK("https://github.com/eclipse/californium/issues/187", "show")</f>
        <v>show</v>
      </c>
      <c r="G2320" t="str">
        <f>HYPERLINK("https://github.com/eclipse/californium", "show")</f>
        <v>show</v>
      </c>
      <c r="H2320" t="str">
        <f>HYPERLINK("https://github.com/eclipse/californium/releases", "show")</f>
        <v>show</v>
      </c>
      <c r="I2320">
        <v>1</v>
      </c>
      <c r="J2320">
        <v>0</v>
      </c>
      <c r="K2320">
        <v>1</v>
      </c>
      <c r="L2320">
        <v>0</v>
      </c>
      <c r="M2320" t="s">
        <v>64</v>
      </c>
    </row>
    <row r="2321" spans="1:13" hidden="1" x14ac:dyDescent="0.15">
      <c r="A2321" t="s">
        <v>7420</v>
      </c>
      <c r="B2321" t="s">
        <v>7421</v>
      </c>
      <c r="D2321" t="s">
        <v>7422</v>
      </c>
      <c r="E2321">
        <v>1</v>
      </c>
      <c r="F2321" t="str">
        <f>HYPERLINK("https://github.com/tpb1908/AndroidProjectsClient/issues/24", "show")</f>
        <v>show</v>
      </c>
      <c r="G2321" t="str">
        <f>HYPERLINK("https://github.com/tpb1908/AndroidProjectsClient", "show")</f>
        <v>show</v>
      </c>
      <c r="H2321" t="str">
        <f>HYPERLINK("https://github.com/tpb1908/AndroidProjectsClient/releases", "show")</f>
        <v>show</v>
      </c>
      <c r="I2321">
        <v>0</v>
      </c>
      <c r="J2321">
        <v>0</v>
      </c>
      <c r="K2321">
        <v>0</v>
      </c>
      <c r="L2321">
        <v>0</v>
      </c>
      <c r="M2321" t="s">
        <v>43</v>
      </c>
    </row>
    <row r="2322" spans="1:13" hidden="1" x14ac:dyDescent="0.15">
      <c r="A2322" t="s">
        <v>7423</v>
      </c>
      <c r="B2322" t="s">
        <v>7424</v>
      </c>
      <c r="C2322" t="s">
        <v>7425</v>
      </c>
      <c r="D2322" t="s">
        <v>7422</v>
      </c>
      <c r="E2322">
        <v>1</v>
      </c>
      <c r="F2322" t="str">
        <f>HYPERLINK("https://github.com/elimu-ai/ml-authentication/issues/308", "show")</f>
        <v>show</v>
      </c>
      <c r="G2322" t="str">
        <f>HYPERLINK("https://github.com/elimu-ai/ml-authentication", "show")</f>
        <v>show</v>
      </c>
      <c r="H2322" t="str">
        <f>HYPERLINK("https://github.com/elimu-ai/ml-authentication/releases", "show")</f>
        <v>show</v>
      </c>
      <c r="I2322">
        <v>1</v>
      </c>
      <c r="J2322">
        <v>1</v>
      </c>
      <c r="K2322">
        <v>1</v>
      </c>
      <c r="L2322">
        <v>0</v>
      </c>
      <c r="M2322" t="s">
        <v>59</v>
      </c>
    </row>
    <row r="2323" spans="1:13" hidden="1" x14ac:dyDescent="0.15">
      <c r="A2323" t="s">
        <v>7426</v>
      </c>
      <c r="B2323" t="s">
        <v>7427</v>
      </c>
      <c r="C2323" t="s">
        <v>7428</v>
      </c>
      <c r="D2323" t="s">
        <v>7422</v>
      </c>
      <c r="E2323">
        <v>0</v>
      </c>
      <c r="F2323" t="str">
        <f>HYPERLINK("https://github.com/nextcloud/android/issues/492", "show")</f>
        <v>show</v>
      </c>
      <c r="G2323" t="str">
        <f>HYPERLINK("https://github.com/nextcloud/android", "show")</f>
        <v>show</v>
      </c>
      <c r="H2323" t="str">
        <f>HYPERLINK("https://github.com/nextcloud/android/releases", "show")</f>
        <v>show</v>
      </c>
      <c r="I2323">
        <v>1</v>
      </c>
      <c r="J2323">
        <v>0</v>
      </c>
      <c r="K2323">
        <v>0</v>
      </c>
      <c r="L2323">
        <v>0</v>
      </c>
      <c r="M2323" t="s">
        <v>17</v>
      </c>
    </row>
    <row r="2324" spans="1:13" hidden="1" x14ac:dyDescent="0.15">
      <c r="A2324" t="s">
        <v>7429</v>
      </c>
      <c r="B2324" t="s">
        <v>7430</v>
      </c>
      <c r="C2324" t="s">
        <v>7431</v>
      </c>
      <c r="D2324" t="s">
        <v>7422</v>
      </c>
      <c r="E2324">
        <v>174</v>
      </c>
      <c r="F2324" t="str">
        <f>HYPERLINK("https://github.com/nextcloud/android/issues/491", "show")</f>
        <v>show</v>
      </c>
      <c r="G2324" t="str">
        <f>HYPERLINK("https://github.com/nextcloud/android", "show")</f>
        <v>show</v>
      </c>
      <c r="H2324" t="str">
        <f>HYPERLINK("https://github.com/nextcloud/android/releases", "show")</f>
        <v>show</v>
      </c>
      <c r="I2324">
        <v>1</v>
      </c>
      <c r="J2324">
        <v>1</v>
      </c>
      <c r="K2324">
        <v>1</v>
      </c>
      <c r="L2324">
        <v>0</v>
      </c>
      <c r="M2324" t="s">
        <v>59</v>
      </c>
    </row>
    <row r="2325" spans="1:13" hidden="1" x14ac:dyDescent="0.15">
      <c r="A2325" t="s">
        <v>7432</v>
      </c>
      <c r="B2325" t="s">
        <v>7433</v>
      </c>
      <c r="C2325" t="s">
        <v>7434</v>
      </c>
      <c r="D2325" t="s">
        <v>7422</v>
      </c>
      <c r="E2325">
        <v>0</v>
      </c>
      <c r="F2325" t="str">
        <f>HYPERLINK("https://github.com/elimu-ai/ml-authentication/issues/301", "show")</f>
        <v>show</v>
      </c>
      <c r="G2325" t="str">
        <f>HYPERLINK("https://github.com/elimu-ai/ml-authentication", "show")</f>
        <v>show</v>
      </c>
      <c r="H2325" t="str">
        <f>HYPERLINK("https://github.com/elimu-ai/ml-authentication/releases", "show")</f>
        <v>show</v>
      </c>
      <c r="I2325">
        <v>1</v>
      </c>
      <c r="J2325">
        <v>1</v>
      </c>
      <c r="K2325">
        <v>0</v>
      </c>
      <c r="L2325">
        <v>0</v>
      </c>
      <c r="M2325" t="s">
        <v>48</v>
      </c>
    </row>
    <row r="2326" spans="1:13" hidden="1" x14ac:dyDescent="0.15">
      <c r="A2326" t="s">
        <v>7435</v>
      </c>
      <c r="B2326" t="s">
        <v>7436</v>
      </c>
      <c r="C2326" t="s">
        <v>504</v>
      </c>
      <c r="D2326" t="s">
        <v>7437</v>
      </c>
      <c r="E2326">
        <v>3</v>
      </c>
      <c r="F2326" t="str">
        <f>HYPERLINK("https://github.com/niclabs/adkintunmobile-androidclient/issues/152", "show")</f>
        <v>show</v>
      </c>
      <c r="G2326" t="str">
        <f>HYPERLINK("https://github.com/niclabs/adkintunmobile-androidclient", "show")</f>
        <v>show</v>
      </c>
      <c r="H2326" t="str">
        <f>HYPERLINK("https://github.com/niclabs/adkintunmobile-androidclient/releases", "show")</f>
        <v>show</v>
      </c>
      <c r="I2326">
        <v>1</v>
      </c>
      <c r="J2326">
        <v>0</v>
      </c>
      <c r="K2326">
        <v>0</v>
      </c>
      <c r="L2326">
        <v>0</v>
      </c>
      <c r="M2326" t="s">
        <v>17</v>
      </c>
    </row>
    <row r="2327" spans="1:13" hidden="1" x14ac:dyDescent="0.15">
      <c r="A2327" t="s">
        <v>7438</v>
      </c>
      <c r="B2327" t="s">
        <v>7439</v>
      </c>
      <c r="C2327" t="s">
        <v>7440</v>
      </c>
      <c r="D2327" t="s">
        <v>7437</v>
      </c>
      <c r="E2327">
        <v>23</v>
      </c>
      <c r="F2327" t="str">
        <f>HYPERLINK("https://github.com/codinguser/gnucash-android/issues/633", "show")</f>
        <v>show</v>
      </c>
      <c r="G2327" t="str">
        <f>HYPERLINK("https://github.com/codinguser/gnucash-android", "show")</f>
        <v>show</v>
      </c>
      <c r="H2327" t="str">
        <f>HYPERLINK("https://github.com/codinguser/gnucash-android/releases", "show")</f>
        <v>show</v>
      </c>
      <c r="I2327">
        <v>1</v>
      </c>
      <c r="J2327">
        <v>0</v>
      </c>
      <c r="K2327">
        <v>0</v>
      </c>
      <c r="L2327">
        <v>0</v>
      </c>
      <c r="M2327" t="s">
        <v>17</v>
      </c>
    </row>
    <row r="2328" spans="1:13" hidden="1" x14ac:dyDescent="0.15">
      <c r="A2328" t="s">
        <v>7441</v>
      </c>
      <c r="B2328" t="s">
        <v>7442</v>
      </c>
      <c r="C2328" t="s">
        <v>7443</v>
      </c>
      <c r="D2328" t="s">
        <v>7444</v>
      </c>
      <c r="E2328">
        <v>85</v>
      </c>
      <c r="F2328" t="str">
        <f>HYPERLINK("https://github.com/Neamar/KISS/issues/597", "show")</f>
        <v>show</v>
      </c>
      <c r="G2328" t="str">
        <f>HYPERLINK("https://github.com/Neamar/KISS", "show")</f>
        <v>show</v>
      </c>
      <c r="H2328" t="str">
        <f>HYPERLINK("https://github.com/Neamar/KISS/releases", "show")</f>
        <v>show</v>
      </c>
      <c r="I2328">
        <v>1</v>
      </c>
      <c r="J2328">
        <v>0</v>
      </c>
      <c r="K2328">
        <v>0</v>
      </c>
      <c r="L2328">
        <v>0</v>
      </c>
      <c r="M2328" t="s">
        <v>17</v>
      </c>
    </row>
    <row r="2329" spans="1:13" hidden="1" x14ac:dyDescent="0.15">
      <c r="A2329" t="s">
        <v>7445</v>
      </c>
      <c r="B2329" t="s">
        <v>7446</v>
      </c>
      <c r="C2329" t="s">
        <v>7447</v>
      </c>
      <c r="D2329" t="s">
        <v>7444</v>
      </c>
      <c r="E2329">
        <v>9</v>
      </c>
      <c r="F2329" t="str">
        <f>HYPERLINK("https://github.com/k9mail/k-9/issues/1908", "show")</f>
        <v>show</v>
      </c>
      <c r="G2329" t="str">
        <f>HYPERLINK("https://github.com/k9mail/k-9", "show")</f>
        <v>show</v>
      </c>
      <c r="H2329" t="str">
        <f>HYPERLINK("https://github.com/k9mail/k-9/releases", "show")</f>
        <v>show</v>
      </c>
      <c r="I2329">
        <v>0</v>
      </c>
      <c r="J2329">
        <v>0</v>
      </c>
      <c r="K2329">
        <v>0</v>
      </c>
      <c r="L2329">
        <v>0</v>
      </c>
      <c r="M2329" t="s">
        <v>43</v>
      </c>
    </row>
    <row r="2330" spans="1:13" hidden="1" x14ac:dyDescent="0.15">
      <c r="A2330" t="s">
        <v>7448</v>
      </c>
      <c r="B2330" t="s">
        <v>7449</v>
      </c>
      <c r="C2330" t="s">
        <v>504</v>
      </c>
      <c r="D2330" t="s">
        <v>7450</v>
      </c>
      <c r="E2330">
        <v>1</v>
      </c>
      <c r="F2330" t="str">
        <f>HYPERLINK("https://github.com/niclabs/adkintunmobile-androidclient/issues/153", "show")</f>
        <v>show</v>
      </c>
      <c r="G2330" t="str">
        <f>HYPERLINK("https://github.com/niclabs/adkintunmobile-androidclient", "show")</f>
        <v>show</v>
      </c>
      <c r="H2330" t="str">
        <f>HYPERLINK("https://github.com/niclabs/adkintunmobile-androidclient/releases", "show")</f>
        <v>show</v>
      </c>
      <c r="I2330">
        <v>1</v>
      </c>
      <c r="J2330">
        <v>0</v>
      </c>
      <c r="K2330">
        <v>0</v>
      </c>
      <c r="L2330">
        <v>0</v>
      </c>
      <c r="M2330" t="s">
        <v>17</v>
      </c>
    </row>
    <row r="2331" spans="1:13" hidden="1" x14ac:dyDescent="0.15">
      <c r="A2331" t="s">
        <v>7451</v>
      </c>
      <c r="B2331" t="s">
        <v>7452</v>
      </c>
      <c r="C2331" t="s">
        <v>7453</v>
      </c>
      <c r="D2331" t="s">
        <v>7450</v>
      </c>
      <c r="E2331">
        <v>7</v>
      </c>
      <c r="F2331" t="str">
        <f>HYPERLINK("https://github.com/schedjoules/android-event-discovery-sdk/issues/66", "show")</f>
        <v>show</v>
      </c>
      <c r="G2331" t="str">
        <f>HYPERLINK("https://github.com/schedjoules/android-event-discovery-sdk", "show")</f>
        <v>show</v>
      </c>
      <c r="H2331" t="str">
        <f>HYPERLINK("https://github.com/schedjoules/android-event-discovery-sdk/releases", "show")</f>
        <v>show</v>
      </c>
      <c r="I2331">
        <v>1</v>
      </c>
      <c r="J2331">
        <v>0</v>
      </c>
      <c r="K2331">
        <v>1</v>
      </c>
      <c r="L2331">
        <v>0</v>
      </c>
      <c r="M2331" t="s">
        <v>64</v>
      </c>
    </row>
    <row r="2332" spans="1:13" x14ac:dyDescent="0.15">
      <c r="A2332" t="s">
        <v>7454</v>
      </c>
      <c r="B2332" t="s">
        <v>7455</v>
      </c>
      <c r="C2332" t="s">
        <v>7456</v>
      </c>
      <c r="D2332" t="s">
        <v>7450</v>
      </c>
      <c r="E2332">
        <v>35</v>
      </c>
      <c r="F2332" t="str">
        <f>HYPERLINK("https://github.com/k9mail/k-9/issues/1910", "show")</f>
        <v>show</v>
      </c>
      <c r="G2332" t="str">
        <f>HYPERLINK("https://github.com/k9mail/k-9", "show")</f>
        <v>show</v>
      </c>
      <c r="H2332" t="str">
        <f>HYPERLINK("https://github.com/k9mail/k-9/releases", "show")</f>
        <v>show</v>
      </c>
      <c r="I2332">
        <v>0</v>
      </c>
      <c r="J2332">
        <v>1</v>
      </c>
      <c r="K2332">
        <v>0</v>
      </c>
      <c r="L2332">
        <v>0</v>
      </c>
      <c r="M2332" t="s">
        <v>139</v>
      </c>
    </row>
    <row r="2333" spans="1:13" hidden="1" x14ac:dyDescent="0.15">
      <c r="A2333" t="s">
        <v>7457</v>
      </c>
      <c r="B2333" t="s">
        <v>7458</v>
      </c>
      <c r="C2333" t="s">
        <v>504</v>
      </c>
      <c r="D2333" t="s">
        <v>7459</v>
      </c>
      <c r="E2333">
        <v>1202</v>
      </c>
      <c r="F2333" t="str">
        <f>HYPERLINK("https://github.com/BaseballCardTracker/bbct-android/issues/410", "show")</f>
        <v>show</v>
      </c>
      <c r="G2333" t="str">
        <f>HYPERLINK("https://github.com/BaseballCardTracker/bbct-android", "show")</f>
        <v>show</v>
      </c>
      <c r="H2333" t="str">
        <f>HYPERLINK("https://github.com/BaseballCardTracker/bbct-android/releases", "show")</f>
        <v>show</v>
      </c>
      <c r="I2333">
        <v>1</v>
      </c>
      <c r="J2333">
        <v>0</v>
      </c>
      <c r="K2333">
        <v>0</v>
      </c>
      <c r="L2333">
        <v>0</v>
      </c>
      <c r="M2333" t="s">
        <v>17</v>
      </c>
    </row>
    <row r="2334" spans="1:13" hidden="1" x14ac:dyDescent="0.15">
      <c r="A2334" t="s">
        <v>7460</v>
      </c>
      <c r="B2334" t="s">
        <v>7461</v>
      </c>
      <c r="C2334" t="s">
        <v>7462</v>
      </c>
      <c r="D2334" t="s">
        <v>7459</v>
      </c>
      <c r="E2334">
        <v>18</v>
      </c>
      <c r="F2334" t="str">
        <f>HYPERLINK("https://github.com/reloZid/android-anuto/issues/61", "show")</f>
        <v>show</v>
      </c>
      <c r="G2334" t="str">
        <f>HYPERLINK("https://github.com/reloZid/android-anuto", "show")</f>
        <v>show</v>
      </c>
      <c r="H2334" t="str">
        <f>HYPERLINK("https://github.com/reloZid/android-anuto/releases", "show")</f>
        <v>show</v>
      </c>
      <c r="I2334">
        <v>1</v>
      </c>
      <c r="J2334">
        <v>0</v>
      </c>
      <c r="K2334">
        <v>0</v>
      </c>
      <c r="L2334">
        <v>0</v>
      </c>
      <c r="M2334" t="s">
        <v>17</v>
      </c>
    </row>
    <row r="2335" spans="1:13" hidden="1" x14ac:dyDescent="0.15">
      <c r="A2335" t="s">
        <v>7463</v>
      </c>
      <c r="B2335" t="s">
        <v>7464</v>
      </c>
      <c r="C2335" t="s">
        <v>7465</v>
      </c>
      <c r="D2335" t="s">
        <v>7459</v>
      </c>
      <c r="E2335">
        <v>24</v>
      </c>
      <c r="F2335" t="str">
        <f>HYPERLINK("https://github.com/StoryMaker/storymaker/issues/181", "show")</f>
        <v>show</v>
      </c>
      <c r="G2335" t="str">
        <f>HYPERLINK("https://github.com/StoryMaker/storymaker", "show")</f>
        <v>show</v>
      </c>
      <c r="H2335" t="str">
        <f>HYPERLINK("https://github.com/StoryMaker/storymaker/releases", "show")</f>
        <v>show</v>
      </c>
      <c r="I2335">
        <v>1</v>
      </c>
      <c r="J2335">
        <v>0</v>
      </c>
      <c r="K2335">
        <v>0</v>
      </c>
      <c r="L2335">
        <v>0</v>
      </c>
      <c r="M2335" t="s">
        <v>17</v>
      </c>
    </row>
    <row r="2336" spans="1:13" hidden="1" x14ac:dyDescent="0.15">
      <c r="A2336" t="s">
        <v>7466</v>
      </c>
      <c r="B2336" t="s">
        <v>7467</v>
      </c>
      <c r="C2336" t="s">
        <v>7468</v>
      </c>
      <c r="D2336" t="s">
        <v>7459</v>
      </c>
      <c r="E2336">
        <v>34</v>
      </c>
      <c r="F2336" t="str">
        <f>HYPERLINK("https://github.com/k9mail/k-9/issues/1940", "show")</f>
        <v>show</v>
      </c>
      <c r="G2336" t="str">
        <f>HYPERLINK("https://github.com/k9mail/k-9", "show")</f>
        <v>show</v>
      </c>
      <c r="H2336" t="str">
        <f>HYPERLINK("https://github.com/k9mail/k-9/releases", "show")</f>
        <v>show</v>
      </c>
      <c r="I2336">
        <v>1</v>
      </c>
      <c r="J2336">
        <v>0</v>
      </c>
      <c r="K2336">
        <v>0</v>
      </c>
      <c r="L2336">
        <v>0</v>
      </c>
      <c r="M2336" t="s">
        <v>17</v>
      </c>
    </row>
    <row r="2337" spans="1:13" hidden="1" x14ac:dyDescent="0.15">
      <c r="A2337" t="s">
        <v>7469</v>
      </c>
      <c r="B2337" t="s">
        <v>7470</v>
      </c>
      <c r="D2337" t="s">
        <v>7459</v>
      </c>
      <c r="E2337">
        <v>0</v>
      </c>
      <c r="F2337" t="str">
        <f>HYPERLINK("https://github.com/liferay/liferay-screens/issues/376", "show")</f>
        <v>show</v>
      </c>
      <c r="G2337" t="str">
        <f>HYPERLINK("https://github.com/liferay/liferay-screens", "show")</f>
        <v>show</v>
      </c>
      <c r="H2337" t="str">
        <f>HYPERLINK("https://github.com/liferay/liferay-screens/releases", "show")</f>
        <v>show</v>
      </c>
      <c r="I2337">
        <v>0</v>
      </c>
      <c r="J2337">
        <v>0</v>
      </c>
      <c r="K2337">
        <v>0</v>
      </c>
      <c r="L2337">
        <v>0</v>
      </c>
      <c r="M2337" t="s">
        <v>43</v>
      </c>
    </row>
    <row r="2338" spans="1:13" hidden="1" x14ac:dyDescent="0.15">
      <c r="A2338" t="s">
        <v>7471</v>
      </c>
      <c r="B2338" t="s">
        <v>7472</v>
      </c>
      <c r="D2338" t="s">
        <v>7473</v>
      </c>
      <c r="E2338">
        <v>20</v>
      </c>
      <c r="F2338" t="str">
        <f>HYPERLINK("https://github.com/MrZeRo2000/violetnote-android/issues/69", "show")</f>
        <v>show</v>
      </c>
      <c r="G2338" t="str">
        <f>HYPERLINK("https://github.com/MrZeRo2000/violetnote-android", "show")</f>
        <v>show</v>
      </c>
      <c r="H2338" t="str">
        <f>HYPERLINK("https://github.com/MrZeRo2000/violetnote-android/releases", "show")</f>
        <v>show</v>
      </c>
      <c r="I2338">
        <v>1</v>
      </c>
      <c r="J2338">
        <v>0</v>
      </c>
      <c r="K2338">
        <v>0</v>
      </c>
      <c r="L2338">
        <v>0</v>
      </c>
      <c r="M2338" t="s">
        <v>17</v>
      </c>
    </row>
    <row r="2339" spans="1:13" hidden="1" x14ac:dyDescent="0.15">
      <c r="A2339" t="s">
        <v>7474</v>
      </c>
      <c r="B2339" t="s">
        <v>7475</v>
      </c>
      <c r="C2339" t="s">
        <v>7476</v>
      </c>
      <c r="D2339" t="s">
        <v>7473</v>
      </c>
      <c r="E2339">
        <v>295</v>
      </c>
      <c r="F2339" t="str">
        <f>HYPERLINK("https://github.com/davcpas1234/MaterialSettings/issues/17", "show")</f>
        <v>show</v>
      </c>
      <c r="G2339" t="str">
        <f>HYPERLINK("https://github.com/davcpas1234/MaterialSettings", "show")</f>
        <v>show</v>
      </c>
      <c r="H2339" t="str">
        <f>HYPERLINK("https://github.com/davcpas1234/MaterialSettings/releases", "show")</f>
        <v>show</v>
      </c>
      <c r="I2339">
        <v>0</v>
      </c>
      <c r="J2339">
        <v>0</v>
      </c>
      <c r="K2339">
        <v>1</v>
      </c>
      <c r="L2339">
        <v>0</v>
      </c>
      <c r="M2339" t="s">
        <v>122</v>
      </c>
    </row>
    <row r="2340" spans="1:13" hidden="1" x14ac:dyDescent="0.15">
      <c r="A2340" t="s">
        <v>7477</v>
      </c>
      <c r="B2340" t="s">
        <v>7478</v>
      </c>
      <c r="C2340" t="s">
        <v>504</v>
      </c>
      <c r="D2340" t="s">
        <v>7473</v>
      </c>
      <c r="E2340">
        <v>0</v>
      </c>
      <c r="F2340" t="str">
        <f>HYPERLINK("https://github.com/niclabs/adkintunmobile-androidclient/issues/154", "show")</f>
        <v>show</v>
      </c>
      <c r="G2340" t="str">
        <f>HYPERLINK("https://github.com/niclabs/adkintunmobile-androidclient", "show")</f>
        <v>show</v>
      </c>
      <c r="H2340" t="str">
        <f>HYPERLINK("https://github.com/niclabs/adkintunmobile-androidclient/releases", "show")</f>
        <v>show</v>
      </c>
      <c r="I2340">
        <v>1</v>
      </c>
      <c r="J2340">
        <v>0</v>
      </c>
      <c r="K2340">
        <v>0</v>
      </c>
      <c r="L2340">
        <v>0</v>
      </c>
      <c r="M2340" t="s">
        <v>17</v>
      </c>
    </row>
    <row r="2341" spans="1:13" hidden="1" x14ac:dyDescent="0.15">
      <c r="A2341" t="s">
        <v>7479</v>
      </c>
      <c r="B2341" t="s">
        <v>7480</v>
      </c>
      <c r="C2341" t="s">
        <v>7481</v>
      </c>
      <c r="D2341" t="s">
        <v>7482</v>
      </c>
      <c r="E2341">
        <v>5</v>
      </c>
      <c r="F2341" t="str">
        <f>HYPERLINK("https://github.com/grmpl/StepandHeightcounter/issues/6", "show")</f>
        <v>show</v>
      </c>
      <c r="G2341" t="str">
        <f>HYPERLINK("https://github.com/grmpl/StepandHeightcounter", "show")</f>
        <v>show</v>
      </c>
      <c r="H2341" t="str">
        <f>HYPERLINK("https://github.com/grmpl/StepandHeightcounter/releases", "show")</f>
        <v>show</v>
      </c>
      <c r="I2341">
        <v>1</v>
      </c>
      <c r="J2341">
        <v>0</v>
      </c>
      <c r="K2341">
        <v>0</v>
      </c>
      <c r="L2341">
        <v>0</v>
      </c>
      <c r="M2341" t="s">
        <v>17</v>
      </c>
    </row>
    <row r="2342" spans="1:13" hidden="1" x14ac:dyDescent="0.15">
      <c r="A2342" t="s">
        <v>7483</v>
      </c>
      <c r="B2342" t="s">
        <v>4871</v>
      </c>
      <c r="C2342" t="s">
        <v>504</v>
      </c>
      <c r="D2342" t="s">
        <v>7482</v>
      </c>
      <c r="E2342">
        <v>713</v>
      </c>
      <c r="F2342" t="str">
        <f>HYPERLINK("https://github.com/niclabs/adkintunmobile-androidclient/issues/157", "show")</f>
        <v>show</v>
      </c>
      <c r="G2342" t="str">
        <f>HYPERLINK("https://github.com/niclabs/adkintunmobile-androidclient", "show")</f>
        <v>show</v>
      </c>
      <c r="H2342" t="str">
        <f>HYPERLINK("https://github.com/niclabs/adkintunmobile-androidclient/releases", "show")</f>
        <v>show</v>
      </c>
      <c r="I2342">
        <v>1</v>
      </c>
      <c r="J2342">
        <v>0</v>
      </c>
      <c r="K2342">
        <v>0</v>
      </c>
      <c r="L2342">
        <v>0</v>
      </c>
      <c r="M2342" t="s">
        <v>17</v>
      </c>
    </row>
    <row r="2343" spans="1:13" hidden="1" x14ac:dyDescent="0.15">
      <c r="A2343" t="s">
        <v>7484</v>
      </c>
      <c r="B2343" t="s">
        <v>7485</v>
      </c>
      <c r="C2343" t="s">
        <v>7486</v>
      </c>
      <c r="D2343" t="s">
        <v>7487</v>
      </c>
      <c r="E2343">
        <v>0</v>
      </c>
      <c r="F2343" t="str">
        <f>HYPERLINK("https://github.com/sriharshachilakapati/SilenceEngine/issues/86", "show")</f>
        <v>show</v>
      </c>
      <c r="G2343" t="str">
        <f>HYPERLINK("https://github.com/sriharshachilakapati/SilenceEngine", "show")</f>
        <v>show</v>
      </c>
      <c r="H2343" t="str">
        <f>HYPERLINK("https://github.com/sriharshachilakapati/SilenceEngine/releases", "show")</f>
        <v>show</v>
      </c>
      <c r="I2343">
        <v>1</v>
      </c>
      <c r="J2343">
        <v>1</v>
      </c>
      <c r="K2343">
        <v>0</v>
      </c>
      <c r="L2343">
        <v>0</v>
      </c>
      <c r="M2343" t="s">
        <v>48</v>
      </c>
    </row>
    <row r="2344" spans="1:13" hidden="1" x14ac:dyDescent="0.15">
      <c r="A2344" t="s">
        <v>7488</v>
      </c>
      <c r="B2344" t="s">
        <v>7489</v>
      </c>
      <c r="C2344" t="s">
        <v>504</v>
      </c>
      <c r="D2344" t="s">
        <v>7490</v>
      </c>
      <c r="E2344">
        <v>710</v>
      </c>
      <c r="F2344" t="str">
        <f>HYPERLINK("https://github.com/niclabs/adkintunmobile-androidclient/issues/158", "show")</f>
        <v>show</v>
      </c>
      <c r="G2344" t="str">
        <f>HYPERLINK("https://github.com/niclabs/adkintunmobile-androidclient", "show")</f>
        <v>show</v>
      </c>
      <c r="H2344" t="str">
        <f>HYPERLINK("https://github.com/niclabs/adkintunmobile-androidclient/releases", "show")</f>
        <v>show</v>
      </c>
      <c r="I2344">
        <v>1</v>
      </c>
      <c r="J2344">
        <v>0</v>
      </c>
      <c r="K2344">
        <v>0</v>
      </c>
      <c r="L2344">
        <v>0</v>
      </c>
      <c r="M2344" t="s">
        <v>17</v>
      </c>
    </row>
    <row r="2345" spans="1:13" hidden="1" x14ac:dyDescent="0.15">
      <c r="A2345" t="s">
        <v>7491</v>
      </c>
      <c r="B2345" t="s">
        <v>7492</v>
      </c>
      <c r="C2345" t="s">
        <v>7493</v>
      </c>
      <c r="D2345" t="s">
        <v>7490</v>
      </c>
      <c r="E2345">
        <v>0</v>
      </c>
      <c r="F2345" t="str">
        <f>HYPERLINK("https://github.com/syncthing/syncthing-android/issues/829", "show")</f>
        <v>show</v>
      </c>
      <c r="G2345" t="str">
        <f>HYPERLINK("https://github.com/syncthing/syncthing-android", "show")</f>
        <v>show</v>
      </c>
      <c r="H2345" t="str">
        <f>HYPERLINK("https://github.com/syncthing/syncthing-android/releases", "show")</f>
        <v>show</v>
      </c>
      <c r="I2345">
        <v>1</v>
      </c>
      <c r="J2345">
        <v>0</v>
      </c>
      <c r="K2345">
        <v>0</v>
      </c>
      <c r="L2345">
        <v>0</v>
      </c>
      <c r="M2345" t="s">
        <v>17</v>
      </c>
    </row>
    <row r="2346" spans="1:13" hidden="1" x14ac:dyDescent="0.15">
      <c r="A2346" t="s">
        <v>7494</v>
      </c>
      <c r="B2346" t="s">
        <v>7495</v>
      </c>
      <c r="C2346" t="s">
        <v>7496</v>
      </c>
      <c r="D2346" t="s">
        <v>7490</v>
      </c>
      <c r="E2346">
        <v>1</v>
      </c>
      <c r="F2346" t="str">
        <f>HYPERLINK("https://github.com/elimu-ai/ml-authentication/issues/327", "show")</f>
        <v>show</v>
      </c>
      <c r="G2346" t="str">
        <f>HYPERLINK("https://github.com/elimu-ai/ml-authentication", "show")</f>
        <v>show</v>
      </c>
      <c r="H2346" t="str">
        <f>HYPERLINK("https://github.com/elimu-ai/ml-authentication/releases", "show")</f>
        <v>show</v>
      </c>
      <c r="I2346">
        <v>1</v>
      </c>
      <c r="J2346">
        <v>1</v>
      </c>
      <c r="K2346">
        <v>0</v>
      </c>
      <c r="L2346">
        <v>0</v>
      </c>
      <c r="M2346" t="s">
        <v>48</v>
      </c>
    </row>
    <row r="2347" spans="1:13" hidden="1" x14ac:dyDescent="0.15">
      <c r="A2347" t="s">
        <v>7497</v>
      </c>
      <c r="B2347" t="s">
        <v>7498</v>
      </c>
      <c r="C2347" t="s">
        <v>736</v>
      </c>
      <c r="D2347" t="s">
        <v>7490</v>
      </c>
      <c r="E2347">
        <v>0</v>
      </c>
      <c r="F2347" t="str">
        <f>HYPERLINK("https://github.com/elimu-ai/ml-authentication/issues/326", "show")</f>
        <v>show</v>
      </c>
      <c r="G2347" t="str">
        <f>HYPERLINK("https://github.com/elimu-ai/ml-authentication", "show")</f>
        <v>show</v>
      </c>
      <c r="H2347" t="str">
        <f>HYPERLINK("https://github.com/elimu-ai/ml-authentication/releases", "show")</f>
        <v>show</v>
      </c>
      <c r="I2347">
        <v>0</v>
      </c>
      <c r="J2347">
        <v>0</v>
      </c>
      <c r="K2347">
        <v>1</v>
      </c>
      <c r="L2347">
        <v>0</v>
      </c>
      <c r="M2347" t="s">
        <v>122</v>
      </c>
    </row>
    <row r="2348" spans="1:13" hidden="1" x14ac:dyDescent="0.15">
      <c r="A2348" t="s">
        <v>7499</v>
      </c>
      <c r="B2348" t="s">
        <v>7500</v>
      </c>
      <c r="C2348" t="s">
        <v>7501</v>
      </c>
      <c r="D2348" t="s">
        <v>7502</v>
      </c>
      <c r="E2348">
        <v>45</v>
      </c>
      <c r="F2348" t="str">
        <f>HYPERLINK("https://github.com/forrestguice/SuntimesWidget/issues/74", "show")</f>
        <v>show</v>
      </c>
      <c r="G2348" t="str">
        <f>HYPERLINK("https://github.com/forrestguice/SuntimesWidget", "show")</f>
        <v>show</v>
      </c>
      <c r="H2348" t="str">
        <f>HYPERLINK("https://github.com/forrestguice/SuntimesWidget/releases", "show")</f>
        <v>show</v>
      </c>
      <c r="I2348">
        <v>1</v>
      </c>
      <c r="J2348">
        <v>1</v>
      </c>
      <c r="K2348">
        <v>0</v>
      </c>
      <c r="L2348">
        <v>0</v>
      </c>
      <c r="M2348" t="s">
        <v>48</v>
      </c>
    </row>
    <row r="2349" spans="1:13" hidden="1" x14ac:dyDescent="0.15">
      <c r="A2349" t="s">
        <v>7503</v>
      </c>
      <c r="B2349" t="s">
        <v>7504</v>
      </c>
      <c r="C2349" t="s">
        <v>7505</v>
      </c>
      <c r="D2349" t="s">
        <v>7502</v>
      </c>
      <c r="E2349">
        <v>16</v>
      </c>
      <c r="F2349" t="str">
        <f>HYPERLINK("https://github.com/syncthing/syncthing-android/issues/831", "show")</f>
        <v>show</v>
      </c>
      <c r="G2349" t="str">
        <f>HYPERLINK("https://github.com/syncthing/syncthing-android", "show")</f>
        <v>show</v>
      </c>
      <c r="H2349" t="str">
        <f>HYPERLINK("https://github.com/syncthing/syncthing-android/releases", "show")</f>
        <v>show</v>
      </c>
      <c r="I2349">
        <v>1</v>
      </c>
      <c r="J2349">
        <v>0</v>
      </c>
      <c r="K2349">
        <v>0</v>
      </c>
      <c r="L2349">
        <v>0</v>
      </c>
      <c r="M2349" t="s">
        <v>17</v>
      </c>
    </row>
    <row r="2350" spans="1:13" hidden="1" x14ac:dyDescent="0.15">
      <c r="A2350" t="s">
        <v>7506</v>
      </c>
      <c r="B2350" t="s">
        <v>7507</v>
      </c>
      <c r="C2350" t="s">
        <v>7508</v>
      </c>
      <c r="D2350" t="s">
        <v>7509</v>
      </c>
      <c r="E2350">
        <v>0</v>
      </c>
      <c r="F2350" t="str">
        <f>HYPERLINK("https://github.com/cgeo/cgeo/issues/6240", "show")</f>
        <v>show</v>
      </c>
      <c r="G2350" t="str">
        <f>HYPERLINK("https://github.com/cgeo/cgeo", "show")</f>
        <v>show</v>
      </c>
      <c r="H2350" t="str">
        <f>HYPERLINK("https://github.com/cgeo/cgeo/releases", "show")</f>
        <v>show</v>
      </c>
      <c r="I2350">
        <v>1</v>
      </c>
      <c r="J2350">
        <v>0</v>
      </c>
      <c r="K2350">
        <v>1</v>
      </c>
      <c r="L2350">
        <v>0</v>
      </c>
      <c r="M2350" t="s">
        <v>64</v>
      </c>
    </row>
    <row r="2351" spans="1:13" hidden="1" x14ac:dyDescent="0.15">
      <c r="A2351" t="s">
        <v>7510</v>
      </c>
      <c r="B2351" t="s">
        <v>7511</v>
      </c>
      <c r="C2351" t="s">
        <v>7512</v>
      </c>
      <c r="D2351" t="s">
        <v>7509</v>
      </c>
      <c r="E2351">
        <v>416</v>
      </c>
      <c r="F2351" t="str">
        <f>HYPERLINK("https://github.com/tanrabad/survey/issues/6", "show")</f>
        <v>show</v>
      </c>
      <c r="G2351" t="str">
        <f>HYPERLINK("https://github.com/tanrabad/survey", "show")</f>
        <v>show</v>
      </c>
      <c r="H2351" t="str">
        <f>HYPERLINK("https://github.com/tanrabad/survey/releases", "show")</f>
        <v>show</v>
      </c>
      <c r="I2351">
        <v>1</v>
      </c>
      <c r="J2351">
        <v>0</v>
      </c>
      <c r="K2351">
        <v>0</v>
      </c>
      <c r="L2351">
        <v>0</v>
      </c>
      <c r="M2351" t="s">
        <v>17</v>
      </c>
    </row>
    <row r="2352" spans="1:13" hidden="1" x14ac:dyDescent="0.15">
      <c r="A2352" t="s">
        <v>7513</v>
      </c>
      <c r="B2352" t="s">
        <v>7514</v>
      </c>
      <c r="C2352" t="s">
        <v>7515</v>
      </c>
      <c r="D2352" t="s">
        <v>7516</v>
      </c>
      <c r="E2352">
        <v>1</v>
      </c>
      <c r="F2352" t="str">
        <f>HYPERLINK("https://github.com/SteamGifts/SteamGifts/issues/44", "show")</f>
        <v>show</v>
      </c>
      <c r="G2352" t="str">
        <f>HYPERLINK("https://github.com/SteamGifts/SteamGifts", "show")</f>
        <v>show</v>
      </c>
      <c r="H2352" t="str">
        <f>HYPERLINK("https://github.com/SteamGifts/SteamGifts/releases", "show")</f>
        <v>show</v>
      </c>
      <c r="I2352">
        <v>1</v>
      </c>
      <c r="J2352">
        <v>0</v>
      </c>
      <c r="K2352">
        <v>0</v>
      </c>
      <c r="L2352">
        <v>0</v>
      </c>
      <c r="M2352" t="s">
        <v>17</v>
      </c>
    </row>
    <row r="2353" spans="1:13" hidden="1" x14ac:dyDescent="0.15">
      <c r="A2353" t="s">
        <v>7517</v>
      </c>
      <c r="B2353" t="s">
        <v>7518</v>
      </c>
      <c r="C2353" t="s">
        <v>7519</v>
      </c>
      <c r="D2353" t="s">
        <v>7516</v>
      </c>
      <c r="E2353">
        <v>11</v>
      </c>
      <c r="F2353" t="str">
        <f>HYPERLINK("https://github.com/userid451/HiddenEye/issues/30", "show")</f>
        <v>show</v>
      </c>
      <c r="G2353" t="str">
        <f>HYPERLINK("https://github.com/userid451/HiddenEye", "show")</f>
        <v>show</v>
      </c>
      <c r="H2353" t="str">
        <f>HYPERLINK("https://github.com/userid451/HiddenEye/releases", "show")</f>
        <v>show</v>
      </c>
      <c r="I2353">
        <v>1</v>
      </c>
      <c r="J2353">
        <v>0</v>
      </c>
      <c r="K2353">
        <v>0</v>
      </c>
      <c r="L2353">
        <v>0</v>
      </c>
      <c r="M2353" t="s">
        <v>17</v>
      </c>
    </row>
    <row r="2354" spans="1:13" hidden="1" x14ac:dyDescent="0.15">
      <c r="A2354" t="s">
        <v>7520</v>
      </c>
      <c r="B2354" t="s">
        <v>7521</v>
      </c>
      <c r="C2354" t="s">
        <v>7522</v>
      </c>
      <c r="D2354" t="s">
        <v>7516</v>
      </c>
      <c r="E2354">
        <v>2</v>
      </c>
      <c r="F2354" t="str">
        <f>HYPERLINK("https://github.com/danimahardhika/candybar-library/issues/13", "show")</f>
        <v>show</v>
      </c>
      <c r="G2354" t="str">
        <f>HYPERLINK("https://github.com/danimahardhika/candybar-library", "show")</f>
        <v>show</v>
      </c>
      <c r="H2354" t="str">
        <f>HYPERLINK("https://github.com/danimahardhika/candybar-library/releases", "show")</f>
        <v>show</v>
      </c>
      <c r="I2354">
        <v>1</v>
      </c>
      <c r="J2354">
        <v>0</v>
      </c>
      <c r="K2354">
        <v>0</v>
      </c>
      <c r="L2354">
        <v>0</v>
      </c>
      <c r="M2354" t="s">
        <v>17</v>
      </c>
    </row>
    <row r="2355" spans="1:13" hidden="1" x14ac:dyDescent="0.15">
      <c r="A2355" t="s">
        <v>7523</v>
      </c>
      <c r="B2355" t="s">
        <v>7524</v>
      </c>
      <c r="C2355" t="s">
        <v>7525</v>
      </c>
      <c r="D2355" t="s">
        <v>7516</v>
      </c>
      <c r="E2355">
        <v>2</v>
      </c>
      <c r="F2355" t="str">
        <f>HYPERLINK("https://github.com/danimahardhika/candybar-library/issues/12", "show")</f>
        <v>show</v>
      </c>
      <c r="G2355" t="str">
        <f>HYPERLINK("https://github.com/danimahardhika/candybar-library", "show")</f>
        <v>show</v>
      </c>
      <c r="H2355" t="str">
        <f>HYPERLINK("https://github.com/danimahardhika/candybar-library/releases", "show")</f>
        <v>show</v>
      </c>
      <c r="I2355">
        <v>1</v>
      </c>
      <c r="J2355">
        <v>0</v>
      </c>
      <c r="K2355">
        <v>0</v>
      </c>
      <c r="L2355">
        <v>0</v>
      </c>
      <c r="M2355" t="s">
        <v>17</v>
      </c>
    </row>
    <row r="2356" spans="1:13" hidden="1" x14ac:dyDescent="0.15">
      <c r="A2356" t="s">
        <v>7526</v>
      </c>
      <c r="B2356" t="s">
        <v>7527</v>
      </c>
      <c r="C2356" t="s">
        <v>7528</v>
      </c>
      <c r="D2356" t="s">
        <v>7529</v>
      </c>
      <c r="E2356">
        <v>6</v>
      </c>
      <c r="F2356" t="str">
        <f>HYPERLINK("https://github.com/kontalk/androidclient/issues/930", "show")</f>
        <v>show</v>
      </c>
      <c r="G2356" t="str">
        <f>HYPERLINK("https://github.com/kontalk/androidclient", "show")</f>
        <v>show</v>
      </c>
      <c r="H2356" t="str">
        <f>HYPERLINK("https://github.com/kontalk/androidclient/releases", "show")</f>
        <v>show</v>
      </c>
      <c r="I2356">
        <v>0</v>
      </c>
      <c r="J2356">
        <v>0</v>
      </c>
      <c r="K2356">
        <v>0</v>
      </c>
      <c r="L2356">
        <v>0</v>
      </c>
      <c r="M2356" t="s">
        <v>43</v>
      </c>
    </row>
    <row r="2357" spans="1:13" hidden="1" x14ac:dyDescent="0.15">
      <c r="A2357" t="s">
        <v>7530</v>
      </c>
      <c r="B2357" t="s">
        <v>7531</v>
      </c>
      <c r="C2357" t="s">
        <v>7532</v>
      </c>
      <c r="D2357" t="s">
        <v>7529</v>
      </c>
      <c r="E2357">
        <v>4</v>
      </c>
      <c r="F2357" t="str">
        <f>HYPERLINK("https://github.com/jehy/rutracker-free/issues/28", "show")</f>
        <v>show</v>
      </c>
      <c r="G2357" t="str">
        <f>HYPERLINK("https://github.com/jehy/rutracker-free", "show")</f>
        <v>show</v>
      </c>
      <c r="H2357" t="str">
        <f>HYPERLINK("https://github.com/jehy/rutracker-free/releases", "show")</f>
        <v>show</v>
      </c>
      <c r="I2357">
        <v>1</v>
      </c>
      <c r="J2357">
        <v>0</v>
      </c>
      <c r="K2357">
        <v>0</v>
      </c>
      <c r="L2357">
        <v>0</v>
      </c>
      <c r="M2357" t="s">
        <v>17</v>
      </c>
    </row>
    <row r="2358" spans="1:13" hidden="1" x14ac:dyDescent="0.15">
      <c r="A2358" t="s">
        <v>7533</v>
      </c>
      <c r="B2358" t="s">
        <v>3180</v>
      </c>
      <c r="C2358" t="s">
        <v>7534</v>
      </c>
      <c r="D2358" t="s">
        <v>7529</v>
      </c>
      <c r="E2358">
        <v>12</v>
      </c>
      <c r="F2358" t="str">
        <f>HYPERLINK("https://github.com/rubensousa/BottomSheetBuilder/issues/12", "show")</f>
        <v>show</v>
      </c>
      <c r="G2358" t="str">
        <f>HYPERLINK("https://github.com/rubensousa/BottomSheetBuilder", "show")</f>
        <v>show</v>
      </c>
      <c r="H2358" t="str">
        <f>HYPERLINK("https://github.com/rubensousa/BottomSheetBuilder/releases", "show")</f>
        <v>show</v>
      </c>
      <c r="I2358">
        <v>1</v>
      </c>
      <c r="J2358">
        <v>0</v>
      </c>
      <c r="K2358">
        <v>1</v>
      </c>
      <c r="L2358">
        <v>0</v>
      </c>
      <c r="M2358" t="s">
        <v>64</v>
      </c>
    </row>
    <row r="2359" spans="1:13" hidden="1" x14ac:dyDescent="0.15">
      <c r="A2359" t="s">
        <v>7535</v>
      </c>
      <c r="B2359" t="s">
        <v>7536</v>
      </c>
      <c r="C2359" t="s">
        <v>7537</v>
      </c>
      <c r="D2359" t="s">
        <v>7529</v>
      </c>
      <c r="E2359">
        <v>3</v>
      </c>
      <c r="F2359" t="str">
        <f>HYPERLINK("https://github.com/koral--/android-gif-drawable/issues/379", "show")</f>
        <v>show</v>
      </c>
      <c r="G2359" t="str">
        <f>HYPERLINK("https://github.com/koral--/android-gif-drawable", "show")</f>
        <v>show</v>
      </c>
      <c r="H2359" t="str">
        <f>HYPERLINK("https://github.com/koral--/android-gif-drawable/releases", "show")</f>
        <v>show</v>
      </c>
      <c r="I2359">
        <v>0</v>
      </c>
      <c r="J2359">
        <v>0</v>
      </c>
      <c r="K2359">
        <v>0</v>
      </c>
      <c r="L2359">
        <v>0</v>
      </c>
      <c r="M2359" t="s">
        <v>43</v>
      </c>
    </row>
    <row r="2360" spans="1:13" hidden="1" x14ac:dyDescent="0.15">
      <c r="A2360" t="s">
        <v>7538</v>
      </c>
      <c r="B2360" t="s">
        <v>7539</v>
      </c>
      <c r="C2360" t="s">
        <v>7540</v>
      </c>
      <c r="D2360" t="s">
        <v>7529</v>
      </c>
      <c r="E2360">
        <v>1139</v>
      </c>
      <c r="F2360" t="str">
        <f>HYPERLINK("https://github.com/maks/MGit/issues/102", "show")</f>
        <v>show</v>
      </c>
      <c r="G2360" t="str">
        <f>HYPERLINK("https://github.com/maks/MGit", "show")</f>
        <v>show</v>
      </c>
      <c r="H2360" t="str">
        <f>HYPERLINK("https://github.com/maks/MGit/releases", "show")</f>
        <v>show</v>
      </c>
      <c r="I2360">
        <v>1</v>
      </c>
      <c r="J2360">
        <v>0</v>
      </c>
      <c r="K2360">
        <v>0</v>
      </c>
      <c r="L2360">
        <v>0</v>
      </c>
      <c r="M2360" t="s">
        <v>17</v>
      </c>
    </row>
    <row r="2361" spans="1:13" hidden="1" x14ac:dyDescent="0.15">
      <c r="A2361" t="s">
        <v>7541</v>
      </c>
      <c r="B2361" t="s">
        <v>7542</v>
      </c>
      <c r="C2361" t="s">
        <v>7543</v>
      </c>
      <c r="D2361" t="s">
        <v>7529</v>
      </c>
      <c r="E2361">
        <v>15</v>
      </c>
      <c r="F2361" t="str">
        <f>HYPERLINK("https://github.com/Fleker/CumulusTV/issues/234", "show")</f>
        <v>show</v>
      </c>
      <c r="G2361" t="str">
        <f>HYPERLINK("https://github.com/Fleker/CumulusTV", "show")</f>
        <v>show</v>
      </c>
      <c r="H2361" t="str">
        <f>HYPERLINK("https://github.com/Fleker/CumulusTV/releases", "show")</f>
        <v>show</v>
      </c>
      <c r="I2361">
        <v>1</v>
      </c>
      <c r="J2361">
        <v>0</v>
      </c>
      <c r="K2361">
        <v>0</v>
      </c>
      <c r="L2361">
        <v>0</v>
      </c>
      <c r="M2361" t="s">
        <v>17</v>
      </c>
    </row>
    <row r="2362" spans="1:13" hidden="1" x14ac:dyDescent="0.15">
      <c r="A2362" t="s">
        <v>7544</v>
      </c>
      <c r="B2362" t="s">
        <v>7545</v>
      </c>
      <c r="C2362" t="s">
        <v>7546</v>
      </c>
      <c r="D2362" t="s">
        <v>7529</v>
      </c>
      <c r="E2362">
        <v>4</v>
      </c>
      <c r="F2362" t="str">
        <f>HYPERLINK("https://github.com/amirarcane/recent-images/issues/20", "show")</f>
        <v>show</v>
      </c>
      <c r="G2362" t="str">
        <f>HYPERLINK("https://github.com/amirarcane/recent-images", "show")</f>
        <v>show</v>
      </c>
      <c r="H2362" t="str">
        <f>HYPERLINK("https://github.com/amirarcane/recent-images/releases", "show")</f>
        <v>show</v>
      </c>
      <c r="I2362">
        <v>1</v>
      </c>
      <c r="J2362">
        <v>0</v>
      </c>
      <c r="K2362">
        <v>0</v>
      </c>
      <c r="L2362">
        <v>0</v>
      </c>
      <c r="M2362" t="s">
        <v>17</v>
      </c>
    </row>
    <row r="2363" spans="1:13" hidden="1" x14ac:dyDescent="0.15">
      <c r="A2363" t="s">
        <v>7547</v>
      </c>
      <c r="B2363" t="s">
        <v>7548</v>
      </c>
      <c r="C2363" t="s">
        <v>7549</v>
      </c>
      <c r="D2363" t="s">
        <v>7550</v>
      </c>
      <c r="E2363">
        <v>84</v>
      </c>
      <c r="F2363" t="str">
        <f>HYPERLINK("https://github.com/ashqal/MD360Player4Android/issues/145", "show")</f>
        <v>show</v>
      </c>
      <c r="G2363" t="str">
        <f>HYPERLINK("https://github.com/ashqal/MD360Player4Android", "show")</f>
        <v>show</v>
      </c>
      <c r="H2363" t="str">
        <f>HYPERLINK("https://github.com/ashqal/MD360Player4Android/releases", "show")</f>
        <v>show</v>
      </c>
      <c r="I2363">
        <v>0</v>
      </c>
      <c r="J2363">
        <v>0</v>
      </c>
      <c r="K2363">
        <v>0</v>
      </c>
      <c r="L2363">
        <v>0</v>
      </c>
      <c r="M2363" t="s">
        <v>43</v>
      </c>
    </row>
    <row r="2364" spans="1:13" hidden="1" x14ac:dyDescent="0.15">
      <c r="A2364" t="s">
        <v>7551</v>
      </c>
      <c r="B2364" t="s">
        <v>7552</v>
      </c>
      <c r="D2364" t="s">
        <v>7550</v>
      </c>
      <c r="E2364">
        <v>0</v>
      </c>
      <c r="F2364" t="str">
        <f>HYPERLINK("https://github.com/pulkit4tech/Privy/issues/37", "show")</f>
        <v>show</v>
      </c>
      <c r="G2364" t="str">
        <f>HYPERLINK("https://github.com/pulkit4tech/Privy", "show")</f>
        <v>show</v>
      </c>
      <c r="H2364" t="str">
        <f>HYPERLINK("https://github.com/pulkit4tech/Privy/releases", "show")</f>
        <v>show</v>
      </c>
      <c r="I2364">
        <v>0</v>
      </c>
      <c r="J2364">
        <v>0</v>
      </c>
      <c r="K2364">
        <v>0</v>
      </c>
      <c r="L2364">
        <v>0</v>
      </c>
      <c r="M2364" t="s">
        <v>43</v>
      </c>
    </row>
    <row r="2365" spans="1:13" hidden="1" x14ac:dyDescent="0.15">
      <c r="A2365" t="s">
        <v>7553</v>
      </c>
      <c r="B2365" t="s">
        <v>7554</v>
      </c>
      <c r="C2365" t="s">
        <v>7555</v>
      </c>
      <c r="D2365" t="s">
        <v>7550</v>
      </c>
      <c r="E2365">
        <v>0</v>
      </c>
      <c r="F2365" t="str">
        <f>HYPERLINK("https://github.com/praekeltfoundation/gem-bbb-indo/issues/420", "show")</f>
        <v>show</v>
      </c>
      <c r="G2365" t="str">
        <f>HYPERLINK("https://github.com/praekeltfoundation/gem-bbb-indo", "show")</f>
        <v>show</v>
      </c>
      <c r="H2365" t="str">
        <f>HYPERLINK("https://github.com/praekeltfoundation/gem-bbb-indo/releases", "show")</f>
        <v>show</v>
      </c>
      <c r="I2365">
        <v>1</v>
      </c>
      <c r="J2365">
        <v>0</v>
      </c>
      <c r="K2365">
        <v>0</v>
      </c>
      <c r="L2365">
        <v>0</v>
      </c>
      <c r="M2365" t="s">
        <v>17</v>
      </c>
    </row>
    <row r="2366" spans="1:13" hidden="1" x14ac:dyDescent="0.15">
      <c r="A2366" t="s">
        <v>7556</v>
      </c>
      <c r="B2366" t="s">
        <v>7557</v>
      </c>
      <c r="C2366" t="s">
        <v>7558</v>
      </c>
      <c r="D2366" t="s">
        <v>7550</v>
      </c>
      <c r="E2366">
        <v>41</v>
      </c>
      <c r="F2366" t="str">
        <f>HYPERLINK("https://github.com/forrestguice/SuntimesWidget/issues/75", "show")</f>
        <v>show</v>
      </c>
      <c r="G2366" t="str">
        <f>HYPERLINK("https://github.com/forrestguice/SuntimesWidget", "show")</f>
        <v>show</v>
      </c>
      <c r="H2366" t="str">
        <f>HYPERLINK("https://github.com/forrestguice/SuntimesWidget/releases", "show")</f>
        <v>show</v>
      </c>
      <c r="I2366">
        <v>1</v>
      </c>
      <c r="J2366">
        <v>0</v>
      </c>
      <c r="K2366">
        <v>1</v>
      </c>
      <c r="L2366">
        <v>0</v>
      </c>
      <c r="M2366" t="s">
        <v>64</v>
      </c>
    </row>
    <row r="2367" spans="1:13" hidden="1" x14ac:dyDescent="0.15">
      <c r="A2367" t="s">
        <v>7559</v>
      </c>
      <c r="B2367" t="s">
        <v>7560</v>
      </c>
      <c r="C2367" t="s">
        <v>7561</v>
      </c>
      <c r="D2367" t="s">
        <v>7562</v>
      </c>
      <c r="E2367">
        <v>0</v>
      </c>
      <c r="F2367" t="str">
        <f>HYPERLINK("https://github.com/androidlover5842/OtaUpdater/issues/6", "show")</f>
        <v>show</v>
      </c>
      <c r="G2367" t="str">
        <f>HYPERLINK("https://github.com/androidlover5842/OtaUpdater", "show")</f>
        <v>show</v>
      </c>
      <c r="H2367" t="str">
        <f>HYPERLINK("https://github.com/androidlover5842/OtaUpdater/releases", "show")</f>
        <v>show</v>
      </c>
      <c r="I2367">
        <v>0</v>
      </c>
      <c r="J2367">
        <v>0</v>
      </c>
      <c r="K2367">
        <v>0</v>
      </c>
      <c r="L2367">
        <v>0</v>
      </c>
      <c r="M2367" t="s">
        <v>43</v>
      </c>
    </row>
    <row r="2368" spans="1:13" hidden="1" x14ac:dyDescent="0.15">
      <c r="A2368" t="s">
        <v>7563</v>
      </c>
      <c r="B2368" t="s">
        <v>7564</v>
      </c>
      <c r="C2368" t="s">
        <v>7565</v>
      </c>
      <c r="D2368" t="s">
        <v>7562</v>
      </c>
      <c r="E2368">
        <v>445</v>
      </c>
      <c r="F2368" t="str">
        <f>HYPERLINK("https://github.com/TeamNewPipe/NewPipe/issues/412", "show")</f>
        <v>show</v>
      </c>
      <c r="G2368" t="str">
        <f>HYPERLINK("https://github.com/TeamNewPipe/NewPipe", "show")</f>
        <v>show</v>
      </c>
      <c r="H2368" t="str">
        <f>HYPERLINK("https://github.com/TeamNewPipe/NewPipe/releases", "show")</f>
        <v>show</v>
      </c>
      <c r="I2368">
        <v>1</v>
      </c>
      <c r="J2368">
        <v>0</v>
      </c>
      <c r="K2368">
        <v>0</v>
      </c>
      <c r="L2368">
        <v>0</v>
      </c>
      <c r="M2368" t="s">
        <v>17</v>
      </c>
    </row>
    <row r="2369" spans="1:13" hidden="1" x14ac:dyDescent="0.15">
      <c r="A2369" t="s">
        <v>7566</v>
      </c>
      <c r="B2369" t="s">
        <v>7567</v>
      </c>
      <c r="C2369" t="s">
        <v>7568</v>
      </c>
      <c r="D2369" t="s">
        <v>7569</v>
      </c>
      <c r="E2369">
        <v>0</v>
      </c>
      <c r="F2369" t="str">
        <f>HYPERLINK("https://github.com/cgeo/cgeo/issues/6258", "show")</f>
        <v>show</v>
      </c>
      <c r="G2369" t="str">
        <f>HYPERLINK("https://github.com/cgeo/cgeo", "show")</f>
        <v>show</v>
      </c>
      <c r="H2369" t="str">
        <f>HYPERLINK("https://github.com/cgeo/cgeo/releases", "show")</f>
        <v>show</v>
      </c>
      <c r="I2369">
        <v>1</v>
      </c>
      <c r="J2369">
        <v>1</v>
      </c>
      <c r="K2369">
        <v>0</v>
      </c>
      <c r="L2369">
        <v>0</v>
      </c>
      <c r="M2369" t="s">
        <v>48</v>
      </c>
    </row>
    <row r="2370" spans="1:13" hidden="1" x14ac:dyDescent="0.15">
      <c r="A2370" t="s">
        <v>7570</v>
      </c>
      <c r="B2370" t="s">
        <v>7571</v>
      </c>
      <c r="C2370" t="s">
        <v>7532</v>
      </c>
      <c r="D2370" t="s">
        <v>7569</v>
      </c>
      <c r="E2370">
        <v>1</v>
      </c>
      <c r="F2370" t="str">
        <f>HYPERLINK("https://github.com/jehy/rutracker-free/issues/29", "show")</f>
        <v>show</v>
      </c>
      <c r="G2370" t="str">
        <f>HYPERLINK("https://github.com/jehy/rutracker-free", "show")</f>
        <v>show</v>
      </c>
      <c r="H2370" t="str">
        <f>HYPERLINK("https://github.com/jehy/rutracker-free/releases", "show")</f>
        <v>show</v>
      </c>
      <c r="I2370">
        <v>1</v>
      </c>
      <c r="J2370">
        <v>0</v>
      </c>
      <c r="K2370">
        <v>0</v>
      </c>
      <c r="L2370">
        <v>0</v>
      </c>
      <c r="M2370" t="s">
        <v>17</v>
      </c>
    </row>
    <row r="2371" spans="1:13" hidden="1" x14ac:dyDescent="0.15">
      <c r="A2371" t="s">
        <v>7572</v>
      </c>
      <c r="B2371" t="s">
        <v>7573</v>
      </c>
      <c r="C2371" t="s">
        <v>7574</v>
      </c>
      <c r="D2371" t="s">
        <v>7569</v>
      </c>
      <c r="E2371">
        <v>1235</v>
      </c>
      <c r="F2371" t="str">
        <f>HYPERLINK("https://github.com/justdave/MCStatus/issues/10", "show")</f>
        <v>show</v>
      </c>
      <c r="G2371" t="str">
        <f>HYPERLINK("https://github.com/justdave/MCStatus", "show")</f>
        <v>show</v>
      </c>
      <c r="H2371" t="str">
        <f>HYPERLINK("https://github.com/justdave/MCStatus/releases", "show")</f>
        <v>show</v>
      </c>
      <c r="I2371">
        <v>1</v>
      </c>
      <c r="J2371">
        <v>0</v>
      </c>
      <c r="K2371">
        <v>1</v>
      </c>
      <c r="L2371">
        <v>0</v>
      </c>
      <c r="M2371" t="s">
        <v>64</v>
      </c>
    </row>
    <row r="2372" spans="1:13" hidden="1" x14ac:dyDescent="0.15">
      <c r="A2372" t="s">
        <v>7575</v>
      </c>
      <c r="B2372" t="s">
        <v>7576</v>
      </c>
      <c r="C2372" t="s">
        <v>7577</v>
      </c>
      <c r="D2372" t="s">
        <v>7569</v>
      </c>
      <c r="E2372">
        <v>6</v>
      </c>
      <c r="F2372" t="str">
        <f>HYPERLINK("https://github.com/Cloudkibo/Android/issues/424", "show")</f>
        <v>show</v>
      </c>
      <c r="G2372" t="str">
        <f>HYPERLINK("https://github.com/Cloudkibo/Android", "show")</f>
        <v>show</v>
      </c>
      <c r="H2372" t="str">
        <f>HYPERLINK("https://github.com/Cloudkibo/Android/releases", "show")</f>
        <v>show</v>
      </c>
      <c r="I2372">
        <v>0</v>
      </c>
      <c r="J2372">
        <v>1</v>
      </c>
      <c r="K2372">
        <v>0</v>
      </c>
      <c r="L2372">
        <v>1</v>
      </c>
      <c r="M2372" t="s">
        <v>1732</v>
      </c>
    </row>
    <row r="2373" spans="1:13" hidden="1" x14ac:dyDescent="0.15">
      <c r="A2373" t="s">
        <v>7578</v>
      </c>
      <c r="B2373" t="s">
        <v>7579</v>
      </c>
      <c r="C2373" t="s">
        <v>7580</v>
      </c>
      <c r="D2373" t="s">
        <v>7581</v>
      </c>
      <c r="E2373">
        <v>5</v>
      </c>
      <c r="F2373" t="str">
        <f>HYPERLINK("https://github.com/h6ah4i/android-advancedrecyclerview/issues/339", "show")</f>
        <v>show</v>
      </c>
      <c r="G2373" t="str">
        <f>HYPERLINK("https://github.com/h6ah4i/android-advancedrecyclerview", "show")</f>
        <v>show</v>
      </c>
      <c r="H2373" t="str">
        <f>HYPERLINK("https://github.com/h6ah4i/android-advancedrecyclerview/releases", "show")</f>
        <v>show</v>
      </c>
      <c r="I2373">
        <v>0</v>
      </c>
      <c r="J2373">
        <v>0</v>
      </c>
      <c r="K2373">
        <v>1</v>
      </c>
      <c r="L2373">
        <v>0</v>
      </c>
      <c r="M2373" t="s">
        <v>122</v>
      </c>
    </row>
    <row r="2374" spans="1:13" hidden="1" x14ac:dyDescent="0.15">
      <c r="A2374" t="s">
        <v>7582</v>
      </c>
      <c r="B2374" t="s">
        <v>7583</v>
      </c>
      <c r="C2374" t="s">
        <v>7584</v>
      </c>
      <c r="D2374" t="s">
        <v>7581</v>
      </c>
      <c r="E2374">
        <v>8</v>
      </c>
      <c r="F2374" t="str">
        <f>HYPERLINK("https://github.com/gsantner/dandelion/issues/139", "show")</f>
        <v>show</v>
      </c>
      <c r="G2374" t="str">
        <f>HYPERLINK("https://github.com/gsantner/dandelion", "show")</f>
        <v>show</v>
      </c>
      <c r="H2374" t="str">
        <f>HYPERLINK("https://github.com/gsantner/dandelion/releases", "show")</f>
        <v>show</v>
      </c>
      <c r="I2374">
        <v>1</v>
      </c>
      <c r="J2374">
        <v>1</v>
      </c>
      <c r="K2374">
        <v>0</v>
      </c>
      <c r="L2374">
        <v>0</v>
      </c>
      <c r="M2374" t="s">
        <v>48</v>
      </c>
    </row>
    <row r="2375" spans="1:13" hidden="1" x14ac:dyDescent="0.15">
      <c r="A2375" t="s">
        <v>7585</v>
      </c>
      <c r="B2375" t="s">
        <v>7586</v>
      </c>
      <c r="C2375" t="s">
        <v>7587</v>
      </c>
      <c r="D2375" t="s">
        <v>7581</v>
      </c>
      <c r="E2375">
        <v>0</v>
      </c>
      <c r="F2375" t="str">
        <f>HYPERLINK("https://github.com/cgeo/cgeo/issues/6261", "show")</f>
        <v>show</v>
      </c>
      <c r="G2375" t="str">
        <f>HYPERLINK("https://github.com/cgeo/cgeo", "show")</f>
        <v>show</v>
      </c>
      <c r="H2375" t="str">
        <f>HYPERLINK("https://github.com/cgeo/cgeo/releases", "show")</f>
        <v>show</v>
      </c>
      <c r="I2375">
        <v>1</v>
      </c>
      <c r="J2375">
        <v>1</v>
      </c>
      <c r="K2375">
        <v>0</v>
      </c>
      <c r="L2375">
        <v>0</v>
      </c>
      <c r="M2375" t="s">
        <v>48</v>
      </c>
    </row>
    <row r="2376" spans="1:13" hidden="1" x14ac:dyDescent="0.15">
      <c r="A2376" t="s">
        <v>7588</v>
      </c>
      <c r="B2376" t="s">
        <v>7589</v>
      </c>
      <c r="C2376" t="s">
        <v>7590</v>
      </c>
      <c r="D2376" t="s">
        <v>7581</v>
      </c>
      <c r="E2376">
        <v>4</v>
      </c>
      <c r="F2376" t="str">
        <f>HYPERLINK("https://github.com/ataulm/talkback-toggle-tile/issues/2", "show")</f>
        <v>show</v>
      </c>
      <c r="G2376" t="str">
        <f>HYPERLINK("https://github.com/ataulm/talkback-toggle-tile", "show")</f>
        <v>show</v>
      </c>
      <c r="H2376" t="str">
        <f>HYPERLINK("https://github.com/ataulm/talkback-toggle-tile/releases", "show")</f>
        <v>show</v>
      </c>
      <c r="I2376">
        <v>1</v>
      </c>
      <c r="J2376">
        <v>1</v>
      </c>
      <c r="K2376">
        <v>0</v>
      </c>
      <c r="L2376">
        <v>0</v>
      </c>
      <c r="M2376" t="s">
        <v>48</v>
      </c>
    </row>
    <row r="2377" spans="1:13" hidden="1" x14ac:dyDescent="0.15">
      <c r="A2377" t="s">
        <v>7591</v>
      </c>
      <c r="B2377" t="s">
        <v>7592</v>
      </c>
      <c r="C2377" t="s">
        <v>7593</v>
      </c>
      <c r="D2377" t="s">
        <v>7581</v>
      </c>
      <c r="E2377">
        <v>176</v>
      </c>
      <c r="F2377" t="str">
        <f>HYPERLINK("https://github.com/opensrp/opensrp-client/issues/369", "show")</f>
        <v>show</v>
      </c>
      <c r="G2377" t="str">
        <f>HYPERLINK("https://github.com/opensrp/opensrp-client", "show")</f>
        <v>show</v>
      </c>
      <c r="H2377" t="str">
        <f>HYPERLINK("https://github.com/opensrp/opensrp-client/releases", "show")</f>
        <v>show</v>
      </c>
      <c r="I2377">
        <v>1</v>
      </c>
      <c r="J2377">
        <v>1</v>
      </c>
      <c r="K2377">
        <v>0</v>
      </c>
      <c r="L2377">
        <v>0</v>
      </c>
      <c r="M2377" t="s">
        <v>48</v>
      </c>
    </row>
    <row r="2378" spans="1:13" hidden="1" x14ac:dyDescent="0.15">
      <c r="A2378" t="s">
        <v>7594</v>
      </c>
      <c r="B2378" t="s">
        <v>7595</v>
      </c>
      <c r="C2378" t="s">
        <v>504</v>
      </c>
      <c r="D2378" t="s">
        <v>7581</v>
      </c>
      <c r="E2378">
        <v>410</v>
      </c>
      <c r="F2378" t="str">
        <f>HYPERLINK("https://github.com/tanrabad/survey/issues/7", "show")</f>
        <v>show</v>
      </c>
      <c r="G2378" t="str">
        <f>HYPERLINK("https://github.com/tanrabad/survey", "show")</f>
        <v>show</v>
      </c>
      <c r="H2378" t="str">
        <f>HYPERLINK("https://github.com/tanrabad/survey/releases", "show")</f>
        <v>show</v>
      </c>
      <c r="I2378">
        <v>1</v>
      </c>
      <c r="J2378">
        <v>0</v>
      </c>
      <c r="K2378">
        <v>0</v>
      </c>
      <c r="L2378">
        <v>0</v>
      </c>
      <c r="M2378" t="s">
        <v>17</v>
      </c>
    </row>
    <row r="2379" spans="1:13" hidden="1" x14ac:dyDescent="0.15">
      <c r="A2379" t="s">
        <v>7596</v>
      </c>
      <c r="B2379" t="s">
        <v>7597</v>
      </c>
      <c r="C2379" t="s">
        <v>7598</v>
      </c>
      <c r="D2379" t="s">
        <v>7581</v>
      </c>
      <c r="E2379">
        <v>16</v>
      </c>
      <c r="F2379" t="str">
        <f>HYPERLINK("https://github.com/Karumi/Dexter/issues/107", "show")</f>
        <v>show</v>
      </c>
      <c r="G2379" t="str">
        <f>HYPERLINK("https://github.com/Karumi/Dexter", "show")</f>
        <v>show</v>
      </c>
      <c r="H2379" t="str">
        <f>HYPERLINK("https://github.com/Karumi/Dexter/releases", "show")</f>
        <v>show</v>
      </c>
      <c r="I2379">
        <v>1</v>
      </c>
      <c r="J2379">
        <v>0</v>
      </c>
      <c r="K2379">
        <v>1</v>
      </c>
      <c r="L2379">
        <v>0</v>
      </c>
      <c r="M2379" t="s">
        <v>64</v>
      </c>
    </row>
    <row r="2380" spans="1:13" hidden="1" x14ac:dyDescent="0.15">
      <c r="A2380" t="s">
        <v>7599</v>
      </c>
      <c r="B2380" t="s">
        <v>7600</v>
      </c>
      <c r="D2380" t="s">
        <v>7581</v>
      </c>
      <c r="E2380">
        <v>85</v>
      </c>
      <c r="F2380" t="str">
        <f>HYPERLINK("https://github.com/nextgis/android_nextgis_mobile/issues/16", "show")</f>
        <v>show</v>
      </c>
      <c r="G2380" t="str">
        <f>HYPERLINK("https://github.com/nextgis/android_nextgis_mobile", "show")</f>
        <v>show</v>
      </c>
      <c r="H2380" t="str">
        <f>HYPERLINK("https://github.com/nextgis/android_nextgis_mobile/releases", "show")</f>
        <v>show</v>
      </c>
      <c r="I2380">
        <v>0</v>
      </c>
      <c r="J2380">
        <v>0</v>
      </c>
      <c r="K2380">
        <v>0</v>
      </c>
      <c r="L2380">
        <v>0</v>
      </c>
      <c r="M2380" t="s">
        <v>43</v>
      </c>
    </row>
    <row r="2381" spans="1:13" hidden="1" x14ac:dyDescent="0.15">
      <c r="A2381" t="s">
        <v>7601</v>
      </c>
      <c r="B2381" t="s">
        <v>7602</v>
      </c>
      <c r="C2381" t="s">
        <v>7603</v>
      </c>
      <c r="D2381" t="s">
        <v>7581</v>
      </c>
      <c r="E2381">
        <v>1606</v>
      </c>
      <c r="F2381" t="str">
        <f>HYPERLINK("https://github.com/Calsign/APDE/issues/24", "show")</f>
        <v>show</v>
      </c>
      <c r="G2381" t="str">
        <f>HYPERLINK("https://github.com/Calsign/APDE", "show")</f>
        <v>show</v>
      </c>
      <c r="H2381" t="str">
        <f>HYPERLINK("https://github.com/Calsign/APDE/releases", "show")</f>
        <v>show</v>
      </c>
      <c r="I2381">
        <v>1</v>
      </c>
      <c r="J2381">
        <v>0</v>
      </c>
      <c r="K2381">
        <v>0</v>
      </c>
      <c r="L2381">
        <v>0</v>
      </c>
      <c r="M2381" t="s">
        <v>17</v>
      </c>
    </row>
    <row r="2382" spans="1:13" hidden="1" x14ac:dyDescent="0.15">
      <c r="A2382" t="s">
        <v>7604</v>
      </c>
      <c r="B2382" t="s">
        <v>7605</v>
      </c>
      <c r="C2382" t="s">
        <v>504</v>
      </c>
      <c r="D2382" t="s">
        <v>7606</v>
      </c>
      <c r="E2382">
        <v>701</v>
      </c>
      <c r="F2382" t="str">
        <f>HYPERLINK("https://github.com/niclabs/adkintunmobile-androidclient/issues/159", "show")</f>
        <v>show</v>
      </c>
      <c r="G2382" t="str">
        <f>HYPERLINK("https://github.com/niclabs/adkintunmobile-androidclient", "show")</f>
        <v>show</v>
      </c>
      <c r="H2382" t="str">
        <f>HYPERLINK("https://github.com/niclabs/adkintunmobile-androidclient/releases", "show")</f>
        <v>show</v>
      </c>
      <c r="I2382">
        <v>1</v>
      </c>
      <c r="J2382">
        <v>0</v>
      </c>
      <c r="K2382">
        <v>0</v>
      </c>
      <c r="L2382">
        <v>0</v>
      </c>
      <c r="M2382" t="s">
        <v>17</v>
      </c>
    </row>
    <row r="2383" spans="1:13" hidden="1" x14ac:dyDescent="0.15">
      <c r="A2383" t="s">
        <v>7607</v>
      </c>
      <c r="B2383" t="s">
        <v>7608</v>
      </c>
      <c r="C2383" t="s">
        <v>504</v>
      </c>
      <c r="D2383" t="s">
        <v>7606</v>
      </c>
      <c r="E2383">
        <v>626</v>
      </c>
      <c r="F2383" t="str">
        <f>HYPERLINK("https://github.com/jehy/rutracker-free/issues/30", "show")</f>
        <v>show</v>
      </c>
      <c r="G2383" t="str">
        <f>HYPERLINK("https://github.com/jehy/rutracker-free", "show")</f>
        <v>show</v>
      </c>
      <c r="H2383" t="str">
        <f>HYPERLINK("https://github.com/jehy/rutracker-free/releases", "show")</f>
        <v>show</v>
      </c>
      <c r="I2383">
        <v>1</v>
      </c>
      <c r="J2383">
        <v>0</v>
      </c>
      <c r="K2383">
        <v>0</v>
      </c>
      <c r="L2383">
        <v>0</v>
      </c>
      <c r="M2383" t="s">
        <v>17</v>
      </c>
    </row>
    <row r="2384" spans="1:13" hidden="1" x14ac:dyDescent="0.15">
      <c r="A2384" t="s">
        <v>7609</v>
      </c>
      <c r="B2384" t="s">
        <v>4871</v>
      </c>
      <c r="C2384" t="s">
        <v>504</v>
      </c>
      <c r="D2384" t="s">
        <v>7606</v>
      </c>
      <c r="E2384">
        <v>409</v>
      </c>
      <c r="F2384" t="str">
        <f>HYPERLINK("https://github.com/tanrabad/survey/issues/10", "show")</f>
        <v>show</v>
      </c>
      <c r="G2384" t="str">
        <f>HYPERLINK("https://github.com/tanrabad/survey", "show")</f>
        <v>show</v>
      </c>
      <c r="H2384" t="str">
        <f>HYPERLINK("https://github.com/tanrabad/survey/releases", "show")</f>
        <v>show</v>
      </c>
      <c r="I2384">
        <v>1</v>
      </c>
      <c r="J2384">
        <v>0</v>
      </c>
      <c r="K2384">
        <v>0</v>
      </c>
      <c r="L2384">
        <v>0</v>
      </c>
      <c r="M2384" t="s">
        <v>17</v>
      </c>
    </row>
    <row r="2385" spans="1:13" hidden="1" x14ac:dyDescent="0.15">
      <c r="A2385" t="s">
        <v>7610</v>
      </c>
      <c r="B2385" t="s">
        <v>4871</v>
      </c>
      <c r="C2385" t="s">
        <v>504</v>
      </c>
      <c r="D2385" t="s">
        <v>7606</v>
      </c>
      <c r="E2385">
        <v>409</v>
      </c>
      <c r="F2385" t="str">
        <f>HYPERLINK("https://github.com/tanrabad/survey/issues/9", "show")</f>
        <v>show</v>
      </c>
      <c r="G2385" t="str">
        <f>HYPERLINK("https://github.com/tanrabad/survey", "show")</f>
        <v>show</v>
      </c>
      <c r="H2385" t="str">
        <f>HYPERLINK("https://github.com/tanrabad/survey/releases", "show")</f>
        <v>show</v>
      </c>
      <c r="I2385">
        <v>1</v>
      </c>
      <c r="J2385">
        <v>0</v>
      </c>
      <c r="K2385">
        <v>0</v>
      </c>
      <c r="L2385">
        <v>0</v>
      </c>
      <c r="M2385" t="s">
        <v>17</v>
      </c>
    </row>
    <row r="2386" spans="1:13" hidden="1" x14ac:dyDescent="0.15">
      <c r="A2386" t="s">
        <v>7611</v>
      </c>
      <c r="B2386" t="s">
        <v>7612</v>
      </c>
      <c r="C2386" t="s">
        <v>7613</v>
      </c>
      <c r="D2386" t="s">
        <v>7606</v>
      </c>
      <c r="E2386">
        <v>5</v>
      </c>
      <c r="F2386" t="str">
        <f>HYPERLINK("https://github.com/syncthing/syncthing-android/issues/834", "show")</f>
        <v>show</v>
      </c>
      <c r="G2386" t="str">
        <f>HYPERLINK("https://github.com/syncthing/syncthing-android", "show")</f>
        <v>show</v>
      </c>
      <c r="H2386" t="str">
        <f>HYPERLINK("https://github.com/syncthing/syncthing-android/releases", "show")</f>
        <v>show</v>
      </c>
      <c r="I2386">
        <v>1</v>
      </c>
      <c r="J2386">
        <v>0</v>
      </c>
      <c r="K2386">
        <v>1</v>
      </c>
      <c r="L2386">
        <v>0</v>
      </c>
      <c r="M2386" t="s">
        <v>64</v>
      </c>
    </row>
    <row r="2387" spans="1:13" hidden="1" x14ac:dyDescent="0.15">
      <c r="A2387" t="s">
        <v>7614</v>
      </c>
      <c r="B2387" t="s">
        <v>7615</v>
      </c>
      <c r="C2387" t="s">
        <v>7616</v>
      </c>
      <c r="D2387" t="s">
        <v>7606</v>
      </c>
      <c r="E2387">
        <v>0</v>
      </c>
      <c r="F2387" t="str">
        <f>HYPERLINK("https://github.com/openbmap/radiocells-scanner-android/issues/179", "show")</f>
        <v>show</v>
      </c>
      <c r="G2387" t="str">
        <f>HYPERLINK("https://github.com/openbmap/radiocells-scanner-android", "show")</f>
        <v>show</v>
      </c>
      <c r="H2387" t="str">
        <f>HYPERLINK("https://github.com/openbmap/radiocells-scanner-android/releases", "show")</f>
        <v>show</v>
      </c>
      <c r="I2387">
        <v>1</v>
      </c>
      <c r="J2387">
        <v>0</v>
      </c>
      <c r="K2387">
        <v>1</v>
      </c>
      <c r="L2387">
        <v>0</v>
      </c>
      <c r="M2387" t="s">
        <v>64</v>
      </c>
    </row>
    <row r="2388" spans="1:13" hidden="1" x14ac:dyDescent="0.15">
      <c r="A2388" t="s">
        <v>7617</v>
      </c>
      <c r="B2388" t="s">
        <v>4871</v>
      </c>
      <c r="C2388" t="s">
        <v>504</v>
      </c>
      <c r="D2388" t="s">
        <v>7606</v>
      </c>
      <c r="E2388">
        <v>409</v>
      </c>
      <c r="F2388" t="str">
        <f>HYPERLINK("https://github.com/tanrabad/survey/issues/8", "show")</f>
        <v>show</v>
      </c>
      <c r="G2388" t="str">
        <f>HYPERLINK("https://github.com/tanrabad/survey", "show")</f>
        <v>show</v>
      </c>
      <c r="H2388" t="str">
        <f>HYPERLINK("https://github.com/tanrabad/survey/releases", "show")</f>
        <v>show</v>
      </c>
      <c r="I2388">
        <v>1</v>
      </c>
      <c r="J2388">
        <v>0</v>
      </c>
      <c r="K2388">
        <v>0</v>
      </c>
      <c r="L2388">
        <v>0</v>
      </c>
      <c r="M2388" t="s">
        <v>17</v>
      </c>
    </row>
    <row r="2389" spans="1:13" hidden="1" x14ac:dyDescent="0.15">
      <c r="A2389" t="s">
        <v>7618</v>
      </c>
      <c r="B2389" t="s">
        <v>7619</v>
      </c>
      <c r="C2389" t="s">
        <v>7620</v>
      </c>
      <c r="D2389" t="s">
        <v>7621</v>
      </c>
      <c r="E2389">
        <v>7</v>
      </c>
      <c r="F2389" t="str">
        <f>HYPERLINK("https://github.com/praekeltfoundation/gem-bbb-indo/issues/440", "show")</f>
        <v>show</v>
      </c>
      <c r="G2389" t="str">
        <f>HYPERLINK("https://github.com/praekeltfoundation/gem-bbb-indo", "show")</f>
        <v>show</v>
      </c>
      <c r="H2389" t="str">
        <f>HYPERLINK("https://github.com/praekeltfoundation/gem-bbb-indo/releases", "show")</f>
        <v>show</v>
      </c>
      <c r="I2389">
        <v>1</v>
      </c>
      <c r="J2389">
        <v>0</v>
      </c>
      <c r="K2389">
        <v>0</v>
      </c>
      <c r="L2389">
        <v>0</v>
      </c>
      <c r="M2389" t="s">
        <v>17</v>
      </c>
    </row>
    <row r="2390" spans="1:13" hidden="1" x14ac:dyDescent="0.15">
      <c r="A2390" t="s">
        <v>7622</v>
      </c>
      <c r="B2390" t="s">
        <v>7623</v>
      </c>
      <c r="C2390" t="s">
        <v>7624</v>
      </c>
      <c r="D2390" t="s">
        <v>7621</v>
      </c>
      <c r="E2390">
        <v>0</v>
      </c>
      <c r="F2390" t="str">
        <f>HYPERLINK("https://github.com/MythTV-Clients/MythtvPlayerForAndroid/issues/212", "show")</f>
        <v>show</v>
      </c>
      <c r="G2390" t="str">
        <f>HYPERLINK("https://github.com/MythTV-Clients/MythtvPlayerForAndroid", "show")</f>
        <v>show</v>
      </c>
      <c r="H2390" t="str">
        <f>HYPERLINK("https://github.com/MythTV-Clients/MythtvPlayerForAndroid/releases", "show")</f>
        <v>show</v>
      </c>
      <c r="I2390">
        <v>0</v>
      </c>
      <c r="J2390">
        <v>0</v>
      </c>
      <c r="K2390">
        <v>1</v>
      </c>
      <c r="L2390">
        <v>0</v>
      </c>
      <c r="M2390" t="s">
        <v>122</v>
      </c>
    </row>
    <row r="2391" spans="1:13" hidden="1" x14ac:dyDescent="0.15">
      <c r="A2391" t="s">
        <v>7625</v>
      </c>
      <c r="B2391" t="s">
        <v>7626</v>
      </c>
      <c r="C2391" t="s">
        <v>7627</v>
      </c>
      <c r="D2391" t="s">
        <v>7628</v>
      </c>
      <c r="E2391">
        <v>3</v>
      </c>
      <c r="F2391" t="str">
        <f>HYPERLINK("https://github.com/inaturalist/iNaturalistAndroid/issues/292", "show")</f>
        <v>show</v>
      </c>
      <c r="G2391" t="str">
        <f>HYPERLINK("https://github.com/inaturalist/iNaturalistAndroid", "show")</f>
        <v>show</v>
      </c>
      <c r="H2391" t="str">
        <f>HYPERLINK("https://github.com/inaturalist/iNaturalistAndroid/releases", "show")</f>
        <v>show</v>
      </c>
      <c r="I2391">
        <v>1</v>
      </c>
      <c r="J2391">
        <v>0</v>
      </c>
      <c r="K2391">
        <v>1</v>
      </c>
      <c r="L2391">
        <v>0</v>
      </c>
      <c r="M2391" t="s">
        <v>64</v>
      </c>
    </row>
    <row r="2392" spans="1:13" hidden="1" x14ac:dyDescent="0.15">
      <c r="A2392" t="s">
        <v>7629</v>
      </c>
      <c r="B2392" t="s">
        <v>7630</v>
      </c>
      <c r="C2392" t="s">
        <v>7631</v>
      </c>
      <c r="D2392" t="s">
        <v>7628</v>
      </c>
      <c r="E2392">
        <v>1</v>
      </c>
      <c r="F2392" t="str">
        <f>HYPERLINK("https://github.com/FindItPS/findit/issues/4", "show")</f>
        <v>show</v>
      </c>
      <c r="G2392" t="str">
        <f>HYPERLINK("https://github.com/FindItPS/findit", "show")</f>
        <v>show</v>
      </c>
      <c r="H2392" t="str">
        <f>HYPERLINK("https://github.com/FindItPS/findit/releases", "show")</f>
        <v>show</v>
      </c>
      <c r="I2392">
        <v>1</v>
      </c>
      <c r="J2392">
        <v>0</v>
      </c>
      <c r="K2392">
        <v>0</v>
      </c>
      <c r="L2392">
        <v>0</v>
      </c>
      <c r="M2392" t="s">
        <v>17</v>
      </c>
    </row>
    <row r="2393" spans="1:13" hidden="1" x14ac:dyDescent="0.15">
      <c r="A2393" t="s">
        <v>7632</v>
      </c>
      <c r="B2393" t="s">
        <v>7633</v>
      </c>
      <c r="C2393" t="s">
        <v>7634</v>
      </c>
      <c r="D2393" t="s">
        <v>7628</v>
      </c>
      <c r="E2393">
        <v>9</v>
      </c>
      <c r="F2393" t="str">
        <f>HYPERLINK("https://github.com/mvysny/aedict/issues/723", "show")</f>
        <v>show</v>
      </c>
      <c r="G2393" t="str">
        <f>HYPERLINK("https://github.com/mvysny/aedict", "show")</f>
        <v>show</v>
      </c>
      <c r="H2393" t="str">
        <f>HYPERLINK("https://github.com/mvysny/aedict/releases", "show")</f>
        <v>show</v>
      </c>
      <c r="I2393">
        <v>0</v>
      </c>
      <c r="J2393">
        <v>0</v>
      </c>
      <c r="K2393">
        <v>0</v>
      </c>
      <c r="L2393">
        <v>0</v>
      </c>
      <c r="M2393" t="s">
        <v>43</v>
      </c>
    </row>
    <row r="2394" spans="1:13" hidden="1" x14ac:dyDescent="0.15">
      <c r="A2394" t="s">
        <v>7635</v>
      </c>
      <c r="B2394" t="s">
        <v>4871</v>
      </c>
      <c r="C2394" t="s">
        <v>504</v>
      </c>
      <c r="D2394" t="s">
        <v>7628</v>
      </c>
      <c r="E2394">
        <v>407</v>
      </c>
      <c r="F2394" t="str">
        <f>HYPERLINK("https://github.com/tanrabad/survey/issues/11", "show")</f>
        <v>show</v>
      </c>
      <c r="G2394" t="str">
        <f>HYPERLINK("https://github.com/tanrabad/survey", "show")</f>
        <v>show</v>
      </c>
      <c r="H2394" t="str">
        <f>HYPERLINK("https://github.com/tanrabad/survey/releases", "show")</f>
        <v>show</v>
      </c>
      <c r="I2394">
        <v>1</v>
      </c>
      <c r="J2394">
        <v>0</v>
      </c>
      <c r="K2394">
        <v>0</v>
      </c>
      <c r="L2394">
        <v>0</v>
      </c>
      <c r="M2394" t="s">
        <v>17</v>
      </c>
    </row>
    <row r="2395" spans="1:13" hidden="1" x14ac:dyDescent="0.15">
      <c r="A2395" t="s">
        <v>7636</v>
      </c>
      <c r="B2395" t="s">
        <v>7637</v>
      </c>
      <c r="C2395" t="s">
        <v>7638</v>
      </c>
      <c r="D2395" t="s">
        <v>7639</v>
      </c>
      <c r="E2395">
        <v>26</v>
      </c>
      <c r="F2395" t="str">
        <f>HYPERLINK("https://github.com/consp1racy/android-support-preference/issues/59", "show")</f>
        <v>show</v>
      </c>
      <c r="G2395" t="str">
        <f>HYPERLINK("https://github.com/consp1racy/android-support-preference", "show")</f>
        <v>show</v>
      </c>
      <c r="H2395" t="str">
        <f>HYPERLINK("https://github.com/consp1racy/android-support-preference/releases", "show")</f>
        <v>show</v>
      </c>
      <c r="I2395">
        <v>0</v>
      </c>
      <c r="J2395">
        <v>0</v>
      </c>
      <c r="K2395">
        <v>0</v>
      </c>
      <c r="L2395">
        <v>0</v>
      </c>
      <c r="M2395" t="s">
        <v>43</v>
      </c>
    </row>
    <row r="2396" spans="1:13" hidden="1" x14ac:dyDescent="0.15">
      <c r="A2396" t="s">
        <v>7640</v>
      </c>
      <c r="B2396" t="s">
        <v>7641</v>
      </c>
      <c r="D2396" t="s">
        <v>7639</v>
      </c>
      <c r="E2396">
        <v>13</v>
      </c>
      <c r="F2396" t="str">
        <f>HYPERLINK("https://github.com/lingochamp/FileDownloader/issues/462", "show")</f>
        <v>show</v>
      </c>
      <c r="G2396" t="str">
        <f>HYPERLINK("https://github.com/lingochamp/FileDownloader", "show")</f>
        <v>show</v>
      </c>
      <c r="H2396" t="str">
        <f>HYPERLINK("https://github.com/lingochamp/FileDownloader/releases", "show")</f>
        <v>show</v>
      </c>
      <c r="I2396">
        <v>0</v>
      </c>
      <c r="J2396">
        <v>0</v>
      </c>
      <c r="K2396">
        <v>1</v>
      </c>
      <c r="L2396">
        <v>0</v>
      </c>
      <c r="M2396" t="s">
        <v>122</v>
      </c>
    </row>
    <row r="2397" spans="1:13" hidden="1" x14ac:dyDescent="0.15">
      <c r="A2397" t="s">
        <v>7642</v>
      </c>
      <c r="B2397" t="s">
        <v>7643</v>
      </c>
      <c r="C2397" t="s">
        <v>7644</v>
      </c>
      <c r="D2397" t="s">
        <v>7639</v>
      </c>
      <c r="E2397">
        <v>4</v>
      </c>
      <c r="F2397" t="str">
        <f>HYPERLINK("https://github.com/danvim/Procal/issues/29", "show")</f>
        <v>show</v>
      </c>
      <c r="G2397" t="str">
        <f>HYPERLINK("https://github.com/danvim/Procal", "show")</f>
        <v>show</v>
      </c>
      <c r="H2397" t="str">
        <f>HYPERLINK("https://github.com/danvim/Procal/releases", "show")</f>
        <v>show</v>
      </c>
      <c r="I2397">
        <v>1</v>
      </c>
      <c r="J2397">
        <v>1</v>
      </c>
      <c r="K2397">
        <v>0</v>
      </c>
      <c r="L2397">
        <v>0</v>
      </c>
      <c r="M2397" t="s">
        <v>48</v>
      </c>
    </row>
    <row r="2398" spans="1:13" hidden="1" x14ac:dyDescent="0.15">
      <c r="A2398" t="s">
        <v>7645</v>
      </c>
      <c r="B2398" t="s">
        <v>7646</v>
      </c>
      <c r="C2398" t="s">
        <v>504</v>
      </c>
      <c r="D2398" t="s">
        <v>7639</v>
      </c>
      <c r="E2398">
        <v>55</v>
      </c>
      <c r="F2398" t="str">
        <f>HYPERLINK("https://github.com/praekeltfoundation/gem-bbb-indo/issues/469", "show")</f>
        <v>show</v>
      </c>
      <c r="G2398" t="str">
        <f>HYPERLINK("https://github.com/praekeltfoundation/gem-bbb-indo", "show")</f>
        <v>show</v>
      </c>
      <c r="H2398" t="str">
        <f>HYPERLINK("https://github.com/praekeltfoundation/gem-bbb-indo/releases", "show")</f>
        <v>show</v>
      </c>
      <c r="I2398">
        <v>1</v>
      </c>
      <c r="J2398">
        <v>0</v>
      </c>
      <c r="K2398">
        <v>0</v>
      </c>
      <c r="L2398">
        <v>0</v>
      </c>
      <c r="M2398" t="s">
        <v>17</v>
      </c>
    </row>
    <row r="2399" spans="1:13" hidden="1" x14ac:dyDescent="0.15">
      <c r="A2399" t="s">
        <v>7647</v>
      </c>
      <c r="B2399" t="s">
        <v>7648</v>
      </c>
      <c r="C2399" t="s">
        <v>504</v>
      </c>
      <c r="D2399" t="s">
        <v>7639</v>
      </c>
      <c r="E2399">
        <v>55</v>
      </c>
      <c r="F2399" t="str">
        <f>HYPERLINK("https://github.com/praekeltfoundation/gem-bbb-indo/issues/468", "show")</f>
        <v>show</v>
      </c>
      <c r="G2399" t="str">
        <f>HYPERLINK("https://github.com/praekeltfoundation/gem-bbb-indo", "show")</f>
        <v>show</v>
      </c>
      <c r="H2399" t="str">
        <f>HYPERLINK("https://github.com/praekeltfoundation/gem-bbb-indo/releases", "show")</f>
        <v>show</v>
      </c>
      <c r="I2399">
        <v>1</v>
      </c>
      <c r="J2399">
        <v>0</v>
      </c>
      <c r="K2399">
        <v>0</v>
      </c>
      <c r="L2399">
        <v>0</v>
      </c>
      <c r="M2399" t="s">
        <v>17</v>
      </c>
    </row>
    <row r="2400" spans="1:13" hidden="1" x14ac:dyDescent="0.15">
      <c r="A2400" t="s">
        <v>7649</v>
      </c>
      <c r="B2400" t="s">
        <v>7650</v>
      </c>
      <c r="C2400" t="s">
        <v>7651</v>
      </c>
      <c r="D2400" t="s">
        <v>7639</v>
      </c>
      <c r="E2400">
        <v>13</v>
      </c>
      <c r="F2400" t="str">
        <f>HYPERLINK("https://github.com/wasdennnoch/Scoop/issues/3", "show")</f>
        <v>show</v>
      </c>
      <c r="G2400" t="str">
        <f>HYPERLINK("https://github.com/wasdennnoch/Scoop", "show")</f>
        <v>show</v>
      </c>
      <c r="H2400" t="str">
        <f>HYPERLINK("https://github.com/wasdennnoch/Scoop/releases", "show")</f>
        <v>show</v>
      </c>
      <c r="I2400">
        <v>1</v>
      </c>
      <c r="J2400">
        <v>0</v>
      </c>
      <c r="K2400">
        <v>0</v>
      </c>
      <c r="L2400">
        <v>0</v>
      </c>
      <c r="M2400" t="s">
        <v>17</v>
      </c>
    </row>
    <row r="2401" spans="1:13" hidden="1" x14ac:dyDescent="0.15">
      <c r="A2401" t="s">
        <v>7652</v>
      </c>
      <c r="B2401" t="s">
        <v>7653</v>
      </c>
      <c r="C2401" t="s">
        <v>7654</v>
      </c>
      <c r="D2401" t="s">
        <v>7639</v>
      </c>
      <c r="E2401">
        <v>5</v>
      </c>
      <c r="F2401" t="str">
        <f>HYPERLINK("https://github.com/praekeltfoundation/gem-bbb-indo/issues/457", "show")</f>
        <v>show</v>
      </c>
      <c r="G2401" t="str">
        <f>HYPERLINK("https://github.com/praekeltfoundation/gem-bbb-indo", "show")</f>
        <v>show</v>
      </c>
      <c r="H2401" t="str">
        <f>HYPERLINK("https://github.com/praekeltfoundation/gem-bbb-indo/releases", "show")</f>
        <v>show</v>
      </c>
      <c r="I2401">
        <v>1</v>
      </c>
      <c r="J2401">
        <v>0</v>
      </c>
      <c r="K2401">
        <v>1</v>
      </c>
      <c r="L2401">
        <v>0</v>
      </c>
      <c r="M2401" t="s">
        <v>64</v>
      </c>
    </row>
    <row r="2402" spans="1:13" hidden="1" x14ac:dyDescent="0.15">
      <c r="A2402" t="s">
        <v>7655</v>
      </c>
      <c r="B2402" t="s">
        <v>4871</v>
      </c>
      <c r="C2402" t="s">
        <v>504</v>
      </c>
      <c r="D2402" t="s">
        <v>7639</v>
      </c>
      <c r="E2402">
        <v>406</v>
      </c>
      <c r="F2402" t="str">
        <f>HYPERLINK("https://github.com/tanrabad/survey/issues/12", "show")</f>
        <v>show</v>
      </c>
      <c r="G2402" t="str">
        <f>HYPERLINK("https://github.com/tanrabad/survey", "show")</f>
        <v>show</v>
      </c>
      <c r="H2402" t="str">
        <f>HYPERLINK("https://github.com/tanrabad/survey/releases", "show")</f>
        <v>show</v>
      </c>
      <c r="I2402">
        <v>1</v>
      </c>
      <c r="J2402">
        <v>0</v>
      </c>
      <c r="K2402">
        <v>0</v>
      </c>
      <c r="L2402">
        <v>0</v>
      </c>
      <c r="M2402" t="s">
        <v>17</v>
      </c>
    </row>
    <row r="2403" spans="1:13" hidden="1" x14ac:dyDescent="0.15">
      <c r="A2403" t="s">
        <v>7656</v>
      </c>
      <c r="B2403" t="s">
        <v>7657</v>
      </c>
      <c r="C2403" t="s">
        <v>7658</v>
      </c>
      <c r="D2403" t="s">
        <v>7639</v>
      </c>
      <c r="E2403">
        <v>9</v>
      </c>
      <c r="F2403" t="str">
        <f>HYPERLINK("https://github.com/inaturalist/iNaturalistAndroid/issues/295", "show")</f>
        <v>show</v>
      </c>
      <c r="G2403" t="str">
        <f>HYPERLINK("https://github.com/inaturalist/iNaturalistAndroid", "show")</f>
        <v>show</v>
      </c>
      <c r="H2403" t="str">
        <f>HYPERLINK("https://github.com/inaturalist/iNaturalistAndroid/releases", "show")</f>
        <v>show</v>
      </c>
      <c r="I2403">
        <v>1</v>
      </c>
      <c r="J2403">
        <v>0</v>
      </c>
      <c r="K2403">
        <v>1</v>
      </c>
      <c r="L2403">
        <v>0</v>
      </c>
      <c r="M2403" t="s">
        <v>64</v>
      </c>
    </row>
    <row r="2404" spans="1:13" hidden="1" x14ac:dyDescent="0.15">
      <c r="A2404" t="s">
        <v>7659</v>
      </c>
      <c r="B2404" t="s">
        <v>7660</v>
      </c>
      <c r="C2404" t="s">
        <v>7661</v>
      </c>
      <c r="D2404" t="s">
        <v>7662</v>
      </c>
      <c r="E2404">
        <v>3</v>
      </c>
      <c r="F2404" t="str">
        <f>HYPERLINK("https://github.com/jklmnn/ParkenDD/issues/38", "show")</f>
        <v>show</v>
      </c>
      <c r="G2404" t="str">
        <f>HYPERLINK("https://github.com/jklmnn/ParkenDD", "show")</f>
        <v>show</v>
      </c>
      <c r="H2404" t="str">
        <f>HYPERLINK("https://github.com/jklmnn/ParkenDD/releases", "show")</f>
        <v>show</v>
      </c>
      <c r="I2404">
        <v>1</v>
      </c>
      <c r="J2404">
        <v>0</v>
      </c>
      <c r="K2404">
        <v>0</v>
      </c>
      <c r="L2404">
        <v>0</v>
      </c>
      <c r="M2404" t="s">
        <v>17</v>
      </c>
    </row>
    <row r="2405" spans="1:13" hidden="1" x14ac:dyDescent="0.15">
      <c r="A2405" t="s">
        <v>7663</v>
      </c>
      <c r="B2405" t="s">
        <v>7664</v>
      </c>
      <c r="C2405" t="s">
        <v>7665</v>
      </c>
      <c r="D2405" t="s">
        <v>7662</v>
      </c>
      <c r="E2405">
        <v>1450</v>
      </c>
      <c r="F2405" t="str">
        <f>HYPERLINK("https://github.com/alexstyl/Memento-Calendar/issues/83", "show")</f>
        <v>show</v>
      </c>
      <c r="G2405" t="str">
        <f>HYPERLINK("https://github.com/alexstyl/Memento-Calendar", "show")</f>
        <v>show</v>
      </c>
      <c r="H2405" t="str">
        <f>HYPERLINK("https://github.com/alexstyl/Memento-Calendar/releases", "show")</f>
        <v>show</v>
      </c>
      <c r="I2405">
        <v>1</v>
      </c>
      <c r="J2405">
        <v>1</v>
      </c>
      <c r="K2405">
        <v>1</v>
      </c>
      <c r="L2405">
        <v>0</v>
      </c>
      <c r="M2405" t="s">
        <v>59</v>
      </c>
    </row>
    <row r="2406" spans="1:13" hidden="1" x14ac:dyDescent="0.15">
      <c r="A2406" t="s">
        <v>7666</v>
      </c>
      <c r="B2406" t="s">
        <v>4871</v>
      </c>
      <c r="C2406" t="s">
        <v>504</v>
      </c>
      <c r="D2406" t="s">
        <v>7662</v>
      </c>
      <c r="E2406">
        <v>405</v>
      </c>
      <c r="F2406" t="str">
        <f>HYPERLINK("https://github.com/tanrabad/survey/issues/13", "show")</f>
        <v>show</v>
      </c>
      <c r="G2406" t="str">
        <f>HYPERLINK("https://github.com/tanrabad/survey", "show")</f>
        <v>show</v>
      </c>
      <c r="H2406" t="str">
        <f>HYPERLINK("https://github.com/tanrabad/survey/releases", "show")</f>
        <v>show</v>
      </c>
      <c r="I2406">
        <v>1</v>
      </c>
      <c r="J2406">
        <v>0</v>
      </c>
      <c r="K2406">
        <v>0</v>
      </c>
      <c r="L2406">
        <v>0</v>
      </c>
      <c r="M2406" t="s">
        <v>17</v>
      </c>
    </row>
    <row r="2407" spans="1:13" hidden="1" x14ac:dyDescent="0.15">
      <c r="A2407" t="s">
        <v>7667</v>
      </c>
      <c r="B2407" t="s">
        <v>7668</v>
      </c>
      <c r="C2407" t="s">
        <v>7669</v>
      </c>
      <c r="D2407" t="s">
        <v>7662</v>
      </c>
      <c r="E2407">
        <v>1</v>
      </c>
      <c r="F2407" t="str">
        <f>HYPERLINK("https://github.com/peng8350/JPTabBar/issues/8", "show")</f>
        <v>show</v>
      </c>
      <c r="G2407" t="str">
        <f>HYPERLINK("https://github.com/peng8350/JPTabBar", "show")</f>
        <v>show</v>
      </c>
      <c r="H2407" t="str">
        <f>HYPERLINK("https://github.com/peng8350/JPTabBar/releases", "show")</f>
        <v>show</v>
      </c>
      <c r="I2407">
        <v>0</v>
      </c>
      <c r="J2407">
        <v>0</v>
      </c>
      <c r="K2407">
        <v>0</v>
      </c>
      <c r="L2407">
        <v>0</v>
      </c>
      <c r="M2407" t="s">
        <v>43</v>
      </c>
    </row>
    <row r="2408" spans="1:13" x14ac:dyDescent="0.15">
      <c r="A2408" t="s">
        <v>7670</v>
      </c>
      <c r="B2408" t="s">
        <v>7671</v>
      </c>
      <c r="C2408" t="s">
        <v>7672</v>
      </c>
      <c r="D2408" t="s">
        <v>7673</v>
      </c>
      <c r="E2408">
        <v>1</v>
      </c>
      <c r="F2408" t="str">
        <f>HYPERLINK("https://github.com/kontalk/androidclient/issues/935", "show")</f>
        <v>show</v>
      </c>
      <c r="G2408" t="str">
        <f>HYPERLINK("https://github.com/kontalk/androidclient", "show")</f>
        <v>show</v>
      </c>
      <c r="H2408" t="str">
        <f>HYPERLINK("https://github.com/kontalk/androidclient/releases", "show")</f>
        <v>show</v>
      </c>
      <c r="I2408">
        <v>0</v>
      </c>
      <c r="J2408">
        <v>1</v>
      </c>
      <c r="K2408">
        <v>0</v>
      </c>
      <c r="L2408">
        <v>0</v>
      </c>
      <c r="M2408" t="s">
        <v>139</v>
      </c>
    </row>
    <row r="2409" spans="1:13" hidden="1" x14ac:dyDescent="0.15">
      <c r="A2409" t="s">
        <v>7674</v>
      </c>
      <c r="B2409" t="s">
        <v>7675</v>
      </c>
      <c r="D2409" t="s">
        <v>7673</v>
      </c>
      <c r="E2409">
        <v>89</v>
      </c>
      <c r="F2409" t="str">
        <f>HYPERLINK("https://github.com/elimu-ai/ml-authentication/issues/350", "show")</f>
        <v>show</v>
      </c>
      <c r="G2409" t="str">
        <f>HYPERLINK("https://github.com/elimu-ai/ml-authentication", "show")</f>
        <v>show</v>
      </c>
      <c r="H2409" t="str">
        <f>HYPERLINK("https://github.com/elimu-ai/ml-authentication/releases", "show")</f>
        <v>show</v>
      </c>
      <c r="I2409">
        <v>1</v>
      </c>
      <c r="J2409">
        <v>0</v>
      </c>
      <c r="K2409">
        <v>0</v>
      </c>
      <c r="L2409">
        <v>0</v>
      </c>
      <c r="M2409" t="s">
        <v>17</v>
      </c>
    </row>
    <row r="2410" spans="1:13" hidden="1" x14ac:dyDescent="0.15">
      <c r="A2410" t="s">
        <v>7676</v>
      </c>
      <c r="B2410" t="s">
        <v>7677</v>
      </c>
      <c r="C2410" t="s">
        <v>7678</v>
      </c>
      <c r="D2410" t="s">
        <v>7673</v>
      </c>
      <c r="E2410">
        <v>16</v>
      </c>
      <c r="F2410" t="str">
        <f>HYPERLINK("https://github.com/Cloudkibo/Android/issues/438", "show")</f>
        <v>show</v>
      </c>
      <c r="G2410" t="str">
        <f>HYPERLINK("https://github.com/Cloudkibo/Android", "show")</f>
        <v>show</v>
      </c>
      <c r="H2410" t="str">
        <f>HYPERLINK("https://github.com/Cloudkibo/Android/releases", "show")</f>
        <v>show</v>
      </c>
      <c r="I2410">
        <v>0</v>
      </c>
      <c r="J2410">
        <v>0</v>
      </c>
      <c r="K2410">
        <v>0</v>
      </c>
      <c r="L2410">
        <v>1</v>
      </c>
      <c r="M2410" t="s">
        <v>581</v>
      </c>
    </row>
    <row r="2411" spans="1:13" hidden="1" x14ac:dyDescent="0.15">
      <c r="A2411" t="s">
        <v>7679</v>
      </c>
      <c r="B2411" t="s">
        <v>7680</v>
      </c>
      <c r="C2411" t="s">
        <v>7681</v>
      </c>
      <c r="D2411" t="s">
        <v>7673</v>
      </c>
      <c r="E2411">
        <v>2</v>
      </c>
      <c r="F2411" t="str">
        <f>HYPERLINK("https://github.com/Cloudkibo/Android/issues/437", "show")</f>
        <v>show</v>
      </c>
      <c r="G2411" t="str">
        <f>HYPERLINK("https://github.com/Cloudkibo/Android", "show")</f>
        <v>show</v>
      </c>
      <c r="H2411" t="str">
        <f>HYPERLINK("https://github.com/Cloudkibo/Android/releases", "show")</f>
        <v>show</v>
      </c>
      <c r="I2411">
        <v>1</v>
      </c>
      <c r="J2411">
        <v>0</v>
      </c>
      <c r="K2411">
        <v>0</v>
      </c>
      <c r="L2411">
        <v>1</v>
      </c>
      <c r="M2411" t="s">
        <v>29</v>
      </c>
    </row>
    <row r="2412" spans="1:13" hidden="1" x14ac:dyDescent="0.15">
      <c r="A2412" t="s">
        <v>7682</v>
      </c>
      <c r="B2412" t="s">
        <v>7683</v>
      </c>
      <c r="C2412" t="s">
        <v>7684</v>
      </c>
      <c r="D2412" t="s">
        <v>7685</v>
      </c>
      <c r="E2412">
        <v>0</v>
      </c>
      <c r="F2412" t="str">
        <f>HYPERLINK("https://github.com/dermalikmann/burning-series/issues/4", "show")</f>
        <v>show</v>
      </c>
      <c r="G2412" t="str">
        <f>HYPERLINK("https://github.com/dermalikmann/burning-series", "show")</f>
        <v>show</v>
      </c>
      <c r="H2412" t="str">
        <f>HYPERLINK("https://github.com/dermalikmann/burning-series/releases", "show")</f>
        <v>show</v>
      </c>
      <c r="I2412">
        <v>1</v>
      </c>
      <c r="J2412">
        <v>0</v>
      </c>
      <c r="K2412">
        <v>0</v>
      </c>
      <c r="L2412">
        <v>0</v>
      </c>
      <c r="M2412" t="s">
        <v>17</v>
      </c>
    </row>
    <row r="2413" spans="1:13" hidden="1" x14ac:dyDescent="0.15">
      <c r="A2413" t="s">
        <v>7686</v>
      </c>
      <c r="B2413" t="s">
        <v>7687</v>
      </c>
      <c r="C2413" t="s">
        <v>7688</v>
      </c>
      <c r="D2413" t="s">
        <v>7685</v>
      </c>
      <c r="E2413">
        <v>9</v>
      </c>
      <c r="F2413" t="str">
        <f>HYPERLINK("https://github.com/Cloudkibo/Android/issues/441", "show")</f>
        <v>show</v>
      </c>
      <c r="G2413" t="str">
        <f>HYPERLINK("https://github.com/Cloudkibo/Android", "show")</f>
        <v>show</v>
      </c>
      <c r="H2413" t="str">
        <f>HYPERLINK("https://github.com/Cloudkibo/Android/releases", "show")</f>
        <v>show</v>
      </c>
      <c r="I2413">
        <v>1</v>
      </c>
      <c r="J2413">
        <v>1</v>
      </c>
      <c r="K2413">
        <v>0</v>
      </c>
      <c r="L2413">
        <v>1</v>
      </c>
      <c r="M2413" t="s">
        <v>1894</v>
      </c>
    </row>
    <row r="2414" spans="1:13" hidden="1" x14ac:dyDescent="0.15">
      <c r="A2414" t="s">
        <v>7689</v>
      </c>
      <c r="B2414" t="s">
        <v>7690</v>
      </c>
      <c r="C2414" t="s">
        <v>7691</v>
      </c>
      <c r="D2414" t="s">
        <v>7685</v>
      </c>
      <c r="E2414">
        <v>1</v>
      </c>
      <c r="F2414" t="str">
        <f>HYPERLINK("https://github.com/dermalikmann/burning-series/issues/3", "show")</f>
        <v>show</v>
      </c>
      <c r="G2414" t="str">
        <f>HYPERLINK("https://github.com/dermalikmann/burning-series", "show")</f>
        <v>show</v>
      </c>
      <c r="H2414" t="str">
        <f>HYPERLINK("https://github.com/dermalikmann/burning-series/releases", "show")</f>
        <v>show</v>
      </c>
      <c r="I2414">
        <v>0</v>
      </c>
      <c r="J2414">
        <v>0</v>
      </c>
      <c r="K2414">
        <v>0</v>
      </c>
      <c r="L2414">
        <v>1</v>
      </c>
      <c r="M2414" t="s">
        <v>581</v>
      </c>
    </row>
    <row r="2415" spans="1:13" hidden="1" x14ac:dyDescent="0.15">
      <c r="A2415" t="s">
        <v>7692</v>
      </c>
      <c r="B2415" t="s">
        <v>4871</v>
      </c>
      <c r="C2415" t="s">
        <v>504</v>
      </c>
      <c r="D2415" t="s">
        <v>7685</v>
      </c>
      <c r="E2415">
        <v>403</v>
      </c>
      <c r="F2415" t="str">
        <f>HYPERLINK("https://github.com/tanrabad/survey/issues/14", "show")</f>
        <v>show</v>
      </c>
      <c r="G2415" t="str">
        <f>HYPERLINK("https://github.com/tanrabad/survey", "show")</f>
        <v>show</v>
      </c>
      <c r="H2415" t="str">
        <f>HYPERLINK("https://github.com/tanrabad/survey/releases", "show")</f>
        <v>show</v>
      </c>
      <c r="I2415">
        <v>1</v>
      </c>
      <c r="J2415">
        <v>0</v>
      </c>
      <c r="K2415">
        <v>0</v>
      </c>
      <c r="L2415">
        <v>0</v>
      </c>
      <c r="M2415" t="s">
        <v>17</v>
      </c>
    </row>
    <row r="2416" spans="1:13" hidden="1" x14ac:dyDescent="0.15">
      <c r="A2416" t="s">
        <v>7693</v>
      </c>
      <c r="B2416" t="s">
        <v>7694</v>
      </c>
      <c r="C2416" t="s">
        <v>7695</v>
      </c>
      <c r="D2416" t="s">
        <v>7685</v>
      </c>
      <c r="E2416">
        <v>52</v>
      </c>
      <c r="F2416" t="str">
        <f>HYPERLINK("https://github.com/praekeltfoundation/gem-bbb-indo/issues/470", "show")</f>
        <v>show</v>
      </c>
      <c r="G2416" t="str">
        <f>HYPERLINK("https://github.com/praekeltfoundation/gem-bbb-indo", "show")</f>
        <v>show</v>
      </c>
      <c r="H2416" t="str">
        <f>HYPERLINK("https://github.com/praekeltfoundation/gem-bbb-indo/releases", "show")</f>
        <v>show</v>
      </c>
      <c r="I2416">
        <v>1</v>
      </c>
      <c r="J2416">
        <v>0</v>
      </c>
      <c r="K2416">
        <v>0</v>
      </c>
      <c r="L2416">
        <v>0</v>
      </c>
      <c r="M2416" t="s">
        <v>17</v>
      </c>
    </row>
    <row r="2417" spans="1:13" hidden="1" x14ac:dyDescent="0.15">
      <c r="A2417" t="s">
        <v>7696</v>
      </c>
      <c r="B2417" t="s">
        <v>7697</v>
      </c>
      <c r="C2417" t="s">
        <v>7698</v>
      </c>
      <c r="D2417" t="s">
        <v>7699</v>
      </c>
      <c r="E2417">
        <v>5</v>
      </c>
      <c r="F2417" t="str">
        <f>HYPERLINK("https://github.com/quaap/LaunchTime/issues/4", "show")</f>
        <v>show</v>
      </c>
      <c r="G2417" t="str">
        <f>HYPERLINK("https://github.com/quaap/LaunchTime", "show")</f>
        <v>show</v>
      </c>
      <c r="H2417" t="str">
        <f>HYPERLINK("https://github.com/quaap/LaunchTime/releases", "show")</f>
        <v>show</v>
      </c>
      <c r="I2417">
        <v>1</v>
      </c>
      <c r="J2417">
        <v>0</v>
      </c>
      <c r="K2417">
        <v>1</v>
      </c>
      <c r="L2417">
        <v>0</v>
      </c>
      <c r="M2417" t="s">
        <v>64</v>
      </c>
    </row>
    <row r="2418" spans="1:13" hidden="1" x14ac:dyDescent="0.15">
      <c r="A2418" t="s">
        <v>7700</v>
      </c>
      <c r="B2418" t="s">
        <v>7701</v>
      </c>
      <c r="C2418" t="s">
        <v>7702</v>
      </c>
      <c r="D2418" t="s">
        <v>7699</v>
      </c>
      <c r="E2418">
        <v>13</v>
      </c>
      <c r="F2418" t="str">
        <f>HYPERLINK("https://github.com/getodk/collect/issues/356", "show")</f>
        <v>show</v>
      </c>
      <c r="G2418" t="str">
        <f>HYPERLINK("https://github.com/getodk/collect", "show")</f>
        <v>show</v>
      </c>
      <c r="H2418" t="str">
        <f>HYPERLINK("https://github.com/getodk/collect/releases", "show")</f>
        <v>show</v>
      </c>
      <c r="I2418">
        <v>1</v>
      </c>
      <c r="J2418">
        <v>1</v>
      </c>
      <c r="K2418">
        <v>1</v>
      </c>
      <c r="L2418">
        <v>0</v>
      </c>
      <c r="M2418" t="s">
        <v>59</v>
      </c>
    </row>
    <row r="2419" spans="1:13" hidden="1" x14ac:dyDescent="0.15">
      <c r="A2419" t="s">
        <v>7703</v>
      </c>
      <c r="B2419" t="s">
        <v>7704</v>
      </c>
      <c r="C2419" t="s">
        <v>7705</v>
      </c>
      <c r="D2419" t="s">
        <v>7699</v>
      </c>
      <c r="E2419">
        <v>81</v>
      </c>
      <c r="F2419" t="str">
        <f>HYPERLINK("https://github.com/square/okhttp/issues/3135", "show")</f>
        <v>show</v>
      </c>
      <c r="G2419" t="str">
        <f>HYPERLINK("https://github.com/square/okhttp", "show")</f>
        <v>show</v>
      </c>
      <c r="H2419" t="str">
        <f>HYPERLINK("https://github.com/square/okhttp/releases", "show")</f>
        <v>show</v>
      </c>
      <c r="I2419">
        <v>1</v>
      </c>
      <c r="J2419">
        <v>0</v>
      </c>
      <c r="K2419">
        <v>0</v>
      </c>
      <c r="L2419">
        <v>0</v>
      </c>
      <c r="M2419" t="s">
        <v>17</v>
      </c>
    </row>
    <row r="2420" spans="1:13" hidden="1" x14ac:dyDescent="0.15">
      <c r="A2420" t="s">
        <v>7706</v>
      </c>
      <c r="B2420" t="s">
        <v>7707</v>
      </c>
      <c r="C2420" t="s">
        <v>7708</v>
      </c>
      <c r="D2420" t="s">
        <v>7699</v>
      </c>
      <c r="E2420">
        <v>3</v>
      </c>
      <c r="F2420" t="str">
        <f>HYPERLINK("https://github.com/Fleker/CumulusTV/issues/241", "show")</f>
        <v>show</v>
      </c>
      <c r="G2420" t="str">
        <f>HYPERLINK("https://github.com/Fleker/CumulusTV", "show")</f>
        <v>show</v>
      </c>
      <c r="H2420" t="str">
        <f>HYPERLINK("https://github.com/Fleker/CumulusTV/releases", "show")</f>
        <v>show</v>
      </c>
      <c r="I2420">
        <v>1</v>
      </c>
      <c r="J2420">
        <v>0</v>
      </c>
      <c r="K2420">
        <v>0</v>
      </c>
      <c r="L2420">
        <v>0</v>
      </c>
      <c r="M2420" t="s">
        <v>17</v>
      </c>
    </row>
    <row r="2421" spans="1:13" hidden="1" x14ac:dyDescent="0.15">
      <c r="A2421" t="s">
        <v>7709</v>
      </c>
      <c r="B2421" t="s">
        <v>7710</v>
      </c>
      <c r="C2421" t="s">
        <v>7711</v>
      </c>
      <c r="D2421" t="s">
        <v>7699</v>
      </c>
      <c r="E2421">
        <v>262</v>
      </c>
      <c r="F2421" t="str">
        <f>HYPERLINK("https://github.com/osmdroid/osmdroid/issues/550", "show")</f>
        <v>show</v>
      </c>
      <c r="G2421" t="str">
        <f>HYPERLINK("https://github.com/osmdroid/osmdroid", "show")</f>
        <v>show</v>
      </c>
      <c r="H2421" t="str">
        <f>HYPERLINK("https://github.com/osmdroid/osmdroid/releases", "show")</f>
        <v>show</v>
      </c>
      <c r="I2421">
        <v>0</v>
      </c>
      <c r="J2421">
        <v>0</v>
      </c>
      <c r="K2421">
        <v>1</v>
      </c>
      <c r="L2421">
        <v>0</v>
      </c>
      <c r="M2421" t="s">
        <v>122</v>
      </c>
    </row>
    <row r="2422" spans="1:13" hidden="1" x14ac:dyDescent="0.15">
      <c r="A2422" t="s">
        <v>7712</v>
      </c>
      <c r="B2422" t="s">
        <v>7713</v>
      </c>
      <c r="C2422" t="s">
        <v>7714</v>
      </c>
      <c r="D2422" t="s">
        <v>7715</v>
      </c>
      <c r="E2422">
        <v>4</v>
      </c>
      <c r="F2422" t="str">
        <f>HYPERLINK("https://github.com/quaap/LaunchTime/issues/7", "show")</f>
        <v>show</v>
      </c>
      <c r="G2422" t="str">
        <f>HYPERLINK("https://github.com/quaap/LaunchTime", "show")</f>
        <v>show</v>
      </c>
      <c r="H2422" t="str">
        <f>HYPERLINK("https://github.com/quaap/LaunchTime/releases", "show")</f>
        <v>show</v>
      </c>
      <c r="I2422">
        <v>1</v>
      </c>
      <c r="J2422">
        <v>0</v>
      </c>
      <c r="K2422">
        <v>1</v>
      </c>
      <c r="L2422">
        <v>0</v>
      </c>
      <c r="M2422" t="s">
        <v>64</v>
      </c>
    </row>
    <row r="2423" spans="1:13" hidden="1" x14ac:dyDescent="0.15">
      <c r="A2423" t="s">
        <v>7716</v>
      </c>
      <c r="B2423" t="s">
        <v>7717</v>
      </c>
      <c r="C2423" t="s">
        <v>7718</v>
      </c>
      <c r="D2423" t="s">
        <v>7715</v>
      </c>
      <c r="E2423">
        <v>0</v>
      </c>
      <c r="F2423" t="str">
        <f>HYPERLINK("https://github.com/RestComm/restcomm-android-sdk/issues/502", "show")</f>
        <v>show</v>
      </c>
      <c r="G2423" t="str">
        <f>HYPERLINK("https://github.com/RestComm/restcomm-android-sdk", "show")</f>
        <v>show</v>
      </c>
      <c r="H2423" t="str">
        <f>HYPERLINK("https://github.com/RestComm/restcomm-android-sdk/releases", "show")</f>
        <v>show</v>
      </c>
      <c r="I2423">
        <v>1</v>
      </c>
      <c r="J2423">
        <v>0</v>
      </c>
      <c r="K2423">
        <v>0</v>
      </c>
      <c r="L2423">
        <v>0</v>
      </c>
      <c r="M2423" t="s">
        <v>17</v>
      </c>
    </row>
    <row r="2424" spans="1:13" hidden="1" x14ac:dyDescent="0.15">
      <c r="A2424" t="s">
        <v>7719</v>
      </c>
      <c r="B2424" t="s">
        <v>7720</v>
      </c>
      <c r="C2424" t="s">
        <v>7721</v>
      </c>
      <c r="D2424" t="s">
        <v>7715</v>
      </c>
      <c r="E2424">
        <v>1</v>
      </c>
      <c r="F2424" t="str">
        <f>HYPERLINK("https://github.com/romandanylyk/PageIndicatorView/issues/17", "show")</f>
        <v>show</v>
      </c>
      <c r="G2424" t="str">
        <f>HYPERLINK("https://github.com/romandanylyk/PageIndicatorView", "show")</f>
        <v>show</v>
      </c>
      <c r="H2424" t="str">
        <f>HYPERLINK("https://github.com/romandanylyk/PageIndicatorView/releases", "show")</f>
        <v>show</v>
      </c>
      <c r="I2424">
        <v>0</v>
      </c>
      <c r="J2424">
        <v>0</v>
      </c>
      <c r="K2424">
        <v>0</v>
      </c>
      <c r="L2424">
        <v>0</v>
      </c>
      <c r="M2424" t="s">
        <v>43</v>
      </c>
    </row>
    <row r="2425" spans="1:13" hidden="1" x14ac:dyDescent="0.15">
      <c r="A2425" t="s">
        <v>7722</v>
      </c>
      <c r="B2425" t="s">
        <v>7723</v>
      </c>
      <c r="C2425" t="s">
        <v>7724</v>
      </c>
      <c r="D2425" t="s">
        <v>7715</v>
      </c>
      <c r="E2425">
        <v>0</v>
      </c>
      <c r="F2425" t="str">
        <f>HYPERLINK("https://github.com/BenGoBlue05/UdacityAlumni/issues/40", "show")</f>
        <v>show</v>
      </c>
      <c r="G2425" t="str">
        <f>HYPERLINK("https://github.com/BenGoBlue05/UdacityAlumni", "show")</f>
        <v>show</v>
      </c>
      <c r="H2425" t="str">
        <f>HYPERLINK("https://github.com/BenGoBlue05/UdacityAlumni/releases", "show")</f>
        <v>show</v>
      </c>
      <c r="I2425">
        <v>1</v>
      </c>
      <c r="J2425">
        <v>0</v>
      </c>
      <c r="K2425">
        <v>1</v>
      </c>
      <c r="L2425">
        <v>0</v>
      </c>
      <c r="M2425" t="s">
        <v>64</v>
      </c>
    </row>
    <row r="2426" spans="1:13" hidden="1" x14ac:dyDescent="0.15">
      <c r="A2426" t="s">
        <v>7725</v>
      </c>
      <c r="B2426" t="s">
        <v>4871</v>
      </c>
      <c r="C2426" t="s">
        <v>504</v>
      </c>
      <c r="D2426" t="s">
        <v>7715</v>
      </c>
      <c r="E2426">
        <v>401</v>
      </c>
      <c r="F2426" t="str">
        <f>HYPERLINK("https://github.com/tanrabad/survey/issues/15", "show")</f>
        <v>show</v>
      </c>
      <c r="G2426" t="str">
        <f>HYPERLINK("https://github.com/tanrabad/survey", "show")</f>
        <v>show</v>
      </c>
      <c r="H2426" t="str">
        <f>HYPERLINK("https://github.com/tanrabad/survey/releases", "show")</f>
        <v>show</v>
      </c>
      <c r="I2426">
        <v>1</v>
      </c>
      <c r="J2426">
        <v>0</v>
      </c>
      <c r="K2426">
        <v>0</v>
      </c>
      <c r="L2426">
        <v>0</v>
      </c>
      <c r="M2426" t="s">
        <v>17</v>
      </c>
    </row>
    <row r="2427" spans="1:13" hidden="1" x14ac:dyDescent="0.15">
      <c r="A2427" t="s">
        <v>7726</v>
      </c>
      <c r="B2427" t="s">
        <v>7727</v>
      </c>
      <c r="C2427" t="s">
        <v>7728</v>
      </c>
      <c r="D2427" t="s">
        <v>7729</v>
      </c>
      <c r="E2427">
        <v>14</v>
      </c>
      <c r="F2427" t="str">
        <f>HYPERLINK("https://github.com/praekeltfoundation/gem-bbb-indo/issues/501", "show")</f>
        <v>show</v>
      </c>
      <c r="G2427" t="str">
        <f>HYPERLINK("https://github.com/praekeltfoundation/gem-bbb-indo", "show")</f>
        <v>show</v>
      </c>
      <c r="H2427" t="str">
        <f>HYPERLINK("https://github.com/praekeltfoundation/gem-bbb-indo/releases", "show")</f>
        <v>show</v>
      </c>
      <c r="I2427">
        <v>1</v>
      </c>
      <c r="J2427">
        <v>0</v>
      </c>
      <c r="K2427">
        <v>0</v>
      </c>
      <c r="L2427">
        <v>0</v>
      </c>
      <c r="M2427" t="s">
        <v>17</v>
      </c>
    </row>
    <row r="2428" spans="1:13" hidden="1" x14ac:dyDescent="0.15">
      <c r="A2428" t="s">
        <v>7730</v>
      </c>
      <c r="B2428" t="s">
        <v>7731</v>
      </c>
      <c r="C2428" t="s">
        <v>7732</v>
      </c>
      <c r="D2428" t="s">
        <v>7729</v>
      </c>
      <c r="E2428">
        <v>246</v>
      </c>
      <c r="F2428" t="str">
        <f>HYPERLINK("https://github.com/WycliffeAssociates/translationRecorder/issues/800", "show")</f>
        <v>show</v>
      </c>
      <c r="G2428" t="str">
        <f>HYPERLINK("https://github.com/WycliffeAssociates/translationRecorder", "show")</f>
        <v>show</v>
      </c>
      <c r="H2428" t="str">
        <f>HYPERLINK("https://github.com/WycliffeAssociates/translationRecorder/releases", "show")</f>
        <v>show</v>
      </c>
      <c r="I2428">
        <v>1</v>
      </c>
      <c r="J2428">
        <v>0</v>
      </c>
      <c r="K2428">
        <v>0</v>
      </c>
      <c r="L2428">
        <v>0</v>
      </c>
      <c r="M2428" t="s">
        <v>17</v>
      </c>
    </row>
    <row r="2429" spans="1:13" hidden="1" x14ac:dyDescent="0.15">
      <c r="A2429" t="s">
        <v>7733</v>
      </c>
      <c r="B2429" t="s">
        <v>7734</v>
      </c>
      <c r="C2429" t="s">
        <v>7735</v>
      </c>
      <c r="D2429" t="s">
        <v>7729</v>
      </c>
      <c r="E2429">
        <v>4</v>
      </c>
      <c r="F2429" t="str">
        <f>HYPERLINK("https://github.com/danimahardhika/candybar-library/issues/14", "show")</f>
        <v>show</v>
      </c>
      <c r="G2429" t="str">
        <f>HYPERLINK("https://github.com/danimahardhika/candybar-library", "show")</f>
        <v>show</v>
      </c>
      <c r="H2429" t="str">
        <f>HYPERLINK("https://github.com/danimahardhika/candybar-library/releases", "show")</f>
        <v>show</v>
      </c>
      <c r="I2429">
        <v>1</v>
      </c>
      <c r="J2429">
        <v>0</v>
      </c>
      <c r="K2429">
        <v>0</v>
      </c>
      <c r="L2429">
        <v>0</v>
      </c>
      <c r="M2429" t="s">
        <v>17</v>
      </c>
    </row>
    <row r="2430" spans="1:13" hidden="1" x14ac:dyDescent="0.15">
      <c r="A2430" t="s">
        <v>7736</v>
      </c>
      <c r="B2430" t="s">
        <v>7737</v>
      </c>
      <c r="C2430" t="s">
        <v>7738</v>
      </c>
      <c r="D2430" t="s">
        <v>7739</v>
      </c>
      <c r="E2430">
        <v>2</v>
      </c>
      <c r="F2430" t="str">
        <f>HYPERLINK("https://github.com/quaap/LaunchTime/issues/10", "show")</f>
        <v>show</v>
      </c>
      <c r="G2430" t="str">
        <f>HYPERLINK("https://github.com/quaap/LaunchTime", "show")</f>
        <v>show</v>
      </c>
      <c r="H2430" t="str">
        <f>HYPERLINK("https://github.com/quaap/LaunchTime/releases", "show")</f>
        <v>show</v>
      </c>
      <c r="I2430">
        <v>0</v>
      </c>
      <c r="J2430">
        <v>0</v>
      </c>
      <c r="K2430">
        <v>0</v>
      </c>
      <c r="L2430">
        <v>0</v>
      </c>
      <c r="M2430" t="s">
        <v>43</v>
      </c>
    </row>
    <row r="2431" spans="1:13" hidden="1" x14ac:dyDescent="0.15">
      <c r="A2431" t="s">
        <v>7740</v>
      </c>
      <c r="B2431" t="s">
        <v>7741</v>
      </c>
      <c r="C2431" t="s">
        <v>7742</v>
      </c>
      <c r="D2431" t="s">
        <v>7743</v>
      </c>
      <c r="E2431">
        <v>27</v>
      </c>
      <c r="F2431" t="str">
        <f>HYPERLINK("https://github.com/wallabag/android-app/issues/410", "show")</f>
        <v>show</v>
      </c>
      <c r="G2431" t="str">
        <f>HYPERLINK("https://github.com/wallabag/android-app", "show")</f>
        <v>show</v>
      </c>
      <c r="H2431" t="str">
        <f>HYPERLINK("https://github.com/wallabag/android-app/releases", "show")</f>
        <v>show</v>
      </c>
      <c r="I2431">
        <v>1</v>
      </c>
      <c r="J2431">
        <v>1</v>
      </c>
      <c r="K2431">
        <v>0</v>
      </c>
      <c r="L2431">
        <v>0</v>
      </c>
      <c r="M2431" t="s">
        <v>48</v>
      </c>
    </row>
    <row r="2432" spans="1:13" hidden="1" x14ac:dyDescent="0.15">
      <c r="A2432" t="s">
        <v>7744</v>
      </c>
      <c r="B2432" t="s">
        <v>7745</v>
      </c>
      <c r="C2432" t="s">
        <v>7746</v>
      </c>
      <c r="D2432" t="s">
        <v>7743</v>
      </c>
      <c r="E2432">
        <v>10</v>
      </c>
      <c r="F2432" t="str">
        <f>HYPERLINK("https://github.com/quaap/LaunchTime/issues/19", "show")</f>
        <v>show</v>
      </c>
      <c r="G2432" t="str">
        <f>HYPERLINK("https://github.com/quaap/LaunchTime", "show")</f>
        <v>show</v>
      </c>
      <c r="H2432" t="str">
        <f>HYPERLINK("https://github.com/quaap/LaunchTime/releases", "show")</f>
        <v>show</v>
      </c>
      <c r="I2432">
        <v>0</v>
      </c>
      <c r="J2432">
        <v>0</v>
      </c>
      <c r="K2432">
        <v>1</v>
      </c>
      <c r="L2432">
        <v>0</v>
      </c>
      <c r="M2432" t="s">
        <v>122</v>
      </c>
    </row>
    <row r="2433" spans="1:13" hidden="1" x14ac:dyDescent="0.15">
      <c r="A2433" t="s">
        <v>7747</v>
      </c>
      <c r="B2433" t="s">
        <v>7748</v>
      </c>
      <c r="D2433" t="s">
        <v>7749</v>
      </c>
      <c r="E2433">
        <v>0</v>
      </c>
      <c r="F2433" t="str">
        <f>HYPERLINK("https://github.com/DigitalCampus/oppia-mobile-android/issues/607", "show")</f>
        <v>show</v>
      </c>
      <c r="G2433" t="str">
        <f>HYPERLINK("https://github.com/DigitalCampus/oppia-mobile-android", "show")</f>
        <v>show</v>
      </c>
      <c r="H2433" t="str">
        <f>HYPERLINK("https://github.com/DigitalCampus/oppia-mobile-android/releases", "show")</f>
        <v>show</v>
      </c>
      <c r="I2433">
        <v>0</v>
      </c>
      <c r="J2433">
        <v>0</v>
      </c>
      <c r="K2433">
        <v>1</v>
      </c>
      <c r="L2433">
        <v>0</v>
      </c>
      <c r="M2433" t="s">
        <v>122</v>
      </c>
    </row>
    <row r="2434" spans="1:13" hidden="1" x14ac:dyDescent="0.15">
      <c r="A2434" t="s">
        <v>7750</v>
      </c>
      <c r="B2434" t="s">
        <v>7751</v>
      </c>
      <c r="C2434" t="s">
        <v>7752</v>
      </c>
      <c r="D2434" t="s">
        <v>7749</v>
      </c>
      <c r="E2434">
        <v>62</v>
      </c>
      <c r="F2434" t="str">
        <f>HYPERLINK("https://github.com/Mishiranu/Dashchan/issues/112", "show")</f>
        <v>show</v>
      </c>
      <c r="G2434" t="str">
        <f>HYPERLINK("https://github.com/Mishiranu/Dashchan", "show")</f>
        <v>show</v>
      </c>
      <c r="H2434" t="str">
        <f>HYPERLINK("https://github.com/Mishiranu/Dashchan/releases", "show")</f>
        <v>show</v>
      </c>
      <c r="I2434">
        <v>1</v>
      </c>
      <c r="J2434">
        <v>0</v>
      </c>
      <c r="K2434">
        <v>0</v>
      </c>
      <c r="L2434">
        <v>0</v>
      </c>
      <c r="M2434" t="s">
        <v>17</v>
      </c>
    </row>
    <row r="2435" spans="1:13" hidden="1" x14ac:dyDescent="0.15">
      <c r="A2435" t="s">
        <v>7753</v>
      </c>
      <c r="B2435" t="s">
        <v>7754</v>
      </c>
      <c r="C2435" t="s">
        <v>7755</v>
      </c>
      <c r="D2435" t="s">
        <v>7756</v>
      </c>
      <c r="E2435">
        <v>652</v>
      </c>
      <c r="F2435" t="str">
        <f>HYPERLINK("https://github.com/aws-amplify/aws-sdk-android/issues/249", "show")</f>
        <v>show</v>
      </c>
      <c r="G2435" t="str">
        <f>HYPERLINK("https://github.com/aws-amplify/aws-sdk-android", "show")</f>
        <v>show</v>
      </c>
      <c r="H2435" t="str">
        <f>HYPERLINK("https://github.com/aws-amplify/aws-sdk-android/releases", "show")</f>
        <v>show</v>
      </c>
      <c r="I2435">
        <v>1</v>
      </c>
      <c r="J2435">
        <v>0</v>
      </c>
      <c r="K2435">
        <v>1</v>
      </c>
      <c r="L2435">
        <v>0</v>
      </c>
      <c r="M2435" t="s">
        <v>64</v>
      </c>
    </row>
    <row r="2436" spans="1:13" hidden="1" x14ac:dyDescent="0.15">
      <c r="A2436" t="s">
        <v>7757</v>
      </c>
      <c r="B2436" t="s">
        <v>7758</v>
      </c>
      <c r="C2436" t="s">
        <v>7759</v>
      </c>
      <c r="D2436" t="s">
        <v>7756</v>
      </c>
      <c r="E2436">
        <v>12</v>
      </c>
      <c r="F2436" t="str">
        <f>HYPERLINK("https://github.com/Freeyourgadget/Gadgetbridge/issues/533", "show")</f>
        <v>show</v>
      </c>
      <c r="G2436" t="str">
        <f>HYPERLINK("https://github.com/Freeyourgadget/Gadgetbridge", "show")</f>
        <v>show</v>
      </c>
      <c r="H2436" t="str">
        <f>HYPERLINK("https://github.com/Freeyourgadget/Gadgetbridge/releases", "show")</f>
        <v>show</v>
      </c>
      <c r="I2436">
        <v>0</v>
      </c>
      <c r="J2436">
        <v>0</v>
      </c>
      <c r="K2436">
        <v>0</v>
      </c>
      <c r="L2436">
        <v>0</v>
      </c>
      <c r="M2436" t="s">
        <v>43</v>
      </c>
    </row>
    <row r="2437" spans="1:13" hidden="1" x14ac:dyDescent="0.15">
      <c r="A2437" t="s">
        <v>7760</v>
      </c>
      <c r="B2437" t="s">
        <v>7761</v>
      </c>
      <c r="C2437" t="s">
        <v>7762</v>
      </c>
      <c r="D2437" t="s">
        <v>7763</v>
      </c>
      <c r="E2437">
        <v>5</v>
      </c>
      <c r="F2437" t="str">
        <f>HYPERLINK("https://github.com/OneBusAway/onebusaway-android/issues/749", "show")</f>
        <v>show</v>
      </c>
      <c r="G2437" t="str">
        <f>HYPERLINK("https://github.com/OneBusAway/onebusaway-android", "show")</f>
        <v>show</v>
      </c>
      <c r="H2437" t="str">
        <f>HYPERLINK("https://github.com/OneBusAway/onebusaway-android/releases", "show")</f>
        <v>show</v>
      </c>
      <c r="I2437">
        <v>1</v>
      </c>
      <c r="J2437">
        <v>0</v>
      </c>
      <c r="K2437">
        <v>1</v>
      </c>
      <c r="L2437">
        <v>0</v>
      </c>
      <c r="M2437" t="s">
        <v>64</v>
      </c>
    </row>
    <row r="2438" spans="1:13" hidden="1" x14ac:dyDescent="0.15">
      <c r="A2438" t="s">
        <v>7764</v>
      </c>
      <c r="B2438" t="s">
        <v>7765</v>
      </c>
      <c r="C2438" t="s">
        <v>504</v>
      </c>
      <c r="D2438" t="s">
        <v>7763</v>
      </c>
      <c r="E2438">
        <v>686</v>
      </c>
      <c r="F2438" t="str">
        <f>HYPERLINK("https://github.com/niclabs/adkintunmobile-androidclient/issues/160", "show")</f>
        <v>show</v>
      </c>
      <c r="G2438" t="str">
        <f>HYPERLINK("https://github.com/niclabs/adkintunmobile-androidclient", "show")</f>
        <v>show</v>
      </c>
      <c r="H2438" t="str">
        <f>HYPERLINK("https://github.com/niclabs/adkintunmobile-androidclient/releases", "show")</f>
        <v>show</v>
      </c>
      <c r="I2438">
        <v>1</v>
      </c>
      <c r="J2438">
        <v>0</v>
      </c>
      <c r="K2438">
        <v>0</v>
      </c>
      <c r="L2438">
        <v>0</v>
      </c>
      <c r="M2438" t="s">
        <v>17</v>
      </c>
    </row>
    <row r="2439" spans="1:13" hidden="1" x14ac:dyDescent="0.15">
      <c r="A2439" t="s">
        <v>7766</v>
      </c>
      <c r="B2439" t="s">
        <v>7767</v>
      </c>
      <c r="C2439" t="s">
        <v>7768</v>
      </c>
      <c r="D2439" t="s">
        <v>7763</v>
      </c>
      <c r="E2439">
        <v>13</v>
      </c>
      <c r="F2439" t="str">
        <f>HYPERLINK("https://github.com/DigitalCampus/oppia-mobile-android/issues/610", "show")</f>
        <v>show</v>
      </c>
      <c r="G2439" t="str">
        <f>HYPERLINK("https://github.com/DigitalCampus/oppia-mobile-android", "show")</f>
        <v>show</v>
      </c>
      <c r="H2439" t="str">
        <f>HYPERLINK("https://github.com/DigitalCampus/oppia-mobile-android/releases", "show")</f>
        <v>show</v>
      </c>
      <c r="I2439">
        <v>1</v>
      </c>
      <c r="J2439">
        <v>0</v>
      </c>
      <c r="K2439">
        <v>0</v>
      </c>
      <c r="L2439">
        <v>0</v>
      </c>
      <c r="M2439" t="s">
        <v>17</v>
      </c>
    </row>
    <row r="2440" spans="1:13" hidden="1" x14ac:dyDescent="0.15">
      <c r="A2440" t="s">
        <v>7769</v>
      </c>
      <c r="B2440" t="s">
        <v>7770</v>
      </c>
      <c r="C2440" t="s">
        <v>7771</v>
      </c>
      <c r="D2440" t="s">
        <v>7763</v>
      </c>
      <c r="E2440">
        <v>0</v>
      </c>
      <c r="F2440" t="str">
        <f>HYPERLINK("https://github.com/alexkats/Space-Arcade/issues/22", "show")</f>
        <v>show</v>
      </c>
      <c r="G2440" t="str">
        <f>HYPERLINK("https://github.com/alexkats/Space-Arcade", "show")</f>
        <v>show</v>
      </c>
      <c r="H2440" t="str">
        <f>HYPERLINK("https://github.com/alexkats/Space-Arcade/releases", "show")</f>
        <v>show</v>
      </c>
      <c r="I2440">
        <v>1</v>
      </c>
      <c r="J2440">
        <v>0</v>
      </c>
      <c r="K2440">
        <v>0</v>
      </c>
      <c r="L2440">
        <v>0</v>
      </c>
      <c r="M2440" t="s">
        <v>17</v>
      </c>
    </row>
    <row r="2441" spans="1:13" hidden="1" x14ac:dyDescent="0.15">
      <c r="A2441" t="s">
        <v>7772</v>
      </c>
      <c r="B2441" t="s">
        <v>7773</v>
      </c>
      <c r="C2441" t="s">
        <v>7774</v>
      </c>
      <c r="D2441" t="s">
        <v>7763</v>
      </c>
      <c r="E2441">
        <v>7</v>
      </c>
      <c r="F2441" t="str">
        <f>HYPERLINK("https://github.com/praekeltfoundation/gem-bbb-indo/issues/515", "show")</f>
        <v>show</v>
      </c>
      <c r="G2441" t="str">
        <f>HYPERLINK("https://github.com/praekeltfoundation/gem-bbb-indo", "show")</f>
        <v>show</v>
      </c>
      <c r="H2441" t="str">
        <f>HYPERLINK("https://github.com/praekeltfoundation/gem-bbb-indo/releases", "show")</f>
        <v>show</v>
      </c>
      <c r="I2441">
        <v>1</v>
      </c>
      <c r="J2441">
        <v>0</v>
      </c>
      <c r="K2441">
        <v>0</v>
      </c>
      <c r="L2441">
        <v>0</v>
      </c>
      <c r="M2441" t="s">
        <v>17</v>
      </c>
    </row>
    <row r="2442" spans="1:13" hidden="1" x14ac:dyDescent="0.15">
      <c r="A2442" t="s">
        <v>7775</v>
      </c>
      <c r="B2442" t="s">
        <v>7776</v>
      </c>
      <c r="C2442" t="s">
        <v>504</v>
      </c>
      <c r="D2442" t="s">
        <v>7763</v>
      </c>
      <c r="E2442">
        <v>2</v>
      </c>
      <c r="F2442" t="str">
        <f>HYPERLINK("https://github.com/praekeltfoundation/gem-bbb-indo/issues/513", "show")</f>
        <v>show</v>
      </c>
      <c r="G2442" t="str">
        <f>HYPERLINK("https://github.com/praekeltfoundation/gem-bbb-indo", "show")</f>
        <v>show</v>
      </c>
      <c r="H2442" t="str">
        <f>HYPERLINK("https://github.com/praekeltfoundation/gem-bbb-indo/releases", "show")</f>
        <v>show</v>
      </c>
      <c r="I2442">
        <v>1</v>
      </c>
      <c r="J2442">
        <v>0</v>
      </c>
      <c r="K2442">
        <v>0</v>
      </c>
      <c r="L2442">
        <v>0</v>
      </c>
      <c r="M2442" t="s">
        <v>17</v>
      </c>
    </row>
    <row r="2443" spans="1:13" hidden="1" x14ac:dyDescent="0.15">
      <c r="A2443" t="s">
        <v>7777</v>
      </c>
      <c r="B2443" t="s">
        <v>7778</v>
      </c>
      <c r="C2443" t="s">
        <v>7779</v>
      </c>
      <c r="D2443" t="s">
        <v>7780</v>
      </c>
      <c r="E2443">
        <v>19</v>
      </c>
      <c r="F2443" t="str">
        <f>HYPERLINK("https://github.com/Fleker/CumulusTV/issues/253", "show")</f>
        <v>show</v>
      </c>
      <c r="G2443" t="str">
        <f>HYPERLINK("https://github.com/Fleker/CumulusTV", "show")</f>
        <v>show</v>
      </c>
      <c r="H2443" t="str">
        <f>HYPERLINK("https://github.com/Fleker/CumulusTV/releases", "show")</f>
        <v>show</v>
      </c>
      <c r="I2443">
        <v>0</v>
      </c>
      <c r="J2443">
        <v>0</v>
      </c>
      <c r="K2443">
        <v>0</v>
      </c>
      <c r="L2443">
        <v>0</v>
      </c>
      <c r="M2443" t="s">
        <v>43</v>
      </c>
    </row>
    <row r="2444" spans="1:13" hidden="1" x14ac:dyDescent="0.15">
      <c r="A2444" t="s">
        <v>7781</v>
      </c>
      <c r="B2444" t="s">
        <v>7782</v>
      </c>
      <c r="C2444" t="s">
        <v>7783</v>
      </c>
      <c r="D2444" t="s">
        <v>7780</v>
      </c>
      <c r="E2444">
        <v>21</v>
      </c>
      <c r="F2444" t="str">
        <f>HYPERLINK("https://github.com/h6ah4i/android-advancedrecyclerview/issues/345", "show")</f>
        <v>show</v>
      </c>
      <c r="G2444" t="str">
        <f>HYPERLINK("https://github.com/h6ah4i/android-advancedrecyclerview", "show")</f>
        <v>show</v>
      </c>
      <c r="H2444" t="str">
        <f>HYPERLINK("https://github.com/h6ah4i/android-advancedrecyclerview/releases", "show")</f>
        <v>show</v>
      </c>
      <c r="I2444">
        <v>0</v>
      </c>
      <c r="J2444">
        <v>0</v>
      </c>
      <c r="K2444">
        <v>1</v>
      </c>
      <c r="L2444">
        <v>0</v>
      </c>
      <c r="M2444" t="s">
        <v>122</v>
      </c>
    </row>
    <row r="2445" spans="1:13" hidden="1" x14ac:dyDescent="0.15">
      <c r="A2445" t="s">
        <v>7784</v>
      </c>
      <c r="B2445" t="s">
        <v>7785</v>
      </c>
      <c r="C2445" t="s">
        <v>7786</v>
      </c>
      <c r="D2445" t="s">
        <v>7780</v>
      </c>
      <c r="E2445">
        <v>5</v>
      </c>
      <c r="F2445" t="str">
        <f>HYPERLINK("https://github.com/HRVBand/hrv-band/issues/116", "show")</f>
        <v>show</v>
      </c>
      <c r="G2445" t="str">
        <f>HYPERLINK("https://github.com/HRVBand/hrv-band", "show")</f>
        <v>show</v>
      </c>
      <c r="H2445" t="str">
        <f>HYPERLINK("https://github.com/HRVBand/hrv-band/releases", "show")</f>
        <v>show</v>
      </c>
      <c r="I2445">
        <v>1</v>
      </c>
      <c r="J2445">
        <v>0</v>
      </c>
      <c r="K2445">
        <v>1</v>
      </c>
      <c r="L2445">
        <v>0</v>
      </c>
      <c r="M2445" t="s">
        <v>64</v>
      </c>
    </row>
    <row r="2446" spans="1:13" hidden="1" x14ac:dyDescent="0.15">
      <c r="A2446" t="s">
        <v>7787</v>
      </c>
      <c r="B2446" t="s">
        <v>7788</v>
      </c>
      <c r="C2446" t="s">
        <v>7789</v>
      </c>
      <c r="D2446" t="s">
        <v>7790</v>
      </c>
      <c r="E2446">
        <v>401</v>
      </c>
      <c r="F2446" t="str">
        <f>HYPERLINK("https://github.com/b0wter/ETA/issues/81", "show")</f>
        <v>show</v>
      </c>
      <c r="G2446" t="str">
        <f>HYPERLINK("https://github.com/b0wter/ETA", "show")</f>
        <v>show</v>
      </c>
      <c r="H2446" t="str">
        <f>HYPERLINK("https://github.com/b0wter/ETA/releases", "show")</f>
        <v>show</v>
      </c>
      <c r="I2446">
        <v>0</v>
      </c>
      <c r="J2446">
        <v>0</v>
      </c>
      <c r="K2446">
        <v>0</v>
      </c>
      <c r="L2446">
        <v>0</v>
      </c>
      <c r="M2446" t="s">
        <v>43</v>
      </c>
    </row>
    <row r="2447" spans="1:13" hidden="1" x14ac:dyDescent="0.15">
      <c r="A2447" t="s">
        <v>7791</v>
      </c>
      <c r="B2447" t="s">
        <v>7792</v>
      </c>
      <c r="C2447" t="s">
        <v>7793</v>
      </c>
      <c r="D2447" t="s">
        <v>7790</v>
      </c>
      <c r="E2447">
        <v>0</v>
      </c>
      <c r="F2447" t="str">
        <f>HYPERLINK("https://github.com/tpb1908/AndroidProjectsClient/issues/85", "show")</f>
        <v>show</v>
      </c>
      <c r="G2447" t="str">
        <f>HYPERLINK("https://github.com/tpb1908/AndroidProjectsClient", "show")</f>
        <v>show</v>
      </c>
      <c r="H2447" t="str">
        <f>HYPERLINK("https://github.com/tpb1908/AndroidProjectsClient/releases", "show")</f>
        <v>show</v>
      </c>
      <c r="I2447">
        <v>1</v>
      </c>
      <c r="J2447">
        <v>0</v>
      </c>
      <c r="K2447">
        <v>0</v>
      </c>
      <c r="L2447">
        <v>0</v>
      </c>
      <c r="M2447" t="s">
        <v>17</v>
      </c>
    </row>
    <row r="2448" spans="1:13" hidden="1" x14ac:dyDescent="0.15">
      <c r="A2448" t="s">
        <v>7794</v>
      </c>
      <c r="B2448" t="s">
        <v>7795</v>
      </c>
      <c r="C2448" t="s">
        <v>7796</v>
      </c>
      <c r="D2448" t="s">
        <v>7790</v>
      </c>
      <c r="E2448">
        <v>35</v>
      </c>
      <c r="F2448" t="str">
        <f>HYPERLINK("https://github.com/Criptext/Monkey-Chat-Android/issues/93", "show")</f>
        <v>show</v>
      </c>
      <c r="G2448" t="str">
        <f>HYPERLINK("https://github.com/Criptext/Monkey-Chat-Android", "show")</f>
        <v>show</v>
      </c>
      <c r="H2448" t="str">
        <f>HYPERLINK("https://github.com/Criptext/Monkey-Chat-Android/releases", "show")</f>
        <v>show</v>
      </c>
      <c r="I2448">
        <v>1</v>
      </c>
      <c r="J2448">
        <v>0</v>
      </c>
      <c r="K2448">
        <v>0</v>
      </c>
      <c r="L2448">
        <v>0</v>
      </c>
      <c r="M2448" t="s">
        <v>17</v>
      </c>
    </row>
    <row r="2449" spans="1:13" hidden="1" x14ac:dyDescent="0.15">
      <c r="A2449" t="s">
        <v>7797</v>
      </c>
      <c r="B2449" t="s">
        <v>7798</v>
      </c>
      <c r="C2449" t="s">
        <v>504</v>
      </c>
      <c r="D2449" t="s">
        <v>7790</v>
      </c>
      <c r="E2449">
        <v>684</v>
      </c>
      <c r="F2449" t="str">
        <f>HYPERLINK("https://github.com/niclabs/adkintunmobile-androidclient/issues/161", "show")</f>
        <v>show</v>
      </c>
      <c r="G2449" t="str">
        <f>HYPERLINK("https://github.com/niclabs/adkintunmobile-androidclient", "show")</f>
        <v>show</v>
      </c>
      <c r="H2449" t="str">
        <f>HYPERLINK("https://github.com/niclabs/adkintunmobile-androidclient/releases", "show")</f>
        <v>show</v>
      </c>
      <c r="I2449">
        <v>1</v>
      </c>
      <c r="J2449">
        <v>0</v>
      </c>
      <c r="K2449">
        <v>0</v>
      </c>
      <c r="L2449">
        <v>0</v>
      </c>
      <c r="M2449" t="s">
        <v>17</v>
      </c>
    </row>
    <row r="2450" spans="1:13" hidden="1" x14ac:dyDescent="0.15">
      <c r="A2450" t="s">
        <v>7799</v>
      </c>
      <c r="B2450" t="s">
        <v>7800</v>
      </c>
      <c r="C2450" t="s">
        <v>7801</v>
      </c>
      <c r="D2450" t="s">
        <v>7790</v>
      </c>
      <c r="E2450">
        <v>60</v>
      </c>
      <c r="F2450" t="str">
        <f>HYPERLINK("https://github.com/scottyab/rootbeer/issues/35", "show")</f>
        <v>show</v>
      </c>
      <c r="G2450" t="str">
        <f>HYPERLINK("https://github.com/scottyab/rootbeer", "show")</f>
        <v>show</v>
      </c>
      <c r="H2450" t="str">
        <f>HYPERLINK("https://github.com/scottyab/rootbeer/releases", "show")</f>
        <v>show</v>
      </c>
      <c r="I2450">
        <v>0</v>
      </c>
      <c r="J2450">
        <v>0</v>
      </c>
      <c r="K2450">
        <v>1</v>
      </c>
      <c r="L2450">
        <v>0</v>
      </c>
      <c r="M2450" t="s">
        <v>122</v>
      </c>
    </row>
    <row r="2451" spans="1:13" hidden="1" x14ac:dyDescent="0.15">
      <c r="A2451" t="s">
        <v>7802</v>
      </c>
      <c r="B2451" t="s">
        <v>7803</v>
      </c>
      <c r="C2451" t="s">
        <v>7804</v>
      </c>
      <c r="D2451" t="s">
        <v>7790</v>
      </c>
      <c r="E2451">
        <v>320</v>
      </c>
      <c r="F2451" t="str">
        <f>HYPERLINK("https://github.com/nextcloud/android/issues/617", "show")</f>
        <v>show</v>
      </c>
      <c r="G2451" t="str">
        <f>HYPERLINK("https://github.com/nextcloud/android", "show")</f>
        <v>show</v>
      </c>
      <c r="H2451" t="str">
        <f>HYPERLINK("https://github.com/nextcloud/android/releases", "show")</f>
        <v>show</v>
      </c>
      <c r="I2451">
        <v>1</v>
      </c>
      <c r="J2451">
        <v>0</v>
      </c>
      <c r="K2451">
        <v>1</v>
      </c>
      <c r="L2451">
        <v>0</v>
      </c>
      <c r="M2451" t="s">
        <v>64</v>
      </c>
    </row>
    <row r="2452" spans="1:13" hidden="1" x14ac:dyDescent="0.15">
      <c r="A2452" t="s">
        <v>7805</v>
      </c>
      <c r="B2452" t="s">
        <v>7806</v>
      </c>
      <c r="C2452" t="s">
        <v>7807</v>
      </c>
      <c r="D2452" t="s">
        <v>7790</v>
      </c>
      <c r="E2452">
        <v>1</v>
      </c>
      <c r="F2452" t="str">
        <f>HYPERLINK("https://github.com/5calls/android/issues/25", "show")</f>
        <v>show</v>
      </c>
      <c r="G2452" t="str">
        <f>HYPERLINK("https://github.com/5calls/android", "show")</f>
        <v>show</v>
      </c>
      <c r="H2452" t="str">
        <f>HYPERLINK("https://github.com/5calls/android/releases", "show")</f>
        <v>show</v>
      </c>
      <c r="I2452">
        <v>1</v>
      </c>
      <c r="J2452">
        <v>0</v>
      </c>
      <c r="K2452">
        <v>0</v>
      </c>
      <c r="L2452">
        <v>0</v>
      </c>
      <c r="M2452" t="s">
        <v>17</v>
      </c>
    </row>
    <row r="2453" spans="1:13" hidden="1" x14ac:dyDescent="0.15">
      <c r="A2453" t="s">
        <v>7808</v>
      </c>
      <c r="B2453" t="s">
        <v>7809</v>
      </c>
      <c r="C2453" t="s">
        <v>504</v>
      </c>
      <c r="D2453" t="s">
        <v>7810</v>
      </c>
      <c r="E2453">
        <v>683</v>
      </c>
      <c r="F2453" t="str">
        <f>HYPERLINK("https://github.com/niclabs/adkintunmobile-androidclient/issues/163", "show")</f>
        <v>show</v>
      </c>
      <c r="G2453" t="str">
        <f>HYPERLINK("https://github.com/niclabs/adkintunmobile-androidclient", "show")</f>
        <v>show</v>
      </c>
      <c r="H2453" t="str">
        <f>HYPERLINK("https://github.com/niclabs/adkintunmobile-androidclient/releases", "show")</f>
        <v>show</v>
      </c>
      <c r="I2453">
        <v>1</v>
      </c>
      <c r="J2453">
        <v>0</v>
      </c>
      <c r="K2453">
        <v>0</v>
      </c>
      <c r="L2453">
        <v>0</v>
      </c>
      <c r="M2453" t="s">
        <v>17</v>
      </c>
    </row>
    <row r="2454" spans="1:13" hidden="1" x14ac:dyDescent="0.15">
      <c r="A2454" t="s">
        <v>7811</v>
      </c>
      <c r="B2454" t="s">
        <v>4871</v>
      </c>
      <c r="C2454" t="s">
        <v>504</v>
      </c>
      <c r="D2454" t="s">
        <v>7810</v>
      </c>
      <c r="E2454">
        <v>683</v>
      </c>
      <c r="F2454" t="str">
        <f>HYPERLINK("https://github.com/niclabs/adkintunmobile-androidclient/issues/162", "show")</f>
        <v>show</v>
      </c>
      <c r="G2454" t="str">
        <f>HYPERLINK("https://github.com/niclabs/adkintunmobile-androidclient", "show")</f>
        <v>show</v>
      </c>
      <c r="H2454" t="str">
        <f>HYPERLINK("https://github.com/niclabs/adkintunmobile-androidclient/releases", "show")</f>
        <v>show</v>
      </c>
      <c r="I2454">
        <v>1</v>
      </c>
      <c r="J2454">
        <v>0</v>
      </c>
      <c r="K2454">
        <v>0</v>
      </c>
      <c r="L2454">
        <v>0</v>
      </c>
      <c r="M2454" t="s">
        <v>17</v>
      </c>
    </row>
    <row r="2455" spans="1:13" hidden="1" x14ac:dyDescent="0.15">
      <c r="A2455" t="s">
        <v>7812</v>
      </c>
      <c r="B2455" t="s">
        <v>7813</v>
      </c>
      <c r="D2455" t="s">
        <v>7810</v>
      </c>
      <c r="E2455">
        <v>6</v>
      </c>
      <c r="F2455" t="str">
        <f>HYPERLINK("https://github.com/danimahardhika/candybar-library/issues/21", "show")</f>
        <v>show</v>
      </c>
      <c r="G2455" t="str">
        <f>HYPERLINK("https://github.com/danimahardhika/candybar-library", "show")</f>
        <v>show</v>
      </c>
      <c r="H2455" t="str">
        <f>HYPERLINK("https://github.com/danimahardhika/candybar-library/releases", "show")</f>
        <v>show</v>
      </c>
      <c r="I2455">
        <v>1</v>
      </c>
      <c r="J2455">
        <v>0</v>
      </c>
      <c r="K2455">
        <v>0</v>
      </c>
      <c r="L2455">
        <v>0</v>
      </c>
      <c r="M2455" t="s">
        <v>17</v>
      </c>
    </row>
    <row r="2456" spans="1:13" hidden="1" x14ac:dyDescent="0.15">
      <c r="A2456" t="s">
        <v>7814</v>
      </c>
      <c r="B2456" t="s">
        <v>7815</v>
      </c>
      <c r="D2456" t="s">
        <v>7816</v>
      </c>
      <c r="E2456">
        <v>0</v>
      </c>
      <c r="F2456" t="str">
        <f>HYPERLINK("https://github.com/tpb1908/AndroidProjectsClient/issues/94", "show")</f>
        <v>show</v>
      </c>
      <c r="G2456" t="str">
        <f>HYPERLINK("https://github.com/tpb1908/AndroidProjectsClient", "show")</f>
        <v>show</v>
      </c>
      <c r="H2456" t="str">
        <f>HYPERLINK("https://github.com/tpb1908/AndroidProjectsClient/releases", "show")</f>
        <v>show</v>
      </c>
      <c r="I2456">
        <v>1</v>
      </c>
      <c r="J2456">
        <v>0</v>
      </c>
      <c r="K2456">
        <v>0</v>
      </c>
      <c r="L2456">
        <v>0</v>
      </c>
      <c r="M2456" t="s">
        <v>17</v>
      </c>
    </row>
    <row r="2457" spans="1:13" hidden="1" x14ac:dyDescent="0.15">
      <c r="A2457" t="s">
        <v>7817</v>
      </c>
      <c r="B2457" t="s">
        <v>7818</v>
      </c>
      <c r="C2457" t="s">
        <v>7819</v>
      </c>
      <c r="D2457" t="s">
        <v>7816</v>
      </c>
      <c r="E2457">
        <v>1</v>
      </c>
      <c r="F2457" t="str">
        <f>HYPERLINK("https://github.com/jaychang0917/SimpleRecyclerView/issues/1", "show")</f>
        <v>show</v>
      </c>
      <c r="G2457" t="str">
        <f>HYPERLINK("https://github.com/jaychang0917/SimpleRecyclerView", "show")</f>
        <v>show</v>
      </c>
      <c r="H2457" t="str">
        <f>HYPERLINK("https://github.com/jaychang0917/SimpleRecyclerView/releases", "show")</f>
        <v>show</v>
      </c>
      <c r="I2457">
        <v>1</v>
      </c>
      <c r="J2457">
        <v>0</v>
      </c>
      <c r="K2457">
        <v>1</v>
      </c>
      <c r="L2457">
        <v>0</v>
      </c>
      <c r="M2457" t="s">
        <v>64</v>
      </c>
    </row>
    <row r="2458" spans="1:13" hidden="1" x14ac:dyDescent="0.15">
      <c r="A2458" t="s">
        <v>7820</v>
      </c>
      <c r="B2458" t="s">
        <v>7821</v>
      </c>
      <c r="C2458" t="s">
        <v>7822</v>
      </c>
      <c r="D2458" t="s">
        <v>7816</v>
      </c>
      <c r="E2458">
        <v>10</v>
      </c>
      <c r="F2458" t="str">
        <f>HYPERLINK("https://github.com/deltachat/deltachat-android/issues/26", "show")</f>
        <v>show</v>
      </c>
      <c r="G2458" t="str">
        <f>HYPERLINK("https://github.com/deltachat/deltachat-android", "show")</f>
        <v>show</v>
      </c>
      <c r="H2458" t="str">
        <f>HYPERLINK("https://github.com/deltachat/deltachat-android/releases", "show")</f>
        <v>show</v>
      </c>
      <c r="I2458">
        <v>1</v>
      </c>
      <c r="J2458">
        <v>0</v>
      </c>
      <c r="K2458">
        <v>0</v>
      </c>
      <c r="L2458">
        <v>0</v>
      </c>
      <c r="M2458" t="s">
        <v>17</v>
      </c>
    </row>
    <row r="2459" spans="1:13" hidden="1" x14ac:dyDescent="0.15">
      <c r="A2459" t="s">
        <v>7823</v>
      </c>
      <c r="B2459" t="s">
        <v>7824</v>
      </c>
      <c r="C2459" t="s">
        <v>7825</v>
      </c>
      <c r="D2459" t="s">
        <v>7826</v>
      </c>
      <c r="E2459">
        <v>22</v>
      </c>
      <c r="F2459" t="str">
        <f>HYPERLINK("https://github.com/Cloudkibo/Android/issues/490", "show")</f>
        <v>show</v>
      </c>
      <c r="G2459" t="str">
        <f>HYPERLINK("https://github.com/Cloudkibo/Android", "show")</f>
        <v>show</v>
      </c>
      <c r="H2459" t="str">
        <f>HYPERLINK("https://github.com/Cloudkibo/Android/releases", "show")</f>
        <v>show</v>
      </c>
      <c r="I2459">
        <v>1</v>
      </c>
      <c r="J2459">
        <v>1</v>
      </c>
      <c r="K2459">
        <v>0</v>
      </c>
      <c r="L2459">
        <v>1</v>
      </c>
      <c r="M2459" t="s">
        <v>1894</v>
      </c>
    </row>
    <row r="2460" spans="1:13" hidden="1" x14ac:dyDescent="0.15">
      <c r="A2460" t="s">
        <v>7827</v>
      </c>
      <c r="B2460" t="s">
        <v>7828</v>
      </c>
      <c r="C2460" t="s">
        <v>7829</v>
      </c>
      <c r="D2460" t="s">
        <v>7826</v>
      </c>
      <c r="E2460">
        <v>1</v>
      </c>
      <c r="F2460" t="str">
        <f>HYPERLINK("https://github.com/Cloudkibo/Android/issues/489", "show")</f>
        <v>show</v>
      </c>
      <c r="G2460" t="str">
        <f>HYPERLINK("https://github.com/Cloudkibo/Android", "show")</f>
        <v>show</v>
      </c>
      <c r="H2460" t="str">
        <f>HYPERLINK("https://github.com/Cloudkibo/Android/releases", "show")</f>
        <v>show</v>
      </c>
      <c r="I2460">
        <v>1</v>
      </c>
      <c r="J2460">
        <v>1</v>
      </c>
      <c r="K2460">
        <v>0</v>
      </c>
      <c r="L2460">
        <v>1</v>
      </c>
      <c r="M2460" t="s">
        <v>1894</v>
      </c>
    </row>
    <row r="2461" spans="1:13" hidden="1" x14ac:dyDescent="0.15">
      <c r="A2461" t="s">
        <v>7830</v>
      </c>
      <c r="B2461" t="s">
        <v>7831</v>
      </c>
      <c r="C2461" t="s">
        <v>7832</v>
      </c>
      <c r="D2461" t="s">
        <v>7826</v>
      </c>
      <c r="E2461">
        <v>8</v>
      </c>
      <c r="F2461" t="str">
        <f>HYPERLINK("https://github.com/cgeo/cgeo/issues/6301", "show")</f>
        <v>show</v>
      </c>
      <c r="G2461" t="str">
        <f>HYPERLINK("https://github.com/cgeo/cgeo", "show")</f>
        <v>show</v>
      </c>
      <c r="H2461" t="str">
        <f>HYPERLINK("https://github.com/cgeo/cgeo/releases", "show")</f>
        <v>show</v>
      </c>
      <c r="I2461">
        <v>1</v>
      </c>
      <c r="J2461">
        <v>0</v>
      </c>
      <c r="K2461">
        <v>1</v>
      </c>
      <c r="L2461">
        <v>0</v>
      </c>
      <c r="M2461" t="s">
        <v>64</v>
      </c>
    </row>
    <row r="2462" spans="1:13" hidden="1" x14ac:dyDescent="0.15">
      <c r="A2462" t="s">
        <v>7833</v>
      </c>
      <c r="B2462" t="s">
        <v>7834</v>
      </c>
      <c r="C2462" t="s">
        <v>7835</v>
      </c>
      <c r="D2462" t="s">
        <v>7826</v>
      </c>
      <c r="E2462">
        <v>801</v>
      </c>
      <c r="F2462" t="str">
        <f>HYPERLINK("https://github.com/react-native-camera/react-native-camera/issues/588", "show")</f>
        <v>show</v>
      </c>
      <c r="G2462" t="str">
        <f>HYPERLINK("https://github.com/react-native-camera/react-native-camera", "show")</f>
        <v>show</v>
      </c>
      <c r="H2462" t="str">
        <f>HYPERLINK("https://github.com/react-native-camera/react-native-camera/releases", "show")</f>
        <v>show</v>
      </c>
      <c r="I2462">
        <v>0</v>
      </c>
      <c r="J2462">
        <v>1</v>
      </c>
      <c r="K2462">
        <v>0</v>
      </c>
      <c r="L2462">
        <v>1</v>
      </c>
      <c r="M2462" t="s">
        <v>1732</v>
      </c>
    </row>
    <row r="2463" spans="1:13" hidden="1" x14ac:dyDescent="0.15">
      <c r="A2463" t="s">
        <v>7836</v>
      </c>
      <c r="B2463" t="s">
        <v>7837</v>
      </c>
      <c r="C2463" t="s">
        <v>7838</v>
      </c>
      <c r="D2463" t="s">
        <v>7826</v>
      </c>
      <c r="E2463">
        <v>189</v>
      </c>
      <c r="F2463" t="str">
        <f>HYPERLINK("https://github.com/missioncommand/emp3-android/issues/3", "show")</f>
        <v>show</v>
      </c>
      <c r="G2463" t="str">
        <f>HYPERLINK("https://github.com/missioncommand/emp3-android", "show")</f>
        <v>show</v>
      </c>
      <c r="H2463" t="str">
        <f>HYPERLINK("https://github.com/missioncommand/emp3-android/releases", "show")</f>
        <v>show</v>
      </c>
      <c r="I2463">
        <v>1</v>
      </c>
      <c r="J2463">
        <v>0</v>
      </c>
      <c r="K2463">
        <v>0</v>
      </c>
      <c r="L2463">
        <v>0</v>
      </c>
      <c r="M2463" t="s">
        <v>17</v>
      </c>
    </row>
    <row r="2464" spans="1:13" hidden="1" x14ac:dyDescent="0.15">
      <c r="A2464" t="s">
        <v>7839</v>
      </c>
      <c r="B2464" t="s">
        <v>7840</v>
      </c>
      <c r="C2464" t="s">
        <v>7841</v>
      </c>
      <c r="D2464" t="s">
        <v>7826</v>
      </c>
      <c r="E2464">
        <v>36</v>
      </c>
      <c r="F2464" t="str">
        <f>HYPERLINK("https://github.com/flowupio/FlowUpAndroidSDK/issues/182", "show")</f>
        <v>show</v>
      </c>
      <c r="G2464" t="str">
        <f>HYPERLINK("https://github.com/flowupio/FlowUpAndroidSDK", "show")</f>
        <v>show</v>
      </c>
      <c r="H2464" t="str">
        <f>HYPERLINK("https://github.com/flowupio/FlowUpAndroidSDK/releases", "show")</f>
        <v>show</v>
      </c>
      <c r="I2464">
        <v>0</v>
      </c>
      <c r="J2464">
        <v>0</v>
      </c>
      <c r="K2464">
        <v>0</v>
      </c>
      <c r="L2464">
        <v>0</v>
      </c>
      <c r="M2464" t="s">
        <v>43</v>
      </c>
    </row>
    <row r="2465" spans="1:13" hidden="1" x14ac:dyDescent="0.15">
      <c r="A2465" t="s">
        <v>7842</v>
      </c>
      <c r="B2465" t="s">
        <v>7843</v>
      </c>
      <c r="C2465" t="s">
        <v>7844</v>
      </c>
      <c r="D2465" t="s">
        <v>7826</v>
      </c>
      <c r="E2465">
        <v>14</v>
      </c>
      <c r="F2465" t="str">
        <f>HYPERLINK("https://github.com/TedaLIEz/ParsingPlayer/issues/2", "show")</f>
        <v>show</v>
      </c>
      <c r="G2465" t="str">
        <f>HYPERLINK("https://github.com/TedaLIEz/ParsingPlayer", "show")</f>
        <v>show</v>
      </c>
      <c r="H2465" t="str">
        <f>HYPERLINK("https://github.com/TedaLIEz/ParsingPlayer/releases", "show")</f>
        <v>show</v>
      </c>
      <c r="I2465">
        <v>1</v>
      </c>
      <c r="J2465">
        <v>0</v>
      </c>
      <c r="K2465">
        <v>1</v>
      </c>
      <c r="L2465">
        <v>0</v>
      </c>
      <c r="M2465" t="s">
        <v>64</v>
      </c>
    </row>
    <row r="2466" spans="1:13" hidden="1" x14ac:dyDescent="0.15">
      <c r="A2466" t="s">
        <v>7845</v>
      </c>
      <c r="B2466" t="s">
        <v>7846</v>
      </c>
      <c r="C2466" t="s">
        <v>7847</v>
      </c>
      <c r="D2466" t="s">
        <v>7848</v>
      </c>
      <c r="E2466">
        <v>28</v>
      </c>
      <c r="F2466" t="str">
        <f>HYPERLINK("https://github.com/DSpotDevelopers/declex/issues/58", "show")</f>
        <v>show</v>
      </c>
      <c r="G2466" t="str">
        <f>HYPERLINK("https://github.com/DSpotDevelopers/declex", "show")</f>
        <v>show</v>
      </c>
      <c r="H2466" t="str">
        <f>HYPERLINK("https://github.com/DSpotDevelopers/declex/releases", "show")</f>
        <v>show</v>
      </c>
      <c r="I2466">
        <v>1</v>
      </c>
      <c r="J2466">
        <v>0</v>
      </c>
      <c r="K2466">
        <v>0</v>
      </c>
      <c r="L2466">
        <v>0</v>
      </c>
      <c r="M2466" t="s">
        <v>17</v>
      </c>
    </row>
    <row r="2467" spans="1:13" hidden="1" x14ac:dyDescent="0.15">
      <c r="A2467" t="s">
        <v>7849</v>
      </c>
      <c r="B2467" t="s">
        <v>7850</v>
      </c>
      <c r="C2467" t="s">
        <v>7851</v>
      </c>
      <c r="D2467" t="s">
        <v>7848</v>
      </c>
      <c r="E2467">
        <v>28</v>
      </c>
      <c r="F2467" t="str">
        <f>HYPERLINK("https://github.com/DSpotDevelopers/declex/issues/57", "show")</f>
        <v>show</v>
      </c>
      <c r="G2467" t="str">
        <f>HYPERLINK("https://github.com/DSpotDevelopers/declex", "show")</f>
        <v>show</v>
      </c>
      <c r="H2467" t="str">
        <f>HYPERLINK("https://github.com/DSpotDevelopers/declex/releases", "show")</f>
        <v>show</v>
      </c>
      <c r="I2467">
        <v>1</v>
      </c>
      <c r="J2467">
        <v>0</v>
      </c>
      <c r="K2467">
        <v>0</v>
      </c>
      <c r="L2467">
        <v>0</v>
      </c>
      <c r="M2467" t="s">
        <v>17</v>
      </c>
    </row>
    <row r="2468" spans="1:13" hidden="1" x14ac:dyDescent="0.15">
      <c r="A2468" t="s">
        <v>7852</v>
      </c>
      <c r="B2468" t="s">
        <v>7853</v>
      </c>
      <c r="C2468" t="s">
        <v>7854</v>
      </c>
      <c r="D2468" t="s">
        <v>7848</v>
      </c>
      <c r="E2468">
        <v>72</v>
      </c>
      <c r="F2468" t="str">
        <f>HYPERLINK("https://github.com/open-keychain/open-keychain/issues/2042", "show")</f>
        <v>show</v>
      </c>
      <c r="G2468" t="str">
        <f>HYPERLINK("https://github.com/open-keychain/open-keychain", "show")</f>
        <v>show</v>
      </c>
      <c r="H2468" t="str">
        <f>HYPERLINK("https://github.com/open-keychain/open-keychain/releases", "show")</f>
        <v>show</v>
      </c>
      <c r="I2468">
        <v>1</v>
      </c>
      <c r="J2468">
        <v>0</v>
      </c>
      <c r="K2468">
        <v>0</v>
      </c>
      <c r="L2468">
        <v>0</v>
      </c>
      <c r="M2468" t="s">
        <v>17</v>
      </c>
    </row>
    <row r="2469" spans="1:13" hidden="1" x14ac:dyDescent="0.15">
      <c r="A2469" t="s">
        <v>7855</v>
      </c>
      <c r="B2469" t="s">
        <v>7856</v>
      </c>
      <c r="C2469" t="s">
        <v>7857</v>
      </c>
      <c r="D2469" t="s">
        <v>7848</v>
      </c>
      <c r="E2469">
        <v>9</v>
      </c>
      <c r="F2469" t="str">
        <f>HYPERLINK("https://github.com/SteamGifts/SteamGifts/issues/52", "show")</f>
        <v>show</v>
      </c>
      <c r="G2469" t="str">
        <f>HYPERLINK("https://github.com/SteamGifts/SteamGifts", "show")</f>
        <v>show</v>
      </c>
      <c r="H2469" t="str">
        <f>HYPERLINK("https://github.com/SteamGifts/SteamGifts/releases", "show")</f>
        <v>show</v>
      </c>
      <c r="I2469">
        <v>1</v>
      </c>
      <c r="J2469">
        <v>0</v>
      </c>
      <c r="K2469">
        <v>0</v>
      </c>
      <c r="L2469">
        <v>0</v>
      </c>
      <c r="M2469" t="s">
        <v>17</v>
      </c>
    </row>
    <row r="2470" spans="1:13" hidden="1" x14ac:dyDescent="0.15">
      <c r="A2470" t="s">
        <v>7858</v>
      </c>
      <c r="B2470" t="s">
        <v>7859</v>
      </c>
      <c r="C2470" t="s">
        <v>7860</v>
      </c>
      <c r="D2470" t="s">
        <v>7861</v>
      </c>
      <c r="E2470">
        <v>96</v>
      </c>
      <c r="F2470" t="str">
        <f>HYPERLINK("https://github.com/ForstaLabs/relay/issues/12", "show")</f>
        <v>show</v>
      </c>
      <c r="G2470" t="str">
        <f>HYPERLINK("https://github.com/ForstaLabs/relay", "show")</f>
        <v>show</v>
      </c>
      <c r="H2470" t="str">
        <f>HYPERLINK("https://github.com/ForstaLabs/relay/releases", "show")</f>
        <v>show</v>
      </c>
      <c r="I2470">
        <v>1</v>
      </c>
      <c r="J2470">
        <v>0</v>
      </c>
      <c r="K2470">
        <v>0</v>
      </c>
      <c r="L2470">
        <v>0</v>
      </c>
      <c r="M2470" t="s">
        <v>17</v>
      </c>
    </row>
    <row r="2471" spans="1:13" hidden="1" x14ac:dyDescent="0.15">
      <c r="A2471" t="s">
        <v>7862</v>
      </c>
      <c r="B2471" t="s">
        <v>7863</v>
      </c>
      <c r="C2471" t="s">
        <v>7864</v>
      </c>
      <c r="D2471" t="s">
        <v>7861</v>
      </c>
      <c r="E2471">
        <v>9</v>
      </c>
      <c r="F2471" t="str">
        <f>HYPERLINK("https://github.com/Karumi/Rosie/issues/84", "show")</f>
        <v>show</v>
      </c>
      <c r="G2471" t="str">
        <f>HYPERLINK("https://github.com/Karumi/Rosie", "show")</f>
        <v>show</v>
      </c>
      <c r="H2471" t="str">
        <f>HYPERLINK("https://github.com/Karumi/Rosie/releases", "show")</f>
        <v>show</v>
      </c>
      <c r="I2471">
        <v>0</v>
      </c>
      <c r="J2471">
        <v>0</v>
      </c>
      <c r="K2471">
        <v>0</v>
      </c>
      <c r="L2471">
        <v>0</v>
      </c>
      <c r="M2471" t="s">
        <v>43</v>
      </c>
    </row>
    <row r="2472" spans="1:13" hidden="1" x14ac:dyDescent="0.15">
      <c r="A2472" t="s">
        <v>7865</v>
      </c>
      <c r="B2472" t="s">
        <v>7866</v>
      </c>
      <c r="C2472" t="s">
        <v>7867</v>
      </c>
      <c r="D2472" t="s">
        <v>7861</v>
      </c>
      <c r="E2472">
        <v>0</v>
      </c>
      <c r="F2472" t="str">
        <f>HYPERLINK("https://github.com/mvysny/aedict/issues/727", "show")</f>
        <v>show</v>
      </c>
      <c r="G2472" t="str">
        <f>HYPERLINK("https://github.com/mvysny/aedict", "show")</f>
        <v>show</v>
      </c>
      <c r="H2472" t="str">
        <f>HYPERLINK("https://github.com/mvysny/aedict/releases", "show")</f>
        <v>show</v>
      </c>
      <c r="I2472">
        <v>1</v>
      </c>
      <c r="J2472">
        <v>0</v>
      </c>
      <c r="K2472">
        <v>0</v>
      </c>
      <c r="L2472">
        <v>0</v>
      </c>
      <c r="M2472" t="s">
        <v>17</v>
      </c>
    </row>
    <row r="2473" spans="1:13" hidden="1" x14ac:dyDescent="0.15">
      <c r="A2473" t="s">
        <v>7868</v>
      </c>
      <c r="B2473" t="s">
        <v>7869</v>
      </c>
      <c r="C2473" t="s">
        <v>7870</v>
      </c>
      <c r="D2473" t="s">
        <v>7861</v>
      </c>
      <c r="E2473">
        <v>56</v>
      </c>
      <c r="F2473" t="str">
        <f>HYPERLINK("https://github.com/open-keychain/open-keychain/issues/2044", "show")</f>
        <v>show</v>
      </c>
      <c r="G2473" t="str">
        <f>HYPERLINK("https://github.com/open-keychain/open-keychain", "show")</f>
        <v>show</v>
      </c>
      <c r="H2473" t="str">
        <f>HYPERLINK("https://github.com/open-keychain/open-keychain/releases", "show")</f>
        <v>show</v>
      </c>
      <c r="I2473">
        <v>1</v>
      </c>
      <c r="J2473">
        <v>0</v>
      </c>
      <c r="K2473">
        <v>1</v>
      </c>
      <c r="L2473">
        <v>0</v>
      </c>
      <c r="M2473" t="s">
        <v>64</v>
      </c>
    </row>
    <row r="2474" spans="1:13" hidden="1" x14ac:dyDescent="0.15">
      <c r="A2474" t="s">
        <v>7871</v>
      </c>
      <c r="B2474" t="s">
        <v>4871</v>
      </c>
      <c r="C2474" t="s">
        <v>504</v>
      </c>
      <c r="D2474" t="s">
        <v>7872</v>
      </c>
      <c r="E2474">
        <v>386</v>
      </c>
      <c r="F2474" t="str">
        <f>HYPERLINK("https://github.com/tanrabad/survey/issues/16", "show")</f>
        <v>show</v>
      </c>
      <c r="G2474" t="str">
        <f>HYPERLINK("https://github.com/tanrabad/survey", "show")</f>
        <v>show</v>
      </c>
      <c r="H2474" t="str">
        <f>HYPERLINK("https://github.com/tanrabad/survey/releases", "show")</f>
        <v>show</v>
      </c>
      <c r="I2474">
        <v>1</v>
      </c>
      <c r="J2474">
        <v>0</v>
      </c>
      <c r="K2474">
        <v>0</v>
      </c>
      <c r="L2474">
        <v>0</v>
      </c>
      <c r="M2474" t="s">
        <v>17</v>
      </c>
    </row>
    <row r="2475" spans="1:13" hidden="1" x14ac:dyDescent="0.15">
      <c r="A2475" t="s">
        <v>7873</v>
      </c>
      <c r="B2475" t="s">
        <v>7874</v>
      </c>
      <c r="C2475" t="s">
        <v>7875</v>
      </c>
      <c r="D2475" t="s">
        <v>7876</v>
      </c>
      <c r="E2475">
        <v>5</v>
      </c>
      <c r="F2475" t="str">
        <f>HYPERLINK("https://github.com/andresth/Kandroid/issues/2", "show")</f>
        <v>show</v>
      </c>
      <c r="G2475" t="str">
        <f>HYPERLINK("https://github.com/andresth/Kandroid", "show")</f>
        <v>show</v>
      </c>
      <c r="H2475" t="str">
        <f>HYPERLINK("https://github.com/andresth/Kandroid/releases", "show")</f>
        <v>show</v>
      </c>
      <c r="I2475">
        <v>1</v>
      </c>
      <c r="J2475">
        <v>0</v>
      </c>
      <c r="K2475">
        <v>0</v>
      </c>
      <c r="L2475">
        <v>0</v>
      </c>
      <c r="M2475" t="s">
        <v>17</v>
      </c>
    </row>
    <row r="2476" spans="1:13" hidden="1" x14ac:dyDescent="0.15">
      <c r="A2476" t="s">
        <v>7877</v>
      </c>
      <c r="B2476" t="s">
        <v>7878</v>
      </c>
      <c r="C2476" t="s">
        <v>7879</v>
      </c>
      <c r="D2476" t="s">
        <v>7876</v>
      </c>
      <c r="E2476">
        <v>0</v>
      </c>
      <c r="F2476" t="str">
        <f>HYPERLINK("https://github.com/requery/requery/issues/429", "show")</f>
        <v>show</v>
      </c>
      <c r="G2476" t="str">
        <f>HYPERLINK("https://github.com/requery/requery", "show")</f>
        <v>show</v>
      </c>
      <c r="H2476" t="str">
        <f>HYPERLINK("https://github.com/requery/requery/releases", "show")</f>
        <v>show</v>
      </c>
      <c r="I2476">
        <v>1</v>
      </c>
      <c r="J2476">
        <v>1</v>
      </c>
      <c r="K2476">
        <v>0</v>
      </c>
      <c r="L2476">
        <v>0</v>
      </c>
      <c r="M2476" t="s">
        <v>48</v>
      </c>
    </row>
    <row r="2477" spans="1:13" hidden="1" x14ac:dyDescent="0.15">
      <c r="A2477" t="s">
        <v>7880</v>
      </c>
      <c r="B2477" t="s">
        <v>7881</v>
      </c>
      <c r="C2477" t="s">
        <v>7882</v>
      </c>
      <c r="D2477" t="s">
        <v>7876</v>
      </c>
      <c r="E2477">
        <v>133</v>
      </c>
      <c r="F2477" t="str">
        <f>HYPERLINK("https://github.com/Ereza/CustomActivityOnCrash/issues/29", "show")</f>
        <v>show</v>
      </c>
      <c r="G2477" t="str">
        <f>HYPERLINK("https://github.com/Ereza/CustomActivityOnCrash", "show")</f>
        <v>show</v>
      </c>
      <c r="H2477" t="str">
        <f>HYPERLINK("https://github.com/Ereza/CustomActivityOnCrash/releases", "show")</f>
        <v>show</v>
      </c>
      <c r="I2477">
        <v>0</v>
      </c>
      <c r="J2477">
        <v>0</v>
      </c>
      <c r="K2477">
        <v>0</v>
      </c>
      <c r="L2477">
        <v>0</v>
      </c>
      <c r="M2477" t="s">
        <v>43</v>
      </c>
    </row>
    <row r="2478" spans="1:13" hidden="1" x14ac:dyDescent="0.15">
      <c r="A2478" t="s">
        <v>7883</v>
      </c>
      <c r="B2478" t="s">
        <v>7884</v>
      </c>
      <c r="C2478" t="s">
        <v>7885</v>
      </c>
      <c r="D2478" t="s">
        <v>7876</v>
      </c>
      <c r="E2478">
        <v>1640</v>
      </c>
      <c r="F2478" t="str">
        <f>HYPERLINK("https://github.com/k9mail/k-9/issues/2225", "show")</f>
        <v>show</v>
      </c>
      <c r="G2478" t="str">
        <f>HYPERLINK("https://github.com/k9mail/k-9", "show")</f>
        <v>show</v>
      </c>
      <c r="H2478" t="str">
        <f>HYPERLINK("https://github.com/k9mail/k-9/releases", "show")</f>
        <v>show</v>
      </c>
      <c r="I2478">
        <v>1</v>
      </c>
      <c r="J2478">
        <v>0</v>
      </c>
      <c r="K2478">
        <v>1</v>
      </c>
      <c r="L2478">
        <v>0</v>
      </c>
      <c r="M2478" t="s">
        <v>64</v>
      </c>
    </row>
    <row r="2479" spans="1:13" hidden="1" x14ac:dyDescent="0.15">
      <c r="A2479" t="s">
        <v>7886</v>
      </c>
      <c r="B2479" t="s">
        <v>7887</v>
      </c>
      <c r="D2479" t="s">
        <v>7888</v>
      </c>
      <c r="E2479">
        <v>0</v>
      </c>
      <c r="F2479" t="str">
        <f>HYPERLINK("https://github.com/username115/FRCScouting/issues/159", "show")</f>
        <v>show</v>
      </c>
      <c r="G2479" t="str">
        <f>HYPERLINK("https://github.com/username115/FRCScouting", "show")</f>
        <v>show</v>
      </c>
      <c r="H2479" t="str">
        <f>HYPERLINK("https://github.com/username115/FRCScouting/releases", "show")</f>
        <v>show</v>
      </c>
      <c r="I2479">
        <v>1</v>
      </c>
      <c r="J2479">
        <v>0</v>
      </c>
      <c r="K2479">
        <v>0</v>
      </c>
      <c r="L2479">
        <v>0</v>
      </c>
      <c r="M2479" t="s">
        <v>17</v>
      </c>
    </row>
    <row r="2480" spans="1:13" hidden="1" x14ac:dyDescent="0.15">
      <c r="A2480" t="s">
        <v>7889</v>
      </c>
      <c r="B2480" t="s">
        <v>7890</v>
      </c>
      <c r="C2480" t="s">
        <v>7891</v>
      </c>
      <c r="D2480" t="s">
        <v>7888</v>
      </c>
      <c r="E2480">
        <v>20</v>
      </c>
      <c r="F2480" t="str">
        <f>HYPERLINK("https://github.com/stefan-niedermann/nextcloud-notes/issues/177", "show")</f>
        <v>show</v>
      </c>
      <c r="G2480" t="str">
        <f>HYPERLINK("https://github.com/stefan-niedermann/nextcloud-notes", "show")</f>
        <v>show</v>
      </c>
      <c r="H2480" t="str">
        <f>HYPERLINK("https://github.com/stefan-niedermann/nextcloud-notes/releases", "show")</f>
        <v>show</v>
      </c>
      <c r="I2480">
        <v>0</v>
      </c>
      <c r="J2480">
        <v>0</v>
      </c>
      <c r="K2480">
        <v>0</v>
      </c>
      <c r="L2480">
        <v>0</v>
      </c>
      <c r="M2480" t="s">
        <v>43</v>
      </c>
    </row>
    <row r="2481" spans="1:13" hidden="1" x14ac:dyDescent="0.15">
      <c r="A2481" t="s">
        <v>7892</v>
      </c>
      <c r="B2481" t="s">
        <v>7893</v>
      </c>
      <c r="C2481" t="s">
        <v>7894</v>
      </c>
      <c r="D2481" t="s">
        <v>7895</v>
      </c>
      <c r="E2481">
        <v>17</v>
      </c>
      <c r="F2481" t="str">
        <f>HYPERLINK("https://github.com/ScreamingHawk/android-slideshow/issues/18", "show")</f>
        <v>show</v>
      </c>
      <c r="G2481" t="str">
        <f>HYPERLINK("https://github.com/ScreamingHawk/android-slideshow", "show")</f>
        <v>show</v>
      </c>
      <c r="H2481" t="str">
        <f>HYPERLINK("https://github.com/ScreamingHawk/android-slideshow/releases", "show")</f>
        <v>show</v>
      </c>
      <c r="I2481">
        <v>0</v>
      </c>
      <c r="J2481">
        <v>0</v>
      </c>
      <c r="K2481">
        <v>0</v>
      </c>
      <c r="L2481">
        <v>0</v>
      </c>
      <c r="M2481" t="s">
        <v>43</v>
      </c>
    </row>
    <row r="2482" spans="1:13" hidden="1" x14ac:dyDescent="0.15">
      <c r="A2482" t="s">
        <v>7896</v>
      </c>
      <c r="B2482" t="s">
        <v>7897</v>
      </c>
      <c r="C2482" t="s">
        <v>7898</v>
      </c>
      <c r="D2482" t="s">
        <v>7895</v>
      </c>
      <c r="E2482">
        <v>0</v>
      </c>
      <c r="F2482" t="str">
        <f>HYPERLINK("https://github.com/tpb1908/AndroidProjectsClient/issues/103", "show")</f>
        <v>show</v>
      </c>
      <c r="G2482" t="str">
        <f>HYPERLINK("https://github.com/tpb1908/AndroidProjectsClient", "show")</f>
        <v>show</v>
      </c>
      <c r="H2482" t="str">
        <f>HYPERLINK("https://github.com/tpb1908/AndroidProjectsClient/releases", "show")</f>
        <v>show</v>
      </c>
      <c r="I2482">
        <v>1</v>
      </c>
      <c r="J2482">
        <v>0</v>
      </c>
      <c r="K2482">
        <v>0</v>
      </c>
      <c r="L2482">
        <v>0</v>
      </c>
      <c r="M2482" t="s">
        <v>17</v>
      </c>
    </row>
    <row r="2483" spans="1:13" hidden="1" x14ac:dyDescent="0.15">
      <c r="A2483" t="s">
        <v>7899</v>
      </c>
      <c r="B2483" t="s">
        <v>7900</v>
      </c>
      <c r="C2483" t="s">
        <v>7901</v>
      </c>
      <c r="D2483" t="s">
        <v>7895</v>
      </c>
      <c r="E2483">
        <v>0</v>
      </c>
      <c r="F2483" t="str">
        <f>HYPERLINK("https://github.com/cgeo/cgeo/issues/6318", "show")</f>
        <v>show</v>
      </c>
      <c r="G2483" t="str">
        <f>HYPERLINK("https://github.com/cgeo/cgeo", "show")</f>
        <v>show</v>
      </c>
      <c r="H2483" t="str">
        <f>HYPERLINK("https://github.com/cgeo/cgeo/releases", "show")</f>
        <v>show</v>
      </c>
      <c r="I2483">
        <v>1</v>
      </c>
      <c r="J2483">
        <v>1</v>
      </c>
      <c r="K2483">
        <v>0</v>
      </c>
      <c r="L2483">
        <v>1</v>
      </c>
      <c r="M2483" t="s">
        <v>1894</v>
      </c>
    </row>
    <row r="2484" spans="1:13" hidden="1" x14ac:dyDescent="0.15">
      <c r="A2484" t="s">
        <v>7902</v>
      </c>
      <c r="B2484" t="s">
        <v>7903</v>
      </c>
      <c r="C2484" t="s">
        <v>7904</v>
      </c>
      <c r="D2484" t="s">
        <v>7905</v>
      </c>
      <c r="E2484">
        <v>196</v>
      </c>
      <c r="F2484" t="str">
        <f>HYPERLINK("https://github.com/BelooS/ChipsLayoutManager/issues/30", "show")</f>
        <v>show</v>
      </c>
      <c r="G2484" t="str">
        <f>HYPERLINK("https://github.com/BelooS/ChipsLayoutManager", "show")</f>
        <v>show</v>
      </c>
      <c r="H2484" t="str">
        <f>HYPERLINK("https://github.com/BelooS/ChipsLayoutManager/releases", "show")</f>
        <v>show</v>
      </c>
      <c r="I2484">
        <v>1</v>
      </c>
      <c r="J2484">
        <v>1</v>
      </c>
      <c r="K2484">
        <v>1</v>
      </c>
      <c r="L2484">
        <v>0</v>
      </c>
      <c r="M2484" t="s">
        <v>59</v>
      </c>
    </row>
    <row r="2485" spans="1:13" hidden="1" x14ac:dyDescent="0.15">
      <c r="A2485" t="s">
        <v>7906</v>
      </c>
      <c r="B2485" t="s">
        <v>7907</v>
      </c>
      <c r="C2485" t="s">
        <v>7908</v>
      </c>
      <c r="D2485" t="s">
        <v>7905</v>
      </c>
      <c r="E2485">
        <v>433</v>
      </c>
      <c r="F2485" t="str">
        <f>HYPERLINK("https://github.com/syncthing/syncthing-android/issues/847", "show")</f>
        <v>show</v>
      </c>
      <c r="G2485" t="str">
        <f>HYPERLINK("https://github.com/syncthing/syncthing-android", "show")</f>
        <v>show</v>
      </c>
      <c r="H2485" t="str">
        <f>HYPERLINK("https://github.com/syncthing/syncthing-android/releases", "show")</f>
        <v>show</v>
      </c>
      <c r="I2485">
        <v>1</v>
      </c>
      <c r="J2485">
        <v>0</v>
      </c>
      <c r="K2485">
        <v>0</v>
      </c>
      <c r="L2485">
        <v>0</v>
      </c>
      <c r="M2485" t="s">
        <v>17</v>
      </c>
    </row>
    <row r="2486" spans="1:13" hidden="1" x14ac:dyDescent="0.15">
      <c r="A2486" t="s">
        <v>7909</v>
      </c>
      <c r="B2486" t="s">
        <v>7910</v>
      </c>
      <c r="C2486" t="s">
        <v>7911</v>
      </c>
      <c r="D2486" t="s">
        <v>7905</v>
      </c>
      <c r="E2486">
        <v>2</v>
      </c>
      <c r="F2486" t="str">
        <f>HYPERLINK("https://github.com/dariuszseweryn/RxAndroidBle/issues/135", "show")</f>
        <v>show</v>
      </c>
      <c r="G2486" t="str">
        <f>HYPERLINK("https://github.com/dariuszseweryn/RxAndroidBle", "show")</f>
        <v>show</v>
      </c>
      <c r="H2486" t="str">
        <f>HYPERLINK("https://github.com/dariuszseweryn/RxAndroidBle/releases", "show")</f>
        <v>show</v>
      </c>
      <c r="I2486">
        <v>1</v>
      </c>
      <c r="J2486">
        <v>1</v>
      </c>
      <c r="K2486">
        <v>1</v>
      </c>
      <c r="L2486">
        <v>0</v>
      </c>
      <c r="M2486" t="s">
        <v>59</v>
      </c>
    </row>
    <row r="2487" spans="1:13" hidden="1" x14ac:dyDescent="0.15">
      <c r="A2487" t="s">
        <v>7912</v>
      </c>
      <c r="B2487" t="s">
        <v>7913</v>
      </c>
      <c r="D2487" t="s">
        <v>7905</v>
      </c>
      <c r="E2487">
        <v>8</v>
      </c>
      <c r="F2487" t="str">
        <f>HYPERLINK("https://github.com/danimahardhika/wallpaperboard/issues/3", "show")</f>
        <v>show</v>
      </c>
      <c r="G2487" t="str">
        <f>HYPERLINK("https://github.com/danimahardhika/wallpaperboard", "show")</f>
        <v>show</v>
      </c>
      <c r="H2487" t="str">
        <f>HYPERLINK("https://github.com/danimahardhika/wallpaperboard/releases", "show")</f>
        <v>show</v>
      </c>
      <c r="I2487">
        <v>1</v>
      </c>
      <c r="J2487">
        <v>0</v>
      </c>
      <c r="K2487">
        <v>0</v>
      </c>
      <c r="L2487">
        <v>0</v>
      </c>
      <c r="M2487" t="s">
        <v>17</v>
      </c>
    </row>
    <row r="2488" spans="1:13" hidden="1" x14ac:dyDescent="0.15">
      <c r="A2488" t="s">
        <v>7914</v>
      </c>
      <c r="B2488" t="s">
        <v>6822</v>
      </c>
      <c r="C2488" t="s">
        <v>504</v>
      </c>
      <c r="D2488" t="s">
        <v>7905</v>
      </c>
      <c r="E2488">
        <v>1161</v>
      </c>
      <c r="F2488" t="str">
        <f>HYPERLINK("https://github.com/BaseballCardTracker/bbct-android/issues/411", "show")</f>
        <v>show</v>
      </c>
      <c r="G2488" t="str">
        <f>HYPERLINK("https://github.com/BaseballCardTracker/bbct-android", "show")</f>
        <v>show</v>
      </c>
      <c r="H2488" t="str">
        <f>HYPERLINK("https://github.com/BaseballCardTracker/bbct-android/releases", "show")</f>
        <v>show</v>
      </c>
      <c r="I2488">
        <v>1</v>
      </c>
      <c r="J2488">
        <v>0</v>
      </c>
      <c r="K2488">
        <v>0</v>
      </c>
      <c r="L2488">
        <v>0</v>
      </c>
      <c r="M2488" t="s">
        <v>17</v>
      </c>
    </row>
    <row r="2489" spans="1:13" hidden="1" x14ac:dyDescent="0.15">
      <c r="A2489" t="s">
        <v>7915</v>
      </c>
      <c r="B2489" t="s">
        <v>7916</v>
      </c>
      <c r="C2489" t="s">
        <v>7917</v>
      </c>
      <c r="D2489" t="s">
        <v>7918</v>
      </c>
      <c r="E2489">
        <v>12</v>
      </c>
      <c r="F2489" t="str">
        <f>HYPERLINK("https://github.com/kontalk/androidclient/issues/954", "show")</f>
        <v>show</v>
      </c>
      <c r="G2489" t="str">
        <f>HYPERLINK("https://github.com/kontalk/androidclient", "show")</f>
        <v>show</v>
      </c>
      <c r="H2489" t="str">
        <f>HYPERLINK("https://github.com/kontalk/androidclient/releases", "show")</f>
        <v>show</v>
      </c>
      <c r="I2489">
        <v>1</v>
      </c>
      <c r="J2489">
        <v>0</v>
      </c>
      <c r="K2489">
        <v>0</v>
      </c>
      <c r="L2489">
        <v>0</v>
      </c>
      <c r="M2489" t="s">
        <v>17</v>
      </c>
    </row>
    <row r="2490" spans="1:13" hidden="1" x14ac:dyDescent="0.15">
      <c r="A2490" t="s">
        <v>7919</v>
      </c>
      <c r="B2490" t="s">
        <v>7920</v>
      </c>
      <c r="C2490" t="s">
        <v>7921</v>
      </c>
      <c r="D2490" t="s">
        <v>7918</v>
      </c>
      <c r="E2490">
        <v>90</v>
      </c>
      <c r="F2490" t="str">
        <f>HYPERLINK("https://github.com/ForstaLabs/relay/issues/18", "show")</f>
        <v>show</v>
      </c>
      <c r="G2490" t="str">
        <f>HYPERLINK("https://github.com/ForstaLabs/relay", "show")</f>
        <v>show</v>
      </c>
      <c r="H2490" t="str">
        <f>HYPERLINK("https://github.com/ForstaLabs/relay/releases", "show")</f>
        <v>show</v>
      </c>
      <c r="I2490">
        <v>1</v>
      </c>
      <c r="J2490">
        <v>0</v>
      </c>
      <c r="K2490">
        <v>0</v>
      </c>
      <c r="L2490">
        <v>0</v>
      </c>
      <c r="M2490" t="s">
        <v>17</v>
      </c>
    </row>
    <row r="2491" spans="1:13" hidden="1" x14ac:dyDescent="0.15">
      <c r="A2491" t="s">
        <v>7922</v>
      </c>
      <c r="B2491" t="s">
        <v>7923</v>
      </c>
      <c r="C2491" t="s">
        <v>7924</v>
      </c>
      <c r="D2491" t="s">
        <v>7918</v>
      </c>
      <c r="E2491">
        <v>0</v>
      </c>
      <c r="F2491" t="str">
        <f>HYPERLINK("https://github.com/florent37/CameraFragment/issues/12", "show")</f>
        <v>show</v>
      </c>
      <c r="G2491" t="str">
        <f>HYPERLINK("https://github.com/florent37/CameraFragment", "show")</f>
        <v>show</v>
      </c>
      <c r="H2491" t="str">
        <f>HYPERLINK("https://github.com/florent37/CameraFragment/releases", "show")</f>
        <v>show</v>
      </c>
      <c r="I2491">
        <v>1</v>
      </c>
      <c r="J2491">
        <v>0</v>
      </c>
      <c r="K2491">
        <v>1</v>
      </c>
      <c r="L2491">
        <v>0</v>
      </c>
      <c r="M2491" t="s">
        <v>64</v>
      </c>
    </row>
    <row r="2492" spans="1:13" hidden="1" x14ac:dyDescent="0.15">
      <c r="A2492" t="s">
        <v>7925</v>
      </c>
      <c r="B2492" t="s">
        <v>7926</v>
      </c>
      <c r="C2492" t="s">
        <v>7927</v>
      </c>
      <c r="D2492" t="s">
        <v>7918</v>
      </c>
      <c r="E2492">
        <v>22</v>
      </c>
      <c r="F2492" t="str">
        <f>HYPERLINK("https://github.com/scottwainstock/pbm-android/issues/146", "show")</f>
        <v>show</v>
      </c>
      <c r="G2492" t="str">
        <f>HYPERLINK("https://github.com/scottwainstock/pbm-android", "show")</f>
        <v>show</v>
      </c>
      <c r="H2492" t="str">
        <f>HYPERLINK("https://github.com/scottwainstock/pbm-android/releases", "show")</f>
        <v>show</v>
      </c>
      <c r="I2492">
        <v>1</v>
      </c>
      <c r="J2492">
        <v>1</v>
      </c>
      <c r="K2492">
        <v>0</v>
      </c>
      <c r="L2492">
        <v>0</v>
      </c>
      <c r="M2492" t="s">
        <v>48</v>
      </c>
    </row>
    <row r="2493" spans="1:13" hidden="1" x14ac:dyDescent="0.15">
      <c r="A2493" t="s">
        <v>7928</v>
      </c>
      <c r="B2493" t="s">
        <v>7929</v>
      </c>
      <c r="C2493" t="s">
        <v>7930</v>
      </c>
      <c r="D2493" t="s">
        <v>7931</v>
      </c>
      <c r="E2493">
        <v>30</v>
      </c>
      <c r="F2493" t="str">
        <f>HYPERLINK("https://github.com/fr3ts0n/AndrOBD/issues/27", "show")</f>
        <v>show</v>
      </c>
      <c r="G2493" t="str">
        <f>HYPERLINK("https://github.com/fr3ts0n/AndrOBD", "show")</f>
        <v>show</v>
      </c>
      <c r="H2493" t="str">
        <f>HYPERLINK("https://github.com/fr3ts0n/AndrOBD/releases", "show")</f>
        <v>show</v>
      </c>
      <c r="I2493">
        <v>1</v>
      </c>
      <c r="J2493">
        <v>0</v>
      </c>
      <c r="K2493">
        <v>1</v>
      </c>
      <c r="L2493">
        <v>0</v>
      </c>
      <c r="M2493" t="s">
        <v>64</v>
      </c>
    </row>
    <row r="2494" spans="1:13" hidden="1" x14ac:dyDescent="0.15">
      <c r="A2494" t="s">
        <v>7932</v>
      </c>
      <c r="B2494" t="s">
        <v>7933</v>
      </c>
      <c r="C2494" t="s">
        <v>7934</v>
      </c>
      <c r="D2494" t="s">
        <v>7931</v>
      </c>
      <c r="E2494">
        <v>1</v>
      </c>
      <c r="F2494" t="str">
        <f>HYPERLINK("https://github.com/crazyhitty/Capstone-Project/issues/9", "show")</f>
        <v>show</v>
      </c>
      <c r="G2494" t="str">
        <f>HYPERLINK("https://github.com/crazyhitty/Capstone-Project", "show")</f>
        <v>show</v>
      </c>
      <c r="H2494" t="str">
        <f>HYPERLINK("https://github.com/crazyhitty/Capstone-Project/releases", "show")</f>
        <v>show</v>
      </c>
      <c r="I2494">
        <v>1</v>
      </c>
      <c r="J2494">
        <v>0</v>
      </c>
      <c r="K2494">
        <v>1</v>
      </c>
      <c r="L2494">
        <v>0</v>
      </c>
      <c r="M2494" t="s">
        <v>64</v>
      </c>
    </row>
    <row r="2495" spans="1:13" hidden="1" x14ac:dyDescent="0.15">
      <c r="A2495" t="s">
        <v>7935</v>
      </c>
      <c r="B2495" t="s">
        <v>7936</v>
      </c>
      <c r="C2495" t="s">
        <v>7937</v>
      </c>
      <c r="D2495" t="s">
        <v>7931</v>
      </c>
      <c r="E2495">
        <v>1</v>
      </c>
      <c r="F2495" t="str">
        <f>HYPERLINK("https://github.com/Cloudkibo/Android/issues/499", "show")</f>
        <v>show</v>
      </c>
      <c r="G2495" t="str">
        <f>HYPERLINK("https://github.com/Cloudkibo/Android", "show")</f>
        <v>show</v>
      </c>
      <c r="H2495" t="str">
        <f>HYPERLINK("https://github.com/Cloudkibo/Android/releases", "show")</f>
        <v>show</v>
      </c>
      <c r="I2495">
        <v>1</v>
      </c>
      <c r="J2495">
        <v>1</v>
      </c>
      <c r="K2495">
        <v>0</v>
      </c>
      <c r="L2495">
        <v>1</v>
      </c>
      <c r="M2495" t="s">
        <v>1894</v>
      </c>
    </row>
    <row r="2496" spans="1:13" hidden="1" x14ac:dyDescent="0.15">
      <c r="A2496" t="s">
        <v>7938</v>
      </c>
      <c r="B2496" t="s">
        <v>7939</v>
      </c>
      <c r="C2496" t="s">
        <v>7940</v>
      </c>
      <c r="D2496" t="s">
        <v>7941</v>
      </c>
      <c r="E2496">
        <v>0</v>
      </c>
      <c r="F2496" t="str">
        <f>HYPERLINK("https://github.com/michael-rapp/AndroidPreferenceActivity/issues/20", "show")</f>
        <v>show</v>
      </c>
      <c r="G2496" t="str">
        <f>HYPERLINK("https://github.com/michael-rapp/AndroidPreferenceActivity", "show")</f>
        <v>show</v>
      </c>
      <c r="H2496" t="str">
        <f>HYPERLINK("https://github.com/michael-rapp/AndroidPreferenceActivity/releases", "show")</f>
        <v>show</v>
      </c>
      <c r="I2496">
        <v>1</v>
      </c>
      <c r="J2496">
        <v>0</v>
      </c>
      <c r="K2496">
        <v>1</v>
      </c>
      <c r="L2496">
        <v>0</v>
      </c>
      <c r="M2496" t="s">
        <v>64</v>
      </c>
    </row>
    <row r="2497" spans="1:13" hidden="1" x14ac:dyDescent="0.15">
      <c r="A2497" t="s">
        <v>7942</v>
      </c>
      <c r="B2497" t="s">
        <v>7943</v>
      </c>
      <c r="C2497" t="s">
        <v>7944</v>
      </c>
      <c r="D2497" t="s">
        <v>7941</v>
      </c>
      <c r="E2497">
        <v>85</v>
      </c>
      <c r="F2497" t="str">
        <f>HYPERLINK("https://github.com/nextcloud/android/issues/665", "show")</f>
        <v>show</v>
      </c>
      <c r="G2497" t="str">
        <f>HYPERLINK("https://github.com/nextcloud/android", "show")</f>
        <v>show</v>
      </c>
      <c r="H2497" t="str">
        <f>HYPERLINK("https://github.com/nextcloud/android/releases", "show")</f>
        <v>show</v>
      </c>
      <c r="I2497">
        <v>1</v>
      </c>
      <c r="J2497">
        <v>1</v>
      </c>
      <c r="K2497">
        <v>0</v>
      </c>
      <c r="L2497">
        <v>0</v>
      </c>
      <c r="M2497" t="s">
        <v>48</v>
      </c>
    </row>
    <row r="2498" spans="1:13" hidden="1" x14ac:dyDescent="0.15">
      <c r="A2498" t="s">
        <v>7945</v>
      </c>
      <c r="B2498" t="s">
        <v>7946</v>
      </c>
      <c r="C2498" t="s">
        <v>7947</v>
      </c>
      <c r="D2498" t="s">
        <v>7941</v>
      </c>
      <c r="E2498">
        <v>6</v>
      </c>
      <c r="F2498" t="str">
        <f>HYPERLINK("https://github.com/requery/sqlite-android/issues/35", "show")</f>
        <v>show</v>
      </c>
      <c r="G2498" t="str">
        <f>HYPERLINK("https://github.com/requery/sqlite-android", "show")</f>
        <v>show</v>
      </c>
      <c r="H2498" t="str">
        <f>HYPERLINK("https://github.com/requery/sqlite-android/releases", "show")</f>
        <v>show</v>
      </c>
      <c r="I2498">
        <v>1</v>
      </c>
      <c r="J2498">
        <v>0</v>
      </c>
      <c r="K2498">
        <v>0</v>
      </c>
      <c r="L2498">
        <v>0</v>
      </c>
      <c r="M2498" t="s">
        <v>17</v>
      </c>
    </row>
    <row r="2499" spans="1:13" hidden="1" x14ac:dyDescent="0.15">
      <c r="A2499" t="s">
        <v>7948</v>
      </c>
      <c r="B2499" t="s">
        <v>7949</v>
      </c>
      <c r="C2499" t="s">
        <v>7950</v>
      </c>
      <c r="D2499" t="s">
        <v>7941</v>
      </c>
      <c r="E2499">
        <v>40</v>
      </c>
      <c r="F2499" t="str">
        <f>HYPERLINK("https://github.com/codinguser/gnucash-android/issues/654", "show")</f>
        <v>show</v>
      </c>
      <c r="G2499" t="str">
        <f>HYPERLINK("https://github.com/codinguser/gnucash-android", "show")</f>
        <v>show</v>
      </c>
      <c r="H2499" t="str">
        <f>HYPERLINK("https://github.com/codinguser/gnucash-android/releases", "show")</f>
        <v>show</v>
      </c>
      <c r="I2499">
        <v>1</v>
      </c>
      <c r="J2499">
        <v>1</v>
      </c>
      <c r="K2499">
        <v>0</v>
      </c>
      <c r="L2499">
        <v>0</v>
      </c>
      <c r="M2499" t="s">
        <v>48</v>
      </c>
    </row>
    <row r="2500" spans="1:13" hidden="1" x14ac:dyDescent="0.15">
      <c r="A2500" t="s">
        <v>7951</v>
      </c>
      <c r="B2500" t="s">
        <v>7952</v>
      </c>
      <c r="C2500" t="s">
        <v>7953</v>
      </c>
      <c r="D2500" t="s">
        <v>7954</v>
      </c>
      <c r="E2500">
        <v>360</v>
      </c>
      <c r="F2500" t="str">
        <f>HYPERLINK("https://github.com/google/conscrypt/issues/97", "show")</f>
        <v>show</v>
      </c>
      <c r="G2500" t="str">
        <f>HYPERLINK("https://github.com/google/conscrypt", "show")</f>
        <v>show</v>
      </c>
      <c r="H2500" t="str">
        <f>HYPERLINK("https://github.com/google/conscrypt/releases", "show")</f>
        <v>show</v>
      </c>
      <c r="I2500">
        <v>1</v>
      </c>
      <c r="J2500">
        <v>0</v>
      </c>
      <c r="K2500">
        <v>0</v>
      </c>
      <c r="L2500">
        <v>0</v>
      </c>
      <c r="M2500" t="s">
        <v>17</v>
      </c>
    </row>
    <row r="2501" spans="1:13" hidden="1" x14ac:dyDescent="0.15">
      <c r="A2501" t="s">
        <v>7955</v>
      </c>
      <c r="B2501" t="s">
        <v>7956</v>
      </c>
      <c r="C2501" t="s">
        <v>7957</v>
      </c>
      <c r="D2501" t="s">
        <v>7954</v>
      </c>
      <c r="E2501">
        <v>953</v>
      </c>
      <c r="F2501" t="str">
        <f>HYPERLINK("https://github.com/react-native-svg/react-native-svg/issues/258", "show")</f>
        <v>show</v>
      </c>
      <c r="G2501" t="str">
        <f>HYPERLINK("https://github.com/react-native-svg/react-native-svg", "show")</f>
        <v>show</v>
      </c>
      <c r="H2501" t="str">
        <f>HYPERLINK("https://github.com/react-native-svg/react-native-svg/releases", "show")</f>
        <v>show</v>
      </c>
      <c r="I2501">
        <v>0</v>
      </c>
      <c r="J2501">
        <v>0</v>
      </c>
      <c r="K2501">
        <v>0</v>
      </c>
      <c r="L2501">
        <v>0</v>
      </c>
      <c r="M2501" t="s">
        <v>43</v>
      </c>
    </row>
    <row r="2502" spans="1:13" hidden="1" x14ac:dyDescent="0.15">
      <c r="A2502" t="s">
        <v>7958</v>
      </c>
      <c r="B2502" t="s">
        <v>7959</v>
      </c>
      <c r="C2502" t="s">
        <v>7960</v>
      </c>
      <c r="D2502" t="s">
        <v>7954</v>
      </c>
      <c r="E2502">
        <v>1</v>
      </c>
      <c r="F2502" t="str">
        <f>HYPERLINK("https://github.com/rodrif/RecorridasZOTP/issues/90", "show")</f>
        <v>show</v>
      </c>
      <c r="G2502" t="str">
        <f>HYPERLINK("https://github.com/rodrif/RecorridasZOTP", "show")</f>
        <v>show</v>
      </c>
      <c r="H2502" t="str">
        <f>HYPERLINK("https://github.com/rodrif/RecorridasZOTP/releases", "show")</f>
        <v>show</v>
      </c>
      <c r="I2502">
        <v>0</v>
      </c>
      <c r="J2502">
        <v>0</v>
      </c>
      <c r="K2502">
        <v>0</v>
      </c>
      <c r="L2502">
        <v>0</v>
      </c>
      <c r="M2502" t="s">
        <v>43</v>
      </c>
    </row>
    <row r="2503" spans="1:13" hidden="1" x14ac:dyDescent="0.15">
      <c r="A2503" t="s">
        <v>7961</v>
      </c>
      <c r="B2503" t="s">
        <v>7962</v>
      </c>
      <c r="C2503" t="s">
        <v>7963</v>
      </c>
      <c r="D2503" t="s">
        <v>7954</v>
      </c>
      <c r="E2503">
        <v>6</v>
      </c>
      <c r="F2503" t="str">
        <f>HYPERLINK("https://github.com/Devsoc-BPGC/DoJMA/issues/52", "show")</f>
        <v>show</v>
      </c>
      <c r="G2503" t="str">
        <f>HYPERLINK("https://github.com/Devsoc-BPGC/DoJMA", "show")</f>
        <v>show</v>
      </c>
      <c r="H2503" t="str">
        <f>HYPERLINK("https://github.com/Devsoc-BPGC/DoJMA/releases", "show")</f>
        <v>show</v>
      </c>
      <c r="I2503">
        <v>1</v>
      </c>
      <c r="J2503">
        <v>0</v>
      </c>
      <c r="K2503">
        <v>0</v>
      </c>
      <c r="L2503">
        <v>0</v>
      </c>
      <c r="M2503" t="s">
        <v>17</v>
      </c>
    </row>
    <row r="2504" spans="1:13" hidden="1" x14ac:dyDescent="0.15">
      <c r="A2504" t="s">
        <v>7964</v>
      </c>
      <c r="B2504" t="s">
        <v>7965</v>
      </c>
      <c r="C2504" t="s">
        <v>7966</v>
      </c>
      <c r="D2504" t="s">
        <v>7967</v>
      </c>
      <c r="E2504">
        <v>5</v>
      </c>
      <c r="F2504" t="str">
        <f>HYPERLINK("https://github.com/nextcloud/android/issues/669", "show")</f>
        <v>show</v>
      </c>
      <c r="G2504" t="str">
        <f>HYPERLINK("https://github.com/nextcloud/android", "show")</f>
        <v>show</v>
      </c>
      <c r="H2504" t="str">
        <f>HYPERLINK("https://github.com/nextcloud/android/releases", "show")</f>
        <v>show</v>
      </c>
      <c r="I2504">
        <v>1</v>
      </c>
      <c r="J2504">
        <v>1</v>
      </c>
      <c r="K2504">
        <v>0</v>
      </c>
      <c r="L2504">
        <v>0</v>
      </c>
      <c r="M2504" t="s">
        <v>48</v>
      </c>
    </row>
    <row r="2505" spans="1:13" hidden="1" x14ac:dyDescent="0.15">
      <c r="A2505" t="s">
        <v>7968</v>
      </c>
      <c r="B2505" t="s">
        <v>7969</v>
      </c>
      <c r="C2505" t="s">
        <v>7970</v>
      </c>
      <c r="D2505" t="s">
        <v>7967</v>
      </c>
      <c r="E2505">
        <v>3</v>
      </c>
      <c r="F2505" t="str">
        <f>HYPERLINK("https://github.com/AoDispor/AoDispor-Android/issues/66", "show")</f>
        <v>show</v>
      </c>
      <c r="G2505" t="str">
        <f>HYPERLINK("https://github.com/AoDispor/AoDispor-Android", "show")</f>
        <v>show</v>
      </c>
      <c r="H2505" t="str">
        <f>HYPERLINK("https://github.com/AoDispor/AoDispor-Android/releases", "show")</f>
        <v>show</v>
      </c>
      <c r="I2505">
        <v>0</v>
      </c>
      <c r="J2505">
        <v>0</v>
      </c>
      <c r="K2505">
        <v>0</v>
      </c>
      <c r="L2505">
        <v>0</v>
      </c>
      <c r="M2505" t="s">
        <v>43</v>
      </c>
    </row>
    <row r="2506" spans="1:13" hidden="1" x14ac:dyDescent="0.15">
      <c r="A2506" t="s">
        <v>7971</v>
      </c>
      <c r="B2506" t="s">
        <v>7972</v>
      </c>
      <c r="C2506" t="s">
        <v>504</v>
      </c>
      <c r="D2506" t="s">
        <v>7967</v>
      </c>
      <c r="E2506">
        <v>669</v>
      </c>
      <c r="F2506" t="str">
        <f>HYPERLINK("https://github.com/niclabs/adkintunmobile-androidclient/issues/164", "show")</f>
        <v>show</v>
      </c>
      <c r="G2506" t="str">
        <f>HYPERLINK("https://github.com/niclabs/adkintunmobile-androidclient", "show")</f>
        <v>show</v>
      </c>
      <c r="H2506" t="str">
        <f>HYPERLINK("https://github.com/niclabs/adkintunmobile-androidclient/releases", "show")</f>
        <v>show</v>
      </c>
      <c r="I2506">
        <v>1</v>
      </c>
      <c r="J2506">
        <v>0</v>
      </c>
      <c r="K2506">
        <v>0</v>
      </c>
      <c r="L2506">
        <v>0</v>
      </c>
      <c r="M2506" t="s">
        <v>17</v>
      </c>
    </row>
    <row r="2507" spans="1:13" hidden="1" x14ac:dyDescent="0.15">
      <c r="A2507" t="s">
        <v>7973</v>
      </c>
      <c r="B2507" t="s">
        <v>7974</v>
      </c>
      <c r="C2507" t="s">
        <v>7975</v>
      </c>
      <c r="D2507" t="s">
        <v>7976</v>
      </c>
      <c r="E2507">
        <v>174</v>
      </c>
      <c r="F2507" t="str">
        <f>HYPERLINK("https://github.com/ably/ably-java/issues/309", "show")</f>
        <v>show</v>
      </c>
      <c r="G2507" t="str">
        <f>HYPERLINK("https://github.com/ably/ably-java", "show")</f>
        <v>show</v>
      </c>
      <c r="H2507" t="str">
        <f>HYPERLINK("https://github.com/ably/ably-java/releases", "show")</f>
        <v>show</v>
      </c>
      <c r="I2507">
        <v>0</v>
      </c>
      <c r="J2507">
        <v>0</v>
      </c>
      <c r="K2507">
        <v>1</v>
      </c>
      <c r="L2507">
        <v>0</v>
      </c>
      <c r="M2507" t="s">
        <v>122</v>
      </c>
    </row>
    <row r="2508" spans="1:13" hidden="1" x14ac:dyDescent="0.15">
      <c r="A2508" t="s">
        <v>7977</v>
      </c>
      <c r="B2508" t="s">
        <v>7978</v>
      </c>
      <c r="C2508" t="s">
        <v>7979</v>
      </c>
      <c r="D2508" t="s">
        <v>7976</v>
      </c>
      <c r="E2508">
        <v>0</v>
      </c>
      <c r="F2508" t="str">
        <f>HYPERLINK("https://github.com/mvysny/aedict/issues/731", "show")</f>
        <v>show</v>
      </c>
      <c r="G2508" t="str">
        <f>HYPERLINK("https://github.com/mvysny/aedict", "show")</f>
        <v>show</v>
      </c>
      <c r="H2508" t="str">
        <f>HYPERLINK("https://github.com/mvysny/aedict/releases", "show")</f>
        <v>show</v>
      </c>
      <c r="I2508">
        <v>1</v>
      </c>
      <c r="J2508">
        <v>0</v>
      </c>
      <c r="K2508">
        <v>0</v>
      </c>
      <c r="L2508">
        <v>0</v>
      </c>
      <c r="M2508" t="s">
        <v>17</v>
      </c>
    </row>
    <row r="2509" spans="1:13" hidden="1" x14ac:dyDescent="0.15">
      <c r="A2509" t="s">
        <v>7980</v>
      </c>
      <c r="B2509" t="s">
        <v>7981</v>
      </c>
      <c r="C2509" t="s">
        <v>7982</v>
      </c>
      <c r="D2509" t="s">
        <v>7976</v>
      </c>
      <c r="E2509">
        <v>54</v>
      </c>
      <c r="F2509" t="str">
        <f>HYPERLINK("https://github.com/square/okhttp/issues/3171", "show")</f>
        <v>show</v>
      </c>
      <c r="G2509" t="str">
        <f>HYPERLINK("https://github.com/square/okhttp", "show")</f>
        <v>show</v>
      </c>
      <c r="H2509" t="str">
        <f>HYPERLINK("https://github.com/square/okhttp/releases", "show")</f>
        <v>show</v>
      </c>
      <c r="I2509">
        <v>1</v>
      </c>
      <c r="J2509">
        <v>0</v>
      </c>
      <c r="K2509">
        <v>0</v>
      </c>
      <c r="L2509">
        <v>0</v>
      </c>
      <c r="M2509" t="s">
        <v>17</v>
      </c>
    </row>
    <row r="2510" spans="1:13" hidden="1" x14ac:dyDescent="0.15">
      <c r="A2510" t="s">
        <v>7983</v>
      </c>
      <c r="B2510" t="s">
        <v>7984</v>
      </c>
      <c r="C2510" t="s">
        <v>7985</v>
      </c>
      <c r="D2510" t="s">
        <v>7986</v>
      </c>
      <c r="E2510">
        <v>82</v>
      </c>
      <c r="F2510" t="str">
        <f>HYPERLINK("https://github.com/Etar-Group/Etar-Calendar/issues/176", "show")</f>
        <v>show</v>
      </c>
      <c r="G2510" t="str">
        <f>HYPERLINK("https://github.com/Etar-Group/Etar-Calendar", "show")</f>
        <v>show</v>
      </c>
      <c r="H2510" t="str">
        <f>HYPERLINK("https://github.com/Etar-Group/Etar-Calendar/releases", "show")</f>
        <v>show</v>
      </c>
      <c r="I2510">
        <v>0</v>
      </c>
      <c r="J2510">
        <v>0</v>
      </c>
      <c r="K2510">
        <v>0</v>
      </c>
      <c r="L2510">
        <v>0</v>
      </c>
      <c r="M2510" t="s">
        <v>43</v>
      </c>
    </row>
    <row r="2511" spans="1:13" hidden="1" x14ac:dyDescent="0.15">
      <c r="A2511" t="s">
        <v>7987</v>
      </c>
      <c r="B2511" t="s">
        <v>7988</v>
      </c>
      <c r="C2511" t="s">
        <v>7989</v>
      </c>
      <c r="D2511" t="s">
        <v>7986</v>
      </c>
      <c r="E2511">
        <v>41</v>
      </c>
      <c r="F2511" t="str">
        <f>HYPERLINK("https://github.com/GluuFederation/android-super-gluu/issues/13", "show")</f>
        <v>show</v>
      </c>
      <c r="G2511" t="str">
        <f>HYPERLINK("https://github.com/GluuFederation/android-super-gluu", "show")</f>
        <v>show</v>
      </c>
      <c r="H2511" t="str">
        <f>HYPERLINK("https://github.com/GluuFederation/android-super-gluu/releases", "show")</f>
        <v>show</v>
      </c>
      <c r="I2511">
        <v>1</v>
      </c>
      <c r="J2511">
        <v>0</v>
      </c>
      <c r="K2511">
        <v>0</v>
      </c>
      <c r="L2511">
        <v>0</v>
      </c>
      <c r="M2511" t="s">
        <v>17</v>
      </c>
    </row>
    <row r="2512" spans="1:13" hidden="1" x14ac:dyDescent="0.15">
      <c r="A2512" t="s">
        <v>7990</v>
      </c>
      <c r="B2512" t="s">
        <v>7991</v>
      </c>
      <c r="C2512" t="s">
        <v>7992</v>
      </c>
      <c r="D2512" t="s">
        <v>7993</v>
      </c>
      <c r="E2512">
        <v>432</v>
      </c>
      <c r="F2512" t="str">
        <f>HYPERLINK("https://github.com/twilio/video-quickstart-android/issues/61", "show")</f>
        <v>show</v>
      </c>
      <c r="G2512" t="str">
        <f>HYPERLINK("https://github.com/twilio/video-quickstart-android", "show")</f>
        <v>show</v>
      </c>
      <c r="H2512" t="str">
        <f>HYPERLINK("https://github.com/twilio/video-quickstart-android/releases", "show")</f>
        <v>show</v>
      </c>
      <c r="I2512">
        <v>1</v>
      </c>
      <c r="J2512">
        <v>0</v>
      </c>
      <c r="K2512">
        <v>1</v>
      </c>
      <c r="L2512">
        <v>0</v>
      </c>
      <c r="M2512" t="s">
        <v>64</v>
      </c>
    </row>
    <row r="2513" spans="1:13" hidden="1" x14ac:dyDescent="0.15">
      <c r="A2513" t="s">
        <v>7994</v>
      </c>
      <c r="B2513" t="s">
        <v>7995</v>
      </c>
      <c r="C2513" t="s">
        <v>7996</v>
      </c>
      <c r="D2513" t="s">
        <v>7993</v>
      </c>
      <c r="E2513">
        <v>8</v>
      </c>
      <c r="F2513" t="str">
        <f>HYPERLINK("https://github.com/twilio/video-quickstart-android/issues/60", "show")</f>
        <v>show</v>
      </c>
      <c r="G2513" t="str">
        <f>HYPERLINK("https://github.com/twilio/video-quickstart-android", "show")</f>
        <v>show</v>
      </c>
      <c r="H2513" t="str">
        <f>HYPERLINK("https://github.com/twilio/video-quickstart-android/releases", "show")</f>
        <v>show</v>
      </c>
      <c r="I2513">
        <v>1</v>
      </c>
      <c r="J2513">
        <v>0</v>
      </c>
      <c r="K2513">
        <v>0</v>
      </c>
      <c r="L2513">
        <v>0</v>
      </c>
      <c r="M2513" t="s">
        <v>17</v>
      </c>
    </row>
    <row r="2514" spans="1:13" hidden="1" x14ac:dyDescent="0.15">
      <c r="A2514" t="s">
        <v>7997</v>
      </c>
      <c r="B2514" t="s">
        <v>7998</v>
      </c>
      <c r="D2514" t="s">
        <v>7993</v>
      </c>
      <c r="E2514">
        <v>3</v>
      </c>
      <c r="F2514" t="str">
        <f>HYPERLINK("https://github.com/h6ah4i/android-advancedrecyclerview/issues/360", "show")</f>
        <v>show</v>
      </c>
      <c r="G2514" t="str">
        <f>HYPERLINK("https://github.com/h6ah4i/android-advancedrecyclerview", "show")</f>
        <v>show</v>
      </c>
      <c r="H2514" t="str">
        <f>HYPERLINK("https://github.com/h6ah4i/android-advancedrecyclerview/releases", "show")</f>
        <v>show</v>
      </c>
      <c r="I2514">
        <v>1</v>
      </c>
      <c r="J2514">
        <v>0</v>
      </c>
      <c r="K2514">
        <v>0</v>
      </c>
      <c r="L2514">
        <v>0</v>
      </c>
      <c r="M2514" t="s">
        <v>17</v>
      </c>
    </row>
    <row r="2515" spans="1:13" hidden="1" x14ac:dyDescent="0.15">
      <c r="A2515" t="s">
        <v>7999</v>
      </c>
      <c r="B2515" t="s">
        <v>8000</v>
      </c>
      <c r="C2515" t="s">
        <v>8001</v>
      </c>
      <c r="D2515" t="s">
        <v>7993</v>
      </c>
      <c r="E2515">
        <v>1</v>
      </c>
      <c r="F2515" t="str">
        <f>HYPERLINK("https://github.com/5calls/android/issues/53", "show")</f>
        <v>show</v>
      </c>
      <c r="G2515" t="str">
        <f>HYPERLINK("https://github.com/5calls/android", "show")</f>
        <v>show</v>
      </c>
      <c r="H2515" t="str">
        <f>HYPERLINK("https://github.com/5calls/android/releases", "show")</f>
        <v>show</v>
      </c>
      <c r="I2515">
        <v>1</v>
      </c>
      <c r="J2515">
        <v>0</v>
      </c>
      <c r="K2515">
        <v>0</v>
      </c>
      <c r="L2515">
        <v>0</v>
      </c>
      <c r="M2515" t="s">
        <v>17</v>
      </c>
    </row>
    <row r="2516" spans="1:13" hidden="1" x14ac:dyDescent="0.15">
      <c r="A2516" t="s">
        <v>8002</v>
      </c>
      <c r="B2516" t="s">
        <v>8003</v>
      </c>
      <c r="C2516" t="s">
        <v>8004</v>
      </c>
      <c r="D2516" t="s">
        <v>7993</v>
      </c>
      <c r="E2516">
        <v>1</v>
      </c>
      <c r="F2516" t="str">
        <f>HYPERLINK("https://github.com/twilio/video-quickstart-android/issues/59", "show")</f>
        <v>show</v>
      </c>
      <c r="G2516" t="str">
        <f>HYPERLINK("https://github.com/twilio/video-quickstart-android", "show")</f>
        <v>show</v>
      </c>
      <c r="H2516" t="str">
        <f>HYPERLINK("https://github.com/twilio/video-quickstart-android/releases", "show")</f>
        <v>show</v>
      </c>
      <c r="I2516">
        <v>1</v>
      </c>
      <c r="J2516">
        <v>1</v>
      </c>
      <c r="K2516">
        <v>0</v>
      </c>
      <c r="L2516">
        <v>0</v>
      </c>
      <c r="M2516" t="s">
        <v>48</v>
      </c>
    </row>
    <row r="2517" spans="1:13" hidden="1" x14ac:dyDescent="0.15">
      <c r="A2517" t="s">
        <v>8005</v>
      </c>
      <c r="B2517" t="s">
        <v>8006</v>
      </c>
      <c r="C2517" t="s">
        <v>8007</v>
      </c>
      <c r="D2517" t="s">
        <v>7993</v>
      </c>
      <c r="E2517">
        <v>123</v>
      </c>
      <c r="F2517" t="str">
        <f>HYPERLINK("https://github.com/Fleker/CumulusTV/issues/272", "show")</f>
        <v>show</v>
      </c>
      <c r="G2517" t="str">
        <f>HYPERLINK("https://github.com/Fleker/CumulusTV", "show")</f>
        <v>show</v>
      </c>
      <c r="H2517" t="str">
        <f>HYPERLINK("https://github.com/Fleker/CumulusTV/releases", "show")</f>
        <v>show</v>
      </c>
      <c r="I2517">
        <v>0</v>
      </c>
      <c r="J2517">
        <v>0</v>
      </c>
      <c r="K2517">
        <v>0</v>
      </c>
      <c r="L2517">
        <v>0</v>
      </c>
      <c r="M2517" t="s">
        <v>43</v>
      </c>
    </row>
    <row r="2518" spans="1:13" x14ac:dyDescent="0.15">
      <c r="A2518" t="s">
        <v>8008</v>
      </c>
      <c r="B2518" t="s">
        <v>8009</v>
      </c>
      <c r="C2518" t="s">
        <v>8010</v>
      </c>
      <c r="D2518" t="s">
        <v>8011</v>
      </c>
      <c r="E2518">
        <v>11</v>
      </c>
      <c r="F2518" t="str">
        <f>HYPERLINK("https://github.com/lostzen/lost/issues/164", "show")</f>
        <v>show</v>
      </c>
      <c r="G2518" t="str">
        <f>HYPERLINK("https://github.com/lostzen/lost", "show")</f>
        <v>show</v>
      </c>
      <c r="H2518" t="str">
        <f>HYPERLINK("https://github.com/lostzen/lost/releases", "show")</f>
        <v>show</v>
      </c>
      <c r="I2518">
        <v>0</v>
      </c>
      <c r="J2518">
        <v>1</v>
      </c>
      <c r="K2518">
        <v>0</v>
      </c>
      <c r="L2518">
        <v>0</v>
      </c>
      <c r="M2518" t="s">
        <v>139</v>
      </c>
    </row>
    <row r="2519" spans="1:13" hidden="1" x14ac:dyDescent="0.15">
      <c r="A2519" t="s">
        <v>8012</v>
      </c>
      <c r="B2519" t="s">
        <v>8013</v>
      </c>
      <c r="C2519" t="s">
        <v>8014</v>
      </c>
      <c r="D2519" t="s">
        <v>8011</v>
      </c>
      <c r="E2519">
        <v>5</v>
      </c>
      <c r="F2519" t="str">
        <f>HYPERLINK("https://github.com/google/ExoPlayer/issues/2497", "show")</f>
        <v>show</v>
      </c>
      <c r="G2519" t="str">
        <f>HYPERLINK("https://github.com/google/ExoPlayer", "show")</f>
        <v>show</v>
      </c>
      <c r="H2519" t="str">
        <f>HYPERLINK("https://github.com/google/ExoPlayer/releases", "show")</f>
        <v>show</v>
      </c>
      <c r="I2519">
        <v>1</v>
      </c>
      <c r="J2519">
        <v>0</v>
      </c>
      <c r="K2519">
        <v>0</v>
      </c>
      <c r="L2519">
        <v>0</v>
      </c>
      <c r="M2519" t="s">
        <v>17</v>
      </c>
    </row>
    <row r="2520" spans="1:13" hidden="1" x14ac:dyDescent="0.15">
      <c r="A2520" t="s">
        <v>8015</v>
      </c>
      <c r="B2520" t="s">
        <v>8016</v>
      </c>
      <c r="C2520" t="s">
        <v>8017</v>
      </c>
      <c r="D2520" t="s">
        <v>8011</v>
      </c>
      <c r="E2520">
        <v>1</v>
      </c>
      <c r="F2520" t="str">
        <f>HYPERLINK("https://github.com/twilio/video-quickstart-android/issues/64", "show")</f>
        <v>show</v>
      </c>
      <c r="G2520" t="str">
        <f>HYPERLINK("https://github.com/twilio/video-quickstart-android", "show")</f>
        <v>show</v>
      </c>
      <c r="H2520" t="str">
        <f>HYPERLINK("https://github.com/twilio/video-quickstart-android/releases", "show")</f>
        <v>show</v>
      </c>
      <c r="I2520">
        <v>1</v>
      </c>
      <c r="J2520">
        <v>0</v>
      </c>
      <c r="K2520">
        <v>0</v>
      </c>
      <c r="L2520">
        <v>0</v>
      </c>
      <c r="M2520" t="s">
        <v>17</v>
      </c>
    </row>
    <row r="2521" spans="1:13" hidden="1" x14ac:dyDescent="0.15">
      <c r="A2521" t="s">
        <v>8018</v>
      </c>
      <c r="B2521" t="s">
        <v>8019</v>
      </c>
      <c r="C2521" t="s">
        <v>8020</v>
      </c>
      <c r="D2521" t="s">
        <v>8011</v>
      </c>
      <c r="E2521">
        <v>403</v>
      </c>
      <c r="F2521" t="str">
        <f>HYPERLINK("https://github.com/mauron85/cordova-plugin-background-geolocation/issues/268", "show")</f>
        <v>show</v>
      </c>
      <c r="G2521" t="str">
        <f>HYPERLINK("https://github.com/mauron85/cordova-plugin-background-geolocation", "show")</f>
        <v>show</v>
      </c>
      <c r="H2521" t="str">
        <f>HYPERLINK("https://github.com/mauron85/cordova-plugin-background-geolocation/releases", "show")</f>
        <v>show</v>
      </c>
      <c r="I2521">
        <v>1</v>
      </c>
      <c r="J2521">
        <v>0</v>
      </c>
      <c r="K2521">
        <v>1</v>
      </c>
      <c r="L2521">
        <v>0</v>
      </c>
      <c r="M2521" t="s">
        <v>64</v>
      </c>
    </row>
    <row r="2522" spans="1:13" hidden="1" x14ac:dyDescent="0.15">
      <c r="A2522" t="s">
        <v>8021</v>
      </c>
      <c r="B2522" t="s">
        <v>8022</v>
      </c>
      <c r="C2522" t="s">
        <v>8023</v>
      </c>
      <c r="D2522" t="s">
        <v>8011</v>
      </c>
      <c r="E2522">
        <v>4</v>
      </c>
      <c r="F2522" t="str">
        <f>HYPERLINK("https://github.com/danimahardhika/candybar-library/issues/26", "show")</f>
        <v>show</v>
      </c>
      <c r="G2522" t="str">
        <f>HYPERLINK("https://github.com/danimahardhika/candybar-library", "show")</f>
        <v>show</v>
      </c>
      <c r="H2522" t="str">
        <f>HYPERLINK("https://github.com/danimahardhika/candybar-library/releases", "show")</f>
        <v>show</v>
      </c>
      <c r="I2522">
        <v>1</v>
      </c>
      <c r="J2522">
        <v>0</v>
      </c>
      <c r="K2522">
        <v>0</v>
      </c>
      <c r="L2522">
        <v>0</v>
      </c>
      <c r="M2522" t="s">
        <v>17</v>
      </c>
    </row>
    <row r="2523" spans="1:13" hidden="1" x14ac:dyDescent="0.15">
      <c r="A2523" t="s">
        <v>8024</v>
      </c>
      <c r="B2523" t="s">
        <v>8025</v>
      </c>
      <c r="C2523" t="s">
        <v>8026</v>
      </c>
      <c r="D2523" t="s">
        <v>8011</v>
      </c>
      <c r="E2523">
        <v>42</v>
      </c>
      <c r="F2523" t="str">
        <f>HYPERLINK("https://github.com/frostwire/frostwire/issues/355", "show")</f>
        <v>show</v>
      </c>
      <c r="G2523" t="str">
        <f>HYPERLINK("https://github.com/frostwire/frostwire", "show")</f>
        <v>show</v>
      </c>
      <c r="H2523" t="str">
        <f>HYPERLINK("https://github.com/frostwire/frostwire/releases", "show")</f>
        <v>show</v>
      </c>
      <c r="I2523">
        <v>1</v>
      </c>
      <c r="J2523">
        <v>0</v>
      </c>
      <c r="K2523">
        <v>0</v>
      </c>
      <c r="L2523">
        <v>1</v>
      </c>
      <c r="M2523" t="s">
        <v>29</v>
      </c>
    </row>
    <row r="2524" spans="1:13" hidden="1" x14ac:dyDescent="0.15">
      <c r="A2524" t="s">
        <v>8027</v>
      </c>
      <c r="B2524" t="s">
        <v>8028</v>
      </c>
      <c r="C2524" t="s">
        <v>8029</v>
      </c>
      <c r="D2524" t="s">
        <v>8030</v>
      </c>
      <c r="E2524">
        <v>23</v>
      </c>
      <c r="F2524" t="str">
        <f>HYPERLINK("https://github.com/SecUSo/privacy-friendly-netmonitor/issues/17", "show")</f>
        <v>show</v>
      </c>
      <c r="G2524" t="str">
        <f>HYPERLINK("https://github.com/SecUSo/privacy-friendly-netmonitor", "show")</f>
        <v>show</v>
      </c>
      <c r="H2524" t="str">
        <f>HYPERLINK("https://github.com/SecUSo/privacy-friendly-netmonitor/releases", "show")</f>
        <v>show</v>
      </c>
      <c r="I2524">
        <v>1</v>
      </c>
      <c r="J2524">
        <v>0</v>
      </c>
      <c r="K2524">
        <v>0</v>
      </c>
      <c r="L2524">
        <v>0</v>
      </c>
      <c r="M2524" t="s">
        <v>17</v>
      </c>
    </row>
    <row r="2525" spans="1:13" hidden="1" x14ac:dyDescent="0.15">
      <c r="A2525" t="s">
        <v>8031</v>
      </c>
      <c r="B2525" t="s">
        <v>8032</v>
      </c>
      <c r="C2525" t="s">
        <v>8033</v>
      </c>
      <c r="D2525" t="s">
        <v>8030</v>
      </c>
      <c r="E2525">
        <v>5</v>
      </c>
      <c r="F2525" t="str">
        <f>HYPERLINK("https://github.com/hzi-braunschweig/SORMAS-Project/issues/130", "show")</f>
        <v>show</v>
      </c>
      <c r="G2525" t="str">
        <f>HYPERLINK("https://github.com/hzi-braunschweig/SORMAS-Project", "show")</f>
        <v>show</v>
      </c>
      <c r="H2525" t="str">
        <f>HYPERLINK("https://github.com/hzi-braunschweig/SORMAS-Project/releases", "show")</f>
        <v>show</v>
      </c>
      <c r="I2525">
        <v>0</v>
      </c>
      <c r="J2525">
        <v>0</v>
      </c>
      <c r="K2525">
        <v>0</v>
      </c>
      <c r="L2525">
        <v>0</v>
      </c>
      <c r="M2525" t="s">
        <v>43</v>
      </c>
    </row>
    <row r="2526" spans="1:13" hidden="1" x14ac:dyDescent="0.15">
      <c r="A2526" t="s">
        <v>8034</v>
      </c>
      <c r="B2526" t="s">
        <v>8035</v>
      </c>
      <c r="C2526" t="s">
        <v>8036</v>
      </c>
      <c r="D2526" t="s">
        <v>8037</v>
      </c>
      <c r="E2526">
        <v>5</v>
      </c>
      <c r="F2526" t="str">
        <f>HYPERLINK("https://github.com/Fleker/CumulusTV/issues/273", "show")</f>
        <v>show</v>
      </c>
      <c r="G2526" t="str">
        <f>HYPERLINK("https://github.com/Fleker/CumulusTV", "show")</f>
        <v>show</v>
      </c>
      <c r="H2526" t="str">
        <f>HYPERLINK("https://github.com/Fleker/CumulusTV/releases", "show")</f>
        <v>show</v>
      </c>
      <c r="I2526">
        <v>0</v>
      </c>
      <c r="J2526">
        <v>0</v>
      </c>
      <c r="K2526">
        <v>1</v>
      </c>
      <c r="L2526">
        <v>0</v>
      </c>
      <c r="M2526" t="s">
        <v>122</v>
      </c>
    </row>
    <row r="2527" spans="1:13" hidden="1" x14ac:dyDescent="0.15">
      <c r="A2527" t="s">
        <v>8038</v>
      </c>
      <c r="B2527" t="s">
        <v>8039</v>
      </c>
      <c r="C2527" t="s">
        <v>8040</v>
      </c>
      <c r="D2527" t="s">
        <v>8041</v>
      </c>
      <c r="E2527">
        <v>763</v>
      </c>
      <c r="F2527" t="str">
        <f>HYPERLINK("https://github.com/smarek/httpclient-android/issues/15", "show")</f>
        <v>show</v>
      </c>
      <c r="G2527" t="str">
        <f>HYPERLINK("https://github.com/smarek/httpclient-android", "show")</f>
        <v>show</v>
      </c>
      <c r="H2527" t="str">
        <f>HYPERLINK("https://github.com/smarek/httpclient-android/releases", "show")</f>
        <v>show</v>
      </c>
      <c r="I2527">
        <v>1</v>
      </c>
      <c r="J2527">
        <v>0</v>
      </c>
      <c r="K2527">
        <v>0</v>
      </c>
      <c r="L2527">
        <v>0</v>
      </c>
      <c r="M2527" t="s">
        <v>17</v>
      </c>
    </row>
    <row r="2528" spans="1:13" hidden="1" x14ac:dyDescent="0.15">
      <c r="A2528" t="s">
        <v>8042</v>
      </c>
      <c r="B2528" t="s">
        <v>8043</v>
      </c>
      <c r="C2528" t="s">
        <v>8044</v>
      </c>
      <c r="D2528" t="s">
        <v>8041</v>
      </c>
      <c r="E2528">
        <v>4</v>
      </c>
      <c r="F2528" t="str">
        <f>HYPERLINK("https://github.com/esoxjem/MovieGuide/issues/20", "show")</f>
        <v>show</v>
      </c>
      <c r="G2528" t="str">
        <f>HYPERLINK("https://github.com/esoxjem/MovieGuide", "show")</f>
        <v>show</v>
      </c>
      <c r="H2528" t="str">
        <f>HYPERLINK("https://github.com/esoxjem/MovieGuide/releases", "show")</f>
        <v>show</v>
      </c>
      <c r="I2528">
        <v>1</v>
      </c>
      <c r="J2528">
        <v>0</v>
      </c>
      <c r="K2528">
        <v>0</v>
      </c>
      <c r="L2528">
        <v>0</v>
      </c>
      <c r="M2528" t="s">
        <v>17</v>
      </c>
    </row>
    <row r="2529" spans="1:13" hidden="1" x14ac:dyDescent="0.15">
      <c r="A2529" t="s">
        <v>8045</v>
      </c>
      <c r="B2529" t="s">
        <v>8046</v>
      </c>
      <c r="C2529" t="s">
        <v>8047</v>
      </c>
      <c r="D2529" t="s">
        <v>8041</v>
      </c>
      <c r="E2529">
        <v>16</v>
      </c>
      <c r="F2529" t="str">
        <f>HYPERLINK("https://github.com/k9mail/k-9/issues/2282", "show")</f>
        <v>show</v>
      </c>
      <c r="G2529" t="str">
        <f>HYPERLINK("https://github.com/k9mail/k-9", "show")</f>
        <v>show</v>
      </c>
      <c r="H2529" t="str">
        <f>HYPERLINK("https://github.com/k9mail/k-9/releases", "show")</f>
        <v>show</v>
      </c>
      <c r="I2529">
        <v>1</v>
      </c>
      <c r="J2529">
        <v>1</v>
      </c>
      <c r="K2529">
        <v>1</v>
      </c>
      <c r="L2529">
        <v>0</v>
      </c>
      <c r="M2529" t="s">
        <v>59</v>
      </c>
    </row>
    <row r="2530" spans="1:13" hidden="1" x14ac:dyDescent="0.15">
      <c r="A2530" t="s">
        <v>8048</v>
      </c>
      <c r="B2530" t="s">
        <v>8049</v>
      </c>
      <c r="C2530" t="s">
        <v>8050</v>
      </c>
      <c r="D2530" t="s">
        <v>8051</v>
      </c>
      <c r="E2530">
        <v>21</v>
      </c>
      <c r="F2530" t="str">
        <f>HYPERLINK("https://github.com/getodk/collect/issues/466", "show")</f>
        <v>show</v>
      </c>
      <c r="G2530" t="str">
        <f>HYPERLINK("https://github.com/getodk/collect", "show")</f>
        <v>show</v>
      </c>
      <c r="H2530" t="str">
        <f>HYPERLINK("https://github.com/getodk/collect/releases", "show")</f>
        <v>show</v>
      </c>
      <c r="I2530">
        <v>1</v>
      </c>
      <c r="J2530">
        <v>0</v>
      </c>
      <c r="K2530">
        <v>0</v>
      </c>
      <c r="L2530">
        <v>0</v>
      </c>
      <c r="M2530" t="s">
        <v>17</v>
      </c>
    </row>
    <row r="2531" spans="1:13" hidden="1" x14ac:dyDescent="0.15">
      <c r="A2531" t="s">
        <v>8052</v>
      </c>
      <c r="B2531" t="s">
        <v>8053</v>
      </c>
      <c r="C2531" t="s">
        <v>8054</v>
      </c>
      <c r="D2531" t="s">
        <v>8051</v>
      </c>
      <c r="E2531">
        <v>3</v>
      </c>
      <c r="F2531" t="str">
        <f>HYPERLINK("https://github.com/connectbot/connectbot/issues/493", "show")</f>
        <v>show</v>
      </c>
      <c r="G2531" t="str">
        <f>HYPERLINK("https://github.com/connectbot/connectbot", "show")</f>
        <v>show</v>
      </c>
      <c r="H2531" t="str">
        <f>HYPERLINK("https://github.com/connectbot/connectbot/releases", "show")</f>
        <v>show</v>
      </c>
      <c r="I2531">
        <v>1</v>
      </c>
      <c r="J2531">
        <v>1</v>
      </c>
      <c r="K2531">
        <v>1</v>
      </c>
      <c r="L2531">
        <v>0</v>
      </c>
      <c r="M2531" t="s">
        <v>59</v>
      </c>
    </row>
    <row r="2532" spans="1:13" hidden="1" x14ac:dyDescent="0.15">
      <c r="A2532" t="s">
        <v>8055</v>
      </c>
      <c r="B2532" t="s">
        <v>8056</v>
      </c>
      <c r="C2532" t="s">
        <v>8057</v>
      </c>
      <c r="D2532" t="s">
        <v>8051</v>
      </c>
      <c r="E2532">
        <v>56</v>
      </c>
      <c r="F2532" t="str">
        <f>HYPERLINK("https://github.com/Tencent/tinker/issues/374", "show")</f>
        <v>show</v>
      </c>
      <c r="G2532" t="str">
        <f>HYPERLINK("https://github.com/Tencent/tinker", "show")</f>
        <v>show</v>
      </c>
      <c r="H2532" t="str">
        <f>HYPERLINK("https://github.com/Tencent/tinker/releases", "show")</f>
        <v>show</v>
      </c>
      <c r="I2532">
        <v>0</v>
      </c>
      <c r="J2532">
        <v>0</v>
      </c>
      <c r="K2532">
        <v>1</v>
      </c>
      <c r="L2532">
        <v>0</v>
      </c>
      <c r="M2532" t="s">
        <v>122</v>
      </c>
    </row>
    <row r="2533" spans="1:13" hidden="1" x14ac:dyDescent="0.15">
      <c r="A2533" t="s">
        <v>8058</v>
      </c>
      <c r="B2533" t="s">
        <v>8059</v>
      </c>
      <c r="C2533" t="s">
        <v>8060</v>
      </c>
      <c r="D2533" t="s">
        <v>8061</v>
      </c>
      <c r="E2533">
        <v>38</v>
      </c>
      <c r="F2533" t="str">
        <f>HYPERLINK("https://github.com/SecUSo/privacy-friendly-shopping-list/issues/33", "show")</f>
        <v>show</v>
      </c>
      <c r="G2533" t="str">
        <f>HYPERLINK("https://github.com/SecUSo/privacy-friendly-shopping-list", "show")</f>
        <v>show</v>
      </c>
      <c r="H2533" t="str">
        <f>HYPERLINK("https://github.com/SecUSo/privacy-friendly-shopping-list/releases", "show")</f>
        <v>show</v>
      </c>
      <c r="I2533">
        <v>0</v>
      </c>
      <c r="J2533">
        <v>1</v>
      </c>
      <c r="K2533">
        <v>1</v>
      </c>
      <c r="L2533">
        <v>0</v>
      </c>
      <c r="M2533" t="s">
        <v>699</v>
      </c>
    </row>
    <row r="2534" spans="1:13" hidden="1" x14ac:dyDescent="0.15">
      <c r="A2534" t="s">
        <v>8062</v>
      </c>
      <c r="B2534" t="s">
        <v>8063</v>
      </c>
      <c r="C2534" t="s">
        <v>8064</v>
      </c>
      <c r="D2534" t="s">
        <v>8061</v>
      </c>
      <c r="E2534">
        <v>743</v>
      </c>
      <c r="F2534" t="str">
        <f>HYPERLINK("https://github.com/SecUSo/privacy-friendly-notes/issues/56", "show")</f>
        <v>show</v>
      </c>
      <c r="G2534" t="str">
        <f>HYPERLINK("https://github.com/SecUSo/privacy-friendly-notes", "show")</f>
        <v>show</v>
      </c>
      <c r="H2534" t="str">
        <f>HYPERLINK("https://github.com/SecUSo/privacy-friendly-notes/releases", "show")</f>
        <v>show</v>
      </c>
      <c r="I2534">
        <v>0</v>
      </c>
      <c r="J2534">
        <v>0</v>
      </c>
      <c r="K2534">
        <v>1</v>
      </c>
      <c r="L2534">
        <v>0</v>
      </c>
      <c r="M2534" t="s">
        <v>122</v>
      </c>
    </row>
    <row r="2535" spans="1:13" hidden="1" x14ac:dyDescent="0.15">
      <c r="A2535" t="s">
        <v>8065</v>
      </c>
      <c r="B2535" t="s">
        <v>8066</v>
      </c>
      <c r="C2535" t="s">
        <v>8067</v>
      </c>
      <c r="D2535" t="s">
        <v>8068</v>
      </c>
      <c r="E2535">
        <v>7</v>
      </c>
      <c r="F2535" t="str">
        <f>HYPERLINK("https://github.com/getodk/collect/issues/488", "show")</f>
        <v>show</v>
      </c>
      <c r="G2535" t="str">
        <f>HYPERLINK("https://github.com/getodk/collect", "show")</f>
        <v>show</v>
      </c>
      <c r="H2535" t="str">
        <f>HYPERLINK("https://github.com/getodk/collect/releases", "show")</f>
        <v>show</v>
      </c>
      <c r="I2535">
        <v>1</v>
      </c>
      <c r="J2535">
        <v>1</v>
      </c>
      <c r="K2535">
        <v>1</v>
      </c>
      <c r="L2535">
        <v>0</v>
      </c>
      <c r="M2535" t="s">
        <v>59</v>
      </c>
    </row>
    <row r="2536" spans="1:13" hidden="1" x14ac:dyDescent="0.15">
      <c r="A2536" t="s">
        <v>8069</v>
      </c>
      <c r="B2536" t="s">
        <v>8070</v>
      </c>
      <c r="C2536" t="s">
        <v>8071</v>
      </c>
      <c r="D2536" t="s">
        <v>8068</v>
      </c>
      <c r="E2536">
        <v>2</v>
      </c>
      <c r="F2536" t="str">
        <f>HYPERLINK("https://github.com/timusus/Shuttle/issues/46", "show")</f>
        <v>show</v>
      </c>
      <c r="G2536" t="str">
        <f>HYPERLINK("https://github.com/timusus/Shuttle", "show")</f>
        <v>show</v>
      </c>
      <c r="H2536" t="str">
        <f>HYPERLINK("https://github.com/timusus/Shuttle/releases", "show")</f>
        <v>show</v>
      </c>
      <c r="I2536">
        <v>1</v>
      </c>
      <c r="J2536">
        <v>1</v>
      </c>
      <c r="K2536">
        <v>0</v>
      </c>
      <c r="L2536">
        <v>1</v>
      </c>
      <c r="M2536" t="s">
        <v>1894</v>
      </c>
    </row>
    <row r="2537" spans="1:13" hidden="1" x14ac:dyDescent="0.15">
      <c r="A2537" t="s">
        <v>8072</v>
      </c>
      <c r="B2537" t="s">
        <v>8073</v>
      </c>
      <c r="C2537" t="s">
        <v>8074</v>
      </c>
      <c r="D2537" t="s">
        <v>8075</v>
      </c>
      <c r="E2537">
        <v>1</v>
      </c>
      <c r="F2537" t="str">
        <f>HYPERLINK("https://github.com/fossasia/phimpme-android/issues/59", "show")</f>
        <v>show</v>
      </c>
      <c r="G2537" t="str">
        <f>HYPERLINK("https://github.com/fossasia/phimpme-android", "show")</f>
        <v>show</v>
      </c>
      <c r="H2537" t="str">
        <f>HYPERLINK("https://github.com/fossasia/phimpme-android/releases", "show")</f>
        <v>show</v>
      </c>
      <c r="I2537">
        <v>1</v>
      </c>
      <c r="J2537">
        <v>0</v>
      </c>
      <c r="K2537">
        <v>1</v>
      </c>
      <c r="L2537">
        <v>0</v>
      </c>
      <c r="M2537" t="s">
        <v>64</v>
      </c>
    </row>
    <row r="2538" spans="1:13" hidden="1" x14ac:dyDescent="0.15">
      <c r="A2538" t="s">
        <v>8076</v>
      </c>
      <c r="B2538" t="s">
        <v>8077</v>
      </c>
      <c r="C2538" t="s">
        <v>8078</v>
      </c>
      <c r="D2538" t="s">
        <v>8075</v>
      </c>
      <c r="E2538">
        <v>42</v>
      </c>
      <c r="F2538" t="str">
        <f>HYPERLINK("https://github.com/facebook/stetho/issues/505", "show")</f>
        <v>show</v>
      </c>
      <c r="G2538" t="str">
        <f>HYPERLINK("https://github.com/facebook/stetho", "show")</f>
        <v>show</v>
      </c>
      <c r="H2538" t="str">
        <f>HYPERLINK("https://github.com/facebook/stetho/releases", "show")</f>
        <v>show</v>
      </c>
      <c r="I2538">
        <v>1</v>
      </c>
      <c r="J2538">
        <v>0</v>
      </c>
      <c r="K2538">
        <v>1</v>
      </c>
      <c r="L2538">
        <v>0</v>
      </c>
      <c r="M2538" t="s">
        <v>64</v>
      </c>
    </row>
    <row r="2539" spans="1:13" hidden="1" x14ac:dyDescent="0.15">
      <c r="A2539" t="s">
        <v>8079</v>
      </c>
      <c r="B2539" t="s">
        <v>8080</v>
      </c>
      <c r="D2539" t="s">
        <v>8075</v>
      </c>
      <c r="E2539">
        <v>1</v>
      </c>
      <c r="F2539" t="str">
        <f>HYPERLINK("https://github.com/Z3r0byte/Magis/issues/53", "show")</f>
        <v>show</v>
      </c>
      <c r="G2539" t="str">
        <f>HYPERLINK("https://github.com/Z3r0byte/Magis", "show")</f>
        <v>show</v>
      </c>
      <c r="H2539" t="str">
        <f>HYPERLINK("https://github.com/Z3r0byte/Magis/releases", "show")</f>
        <v>show</v>
      </c>
      <c r="I2539">
        <v>1</v>
      </c>
      <c r="J2539">
        <v>0</v>
      </c>
      <c r="K2539">
        <v>1</v>
      </c>
      <c r="L2539">
        <v>0</v>
      </c>
      <c r="M2539" t="s">
        <v>64</v>
      </c>
    </row>
    <row r="2540" spans="1:13" hidden="1" x14ac:dyDescent="0.15">
      <c r="A2540" t="s">
        <v>8081</v>
      </c>
      <c r="B2540" t="s">
        <v>8082</v>
      </c>
      <c r="C2540" t="s">
        <v>8083</v>
      </c>
      <c r="D2540" t="s">
        <v>8075</v>
      </c>
      <c r="E2540">
        <v>18</v>
      </c>
      <c r="F2540" t="str">
        <f>HYPERLINK("https://github.com/square/okhttp/issues/3200", "show")</f>
        <v>show</v>
      </c>
      <c r="G2540" t="str">
        <f>HYPERLINK("https://github.com/square/okhttp", "show")</f>
        <v>show</v>
      </c>
      <c r="H2540" t="str">
        <f>HYPERLINK("https://github.com/square/okhttp/releases", "show")</f>
        <v>show</v>
      </c>
      <c r="I2540">
        <v>0</v>
      </c>
      <c r="J2540">
        <v>0</v>
      </c>
      <c r="K2540">
        <v>0</v>
      </c>
      <c r="L2540">
        <v>1</v>
      </c>
      <c r="M2540" t="s">
        <v>581</v>
      </c>
    </row>
    <row r="2541" spans="1:13" hidden="1" x14ac:dyDescent="0.15">
      <c r="A2541" t="s">
        <v>8084</v>
      </c>
      <c r="B2541" t="s">
        <v>8085</v>
      </c>
      <c r="C2541" t="s">
        <v>8086</v>
      </c>
      <c r="D2541" t="s">
        <v>8087</v>
      </c>
      <c r="E2541">
        <v>3</v>
      </c>
      <c r="F2541" t="str">
        <f>HYPERLINK("https://github.com/geopaparazzi/geopaparazzi/issues/393", "show")</f>
        <v>show</v>
      </c>
      <c r="G2541" t="str">
        <f>HYPERLINK("https://github.com/geopaparazzi/geopaparazzi", "show")</f>
        <v>show</v>
      </c>
      <c r="H2541" t="str">
        <f>HYPERLINK("https://github.com/geopaparazzi/geopaparazzi/releases", "show")</f>
        <v>show</v>
      </c>
      <c r="I2541">
        <v>1</v>
      </c>
      <c r="J2541">
        <v>1</v>
      </c>
      <c r="K2541">
        <v>0</v>
      </c>
      <c r="L2541">
        <v>0</v>
      </c>
      <c r="M2541" t="s">
        <v>48</v>
      </c>
    </row>
    <row r="2542" spans="1:13" hidden="1" x14ac:dyDescent="0.15">
      <c r="A2542" t="s">
        <v>8088</v>
      </c>
      <c r="B2542" t="s">
        <v>8089</v>
      </c>
      <c r="C2542" t="s">
        <v>8090</v>
      </c>
      <c r="D2542" t="s">
        <v>8091</v>
      </c>
      <c r="E2542">
        <v>15</v>
      </c>
      <c r="F2542" t="str">
        <f>HYPERLINK("https://github.com/shymmq/librus-client/issues/104", "show")</f>
        <v>show</v>
      </c>
      <c r="G2542" t="str">
        <f>HYPERLINK("https://github.com/shymmq/librus-client", "show")</f>
        <v>show</v>
      </c>
      <c r="H2542" t="str">
        <f>HYPERLINK("https://github.com/shymmq/librus-client/releases", "show")</f>
        <v>show</v>
      </c>
      <c r="I2542">
        <v>0</v>
      </c>
      <c r="J2542">
        <v>0</v>
      </c>
      <c r="K2542">
        <v>0</v>
      </c>
      <c r="L2542">
        <v>0</v>
      </c>
      <c r="M2542" t="s">
        <v>43</v>
      </c>
    </row>
    <row r="2543" spans="1:13" hidden="1" x14ac:dyDescent="0.15">
      <c r="A2543" t="s">
        <v>8092</v>
      </c>
      <c r="B2543" t="s">
        <v>8093</v>
      </c>
      <c r="C2543" t="s">
        <v>8094</v>
      </c>
      <c r="D2543" t="s">
        <v>8091</v>
      </c>
      <c r="E2543">
        <v>4</v>
      </c>
      <c r="F2543" t="str">
        <f>HYPERLINK("https://github.com/midhunhk/trip-o-meter/issues/11", "show")</f>
        <v>show</v>
      </c>
      <c r="G2543" t="str">
        <f>HYPERLINK("https://github.com/midhunhk/trip-o-meter", "show")</f>
        <v>show</v>
      </c>
      <c r="H2543" t="str">
        <f>HYPERLINK("https://github.com/midhunhk/trip-o-meter/releases", "show")</f>
        <v>show</v>
      </c>
      <c r="I2543">
        <v>1</v>
      </c>
      <c r="J2543">
        <v>0</v>
      </c>
      <c r="K2543">
        <v>1</v>
      </c>
      <c r="L2543">
        <v>0</v>
      </c>
      <c r="M2543" t="s">
        <v>64</v>
      </c>
    </row>
    <row r="2544" spans="1:13" hidden="1" x14ac:dyDescent="0.15">
      <c r="A2544" t="s">
        <v>8095</v>
      </c>
      <c r="B2544" t="s">
        <v>8096</v>
      </c>
      <c r="C2544" t="s">
        <v>8097</v>
      </c>
      <c r="D2544" t="s">
        <v>8091</v>
      </c>
      <c r="E2544">
        <v>257</v>
      </c>
      <c r="F2544" t="str">
        <f>HYPERLINK("https://github.com/akexorcist/GoogleDirectionLibrary/issues/28", "show")</f>
        <v>show</v>
      </c>
      <c r="G2544" t="str">
        <f>HYPERLINK("https://github.com/akexorcist/GoogleDirectionLibrary", "show")</f>
        <v>show</v>
      </c>
      <c r="H2544" t="str">
        <f>HYPERLINK("https://github.com/akexorcist/GoogleDirectionLibrary/releases", "show")</f>
        <v>show</v>
      </c>
      <c r="I2544">
        <v>1</v>
      </c>
      <c r="J2544">
        <v>0</v>
      </c>
      <c r="K2544">
        <v>0</v>
      </c>
      <c r="L2544">
        <v>0</v>
      </c>
      <c r="M2544" t="s">
        <v>17</v>
      </c>
    </row>
    <row r="2545" spans="1:13" hidden="1" x14ac:dyDescent="0.15">
      <c r="A2545" t="s">
        <v>8098</v>
      </c>
      <c r="B2545" t="s">
        <v>8099</v>
      </c>
      <c r="C2545" t="s">
        <v>8100</v>
      </c>
      <c r="D2545" t="s">
        <v>8101</v>
      </c>
      <c r="E2545">
        <v>11</v>
      </c>
      <c r="F2545" t="str">
        <f>HYPERLINK("https://github.com/jacob-g/cleveland-rta-next-bus-train/issues/49", "show")</f>
        <v>show</v>
      </c>
      <c r="G2545" t="str">
        <f>HYPERLINK("https://github.com/jacob-g/cleveland-rta-next-bus-train", "show")</f>
        <v>show</v>
      </c>
      <c r="H2545" t="str">
        <f>HYPERLINK("https://github.com/jacob-g/cleveland-rta-next-bus-train/releases", "show")</f>
        <v>show</v>
      </c>
      <c r="I2545">
        <v>1</v>
      </c>
      <c r="J2545">
        <v>0</v>
      </c>
      <c r="K2545">
        <v>0</v>
      </c>
      <c r="L2545">
        <v>0</v>
      </c>
      <c r="M2545" t="s">
        <v>17</v>
      </c>
    </row>
    <row r="2546" spans="1:13" hidden="1" x14ac:dyDescent="0.15">
      <c r="A2546" t="s">
        <v>8102</v>
      </c>
      <c r="B2546" t="s">
        <v>8103</v>
      </c>
      <c r="C2546" t="s">
        <v>8104</v>
      </c>
      <c r="D2546" t="s">
        <v>8101</v>
      </c>
      <c r="E2546">
        <v>0</v>
      </c>
      <c r="F2546" t="str">
        <f>HYPERLINK("https://github.com/nextcloud/android/issues/718", "show")</f>
        <v>show</v>
      </c>
      <c r="G2546" t="str">
        <f>HYPERLINK("https://github.com/nextcloud/android", "show")</f>
        <v>show</v>
      </c>
      <c r="H2546" t="str">
        <f>HYPERLINK("https://github.com/nextcloud/android/releases", "show")</f>
        <v>show</v>
      </c>
      <c r="I2546">
        <v>1</v>
      </c>
      <c r="J2546">
        <v>0</v>
      </c>
      <c r="K2546">
        <v>0</v>
      </c>
      <c r="L2546">
        <v>0</v>
      </c>
      <c r="M2546" t="s">
        <v>17</v>
      </c>
    </row>
    <row r="2547" spans="1:13" hidden="1" x14ac:dyDescent="0.15">
      <c r="A2547" t="s">
        <v>8105</v>
      </c>
      <c r="B2547" t="s">
        <v>8106</v>
      </c>
      <c r="C2547" t="s">
        <v>8107</v>
      </c>
      <c r="D2547" t="s">
        <v>8101</v>
      </c>
      <c r="E2547">
        <v>3</v>
      </c>
      <c r="F2547" t="str">
        <f>HYPERLINK("https://github.com/midhunhk/trip-o-meter/issues/12", "show")</f>
        <v>show</v>
      </c>
      <c r="G2547" t="str">
        <f>HYPERLINK("https://github.com/midhunhk/trip-o-meter", "show")</f>
        <v>show</v>
      </c>
      <c r="H2547" t="str">
        <f>HYPERLINK("https://github.com/midhunhk/trip-o-meter/releases", "show")</f>
        <v>show</v>
      </c>
      <c r="I2547">
        <v>1</v>
      </c>
      <c r="J2547">
        <v>1</v>
      </c>
      <c r="K2547">
        <v>0</v>
      </c>
      <c r="L2547">
        <v>1</v>
      </c>
      <c r="M2547" t="s">
        <v>1894</v>
      </c>
    </row>
    <row r="2548" spans="1:13" hidden="1" x14ac:dyDescent="0.15">
      <c r="A2548" t="s">
        <v>8108</v>
      </c>
      <c r="B2548" t="s">
        <v>8109</v>
      </c>
      <c r="C2548" t="s">
        <v>8110</v>
      </c>
      <c r="D2548" t="s">
        <v>8101</v>
      </c>
      <c r="E2548">
        <v>59</v>
      </c>
      <c r="F2548" t="str">
        <f>HYPERLINK("https://github.com/nextcloud/android/issues/717", "show")</f>
        <v>show</v>
      </c>
      <c r="G2548" t="str">
        <f>HYPERLINK("https://github.com/nextcloud/android", "show")</f>
        <v>show</v>
      </c>
      <c r="H2548" t="str">
        <f>HYPERLINK("https://github.com/nextcloud/android/releases", "show")</f>
        <v>show</v>
      </c>
      <c r="I2548">
        <v>1</v>
      </c>
      <c r="J2548">
        <v>0</v>
      </c>
      <c r="K2548">
        <v>0</v>
      </c>
      <c r="L2548">
        <v>0</v>
      </c>
      <c r="M2548" t="s">
        <v>17</v>
      </c>
    </row>
    <row r="2549" spans="1:13" hidden="1" x14ac:dyDescent="0.15">
      <c r="A2549" t="s">
        <v>8111</v>
      </c>
      <c r="B2549" t="s">
        <v>8112</v>
      </c>
      <c r="C2549" t="s">
        <v>8113</v>
      </c>
      <c r="D2549" t="s">
        <v>8114</v>
      </c>
      <c r="E2549">
        <v>60</v>
      </c>
      <c r="F2549" t="str">
        <f>HYPERLINK("https://github.com/airbnb/DeepLinkDispatch/issues/163", "show")</f>
        <v>show</v>
      </c>
      <c r="G2549" t="str">
        <f>HYPERLINK("https://github.com/airbnb/DeepLinkDispatch", "show")</f>
        <v>show</v>
      </c>
      <c r="H2549" t="str">
        <f>HYPERLINK("https://github.com/airbnb/DeepLinkDispatch/releases", "show")</f>
        <v>show</v>
      </c>
      <c r="I2549">
        <v>0</v>
      </c>
      <c r="J2549">
        <v>0</v>
      </c>
      <c r="K2549">
        <v>1</v>
      </c>
      <c r="L2549">
        <v>0</v>
      </c>
      <c r="M2549" t="s">
        <v>122</v>
      </c>
    </row>
    <row r="2550" spans="1:13" hidden="1" x14ac:dyDescent="0.15">
      <c r="A2550" t="s">
        <v>8115</v>
      </c>
      <c r="B2550" t="s">
        <v>8116</v>
      </c>
      <c r="C2550" t="s">
        <v>8117</v>
      </c>
      <c r="D2550" t="s">
        <v>8114</v>
      </c>
      <c r="E2550">
        <v>3</v>
      </c>
      <c r="F2550" t="str">
        <f>HYPERLINK("https://github.com/kgehmlich/soen341-group2/issues/79", "show")</f>
        <v>show</v>
      </c>
      <c r="G2550" t="str">
        <f>HYPERLINK("https://github.com/kgehmlich/soen341-group2", "show")</f>
        <v>show</v>
      </c>
      <c r="H2550" t="str">
        <f>HYPERLINK("https://github.com/kgehmlich/soen341-group2/releases", "show")</f>
        <v>show</v>
      </c>
      <c r="I2550">
        <v>1</v>
      </c>
      <c r="J2550">
        <v>0</v>
      </c>
      <c r="K2550">
        <v>1</v>
      </c>
      <c r="L2550">
        <v>0</v>
      </c>
      <c r="M2550" t="s">
        <v>64</v>
      </c>
    </row>
    <row r="2551" spans="1:13" hidden="1" x14ac:dyDescent="0.15">
      <c r="A2551" t="s">
        <v>8118</v>
      </c>
      <c r="B2551" t="s">
        <v>8119</v>
      </c>
      <c r="C2551" t="s">
        <v>8120</v>
      </c>
      <c r="D2551" t="s">
        <v>8114</v>
      </c>
      <c r="E2551">
        <v>1011</v>
      </c>
      <c r="F2551" t="str">
        <f>HYPERLINK("https://github.com/maks/MGit/issues/119", "show")</f>
        <v>show</v>
      </c>
      <c r="G2551" t="str">
        <f>HYPERLINK("https://github.com/maks/MGit", "show")</f>
        <v>show</v>
      </c>
      <c r="H2551" t="str">
        <f>HYPERLINK("https://github.com/maks/MGit/releases", "show")</f>
        <v>show</v>
      </c>
      <c r="I2551">
        <v>1</v>
      </c>
      <c r="J2551">
        <v>0</v>
      </c>
      <c r="K2551">
        <v>0</v>
      </c>
      <c r="L2551">
        <v>0</v>
      </c>
      <c r="M2551" t="s">
        <v>17</v>
      </c>
    </row>
    <row r="2552" spans="1:13" hidden="1" x14ac:dyDescent="0.15">
      <c r="A2552" t="s">
        <v>8121</v>
      </c>
      <c r="B2552" t="s">
        <v>8122</v>
      </c>
      <c r="C2552" t="s">
        <v>8123</v>
      </c>
      <c r="D2552" t="s">
        <v>8124</v>
      </c>
      <c r="E2552">
        <v>246</v>
      </c>
      <c r="F2552" t="str">
        <f>HYPERLINK("https://github.com/nextcloud/android/issues/729", "show")</f>
        <v>show</v>
      </c>
      <c r="G2552" t="str">
        <f>HYPERLINK("https://github.com/nextcloud/android", "show")</f>
        <v>show</v>
      </c>
      <c r="H2552" t="str">
        <f>HYPERLINK("https://github.com/nextcloud/android/releases", "show")</f>
        <v>show</v>
      </c>
      <c r="I2552">
        <v>1</v>
      </c>
      <c r="J2552">
        <v>1</v>
      </c>
      <c r="K2552">
        <v>0</v>
      </c>
      <c r="L2552">
        <v>0</v>
      </c>
      <c r="M2552" t="s">
        <v>48</v>
      </c>
    </row>
    <row r="2553" spans="1:13" hidden="1" x14ac:dyDescent="0.15">
      <c r="A2553" t="s">
        <v>8125</v>
      </c>
      <c r="B2553" t="s">
        <v>8126</v>
      </c>
      <c r="C2553" t="s">
        <v>8127</v>
      </c>
      <c r="D2553" t="s">
        <v>8124</v>
      </c>
      <c r="E2553">
        <v>0</v>
      </c>
      <c r="F2553" t="str">
        <f>HYPERLINK("https://github.com/seanleavy/WiimmFiinndus/issues/6", "show")</f>
        <v>show</v>
      </c>
      <c r="G2553" t="str">
        <f>HYPERLINK("https://github.com/seanleavy/WiimmFiinndus", "show")</f>
        <v>show</v>
      </c>
      <c r="H2553" t="str">
        <f>HYPERLINK("https://github.com/seanleavy/WiimmFiinndus/releases", "show")</f>
        <v>show</v>
      </c>
      <c r="I2553">
        <v>1</v>
      </c>
      <c r="J2553">
        <v>0</v>
      </c>
      <c r="K2553">
        <v>1</v>
      </c>
      <c r="L2553">
        <v>0</v>
      </c>
      <c r="M2553" t="s">
        <v>64</v>
      </c>
    </row>
    <row r="2554" spans="1:13" hidden="1" x14ac:dyDescent="0.15">
      <c r="A2554" t="s">
        <v>8128</v>
      </c>
      <c r="B2554" t="s">
        <v>8129</v>
      </c>
      <c r="C2554" t="s">
        <v>8130</v>
      </c>
      <c r="D2554" t="s">
        <v>8124</v>
      </c>
      <c r="E2554">
        <v>3</v>
      </c>
      <c r="F2554" t="str">
        <f>HYPERLINK("https://github.com/fossasia/phimpme-android/issues/102", "show")</f>
        <v>show</v>
      </c>
      <c r="G2554" t="str">
        <f>HYPERLINK("https://github.com/fossasia/phimpme-android", "show")</f>
        <v>show</v>
      </c>
      <c r="H2554" t="str">
        <f>HYPERLINK("https://github.com/fossasia/phimpme-android/releases", "show")</f>
        <v>show</v>
      </c>
      <c r="I2554">
        <v>0</v>
      </c>
      <c r="J2554">
        <v>0</v>
      </c>
      <c r="K2554">
        <v>1</v>
      </c>
      <c r="L2554">
        <v>0</v>
      </c>
      <c r="M2554" t="s">
        <v>122</v>
      </c>
    </row>
    <row r="2555" spans="1:13" hidden="1" x14ac:dyDescent="0.15">
      <c r="A2555" t="s">
        <v>8131</v>
      </c>
      <c r="B2555" t="s">
        <v>8132</v>
      </c>
      <c r="C2555" t="s">
        <v>8133</v>
      </c>
      <c r="D2555" t="s">
        <v>8124</v>
      </c>
      <c r="E2555">
        <v>31</v>
      </c>
      <c r="F2555" t="str">
        <f>HYPERLINK("https://github.com/SCCapstone/Treepo/issues/28", "show")</f>
        <v>show</v>
      </c>
      <c r="G2555" t="str">
        <f>HYPERLINK("https://github.com/SCCapstone/Treepo", "show")</f>
        <v>show</v>
      </c>
      <c r="H2555" t="str">
        <f>HYPERLINK("https://github.com/SCCapstone/Treepo/releases", "show")</f>
        <v>show</v>
      </c>
      <c r="I2555">
        <v>0</v>
      </c>
      <c r="J2555">
        <v>0</v>
      </c>
      <c r="K2555">
        <v>0</v>
      </c>
      <c r="L2555">
        <v>1</v>
      </c>
      <c r="M2555" t="s">
        <v>581</v>
      </c>
    </row>
    <row r="2556" spans="1:13" hidden="1" x14ac:dyDescent="0.15">
      <c r="A2556" t="s">
        <v>8134</v>
      </c>
      <c r="B2556" t="s">
        <v>8135</v>
      </c>
      <c r="C2556" t="s">
        <v>8136</v>
      </c>
      <c r="D2556" t="s">
        <v>8124</v>
      </c>
      <c r="E2556">
        <v>0</v>
      </c>
      <c r="F2556" t="str">
        <f>HYPERLINK("https://github.com/timusus/Shuttle/issues/67", "show")</f>
        <v>show</v>
      </c>
      <c r="G2556" t="str">
        <f>HYPERLINK("https://github.com/timusus/Shuttle", "show")</f>
        <v>show</v>
      </c>
      <c r="H2556" t="str">
        <f>HYPERLINK("https://github.com/timusus/Shuttle/releases", "show")</f>
        <v>show</v>
      </c>
      <c r="I2556">
        <v>1</v>
      </c>
      <c r="J2556">
        <v>0</v>
      </c>
      <c r="K2556">
        <v>0</v>
      </c>
      <c r="L2556">
        <v>0</v>
      </c>
      <c r="M2556" t="s">
        <v>17</v>
      </c>
    </row>
    <row r="2557" spans="1:13" hidden="1" x14ac:dyDescent="0.15">
      <c r="A2557" t="s">
        <v>8137</v>
      </c>
      <c r="B2557" t="s">
        <v>8138</v>
      </c>
      <c r="C2557" t="s">
        <v>8139</v>
      </c>
      <c r="D2557" t="s">
        <v>8140</v>
      </c>
      <c r="E2557">
        <v>1</v>
      </c>
      <c r="F2557" t="str">
        <f>HYPERLINK("https://github.com/koral--/android-gif-drawable/issues/391", "show")</f>
        <v>show</v>
      </c>
      <c r="G2557" t="str">
        <f>HYPERLINK("https://github.com/koral--/android-gif-drawable", "show")</f>
        <v>show</v>
      </c>
      <c r="H2557" t="str">
        <f>HYPERLINK("https://github.com/koral--/android-gif-drawable/releases", "show")</f>
        <v>show</v>
      </c>
      <c r="I2557">
        <v>1</v>
      </c>
      <c r="J2557">
        <v>0</v>
      </c>
      <c r="K2557">
        <v>1</v>
      </c>
      <c r="L2557">
        <v>0</v>
      </c>
      <c r="M2557" t="s">
        <v>64</v>
      </c>
    </row>
    <row r="2558" spans="1:13" hidden="1" x14ac:dyDescent="0.15">
      <c r="A2558" t="s">
        <v>8141</v>
      </c>
      <c r="B2558" t="s">
        <v>8142</v>
      </c>
      <c r="C2558" t="s">
        <v>8143</v>
      </c>
      <c r="D2558" t="s">
        <v>8140</v>
      </c>
      <c r="E2558">
        <v>203</v>
      </c>
      <c r="F2558" t="str">
        <f>HYPERLINK("https://github.com/OCSInventory-NG/AndroidAgent/issues/17", "show")</f>
        <v>show</v>
      </c>
      <c r="G2558" t="str">
        <f>HYPERLINK("https://github.com/OCSInventory-NG/AndroidAgent", "show")</f>
        <v>show</v>
      </c>
      <c r="H2558" t="str">
        <f>HYPERLINK("https://github.com/OCSInventory-NG/AndroidAgent/releases", "show")</f>
        <v>show</v>
      </c>
      <c r="I2558">
        <v>1</v>
      </c>
      <c r="J2558">
        <v>0</v>
      </c>
      <c r="K2558">
        <v>0</v>
      </c>
      <c r="L2558">
        <v>0</v>
      </c>
      <c r="M2558" t="s">
        <v>17</v>
      </c>
    </row>
    <row r="2559" spans="1:13" hidden="1" x14ac:dyDescent="0.15">
      <c r="A2559" t="s">
        <v>8144</v>
      </c>
      <c r="B2559" t="s">
        <v>8145</v>
      </c>
      <c r="C2559" t="s">
        <v>8146</v>
      </c>
      <c r="D2559" t="s">
        <v>8140</v>
      </c>
      <c r="E2559">
        <v>14</v>
      </c>
      <c r="F2559" t="str">
        <f>HYPERLINK("https://github.com/vector-im/riot-android/issues/1007", "show")</f>
        <v>show</v>
      </c>
      <c r="G2559" t="str">
        <f>HYPERLINK("https://github.com/vector-im/riot-android", "show")</f>
        <v>show</v>
      </c>
      <c r="H2559" t="str">
        <f>HYPERLINK("https://github.com/vector-im/riot-android/releases", "show")</f>
        <v>show</v>
      </c>
      <c r="I2559">
        <v>1</v>
      </c>
      <c r="J2559">
        <v>0</v>
      </c>
      <c r="K2559">
        <v>0</v>
      </c>
      <c r="L2559">
        <v>0</v>
      </c>
      <c r="M2559" t="s">
        <v>17</v>
      </c>
    </row>
    <row r="2560" spans="1:13" hidden="1" x14ac:dyDescent="0.15">
      <c r="A2560" t="s">
        <v>8147</v>
      </c>
      <c r="B2560" t="s">
        <v>8148</v>
      </c>
      <c r="C2560" t="s">
        <v>8149</v>
      </c>
      <c r="D2560" t="s">
        <v>8150</v>
      </c>
      <c r="E2560">
        <v>117</v>
      </c>
      <c r="F2560" t="str">
        <f>HYPERLINK("https://github.com/Ekalips/ExpandableCardViewList/issues/1", "show")</f>
        <v>show</v>
      </c>
      <c r="G2560" t="str">
        <f>HYPERLINK("https://github.com/Ekalips/ExpandableCardViewList", "show")</f>
        <v>show</v>
      </c>
      <c r="H2560" t="str">
        <f>HYPERLINK("https://github.com/Ekalips/ExpandableCardViewList/releases", "show")</f>
        <v>show</v>
      </c>
      <c r="I2560">
        <v>1</v>
      </c>
      <c r="J2560">
        <v>0</v>
      </c>
      <c r="K2560">
        <v>1</v>
      </c>
      <c r="L2560">
        <v>0</v>
      </c>
      <c r="M2560" t="s">
        <v>64</v>
      </c>
    </row>
    <row r="2561" spans="1:13" hidden="1" x14ac:dyDescent="0.15">
      <c r="A2561" t="s">
        <v>8151</v>
      </c>
      <c r="B2561" t="s">
        <v>8152</v>
      </c>
      <c r="C2561" t="s">
        <v>8153</v>
      </c>
      <c r="D2561" t="s">
        <v>8154</v>
      </c>
      <c r="E2561">
        <v>0</v>
      </c>
      <c r="F2561" t="str">
        <f>HYPERLINK("https://github.com/arunkumar9t2/lynket-browser/issues/17", "show")</f>
        <v>show</v>
      </c>
      <c r="G2561" t="str">
        <f>HYPERLINK("https://github.com/arunkumar9t2/lynket-browser", "show")</f>
        <v>show</v>
      </c>
      <c r="H2561" t="str">
        <f>HYPERLINK("https://github.com/arunkumar9t2/lynket-browser/releases", "show")</f>
        <v>show</v>
      </c>
      <c r="I2561">
        <v>1</v>
      </c>
      <c r="J2561">
        <v>0</v>
      </c>
      <c r="K2561">
        <v>0</v>
      </c>
      <c r="L2561">
        <v>0</v>
      </c>
      <c r="M2561" t="s">
        <v>17</v>
      </c>
    </row>
    <row r="2562" spans="1:13" hidden="1" x14ac:dyDescent="0.15">
      <c r="A2562" t="s">
        <v>8155</v>
      </c>
      <c r="B2562" t="s">
        <v>8156</v>
      </c>
      <c r="C2562" t="s">
        <v>8157</v>
      </c>
      <c r="D2562" t="s">
        <v>8154</v>
      </c>
      <c r="E2562">
        <v>0</v>
      </c>
      <c r="F2562" t="str">
        <f>HYPERLINK("https://github.com/arunkumar9t2/lynket-browser/issues/16", "show")</f>
        <v>show</v>
      </c>
      <c r="G2562" t="str">
        <f>HYPERLINK("https://github.com/arunkumar9t2/lynket-browser", "show")</f>
        <v>show</v>
      </c>
      <c r="H2562" t="str">
        <f>HYPERLINK("https://github.com/arunkumar9t2/lynket-browser/releases", "show")</f>
        <v>show</v>
      </c>
      <c r="I2562">
        <v>0</v>
      </c>
      <c r="J2562">
        <v>0</v>
      </c>
      <c r="K2562">
        <v>0</v>
      </c>
      <c r="L2562">
        <v>0</v>
      </c>
      <c r="M2562" t="s">
        <v>43</v>
      </c>
    </row>
    <row r="2563" spans="1:13" hidden="1" x14ac:dyDescent="0.15">
      <c r="A2563" t="s">
        <v>8158</v>
      </c>
      <c r="B2563" t="s">
        <v>8159</v>
      </c>
      <c r="C2563" t="s">
        <v>8160</v>
      </c>
      <c r="D2563" t="s">
        <v>8161</v>
      </c>
      <c r="E2563">
        <v>2</v>
      </c>
      <c r="F2563" t="str">
        <f>HYPERLINK("https://github.com/commons-app/apps-android-commons/issues/429", "show")</f>
        <v>show</v>
      </c>
      <c r="G2563" t="str">
        <f>HYPERLINK("https://github.com/commons-app/apps-android-commons", "show")</f>
        <v>show</v>
      </c>
      <c r="H2563" t="str">
        <f>HYPERLINK("https://github.com/commons-app/apps-android-commons/releases", "show")</f>
        <v>show</v>
      </c>
      <c r="I2563">
        <v>1</v>
      </c>
      <c r="J2563">
        <v>0</v>
      </c>
      <c r="K2563">
        <v>1</v>
      </c>
      <c r="L2563">
        <v>0</v>
      </c>
      <c r="M2563" t="s">
        <v>64</v>
      </c>
    </row>
    <row r="2564" spans="1:13" hidden="1" x14ac:dyDescent="0.15">
      <c r="A2564" t="s">
        <v>8162</v>
      </c>
      <c r="B2564" t="s">
        <v>8163</v>
      </c>
      <c r="C2564" t="s">
        <v>8164</v>
      </c>
      <c r="D2564" t="s">
        <v>8165</v>
      </c>
      <c r="E2564">
        <v>24</v>
      </c>
      <c r="F2564" t="str">
        <f>HYPERLINK("https://github.com/czyzby/gdx-lml/issues/53", "show")</f>
        <v>show</v>
      </c>
      <c r="G2564" t="str">
        <f>HYPERLINK("https://github.com/czyzby/gdx-lml", "show")</f>
        <v>show</v>
      </c>
      <c r="H2564" t="str">
        <f>HYPERLINK("https://github.com/czyzby/gdx-lml/releases", "show")</f>
        <v>show</v>
      </c>
      <c r="I2564">
        <v>1</v>
      </c>
      <c r="J2564">
        <v>0</v>
      </c>
      <c r="K2564">
        <v>0</v>
      </c>
      <c r="L2564">
        <v>0</v>
      </c>
      <c r="M2564" t="s">
        <v>17</v>
      </c>
    </row>
    <row r="2565" spans="1:13" hidden="1" x14ac:dyDescent="0.15">
      <c r="A2565" t="s">
        <v>8166</v>
      </c>
      <c r="B2565" t="s">
        <v>8167</v>
      </c>
      <c r="C2565" t="s">
        <v>8168</v>
      </c>
      <c r="D2565" t="s">
        <v>8165</v>
      </c>
      <c r="E2565">
        <v>101</v>
      </c>
      <c r="F2565" t="str">
        <f>HYPERLINK("https://github.com/nextcloud/android/issues/738", "show")</f>
        <v>show</v>
      </c>
      <c r="G2565" t="str">
        <f>HYPERLINK("https://github.com/nextcloud/android", "show")</f>
        <v>show</v>
      </c>
      <c r="H2565" t="str">
        <f>HYPERLINK("https://github.com/nextcloud/android/releases", "show")</f>
        <v>show</v>
      </c>
      <c r="I2565">
        <v>0</v>
      </c>
      <c r="J2565">
        <v>0</v>
      </c>
      <c r="K2565">
        <v>1</v>
      </c>
      <c r="L2565">
        <v>0</v>
      </c>
      <c r="M2565" t="s">
        <v>122</v>
      </c>
    </row>
    <row r="2566" spans="1:13" hidden="1" x14ac:dyDescent="0.15">
      <c r="A2566" t="s">
        <v>8169</v>
      </c>
      <c r="B2566" t="s">
        <v>8170</v>
      </c>
      <c r="D2566" t="s">
        <v>8171</v>
      </c>
      <c r="E2566">
        <v>1</v>
      </c>
      <c r="F2566" t="str">
        <f>HYPERLINK("https://github.com/emoncms/AndroidApp/issues/19", "show")</f>
        <v>show</v>
      </c>
      <c r="G2566" t="str">
        <f>HYPERLINK("https://github.com/emoncms/AndroidApp", "show")</f>
        <v>show</v>
      </c>
      <c r="H2566" t="str">
        <f>HYPERLINK("https://github.com/emoncms/AndroidApp/releases", "show")</f>
        <v>show</v>
      </c>
      <c r="I2566">
        <v>1</v>
      </c>
      <c r="J2566">
        <v>0</v>
      </c>
      <c r="K2566">
        <v>0</v>
      </c>
      <c r="L2566">
        <v>0</v>
      </c>
      <c r="M2566" t="s">
        <v>17</v>
      </c>
    </row>
    <row r="2567" spans="1:13" hidden="1" x14ac:dyDescent="0.15">
      <c r="A2567" t="s">
        <v>8172</v>
      </c>
      <c r="B2567" t="s">
        <v>8173</v>
      </c>
      <c r="D2567" t="s">
        <v>8171</v>
      </c>
      <c r="E2567">
        <v>1</v>
      </c>
      <c r="F2567" t="str">
        <f>HYPERLINK("https://github.com/emoncms/AndroidApp/issues/18", "show")</f>
        <v>show</v>
      </c>
      <c r="G2567" t="str">
        <f>HYPERLINK("https://github.com/emoncms/AndroidApp", "show")</f>
        <v>show</v>
      </c>
      <c r="H2567" t="str">
        <f>HYPERLINK("https://github.com/emoncms/AndroidApp/releases", "show")</f>
        <v>show</v>
      </c>
      <c r="I2567">
        <v>1</v>
      </c>
      <c r="J2567">
        <v>0</v>
      </c>
      <c r="K2567">
        <v>0</v>
      </c>
      <c r="L2567">
        <v>0</v>
      </c>
      <c r="M2567" t="s">
        <v>17</v>
      </c>
    </row>
    <row r="2568" spans="1:13" hidden="1" x14ac:dyDescent="0.15">
      <c r="A2568" t="s">
        <v>8174</v>
      </c>
      <c r="B2568" t="s">
        <v>8175</v>
      </c>
      <c r="C2568" t="s">
        <v>8176</v>
      </c>
      <c r="D2568" t="s">
        <v>8171</v>
      </c>
      <c r="E2568">
        <v>0</v>
      </c>
      <c r="F2568" t="str">
        <f>HYPERLINK("https://github.com/cross-border-bridge/data-bus-android/issues/2", "show")</f>
        <v>show</v>
      </c>
      <c r="G2568" t="str">
        <f>HYPERLINK("https://github.com/cross-border-bridge/data-bus-android", "show")</f>
        <v>show</v>
      </c>
      <c r="H2568" t="str">
        <f>HYPERLINK("https://github.com/cross-border-bridge/data-bus-android/releases", "show")</f>
        <v>show</v>
      </c>
      <c r="I2568">
        <v>1</v>
      </c>
      <c r="J2568">
        <v>0</v>
      </c>
      <c r="K2568">
        <v>0</v>
      </c>
      <c r="L2568">
        <v>0</v>
      </c>
      <c r="M2568" t="s">
        <v>17</v>
      </c>
    </row>
    <row r="2569" spans="1:13" hidden="1" x14ac:dyDescent="0.15">
      <c r="A2569" t="s">
        <v>8177</v>
      </c>
      <c r="B2569" t="s">
        <v>8178</v>
      </c>
      <c r="C2569" t="s">
        <v>8179</v>
      </c>
      <c r="D2569" t="s">
        <v>8171</v>
      </c>
      <c r="E2569">
        <v>953</v>
      </c>
      <c r="F2569" t="str">
        <f>HYPERLINK("https://github.com/twilio/video-quickstart-android/issues/80", "show")</f>
        <v>show</v>
      </c>
      <c r="G2569" t="str">
        <f>HYPERLINK("https://github.com/twilio/video-quickstart-android", "show")</f>
        <v>show</v>
      </c>
      <c r="H2569" t="str">
        <f>HYPERLINK("https://github.com/twilio/video-quickstart-android/releases", "show")</f>
        <v>show</v>
      </c>
      <c r="I2569">
        <v>0</v>
      </c>
      <c r="J2569">
        <v>0</v>
      </c>
      <c r="K2569">
        <v>0</v>
      </c>
      <c r="L2569">
        <v>0</v>
      </c>
      <c r="M2569" t="s">
        <v>43</v>
      </c>
    </row>
    <row r="2570" spans="1:13" hidden="1" x14ac:dyDescent="0.15">
      <c r="A2570" t="s">
        <v>8180</v>
      </c>
      <c r="B2570" t="s">
        <v>8181</v>
      </c>
      <c r="C2570" t="s">
        <v>8182</v>
      </c>
      <c r="D2570" t="s">
        <v>8171</v>
      </c>
      <c r="E2570">
        <v>1</v>
      </c>
      <c r="F2570" t="str">
        <f>HYPERLINK("https://github.com/KeepSafe/TapTargetView/issues/146", "show")</f>
        <v>show</v>
      </c>
      <c r="G2570" t="str">
        <f>HYPERLINK("https://github.com/KeepSafe/TapTargetView", "show")</f>
        <v>show</v>
      </c>
      <c r="H2570" t="str">
        <f>HYPERLINK("https://github.com/KeepSafe/TapTargetView/releases", "show")</f>
        <v>show</v>
      </c>
      <c r="I2570">
        <v>0</v>
      </c>
      <c r="J2570">
        <v>0</v>
      </c>
      <c r="K2570">
        <v>0</v>
      </c>
      <c r="L2570">
        <v>0</v>
      </c>
      <c r="M2570" t="s">
        <v>43</v>
      </c>
    </row>
    <row r="2571" spans="1:13" hidden="1" x14ac:dyDescent="0.15">
      <c r="A2571" t="s">
        <v>8183</v>
      </c>
      <c r="B2571" t="s">
        <v>4871</v>
      </c>
      <c r="C2571" t="s">
        <v>504</v>
      </c>
      <c r="D2571" t="s">
        <v>8184</v>
      </c>
      <c r="E2571">
        <v>352</v>
      </c>
      <c r="F2571" t="str">
        <f>HYPERLINK("https://github.com/tanrabad/survey/issues/17", "show")</f>
        <v>show</v>
      </c>
      <c r="G2571" t="str">
        <f>HYPERLINK("https://github.com/tanrabad/survey", "show")</f>
        <v>show</v>
      </c>
      <c r="H2571" t="str">
        <f>HYPERLINK("https://github.com/tanrabad/survey/releases", "show")</f>
        <v>show</v>
      </c>
      <c r="I2571">
        <v>1</v>
      </c>
      <c r="J2571">
        <v>0</v>
      </c>
      <c r="K2571">
        <v>0</v>
      </c>
      <c r="L2571">
        <v>0</v>
      </c>
      <c r="M2571" t="s">
        <v>17</v>
      </c>
    </row>
    <row r="2572" spans="1:13" hidden="1" x14ac:dyDescent="0.15">
      <c r="A2572" t="s">
        <v>8185</v>
      </c>
      <c r="B2572" t="s">
        <v>8186</v>
      </c>
      <c r="C2572" t="s">
        <v>8187</v>
      </c>
      <c r="D2572" t="s">
        <v>8188</v>
      </c>
      <c r="E2572">
        <v>1</v>
      </c>
      <c r="F2572" t="str">
        <f>HYPERLINK("https://github.com/getodk/collect/issues/651", "show")</f>
        <v>show</v>
      </c>
      <c r="G2572" t="str">
        <f>HYPERLINK("https://github.com/getodk/collect", "show")</f>
        <v>show</v>
      </c>
      <c r="H2572" t="str">
        <f>HYPERLINK("https://github.com/getodk/collect/releases", "show")</f>
        <v>show</v>
      </c>
      <c r="I2572">
        <v>1</v>
      </c>
      <c r="J2572">
        <v>1</v>
      </c>
      <c r="K2572">
        <v>1</v>
      </c>
      <c r="L2572">
        <v>0</v>
      </c>
      <c r="M2572" t="s">
        <v>59</v>
      </c>
    </row>
    <row r="2573" spans="1:13" hidden="1" x14ac:dyDescent="0.15">
      <c r="A2573" t="s">
        <v>8189</v>
      </c>
      <c r="B2573" t="s">
        <v>8190</v>
      </c>
      <c r="C2573" t="s">
        <v>8191</v>
      </c>
      <c r="D2573" t="s">
        <v>8188</v>
      </c>
      <c r="E2573">
        <v>410</v>
      </c>
      <c r="F2573" t="str">
        <f>HYPERLINK("https://github.com/twilio/video-quickstart-android/issues/82", "show")</f>
        <v>show</v>
      </c>
      <c r="G2573" t="str">
        <f>HYPERLINK("https://github.com/twilio/video-quickstart-android", "show")</f>
        <v>show</v>
      </c>
      <c r="H2573" t="str">
        <f>HYPERLINK("https://github.com/twilio/video-quickstart-android/releases", "show")</f>
        <v>show</v>
      </c>
      <c r="I2573">
        <v>1</v>
      </c>
      <c r="J2573">
        <v>0</v>
      </c>
      <c r="K2573">
        <v>1</v>
      </c>
      <c r="L2573">
        <v>0</v>
      </c>
      <c r="M2573" t="s">
        <v>64</v>
      </c>
    </row>
    <row r="2574" spans="1:13" hidden="1" x14ac:dyDescent="0.15">
      <c r="A2574" t="s">
        <v>8192</v>
      </c>
      <c r="B2574" t="s">
        <v>8193</v>
      </c>
      <c r="C2574" t="s">
        <v>8194</v>
      </c>
      <c r="D2574" t="s">
        <v>8188</v>
      </c>
      <c r="E2574">
        <v>7</v>
      </c>
      <c r="F2574" t="str">
        <f>HYPERLINK("https://github.com/evernote/android-job/issues/153", "show")</f>
        <v>show</v>
      </c>
      <c r="G2574" t="str">
        <f>HYPERLINK("https://github.com/evernote/android-job", "show")</f>
        <v>show</v>
      </c>
      <c r="H2574" t="str">
        <f>HYPERLINK("https://github.com/evernote/android-job/releases", "show")</f>
        <v>show</v>
      </c>
      <c r="I2574">
        <v>0</v>
      </c>
      <c r="J2574">
        <v>0</v>
      </c>
      <c r="K2574">
        <v>0</v>
      </c>
      <c r="L2574">
        <v>0</v>
      </c>
      <c r="M2574" t="s">
        <v>43</v>
      </c>
    </row>
    <row r="2575" spans="1:13" hidden="1" x14ac:dyDescent="0.15">
      <c r="A2575" t="s">
        <v>8195</v>
      </c>
      <c r="B2575" t="s">
        <v>8196</v>
      </c>
      <c r="C2575" t="s">
        <v>8197</v>
      </c>
      <c r="D2575" t="s">
        <v>8188</v>
      </c>
      <c r="E2575">
        <v>11</v>
      </c>
      <c r="F2575" t="str">
        <f>HYPERLINK("https://github.com/Cloudkibo/Android/issues/543", "show")</f>
        <v>show</v>
      </c>
      <c r="G2575" t="str">
        <f>HYPERLINK("https://github.com/Cloudkibo/Android", "show")</f>
        <v>show</v>
      </c>
      <c r="H2575" t="str">
        <f>HYPERLINK("https://github.com/Cloudkibo/Android/releases", "show")</f>
        <v>show</v>
      </c>
      <c r="I2575">
        <v>0</v>
      </c>
      <c r="J2575">
        <v>1</v>
      </c>
      <c r="K2575">
        <v>0</v>
      </c>
      <c r="L2575">
        <v>1</v>
      </c>
      <c r="M2575" t="s">
        <v>1732</v>
      </c>
    </row>
    <row r="2576" spans="1:13" hidden="1" x14ac:dyDescent="0.15">
      <c r="A2576" t="s">
        <v>8198</v>
      </c>
      <c r="B2576" t="s">
        <v>8199</v>
      </c>
      <c r="C2576" t="s">
        <v>8200</v>
      </c>
      <c r="D2576" t="s">
        <v>8201</v>
      </c>
      <c r="E2576">
        <v>11</v>
      </c>
      <c r="F2576" t="str">
        <f>HYPERLINK("https://github.com/UNFPAInnovation/GetIn_Mobile/issues/57", "show")</f>
        <v>show</v>
      </c>
      <c r="G2576" t="str">
        <f>HYPERLINK("https://github.com/UNFPAInnovation/GetIn_Mobile", "show")</f>
        <v>show</v>
      </c>
      <c r="H2576" t="str">
        <f>HYPERLINK("https://github.com/UNFPAInnovation/GetIn_Mobile/releases", "show")</f>
        <v>show</v>
      </c>
      <c r="I2576">
        <v>0</v>
      </c>
      <c r="J2576">
        <v>0</v>
      </c>
      <c r="K2576">
        <v>0</v>
      </c>
      <c r="L2576">
        <v>0</v>
      </c>
      <c r="M2576" t="s">
        <v>43</v>
      </c>
    </row>
    <row r="2577" spans="1:13" hidden="1" x14ac:dyDescent="0.15">
      <c r="A2577" t="s">
        <v>8202</v>
      </c>
      <c r="B2577" t="s">
        <v>8203</v>
      </c>
      <c r="C2577" t="s">
        <v>8204</v>
      </c>
      <c r="D2577" t="s">
        <v>8201</v>
      </c>
      <c r="E2577">
        <v>642</v>
      </c>
      <c r="F2577" t="str">
        <f>HYPERLINK("https://github.com/react-native-camera/react-native-camera/issues/632", "show")</f>
        <v>show</v>
      </c>
      <c r="G2577" t="str">
        <f>HYPERLINK("https://github.com/react-native-camera/react-native-camera", "show")</f>
        <v>show</v>
      </c>
      <c r="H2577" t="str">
        <f>HYPERLINK("https://github.com/react-native-camera/react-native-camera/releases", "show")</f>
        <v>show</v>
      </c>
      <c r="I2577">
        <v>1</v>
      </c>
      <c r="J2577">
        <v>0</v>
      </c>
      <c r="K2577">
        <v>0</v>
      </c>
      <c r="L2577">
        <v>0</v>
      </c>
      <c r="M2577" t="s">
        <v>17</v>
      </c>
    </row>
    <row r="2578" spans="1:13" hidden="1" x14ac:dyDescent="0.15">
      <c r="A2578" t="s">
        <v>8205</v>
      </c>
      <c r="B2578" t="s">
        <v>8206</v>
      </c>
      <c r="C2578" t="s">
        <v>8207</v>
      </c>
      <c r="D2578" t="s">
        <v>8201</v>
      </c>
      <c r="E2578">
        <v>1237</v>
      </c>
      <c r="F2578" t="str">
        <f>HYPERLINK("https://github.com/ubergeek42/weechat-android/issues/345", "show")</f>
        <v>show</v>
      </c>
      <c r="G2578" t="str">
        <f>HYPERLINK("https://github.com/ubergeek42/weechat-android", "show")</f>
        <v>show</v>
      </c>
      <c r="H2578" t="str">
        <f>HYPERLINK("https://github.com/ubergeek42/weechat-android/releases", "show")</f>
        <v>show</v>
      </c>
      <c r="I2578">
        <v>1</v>
      </c>
      <c r="J2578">
        <v>0</v>
      </c>
      <c r="K2578">
        <v>0</v>
      </c>
      <c r="L2578">
        <v>0</v>
      </c>
      <c r="M2578" t="s">
        <v>17</v>
      </c>
    </row>
    <row r="2579" spans="1:13" hidden="1" x14ac:dyDescent="0.15">
      <c r="A2579" t="s">
        <v>8208</v>
      </c>
      <c r="B2579" t="s">
        <v>4871</v>
      </c>
      <c r="C2579" t="s">
        <v>504</v>
      </c>
      <c r="D2579" t="s">
        <v>8201</v>
      </c>
      <c r="E2579">
        <v>350</v>
      </c>
      <c r="F2579" t="str">
        <f>HYPERLINK("https://github.com/tanrabad/survey/issues/18", "show")</f>
        <v>show</v>
      </c>
      <c r="G2579" t="str">
        <f>HYPERLINK("https://github.com/tanrabad/survey", "show")</f>
        <v>show</v>
      </c>
      <c r="H2579" t="str">
        <f>HYPERLINK("https://github.com/tanrabad/survey/releases", "show")</f>
        <v>show</v>
      </c>
      <c r="I2579">
        <v>1</v>
      </c>
      <c r="J2579">
        <v>0</v>
      </c>
      <c r="K2579">
        <v>0</v>
      </c>
      <c r="L2579">
        <v>0</v>
      </c>
      <c r="M2579" t="s">
        <v>17</v>
      </c>
    </row>
    <row r="2580" spans="1:13" hidden="1" x14ac:dyDescent="0.15">
      <c r="A2580" t="s">
        <v>8209</v>
      </c>
      <c r="B2580" t="s">
        <v>8210</v>
      </c>
      <c r="C2580" t="s">
        <v>8211</v>
      </c>
      <c r="D2580" t="s">
        <v>8212</v>
      </c>
      <c r="E2580">
        <v>0</v>
      </c>
      <c r="F2580" t="str">
        <f>HYPERLINK("https://github.com/Freeyourgadget/Gadgetbridge/issues/603", "show")</f>
        <v>show</v>
      </c>
      <c r="G2580" t="str">
        <f>HYPERLINK("https://github.com/Freeyourgadget/Gadgetbridge", "show")</f>
        <v>show</v>
      </c>
      <c r="H2580" t="str">
        <f>HYPERLINK("https://github.com/Freeyourgadget/Gadgetbridge/releases", "show")</f>
        <v>show</v>
      </c>
      <c r="I2580">
        <v>1</v>
      </c>
      <c r="J2580">
        <v>1</v>
      </c>
      <c r="K2580">
        <v>0</v>
      </c>
      <c r="L2580">
        <v>0</v>
      </c>
      <c r="M2580" t="s">
        <v>48</v>
      </c>
    </row>
    <row r="2581" spans="1:13" hidden="1" x14ac:dyDescent="0.15">
      <c r="A2581" t="s">
        <v>8213</v>
      </c>
      <c r="B2581" t="s">
        <v>8214</v>
      </c>
      <c r="C2581" t="s">
        <v>504</v>
      </c>
      <c r="D2581" t="s">
        <v>8212</v>
      </c>
      <c r="E2581">
        <v>1128</v>
      </c>
      <c r="F2581" t="str">
        <f>HYPERLINK("https://github.com/BaseballCardTracker/bbct-android/issues/412", "show")</f>
        <v>show</v>
      </c>
      <c r="G2581" t="str">
        <f>HYPERLINK("https://github.com/BaseballCardTracker/bbct-android", "show")</f>
        <v>show</v>
      </c>
      <c r="H2581" t="str">
        <f>HYPERLINK("https://github.com/BaseballCardTracker/bbct-android/releases", "show")</f>
        <v>show</v>
      </c>
      <c r="I2581">
        <v>1</v>
      </c>
      <c r="J2581">
        <v>0</v>
      </c>
      <c r="K2581">
        <v>0</v>
      </c>
      <c r="L2581">
        <v>0</v>
      </c>
      <c r="M2581" t="s">
        <v>17</v>
      </c>
    </row>
    <row r="2582" spans="1:13" hidden="1" x14ac:dyDescent="0.15">
      <c r="A2582" t="s">
        <v>8215</v>
      </c>
      <c r="B2582" t="s">
        <v>8216</v>
      </c>
      <c r="D2582" t="s">
        <v>8217</v>
      </c>
      <c r="E2582">
        <v>0</v>
      </c>
      <c r="F2582" t="str">
        <f>HYPERLINK("https://github.com/dmallcott/photo-inspiration/issues/16", "show")</f>
        <v>show</v>
      </c>
      <c r="G2582" t="str">
        <f>HYPERLINK("https://github.com/dmallcott/photo-inspiration", "show")</f>
        <v>show</v>
      </c>
      <c r="H2582" t="str">
        <f>HYPERLINK("https://github.com/dmallcott/photo-inspiration/releases", "show")</f>
        <v>show</v>
      </c>
      <c r="I2582">
        <v>1</v>
      </c>
      <c r="J2582">
        <v>0</v>
      </c>
      <c r="K2582">
        <v>0</v>
      </c>
      <c r="L2582">
        <v>0</v>
      </c>
      <c r="M2582" t="s">
        <v>17</v>
      </c>
    </row>
    <row r="2583" spans="1:13" hidden="1" x14ac:dyDescent="0.15">
      <c r="A2583" t="s">
        <v>8218</v>
      </c>
      <c r="B2583" t="s">
        <v>8219</v>
      </c>
      <c r="C2583" t="s">
        <v>8220</v>
      </c>
      <c r="D2583" t="s">
        <v>8217</v>
      </c>
      <c r="E2583">
        <v>55</v>
      </c>
      <c r="F2583" t="str">
        <f>HYPERLINK("https://github.com/fossasia/phimpme-android/issues/200", "show")</f>
        <v>show</v>
      </c>
      <c r="G2583" t="str">
        <f>HYPERLINK("https://github.com/fossasia/phimpme-android", "show")</f>
        <v>show</v>
      </c>
      <c r="H2583" t="str">
        <f>HYPERLINK("https://github.com/fossasia/phimpme-android/releases", "show")</f>
        <v>show</v>
      </c>
      <c r="I2583">
        <v>0</v>
      </c>
      <c r="J2583">
        <v>1</v>
      </c>
      <c r="K2583">
        <v>0</v>
      </c>
      <c r="L2583">
        <v>1</v>
      </c>
      <c r="M2583" t="s">
        <v>1732</v>
      </c>
    </row>
    <row r="2584" spans="1:13" hidden="1" x14ac:dyDescent="0.15">
      <c r="A2584" t="s">
        <v>8221</v>
      </c>
      <c r="B2584" t="s">
        <v>8222</v>
      </c>
      <c r="C2584" t="s">
        <v>8223</v>
      </c>
      <c r="D2584" t="s">
        <v>8217</v>
      </c>
      <c r="E2584">
        <v>24</v>
      </c>
      <c r="F2584" t="str">
        <f>HYPERLINK("https://github.com/getodk/collect/issues/709", "show")</f>
        <v>show</v>
      </c>
      <c r="G2584" t="str">
        <f>HYPERLINK("https://github.com/getodk/collect", "show")</f>
        <v>show</v>
      </c>
      <c r="H2584" t="str">
        <f>HYPERLINK("https://github.com/getodk/collect/releases", "show")</f>
        <v>show</v>
      </c>
      <c r="I2584">
        <v>1</v>
      </c>
      <c r="J2584">
        <v>0</v>
      </c>
      <c r="K2584">
        <v>1</v>
      </c>
      <c r="L2584">
        <v>0</v>
      </c>
      <c r="M2584" t="s">
        <v>64</v>
      </c>
    </row>
    <row r="2585" spans="1:13" hidden="1" x14ac:dyDescent="0.15">
      <c r="A2585" t="s">
        <v>8224</v>
      </c>
      <c r="B2585" t="s">
        <v>8225</v>
      </c>
      <c r="C2585" t="s">
        <v>8226</v>
      </c>
      <c r="D2585" t="s">
        <v>8217</v>
      </c>
      <c r="E2585">
        <v>579</v>
      </c>
      <c r="F2585" t="str">
        <f>HYPERLINK("https://github.com/getodk/collect/issues/705", "show")</f>
        <v>show</v>
      </c>
      <c r="G2585" t="str">
        <f>HYPERLINK("https://github.com/getodk/collect", "show")</f>
        <v>show</v>
      </c>
      <c r="H2585" t="str">
        <f>HYPERLINK("https://github.com/getodk/collect/releases", "show")</f>
        <v>show</v>
      </c>
      <c r="I2585">
        <v>1</v>
      </c>
      <c r="J2585">
        <v>1</v>
      </c>
      <c r="K2585">
        <v>1</v>
      </c>
      <c r="L2585">
        <v>0</v>
      </c>
      <c r="M2585" t="s">
        <v>59</v>
      </c>
    </row>
    <row r="2586" spans="1:13" hidden="1" x14ac:dyDescent="0.15">
      <c r="A2586" t="s">
        <v>8227</v>
      </c>
      <c r="B2586" t="s">
        <v>8228</v>
      </c>
      <c r="C2586" t="s">
        <v>8229</v>
      </c>
      <c r="D2586" t="s">
        <v>8217</v>
      </c>
      <c r="E2586">
        <v>16</v>
      </c>
      <c r="F2586" t="str">
        <f>HYPERLINK("https://github.com/fossasia/phimpme-android/issues/183", "show")</f>
        <v>show</v>
      </c>
      <c r="G2586" t="str">
        <f>HYPERLINK("https://github.com/fossasia/phimpme-android", "show")</f>
        <v>show</v>
      </c>
      <c r="H2586" t="str">
        <f>HYPERLINK("https://github.com/fossasia/phimpme-android/releases", "show")</f>
        <v>show</v>
      </c>
      <c r="I2586">
        <v>0</v>
      </c>
      <c r="J2586">
        <v>0</v>
      </c>
      <c r="K2586">
        <v>0</v>
      </c>
      <c r="L2586">
        <v>0</v>
      </c>
      <c r="M2586" t="s">
        <v>43</v>
      </c>
    </row>
    <row r="2587" spans="1:13" hidden="1" x14ac:dyDescent="0.15">
      <c r="A2587" t="s">
        <v>8230</v>
      </c>
      <c r="B2587" t="s">
        <v>8231</v>
      </c>
      <c r="C2587" t="s">
        <v>8232</v>
      </c>
      <c r="D2587" t="s">
        <v>8217</v>
      </c>
      <c r="E2587">
        <v>36</v>
      </c>
      <c r="F2587" t="str">
        <f>HYPERLINK("https://github.com/QuadFlask/colorpicker/issues/74", "show")</f>
        <v>show</v>
      </c>
      <c r="G2587" t="str">
        <f>HYPERLINK("https://github.com/QuadFlask/colorpicker", "show")</f>
        <v>show</v>
      </c>
      <c r="H2587" t="str">
        <f>HYPERLINK("https://github.com/QuadFlask/colorpicker/releases", "show")</f>
        <v>show</v>
      </c>
      <c r="I2587">
        <v>0</v>
      </c>
      <c r="J2587">
        <v>0</v>
      </c>
      <c r="K2587">
        <v>0</v>
      </c>
      <c r="L2587">
        <v>0</v>
      </c>
      <c r="M2587" t="s">
        <v>43</v>
      </c>
    </row>
    <row r="2588" spans="1:13" hidden="1" x14ac:dyDescent="0.15">
      <c r="A2588" t="s">
        <v>8233</v>
      </c>
      <c r="B2588" t="s">
        <v>8234</v>
      </c>
      <c r="C2588" t="s">
        <v>8235</v>
      </c>
      <c r="D2588" t="s">
        <v>8236</v>
      </c>
      <c r="E2588">
        <v>2</v>
      </c>
      <c r="F2588" t="str">
        <f>HYPERLINK("https://github.com/danimahardhika/candybar-library/issues/36", "show")</f>
        <v>show</v>
      </c>
      <c r="G2588" t="str">
        <f>HYPERLINK("https://github.com/danimahardhika/candybar-library", "show")</f>
        <v>show</v>
      </c>
      <c r="H2588" t="str">
        <f>HYPERLINK("https://github.com/danimahardhika/candybar-library/releases", "show")</f>
        <v>show</v>
      </c>
      <c r="I2588">
        <v>1</v>
      </c>
      <c r="J2588">
        <v>0</v>
      </c>
      <c r="K2588">
        <v>0</v>
      </c>
      <c r="L2588">
        <v>0</v>
      </c>
      <c r="M2588" t="s">
        <v>17</v>
      </c>
    </row>
    <row r="2589" spans="1:13" hidden="1" x14ac:dyDescent="0.15">
      <c r="A2589" t="s">
        <v>8237</v>
      </c>
      <c r="B2589" t="s">
        <v>8238</v>
      </c>
      <c r="C2589" t="s">
        <v>8239</v>
      </c>
      <c r="D2589" t="s">
        <v>8236</v>
      </c>
      <c r="E2589">
        <v>25</v>
      </c>
      <c r="F2589" t="str">
        <f>HYPERLINK("https://github.com/fossasia/phimpme-android/issues/217", "show")</f>
        <v>show</v>
      </c>
      <c r="G2589" t="str">
        <f>HYPERLINK("https://github.com/fossasia/phimpme-android", "show")</f>
        <v>show</v>
      </c>
      <c r="H2589" t="str">
        <f>HYPERLINK("https://github.com/fossasia/phimpme-android/releases", "show")</f>
        <v>show</v>
      </c>
      <c r="I2589">
        <v>0</v>
      </c>
      <c r="J2589">
        <v>0</v>
      </c>
      <c r="K2589">
        <v>0</v>
      </c>
      <c r="L2589">
        <v>1</v>
      </c>
      <c r="M2589" t="s">
        <v>581</v>
      </c>
    </row>
    <row r="2590" spans="1:13" hidden="1" x14ac:dyDescent="0.15">
      <c r="A2590" t="s">
        <v>8240</v>
      </c>
      <c r="B2590" t="s">
        <v>8241</v>
      </c>
      <c r="D2590" t="s">
        <v>8236</v>
      </c>
      <c r="E2590">
        <v>1</v>
      </c>
      <c r="F2590" t="str">
        <f>HYPERLINK("https://github.com/5calls/android/issues/73", "show")</f>
        <v>show</v>
      </c>
      <c r="G2590" t="str">
        <f>HYPERLINK("https://github.com/5calls/android", "show")</f>
        <v>show</v>
      </c>
      <c r="H2590" t="str">
        <f>HYPERLINK("https://github.com/5calls/android/releases", "show")</f>
        <v>show</v>
      </c>
      <c r="I2590">
        <v>1</v>
      </c>
      <c r="J2590">
        <v>0</v>
      </c>
      <c r="K2590">
        <v>1</v>
      </c>
      <c r="L2590">
        <v>0</v>
      </c>
      <c r="M2590" t="s">
        <v>64</v>
      </c>
    </row>
    <row r="2591" spans="1:13" hidden="1" x14ac:dyDescent="0.15">
      <c r="A2591" t="s">
        <v>8242</v>
      </c>
      <c r="B2591" t="s">
        <v>8243</v>
      </c>
      <c r="C2591" t="s">
        <v>8244</v>
      </c>
      <c r="D2591" t="s">
        <v>8236</v>
      </c>
      <c r="E2591">
        <v>0</v>
      </c>
      <c r="F2591" t="str">
        <f>HYPERLINK("https://github.com/commons-app/apps-android-commons/issues/443", "show")</f>
        <v>show</v>
      </c>
      <c r="G2591" t="str">
        <f>HYPERLINK("https://github.com/commons-app/apps-android-commons", "show")</f>
        <v>show</v>
      </c>
      <c r="H2591" t="str">
        <f>HYPERLINK("https://github.com/commons-app/apps-android-commons/releases", "show")</f>
        <v>show</v>
      </c>
      <c r="I2591">
        <v>1</v>
      </c>
      <c r="J2591">
        <v>0</v>
      </c>
      <c r="K2591">
        <v>1</v>
      </c>
      <c r="L2591">
        <v>0</v>
      </c>
      <c r="M2591" t="s">
        <v>64</v>
      </c>
    </row>
    <row r="2592" spans="1:13" hidden="1" x14ac:dyDescent="0.15">
      <c r="A2592" t="s">
        <v>8245</v>
      </c>
      <c r="B2592" t="s">
        <v>8246</v>
      </c>
      <c r="C2592" t="s">
        <v>8247</v>
      </c>
      <c r="D2592" t="s">
        <v>8236</v>
      </c>
      <c r="E2592">
        <v>7</v>
      </c>
      <c r="F2592" t="str">
        <f>HYPERLINK("https://github.com/Cloudkibo/Android/issues/555", "show")</f>
        <v>show</v>
      </c>
      <c r="G2592" t="str">
        <f>HYPERLINK("https://github.com/Cloudkibo/Android", "show")</f>
        <v>show</v>
      </c>
      <c r="H2592" t="str">
        <f>HYPERLINK("https://github.com/Cloudkibo/Android/releases", "show")</f>
        <v>show</v>
      </c>
      <c r="I2592">
        <v>1</v>
      </c>
      <c r="J2592">
        <v>0</v>
      </c>
      <c r="K2592">
        <v>0</v>
      </c>
      <c r="L2592">
        <v>1</v>
      </c>
      <c r="M2592" t="s">
        <v>29</v>
      </c>
    </row>
    <row r="2593" spans="1:13" hidden="1" x14ac:dyDescent="0.15">
      <c r="A2593" t="s">
        <v>8248</v>
      </c>
      <c r="B2593" t="s">
        <v>8249</v>
      </c>
      <c r="C2593" t="s">
        <v>8250</v>
      </c>
      <c r="D2593" t="s">
        <v>8251</v>
      </c>
      <c r="E2593">
        <v>354</v>
      </c>
      <c r="F2593" t="str">
        <f>HYPERLINK("https://github.com/mauron85/cordova-plugin-background-geolocation/issues/276", "show")</f>
        <v>show</v>
      </c>
      <c r="G2593" t="str">
        <f>HYPERLINK("https://github.com/mauron85/cordova-plugin-background-geolocation", "show")</f>
        <v>show</v>
      </c>
      <c r="H2593" t="str">
        <f>HYPERLINK("https://github.com/mauron85/cordova-plugin-background-geolocation/releases", "show")</f>
        <v>show</v>
      </c>
      <c r="I2593">
        <v>0</v>
      </c>
      <c r="J2593">
        <v>0</v>
      </c>
      <c r="K2593">
        <v>1</v>
      </c>
      <c r="L2593">
        <v>0</v>
      </c>
      <c r="M2593" t="s">
        <v>122</v>
      </c>
    </row>
    <row r="2594" spans="1:13" hidden="1" x14ac:dyDescent="0.15">
      <c r="A2594" t="s">
        <v>8252</v>
      </c>
      <c r="B2594" t="s">
        <v>8253</v>
      </c>
      <c r="C2594" t="s">
        <v>8254</v>
      </c>
      <c r="D2594" t="s">
        <v>8251</v>
      </c>
      <c r="E2594">
        <v>0</v>
      </c>
      <c r="F2594" t="str">
        <f>HYPERLINK("https://github.com/cgeo/cgeo/issues/6419", "show")</f>
        <v>show</v>
      </c>
      <c r="G2594" t="str">
        <f>HYPERLINK("https://github.com/cgeo/cgeo", "show")</f>
        <v>show</v>
      </c>
      <c r="H2594" t="str">
        <f>HYPERLINK("https://github.com/cgeo/cgeo/releases", "show")</f>
        <v>show</v>
      </c>
      <c r="I2594">
        <v>0</v>
      </c>
      <c r="J2594">
        <v>1</v>
      </c>
      <c r="K2594">
        <v>1</v>
      </c>
      <c r="L2594">
        <v>0</v>
      </c>
      <c r="M2594" t="s">
        <v>699</v>
      </c>
    </row>
    <row r="2595" spans="1:13" hidden="1" x14ac:dyDescent="0.15">
      <c r="A2595" t="s">
        <v>8255</v>
      </c>
      <c r="B2595" t="s">
        <v>8256</v>
      </c>
      <c r="C2595" t="s">
        <v>8257</v>
      </c>
      <c r="D2595" t="s">
        <v>8258</v>
      </c>
      <c r="E2595">
        <v>2</v>
      </c>
      <c r="F2595" t="str">
        <f>HYPERLINK("https://github.com/chat-sdk/chat-sdk-android/issues/48", "show")</f>
        <v>show</v>
      </c>
      <c r="G2595" t="str">
        <f>HYPERLINK("https://github.com/chat-sdk/chat-sdk-android", "show")</f>
        <v>show</v>
      </c>
      <c r="H2595" t="str">
        <f>HYPERLINK("https://github.com/chat-sdk/chat-sdk-android/releases", "show")</f>
        <v>show</v>
      </c>
      <c r="I2595">
        <v>1</v>
      </c>
      <c r="J2595">
        <v>1</v>
      </c>
      <c r="K2595">
        <v>0</v>
      </c>
      <c r="L2595">
        <v>0</v>
      </c>
      <c r="M2595" t="s">
        <v>48</v>
      </c>
    </row>
    <row r="2596" spans="1:13" hidden="1" x14ac:dyDescent="0.15">
      <c r="A2596" t="s">
        <v>8259</v>
      </c>
      <c r="B2596" t="s">
        <v>8260</v>
      </c>
      <c r="C2596" t="s">
        <v>8261</v>
      </c>
      <c r="D2596" t="s">
        <v>8258</v>
      </c>
      <c r="E2596">
        <v>2</v>
      </c>
      <c r="F2596" t="str">
        <f>HYPERLINK("https://github.com/google/ExoPlayer/issues/2592", "show")</f>
        <v>show</v>
      </c>
      <c r="G2596" t="str">
        <f>HYPERLINK("https://github.com/google/ExoPlayer", "show")</f>
        <v>show</v>
      </c>
      <c r="H2596" t="str">
        <f>HYPERLINK("https://github.com/google/ExoPlayer/releases", "show")</f>
        <v>show</v>
      </c>
      <c r="I2596">
        <v>1</v>
      </c>
      <c r="J2596">
        <v>0</v>
      </c>
      <c r="K2596">
        <v>0</v>
      </c>
      <c r="L2596">
        <v>0</v>
      </c>
      <c r="M2596" t="s">
        <v>17</v>
      </c>
    </row>
    <row r="2597" spans="1:13" hidden="1" x14ac:dyDescent="0.15">
      <c r="A2597" t="s">
        <v>8262</v>
      </c>
      <c r="B2597" t="s">
        <v>8263</v>
      </c>
      <c r="C2597" t="s">
        <v>8264</v>
      </c>
      <c r="D2597" t="s">
        <v>8258</v>
      </c>
      <c r="E2597">
        <v>112</v>
      </c>
      <c r="F2597" t="str">
        <f>HYPERLINK("https://github.com/commons-app/apps-android-commons/issues/457", "show")</f>
        <v>show</v>
      </c>
      <c r="G2597" t="str">
        <f>HYPERLINK("https://github.com/commons-app/apps-android-commons", "show")</f>
        <v>show</v>
      </c>
      <c r="H2597" t="str">
        <f>HYPERLINK("https://github.com/commons-app/apps-android-commons/releases", "show")</f>
        <v>show</v>
      </c>
      <c r="I2597">
        <v>1</v>
      </c>
      <c r="J2597">
        <v>0</v>
      </c>
      <c r="K2597">
        <v>0</v>
      </c>
      <c r="L2597">
        <v>0</v>
      </c>
      <c r="M2597" t="s">
        <v>17</v>
      </c>
    </row>
    <row r="2598" spans="1:13" hidden="1" x14ac:dyDescent="0.15">
      <c r="A2598" t="s">
        <v>8265</v>
      </c>
      <c r="B2598" t="s">
        <v>8266</v>
      </c>
      <c r="C2598" t="s">
        <v>8267</v>
      </c>
      <c r="D2598" t="s">
        <v>8268</v>
      </c>
      <c r="E2598">
        <v>17</v>
      </c>
      <c r="F2598" t="str">
        <f>HYPERLINK("https://github.com/google/ExoPlayer/issues/2604", "show")</f>
        <v>show</v>
      </c>
      <c r="G2598" t="str">
        <f>HYPERLINK("https://github.com/google/ExoPlayer", "show")</f>
        <v>show</v>
      </c>
      <c r="H2598" t="str">
        <f>HYPERLINK("https://github.com/google/ExoPlayer/releases", "show")</f>
        <v>show</v>
      </c>
      <c r="I2598">
        <v>1</v>
      </c>
      <c r="J2598">
        <v>1</v>
      </c>
      <c r="K2598">
        <v>1</v>
      </c>
      <c r="L2598">
        <v>0</v>
      </c>
      <c r="M2598" t="s">
        <v>59</v>
      </c>
    </row>
    <row r="2599" spans="1:13" hidden="1" x14ac:dyDescent="0.15">
      <c r="A2599" t="s">
        <v>8269</v>
      </c>
      <c r="B2599" t="s">
        <v>8270</v>
      </c>
      <c r="C2599" t="s">
        <v>8271</v>
      </c>
      <c r="D2599" t="s">
        <v>8268</v>
      </c>
      <c r="E2599">
        <v>209</v>
      </c>
      <c r="F2599" t="str">
        <f>HYPERLINK("https://github.com/chat-sdk/chat-sdk-android/issues/51", "show")</f>
        <v>show</v>
      </c>
      <c r="G2599" t="str">
        <f>HYPERLINK("https://github.com/chat-sdk/chat-sdk-android", "show")</f>
        <v>show</v>
      </c>
      <c r="H2599" t="str">
        <f>HYPERLINK("https://github.com/chat-sdk/chat-sdk-android/releases", "show")</f>
        <v>show</v>
      </c>
      <c r="I2599">
        <v>1</v>
      </c>
      <c r="J2599">
        <v>0</v>
      </c>
      <c r="K2599">
        <v>1</v>
      </c>
      <c r="L2599">
        <v>0</v>
      </c>
      <c r="M2599" t="s">
        <v>64</v>
      </c>
    </row>
    <row r="2600" spans="1:13" hidden="1" x14ac:dyDescent="0.15">
      <c r="A2600" t="s">
        <v>8272</v>
      </c>
      <c r="B2600" t="s">
        <v>8273</v>
      </c>
      <c r="C2600" t="s">
        <v>8274</v>
      </c>
      <c r="D2600" t="s">
        <v>8268</v>
      </c>
      <c r="E2600">
        <v>3</v>
      </c>
      <c r="F2600" t="str">
        <f>HYPERLINK("https://github.com/getodk/collect/issues/768", "show")</f>
        <v>show</v>
      </c>
      <c r="G2600" t="str">
        <f>HYPERLINK("https://github.com/getodk/collect", "show")</f>
        <v>show</v>
      </c>
      <c r="H2600" t="str">
        <f>HYPERLINK("https://github.com/getodk/collect/releases", "show")</f>
        <v>show</v>
      </c>
      <c r="I2600">
        <v>1</v>
      </c>
      <c r="J2600">
        <v>1</v>
      </c>
      <c r="K2600">
        <v>0</v>
      </c>
      <c r="L2600">
        <v>0</v>
      </c>
      <c r="M2600" t="s">
        <v>48</v>
      </c>
    </row>
    <row r="2601" spans="1:13" hidden="1" x14ac:dyDescent="0.15">
      <c r="A2601" t="s">
        <v>8275</v>
      </c>
      <c r="B2601" t="s">
        <v>8276</v>
      </c>
      <c r="C2601" t="s">
        <v>8277</v>
      </c>
      <c r="D2601" t="s">
        <v>8268</v>
      </c>
      <c r="E2601">
        <v>353</v>
      </c>
      <c r="F2601" t="str">
        <f>HYPERLINK("https://github.com/cgeo/cgeo/issues/6446", "show")</f>
        <v>show</v>
      </c>
      <c r="G2601" t="str">
        <f>HYPERLINK("https://github.com/cgeo/cgeo", "show")</f>
        <v>show</v>
      </c>
      <c r="H2601" t="str">
        <f>HYPERLINK("https://github.com/cgeo/cgeo/releases", "show")</f>
        <v>show</v>
      </c>
      <c r="I2601">
        <v>1</v>
      </c>
      <c r="J2601">
        <v>0</v>
      </c>
      <c r="K2601">
        <v>1</v>
      </c>
      <c r="L2601">
        <v>0</v>
      </c>
      <c r="M2601" t="s">
        <v>64</v>
      </c>
    </row>
    <row r="2602" spans="1:13" hidden="1" x14ac:dyDescent="0.15">
      <c r="A2602" t="s">
        <v>8278</v>
      </c>
      <c r="B2602" t="s">
        <v>8279</v>
      </c>
      <c r="C2602" t="s">
        <v>8280</v>
      </c>
      <c r="D2602" t="s">
        <v>8281</v>
      </c>
      <c r="E2602">
        <v>1</v>
      </c>
      <c r="F2602" t="str">
        <f>HYPERLINK("https://github.com/mattmikolay/pocket-ctc/issues/2", "show")</f>
        <v>show</v>
      </c>
      <c r="G2602" t="str">
        <f>HYPERLINK("https://github.com/mattmikolay/pocket-ctc", "show")</f>
        <v>show</v>
      </c>
      <c r="H2602" t="str">
        <f>HYPERLINK("https://github.com/mattmikolay/pocket-ctc/releases", "show")</f>
        <v>show</v>
      </c>
      <c r="I2602">
        <v>0</v>
      </c>
      <c r="J2602">
        <v>1</v>
      </c>
      <c r="K2602">
        <v>1</v>
      </c>
      <c r="L2602">
        <v>0</v>
      </c>
      <c r="M2602" t="s">
        <v>699</v>
      </c>
    </row>
    <row r="2603" spans="1:13" hidden="1" x14ac:dyDescent="0.15">
      <c r="A2603" t="s">
        <v>8282</v>
      </c>
      <c r="B2603" t="s">
        <v>8283</v>
      </c>
      <c r="C2603" t="s">
        <v>8284</v>
      </c>
      <c r="D2603" t="s">
        <v>8281</v>
      </c>
      <c r="E2603">
        <v>0</v>
      </c>
      <c r="F2603" t="str">
        <f>HYPERLINK("https://github.com/cgeo/cgeo/issues/6450", "show")</f>
        <v>show</v>
      </c>
      <c r="G2603" t="str">
        <f>HYPERLINK("https://github.com/cgeo/cgeo", "show")</f>
        <v>show</v>
      </c>
      <c r="H2603" t="str">
        <f>HYPERLINK("https://github.com/cgeo/cgeo/releases", "show")</f>
        <v>show</v>
      </c>
      <c r="I2603">
        <v>1</v>
      </c>
      <c r="J2603">
        <v>1</v>
      </c>
      <c r="K2603">
        <v>1</v>
      </c>
      <c r="L2603">
        <v>0</v>
      </c>
      <c r="M2603" t="s">
        <v>59</v>
      </c>
    </row>
    <row r="2604" spans="1:13" hidden="1" x14ac:dyDescent="0.15">
      <c r="A2604" t="s">
        <v>8285</v>
      </c>
      <c r="B2604" t="s">
        <v>8286</v>
      </c>
      <c r="C2604" t="s">
        <v>8287</v>
      </c>
      <c r="D2604" t="s">
        <v>8281</v>
      </c>
      <c r="E2604">
        <v>9</v>
      </c>
      <c r="F2604" t="str">
        <f>HYPERLINK("https://github.com/ZeeRooo/MaterialFBook/issues/59", "show")</f>
        <v>show</v>
      </c>
      <c r="G2604" t="str">
        <f>HYPERLINK("https://github.com/ZeeRooo/MaterialFBook", "show")</f>
        <v>show</v>
      </c>
      <c r="H2604" t="str">
        <f>HYPERLINK("https://github.com/ZeeRooo/MaterialFBook/releases", "show")</f>
        <v>show</v>
      </c>
      <c r="I2604">
        <v>1</v>
      </c>
      <c r="J2604">
        <v>1</v>
      </c>
      <c r="K2604">
        <v>0</v>
      </c>
      <c r="L2604">
        <v>0</v>
      </c>
      <c r="M2604" t="s">
        <v>48</v>
      </c>
    </row>
    <row r="2605" spans="1:13" hidden="1" x14ac:dyDescent="0.15">
      <c r="A2605" t="s">
        <v>8288</v>
      </c>
      <c r="B2605" t="s">
        <v>8289</v>
      </c>
      <c r="C2605" t="s">
        <v>8290</v>
      </c>
      <c r="D2605" t="s">
        <v>8281</v>
      </c>
      <c r="E2605">
        <v>927</v>
      </c>
      <c r="F2605" t="str">
        <f>HYPERLINK("https://github.com/inaturalist/iNaturalistAndroid/issues/312", "show")</f>
        <v>show</v>
      </c>
      <c r="G2605" t="str">
        <f>HYPERLINK("https://github.com/inaturalist/iNaturalistAndroid", "show")</f>
        <v>show</v>
      </c>
      <c r="H2605" t="str">
        <f>HYPERLINK("https://github.com/inaturalist/iNaturalistAndroid/releases", "show")</f>
        <v>show</v>
      </c>
      <c r="I2605">
        <v>1</v>
      </c>
      <c r="J2605">
        <v>0</v>
      </c>
      <c r="K2605">
        <v>1</v>
      </c>
      <c r="L2605">
        <v>0</v>
      </c>
      <c r="M2605" t="s">
        <v>64</v>
      </c>
    </row>
    <row r="2606" spans="1:13" hidden="1" x14ac:dyDescent="0.15">
      <c r="A2606" t="s">
        <v>8291</v>
      </c>
      <c r="B2606" t="s">
        <v>8292</v>
      </c>
      <c r="C2606" t="s">
        <v>8293</v>
      </c>
      <c r="D2606" t="s">
        <v>8281</v>
      </c>
      <c r="E2606">
        <v>10</v>
      </c>
      <c r="F2606" t="str">
        <f>HYPERLINK("https://github.com/alexvasilkov/GestureViews/issues/66", "show")</f>
        <v>show</v>
      </c>
      <c r="G2606" t="str">
        <f>HYPERLINK("https://github.com/alexvasilkov/GestureViews", "show")</f>
        <v>show</v>
      </c>
      <c r="H2606" t="str">
        <f>HYPERLINK("https://github.com/alexvasilkov/GestureViews/releases", "show")</f>
        <v>show</v>
      </c>
      <c r="I2606">
        <v>1</v>
      </c>
      <c r="J2606">
        <v>0</v>
      </c>
      <c r="K2606">
        <v>0</v>
      </c>
      <c r="L2606">
        <v>0</v>
      </c>
      <c r="M2606" t="s">
        <v>17</v>
      </c>
    </row>
    <row r="2607" spans="1:13" hidden="1" x14ac:dyDescent="0.15">
      <c r="A2607" t="s">
        <v>8294</v>
      </c>
      <c r="B2607" t="s">
        <v>8295</v>
      </c>
      <c r="C2607" t="s">
        <v>8296</v>
      </c>
      <c r="D2607" t="s">
        <v>8297</v>
      </c>
      <c r="E2607">
        <v>2</v>
      </c>
      <c r="F2607" t="str">
        <f>HYPERLINK("https://github.com/playmusicexporter/playmusicexporter/issues/24", "show")</f>
        <v>show</v>
      </c>
      <c r="G2607" t="str">
        <f>HYPERLINK("https://github.com/playmusicexporter/playmusicexporter", "show")</f>
        <v>show</v>
      </c>
      <c r="H2607" t="str">
        <f>HYPERLINK("https://github.com/playmusicexporter/playmusicexporter/releases", "show")</f>
        <v>show</v>
      </c>
      <c r="I2607">
        <v>1</v>
      </c>
      <c r="J2607">
        <v>0</v>
      </c>
      <c r="K2607">
        <v>0</v>
      </c>
      <c r="L2607">
        <v>0</v>
      </c>
      <c r="M2607" t="s">
        <v>17</v>
      </c>
    </row>
    <row r="2608" spans="1:13" hidden="1" x14ac:dyDescent="0.15">
      <c r="A2608" t="s">
        <v>8298</v>
      </c>
      <c r="B2608" t="s">
        <v>8299</v>
      </c>
      <c r="C2608" t="s">
        <v>8300</v>
      </c>
      <c r="D2608" t="s">
        <v>8297</v>
      </c>
      <c r="E2608">
        <v>43</v>
      </c>
      <c r="F2608" t="str">
        <f>HYPERLINK("https://github.com/google/ExoPlayer/issues/2607", "show")</f>
        <v>show</v>
      </c>
      <c r="G2608" t="str">
        <f>HYPERLINK("https://github.com/google/ExoPlayer", "show")</f>
        <v>show</v>
      </c>
      <c r="H2608" t="str">
        <f>HYPERLINK("https://github.com/google/ExoPlayer/releases", "show")</f>
        <v>show</v>
      </c>
      <c r="I2608">
        <v>1</v>
      </c>
      <c r="J2608">
        <v>0</v>
      </c>
      <c r="K2608">
        <v>0</v>
      </c>
      <c r="L2608">
        <v>0</v>
      </c>
      <c r="M2608" t="s">
        <v>17</v>
      </c>
    </row>
    <row r="2609" spans="1:13" hidden="1" x14ac:dyDescent="0.15">
      <c r="A2609" t="s">
        <v>8301</v>
      </c>
      <c r="B2609" t="s">
        <v>8302</v>
      </c>
      <c r="C2609" t="s">
        <v>8303</v>
      </c>
      <c r="D2609" t="s">
        <v>8304</v>
      </c>
      <c r="E2609">
        <v>11</v>
      </c>
      <c r="F2609" t="str">
        <f>HYPERLINK("https://github.com/kaczmarkiewiczp/GitCracking/issues/118", "show")</f>
        <v>show</v>
      </c>
      <c r="G2609" t="str">
        <f>HYPERLINK("https://github.com/kaczmarkiewiczp/GitCracking", "show")</f>
        <v>show</v>
      </c>
      <c r="H2609" t="str">
        <f>HYPERLINK("https://github.com/kaczmarkiewiczp/GitCracking/releases", "show")</f>
        <v>show</v>
      </c>
      <c r="I2609">
        <v>1</v>
      </c>
      <c r="J2609">
        <v>0</v>
      </c>
      <c r="K2609">
        <v>0</v>
      </c>
      <c r="L2609">
        <v>0</v>
      </c>
      <c r="M2609" t="s">
        <v>17</v>
      </c>
    </row>
    <row r="2610" spans="1:13" hidden="1" x14ac:dyDescent="0.15">
      <c r="A2610" t="s">
        <v>8305</v>
      </c>
      <c r="B2610" t="s">
        <v>8306</v>
      </c>
      <c r="D2610" t="s">
        <v>8304</v>
      </c>
      <c r="E2610">
        <v>26</v>
      </c>
      <c r="F2610" t="str">
        <f>HYPERLINK("https://github.com/kabouzeid/Phonograph/issues/112", "show")</f>
        <v>show</v>
      </c>
      <c r="G2610" t="str">
        <f>HYPERLINK("https://github.com/kabouzeid/Phonograph", "show")</f>
        <v>show</v>
      </c>
      <c r="H2610" t="str">
        <f>HYPERLINK("https://github.com/kabouzeid/Phonograph/releases", "show")</f>
        <v>show</v>
      </c>
      <c r="I2610">
        <v>0</v>
      </c>
      <c r="J2610">
        <v>0</v>
      </c>
      <c r="K2610">
        <v>0</v>
      </c>
      <c r="L2610">
        <v>0</v>
      </c>
      <c r="M2610" t="s">
        <v>43</v>
      </c>
    </row>
    <row r="2611" spans="1:13" hidden="1" x14ac:dyDescent="0.15">
      <c r="A2611" t="s">
        <v>8307</v>
      </c>
      <c r="B2611" t="s">
        <v>8308</v>
      </c>
      <c r="C2611" t="s">
        <v>8309</v>
      </c>
      <c r="D2611" t="s">
        <v>8310</v>
      </c>
      <c r="E2611">
        <v>10</v>
      </c>
      <c r="F2611" t="str">
        <f>HYPERLINK("https://github.com/kaczmarkiewiczp/GitCracking/issues/120", "show")</f>
        <v>show</v>
      </c>
      <c r="G2611" t="str">
        <f>HYPERLINK("https://github.com/kaczmarkiewiczp/GitCracking", "show")</f>
        <v>show</v>
      </c>
      <c r="H2611" t="str">
        <f>HYPERLINK("https://github.com/kaczmarkiewiczp/GitCracking/releases", "show")</f>
        <v>show</v>
      </c>
      <c r="I2611">
        <v>1</v>
      </c>
      <c r="J2611">
        <v>0</v>
      </c>
      <c r="K2611">
        <v>0</v>
      </c>
      <c r="L2611">
        <v>0</v>
      </c>
      <c r="M2611" t="s">
        <v>17</v>
      </c>
    </row>
    <row r="2612" spans="1:13" hidden="1" x14ac:dyDescent="0.15">
      <c r="A2612" t="s">
        <v>8311</v>
      </c>
      <c r="B2612" t="s">
        <v>8312</v>
      </c>
      <c r="C2612" t="s">
        <v>8313</v>
      </c>
      <c r="D2612" t="s">
        <v>8310</v>
      </c>
      <c r="E2612">
        <v>1</v>
      </c>
      <c r="F2612" t="str">
        <f>HYPERLINK("https://github.com/fossasia/phimpme-android/issues/252", "show")</f>
        <v>show</v>
      </c>
      <c r="G2612" t="str">
        <f>HYPERLINK("https://github.com/fossasia/phimpme-android", "show")</f>
        <v>show</v>
      </c>
      <c r="H2612" t="str">
        <f>HYPERLINK("https://github.com/fossasia/phimpme-android/releases", "show")</f>
        <v>show</v>
      </c>
      <c r="I2612">
        <v>0</v>
      </c>
      <c r="J2612">
        <v>0</v>
      </c>
      <c r="K2612">
        <v>1</v>
      </c>
      <c r="L2612">
        <v>0</v>
      </c>
      <c r="M2612" t="s">
        <v>122</v>
      </c>
    </row>
    <row r="2613" spans="1:13" hidden="1" x14ac:dyDescent="0.15">
      <c r="A2613" t="s">
        <v>8314</v>
      </c>
      <c r="B2613" t="s">
        <v>3180</v>
      </c>
      <c r="C2613" t="s">
        <v>8315</v>
      </c>
      <c r="D2613" t="s">
        <v>8316</v>
      </c>
      <c r="E2613">
        <v>0</v>
      </c>
      <c r="F2613" t="str">
        <f>HYPERLINK("https://github.com/0xbowerbird/Wallser/issues/1", "show")</f>
        <v>show</v>
      </c>
      <c r="G2613" t="str">
        <f>HYPERLINK("https://github.com/0xbowerbird/Wallser", "show")</f>
        <v>show</v>
      </c>
      <c r="H2613" t="str">
        <f>HYPERLINK("https://github.com/0xbowerbird/Wallser/releases", "show")</f>
        <v>show</v>
      </c>
      <c r="I2613">
        <v>0</v>
      </c>
      <c r="J2613">
        <v>0</v>
      </c>
      <c r="K2613">
        <v>0</v>
      </c>
      <c r="L2613">
        <v>0</v>
      </c>
      <c r="M2613" t="s">
        <v>43</v>
      </c>
    </row>
    <row r="2614" spans="1:13" hidden="1" x14ac:dyDescent="0.15">
      <c r="A2614" t="s">
        <v>8317</v>
      </c>
      <c r="B2614" t="s">
        <v>8318</v>
      </c>
      <c r="C2614" t="s">
        <v>8319</v>
      </c>
      <c r="D2614" t="s">
        <v>8316</v>
      </c>
      <c r="E2614">
        <v>3</v>
      </c>
      <c r="F2614" t="str">
        <f>HYPERLINK("https://github.com/SIU-CS/Finite_Loop-production/issues/65", "show")</f>
        <v>show</v>
      </c>
      <c r="G2614" t="str">
        <f>HYPERLINK("https://github.com/SIU-CS/Finite_Loop-production", "show")</f>
        <v>show</v>
      </c>
      <c r="H2614" t="str">
        <f>HYPERLINK("https://github.com/SIU-CS/Finite_Loop-production/releases", "show")</f>
        <v>show</v>
      </c>
      <c r="I2614">
        <v>0</v>
      </c>
      <c r="J2614">
        <v>0</v>
      </c>
      <c r="K2614">
        <v>0</v>
      </c>
      <c r="L2614">
        <v>1</v>
      </c>
      <c r="M2614" t="s">
        <v>581</v>
      </c>
    </row>
    <row r="2615" spans="1:13" hidden="1" x14ac:dyDescent="0.15">
      <c r="A2615" t="s">
        <v>8320</v>
      </c>
      <c r="B2615" t="s">
        <v>8321</v>
      </c>
      <c r="C2615" t="s">
        <v>8322</v>
      </c>
      <c r="D2615" t="s">
        <v>8323</v>
      </c>
      <c r="E2615">
        <v>4</v>
      </c>
      <c r="F2615" t="str">
        <f>HYPERLINK("https://github.com/danimahardhika/wallpaperboard/issues/8", "show")</f>
        <v>show</v>
      </c>
      <c r="G2615" t="str">
        <f>HYPERLINK("https://github.com/danimahardhika/wallpaperboard", "show")</f>
        <v>show</v>
      </c>
      <c r="H2615" t="str">
        <f>HYPERLINK("https://github.com/danimahardhika/wallpaperboard/releases", "show")</f>
        <v>show</v>
      </c>
      <c r="I2615">
        <v>1</v>
      </c>
      <c r="J2615">
        <v>0</v>
      </c>
      <c r="K2615">
        <v>1</v>
      </c>
      <c r="L2615">
        <v>0</v>
      </c>
      <c r="M2615" t="s">
        <v>64</v>
      </c>
    </row>
    <row r="2616" spans="1:13" hidden="1" x14ac:dyDescent="0.15">
      <c r="A2616" t="s">
        <v>8324</v>
      </c>
      <c r="B2616" t="s">
        <v>8325</v>
      </c>
      <c r="D2616" t="s">
        <v>8323</v>
      </c>
      <c r="E2616">
        <v>11</v>
      </c>
      <c r="F2616" t="str">
        <f>HYPERLINK("https://github.com/evernote/android-job/issues/164", "show")</f>
        <v>show</v>
      </c>
      <c r="G2616" t="str">
        <f>HYPERLINK("https://github.com/evernote/android-job", "show")</f>
        <v>show</v>
      </c>
      <c r="H2616" t="str">
        <f>HYPERLINK("https://github.com/evernote/android-job/releases", "show")</f>
        <v>show</v>
      </c>
      <c r="I2616">
        <v>0</v>
      </c>
      <c r="J2616">
        <v>0</v>
      </c>
      <c r="K2616">
        <v>1</v>
      </c>
      <c r="L2616">
        <v>0</v>
      </c>
      <c r="M2616" t="s">
        <v>122</v>
      </c>
    </row>
    <row r="2617" spans="1:13" hidden="1" x14ac:dyDescent="0.15">
      <c r="A2617" t="s">
        <v>8326</v>
      </c>
      <c r="B2617" t="s">
        <v>8327</v>
      </c>
      <c r="D2617" t="s">
        <v>8323</v>
      </c>
      <c r="E2617">
        <v>46</v>
      </c>
      <c r="F2617" t="str">
        <f>HYPERLINK("https://github.com/SkyTubeTeam/SkyTube/issues/94", "show")</f>
        <v>show</v>
      </c>
      <c r="G2617" t="str">
        <f>HYPERLINK("https://github.com/SkyTubeTeam/SkyTube", "show")</f>
        <v>show</v>
      </c>
      <c r="H2617" t="str">
        <f>HYPERLINK("https://github.com/SkyTubeTeam/SkyTube/releases", "show")</f>
        <v>show</v>
      </c>
      <c r="I2617">
        <v>1</v>
      </c>
      <c r="J2617">
        <v>0</v>
      </c>
      <c r="K2617">
        <v>1</v>
      </c>
      <c r="L2617">
        <v>0</v>
      </c>
      <c r="M2617" t="s">
        <v>64</v>
      </c>
    </row>
    <row r="2618" spans="1:13" hidden="1" x14ac:dyDescent="0.15">
      <c r="A2618" t="s">
        <v>8328</v>
      </c>
      <c r="B2618" t="s">
        <v>8329</v>
      </c>
      <c r="C2618" t="s">
        <v>8330</v>
      </c>
      <c r="D2618" t="s">
        <v>8323</v>
      </c>
      <c r="E2618">
        <v>0</v>
      </c>
      <c r="F2618" t="str">
        <f>HYPERLINK("https://github.com/codinguser/gnucash-android/issues/663", "show")</f>
        <v>show</v>
      </c>
      <c r="G2618" t="str">
        <f>HYPERLINK("https://github.com/codinguser/gnucash-android", "show")</f>
        <v>show</v>
      </c>
      <c r="H2618" t="str">
        <f>HYPERLINK("https://github.com/codinguser/gnucash-android/releases", "show")</f>
        <v>show</v>
      </c>
      <c r="I2618">
        <v>1</v>
      </c>
      <c r="J2618">
        <v>1</v>
      </c>
      <c r="K2618">
        <v>0</v>
      </c>
      <c r="L2618">
        <v>0</v>
      </c>
      <c r="M2618" t="s">
        <v>48</v>
      </c>
    </row>
    <row r="2619" spans="1:13" hidden="1" x14ac:dyDescent="0.15">
      <c r="A2619" t="s">
        <v>8331</v>
      </c>
      <c r="B2619" t="s">
        <v>8332</v>
      </c>
      <c r="C2619" t="s">
        <v>8333</v>
      </c>
      <c r="D2619" t="s">
        <v>8323</v>
      </c>
      <c r="E2619">
        <v>26</v>
      </c>
      <c r="F2619" t="str">
        <f>HYPERLINK("https://github.com/google/ExoPlayer/issues/2632", "show")</f>
        <v>show</v>
      </c>
      <c r="G2619" t="str">
        <f>HYPERLINK("https://github.com/google/ExoPlayer", "show")</f>
        <v>show</v>
      </c>
      <c r="H2619" t="str">
        <f>HYPERLINK("https://github.com/google/ExoPlayer/releases", "show")</f>
        <v>show</v>
      </c>
      <c r="I2619">
        <v>1</v>
      </c>
      <c r="J2619">
        <v>0</v>
      </c>
      <c r="K2619">
        <v>0</v>
      </c>
      <c r="L2619">
        <v>0</v>
      </c>
      <c r="M2619" t="s">
        <v>17</v>
      </c>
    </row>
    <row r="2620" spans="1:13" hidden="1" x14ac:dyDescent="0.15">
      <c r="A2620" t="s">
        <v>8334</v>
      </c>
      <c r="B2620" t="s">
        <v>8335</v>
      </c>
      <c r="C2620" t="s">
        <v>8336</v>
      </c>
      <c r="D2620" t="s">
        <v>8323</v>
      </c>
      <c r="E2620">
        <v>0</v>
      </c>
      <c r="F2620" t="str">
        <f>HYPERLINK("https://github.com/tanguyantoine/react-native-music-control/issues/55", "show")</f>
        <v>show</v>
      </c>
      <c r="G2620" t="str">
        <f>HYPERLINK("https://github.com/tanguyantoine/react-native-music-control", "show")</f>
        <v>show</v>
      </c>
      <c r="H2620" t="str">
        <f>HYPERLINK("https://github.com/tanguyantoine/react-native-music-control/releases", "show")</f>
        <v>show</v>
      </c>
      <c r="I2620">
        <v>1</v>
      </c>
      <c r="J2620">
        <v>0</v>
      </c>
      <c r="K2620">
        <v>0</v>
      </c>
      <c r="L2620">
        <v>0</v>
      </c>
      <c r="M2620" t="s">
        <v>17</v>
      </c>
    </row>
    <row r="2621" spans="1:13" hidden="1" x14ac:dyDescent="0.15">
      <c r="A2621" t="s">
        <v>8337</v>
      </c>
      <c r="B2621" t="s">
        <v>8338</v>
      </c>
      <c r="C2621" t="s">
        <v>8339</v>
      </c>
      <c r="D2621" t="s">
        <v>8340</v>
      </c>
      <c r="E2621">
        <v>9</v>
      </c>
      <c r="F2621" t="str">
        <f>HYPERLINK("https://github.com/jruesga/rview/issues/24", "show")</f>
        <v>show</v>
      </c>
      <c r="G2621" t="str">
        <f>HYPERLINK("https://github.com/jruesga/rview", "show")</f>
        <v>show</v>
      </c>
      <c r="H2621" t="str">
        <f>HYPERLINK("https://github.com/jruesga/rview/releases", "show")</f>
        <v>show</v>
      </c>
      <c r="I2621">
        <v>1</v>
      </c>
      <c r="J2621">
        <v>0</v>
      </c>
      <c r="K2621">
        <v>0</v>
      </c>
      <c r="L2621">
        <v>0</v>
      </c>
      <c r="M2621" t="s">
        <v>17</v>
      </c>
    </row>
    <row r="2622" spans="1:13" hidden="1" x14ac:dyDescent="0.15">
      <c r="A2622" t="s">
        <v>8341</v>
      </c>
      <c r="B2622" t="s">
        <v>8342</v>
      </c>
      <c r="C2622" t="s">
        <v>8343</v>
      </c>
      <c r="D2622" t="s">
        <v>8340</v>
      </c>
      <c r="E2622">
        <v>19</v>
      </c>
      <c r="F2622" t="str">
        <f>HYPERLINK("https://github.com/grantkang/LandfillE-Forms/issues/21", "show")</f>
        <v>show</v>
      </c>
      <c r="G2622" t="str">
        <f>HYPERLINK("https://github.com/grantkang/LandfillE-Forms", "show")</f>
        <v>show</v>
      </c>
      <c r="H2622" t="str">
        <f>HYPERLINK("https://github.com/grantkang/LandfillE-Forms/releases", "show")</f>
        <v>show</v>
      </c>
      <c r="I2622">
        <v>1</v>
      </c>
      <c r="J2622">
        <v>1</v>
      </c>
      <c r="K2622">
        <v>0</v>
      </c>
      <c r="L2622">
        <v>0</v>
      </c>
      <c r="M2622" t="s">
        <v>48</v>
      </c>
    </row>
    <row r="2623" spans="1:13" hidden="1" x14ac:dyDescent="0.15">
      <c r="A2623" t="s">
        <v>8344</v>
      </c>
      <c r="B2623" t="s">
        <v>8345</v>
      </c>
      <c r="C2623" t="s">
        <v>8346</v>
      </c>
      <c r="D2623" t="s">
        <v>8340</v>
      </c>
      <c r="E2623">
        <v>24</v>
      </c>
      <c r="F2623" t="str">
        <f>HYPERLINK("https://github.com/stefan-niedermann/nextcloud-notes/issues/199", "show")</f>
        <v>show</v>
      </c>
      <c r="G2623" t="str">
        <f>HYPERLINK("https://github.com/stefan-niedermann/nextcloud-notes", "show")</f>
        <v>show</v>
      </c>
      <c r="H2623" t="str">
        <f>HYPERLINK("https://github.com/stefan-niedermann/nextcloud-notes/releases", "show")</f>
        <v>show</v>
      </c>
      <c r="I2623">
        <v>1</v>
      </c>
      <c r="J2623">
        <v>1</v>
      </c>
      <c r="K2623">
        <v>1</v>
      </c>
      <c r="L2623">
        <v>0</v>
      </c>
      <c r="M2623" t="s">
        <v>59</v>
      </c>
    </row>
    <row r="2624" spans="1:13" hidden="1" x14ac:dyDescent="0.15">
      <c r="A2624" t="s">
        <v>8347</v>
      </c>
      <c r="B2624" t="s">
        <v>8348</v>
      </c>
      <c r="C2624" t="s">
        <v>8349</v>
      </c>
      <c r="D2624" t="s">
        <v>8350</v>
      </c>
      <c r="E2624">
        <v>37</v>
      </c>
      <c r="F2624" t="str">
        <f>HYPERLINK("https://github.com/lostzen/lost/issues/178", "show")</f>
        <v>show</v>
      </c>
      <c r="G2624" t="str">
        <f>HYPERLINK("https://github.com/lostzen/lost", "show")</f>
        <v>show</v>
      </c>
      <c r="H2624" t="str">
        <f>HYPERLINK("https://github.com/lostzen/lost/releases", "show")</f>
        <v>show</v>
      </c>
      <c r="I2624">
        <v>0</v>
      </c>
      <c r="J2624">
        <v>0</v>
      </c>
      <c r="K2624">
        <v>1</v>
      </c>
      <c r="L2624">
        <v>0</v>
      </c>
      <c r="M2624" t="s">
        <v>122</v>
      </c>
    </row>
    <row r="2625" spans="1:13" hidden="1" x14ac:dyDescent="0.15">
      <c r="A2625" t="s">
        <v>8351</v>
      </c>
      <c r="B2625" t="s">
        <v>8352</v>
      </c>
      <c r="C2625" t="s">
        <v>8353</v>
      </c>
      <c r="D2625" t="s">
        <v>8354</v>
      </c>
      <c r="E2625">
        <v>4</v>
      </c>
      <c r="F2625" t="str">
        <f>HYPERLINK("https://github.com/fossasia/phimpme-android/issues/294", "show")</f>
        <v>show</v>
      </c>
      <c r="G2625" t="str">
        <f>HYPERLINK("https://github.com/fossasia/phimpme-android", "show")</f>
        <v>show</v>
      </c>
      <c r="H2625" t="str">
        <f>HYPERLINK("https://github.com/fossasia/phimpme-android/releases", "show")</f>
        <v>show</v>
      </c>
      <c r="I2625">
        <v>0</v>
      </c>
      <c r="J2625">
        <v>1</v>
      </c>
      <c r="K2625">
        <v>1</v>
      </c>
      <c r="L2625">
        <v>0</v>
      </c>
      <c r="M2625" t="s">
        <v>699</v>
      </c>
    </row>
    <row r="2626" spans="1:13" hidden="1" x14ac:dyDescent="0.15">
      <c r="A2626" t="s">
        <v>8355</v>
      </c>
      <c r="B2626" t="s">
        <v>8356</v>
      </c>
      <c r="D2626" t="s">
        <v>8357</v>
      </c>
      <c r="E2626">
        <v>21</v>
      </c>
      <c r="F2626" t="str">
        <f>HYPERLINK("https://github.com/ZieIony/Carbon/issues/270", "show")</f>
        <v>show</v>
      </c>
      <c r="G2626" t="str">
        <f>HYPERLINK("https://github.com/ZieIony/Carbon", "show")</f>
        <v>show</v>
      </c>
      <c r="H2626" t="str">
        <f>HYPERLINK("https://github.com/ZieIony/Carbon/releases", "show")</f>
        <v>show</v>
      </c>
      <c r="I2626">
        <v>0</v>
      </c>
      <c r="J2626">
        <v>0</v>
      </c>
      <c r="K2626">
        <v>1</v>
      </c>
      <c r="L2626">
        <v>0</v>
      </c>
      <c r="M2626" t="s">
        <v>122</v>
      </c>
    </row>
    <row r="2627" spans="1:13" hidden="1" x14ac:dyDescent="0.15">
      <c r="A2627" t="s">
        <v>8358</v>
      </c>
      <c r="B2627" t="s">
        <v>8359</v>
      </c>
      <c r="C2627" t="s">
        <v>8360</v>
      </c>
      <c r="D2627" t="s">
        <v>8361</v>
      </c>
      <c r="E2627">
        <v>2</v>
      </c>
      <c r="F2627" t="str">
        <f>HYPERLINK("https://github.com/google/ExoPlayer/issues/2646", "show")</f>
        <v>show</v>
      </c>
      <c r="G2627" t="str">
        <f>HYPERLINK("https://github.com/google/ExoPlayer", "show")</f>
        <v>show</v>
      </c>
      <c r="H2627" t="str">
        <f>HYPERLINK("https://github.com/google/ExoPlayer/releases", "show")</f>
        <v>show</v>
      </c>
      <c r="I2627">
        <v>0</v>
      </c>
      <c r="J2627">
        <v>0</v>
      </c>
      <c r="K2627">
        <v>1</v>
      </c>
      <c r="L2627">
        <v>0</v>
      </c>
      <c r="M2627" t="s">
        <v>122</v>
      </c>
    </row>
    <row r="2628" spans="1:13" hidden="1" x14ac:dyDescent="0.15">
      <c r="A2628" t="s">
        <v>8362</v>
      </c>
      <c r="B2628" t="s">
        <v>8363</v>
      </c>
      <c r="C2628" t="s">
        <v>8364</v>
      </c>
      <c r="D2628" t="s">
        <v>8365</v>
      </c>
      <c r="E2628">
        <v>285</v>
      </c>
      <c r="F2628" t="str">
        <f>HYPERLINK("https://github.com/jMonkeyEngine/sdk/issues/121", "show")</f>
        <v>show</v>
      </c>
      <c r="G2628" t="str">
        <f>HYPERLINK("https://github.com/jMonkeyEngine/sdk", "show")</f>
        <v>show</v>
      </c>
      <c r="H2628" t="str">
        <f>HYPERLINK("https://github.com/jMonkeyEngine/sdk/releases", "show")</f>
        <v>show</v>
      </c>
      <c r="I2628">
        <v>0</v>
      </c>
      <c r="J2628">
        <v>1</v>
      </c>
      <c r="K2628">
        <v>1</v>
      </c>
      <c r="L2628">
        <v>0</v>
      </c>
      <c r="M2628" t="s">
        <v>699</v>
      </c>
    </row>
    <row r="2629" spans="1:13" hidden="1" x14ac:dyDescent="0.15">
      <c r="A2629" t="s">
        <v>8366</v>
      </c>
      <c r="B2629" t="s">
        <v>8367</v>
      </c>
      <c r="C2629" t="s">
        <v>8368</v>
      </c>
      <c r="D2629" t="s">
        <v>8369</v>
      </c>
      <c r="E2629">
        <v>27</v>
      </c>
      <c r="F2629" t="str">
        <f>HYPERLINK("https://github.com/nextcloud/android/issues/809", "show")</f>
        <v>show</v>
      </c>
      <c r="G2629" t="str">
        <f>HYPERLINK("https://github.com/nextcloud/android", "show")</f>
        <v>show</v>
      </c>
      <c r="H2629" t="str">
        <f>HYPERLINK("https://github.com/nextcloud/android/releases", "show")</f>
        <v>show</v>
      </c>
      <c r="I2629">
        <v>0</v>
      </c>
      <c r="J2629">
        <v>0</v>
      </c>
      <c r="K2629">
        <v>1</v>
      </c>
      <c r="L2629">
        <v>0</v>
      </c>
      <c r="M2629" t="s">
        <v>122</v>
      </c>
    </row>
    <row r="2630" spans="1:13" hidden="1" x14ac:dyDescent="0.15">
      <c r="A2630" t="s">
        <v>8370</v>
      </c>
      <c r="B2630" t="s">
        <v>8371</v>
      </c>
      <c r="C2630" t="s">
        <v>504</v>
      </c>
      <c r="D2630" t="s">
        <v>8369</v>
      </c>
      <c r="E2630">
        <v>622</v>
      </c>
      <c r="F2630" t="str">
        <f>HYPERLINK("https://github.com/niclabs/adkintunmobile-androidclient/issues/165", "show")</f>
        <v>show</v>
      </c>
      <c r="G2630" t="str">
        <f>HYPERLINK("https://github.com/niclabs/adkintunmobile-androidclient", "show")</f>
        <v>show</v>
      </c>
      <c r="H2630" t="str">
        <f>HYPERLINK("https://github.com/niclabs/adkintunmobile-androidclient/releases", "show")</f>
        <v>show</v>
      </c>
      <c r="I2630">
        <v>1</v>
      </c>
      <c r="J2630">
        <v>0</v>
      </c>
      <c r="K2630">
        <v>0</v>
      </c>
      <c r="L2630">
        <v>0</v>
      </c>
      <c r="M2630" t="s">
        <v>17</v>
      </c>
    </row>
    <row r="2631" spans="1:13" hidden="1" x14ac:dyDescent="0.15">
      <c r="A2631" t="s">
        <v>8372</v>
      </c>
      <c r="B2631" t="s">
        <v>8373</v>
      </c>
      <c r="C2631" t="s">
        <v>8374</v>
      </c>
      <c r="D2631" t="s">
        <v>8369</v>
      </c>
      <c r="E2631">
        <v>49</v>
      </c>
      <c r="F2631" t="str">
        <f>HYPERLINK("https://github.com/OpenLauncherTeam/openlauncher/issues/54", "show")</f>
        <v>show</v>
      </c>
      <c r="G2631" t="str">
        <f>HYPERLINK("https://github.com/OpenLauncherTeam/openlauncher", "show")</f>
        <v>show</v>
      </c>
      <c r="H2631" t="str">
        <f>HYPERLINK("https://github.com/OpenLauncherTeam/openlauncher/releases", "show")</f>
        <v>show</v>
      </c>
      <c r="I2631">
        <v>1</v>
      </c>
      <c r="J2631">
        <v>0</v>
      </c>
      <c r="K2631">
        <v>0</v>
      </c>
      <c r="L2631">
        <v>0</v>
      </c>
      <c r="M2631" t="s">
        <v>17</v>
      </c>
    </row>
    <row r="2632" spans="1:13" hidden="1" x14ac:dyDescent="0.15">
      <c r="A2632" t="s">
        <v>8375</v>
      </c>
      <c r="B2632" t="s">
        <v>8376</v>
      </c>
      <c r="C2632" t="s">
        <v>8377</v>
      </c>
      <c r="D2632" t="s">
        <v>8369</v>
      </c>
      <c r="E2632">
        <v>9</v>
      </c>
      <c r="F2632" t="str">
        <f>HYPERLINK("https://github.com/codinguser/gnucash-android/issues/664", "show")</f>
        <v>show</v>
      </c>
      <c r="G2632" t="str">
        <f>HYPERLINK("https://github.com/codinguser/gnucash-android", "show")</f>
        <v>show</v>
      </c>
      <c r="H2632" t="str">
        <f>HYPERLINK("https://github.com/codinguser/gnucash-android/releases", "show")</f>
        <v>show</v>
      </c>
      <c r="I2632">
        <v>1</v>
      </c>
      <c r="J2632">
        <v>1</v>
      </c>
      <c r="K2632">
        <v>0</v>
      </c>
      <c r="L2632">
        <v>0</v>
      </c>
      <c r="M2632" t="s">
        <v>48</v>
      </c>
    </row>
    <row r="2633" spans="1:13" hidden="1" x14ac:dyDescent="0.15">
      <c r="A2633" t="s">
        <v>8378</v>
      </c>
      <c r="B2633" t="s">
        <v>8379</v>
      </c>
      <c r="D2633" t="s">
        <v>8380</v>
      </c>
      <c r="E2633">
        <v>4</v>
      </c>
      <c r="F2633" t="str">
        <f>HYPERLINK("https://github.com/zhanhui913/Budget/issues/171", "show")</f>
        <v>show</v>
      </c>
      <c r="G2633" t="str">
        <f>HYPERLINK("https://github.com/zhanhui913/Budget", "show")</f>
        <v>show</v>
      </c>
      <c r="H2633" t="str">
        <f>HYPERLINK("https://github.com/zhanhui913/Budget/releases", "show")</f>
        <v>show</v>
      </c>
      <c r="I2633">
        <v>1</v>
      </c>
      <c r="J2633">
        <v>0</v>
      </c>
      <c r="K2633">
        <v>0</v>
      </c>
      <c r="L2633">
        <v>0</v>
      </c>
      <c r="M2633" t="s">
        <v>17</v>
      </c>
    </row>
    <row r="2634" spans="1:13" hidden="1" x14ac:dyDescent="0.15">
      <c r="A2634" t="s">
        <v>8381</v>
      </c>
      <c r="B2634" t="s">
        <v>8382</v>
      </c>
      <c r="C2634" t="s">
        <v>8383</v>
      </c>
      <c r="D2634" t="s">
        <v>8380</v>
      </c>
      <c r="E2634">
        <v>0</v>
      </c>
      <c r="F2634" t="str">
        <f>HYPERLINK("https://github.com/5calls/android/issues/81", "show")</f>
        <v>show</v>
      </c>
      <c r="G2634" t="str">
        <f>HYPERLINK("https://github.com/5calls/android", "show")</f>
        <v>show</v>
      </c>
      <c r="H2634" t="str">
        <f>HYPERLINK("https://github.com/5calls/android/releases", "show")</f>
        <v>show</v>
      </c>
      <c r="I2634">
        <v>0</v>
      </c>
      <c r="J2634">
        <v>0</v>
      </c>
      <c r="K2634">
        <v>0</v>
      </c>
      <c r="L2634">
        <v>0</v>
      </c>
      <c r="M2634" t="s">
        <v>43</v>
      </c>
    </row>
    <row r="2635" spans="1:13" hidden="1" x14ac:dyDescent="0.15">
      <c r="A2635" t="s">
        <v>8384</v>
      </c>
      <c r="B2635" t="s">
        <v>8385</v>
      </c>
      <c r="C2635" t="s">
        <v>8386</v>
      </c>
      <c r="D2635" t="s">
        <v>8380</v>
      </c>
      <c r="E2635">
        <v>293</v>
      </c>
      <c r="F2635" t="str">
        <f>HYPERLINK("https://github.com/inovait/neatle/issues/2", "show")</f>
        <v>show</v>
      </c>
      <c r="G2635" t="str">
        <f>HYPERLINK("https://github.com/inovait/neatle", "show")</f>
        <v>show</v>
      </c>
      <c r="H2635" t="str">
        <f>HYPERLINK("https://github.com/inovait/neatle/releases", "show")</f>
        <v>show</v>
      </c>
      <c r="I2635">
        <v>1</v>
      </c>
      <c r="J2635">
        <v>0</v>
      </c>
      <c r="K2635">
        <v>0</v>
      </c>
      <c r="L2635">
        <v>0</v>
      </c>
      <c r="M2635" t="s">
        <v>17</v>
      </c>
    </row>
    <row r="2636" spans="1:13" hidden="1" x14ac:dyDescent="0.15">
      <c r="A2636" t="s">
        <v>8387</v>
      </c>
      <c r="B2636" t="s">
        <v>4871</v>
      </c>
      <c r="C2636" t="s">
        <v>504</v>
      </c>
      <c r="D2636" t="s">
        <v>8380</v>
      </c>
      <c r="E2636">
        <v>329</v>
      </c>
      <c r="F2636" t="str">
        <f>HYPERLINK("https://github.com/tanrabad/survey/issues/19", "show")</f>
        <v>show</v>
      </c>
      <c r="G2636" t="str">
        <f>HYPERLINK("https://github.com/tanrabad/survey", "show")</f>
        <v>show</v>
      </c>
      <c r="H2636" t="str">
        <f>HYPERLINK("https://github.com/tanrabad/survey/releases", "show")</f>
        <v>show</v>
      </c>
      <c r="I2636">
        <v>1</v>
      </c>
      <c r="J2636">
        <v>0</v>
      </c>
      <c r="K2636">
        <v>0</v>
      </c>
      <c r="L2636">
        <v>0</v>
      </c>
      <c r="M2636" t="s">
        <v>17</v>
      </c>
    </row>
    <row r="2637" spans="1:13" hidden="1" x14ac:dyDescent="0.15">
      <c r="A2637" t="s">
        <v>8388</v>
      </c>
      <c r="B2637" t="s">
        <v>8389</v>
      </c>
      <c r="C2637" t="s">
        <v>8390</v>
      </c>
      <c r="D2637" t="s">
        <v>8391</v>
      </c>
      <c r="E2637">
        <v>2</v>
      </c>
      <c r="F2637" t="str">
        <f>HYPERLINK("https://github.com/google/ExoPlayer/issues/2663", "show")</f>
        <v>show</v>
      </c>
      <c r="G2637" t="str">
        <f>HYPERLINK("https://github.com/google/ExoPlayer", "show")</f>
        <v>show</v>
      </c>
      <c r="H2637" t="str">
        <f>HYPERLINK("https://github.com/google/ExoPlayer/releases", "show")</f>
        <v>show</v>
      </c>
      <c r="I2637">
        <v>1</v>
      </c>
      <c r="J2637">
        <v>0</v>
      </c>
      <c r="K2637">
        <v>0</v>
      </c>
      <c r="L2637">
        <v>0</v>
      </c>
      <c r="M2637" t="s">
        <v>17</v>
      </c>
    </row>
    <row r="2638" spans="1:13" hidden="1" x14ac:dyDescent="0.15">
      <c r="A2638" t="s">
        <v>8392</v>
      </c>
      <c r="B2638" t="s">
        <v>8393</v>
      </c>
      <c r="C2638" t="s">
        <v>8394</v>
      </c>
      <c r="D2638" t="s">
        <v>8391</v>
      </c>
      <c r="E2638">
        <v>2</v>
      </c>
      <c r="F2638" t="str">
        <f>HYPERLINK("https://github.com/konradrenner/kolabnotes-android/issues/160", "show")</f>
        <v>show</v>
      </c>
      <c r="G2638" t="str">
        <f>HYPERLINK("https://github.com/konradrenner/kolabnotes-android", "show")</f>
        <v>show</v>
      </c>
      <c r="H2638" t="str">
        <f>HYPERLINK("https://github.com/konradrenner/kolabnotes-android/releases", "show")</f>
        <v>show</v>
      </c>
      <c r="I2638">
        <v>1</v>
      </c>
      <c r="J2638">
        <v>0</v>
      </c>
      <c r="K2638">
        <v>1</v>
      </c>
      <c r="L2638">
        <v>0</v>
      </c>
      <c r="M2638" t="s">
        <v>64</v>
      </c>
    </row>
    <row r="2639" spans="1:13" hidden="1" x14ac:dyDescent="0.15">
      <c r="A2639" t="s">
        <v>8395</v>
      </c>
      <c r="B2639" t="s">
        <v>8396</v>
      </c>
      <c r="C2639" t="s">
        <v>8397</v>
      </c>
      <c r="D2639" t="s">
        <v>8391</v>
      </c>
      <c r="E2639">
        <v>14</v>
      </c>
      <c r="F2639" t="str">
        <f>HYPERLINK("https://github.com/cgeo/cgeo/issues/6481", "show")</f>
        <v>show</v>
      </c>
      <c r="G2639" t="str">
        <f>HYPERLINK("https://github.com/cgeo/cgeo", "show")</f>
        <v>show</v>
      </c>
      <c r="H2639" t="str">
        <f>HYPERLINK("https://github.com/cgeo/cgeo/releases", "show")</f>
        <v>show</v>
      </c>
      <c r="I2639">
        <v>1</v>
      </c>
      <c r="J2639">
        <v>0</v>
      </c>
      <c r="K2639">
        <v>0</v>
      </c>
      <c r="L2639">
        <v>0</v>
      </c>
      <c r="M2639" t="s">
        <v>17</v>
      </c>
    </row>
    <row r="2640" spans="1:13" hidden="1" x14ac:dyDescent="0.15">
      <c r="A2640" t="s">
        <v>8398</v>
      </c>
      <c r="B2640" t="s">
        <v>8399</v>
      </c>
      <c r="C2640" t="s">
        <v>8400</v>
      </c>
      <c r="D2640" t="s">
        <v>8391</v>
      </c>
      <c r="E2640">
        <v>437</v>
      </c>
      <c r="F2640" t="str">
        <f>HYPERLINK("https://github.com/ankidroid/Anki-Android/issues/4617", "show")</f>
        <v>show</v>
      </c>
      <c r="G2640" t="str">
        <f>HYPERLINK("https://github.com/ankidroid/Anki-Android", "show")</f>
        <v>show</v>
      </c>
      <c r="H2640" t="str">
        <f>HYPERLINK("https://github.com/ankidroid/Anki-Android/releases", "show")</f>
        <v>show</v>
      </c>
      <c r="I2640">
        <v>1</v>
      </c>
      <c r="J2640">
        <v>1</v>
      </c>
      <c r="K2640">
        <v>1</v>
      </c>
      <c r="L2640">
        <v>0</v>
      </c>
      <c r="M2640" t="s">
        <v>59</v>
      </c>
    </row>
    <row r="2641" spans="1:13" hidden="1" x14ac:dyDescent="0.15">
      <c r="A2641" t="s">
        <v>8401</v>
      </c>
      <c r="B2641" t="s">
        <v>4871</v>
      </c>
      <c r="C2641" t="s">
        <v>504</v>
      </c>
      <c r="D2641" t="s">
        <v>8402</v>
      </c>
      <c r="E2641">
        <v>326</v>
      </c>
      <c r="F2641" t="str">
        <f>HYPERLINK("https://github.com/tanrabad/survey/issues/20", "show")</f>
        <v>show</v>
      </c>
      <c r="G2641" t="str">
        <f>HYPERLINK("https://github.com/tanrabad/survey", "show")</f>
        <v>show</v>
      </c>
      <c r="H2641" t="str">
        <f>HYPERLINK("https://github.com/tanrabad/survey/releases", "show")</f>
        <v>show</v>
      </c>
      <c r="I2641">
        <v>1</v>
      </c>
      <c r="J2641">
        <v>0</v>
      </c>
      <c r="K2641">
        <v>0</v>
      </c>
      <c r="L2641">
        <v>0</v>
      </c>
      <c r="M2641" t="s">
        <v>17</v>
      </c>
    </row>
    <row r="2642" spans="1:13" hidden="1" x14ac:dyDescent="0.15">
      <c r="A2642" t="s">
        <v>8403</v>
      </c>
      <c r="B2642" t="s">
        <v>8404</v>
      </c>
      <c r="C2642" t="s">
        <v>8405</v>
      </c>
      <c r="D2642" t="s">
        <v>8406</v>
      </c>
      <c r="E2642">
        <v>7</v>
      </c>
      <c r="F2642" t="str">
        <f>HYPERLINK("https://github.com/getodk/collect/issues/869", "show")</f>
        <v>show</v>
      </c>
      <c r="G2642" t="str">
        <f>HYPERLINK("https://github.com/getodk/collect", "show")</f>
        <v>show</v>
      </c>
      <c r="H2642" t="str">
        <f>HYPERLINK("https://github.com/getodk/collect/releases", "show")</f>
        <v>show</v>
      </c>
      <c r="I2642">
        <v>1</v>
      </c>
      <c r="J2642">
        <v>1</v>
      </c>
      <c r="K2642">
        <v>1</v>
      </c>
      <c r="L2642">
        <v>0</v>
      </c>
      <c r="M2642" t="s">
        <v>59</v>
      </c>
    </row>
    <row r="2643" spans="1:13" hidden="1" x14ac:dyDescent="0.15">
      <c r="A2643" t="s">
        <v>8407</v>
      </c>
      <c r="B2643" t="s">
        <v>8408</v>
      </c>
      <c r="C2643" t="s">
        <v>8409</v>
      </c>
      <c r="D2643" t="s">
        <v>8406</v>
      </c>
      <c r="E2643">
        <v>23</v>
      </c>
      <c r="F2643" t="str">
        <f>HYPERLINK("https://github.com/DroidsOnRoids/Workcation/issues/3", "show")</f>
        <v>show</v>
      </c>
      <c r="G2643" t="str">
        <f>HYPERLINK("https://github.com/DroidsOnRoids/Workcation", "show")</f>
        <v>show</v>
      </c>
      <c r="H2643" t="str">
        <f>HYPERLINK("https://github.com/DroidsOnRoids/Workcation/releases", "show")</f>
        <v>show</v>
      </c>
      <c r="I2643">
        <v>1</v>
      </c>
      <c r="J2643">
        <v>0</v>
      </c>
      <c r="K2643">
        <v>1</v>
      </c>
      <c r="L2643">
        <v>1</v>
      </c>
      <c r="M2643" t="s">
        <v>1259</v>
      </c>
    </row>
    <row r="2644" spans="1:13" hidden="1" x14ac:dyDescent="0.15">
      <c r="A2644" t="s">
        <v>8410</v>
      </c>
      <c r="B2644" t="s">
        <v>8411</v>
      </c>
      <c r="C2644" t="s">
        <v>8412</v>
      </c>
      <c r="D2644" t="s">
        <v>8406</v>
      </c>
      <c r="E2644">
        <v>23</v>
      </c>
      <c r="F2644" t="str">
        <f>HYPERLINK("https://github.com/nextcloud/android/issues/820", "show")</f>
        <v>show</v>
      </c>
      <c r="G2644" t="str">
        <f>HYPERLINK("https://github.com/nextcloud/android", "show")</f>
        <v>show</v>
      </c>
      <c r="H2644" t="str">
        <f>HYPERLINK("https://github.com/nextcloud/android/releases", "show")</f>
        <v>show</v>
      </c>
      <c r="I2644">
        <v>1</v>
      </c>
      <c r="J2644">
        <v>1</v>
      </c>
      <c r="K2644">
        <v>0</v>
      </c>
      <c r="L2644">
        <v>0</v>
      </c>
      <c r="M2644" t="s">
        <v>48</v>
      </c>
    </row>
    <row r="2645" spans="1:13" hidden="1" x14ac:dyDescent="0.15">
      <c r="A2645" t="s">
        <v>8413</v>
      </c>
      <c r="B2645" t="s">
        <v>8414</v>
      </c>
      <c r="C2645" t="s">
        <v>8415</v>
      </c>
      <c r="D2645" t="s">
        <v>8406</v>
      </c>
      <c r="E2645">
        <v>0</v>
      </c>
      <c r="F2645" t="str">
        <f>HYPERLINK("https://github.com/zhanhui913/Budget/issues/172", "show")</f>
        <v>show</v>
      </c>
      <c r="G2645" t="str">
        <f>HYPERLINK("https://github.com/zhanhui913/Budget", "show")</f>
        <v>show</v>
      </c>
      <c r="H2645" t="str">
        <f>HYPERLINK("https://github.com/zhanhui913/Budget/releases", "show")</f>
        <v>show</v>
      </c>
      <c r="I2645">
        <v>1</v>
      </c>
      <c r="J2645">
        <v>0</v>
      </c>
      <c r="K2645">
        <v>0</v>
      </c>
      <c r="L2645">
        <v>0</v>
      </c>
      <c r="M2645" t="s">
        <v>17</v>
      </c>
    </row>
    <row r="2646" spans="1:13" hidden="1" x14ac:dyDescent="0.15">
      <c r="A2646" t="s">
        <v>8416</v>
      </c>
      <c r="B2646" t="s">
        <v>8417</v>
      </c>
      <c r="C2646" t="s">
        <v>8418</v>
      </c>
      <c r="D2646" t="s">
        <v>8406</v>
      </c>
      <c r="E2646">
        <v>9</v>
      </c>
      <c r="F2646" t="str">
        <f>HYPERLINK("https://github.com/SCCapstone/Gamecock-Study/issues/45", "show")</f>
        <v>show</v>
      </c>
      <c r="G2646" t="str">
        <f>HYPERLINK("https://github.com/SCCapstone/Gamecock-Study", "show")</f>
        <v>show</v>
      </c>
      <c r="H2646" t="str">
        <f>HYPERLINK("https://github.com/SCCapstone/Gamecock-Study/releases", "show")</f>
        <v>show</v>
      </c>
      <c r="I2646">
        <v>1</v>
      </c>
      <c r="J2646">
        <v>0</v>
      </c>
      <c r="K2646">
        <v>0</v>
      </c>
      <c r="L2646">
        <v>1</v>
      </c>
      <c r="M2646" t="s">
        <v>29</v>
      </c>
    </row>
    <row r="2647" spans="1:13" hidden="1" x14ac:dyDescent="0.15">
      <c r="A2647" t="s">
        <v>8419</v>
      </c>
      <c r="B2647" t="s">
        <v>8420</v>
      </c>
      <c r="C2647" t="s">
        <v>8421</v>
      </c>
      <c r="D2647" t="s">
        <v>8422</v>
      </c>
      <c r="E2647">
        <v>1</v>
      </c>
      <c r="F2647" t="str">
        <f>HYPERLINK("https://github.com/ViHtarb/Tooltip/issues/26", "show")</f>
        <v>show</v>
      </c>
      <c r="G2647" t="str">
        <f>HYPERLINK("https://github.com/ViHtarb/Tooltip", "show")</f>
        <v>show</v>
      </c>
      <c r="H2647" t="str">
        <f>HYPERLINK("https://github.com/ViHtarb/Tooltip/releases", "show")</f>
        <v>show</v>
      </c>
      <c r="I2647">
        <v>0</v>
      </c>
      <c r="J2647">
        <v>0</v>
      </c>
      <c r="K2647">
        <v>1</v>
      </c>
      <c r="L2647">
        <v>0</v>
      </c>
      <c r="M2647" t="s">
        <v>122</v>
      </c>
    </row>
    <row r="2648" spans="1:13" hidden="1" x14ac:dyDescent="0.15">
      <c r="A2648" t="s">
        <v>8423</v>
      </c>
      <c r="B2648" t="s">
        <v>6772</v>
      </c>
      <c r="D2648" t="s">
        <v>8422</v>
      </c>
      <c r="E2648">
        <v>286</v>
      </c>
      <c r="F2648" t="str">
        <f>HYPERLINK("https://github.com/7LPdWcaW/GrowTracker-Android/issues/40", "show")</f>
        <v>show</v>
      </c>
      <c r="G2648" t="str">
        <f>HYPERLINK("https://github.com/7LPdWcaW/GrowTracker-Android", "show")</f>
        <v>show</v>
      </c>
      <c r="H2648" t="str">
        <f>HYPERLINK("https://github.com/7LPdWcaW/GrowTracker-Android/releases", "show")</f>
        <v>show</v>
      </c>
      <c r="I2648">
        <v>1</v>
      </c>
      <c r="J2648">
        <v>0</v>
      </c>
      <c r="K2648">
        <v>0</v>
      </c>
      <c r="L2648">
        <v>0</v>
      </c>
      <c r="M2648" t="s">
        <v>17</v>
      </c>
    </row>
    <row r="2649" spans="1:13" hidden="1" x14ac:dyDescent="0.15">
      <c r="A2649" t="s">
        <v>8424</v>
      </c>
      <c r="B2649" t="s">
        <v>8425</v>
      </c>
      <c r="C2649" t="s">
        <v>8426</v>
      </c>
      <c r="D2649" t="s">
        <v>8422</v>
      </c>
      <c r="E2649">
        <v>47</v>
      </c>
      <c r="F2649" t="str">
        <f>HYPERLINK("https://github.com/schedjoules/android-event-discovery-sdk/issues/195", "show")</f>
        <v>show</v>
      </c>
      <c r="G2649" t="str">
        <f>HYPERLINK("https://github.com/schedjoules/android-event-discovery-sdk", "show")</f>
        <v>show</v>
      </c>
      <c r="H2649" t="str">
        <f>HYPERLINK("https://github.com/schedjoules/android-event-discovery-sdk/releases", "show")</f>
        <v>show</v>
      </c>
      <c r="I2649">
        <v>0</v>
      </c>
      <c r="J2649">
        <v>0</v>
      </c>
      <c r="K2649">
        <v>0</v>
      </c>
      <c r="L2649">
        <v>0</v>
      </c>
      <c r="M2649" t="s">
        <v>43</v>
      </c>
    </row>
    <row r="2650" spans="1:13" hidden="1" x14ac:dyDescent="0.15">
      <c r="A2650" t="s">
        <v>8427</v>
      </c>
      <c r="B2650" t="s">
        <v>8428</v>
      </c>
      <c r="C2650" t="s">
        <v>8429</v>
      </c>
      <c r="D2650" t="s">
        <v>8430</v>
      </c>
      <c r="E2650">
        <v>1</v>
      </c>
      <c r="F2650" t="str">
        <f>HYPERLINK("https://github.com/Automattic/Automattic-Tracks-Android/issues/28", "show")</f>
        <v>show</v>
      </c>
      <c r="G2650" t="str">
        <f>HYPERLINK("https://github.com/Automattic/Automattic-Tracks-Android", "show")</f>
        <v>show</v>
      </c>
      <c r="H2650" t="str">
        <f>HYPERLINK("https://github.com/Automattic/Automattic-Tracks-Android/releases", "show")</f>
        <v>show</v>
      </c>
      <c r="I2650">
        <v>1</v>
      </c>
      <c r="J2650">
        <v>0</v>
      </c>
      <c r="K2650">
        <v>0</v>
      </c>
      <c r="L2650">
        <v>0</v>
      </c>
      <c r="M2650" t="s">
        <v>17</v>
      </c>
    </row>
    <row r="2651" spans="1:13" hidden="1" x14ac:dyDescent="0.15">
      <c r="A2651" t="s">
        <v>8431</v>
      </c>
      <c r="B2651" t="s">
        <v>8432</v>
      </c>
      <c r="D2651" t="s">
        <v>8430</v>
      </c>
      <c r="E2651">
        <v>20</v>
      </c>
      <c r="F2651" t="str">
        <f>HYPERLINK("https://github.com/Iojjj/RoundedCornersBackgroundSpan/issues/3", "show")</f>
        <v>show</v>
      </c>
      <c r="G2651" t="str">
        <f>HYPERLINK("https://github.com/Iojjj/RoundedCornersBackgroundSpan", "show")</f>
        <v>show</v>
      </c>
      <c r="H2651" t="str">
        <f>HYPERLINK("https://github.com/Iojjj/RoundedCornersBackgroundSpan/releases", "show")</f>
        <v>show</v>
      </c>
      <c r="I2651">
        <v>0</v>
      </c>
      <c r="J2651">
        <v>0</v>
      </c>
      <c r="K2651">
        <v>0</v>
      </c>
      <c r="L2651">
        <v>0</v>
      </c>
      <c r="M2651" t="s">
        <v>43</v>
      </c>
    </row>
    <row r="2652" spans="1:13" hidden="1" x14ac:dyDescent="0.15">
      <c r="A2652" t="s">
        <v>8433</v>
      </c>
      <c r="B2652" t="s">
        <v>8434</v>
      </c>
      <c r="C2652" t="s">
        <v>8435</v>
      </c>
      <c r="D2652" t="s">
        <v>8430</v>
      </c>
      <c r="E2652">
        <v>53</v>
      </c>
      <c r="F2652" t="str">
        <f>HYPERLINK("https://github.com/evernote/android-job/issues/176", "show")</f>
        <v>show</v>
      </c>
      <c r="G2652" t="str">
        <f>HYPERLINK("https://github.com/evernote/android-job", "show")</f>
        <v>show</v>
      </c>
      <c r="H2652" t="str">
        <f>HYPERLINK("https://github.com/evernote/android-job/releases", "show")</f>
        <v>show</v>
      </c>
      <c r="I2652">
        <v>1</v>
      </c>
      <c r="J2652">
        <v>0</v>
      </c>
      <c r="K2652">
        <v>1</v>
      </c>
      <c r="L2652">
        <v>0</v>
      </c>
      <c r="M2652" t="s">
        <v>64</v>
      </c>
    </row>
    <row r="2653" spans="1:13" hidden="1" x14ac:dyDescent="0.15">
      <c r="A2653" t="s">
        <v>8436</v>
      </c>
      <c r="B2653" t="s">
        <v>8437</v>
      </c>
      <c r="C2653" t="s">
        <v>8438</v>
      </c>
      <c r="D2653" t="s">
        <v>8430</v>
      </c>
      <c r="E2653">
        <v>0</v>
      </c>
      <c r="F2653" t="str">
        <f>HYPERLINK("https://github.com/amahi/android/issues/198", "show")</f>
        <v>show</v>
      </c>
      <c r="G2653" t="str">
        <f>HYPERLINK("https://github.com/amahi/android", "show")</f>
        <v>show</v>
      </c>
      <c r="H2653" t="str">
        <f>HYPERLINK("https://github.com/amahi/android/releases", "show")</f>
        <v>show</v>
      </c>
      <c r="I2653">
        <v>1</v>
      </c>
      <c r="J2653">
        <v>0</v>
      </c>
      <c r="K2653">
        <v>1</v>
      </c>
      <c r="L2653">
        <v>0</v>
      </c>
      <c r="M2653" t="s">
        <v>64</v>
      </c>
    </row>
    <row r="2654" spans="1:13" hidden="1" x14ac:dyDescent="0.15">
      <c r="A2654" t="s">
        <v>8439</v>
      </c>
      <c r="B2654" t="s">
        <v>8440</v>
      </c>
      <c r="C2654" t="s">
        <v>8441</v>
      </c>
      <c r="D2654" t="s">
        <v>8442</v>
      </c>
      <c r="E2654">
        <v>282</v>
      </c>
      <c r="F2654" t="str">
        <f>HYPERLINK("https://github.com/ozelevrim/EvrimNews/issues/11", "show")</f>
        <v>show</v>
      </c>
      <c r="G2654" t="str">
        <f>HYPERLINK("https://github.com/ozelevrim/EvrimNews", "show")</f>
        <v>show</v>
      </c>
      <c r="H2654" t="str">
        <f>HYPERLINK("https://github.com/ozelevrim/EvrimNews/releases", "show")</f>
        <v>show</v>
      </c>
      <c r="I2654">
        <v>1</v>
      </c>
      <c r="J2654">
        <v>0</v>
      </c>
      <c r="K2654">
        <v>0</v>
      </c>
      <c r="L2654">
        <v>0</v>
      </c>
      <c r="M2654" t="s">
        <v>17</v>
      </c>
    </row>
    <row r="2655" spans="1:13" hidden="1" x14ac:dyDescent="0.15">
      <c r="A2655" t="s">
        <v>8443</v>
      </c>
      <c r="B2655" t="s">
        <v>8444</v>
      </c>
      <c r="C2655" t="s">
        <v>8445</v>
      </c>
      <c r="D2655" t="s">
        <v>8442</v>
      </c>
      <c r="E2655">
        <v>214</v>
      </c>
      <c r="F2655" t="str">
        <f>HYPERLINK("https://github.com/erickok/transdroid/issues/367", "show")</f>
        <v>show</v>
      </c>
      <c r="G2655" t="str">
        <f>HYPERLINK("https://github.com/erickok/transdroid", "show")</f>
        <v>show</v>
      </c>
      <c r="H2655" t="str">
        <f>HYPERLINK("https://github.com/erickok/transdroid/releases", "show")</f>
        <v>show</v>
      </c>
      <c r="I2655">
        <v>1</v>
      </c>
      <c r="J2655">
        <v>0</v>
      </c>
      <c r="K2655">
        <v>0</v>
      </c>
      <c r="L2655">
        <v>0</v>
      </c>
      <c r="M2655" t="s">
        <v>17</v>
      </c>
    </row>
    <row r="2656" spans="1:13" hidden="1" x14ac:dyDescent="0.15">
      <c r="A2656" t="s">
        <v>8446</v>
      </c>
      <c r="B2656" t="s">
        <v>8447</v>
      </c>
      <c r="C2656" t="s">
        <v>8448</v>
      </c>
      <c r="D2656" t="s">
        <v>8442</v>
      </c>
      <c r="E2656">
        <v>7</v>
      </c>
      <c r="F2656" t="str">
        <f>HYPERLINK("https://github.com/schotten-totten-company/schotten-totten/issues/45", "show")</f>
        <v>show</v>
      </c>
      <c r="G2656" t="str">
        <f>HYPERLINK("https://github.com/schotten-totten-company/schotten-totten", "show")</f>
        <v>show</v>
      </c>
      <c r="H2656" t="str">
        <f>HYPERLINK("https://github.com/schotten-totten-company/schotten-totten/releases", "show")</f>
        <v>show</v>
      </c>
      <c r="I2656">
        <v>0</v>
      </c>
      <c r="J2656">
        <v>0</v>
      </c>
      <c r="K2656">
        <v>0</v>
      </c>
      <c r="L2656">
        <v>0</v>
      </c>
      <c r="M2656" t="s">
        <v>43</v>
      </c>
    </row>
    <row r="2657" spans="1:13" hidden="1" x14ac:dyDescent="0.15">
      <c r="A2657" t="s">
        <v>8449</v>
      </c>
      <c r="B2657" t="s">
        <v>8450</v>
      </c>
      <c r="C2657" t="s">
        <v>8451</v>
      </c>
      <c r="D2657" t="s">
        <v>8442</v>
      </c>
      <c r="E2657">
        <v>62</v>
      </c>
      <c r="F2657" t="str">
        <f>HYPERLINK("https://github.com/timusus/Shuttle/issues/91", "show")</f>
        <v>show</v>
      </c>
      <c r="G2657" t="str">
        <f>HYPERLINK("https://github.com/timusus/Shuttle", "show")</f>
        <v>show</v>
      </c>
      <c r="H2657" t="str">
        <f>HYPERLINK("https://github.com/timusus/Shuttle/releases", "show")</f>
        <v>show</v>
      </c>
      <c r="I2657">
        <v>1</v>
      </c>
      <c r="J2657">
        <v>1</v>
      </c>
      <c r="K2657">
        <v>0</v>
      </c>
      <c r="L2657">
        <v>0</v>
      </c>
      <c r="M2657" t="s">
        <v>48</v>
      </c>
    </row>
    <row r="2658" spans="1:13" hidden="1" x14ac:dyDescent="0.15">
      <c r="A2658" t="s">
        <v>8452</v>
      </c>
      <c r="B2658" t="s">
        <v>8453</v>
      </c>
      <c r="C2658" t="s">
        <v>8454</v>
      </c>
      <c r="D2658" t="s">
        <v>8442</v>
      </c>
      <c r="E2658">
        <v>1</v>
      </c>
      <c r="F2658" t="str">
        <f>HYPERLINK("https://github.com/username115/FRCScouting/issues/182", "show")</f>
        <v>show</v>
      </c>
      <c r="G2658" t="str">
        <f>HYPERLINK("https://github.com/username115/FRCScouting", "show")</f>
        <v>show</v>
      </c>
      <c r="H2658" t="str">
        <f>HYPERLINK("https://github.com/username115/FRCScouting/releases", "show")</f>
        <v>show</v>
      </c>
      <c r="I2658">
        <v>1</v>
      </c>
      <c r="J2658">
        <v>0</v>
      </c>
      <c r="K2658">
        <v>0</v>
      </c>
      <c r="L2658">
        <v>0</v>
      </c>
      <c r="M2658" t="s">
        <v>17</v>
      </c>
    </row>
    <row r="2659" spans="1:13" hidden="1" x14ac:dyDescent="0.15">
      <c r="A2659" t="s">
        <v>8455</v>
      </c>
      <c r="B2659" t="s">
        <v>8456</v>
      </c>
      <c r="C2659" t="s">
        <v>8457</v>
      </c>
      <c r="D2659" t="s">
        <v>8458</v>
      </c>
      <c r="E2659">
        <v>1</v>
      </c>
      <c r="F2659" t="str">
        <f>HYPERLINK("https://github.com/codinguser/gnucash-android/issues/672", "show")</f>
        <v>show</v>
      </c>
      <c r="G2659" t="str">
        <f>HYPERLINK("https://github.com/codinguser/gnucash-android", "show")</f>
        <v>show</v>
      </c>
      <c r="H2659" t="str">
        <f>HYPERLINK("https://github.com/codinguser/gnucash-android/releases", "show")</f>
        <v>show</v>
      </c>
      <c r="I2659">
        <v>1</v>
      </c>
      <c r="J2659">
        <v>0</v>
      </c>
      <c r="K2659">
        <v>0</v>
      </c>
      <c r="L2659">
        <v>0</v>
      </c>
      <c r="M2659" t="s">
        <v>17</v>
      </c>
    </row>
    <row r="2660" spans="1:13" hidden="1" x14ac:dyDescent="0.15">
      <c r="A2660" t="s">
        <v>8459</v>
      </c>
      <c r="B2660" t="s">
        <v>8460</v>
      </c>
      <c r="D2660" t="s">
        <v>8458</v>
      </c>
      <c r="E2660">
        <v>0</v>
      </c>
      <c r="F2660" t="str">
        <f>HYPERLINK("https://github.com/username115/FRCScouting/issues/183", "show")</f>
        <v>show</v>
      </c>
      <c r="G2660" t="str">
        <f>HYPERLINK("https://github.com/username115/FRCScouting", "show")</f>
        <v>show</v>
      </c>
      <c r="H2660" t="str">
        <f>HYPERLINK("https://github.com/username115/FRCScouting/releases", "show")</f>
        <v>show</v>
      </c>
      <c r="I2660">
        <v>1</v>
      </c>
      <c r="J2660">
        <v>0</v>
      </c>
      <c r="K2660">
        <v>0</v>
      </c>
      <c r="L2660">
        <v>0</v>
      </c>
      <c r="M2660" t="s">
        <v>17</v>
      </c>
    </row>
    <row r="2661" spans="1:13" hidden="1" x14ac:dyDescent="0.15">
      <c r="A2661" t="s">
        <v>8461</v>
      </c>
      <c r="B2661" t="s">
        <v>8462</v>
      </c>
      <c r="C2661" t="s">
        <v>8463</v>
      </c>
      <c r="D2661" t="s">
        <v>8458</v>
      </c>
      <c r="E2661">
        <v>4</v>
      </c>
      <c r="F2661" t="str">
        <f>HYPERLINK("https://github.com/commons-app/apps-android-commons/issues/506", "show")</f>
        <v>show</v>
      </c>
      <c r="G2661" t="str">
        <f>HYPERLINK("https://github.com/commons-app/apps-android-commons", "show")</f>
        <v>show</v>
      </c>
      <c r="H2661" t="str">
        <f>HYPERLINK("https://github.com/commons-app/apps-android-commons/releases", "show")</f>
        <v>show</v>
      </c>
      <c r="I2661">
        <v>1</v>
      </c>
      <c r="J2661">
        <v>1</v>
      </c>
      <c r="K2661">
        <v>1</v>
      </c>
      <c r="L2661">
        <v>0</v>
      </c>
      <c r="M2661" t="s">
        <v>59</v>
      </c>
    </row>
    <row r="2662" spans="1:13" hidden="1" x14ac:dyDescent="0.15">
      <c r="A2662" t="s">
        <v>8464</v>
      </c>
      <c r="B2662" t="s">
        <v>8465</v>
      </c>
      <c r="C2662" t="s">
        <v>8466</v>
      </c>
      <c r="D2662" t="s">
        <v>8458</v>
      </c>
      <c r="E2662">
        <v>0</v>
      </c>
      <c r="F2662" t="str">
        <f>HYPERLINK("https://github.com/midhunhk/trip-o-meter/issues/16", "show")</f>
        <v>show</v>
      </c>
      <c r="G2662" t="str">
        <f>HYPERLINK("https://github.com/midhunhk/trip-o-meter", "show")</f>
        <v>show</v>
      </c>
      <c r="H2662" t="str">
        <f>HYPERLINK("https://github.com/midhunhk/trip-o-meter/releases", "show")</f>
        <v>show</v>
      </c>
      <c r="I2662">
        <v>1</v>
      </c>
      <c r="J2662">
        <v>0</v>
      </c>
      <c r="K2662">
        <v>1</v>
      </c>
      <c r="L2662">
        <v>0</v>
      </c>
      <c r="M2662" t="s">
        <v>64</v>
      </c>
    </row>
    <row r="2663" spans="1:13" hidden="1" x14ac:dyDescent="0.15">
      <c r="A2663" t="s">
        <v>8467</v>
      </c>
      <c r="B2663" t="s">
        <v>8468</v>
      </c>
      <c r="C2663" t="s">
        <v>8469</v>
      </c>
      <c r="D2663" t="s">
        <v>8470</v>
      </c>
      <c r="E2663">
        <v>0</v>
      </c>
      <c r="F2663" t="str">
        <f>HYPERLINK("https://github.com/pchmn/MaterialChipsInput/issues/1", "show")</f>
        <v>show</v>
      </c>
      <c r="G2663" t="str">
        <f>HYPERLINK("https://github.com/pchmn/MaterialChipsInput", "show")</f>
        <v>show</v>
      </c>
      <c r="H2663" t="str">
        <f>HYPERLINK("https://github.com/pchmn/MaterialChipsInput/releases", "show")</f>
        <v>show</v>
      </c>
      <c r="I2663">
        <v>1</v>
      </c>
      <c r="J2663">
        <v>0</v>
      </c>
      <c r="K2663">
        <v>0</v>
      </c>
      <c r="L2663">
        <v>0</v>
      </c>
      <c r="M2663" t="s">
        <v>17</v>
      </c>
    </row>
    <row r="2664" spans="1:13" hidden="1" x14ac:dyDescent="0.15">
      <c r="A2664" t="s">
        <v>8471</v>
      </c>
      <c r="B2664" t="s">
        <v>8472</v>
      </c>
      <c r="C2664" t="s">
        <v>8473</v>
      </c>
      <c r="D2664" t="s">
        <v>8470</v>
      </c>
      <c r="E2664">
        <v>34</v>
      </c>
      <c r="F2664" t="str">
        <f>HYPERLINK("https://github.com/commons-app/apps-android-commons/issues/510", "show")</f>
        <v>show</v>
      </c>
      <c r="G2664" t="str">
        <f>HYPERLINK("https://github.com/commons-app/apps-android-commons", "show")</f>
        <v>show</v>
      </c>
      <c r="H2664" t="str">
        <f>HYPERLINK("https://github.com/commons-app/apps-android-commons/releases", "show")</f>
        <v>show</v>
      </c>
      <c r="I2664">
        <v>0</v>
      </c>
      <c r="J2664">
        <v>0</v>
      </c>
      <c r="K2664">
        <v>1</v>
      </c>
      <c r="L2664">
        <v>0</v>
      </c>
      <c r="M2664" t="s">
        <v>122</v>
      </c>
    </row>
    <row r="2665" spans="1:13" hidden="1" x14ac:dyDescent="0.15">
      <c r="A2665" t="s">
        <v>8474</v>
      </c>
      <c r="B2665" t="s">
        <v>8475</v>
      </c>
      <c r="C2665" t="s">
        <v>8476</v>
      </c>
      <c r="D2665" t="s">
        <v>8470</v>
      </c>
      <c r="E2665">
        <v>55</v>
      </c>
      <c r="F2665" t="str">
        <f>HYPERLINK("https://github.com/cientopolis/samplers/issues/38", "show")</f>
        <v>show</v>
      </c>
      <c r="G2665" t="str">
        <f>HYPERLINK("https://github.com/cientopolis/samplers", "show")</f>
        <v>show</v>
      </c>
      <c r="H2665" t="str">
        <f>HYPERLINK("https://github.com/cientopolis/samplers/releases", "show")</f>
        <v>show</v>
      </c>
      <c r="I2665">
        <v>1</v>
      </c>
      <c r="J2665">
        <v>0</v>
      </c>
      <c r="K2665">
        <v>0</v>
      </c>
      <c r="L2665">
        <v>0</v>
      </c>
      <c r="M2665" t="s">
        <v>17</v>
      </c>
    </row>
    <row r="2666" spans="1:13" hidden="1" x14ac:dyDescent="0.15">
      <c r="A2666" t="s">
        <v>8477</v>
      </c>
      <c r="B2666" t="s">
        <v>8478</v>
      </c>
      <c r="C2666" t="s">
        <v>8479</v>
      </c>
      <c r="D2666" t="s">
        <v>8480</v>
      </c>
      <c r="E2666">
        <v>563</v>
      </c>
      <c r="F2666" t="str">
        <f>HYPERLINK("https://github.com/inaturalist/iNaturalistAndroid/issues/329", "show")</f>
        <v>show</v>
      </c>
      <c r="G2666" t="str">
        <f>HYPERLINK("https://github.com/inaturalist/iNaturalistAndroid", "show")</f>
        <v>show</v>
      </c>
      <c r="H2666" t="str">
        <f>HYPERLINK("https://github.com/inaturalist/iNaturalistAndroid/releases", "show")</f>
        <v>show</v>
      </c>
      <c r="I2666">
        <v>0</v>
      </c>
      <c r="J2666">
        <v>0</v>
      </c>
      <c r="K2666">
        <v>1</v>
      </c>
      <c r="L2666">
        <v>0</v>
      </c>
      <c r="M2666" t="s">
        <v>122</v>
      </c>
    </row>
    <row r="2667" spans="1:13" hidden="1" x14ac:dyDescent="0.15">
      <c r="A2667" t="s">
        <v>8481</v>
      </c>
      <c r="B2667" t="s">
        <v>8482</v>
      </c>
      <c r="C2667" t="s">
        <v>8483</v>
      </c>
      <c r="D2667" t="s">
        <v>8484</v>
      </c>
      <c r="E2667">
        <v>68</v>
      </c>
      <c r="F2667" t="str">
        <f>HYPERLINK("https://github.com/zom/Zom-Android-XMPP/issues/218", "show")</f>
        <v>show</v>
      </c>
      <c r="G2667" t="str">
        <f>HYPERLINK("https://github.com/zom/Zom-Android-XMPP", "show")</f>
        <v>show</v>
      </c>
      <c r="H2667" t="str">
        <f>HYPERLINK("https://github.com/zom/Zom-Android-XMPP/releases", "show")</f>
        <v>show</v>
      </c>
      <c r="I2667">
        <v>1</v>
      </c>
      <c r="J2667">
        <v>0</v>
      </c>
      <c r="K2667">
        <v>0</v>
      </c>
      <c r="L2667">
        <v>0</v>
      </c>
      <c r="M2667" t="s">
        <v>17</v>
      </c>
    </row>
    <row r="2668" spans="1:13" hidden="1" x14ac:dyDescent="0.15">
      <c r="A2668" t="s">
        <v>8485</v>
      </c>
      <c r="B2668" t="s">
        <v>8486</v>
      </c>
      <c r="C2668" t="s">
        <v>8487</v>
      </c>
      <c r="D2668" t="s">
        <v>8484</v>
      </c>
      <c r="E2668">
        <v>149</v>
      </c>
      <c r="F2668" t="str">
        <f>HYPERLINK("https://github.com/zom/Zom-Android-XMPP/issues/215", "show")</f>
        <v>show</v>
      </c>
      <c r="G2668" t="str">
        <f>HYPERLINK("https://github.com/zom/Zom-Android-XMPP", "show")</f>
        <v>show</v>
      </c>
      <c r="H2668" t="str">
        <f>HYPERLINK("https://github.com/zom/Zom-Android-XMPP/releases", "show")</f>
        <v>show</v>
      </c>
      <c r="I2668">
        <v>1</v>
      </c>
      <c r="J2668">
        <v>0</v>
      </c>
      <c r="K2668">
        <v>0</v>
      </c>
      <c r="L2668">
        <v>0</v>
      </c>
      <c r="M2668" t="s">
        <v>17</v>
      </c>
    </row>
    <row r="2669" spans="1:13" hidden="1" x14ac:dyDescent="0.15">
      <c r="A2669" t="s">
        <v>8488</v>
      </c>
      <c r="B2669" t="s">
        <v>8489</v>
      </c>
      <c r="C2669" t="s">
        <v>8490</v>
      </c>
      <c r="D2669" t="s">
        <v>8484</v>
      </c>
      <c r="E2669">
        <v>1</v>
      </c>
      <c r="F2669" t="str">
        <f>HYPERLINK("https://github.com/nextcloud/android/issues/850", "show")</f>
        <v>show</v>
      </c>
      <c r="G2669" t="str">
        <f>HYPERLINK("https://github.com/nextcloud/android", "show")</f>
        <v>show</v>
      </c>
      <c r="H2669" t="str">
        <f>HYPERLINK("https://github.com/nextcloud/android/releases", "show")</f>
        <v>show</v>
      </c>
      <c r="I2669">
        <v>1</v>
      </c>
      <c r="J2669">
        <v>1</v>
      </c>
      <c r="K2669">
        <v>1</v>
      </c>
      <c r="L2669">
        <v>1</v>
      </c>
      <c r="M2669" t="s">
        <v>2875</v>
      </c>
    </row>
    <row r="2670" spans="1:13" hidden="1" x14ac:dyDescent="0.15">
      <c r="A2670" t="s">
        <v>8491</v>
      </c>
      <c r="B2670" t="s">
        <v>8492</v>
      </c>
      <c r="C2670" t="s">
        <v>8493</v>
      </c>
      <c r="D2670" t="s">
        <v>8484</v>
      </c>
      <c r="E2670">
        <v>6</v>
      </c>
      <c r="F2670" t="str">
        <f>HYPERLINK("https://github.com/nextcloud/android/issues/843", "show")</f>
        <v>show</v>
      </c>
      <c r="G2670" t="str">
        <f>HYPERLINK("https://github.com/nextcloud/android", "show")</f>
        <v>show</v>
      </c>
      <c r="H2670" t="str">
        <f>HYPERLINK("https://github.com/nextcloud/android/releases", "show")</f>
        <v>show</v>
      </c>
      <c r="I2670">
        <v>0</v>
      </c>
      <c r="J2670">
        <v>1</v>
      </c>
      <c r="K2670">
        <v>0</v>
      </c>
      <c r="L2670">
        <v>1</v>
      </c>
      <c r="M2670" t="s">
        <v>1732</v>
      </c>
    </row>
    <row r="2671" spans="1:13" hidden="1" x14ac:dyDescent="0.15">
      <c r="A2671" t="s">
        <v>8494</v>
      </c>
      <c r="B2671" t="s">
        <v>8495</v>
      </c>
      <c r="C2671" t="s">
        <v>8496</v>
      </c>
      <c r="D2671" t="s">
        <v>8497</v>
      </c>
      <c r="E2671">
        <v>0</v>
      </c>
      <c r="F2671" t="str">
        <f>HYPERLINK("https://github.com/nextcloud/android/issues/858", "show")</f>
        <v>show</v>
      </c>
      <c r="G2671" t="str">
        <f>HYPERLINK("https://github.com/nextcloud/android", "show")</f>
        <v>show</v>
      </c>
      <c r="H2671" t="str">
        <f>HYPERLINK("https://github.com/nextcloud/android/releases", "show")</f>
        <v>show</v>
      </c>
      <c r="I2671">
        <v>1</v>
      </c>
      <c r="J2671">
        <v>0</v>
      </c>
      <c r="K2671">
        <v>0</v>
      </c>
      <c r="L2671">
        <v>0</v>
      </c>
      <c r="M2671" t="s">
        <v>17</v>
      </c>
    </row>
    <row r="2672" spans="1:13" hidden="1" x14ac:dyDescent="0.15">
      <c r="A2672" t="s">
        <v>8498</v>
      </c>
      <c r="B2672" t="s">
        <v>8499</v>
      </c>
      <c r="C2672" t="s">
        <v>8500</v>
      </c>
      <c r="D2672" t="s">
        <v>8497</v>
      </c>
      <c r="E2672">
        <v>0</v>
      </c>
      <c r="F2672" t="str">
        <f>HYPERLINK("https://github.com/tanguyantoine/react-native-music-control/issues/62", "show")</f>
        <v>show</v>
      </c>
      <c r="G2672" t="str">
        <f>HYPERLINK("https://github.com/tanguyantoine/react-native-music-control", "show")</f>
        <v>show</v>
      </c>
      <c r="H2672" t="str">
        <f>HYPERLINK("https://github.com/tanguyantoine/react-native-music-control/releases", "show")</f>
        <v>show</v>
      </c>
      <c r="I2672">
        <v>0</v>
      </c>
      <c r="J2672">
        <v>0</v>
      </c>
      <c r="K2672">
        <v>1</v>
      </c>
      <c r="L2672">
        <v>0</v>
      </c>
      <c r="M2672" t="s">
        <v>122</v>
      </c>
    </row>
    <row r="2673" spans="1:13" hidden="1" x14ac:dyDescent="0.15">
      <c r="A2673" t="s">
        <v>8501</v>
      </c>
      <c r="B2673" t="s">
        <v>8502</v>
      </c>
      <c r="D2673" t="s">
        <v>8497</v>
      </c>
      <c r="E2673">
        <v>0</v>
      </c>
      <c r="F2673" t="str">
        <f>HYPERLINK("https://github.com/nextcloud/android/issues/852", "show")</f>
        <v>show</v>
      </c>
      <c r="G2673" t="str">
        <f>HYPERLINK("https://github.com/nextcloud/android", "show")</f>
        <v>show</v>
      </c>
      <c r="H2673" t="str">
        <f>HYPERLINK("https://github.com/nextcloud/android/releases", "show")</f>
        <v>show</v>
      </c>
      <c r="I2673">
        <v>1</v>
      </c>
      <c r="J2673">
        <v>0</v>
      </c>
      <c r="K2673">
        <v>0</v>
      </c>
      <c r="L2673">
        <v>0</v>
      </c>
      <c r="M2673" t="s">
        <v>17</v>
      </c>
    </row>
    <row r="2674" spans="1:13" hidden="1" x14ac:dyDescent="0.15">
      <c r="A2674" t="s">
        <v>8503</v>
      </c>
      <c r="B2674" t="s">
        <v>8504</v>
      </c>
      <c r="C2674" t="s">
        <v>8505</v>
      </c>
      <c r="D2674" t="s">
        <v>8497</v>
      </c>
      <c r="E2674">
        <v>111</v>
      </c>
      <c r="F2674" t="str">
        <f>HYPERLINK("https://github.com/zom/Zom-Android-XMPP/issues/221", "show")</f>
        <v>show</v>
      </c>
      <c r="G2674" t="str">
        <f>HYPERLINK("https://github.com/zom/Zom-Android-XMPP", "show")</f>
        <v>show</v>
      </c>
      <c r="H2674" t="str">
        <f>HYPERLINK("https://github.com/zom/Zom-Android-XMPP/releases", "show")</f>
        <v>show</v>
      </c>
      <c r="I2674">
        <v>0</v>
      </c>
      <c r="J2674">
        <v>0</v>
      </c>
      <c r="K2674">
        <v>0</v>
      </c>
      <c r="L2674">
        <v>0</v>
      </c>
      <c r="M2674" t="s">
        <v>43</v>
      </c>
    </row>
    <row r="2675" spans="1:13" hidden="1" x14ac:dyDescent="0.15">
      <c r="A2675" t="s">
        <v>8506</v>
      </c>
      <c r="B2675" t="s">
        <v>8507</v>
      </c>
      <c r="C2675" t="s">
        <v>8508</v>
      </c>
      <c r="D2675" t="s">
        <v>8497</v>
      </c>
      <c r="E2675">
        <v>15</v>
      </c>
      <c r="F2675" t="str">
        <f>HYPERLINK("https://github.com/zom/Zom-Android-XMPP/issues/220", "show")</f>
        <v>show</v>
      </c>
      <c r="G2675" t="str">
        <f>HYPERLINK("https://github.com/zom/Zom-Android-XMPP", "show")</f>
        <v>show</v>
      </c>
      <c r="H2675" t="str">
        <f>HYPERLINK("https://github.com/zom/Zom-Android-XMPP/releases", "show")</f>
        <v>show</v>
      </c>
      <c r="I2675">
        <v>0</v>
      </c>
      <c r="J2675">
        <v>0</v>
      </c>
      <c r="K2675">
        <v>0</v>
      </c>
      <c r="L2675">
        <v>0</v>
      </c>
      <c r="M2675" t="s">
        <v>43</v>
      </c>
    </row>
    <row r="2676" spans="1:13" hidden="1" x14ac:dyDescent="0.15">
      <c r="A2676" t="s">
        <v>8509</v>
      </c>
      <c r="B2676" t="s">
        <v>8510</v>
      </c>
      <c r="C2676" t="s">
        <v>8511</v>
      </c>
      <c r="D2676" t="s">
        <v>8512</v>
      </c>
      <c r="E2676">
        <v>123</v>
      </c>
      <c r="F2676" t="str">
        <f>HYPERLINK("https://github.com/openid/OpenYOLO-Android/issues/27", "show")</f>
        <v>show</v>
      </c>
      <c r="G2676" t="str">
        <f>HYPERLINK("https://github.com/openid/OpenYOLO-Android", "show")</f>
        <v>show</v>
      </c>
      <c r="H2676" t="str">
        <f>HYPERLINK("https://github.com/openid/OpenYOLO-Android/releases", "show")</f>
        <v>show</v>
      </c>
      <c r="I2676">
        <v>0</v>
      </c>
      <c r="J2676">
        <v>0</v>
      </c>
      <c r="K2676">
        <v>0</v>
      </c>
      <c r="L2676">
        <v>1</v>
      </c>
      <c r="M2676" t="s">
        <v>581</v>
      </c>
    </row>
    <row r="2677" spans="1:13" x14ac:dyDescent="0.15">
      <c r="A2677" t="s">
        <v>8513</v>
      </c>
      <c r="B2677" t="s">
        <v>8514</v>
      </c>
      <c r="C2677" t="s">
        <v>8515</v>
      </c>
      <c r="D2677" t="s">
        <v>8512</v>
      </c>
      <c r="E2677">
        <v>9</v>
      </c>
      <c r="F2677" t="str">
        <f>HYPERLINK("https://github.com/nextcloud/android/issues/874", "show")</f>
        <v>show</v>
      </c>
      <c r="G2677" t="str">
        <f>HYPERLINK("https://github.com/nextcloud/android", "show")</f>
        <v>show</v>
      </c>
      <c r="H2677" t="str">
        <f>HYPERLINK("https://github.com/nextcloud/android/releases", "show")</f>
        <v>show</v>
      </c>
      <c r="I2677">
        <v>0</v>
      </c>
      <c r="J2677">
        <v>1</v>
      </c>
      <c r="K2677">
        <v>0</v>
      </c>
      <c r="L2677">
        <v>0</v>
      </c>
      <c r="M2677" t="s">
        <v>139</v>
      </c>
    </row>
    <row r="2678" spans="1:13" hidden="1" x14ac:dyDescent="0.15">
      <c r="A2678" t="s">
        <v>8516</v>
      </c>
      <c r="B2678" t="s">
        <v>6772</v>
      </c>
      <c r="D2678" t="s">
        <v>8512</v>
      </c>
      <c r="E2678">
        <v>0</v>
      </c>
      <c r="F2678" t="str">
        <f>HYPERLINK("https://github.com/7LPdWcaW/GrowTracker-Android/issues/41", "show")</f>
        <v>show</v>
      </c>
      <c r="G2678" t="str">
        <f>HYPERLINK("https://github.com/7LPdWcaW/GrowTracker-Android", "show")</f>
        <v>show</v>
      </c>
      <c r="H2678" t="str">
        <f>HYPERLINK("https://github.com/7LPdWcaW/GrowTracker-Android/releases", "show")</f>
        <v>show</v>
      </c>
      <c r="I2678">
        <v>1</v>
      </c>
      <c r="J2678">
        <v>0</v>
      </c>
      <c r="K2678">
        <v>0</v>
      </c>
      <c r="L2678">
        <v>0</v>
      </c>
      <c r="M2678" t="s">
        <v>17</v>
      </c>
    </row>
    <row r="2679" spans="1:13" hidden="1" x14ac:dyDescent="0.15">
      <c r="A2679" t="s">
        <v>8517</v>
      </c>
      <c r="B2679" t="s">
        <v>8518</v>
      </c>
      <c r="C2679" t="s">
        <v>8519</v>
      </c>
      <c r="D2679" t="s">
        <v>8512</v>
      </c>
      <c r="E2679">
        <v>3</v>
      </c>
      <c r="F2679" t="str">
        <f>HYPERLINK("https://github.com/vector-im/riot-android/issues/1148", "show")</f>
        <v>show</v>
      </c>
      <c r="G2679" t="str">
        <f>HYPERLINK("https://github.com/vector-im/riot-android", "show")</f>
        <v>show</v>
      </c>
      <c r="H2679" t="str">
        <f>HYPERLINK("https://github.com/vector-im/riot-android/releases", "show")</f>
        <v>show</v>
      </c>
      <c r="I2679">
        <v>1</v>
      </c>
      <c r="J2679">
        <v>0</v>
      </c>
      <c r="K2679">
        <v>0</v>
      </c>
      <c r="L2679">
        <v>0</v>
      </c>
      <c r="M2679" t="s">
        <v>17</v>
      </c>
    </row>
    <row r="2680" spans="1:13" hidden="1" x14ac:dyDescent="0.15">
      <c r="A2680" t="s">
        <v>8520</v>
      </c>
      <c r="B2680" t="s">
        <v>8521</v>
      </c>
      <c r="C2680" t="s">
        <v>8522</v>
      </c>
      <c r="D2680" t="s">
        <v>8512</v>
      </c>
      <c r="E2680">
        <v>257</v>
      </c>
      <c r="F2680" t="str">
        <f>HYPERLINK("https://github.com/Freeyourgadget/Gadgetbridge/issues/662", "show")</f>
        <v>show</v>
      </c>
      <c r="G2680" t="str">
        <f>HYPERLINK("https://github.com/Freeyourgadget/Gadgetbridge", "show")</f>
        <v>show</v>
      </c>
      <c r="H2680" t="str">
        <f>HYPERLINK("https://github.com/Freeyourgadget/Gadgetbridge/releases", "show")</f>
        <v>show</v>
      </c>
      <c r="I2680">
        <v>1</v>
      </c>
      <c r="J2680">
        <v>0</v>
      </c>
      <c r="K2680">
        <v>1</v>
      </c>
      <c r="L2680">
        <v>0</v>
      </c>
      <c r="M2680" t="s">
        <v>64</v>
      </c>
    </row>
    <row r="2681" spans="1:13" hidden="1" x14ac:dyDescent="0.15">
      <c r="A2681" t="s">
        <v>8523</v>
      </c>
      <c r="B2681" t="s">
        <v>8524</v>
      </c>
      <c r="C2681" t="s">
        <v>8525</v>
      </c>
      <c r="D2681" t="s">
        <v>8512</v>
      </c>
      <c r="E2681">
        <v>2</v>
      </c>
      <c r="F2681" t="str">
        <f>HYPERLINK("https://github.com/Openu20950/OpenApp/issues/83", "show")</f>
        <v>show</v>
      </c>
      <c r="G2681" t="str">
        <f>HYPERLINK("https://github.com/Openu20950/OpenApp", "show")</f>
        <v>show</v>
      </c>
      <c r="H2681" t="str">
        <f>HYPERLINK("https://github.com/Openu20950/OpenApp/releases", "show")</f>
        <v>show</v>
      </c>
      <c r="I2681">
        <v>1</v>
      </c>
      <c r="J2681">
        <v>0</v>
      </c>
      <c r="K2681">
        <v>0</v>
      </c>
      <c r="L2681">
        <v>0</v>
      </c>
      <c r="M2681" t="s">
        <v>17</v>
      </c>
    </row>
    <row r="2682" spans="1:13" hidden="1" x14ac:dyDescent="0.15">
      <c r="A2682" t="s">
        <v>8526</v>
      </c>
      <c r="B2682" t="s">
        <v>8527</v>
      </c>
      <c r="C2682" t="s">
        <v>8528</v>
      </c>
      <c r="D2682" t="s">
        <v>8512</v>
      </c>
      <c r="E2682">
        <v>2</v>
      </c>
      <c r="F2682" t="str">
        <f>HYPERLINK("https://github.com/Openu20950/OpenApp/issues/82", "show")</f>
        <v>show</v>
      </c>
      <c r="G2682" t="str">
        <f>HYPERLINK("https://github.com/Openu20950/OpenApp", "show")</f>
        <v>show</v>
      </c>
      <c r="H2682" t="str">
        <f>HYPERLINK("https://github.com/Openu20950/OpenApp/releases", "show")</f>
        <v>show</v>
      </c>
      <c r="I2682">
        <v>1</v>
      </c>
      <c r="J2682">
        <v>0</v>
      </c>
      <c r="K2682">
        <v>0</v>
      </c>
      <c r="L2682">
        <v>0</v>
      </c>
      <c r="M2682" t="s">
        <v>17</v>
      </c>
    </row>
    <row r="2683" spans="1:13" hidden="1" x14ac:dyDescent="0.15">
      <c r="A2683" t="s">
        <v>8529</v>
      </c>
      <c r="B2683" t="s">
        <v>8530</v>
      </c>
      <c r="C2683" t="s">
        <v>8531</v>
      </c>
      <c r="D2683" t="s">
        <v>8512</v>
      </c>
      <c r="E2683">
        <v>26</v>
      </c>
      <c r="F2683" t="str">
        <f>HYPERLINK("https://github.com/regulaforensics/RegulaDocumentReader-Android/issues/2", "show")</f>
        <v>show</v>
      </c>
      <c r="G2683" t="str">
        <f>HYPERLINK("https://github.com/regulaforensics/RegulaDocumentReader-Android", "show")</f>
        <v>show</v>
      </c>
      <c r="H2683" t="str">
        <f>HYPERLINK("https://github.com/regulaforensics/RegulaDocumentReader-Android/releases", "show")</f>
        <v>show</v>
      </c>
      <c r="I2683">
        <v>0</v>
      </c>
      <c r="J2683">
        <v>0</v>
      </c>
      <c r="K2683">
        <v>0</v>
      </c>
      <c r="L2683">
        <v>0</v>
      </c>
      <c r="M2683" t="s">
        <v>43</v>
      </c>
    </row>
    <row r="2684" spans="1:13" hidden="1" x14ac:dyDescent="0.15">
      <c r="A2684" t="s">
        <v>8532</v>
      </c>
      <c r="B2684" t="s">
        <v>8533</v>
      </c>
      <c r="D2684" t="s">
        <v>8512</v>
      </c>
      <c r="E2684">
        <v>4</v>
      </c>
      <c r="F2684" t="str">
        <f>HYPERLINK("https://github.com/nextcloud/android/issues/868", "show")</f>
        <v>show</v>
      </c>
      <c r="G2684" t="str">
        <f>HYPERLINK("https://github.com/nextcloud/android", "show")</f>
        <v>show</v>
      </c>
      <c r="H2684" t="str">
        <f>HYPERLINK("https://github.com/nextcloud/android/releases", "show")</f>
        <v>show</v>
      </c>
      <c r="I2684">
        <v>1</v>
      </c>
      <c r="J2684">
        <v>0</v>
      </c>
      <c r="K2684">
        <v>1</v>
      </c>
      <c r="L2684">
        <v>0</v>
      </c>
      <c r="M2684" t="s">
        <v>64</v>
      </c>
    </row>
    <row r="2685" spans="1:13" hidden="1" x14ac:dyDescent="0.15">
      <c r="A2685" t="s">
        <v>8534</v>
      </c>
      <c r="B2685" t="s">
        <v>8535</v>
      </c>
      <c r="D2685" t="s">
        <v>8536</v>
      </c>
      <c r="E2685">
        <v>0</v>
      </c>
      <c r="F2685" t="str">
        <f>HYPERLINK("https://github.com/kontalk/androidclient/issues/996", "show")</f>
        <v>show</v>
      </c>
      <c r="G2685" t="str">
        <f>HYPERLINK("https://github.com/kontalk/androidclient", "show")</f>
        <v>show</v>
      </c>
      <c r="H2685" t="str">
        <f>HYPERLINK("https://github.com/kontalk/androidclient/releases", "show")</f>
        <v>show</v>
      </c>
      <c r="I2685">
        <v>0</v>
      </c>
      <c r="J2685">
        <v>0</v>
      </c>
      <c r="K2685">
        <v>1</v>
      </c>
      <c r="L2685">
        <v>0</v>
      </c>
      <c r="M2685" t="s">
        <v>122</v>
      </c>
    </row>
    <row r="2686" spans="1:13" hidden="1" x14ac:dyDescent="0.15">
      <c r="A2686" t="s">
        <v>8537</v>
      </c>
      <c r="B2686" t="s">
        <v>8538</v>
      </c>
      <c r="C2686" t="s">
        <v>8539</v>
      </c>
      <c r="D2686" t="s">
        <v>8540</v>
      </c>
      <c r="E2686">
        <v>1</v>
      </c>
      <c r="F2686" t="str">
        <f>HYPERLINK("https://github.com/kaczmarkiewiczp/GitCracking/issues/285", "show")</f>
        <v>show</v>
      </c>
      <c r="G2686" t="str">
        <f>HYPERLINK("https://github.com/kaczmarkiewiczp/GitCracking", "show")</f>
        <v>show</v>
      </c>
      <c r="H2686" t="str">
        <f>HYPERLINK("https://github.com/kaczmarkiewiczp/GitCracking/releases", "show")</f>
        <v>show</v>
      </c>
      <c r="I2686">
        <v>1</v>
      </c>
      <c r="J2686">
        <v>0</v>
      </c>
      <c r="K2686">
        <v>0</v>
      </c>
      <c r="L2686">
        <v>0</v>
      </c>
      <c r="M2686" t="s">
        <v>17</v>
      </c>
    </row>
    <row r="2687" spans="1:13" hidden="1" x14ac:dyDescent="0.15">
      <c r="A2687" t="s">
        <v>8541</v>
      </c>
      <c r="B2687" t="s">
        <v>8542</v>
      </c>
      <c r="C2687" t="s">
        <v>8543</v>
      </c>
      <c r="D2687" t="s">
        <v>8540</v>
      </c>
      <c r="E2687">
        <v>23</v>
      </c>
      <c r="F2687" t="str">
        <f>HYPERLINK("https://github.com/jonasrottmann/realm-browser/issues/14", "show")</f>
        <v>show</v>
      </c>
      <c r="G2687" t="str">
        <f>HYPERLINK("https://github.com/jonasrottmann/realm-browser", "show")</f>
        <v>show</v>
      </c>
      <c r="H2687" t="str">
        <f>HYPERLINK("https://github.com/jonasrottmann/realm-browser/releases", "show")</f>
        <v>show</v>
      </c>
      <c r="I2687">
        <v>0</v>
      </c>
      <c r="J2687">
        <v>0</v>
      </c>
      <c r="K2687">
        <v>0</v>
      </c>
      <c r="L2687">
        <v>0</v>
      </c>
      <c r="M2687" t="s">
        <v>43</v>
      </c>
    </row>
    <row r="2688" spans="1:13" hidden="1" x14ac:dyDescent="0.15">
      <c r="A2688" t="s">
        <v>8544</v>
      </c>
      <c r="B2688" t="s">
        <v>8545</v>
      </c>
      <c r="C2688" t="s">
        <v>8546</v>
      </c>
      <c r="D2688" t="s">
        <v>8540</v>
      </c>
      <c r="E2688">
        <v>0</v>
      </c>
      <c r="F2688" t="str">
        <f>HYPERLINK("https://github.com/zhihu/Matisse/issues/14", "show")</f>
        <v>show</v>
      </c>
      <c r="G2688" t="str">
        <f>HYPERLINK("https://github.com/zhihu/Matisse", "show")</f>
        <v>show</v>
      </c>
      <c r="H2688" t="str">
        <f>HYPERLINK("https://github.com/zhihu/Matisse/releases", "show")</f>
        <v>show</v>
      </c>
      <c r="I2688">
        <v>0</v>
      </c>
      <c r="J2688">
        <v>0</v>
      </c>
      <c r="K2688">
        <v>0</v>
      </c>
      <c r="L2688">
        <v>0</v>
      </c>
      <c r="M2688" t="s">
        <v>43</v>
      </c>
    </row>
    <row r="2689" spans="1:13" hidden="1" x14ac:dyDescent="0.15">
      <c r="A2689" t="s">
        <v>8547</v>
      </c>
      <c r="B2689" t="s">
        <v>8548</v>
      </c>
      <c r="C2689" t="s">
        <v>8549</v>
      </c>
      <c r="D2689" t="s">
        <v>8550</v>
      </c>
      <c r="E2689">
        <v>3</v>
      </c>
      <c r="F2689" t="str">
        <f>HYPERLINK("https://github.com/twilio/video-quickstart-android/issues/102", "show")</f>
        <v>show</v>
      </c>
      <c r="G2689" t="str">
        <f>HYPERLINK("https://github.com/twilio/video-quickstart-android", "show")</f>
        <v>show</v>
      </c>
      <c r="H2689" t="str">
        <f>HYPERLINK("https://github.com/twilio/video-quickstart-android/releases", "show")</f>
        <v>show</v>
      </c>
      <c r="I2689">
        <v>1</v>
      </c>
      <c r="J2689">
        <v>0</v>
      </c>
      <c r="K2689">
        <v>0</v>
      </c>
      <c r="L2689">
        <v>0</v>
      </c>
      <c r="M2689" t="s">
        <v>17</v>
      </c>
    </row>
    <row r="2690" spans="1:13" hidden="1" x14ac:dyDescent="0.15">
      <c r="A2690" t="s">
        <v>8551</v>
      </c>
      <c r="B2690" t="s">
        <v>8552</v>
      </c>
      <c r="C2690" t="s">
        <v>8553</v>
      </c>
      <c r="D2690" t="s">
        <v>8550</v>
      </c>
      <c r="E2690">
        <v>8</v>
      </c>
      <c r="F2690" t="str">
        <f>HYPERLINK("https://github.com/nextcloud/android/issues/883", "show")</f>
        <v>show</v>
      </c>
      <c r="G2690" t="str">
        <f>HYPERLINK("https://github.com/nextcloud/android", "show")</f>
        <v>show</v>
      </c>
      <c r="H2690" t="str">
        <f>HYPERLINK("https://github.com/nextcloud/android/releases", "show")</f>
        <v>show</v>
      </c>
      <c r="I2690">
        <v>1</v>
      </c>
      <c r="J2690">
        <v>1</v>
      </c>
      <c r="K2690">
        <v>1</v>
      </c>
      <c r="L2690">
        <v>0</v>
      </c>
      <c r="M2690" t="s">
        <v>59</v>
      </c>
    </row>
    <row r="2691" spans="1:13" hidden="1" x14ac:dyDescent="0.15">
      <c r="A2691" t="s">
        <v>8554</v>
      </c>
      <c r="B2691" t="s">
        <v>8555</v>
      </c>
      <c r="C2691" t="s">
        <v>8556</v>
      </c>
      <c r="D2691" t="s">
        <v>8550</v>
      </c>
      <c r="E2691">
        <v>1</v>
      </c>
      <c r="F2691" t="str">
        <f>HYPERLINK("https://github.com/fossasia/phimpme-android/issues/391", "show")</f>
        <v>show</v>
      </c>
      <c r="G2691" t="str">
        <f>HYPERLINK("https://github.com/fossasia/phimpme-android", "show")</f>
        <v>show</v>
      </c>
      <c r="H2691" t="str">
        <f>HYPERLINK("https://github.com/fossasia/phimpme-android/releases", "show")</f>
        <v>show</v>
      </c>
      <c r="I2691">
        <v>0</v>
      </c>
      <c r="J2691">
        <v>1</v>
      </c>
      <c r="K2691">
        <v>1</v>
      </c>
      <c r="L2691">
        <v>0</v>
      </c>
      <c r="M2691" t="s">
        <v>699</v>
      </c>
    </row>
    <row r="2692" spans="1:13" hidden="1" x14ac:dyDescent="0.15">
      <c r="A2692" t="s">
        <v>8557</v>
      </c>
      <c r="B2692" t="s">
        <v>8548</v>
      </c>
      <c r="C2692" t="s">
        <v>8558</v>
      </c>
      <c r="D2692" t="s">
        <v>8550</v>
      </c>
      <c r="E2692">
        <v>0</v>
      </c>
      <c r="F2692" t="str">
        <f>HYPERLINK("https://github.com/twilio/voice-quickstart-android/issues/31", "show")</f>
        <v>show</v>
      </c>
      <c r="G2692" t="str">
        <f>HYPERLINK("https://github.com/twilio/voice-quickstart-android", "show")</f>
        <v>show</v>
      </c>
      <c r="H2692" t="str">
        <f>HYPERLINK("https://github.com/twilio/voice-quickstart-android/releases", "show")</f>
        <v>show</v>
      </c>
      <c r="I2692">
        <v>1</v>
      </c>
      <c r="J2692">
        <v>0</v>
      </c>
      <c r="K2692">
        <v>0</v>
      </c>
      <c r="L2692">
        <v>0</v>
      </c>
      <c r="M2692" t="s">
        <v>17</v>
      </c>
    </row>
    <row r="2693" spans="1:13" hidden="1" x14ac:dyDescent="0.15">
      <c r="A2693" t="s">
        <v>8559</v>
      </c>
      <c r="B2693" t="s">
        <v>8560</v>
      </c>
      <c r="C2693" t="s">
        <v>8561</v>
      </c>
      <c r="D2693" t="s">
        <v>8562</v>
      </c>
      <c r="E2693">
        <v>8</v>
      </c>
      <c r="F2693" t="str">
        <f>HYPERLINK("https://github.com/nextcloud/android/issues/890", "show")</f>
        <v>show</v>
      </c>
      <c r="G2693" t="str">
        <f>HYPERLINK("https://github.com/nextcloud/android", "show")</f>
        <v>show</v>
      </c>
      <c r="H2693" t="str">
        <f>HYPERLINK("https://github.com/nextcloud/android/releases", "show")</f>
        <v>show</v>
      </c>
      <c r="I2693">
        <v>1</v>
      </c>
      <c r="J2693">
        <v>0</v>
      </c>
      <c r="K2693">
        <v>1</v>
      </c>
      <c r="L2693">
        <v>0</v>
      </c>
      <c r="M2693" t="s">
        <v>64</v>
      </c>
    </row>
    <row r="2694" spans="1:13" hidden="1" x14ac:dyDescent="0.15">
      <c r="A2694" t="s">
        <v>8563</v>
      </c>
      <c r="B2694" t="s">
        <v>8564</v>
      </c>
      <c r="C2694" t="s">
        <v>8565</v>
      </c>
      <c r="D2694" t="s">
        <v>8562</v>
      </c>
      <c r="E2694">
        <v>15</v>
      </c>
      <c r="F2694" t="str">
        <f>HYPERLINK("https://github.com/twilio/video-quickstart-android/issues/105", "show")</f>
        <v>show</v>
      </c>
      <c r="G2694" t="str">
        <f>HYPERLINK("https://github.com/twilio/video-quickstart-android", "show")</f>
        <v>show</v>
      </c>
      <c r="H2694" t="str">
        <f>HYPERLINK("https://github.com/twilio/video-quickstart-android/releases", "show")</f>
        <v>show</v>
      </c>
      <c r="I2694">
        <v>1</v>
      </c>
      <c r="J2694">
        <v>0</v>
      </c>
      <c r="K2694">
        <v>0</v>
      </c>
      <c r="L2694">
        <v>0</v>
      </c>
      <c r="M2694" t="s">
        <v>17</v>
      </c>
    </row>
    <row r="2695" spans="1:13" hidden="1" x14ac:dyDescent="0.15">
      <c r="A2695" t="s">
        <v>8566</v>
      </c>
      <c r="B2695" t="s">
        <v>8567</v>
      </c>
      <c r="C2695" t="s">
        <v>8568</v>
      </c>
      <c r="D2695" t="s">
        <v>8562</v>
      </c>
      <c r="E2695">
        <v>535</v>
      </c>
      <c r="F2695" t="str">
        <f>HYPERLINK("https://github.com/appium/appium-uiautomator2-server/issues/55", "show")</f>
        <v>show</v>
      </c>
      <c r="G2695" t="str">
        <f>HYPERLINK("https://github.com/appium/appium-uiautomator2-server", "show")</f>
        <v>show</v>
      </c>
      <c r="H2695" t="str">
        <f>HYPERLINK("https://github.com/appium/appium-uiautomator2-server/releases", "show")</f>
        <v>show</v>
      </c>
      <c r="I2695">
        <v>1</v>
      </c>
      <c r="J2695">
        <v>0</v>
      </c>
      <c r="K2695">
        <v>0</v>
      </c>
      <c r="L2695">
        <v>0</v>
      </c>
      <c r="M2695" t="s">
        <v>17</v>
      </c>
    </row>
    <row r="2696" spans="1:13" hidden="1" x14ac:dyDescent="0.15">
      <c r="A2696" t="s">
        <v>8569</v>
      </c>
      <c r="B2696" t="s">
        <v>8570</v>
      </c>
      <c r="C2696" t="s">
        <v>8571</v>
      </c>
      <c r="D2696" t="s">
        <v>8562</v>
      </c>
      <c r="E2696">
        <v>4</v>
      </c>
      <c r="F2696" t="str">
        <f>HYPERLINK("https://github.com/evernote/android-job/issues/184", "show")</f>
        <v>show</v>
      </c>
      <c r="G2696" t="str">
        <f>HYPERLINK("https://github.com/evernote/android-job", "show")</f>
        <v>show</v>
      </c>
      <c r="H2696" t="str">
        <f>HYPERLINK("https://github.com/evernote/android-job/releases", "show")</f>
        <v>show</v>
      </c>
      <c r="I2696">
        <v>0</v>
      </c>
      <c r="J2696">
        <v>0</v>
      </c>
      <c r="K2696">
        <v>1</v>
      </c>
      <c r="L2696">
        <v>0</v>
      </c>
      <c r="M2696" t="s">
        <v>122</v>
      </c>
    </row>
    <row r="2697" spans="1:13" hidden="1" x14ac:dyDescent="0.15">
      <c r="A2697" t="s">
        <v>8572</v>
      </c>
      <c r="B2697" t="s">
        <v>8573</v>
      </c>
      <c r="C2697" t="s">
        <v>8574</v>
      </c>
      <c r="D2697" t="s">
        <v>8562</v>
      </c>
      <c r="E2697">
        <v>6</v>
      </c>
      <c r="F2697" t="str">
        <f>HYPERLINK("https://github.com/cmsc436/sheets436/issues/19", "show")</f>
        <v>show</v>
      </c>
      <c r="G2697" t="str">
        <f>HYPERLINK("https://github.com/cmsc436/sheets436", "show")</f>
        <v>show</v>
      </c>
      <c r="H2697" t="str">
        <f>HYPERLINK("https://github.com/cmsc436/sheets436/releases", "show")</f>
        <v>show</v>
      </c>
      <c r="I2697">
        <v>0</v>
      </c>
      <c r="J2697">
        <v>0</v>
      </c>
      <c r="K2697">
        <v>1</v>
      </c>
      <c r="L2697">
        <v>0</v>
      </c>
      <c r="M2697" t="s">
        <v>122</v>
      </c>
    </row>
    <row r="2698" spans="1:13" hidden="1" x14ac:dyDescent="0.15">
      <c r="A2698" t="s">
        <v>8575</v>
      </c>
      <c r="B2698" t="s">
        <v>4871</v>
      </c>
      <c r="C2698" t="s">
        <v>504</v>
      </c>
      <c r="D2698" t="s">
        <v>8576</v>
      </c>
      <c r="E2698">
        <v>310</v>
      </c>
      <c r="F2698" t="str">
        <f>HYPERLINK("https://github.com/tanrabad/survey/issues/21", "show")</f>
        <v>show</v>
      </c>
      <c r="G2698" t="str">
        <f>HYPERLINK("https://github.com/tanrabad/survey", "show")</f>
        <v>show</v>
      </c>
      <c r="H2698" t="str">
        <f>HYPERLINK("https://github.com/tanrabad/survey/releases", "show")</f>
        <v>show</v>
      </c>
      <c r="I2698">
        <v>1</v>
      </c>
      <c r="J2698">
        <v>0</v>
      </c>
      <c r="K2698">
        <v>0</v>
      </c>
      <c r="L2698">
        <v>0</v>
      </c>
      <c r="M2698" t="s">
        <v>17</v>
      </c>
    </row>
    <row r="2699" spans="1:13" hidden="1" x14ac:dyDescent="0.15">
      <c r="A2699" t="s">
        <v>8577</v>
      </c>
      <c r="B2699" t="s">
        <v>8578</v>
      </c>
      <c r="C2699" t="s">
        <v>8579</v>
      </c>
      <c r="D2699" t="s">
        <v>8576</v>
      </c>
      <c r="E2699">
        <v>18</v>
      </c>
      <c r="F2699" t="str">
        <f>HYPERLINK("https://github.com/projectwife/mtesitoo-android/issues/92", "show")</f>
        <v>show</v>
      </c>
      <c r="G2699" t="str">
        <f>HYPERLINK("https://github.com/projectwife/mtesitoo-android", "show")</f>
        <v>show</v>
      </c>
      <c r="H2699" t="str">
        <f>HYPERLINK("https://github.com/projectwife/mtesitoo-android/releases", "show")</f>
        <v>show</v>
      </c>
      <c r="I2699">
        <v>1</v>
      </c>
      <c r="J2699">
        <v>1</v>
      </c>
      <c r="K2699">
        <v>1</v>
      </c>
      <c r="L2699">
        <v>0</v>
      </c>
      <c r="M2699" t="s">
        <v>59</v>
      </c>
    </row>
    <row r="2700" spans="1:13" hidden="1" x14ac:dyDescent="0.15">
      <c r="A2700" t="s">
        <v>8580</v>
      </c>
      <c r="B2700" t="s">
        <v>8581</v>
      </c>
      <c r="C2700" t="s">
        <v>8582</v>
      </c>
      <c r="D2700" t="s">
        <v>8576</v>
      </c>
      <c r="E2700">
        <v>467</v>
      </c>
      <c r="F2700" t="str">
        <f>HYPERLINK("https://github.com/cgeo/cgeo/issues/6525", "show")</f>
        <v>show</v>
      </c>
      <c r="G2700" t="str">
        <f>HYPERLINK("https://github.com/cgeo/cgeo", "show")</f>
        <v>show</v>
      </c>
      <c r="H2700" t="str">
        <f>HYPERLINK("https://github.com/cgeo/cgeo/releases", "show")</f>
        <v>show</v>
      </c>
      <c r="I2700">
        <v>1</v>
      </c>
      <c r="J2700">
        <v>1</v>
      </c>
      <c r="K2700">
        <v>1</v>
      </c>
      <c r="L2700">
        <v>0</v>
      </c>
      <c r="M2700" t="s">
        <v>59</v>
      </c>
    </row>
    <row r="2701" spans="1:13" hidden="1" x14ac:dyDescent="0.15">
      <c r="A2701" t="s">
        <v>8583</v>
      </c>
      <c r="B2701" t="s">
        <v>8584</v>
      </c>
      <c r="C2701" t="s">
        <v>8585</v>
      </c>
      <c r="D2701" t="s">
        <v>8576</v>
      </c>
      <c r="E2701">
        <v>17</v>
      </c>
      <c r="F2701" t="str">
        <f>HYPERLINK("https://github.com/pchmn/MaterialChipsInput/issues/7", "show")</f>
        <v>show</v>
      </c>
      <c r="G2701" t="str">
        <f>HYPERLINK("https://github.com/pchmn/MaterialChipsInput", "show")</f>
        <v>show</v>
      </c>
      <c r="H2701" t="str">
        <f>HYPERLINK("https://github.com/pchmn/MaterialChipsInput/releases", "show")</f>
        <v>show</v>
      </c>
      <c r="I2701">
        <v>1</v>
      </c>
      <c r="J2701">
        <v>1</v>
      </c>
      <c r="K2701">
        <v>1</v>
      </c>
      <c r="L2701">
        <v>0</v>
      </c>
      <c r="M2701" t="s">
        <v>59</v>
      </c>
    </row>
    <row r="2702" spans="1:13" hidden="1" x14ac:dyDescent="0.15">
      <c r="A2702" t="s">
        <v>8586</v>
      </c>
      <c r="B2702" t="s">
        <v>8587</v>
      </c>
      <c r="C2702" t="s">
        <v>8588</v>
      </c>
      <c r="D2702" t="s">
        <v>8576</v>
      </c>
      <c r="E2702">
        <v>19</v>
      </c>
      <c r="F2702" t="str">
        <f>HYPERLINK("https://github.com/linkedin/test-butler/issues/60", "show")</f>
        <v>show</v>
      </c>
      <c r="G2702" t="str">
        <f>HYPERLINK("https://github.com/linkedin/test-butler", "show")</f>
        <v>show</v>
      </c>
      <c r="H2702" t="str">
        <f>HYPERLINK("https://github.com/linkedin/test-butler/releases", "show")</f>
        <v>show</v>
      </c>
      <c r="I2702">
        <v>1</v>
      </c>
      <c r="J2702">
        <v>0</v>
      </c>
      <c r="K2702">
        <v>1</v>
      </c>
      <c r="L2702">
        <v>0</v>
      </c>
      <c r="M2702" t="s">
        <v>64</v>
      </c>
    </row>
    <row r="2703" spans="1:13" hidden="1" x14ac:dyDescent="0.15">
      <c r="A2703" t="s">
        <v>8589</v>
      </c>
      <c r="B2703" t="s">
        <v>8590</v>
      </c>
      <c r="C2703" t="s">
        <v>8591</v>
      </c>
      <c r="D2703" t="s">
        <v>8592</v>
      </c>
      <c r="E2703">
        <v>16</v>
      </c>
      <c r="F2703" t="str">
        <f>HYPERLINK("https://github.com/inaturalist/iNaturalistAndroid/issues/337", "show")</f>
        <v>show</v>
      </c>
      <c r="G2703" t="str">
        <f>HYPERLINK("https://github.com/inaturalist/iNaturalistAndroid", "show")</f>
        <v>show</v>
      </c>
      <c r="H2703" t="str">
        <f>HYPERLINK("https://github.com/inaturalist/iNaturalistAndroid/releases", "show")</f>
        <v>show</v>
      </c>
      <c r="I2703">
        <v>1</v>
      </c>
      <c r="J2703">
        <v>0</v>
      </c>
      <c r="K2703">
        <v>1</v>
      </c>
      <c r="L2703">
        <v>0</v>
      </c>
      <c r="M2703" t="s">
        <v>64</v>
      </c>
    </row>
    <row r="2704" spans="1:13" hidden="1" x14ac:dyDescent="0.15">
      <c r="A2704" t="s">
        <v>8593</v>
      </c>
      <c r="B2704" t="s">
        <v>8594</v>
      </c>
      <c r="C2704" t="s">
        <v>8595</v>
      </c>
      <c r="D2704" t="s">
        <v>8592</v>
      </c>
      <c r="E2704">
        <v>53</v>
      </c>
      <c r="F2704" t="str">
        <f>HYPERLINK("https://github.com/vector-im/riot-android/issues/1171", "show")</f>
        <v>show</v>
      </c>
      <c r="G2704" t="str">
        <f>HYPERLINK("https://github.com/vector-im/riot-android", "show")</f>
        <v>show</v>
      </c>
      <c r="H2704" t="str">
        <f>HYPERLINK("https://github.com/vector-im/riot-android/releases", "show")</f>
        <v>show</v>
      </c>
      <c r="I2704">
        <v>0</v>
      </c>
      <c r="J2704">
        <v>0</v>
      </c>
      <c r="K2704">
        <v>1</v>
      </c>
      <c r="L2704">
        <v>0</v>
      </c>
      <c r="M2704" t="s">
        <v>122</v>
      </c>
    </row>
    <row r="2705" spans="1:13" hidden="1" x14ac:dyDescent="0.15">
      <c r="A2705" t="s">
        <v>8596</v>
      </c>
      <c r="B2705" t="s">
        <v>8597</v>
      </c>
      <c r="C2705" t="s">
        <v>8598</v>
      </c>
      <c r="D2705" t="s">
        <v>8599</v>
      </c>
      <c r="E2705">
        <v>251</v>
      </c>
      <c r="F2705" t="str">
        <f>HYPERLINK("https://github.com/daneren2005/Subsonic/issues/794", "show")</f>
        <v>show</v>
      </c>
      <c r="G2705" t="str">
        <f>HYPERLINK("https://github.com/daneren2005/Subsonic", "show")</f>
        <v>show</v>
      </c>
      <c r="H2705" t="str">
        <f>HYPERLINK("https://github.com/daneren2005/Subsonic/releases", "show")</f>
        <v>show</v>
      </c>
      <c r="I2705">
        <v>1</v>
      </c>
      <c r="J2705">
        <v>0</v>
      </c>
      <c r="K2705">
        <v>1</v>
      </c>
      <c r="L2705">
        <v>0</v>
      </c>
      <c r="M2705" t="s">
        <v>64</v>
      </c>
    </row>
    <row r="2706" spans="1:13" hidden="1" x14ac:dyDescent="0.15">
      <c r="A2706" t="s">
        <v>8600</v>
      </c>
      <c r="B2706" t="s">
        <v>8601</v>
      </c>
      <c r="C2706" t="s">
        <v>8602</v>
      </c>
      <c r="D2706" t="s">
        <v>8603</v>
      </c>
      <c r="E2706">
        <v>12</v>
      </c>
      <c r="F2706" t="str">
        <f>HYPERLINK("https://github.com/inaturalist/iNaturalistAndroid/issues/340", "show")</f>
        <v>show</v>
      </c>
      <c r="G2706" t="str">
        <f>HYPERLINK("https://github.com/inaturalist/iNaturalistAndroid", "show")</f>
        <v>show</v>
      </c>
      <c r="H2706" t="str">
        <f>HYPERLINK("https://github.com/inaturalist/iNaturalistAndroid/releases", "show")</f>
        <v>show</v>
      </c>
      <c r="I2706">
        <v>1</v>
      </c>
      <c r="J2706">
        <v>0</v>
      </c>
      <c r="K2706">
        <v>1</v>
      </c>
      <c r="L2706">
        <v>0</v>
      </c>
      <c r="M2706" t="s">
        <v>64</v>
      </c>
    </row>
    <row r="2707" spans="1:13" hidden="1" x14ac:dyDescent="0.15">
      <c r="A2707" t="s">
        <v>8604</v>
      </c>
      <c r="B2707" t="s">
        <v>8605</v>
      </c>
      <c r="C2707" t="s">
        <v>8606</v>
      </c>
      <c r="D2707" t="s">
        <v>8603</v>
      </c>
      <c r="E2707">
        <v>25</v>
      </c>
      <c r="F2707" t="str">
        <f>HYPERLINK("https://github.com/OpenLauncherTeam/openlauncher/issues/79", "show")</f>
        <v>show</v>
      </c>
      <c r="G2707" t="str">
        <f>HYPERLINK("https://github.com/OpenLauncherTeam/openlauncher", "show")</f>
        <v>show</v>
      </c>
      <c r="H2707" t="str">
        <f>HYPERLINK("https://github.com/OpenLauncherTeam/openlauncher/releases", "show")</f>
        <v>show</v>
      </c>
      <c r="I2707">
        <v>1</v>
      </c>
      <c r="J2707">
        <v>0</v>
      </c>
      <c r="K2707">
        <v>1</v>
      </c>
      <c r="L2707">
        <v>0</v>
      </c>
      <c r="M2707" t="s">
        <v>64</v>
      </c>
    </row>
    <row r="2708" spans="1:13" hidden="1" x14ac:dyDescent="0.15">
      <c r="A2708" t="s">
        <v>8607</v>
      </c>
      <c r="B2708" t="s">
        <v>8608</v>
      </c>
      <c r="C2708" t="s">
        <v>8609</v>
      </c>
      <c r="D2708" t="s">
        <v>8603</v>
      </c>
      <c r="E2708">
        <v>1</v>
      </c>
      <c r="F2708" t="str">
        <f>HYPERLINK("https://github.com/twilio/video-quickstart-android/issues/112", "show")</f>
        <v>show</v>
      </c>
      <c r="G2708" t="str">
        <f>HYPERLINK("https://github.com/twilio/video-quickstart-android", "show")</f>
        <v>show</v>
      </c>
      <c r="H2708" t="str">
        <f>HYPERLINK("https://github.com/twilio/video-quickstart-android/releases", "show")</f>
        <v>show</v>
      </c>
      <c r="I2708">
        <v>1</v>
      </c>
      <c r="J2708">
        <v>0</v>
      </c>
      <c r="K2708">
        <v>1</v>
      </c>
      <c r="L2708">
        <v>0</v>
      </c>
      <c r="M2708" t="s">
        <v>64</v>
      </c>
    </row>
    <row r="2709" spans="1:13" hidden="1" x14ac:dyDescent="0.15">
      <c r="A2709" t="s">
        <v>8610</v>
      </c>
      <c r="B2709" t="s">
        <v>8611</v>
      </c>
      <c r="C2709" t="s">
        <v>8612</v>
      </c>
      <c r="D2709" t="s">
        <v>8613</v>
      </c>
      <c r="E2709">
        <v>86</v>
      </c>
      <c r="F2709" t="str">
        <f>HYPERLINK("https://github.com/getodk/collect/issues/997", "show")</f>
        <v>show</v>
      </c>
      <c r="G2709" t="str">
        <f>HYPERLINK("https://github.com/getodk/collect", "show")</f>
        <v>show</v>
      </c>
      <c r="H2709" t="str">
        <f>HYPERLINK("https://github.com/getodk/collect/releases", "show")</f>
        <v>show</v>
      </c>
      <c r="I2709">
        <v>1</v>
      </c>
      <c r="J2709">
        <v>0</v>
      </c>
      <c r="K2709">
        <v>1</v>
      </c>
      <c r="L2709">
        <v>0</v>
      </c>
      <c r="M2709" t="s">
        <v>64</v>
      </c>
    </row>
    <row r="2710" spans="1:13" hidden="1" x14ac:dyDescent="0.15">
      <c r="A2710" t="s">
        <v>8614</v>
      </c>
      <c r="B2710" t="s">
        <v>8615</v>
      </c>
      <c r="C2710" t="s">
        <v>8616</v>
      </c>
      <c r="D2710" t="s">
        <v>8613</v>
      </c>
      <c r="E2710">
        <v>132</v>
      </c>
      <c r="F2710" t="str">
        <f>HYPERLINK("https://github.com/mycelium-com/wallet-android/issues/351", "show")</f>
        <v>show</v>
      </c>
      <c r="G2710" t="str">
        <f>HYPERLINK("https://github.com/mycelium-com/wallet-android", "show")</f>
        <v>show</v>
      </c>
      <c r="H2710" t="str">
        <f>HYPERLINK("https://github.com/mycelium-com/wallet-android/releases", "show")</f>
        <v>show</v>
      </c>
      <c r="I2710">
        <v>1</v>
      </c>
      <c r="J2710">
        <v>0</v>
      </c>
      <c r="K2710">
        <v>0</v>
      </c>
      <c r="L2710">
        <v>0</v>
      </c>
      <c r="M2710" t="s">
        <v>17</v>
      </c>
    </row>
    <row r="2711" spans="1:13" hidden="1" x14ac:dyDescent="0.15">
      <c r="A2711" t="s">
        <v>8617</v>
      </c>
      <c r="B2711" t="s">
        <v>8618</v>
      </c>
      <c r="C2711" t="s">
        <v>8619</v>
      </c>
      <c r="D2711" t="s">
        <v>8613</v>
      </c>
      <c r="E2711">
        <v>0</v>
      </c>
      <c r="F2711" t="str">
        <f>HYPERLINK("https://github.com/getodk/collect/issues/995", "show")</f>
        <v>show</v>
      </c>
      <c r="G2711" t="str">
        <f>HYPERLINK("https://github.com/getodk/collect", "show")</f>
        <v>show</v>
      </c>
      <c r="H2711" t="str">
        <f>HYPERLINK("https://github.com/getodk/collect/releases", "show")</f>
        <v>show</v>
      </c>
      <c r="I2711">
        <v>1</v>
      </c>
      <c r="J2711">
        <v>0</v>
      </c>
      <c r="K2711">
        <v>0</v>
      </c>
      <c r="L2711">
        <v>1</v>
      </c>
      <c r="M2711" t="s">
        <v>29</v>
      </c>
    </row>
    <row r="2712" spans="1:13" hidden="1" x14ac:dyDescent="0.15">
      <c r="A2712" t="s">
        <v>8620</v>
      </c>
      <c r="B2712" t="s">
        <v>8621</v>
      </c>
      <c r="C2712" t="s">
        <v>8622</v>
      </c>
      <c r="D2712" t="s">
        <v>8623</v>
      </c>
      <c r="E2712">
        <v>295</v>
      </c>
      <c r="F2712" t="str">
        <f>HYPERLINK("https://github.com/ShawnLin013/NumberPicker/issues/57", "show")</f>
        <v>show</v>
      </c>
      <c r="G2712" t="str">
        <f>HYPERLINK("https://github.com/ShawnLin013/NumberPicker", "show")</f>
        <v>show</v>
      </c>
      <c r="H2712" t="str">
        <f>HYPERLINK("https://github.com/ShawnLin013/NumberPicker/releases", "show")</f>
        <v>show</v>
      </c>
      <c r="I2712">
        <v>1</v>
      </c>
      <c r="J2712">
        <v>0</v>
      </c>
      <c r="K2712">
        <v>0</v>
      </c>
      <c r="L2712">
        <v>0</v>
      </c>
      <c r="M2712" t="s">
        <v>17</v>
      </c>
    </row>
    <row r="2713" spans="1:13" hidden="1" x14ac:dyDescent="0.15">
      <c r="A2713" t="s">
        <v>8624</v>
      </c>
      <c r="B2713" t="s">
        <v>8625</v>
      </c>
      <c r="C2713" t="s">
        <v>8626</v>
      </c>
      <c r="D2713" t="s">
        <v>8627</v>
      </c>
      <c r="E2713">
        <v>4</v>
      </c>
      <c r="F2713" t="str">
        <f>HYPERLINK("https://github.com/google/ExoPlayer/issues/2774", "show")</f>
        <v>show</v>
      </c>
      <c r="G2713" t="str">
        <f>HYPERLINK("https://github.com/google/ExoPlayer", "show")</f>
        <v>show</v>
      </c>
      <c r="H2713" t="str">
        <f>HYPERLINK("https://github.com/google/ExoPlayer/releases", "show")</f>
        <v>show</v>
      </c>
      <c r="I2713">
        <v>0</v>
      </c>
      <c r="J2713">
        <v>0</v>
      </c>
      <c r="K2713">
        <v>1</v>
      </c>
      <c r="L2713">
        <v>0</v>
      </c>
      <c r="M2713" t="s">
        <v>122</v>
      </c>
    </row>
    <row r="2714" spans="1:13" hidden="1" x14ac:dyDescent="0.15">
      <c r="A2714" t="s">
        <v>8628</v>
      </c>
      <c r="B2714" t="s">
        <v>8629</v>
      </c>
      <c r="C2714" t="s">
        <v>8630</v>
      </c>
      <c r="D2714" t="s">
        <v>8627</v>
      </c>
      <c r="E2714">
        <v>5</v>
      </c>
      <c r="F2714" t="str">
        <f>HYPERLINK("https://github.com/maks/MGit/issues/147", "show")</f>
        <v>show</v>
      </c>
      <c r="G2714" t="str">
        <f>HYPERLINK("https://github.com/maks/MGit", "show")</f>
        <v>show</v>
      </c>
      <c r="H2714" t="str">
        <f>HYPERLINK("https://github.com/maks/MGit/releases", "show")</f>
        <v>show</v>
      </c>
      <c r="I2714">
        <v>0</v>
      </c>
      <c r="J2714">
        <v>0</v>
      </c>
      <c r="K2714">
        <v>1</v>
      </c>
      <c r="L2714">
        <v>0</v>
      </c>
      <c r="M2714" t="s">
        <v>122</v>
      </c>
    </row>
    <row r="2715" spans="1:13" hidden="1" x14ac:dyDescent="0.15">
      <c r="A2715" t="s">
        <v>8631</v>
      </c>
      <c r="B2715" t="s">
        <v>8632</v>
      </c>
      <c r="C2715" t="s">
        <v>8633</v>
      </c>
      <c r="D2715" t="s">
        <v>8634</v>
      </c>
      <c r="E2715">
        <v>4</v>
      </c>
      <c r="F2715" t="str">
        <f>HYPERLINK("https://github.com/nextcloud/android/issues/959", "show")</f>
        <v>show</v>
      </c>
      <c r="G2715" t="str">
        <f>HYPERLINK("https://github.com/nextcloud/android", "show")</f>
        <v>show</v>
      </c>
      <c r="H2715" t="str">
        <f>HYPERLINK("https://github.com/nextcloud/android/releases", "show")</f>
        <v>show</v>
      </c>
      <c r="I2715">
        <v>1</v>
      </c>
      <c r="J2715">
        <v>1</v>
      </c>
      <c r="K2715">
        <v>1</v>
      </c>
      <c r="L2715">
        <v>0</v>
      </c>
      <c r="M2715" t="s">
        <v>59</v>
      </c>
    </row>
    <row r="2716" spans="1:13" hidden="1" x14ac:dyDescent="0.15">
      <c r="A2716" t="s">
        <v>8635</v>
      </c>
      <c r="B2716" t="s">
        <v>8636</v>
      </c>
      <c r="C2716" t="s">
        <v>8637</v>
      </c>
      <c r="D2716" t="s">
        <v>8634</v>
      </c>
      <c r="E2716">
        <v>12</v>
      </c>
      <c r="F2716" t="str">
        <f>HYPERLINK("https://github.com/projectwife/mtesitoo-android/issues/94", "show")</f>
        <v>show</v>
      </c>
      <c r="G2716" t="str">
        <f>HYPERLINK("https://github.com/projectwife/mtesitoo-android", "show")</f>
        <v>show</v>
      </c>
      <c r="H2716" t="str">
        <f>HYPERLINK("https://github.com/projectwife/mtesitoo-android/releases", "show")</f>
        <v>show</v>
      </c>
      <c r="I2716">
        <v>0</v>
      </c>
      <c r="J2716">
        <v>1</v>
      </c>
      <c r="K2716">
        <v>1</v>
      </c>
      <c r="L2716">
        <v>0</v>
      </c>
      <c r="M2716" t="s">
        <v>699</v>
      </c>
    </row>
    <row r="2717" spans="1:13" hidden="1" x14ac:dyDescent="0.15">
      <c r="A2717" t="s">
        <v>8638</v>
      </c>
      <c r="B2717" t="s">
        <v>8639</v>
      </c>
      <c r="C2717" t="s">
        <v>8640</v>
      </c>
      <c r="D2717" t="s">
        <v>8634</v>
      </c>
      <c r="E2717">
        <v>28</v>
      </c>
      <c r="F2717" t="str">
        <f>HYPERLINK("https://github.com/opensrp/opensrp-client/issues/488", "show")</f>
        <v>show</v>
      </c>
      <c r="G2717" t="str">
        <f>HYPERLINK("https://github.com/opensrp/opensrp-client", "show")</f>
        <v>show</v>
      </c>
      <c r="H2717" t="str">
        <f>HYPERLINK("https://github.com/opensrp/opensrp-client/releases", "show")</f>
        <v>show</v>
      </c>
      <c r="I2717">
        <v>1</v>
      </c>
      <c r="J2717">
        <v>0</v>
      </c>
      <c r="K2717">
        <v>1</v>
      </c>
      <c r="L2717">
        <v>0</v>
      </c>
      <c r="M2717" t="s">
        <v>64</v>
      </c>
    </row>
    <row r="2718" spans="1:13" hidden="1" x14ac:dyDescent="0.15">
      <c r="A2718" t="s">
        <v>8641</v>
      </c>
      <c r="B2718" t="s">
        <v>8642</v>
      </c>
      <c r="C2718" t="s">
        <v>8643</v>
      </c>
      <c r="D2718" t="s">
        <v>8634</v>
      </c>
      <c r="E2718">
        <v>0</v>
      </c>
      <c r="F2718" t="str">
        <f>HYPERLINK("https://github.com/novoda/view-pager-adapter/issues/14", "show")</f>
        <v>show</v>
      </c>
      <c r="G2718" t="str">
        <f>HYPERLINK("https://github.com/novoda/view-pager-adapter", "show")</f>
        <v>show</v>
      </c>
      <c r="H2718" t="str">
        <f>HYPERLINK("https://github.com/novoda/view-pager-adapter/releases", "show")</f>
        <v>show</v>
      </c>
      <c r="I2718">
        <v>1</v>
      </c>
      <c r="J2718">
        <v>0</v>
      </c>
      <c r="K2718">
        <v>1</v>
      </c>
      <c r="L2718">
        <v>0</v>
      </c>
      <c r="M2718" t="s">
        <v>64</v>
      </c>
    </row>
    <row r="2719" spans="1:13" hidden="1" x14ac:dyDescent="0.15">
      <c r="A2719" t="s">
        <v>8644</v>
      </c>
      <c r="B2719" t="s">
        <v>8645</v>
      </c>
      <c r="C2719" t="s">
        <v>8646</v>
      </c>
      <c r="D2719" t="s">
        <v>8647</v>
      </c>
      <c r="E2719">
        <v>0</v>
      </c>
      <c r="F2719" t="str">
        <f>HYPERLINK("https://github.com/uber/AutoDispose/issues/67", "show")</f>
        <v>show</v>
      </c>
      <c r="G2719" t="str">
        <f>HYPERLINK("https://github.com/uber/AutoDispose", "show")</f>
        <v>show</v>
      </c>
      <c r="H2719" t="str">
        <f>HYPERLINK("https://github.com/uber/AutoDispose/releases", "show")</f>
        <v>show</v>
      </c>
      <c r="I2719">
        <v>1</v>
      </c>
      <c r="J2719">
        <v>0</v>
      </c>
      <c r="K2719">
        <v>0</v>
      </c>
      <c r="L2719">
        <v>0</v>
      </c>
      <c r="M2719" t="s">
        <v>17</v>
      </c>
    </row>
    <row r="2720" spans="1:13" hidden="1" x14ac:dyDescent="0.15">
      <c r="A2720" t="s">
        <v>8648</v>
      </c>
      <c r="B2720" t="s">
        <v>8649</v>
      </c>
      <c r="C2720" t="s">
        <v>8650</v>
      </c>
      <c r="D2720" t="s">
        <v>8647</v>
      </c>
      <c r="E2720">
        <v>7</v>
      </c>
      <c r="F2720" t="str">
        <f>HYPERLINK("https://github.com/NeXT-Workshops/mindroid/issues/41", "show")</f>
        <v>show</v>
      </c>
      <c r="G2720" t="str">
        <f>HYPERLINK("https://github.com/NeXT-Workshops/mindroid", "show")</f>
        <v>show</v>
      </c>
      <c r="H2720" t="str">
        <f>HYPERLINK("https://github.com/NeXT-Workshops/mindroid/releases", "show")</f>
        <v>show</v>
      </c>
      <c r="I2720">
        <v>1</v>
      </c>
      <c r="J2720">
        <v>0</v>
      </c>
      <c r="K2720">
        <v>0</v>
      </c>
      <c r="L2720">
        <v>0</v>
      </c>
      <c r="M2720" t="s">
        <v>17</v>
      </c>
    </row>
    <row r="2721" spans="1:13" hidden="1" x14ac:dyDescent="0.15">
      <c r="A2721" t="s">
        <v>8651</v>
      </c>
      <c r="B2721" t="s">
        <v>8652</v>
      </c>
      <c r="C2721" t="s">
        <v>8653</v>
      </c>
      <c r="D2721" t="s">
        <v>8647</v>
      </c>
      <c r="E2721">
        <v>3</v>
      </c>
      <c r="F2721" t="str">
        <f>HYPERLINK("https://github.com/Freeyourgadget/Gadgetbridge/issues/678", "show")</f>
        <v>show</v>
      </c>
      <c r="G2721" t="str">
        <f>HYPERLINK("https://github.com/Freeyourgadget/Gadgetbridge", "show")</f>
        <v>show</v>
      </c>
      <c r="H2721" t="str">
        <f>HYPERLINK("https://github.com/Freeyourgadget/Gadgetbridge/releases", "show")</f>
        <v>show</v>
      </c>
      <c r="I2721">
        <v>1</v>
      </c>
      <c r="J2721">
        <v>0</v>
      </c>
      <c r="K2721">
        <v>0</v>
      </c>
      <c r="L2721">
        <v>0</v>
      </c>
      <c r="M2721" t="s">
        <v>17</v>
      </c>
    </row>
    <row r="2722" spans="1:13" hidden="1" x14ac:dyDescent="0.15">
      <c r="A2722" t="s">
        <v>8654</v>
      </c>
      <c r="B2722" t="s">
        <v>8655</v>
      </c>
      <c r="C2722" t="s">
        <v>8656</v>
      </c>
      <c r="D2722" t="s">
        <v>8657</v>
      </c>
      <c r="E2722">
        <v>15</v>
      </c>
      <c r="F2722" t="str">
        <f>HYPERLINK("https://github.com/google/ExoPlayer/issues/2782", "show")</f>
        <v>show</v>
      </c>
      <c r="G2722" t="str">
        <f>HYPERLINK("https://github.com/google/ExoPlayer", "show")</f>
        <v>show</v>
      </c>
      <c r="H2722" t="str">
        <f>HYPERLINK("https://github.com/google/ExoPlayer/releases", "show")</f>
        <v>show</v>
      </c>
      <c r="I2722">
        <v>1</v>
      </c>
      <c r="J2722">
        <v>1</v>
      </c>
      <c r="K2722">
        <v>1</v>
      </c>
      <c r="L2722">
        <v>0</v>
      </c>
      <c r="M2722" t="s">
        <v>59</v>
      </c>
    </row>
    <row r="2723" spans="1:13" hidden="1" x14ac:dyDescent="0.15">
      <c r="A2723" t="s">
        <v>8658</v>
      </c>
      <c r="B2723" t="s">
        <v>8659</v>
      </c>
      <c r="C2723" t="s">
        <v>8660</v>
      </c>
      <c r="D2723" t="s">
        <v>8657</v>
      </c>
      <c r="E2723">
        <v>0</v>
      </c>
      <c r="F2723" t="str">
        <f>HYPERLINK("https://github.com/projectwife/mtesitoo-android/issues/97", "show")</f>
        <v>show</v>
      </c>
      <c r="G2723" t="str">
        <f>HYPERLINK("https://github.com/projectwife/mtesitoo-android", "show")</f>
        <v>show</v>
      </c>
      <c r="H2723" t="str">
        <f>HYPERLINK("https://github.com/projectwife/mtesitoo-android/releases", "show")</f>
        <v>show</v>
      </c>
      <c r="I2723">
        <v>1</v>
      </c>
      <c r="J2723">
        <v>0</v>
      </c>
      <c r="K2723">
        <v>0</v>
      </c>
      <c r="L2723">
        <v>0</v>
      </c>
      <c r="M2723" t="s">
        <v>17</v>
      </c>
    </row>
    <row r="2724" spans="1:13" hidden="1" x14ac:dyDescent="0.15">
      <c r="A2724" t="s">
        <v>8661</v>
      </c>
      <c r="B2724" t="s">
        <v>8662</v>
      </c>
      <c r="C2724" t="s">
        <v>8663</v>
      </c>
      <c r="D2724" t="s">
        <v>8657</v>
      </c>
      <c r="E2724">
        <v>17</v>
      </c>
      <c r="F2724" t="str">
        <f>HYPERLINK("https://github.com/kollerlukas/Camera-Roll-Android-App/issues/14", "show")</f>
        <v>show</v>
      </c>
      <c r="G2724" t="str">
        <f>HYPERLINK("https://github.com/kollerlukas/Camera-Roll-Android-App", "show")</f>
        <v>show</v>
      </c>
      <c r="H2724" t="str">
        <f>HYPERLINK("https://github.com/kollerlukas/Camera-Roll-Android-App/releases", "show")</f>
        <v>show</v>
      </c>
      <c r="I2724">
        <v>1</v>
      </c>
      <c r="J2724">
        <v>0</v>
      </c>
      <c r="K2724">
        <v>0</v>
      </c>
      <c r="L2724">
        <v>0</v>
      </c>
      <c r="M2724" t="s">
        <v>17</v>
      </c>
    </row>
    <row r="2725" spans="1:13" hidden="1" x14ac:dyDescent="0.15">
      <c r="A2725" t="s">
        <v>8664</v>
      </c>
      <c r="B2725" t="s">
        <v>8665</v>
      </c>
      <c r="C2725" t="s">
        <v>8666</v>
      </c>
      <c r="D2725" t="s">
        <v>8667</v>
      </c>
      <c r="E2725">
        <v>149</v>
      </c>
      <c r="F2725" t="str">
        <f>HYPERLINK("https://github.com/projectwife/mtesitoo-android/issues/101", "show")</f>
        <v>show</v>
      </c>
      <c r="G2725" t="str">
        <f>HYPERLINK("https://github.com/projectwife/mtesitoo-android", "show")</f>
        <v>show</v>
      </c>
      <c r="H2725" t="str">
        <f>HYPERLINK("https://github.com/projectwife/mtesitoo-android/releases", "show")</f>
        <v>show</v>
      </c>
      <c r="I2725">
        <v>1</v>
      </c>
      <c r="J2725">
        <v>0</v>
      </c>
      <c r="K2725">
        <v>0</v>
      </c>
      <c r="L2725">
        <v>0</v>
      </c>
      <c r="M2725" t="s">
        <v>17</v>
      </c>
    </row>
    <row r="2726" spans="1:13" hidden="1" x14ac:dyDescent="0.15">
      <c r="A2726" t="s">
        <v>8668</v>
      </c>
      <c r="B2726" t="s">
        <v>8669</v>
      </c>
      <c r="C2726" t="s">
        <v>8670</v>
      </c>
      <c r="D2726" t="s">
        <v>8667</v>
      </c>
      <c r="E2726">
        <v>109</v>
      </c>
      <c r="F2726" t="str">
        <f>HYPERLINK("https://github.com/ably/ably-java/issues/323", "show")</f>
        <v>show</v>
      </c>
      <c r="G2726" t="str">
        <f>HYPERLINK("https://github.com/ably/ably-java", "show")</f>
        <v>show</v>
      </c>
      <c r="H2726" t="str">
        <f>HYPERLINK("https://github.com/ably/ably-java/releases", "show")</f>
        <v>show</v>
      </c>
      <c r="I2726">
        <v>0</v>
      </c>
      <c r="J2726">
        <v>0</v>
      </c>
      <c r="K2726">
        <v>1</v>
      </c>
      <c r="L2726">
        <v>0</v>
      </c>
      <c r="M2726" t="s">
        <v>122</v>
      </c>
    </row>
    <row r="2727" spans="1:13" hidden="1" x14ac:dyDescent="0.15">
      <c r="A2727" t="s">
        <v>8671</v>
      </c>
      <c r="B2727" t="s">
        <v>8672</v>
      </c>
      <c r="C2727" t="s">
        <v>8673</v>
      </c>
      <c r="D2727" t="s">
        <v>8674</v>
      </c>
      <c r="E2727">
        <v>182</v>
      </c>
      <c r="F2727" t="str">
        <f>HYPERLINK("https://github.com/google/ExoPlayer/issues/2795", "show")</f>
        <v>show</v>
      </c>
      <c r="G2727" t="str">
        <f>HYPERLINK("https://github.com/google/ExoPlayer", "show")</f>
        <v>show</v>
      </c>
      <c r="H2727" t="str">
        <f>HYPERLINK("https://github.com/google/ExoPlayer/releases", "show")</f>
        <v>show</v>
      </c>
      <c r="I2727">
        <v>1</v>
      </c>
      <c r="J2727">
        <v>0</v>
      </c>
      <c r="K2727">
        <v>1</v>
      </c>
      <c r="L2727">
        <v>0</v>
      </c>
      <c r="M2727" t="s">
        <v>64</v>
      </c>
    </row>
    <row r="2728" spans="1:13" hidden="1" x14ac:dyDescent="0.15">
      <c r="A2728" t="s">
        <v>8675</v>
      </c>
      <c r="B2728" t="s">
        <v>8676</v>
      </c>
      <c r="C2728" t="s">
        <v>8677</v>
      </c>
      <c r="D2728" t="s">
        <v>8674</v>
      </c>
      <c r="E2728">
        <v>1</v>
      </c>
      <c r="F2728" t="str">
        <f>HYPERLINK("https://github.com/maks/MGit/issues/153", "show")</f>
        <v>show</v>
      </c>
      <c r="G2728" t="str">
        <f>HYPERLINK("https://github.com/maks/MGit", "show")</f>
        <v>show</v>
      </c>
      <c r="H2728" t="str">
        <f>HYPERLINK("https://github.com/maks/MGit/releases", "show")</f>
        <v>show</v>
      </c>
      <c r="I2728">
        <v>1</v>
      </c>
      <c r="J2728">
        <v>0</v>
      </c>
      <c r="K2728">
        <v>0</v>
      </c>
      <c r="L2728">
        <v>1</v>
      </c>
      <c r="M2728" t="s">
        <v>29</v>
      </c>
    </row>
    <row r="2729" spans="1:13" hidden="1" x14ac:dyDescent="0.15">
      <c r="A2729" t="s">
        <v>8678</v>
      </c>
      <c r="B2729" t="s">
        <v>8679</v>
      </c>
      <c r="C2729" t="s">
        <v>8680</v>
      </c>
      <c r="D2729" t="s">
        <v>8674</v>
      </c>
      <c r="E2729">
        <v>113</v>
      </c>
      <c r="F2729" t="str">
        <f>HYPERLINK("https://github.com/square/okhttp/issues/3334", "show")</f>
        <v>show</v>
      </c>
      <c r="G2729" t="str">
        <f>HYPERLINK("https://github.com/square/okhttp", "show")</f>
        <v>show</v>
      </c>
      <c r="H2729" t="str">
        <f>HYPERLINK("https://github.com/square/okhttp/releases", "show")</f>
        <v>show</v>
      </c>
      <c r="I2729">
        <v>0</v>
      </c>
      <c r="J2729">
        <v>0</v>
      </c>
      <c r="K2729">
        <v>1</v>
      </c>
      <c r="L2729">
        <v>0</v>
      </c>
      <c r="M2729" t="s">
        <v>122</v>
      </c>
    </row>
    <row r="2730" spans="1:13" hidden="1" x14ac:dyDescent="0.15">
      <c r="A2730" t="s">
        <v>8681</v>
      </c>
      <c r="B2730" t="s">
        <v>8682</v>
      </c>
      <c r="C2730" t="s">
        <v>8683</v>
      </c>
      <c r="D2730" t="s">
        <v>8684</v>
      </c>
      <c r="E2730">
        <v>539</v>
      </c>
      <c r="F2730" t="str">
        <f>HYPERLINK("https://github.com/inaturalist/iNaturalistAndroid/issues/349", "show")</f>
        <v>show</v>
      </c>
      <c r="G2730" t="str">
        <f>HYPERLINK("https://github.com/inaturalist/iNaturalistAndroid", "show")</f>
        <v>show</v>
      </c>
      <c r="H2730" t="str">
        <f>HYPERLINK("https://github.com/inaturalist/iNaturalistAndroid/releases", "show")</f>
        <v>show</v>
      </c>
      <c r="I2730">
        <v>1</v>
      </c>
      <c r="J2730">
        <v>0</v>
      </c>
      <c r="K2730">
        <v>1</v>
      </c>
      <c r="L2730">
        <v>0</v>
      </c>
      <c r="M2730" t="s">
        <v>64</v>
      </c>
    </row>
    <row r="2731" spans="1:13" hidden="1" x14ac:dyDescent="0.15">
      <c r="A2731" t="s">
        <v>8685</v>
      </c>
      <c r="B2731" t="s">
        <v>8686</v>
      </c>
      <c r="C2731" t="s">
        <v>8687</v>
      </c>
      <c r="D2731" t="s">
        <v>8684</v>
      </c>
      <c r="E2731">
        <v>539</v>
      </c>
      <c r="F2731" t="str">
        <f>HYPERLINK("https://github.com/inaturalist/iNaturalistAndroid/issues/348", "show")</f>
        <v>show</v>
      </c>
      <c r="G2731" t="str">
        <f>HYPERLINK("https://github.com/inaturalist/iNaturalistAndroid", "show")</f>
        <v>show</v>
      </c>
      <c r="H2731" t="str">
        <f>HYPERLINK("https://github.com/inaturalist/iNaturalistAndroid/releases", "show")</f>
        <v>show</v>
      </c>
      <c r="I2731">
        <v>0</v>
      </c>
      <c r="J2731">
        <v>0</v>
      </c>
      <c r="K2731">
        <v>1</v>
      </c>
      <c r="L2731">
        <v>0</v>
      </c>
      <c r="M2731" t="s">
        <v>122</v>
      </c>
    </row>
    <row r="2732" spans="1:13" hidden="1" x14ac:dyDescent="0.15">
      <c r="A2732" t="s">
        <v>8688</v>
      </c>
      <c r="B2732" t="s">
        <v>8689</v>
      </c>
      <c r="C2732" t="s">
        <v>8690</v>
      </c>
      <c r="D2732" t="s">
        <v>8684</v>
      </c>
      <c r="E2732">
        <v>134</v>
      </c>
      <c r="F2732" t="str">
        <f>HYPERLINK("https://github.com/twilio/video-quickstart-android/issues/116", "show")</f>
        <v>show</v>
      </c>
      <c r="G2732" t="str">
        <f>HYPERLINK("https://github.com/twilio/video-quickstart-android", "show")</f>
        <v>show</v>
      </c>
      <c r="H2732" t="str">
        <f>HYPERLINK("https://github.com/twilio/video-quickstart-android/releases", "show")</f>
        <v>show</v>
      </c>
      <c r="I2732">
        <v>1</v>
      </c>
      <c r="J2732">
        <v>0</v>
      </c>
      <c r="K2732">
        <v>0</v>
      </c>
      <c r="L2732">
        <v>0</v>
      </c>
      <c r="M2732" t="s">
        <v>17</v>
      </c>
    </row>
    <row r="2733" spans="1:13" hidden="1" x14ac:dyDescent="0.15">
      <c r="A2733" t="s">
        <v>8691</v>
      </c>
      <c r="B2733" t="s">
        <v>8692</v>
      </c>
      <c r="D2733" t="s">
        <v>8684</v>
      </c>
      <c r="E2733">
        <v>1</v>
      </c>
      <c r="F2733" t="str">
        <f>HYPERLINK("https://github.com/DecentralizedAmateurPagingNetwork/DAPNETApp/issues/13", "show")</f>
        <v>show</v>
      </c>
      <c r="G2733" t="str">
        <f>HYPERLINK("https://github.com/DecentralizedAmateurPagingNetwork/DAPNETApp", "show")</f>
        <v>show</v>
      </c>
      <c r="H2733" t="str">
        <f>HYPERLINK("https://github.com/DecentralizedAmateurPagingNetwork/DAPNETApp/releases", "show")</f>
        <v>show</v>
      </c>
      <c r="I2733">
        <v>0</v>
      </c>
      <c r="J2733">
        <v>0</v>
      </c>
      <c r="K2733">
        <v>0</v>
      </c>
      <c r="L2733">
        <v>0</v>
      </c>
      <c r="M2733" t="s">
        <v>43</v>
      </c>
    </row>
    <row r="2734" spans="1:13" hidden="1" x14ac:dyDescent="0.15">
      <c r="A2734" t="s">
        <v>8693</v>
      </c>
      <c r="B2734" t="s">
        <v>8694</v>
      </c>
      <c r="C2734" t="s">
        <v>8695</v>
      </c>
      <c r="D2734" t="s">
        <v>8696</v>
      </c>
      <c r="E2734">
        <v>1</v>
      </c>
      <c r="F2734" t="str">
        <f>HYPERLINK("https://github.com/inaturalist/iNaturalistAndroid/issues/350", "show")</f>
        <v>show</v>
      </c>
      <c r="G2734" t="str">
        <f>HYPERLINK("https://github.com/inaturalist/iNaturalistAndroid", "show")</f>
        <v>show</v>
      </c>
      <c r="H2734" t="str">
        <f>HYPERLINK("https://github.com/inaturalist/iNaturalistAndroid/releases", "show")</f>
        <v>show</v>
      </c>
      <c r="I2734">
        <v>0</v>
      </c>
      <c r="J2734">
        <v>0</v>
      </c>
      <c r="K2734">
        <v>1</v>
      </c>
      <c r="L2734">
        <v>0</v>
      </c>
      <c r="M2734" t="s">
        <v>122</v>
      </c>
    </row>
    <row r="2735" spans="1:13" hidden="1" x14ac:dyDescent="0.15">
      <c r="A2735" t="s">
        <v>8697</v>
      </c>
      <c r="B2735" t="s">
        <v>8698</v>
      </c>
      <c r="C2735" t="s">
        <v>8699</v>
      </c>
      <c r="D2735" t="s">
        <v>8696</v>
      </c>
      <c r="E2735">
        <v>1</v>
      </c>
      <c r="F2735" t="str">
        <f>HYPERLINK("https://github.com/t3rmian/PBMap/issues/2", "show")</f>
        <v>show</v>
      </c>
      <c r="G2735" t="str">
        <f>HYPERLINK("https://github.com/t3rmian/PBMap", "show")</f>
        <v>show</v>
      </c>
      <c r="H2735" t="str">
        <f>HYPERLINK("https://github.com/t3rmian/PBMap/releases", "show")</f>
        <v>show</v>
      </c>
      <c r="I2735">
        <v>1</v>
      </c>
      <c r="J2735">
        <v>0</v>
      </c>
      <c r="K2735">
        <v>0</v>
      </c>
      <c r="L2735">
        <v>0</v>
      </c>
      <c r="M2735" t="s">
        <v>17</v>
      </c>
    </row>
    <row r="2736" spans="1:13" hidden="1" x14ac:dyDescent="0.15">
      <c r="A2736" t="s">
        <v>8700</v>
      </c>
      <c r="B2736" t="s">
        <v>8701</v>
      </c>
      <c r="C2736" t="s">
        <v>8702</v>
      </c>
      <c r="D2736" t="s">
        <v>8696</v>
      </c>
      <c r="E2736">
        <v>240</v>
      </c>
      <c r="F2736" t="str">
        <f>HYPERLINK("https://github.com/pwittchen/ReactiveWiFi/issues/28", "show")</f>
        <v>show</v>
      </c>
      <c r="G2736" t="str">
        <f>HYPERLINK("https://github.com/pwittchen/ReactiveWiFi", "show")</f>
        <v>show</v>
      </c>
      <c r="H2736" t="str">
        <f>HYPERLINK("https://github.com/pwittchen/ReactiveWiFi/releases", "show")</f>
        <v>show</v>
      </c>
      <c r="I2736">
        <v>0</v>
      </c>
      <c r="J2736">
        <v>0</v>
      </c>
      <c r="K2736">
        <v>1</v>
      </c>
      <c r="L2736">
        <v>0</v>
      </c>
      <c r="M2736" t="s">
        <v>122</v>
      </c>
    </row>
    <row r="2737" spans="1:13" hidden="1" x14ac:dyDescent="0.15">
      <c r="A2737" t="s">
        <v>8703</v>
      </c>
      <c r="B2737" t="s">
        <v>8704</v>
      </c>
      <c r="C2737" t="s">
        <v>8705</v>
      </c>
      <c r="D2737" t="s">
        <v>8706</v>
      </c>
      <c r="E2737">
        <v>333</v>
      </c>
      <c r="F2737" t="str">
        <f>HYPERLINK("https://github.com/inaturalist/iNaturalistAndroid/issues/353", "show")</f>
        <v>show</v>
      </c>
      <c r="G2737" t="str">
        <f>HYPERLINK("https://github.com/inaturalist/iNaturalistAndroid", "show")</f>
        <v>show</v>
      </c>
      <c r="H2737" t="str">
        <f>HYPERLINK("https://github.com/inaturalist/iNaturalistAndroid/releases", "show")</f>
        <v>show</v>
      </c>
      <c r="I2737">
        <v>0</v>
      </c>
      <c r="J2737">
        <v>0</v>
      </c>
      <c r="K2737">
        <v>0</v>
      </c>
      <c r="L2737">
        <v>0</v>
      </c>
      <c r="M2737" t="s">
        <v>43</v>
      </c>
    </row>
    <row r="2738" spans="1:13" hidden="1" x14ac:dyDescent="0.15">
      <c r="A2738" t="s">
        <v>8707</v>
      </c>
      <c r="B2738" t="s">
        <v>8708</v>
      </c>
      <c r="C2738" t="s">
        <v>8709</v>
      </c>
      <c r="D2738" t="s">
        <v>8706</v>
      </c>
      <c r="E2738">
        <v>11</v>
      </c>
      <c r="F2738" t="str">
        <f>HYPERLINK("https://github.com/opw0011/OpenToiletAndroid/issues/24", "show")</f>
        <v>show</v>
      </c>
      <c r="G2738" t="str">
        <f>HYPERLINK("https://github.com/opw0011/OpenToiletAndroid", "show")</f>
        <v>show</v>
      </c>
      <c r="H2738" t="str">
        <f>HYPERLINK("https://github.com/opw0011/OpenToiletAndroid/releases", "show")</f>
        <v>show</v>
      </c>
      <c r="I2738">
        <v>1</v>
      </c>
      <c r="J2738">
        <v>0</v>
      </c>
      <c r="K2738">
        <v>0</v>
      </c>
      <c r="L2738">
        <v>0</v>
      </c>
      <c r="M2738" t="s">
        <v>17</v>
      </c>
    </row>
    <row r="2739" spans="1:13" hidden="1" x14ac:dyDescent="0.15">
      <c r="A2739" t="s">
        <v>8710</v>
      </c>
      <c r="B2739" t="s">
        <v>8711</v>
      </c>
      <c r="C2739" t="s">
        <v>8712</v>
      </c>
      <c r="D2739" t="s">
        <v>8713</v>
      </c>
      <c r="E2739">
        <v>7</v>
      </c>
      <c r="F2739" t="str">
        <f>HYPERLINK("https://github.com/cgeo/cgeo/issues/6560", "show")</f>
        <v>show</v>
      </c>
      <c r="G2739" t="str">
        <f>HYPERLINK("https://github.com/cgeo/cgeo", "show")</f>
        <v>show</v>
      </c>
      <c r="H2739" t="str">
        <f>HYPERLINK("https://github.com/cgeo/cgeo/releases", "show")</f>
        <v>show</v>
      </c>
      <c r="I2739">
        <v>1</v>
      </c>
      <c r="J2739">
        <v>0</v>
      </c>
      <c r="K2739">
        <v>1</v>
      </c>
      <c r="L2739">
        <v>0</v>
      </c>
      <c r="M2739" t="s">
        <v>64</v>
      </c>
    </row>
    <row r="2740" spans="1:13" hidden="1" x14ac:dyDescent="0.15">
      <c r="A2740" t="s">
        <v>8714</v>
      </c>
      <c r="B2740" t="s">
        <v>8715</v>
      </c>
      <c r="C2740" t="s">
        <v>8716</v>
      </c>
      <c r="D2740" t="s">
        <v>8713</v>
      </c>
      <c r="E2740">
        <v>3</v>
      </c>
      <c r="F2740" t="str">
        <f>HYPERLINK("https://github.com/microsoft/project-rome/issues/17", "show")</f>
        <v>show</v>
      </c>
      <c r="G2740" t="str">
        <f>HYPERLINK("https://github.com/microsoft/project-rome", "show")</f>
        <v>show</v>
      </c>
      <c r="H2740" t="str">
        <f>HYPERLINK("https://github.com/microsoft/project-rome/releases", "show")</f>
        <v>show</v>
      </c>
      <c r="I2740">
        <v>0</v>
      </c>
      <c r="J2740">
        <v>0</v>
      </c>
      <c r="K2740">
        <v>0</v>
      </c>
      <c r="L2740">
        <v>0</v>
      </c>
      <c r="M2740" t="s">
        <v>43</v>
      </c>
    </row>
    <row r="2741" spans="1:13" hidden="1" x14ac:dyDescent="0.15">
      <c r="A2741" t="s">
        <v>8717</v>
      </c>
      <c r="B2741" t="s">
        <v>8718</v>
      </c>
      <c r="C2741" t="s">
        <v>8719</v>
      </c>
      <c r="D2741" t="s">
        <v>8720</v>
      </c>
      <c r="E2741">
        <v>1</v>
      </c>
      <c r="F2741" t="str">
        <f>HYPERLINK("https://github.com/SkyTubeTeam/SkyTube/issues/111", "show")</f>
        <v>show</v>
      </c>
      <c r="G2741" t="str">
        <f>HYPERLINK("https://github.com/SkyTubeTeam/SkyTube", "show")</f>
        <v>show</v>
      </c>
      <c r="H2741" t="str">
        <f>HYPERLINK("https://github.com/SkyTubeTeam/SkyTube/releases", "show")</f>
        <v>show</v>
      </c>
      <c r="I2741">
        <v>1</v>
      </c>
      <c r="J2741">
        <v>0</v>
      </c>
      <c r="K2741">
        <v>1</v>
      </c>
      <c r="L2741">
        <v>0</v>
      </c>
      <c r="M2741" t="s">
        <v>64</v>
      </c>
    </row>
    <row r="2742" spans="1:13" hidden="1" x14ac:dyDescent="0.15">
      <c r="A2742" t="s">
        <v>8721</v>
      </c>
      <c r="B2742" t="s">
        <v>8722</v>
      </c>
      <c r="D2742" t="s">
        <v>8720</v>
      </c>
      <c r="E2742">
        <v>343</v>
      </c>
      <c r="F2742" t="str">
        <f>HYPERLINK("https://github.com/Kunzisoft/Android-SwitchDateTimePicker/issues/19", "show")</f>
        <v>show</v>
      </c>
      <c r="G2742" t="str">
        <f>HYPERLINK("https://github.com/Kunzisoft/Android-SwitchDateTimePicker", "show")</f>
        <v>show</v>
      </c>
      <c r="H2742" t="str">
        <f>HYPERLINK("https://github.com/Kunzisoft/Android-SwitchDateTimePicker/releases", "show")</f>
        <v>show</v>
      </c>
      <c r="I2742">
        <v>0</v>
      </c>
      <c r="J2742">
        <v>0</v>
      </c>
      <c r="K2742">
        <v>1</v>
      </c>
      <c r="L2742">
        <v>0</v>
      </c>
      <c r="M2742" t="s">
        <v>122</v>
      </c>
    </row>
    <row r="2743" spans="1:13" hidden="1" x14ac:dyDescent="0.15">
      <c r="A2743" t="s">
        <v>8723</v>
      </c>
      <c r="B2743" t="s">
        <v>8724</v>
      </c>
      <c r="C2743" t="s">
        <v>8725</v>
      </c>
      <c r="D2743" t="s">
        <v>8720</v>
      </c>
      <c r="E2743">
        <v>0</v>
      </c>
      <c r="F2743" t="str">
        <f>HYPERLINK("https://github.com/yayaa/LocationManager/issues/43", "show")</f>
        <v>show</v>
      </c>
      <c r="G2743" t="str">
        <f>HYPERLINK("https://github.com/yayaa/LocationManager", "show")</f>
        <v>show</v>
      </c>
      <c r="H2743" t="str">
        <f>HYPERLINK("https://github.com/yayaa/LocationManager/releases", "show")</f>
        <v>show</v>
      </c>
      <c r="I2743">
        <v>1</v>
      </c>
      <c r="J2743">
        <v>0</v>
      </c>
      <c r="K2743">
        <v>0</v>
      </c>
      <c r="L2743">
        <v>0</v>
      </c>
      <c r="M2743" t="s">
        <v>17</v>
      </c>
    </row>
    <row r="2744" spans="1:13" hidden="1" x14ac:dyDescent="0.15">
      <c r="A2744" t="s">
        <v>8726</v>
      </c>
      <c r="B2744" t="s">
        <v>8727</v>
      </c>
      <c r="C2744" t="s">
        <v>8728</v>
      </c>
      <c r="D2744" t="s">
        <v>8729</v>
      </c>
      <c r="E2744">
        <v>1</v>
      </c>
      <c r="F2744" t="str">
        <f>HYPERLINK("https://github.com/aaronjwood/PortAuthority/issues/72", "show")</f>
        <v>show</v>
      </c>
      <c r="G2744" t="str">
        <f>HYPERLINK("https://github.com/aaronjwood/PortAuthority", "show")</f>
        <v>show</v>
      </c>
      <c r="H2744" t="str">
        <f>HYPERLINK("https://github.com/aaronjwood/PortAuthority/releases", "show")</f>
        <v>show</v>
      </c>
      <c r="I2744">
        <v>1</v>
      </c>
      <c r="J2744">
        <v>0</v>
      </c>
      <c r="K2744">
        <v>0</v>
      </c>
      <c r="L2744">
        <v>0</v>
      </c>
      <c r="M2744" t="s">
        <v>17</v>
      </c>
    </row>
    <row r="2745" spans="1:13" hidden="1" x14ac:dyDescent="0.15">
      <c r="A2745" t="s">
        <v>8730</v>
      </c>
      <c r="B2745" t="s">
        <v>8731</v>
      </c>
      <c r="C2745" t="s">
        <v>8732</v>
      </c>
      <c r="D2745" t="s">
        <v>8729</v>
      </c>
      <c r="E2745">
        <v>3</v>
      </c>
      <c r="F2745" t="str">
        <f>HYPERLINK("https://github.com/commons-app/apps-android-commons/issues/614", "show")</f>
        <v>show</v>
      </c>
      <c r="G2745" t="str">
        <f>HYPERLINK("https://github.com/commons-app/apps-android-commons", "show")</f>
        <v>show</v>
      </c>
      <c r="H2745" t="str">
        <f>HYPERLINK("https://github.com/commons-app/apps-android-commons/releases", "show")</f>
        <v>show</v>
      </c>
      <c r="I2745">
        <v>0</v>
      </c>
      <c r="J2745">
        <v>0</v>
      </c>
      <c r="K2745">
        <v>1</v>
      </c>
      <c r="L2745">
        <v>0</v>
      </c>
      <c r="M2745" t="s">
        <v>122</v>
      </c>
    </row>
    <row r="2746" spans="1:13" hidden="1" x14ac:dyDescent="0.15">
      <c r="A2746" t="s">
        <v>8733</v>
      </c>
      <c r="B2746" t="s">
        <v>8734</v>
      </c>
      <c r="C2746" t="s">
        <v>8735</v>
      </c>
      <c r="D2746" t="s">
        <v>8729</v>
      </c>
      <c r="E2746">
        <v>17</v>
      </c>
      <c r="F2746" t="str">
        <f>HYPERLINK("https://github.com/digital-voting-pass/polling-station-app/issues/34", "show")</f>
        <v>show</v>
      </c>
      <c r="G2746" t="str">
        <f>HYPERLINK("https://github.com/digital-voting-pass/polling-station-app", "show")</f>
        <v>show</v>
      </c>
      <c r="H2746" t="str">
        <f>HYPERLINK("https://github.com/digital-voting-pass/polling-station-app/releases", "show")</f>
        <v>show</v>
      </c>
      <c r="I2746">
        <v>1</v>
      </c>
      <c r="J2746">
        <v>0</v>
      </c>
      <c r="K2746">
        <v>0</v>
      </c>
      <c r="L2746">
        <v>0</v>
      </c>
      <c r="M2746" t="s">
        <v>17</v>
      </c>
    </row>
    <row r="2747" spans="1:13" hidden="1" x14ac:dyDescent="0.15">
      <c r="A2747" t="s">
        <v>8736</v>
      </c>
      <c r="B2747" t="s">
        <v>8737</v>
      </c>
      <c r="C2747" t="s">
        <v>8738</v>
      </c>
      <c r="D2747" t="s">
        <v>8729</v>
      </c>
      <c r="E2747">
        <v>8</v>
      </c>
      <c r="F2747" t="str">
        <f>HYPERLINK("https://github.com/Cloudkibo/Android/issues/595", "show")</f>
        <v>show</v>
      </c>
      <c r="G2747" t="str">
        <f>HYPERLINK("https://github.com/Cloudkibo/Android", "show")</f>
        <v>show</v>
      </c>
      <c r="H2747" t="str">
        <f>HYPERLINK("https://github.com/Cloudkibo/Android/releases", "show")</f>
        <v>show</v>
      </c>
      <c r="I2747">
        <v>0</v>
      </c>
      <c r="J2747">
        <v>0</v>
      </c>
      <c r="K2747">
        <v>0</v>
      </c>
      <c r="L2747">
        <v>0</v>
      </c>
      <c r="M2747" t="s">
        <v>43</v>
      </c>
    </row>
    <row r="2748" spans="1:13" hidden="1" x14ac:dyDescent="0.15">
      <c r="A2748" t="s">
        <v>8739</v>
      </c>
      <c r="B2748" t="s">
        <v>8740</v>
      </c>
      <c r="C2748" t="s">
        <v>8741</v>
      </c>
      <c r="D2748" t="s">
        <v>8742</v>
      </c>
      <c r="E2748">
        <v>55</v>
      </c>
      <c r="F2748" t="str">
        <f>HYPERLINK("https://github.com/nextcloud/android/issues/1017", "show")</f>
        <v>show</v>
      </c>
      <c r="G2748" t="str">
        <f>HYPERLINK("https://github.com/nextcloud/android", "show")</f>
        <v>show</v>
      </c>
      <c r="H2748" t="str">
        <f>HYPERLINK("https://github.com/nextcloud/android/releases", "show")</f>
        <v>show</v>
      </c>
      <c r="I2748">
        <v>1</v>
      </c>
      <c r="J2748">
        <v>1</v>
      </c>
      <c r="K2748">
        <v>1</v>
      </c>
      <c r="L2748">
        <v>0</v>
      </c>
      <c r="M2748" t="s">
        <v>59</v>
      </c>
    </row>
    <row r="2749" spans="1:13" hidden="1" x14ac:dyDescent="0.15">
      <c r="A2749" t="s">
        <v>8743</v>
      </c>
      <c r="B2749" t="s">
        <v>8744</v>
      </c>
      <c r="C2749" t="s">
        <v>8745</v>
      </c>
      <c r="D2749" t="s">
        <v>8742</v>
      </c>
      <c r="E2749">
        <v>5</v>
      </c>
      <c r="F2749" t="str">
        <f>HYPERLINK("https://github.com/MatthijsKok/TI2806-Contextproject/issues/108", "show")</f>
        <v>show</v>
      </c>
      <c r="G2749" t="str">
        <f>HYPERLINK("https://github.com/MatthijsKok/TI2806-Contextproject", "show")</f>
        <v>show</v>
      </c>
      <c r="H2749" t="str">
        <f>HYPERLINK("https://github.com/MatthijsKok/TI2806-Contextproject/releases", "show")</f>
        <v>show</v>
      </c>
      <c r="I2749">
        <v>1</v>
      </c>
      <c r="J2749">
        <v>0</v>
      </c>
      <c r="K2749">
        <v>0</v>
      </c>
      <c r="L2749">
        <v>0</v>
      </c>
      <c r="M2749" t="s">
        <v>17</v>
      </c>
    </row>
    <row r="2750" spans="1:13" hidden="1" x14ac:dyDescent="0.15">
      <c r="A2750" t="s">
        <v>8746</v>
      </c>
      <c r="B2750" t="s">
        <v>8747</v>
      </c>
      <c r="C2750" t="s">
        <v>8748</v>
      </c>
      <c r="D2750" t="s">
        <v>8742</v>
      </c>
      <c r="E2750">
        <v>25</v>
      </c>
      <c r="F2750" t="str">
        <f>HYPERLINK("https://github.com/yayaa/LocationManager/issues/48", "show")</f>
        <v>show</v>
      </c>
      <c r="G2750" t="str">
        <f>HYPERLINK("https://github.com/yayaa/LocationManager", "show")</f>
        <v>show</v>
      </c>
      <c r="H2750" t="str">
        <f>HYPERLINK("https://github.com/yayaa/LocationManager/releases", "show")</f>
        <v>show</v>
      </c>
      <c r="I2750">
        <v>1</v>
      </c>
      <c r="J2750">
        <v>0</v>
      </c>
      <c r="K2750">
        <v>0</v>
      </c>
      <c r="L2750">
        <v>0</v>
      </c>
      <c r="M2750" t="s">
        <v>17</v>
      </c>
    </row>
    <row r="2751" spans="1:13" x14ac:dyDescent="0.15">
      <c r="A2751" t="s">
        <v>8749</v>
      </c>
      <c r="B2751" t="s">
        <v>8750</v>
      </c>
      <c r="C2751" t="s">
        <v>8751</v>
      </c>
      <c r="D2751" t="s">
        <v>8752</v>
      </c>
      <c r="E2751">
        <v>170</v>
      </c>
      <c r="F2751" t="str">
        <f>HYPERLINK("https://github.com/stefan-niedermann/nextcloud-notes/issues/215", "show")</f>
        <v>show</v>
      </c>
      <c r="G2751" t="str">
        <f>HYPERLINK("https://github.com/stefan-niedermann/nextcloud-notes", "show")</f>
        <v>show</v>
      </c>
      <c r="H2751" t="str">
        <f>HYPERLINK("https://github.com/stefan-niedermann/nextcloud-notes/releases", "show")</f>
        <v>show</v>
      </c>
      <c r="I2751">
        <v>0</v>
      </c>
      <c r="J2751">
        <v>1</v>
      </c>
      <c r="K2751">
        <v>0</v>
      </c>
      <c r="L2751">
        <v>0</v>
      </c>
      <c r="M2751" t="s">
        <v>139</v>
      </c>
    </row>
    <row r="2752" spans="1:13" hidden="1" x14ac:dyDescent="0.15">
      <c r="A2752" t="s">
        <v>8753</v>
      </c>
      <c r="B2752" t="s">
        <v>8754</v>
      </c>
      <c r="C2752" t="s">
        <v>8755</v>
      </c>
      <c r="D2752" t="s">
        <v>8752</v>
      </c>
      <c r="E2752">
        <v>1</v>
      </c>
      <c r="F2752" t="str">
        <f>HYPERLINK("https://github.com/infinum/MjolnirRecyclerView/issues/52", "show")</f>
        <v>show</v>
      </c>
      <c r="G2752" t="str">
        <f>HYPERLINK("https://github.com/infinum/MjolnirRecyclerView", "show")</f>
        <v>show</v>
      </c>
      <c r="H2752" t="str">
        <f>HYPERLINK("https://github.com/infinum/MjolnirRecyclerView/releases", "show")</f>
        <v>show</v>
      </c>
      <c r="I2752">
        <v>1</v>
      </c>
      <c r="J2752">
        <v>0</v>
      </c>
      <c r="K2752">
        <v>0</v>
      </c>
      <c r="L2752">
        <v>0</v>
      </c>
      <c r="M2752" t="s">
        <v>17</v>
      </c>
    </row>
    <row r="2753" spans="1:13" hidden="1" x14ac:dyDescent="0.15">
      <c r="A2753" t="s">
        <v>8756</v>
      </c>
      <c r="B2753" t="s">
        <v>8757</v>
      </c>
      <c r="C2753" t="s">
        <v>8758</v>
      </c>
      <c r="D2753" t="s">
        <v>8759</v>
      </c>
      <c r="E2753">
        <v>32</v>
      </c>
      <c r="F2753" t="str">
        <f>HYPERLINK("https://github.com/tanguyantoine/react-native-music-control/issues/68", "show")</f>
        <v>show</v>
      </c>
      <c r="G2753" t="str">
        <f>HYPERLINK("https://github.com/tanguyantoine/react-native-music-control", "show")</f>
        <v>show</v>
      </c>
      <c r="H2753" t="str">
        <f>HYPERLINK("https://github.com/tanguyantoine/react-native-music-control/releases", "show")</f>
        <v>show</v>
      </c>
      <c r="I2753">
        <v>0</v>
      </c>
      <c r="J2753">
        <v>0</v>
      </c>
      <c r="K2753">
        <v>1</v>
      </c>
      <c r="L2753">
        <v>0</v>
      </c>
      <c r="M2753" t="s">
        <v>122</v>
      </c>
    </row>
    <row r="2754" spans="1:13" hidden="1" x14ac:dyDescent="0.15">
      <c r="A2754" t="s">
        <v>8760</v>
      </c>
      <c r="B2754" t="s">
        <v>8761</v>
      </c>
      <c r="D2754" t="s">
        <v>8759</v>
      </c>
      <c r="E2754">
        <v>7</v>
      </c>
      <c r="F2754" t="str">
        <f>HYPERLINK("https://github.com/digital-voting-pass/polling-station-app/issues/45", "show")</f>
        <v>show</v>
      </c>
      <c r="G2754" t="str">
        <f>HYPERLINK("https://github.com/digital-voting-pass/polling-station-app", "show")</f>
        <v>show</v>
      </c>
      <c r="H2754" t="str">
        <f>HYPERLINK("https://github.com/digital-voting-pass/polling-station-app/releases", "show")</f>
        <v>show</v>
      </c>
      <c r="I2754">
        <v>0</v>
      </c>
      <c r="J2754">
        <v>0</v>
      </c>
      <c r="K2754">
        <v>0</v>
      </c>
      <c r="L2754">
        <v>0</v>
      </c>
      <c r="M2754" t="s">
        <v>43</v>
      </c>
    </row>
    <row r="2755" spans="1:13" hidden="1" x14ac:dyDescent="0.15">
      <c r="A2755" t="s">
        <v>8762</v>
      </c>
      <c r="B2755" t="s">
        <v>8763</v>
      </c>
      <c r="C2755" t="s">
        <v>8764</v>
      </c>
      <c r="D2755" t="s">
        <v>8759</v>
      </c>
      <c r="E2755">
        <v>1</v>
      </c>
      <c r="F2755" t="str">
        <f>HYPERLINK("https://github.com/commons-app/apps-android-commons/issues/631", "show")</f>
        <v>show</v>
      </c>
      <c r="G2755" t="str">
        <f>HYPERLINK("https://github.com/commons-app/apps-android-commons", "show")</f>
        <v>show</v>
      </c>
      <c r="H2755" t="str">
        <f>HYPERLINK("https://github.com/commons-app/apps-android-commons/releases", "show")</f>
        <v>show</v>
      </c>
      <c r="I2755">
        <v>1</v>
      </c>
      <c r="J2755">
        <v>0</v>
      </c>
      <c r="K2755">
        <v>1</v>
      </c>
      <c r="L2755">
        <v>0</v>
      </c>
      <c r="M2755" t="s">
        <v>64</v>
      </c>
    </row>
    <row r="2756" spans="1:13" hidden="1" x14ac:dyDescent="0.15">
      <c r="A2756" t="s">
        <v>8765</v>
      </c>
      <c r="B2756" t="s">
        <v>8766</v>
      </c>
      <c r="C2756" t="s">
        <v>504</v>
      </c>
      <c r="D2756" t="s">
        <v>8759</v>
      </c>
      <c r="E2756">
        <v>579</v>
      </c>
      <c r="F2756" t="str">
        <f>HYPERLINK("https://github.com/niclabs/adkintunmobile-androidclient/issues/172", "show")</f>
        <v>show</v>
      </c>
      <c r="G2756" t="str">
        <f>HYPERLINK("https://github.com/niclabs/adkintunmobile-androidclient", "show")</f>
        <v>show</v>
      </c>
      <c r="H2756" t="str">
        <f>HYPERLINK("https://github.com/niclabs/adkintunmobile-androidclient/releases", "show")</f>
        <v>show</v>
      </c>
      <c r="I2756">
        <v>1</v>
      </c>
      <c r="J2756">
        <v>0</v>
      </c>
      <c r="K2756">
        <v>0</v>
      </c>
      <c r="L2756">
        <v>0</v>
      </c>
      <c r="M2756" t="s">
        <v>17</v>
      </c>
    </row>
    <row r="2757" spans="1:13" hidden="1" x14ac:dyDescent="0.15">
      <c r="A2757" t="s">
        <v>8767</v>
      </c>
      <c r="B2757" t="s">
        <v>8768</v>
      </c>
      <c r="C2757" t="s">
        <v>8769</v>
      </c>
      <c r="D2757" t="s">
        <v>8770</v>
      </c>
      <c r="E2757">
        <v>137</v>
      </c>
      <c r="F2757" t="str">
        <f>HYPERLINK("https://github.com/projectwife/mtesitoo-android/issues/107", "show")</f>
        <v>show</v>
      </c>
      <c r="G2757" t="str">
        <f>HYPERLINK("https://github.com/projectwife/mtesitoo-android", "show")</f>
        <v>show</v>
      </c>
      <c r="H2757" t="str">
        <f>HYPERLINK("https://github.com/projectwife/mtesitoo-android/releases", "show")</f>
        <v>show</v>
      </c>
      <c r="I2757">
        <v>1</v>
      </c>
      <c r="J2757">
        <v>0</v>
      </c>
      <c r="K2757">
        <v>0</v>
      </c>
      <c r="L2757">
        <v>0</v>
      </c>
      <c r="M2757" t="s">
        <v>17</v>
      </c>
    </row>
    <row r="2758" spans="1:13" hidden="1" x14ac:dyDescent="0.15">
      <c r="A2758" t="s">
        <v>8771</v>
      </c>
      <c r="B2758" t="s">
        <v>8772</v>
      </c>
      <c r="C2758" t="s">
        <v>8773</v>
      </c>
      <c r="D2758" t="s">
        <v>8774</v>
      </c>
      <c r="E2758">
        <v>3</v>
      </c>
      <c r="F2758" t="str">
        <f>HYPERLINK("https://github.com/mdg-iitr/trianglify/issues/36", "show")</f>
        <v>show</v>
      </c>
      <c r="G2758" t="str">
        <f>HYPERLINK("https://github.com/mdg-iitr/trianglify", "show")</f>
        <v>show</v>
      </c>
      <c r="H2758" t="str">
        <f>HYPERLINK("https://github.com/mdg-iitr/trianglify/releases", "show")</f>
        <v>show</v>
      </c>
      <c r="I2758">
        <v>1</v>
      </c>
      <c r="J2758">
        <v>0</v>
      </c>
      <c r="K2758">
        <v>0</v>
      </c>
      <c r="L2758">
        <v>0</v>
      </c>
      <c r="M2758" t="s">
        <v>17</v>
      </c>
    </row>
    <row r="2759" spans="1:13" hidden="1" x14ac:dyDescent="0.15">
      <c r="A2759" t="s">
        <v>8775</v>
      </c>
      <c r="B2759" t="s">
        <v>8776</v>
      </c>
      <c r="C2759" t="s">
        <v>8777</v>
      </c>
      <c r="D2759" t="s">
        <v>8774</v>
      </c>
      <c r="E2759">
        <v>22</v>
      </c>
      <c r="F2759" t="str">
        <f>HYPERLINK("https://github.com/salRoid/Filmy/issues/104", "show")</f>
        <v>show</v>
      </c>
      <c r="G2759" t="str">
        <f>HYPERLINK("https://github.com/salRoid/Filmy", "show")</f>
        <v>show</v>
      </c>
      <c r="H2759" t="str">
        <f>HYPERLINK("https://github.com/salRoid/Filmy/releases", "show")</f>
        <v>show</v>
      </c>
      <c r="I2759">
        <v>1</v>
      </c>
      <c r="J2759">
        <v>0</v>
      </c>
      <c r="K2759">
        <v>0</v>
      </c>
      <c r="L2759">
        <v>0</v>
      </c>
      <c r="M2759" t="s">
        <v>17</v>
      </c>
    </row>
    <row r="2760" spans="1:13" hidden="1" x14ac:dyDescent="0.15">
      <c r="A2760" t="s">
        <v>8778</v>
      </c>
      <c r="B2760" t="s">
        <v>8779</v>
      </c>
      <c r="C2760" t="s">
        <v>8780</v>
      </c>
      <c r="D2760" t="s">
        <v>8774</v>
      </c>
      <c r="E2760">
        <v>1</v>
      </c>
      <c r="F2760" t="str">
        <f>HYPERLINK("https://github.com/EmElw/PotTDA-TDA367Projekt/issues/125", "show")</f>
        <v>show</v>
      </c>
      <c r="G2760" t="str">
        <f>HYPERLINK("https://github.com/EmElw/PotTDA-TDA367Projekt", "show")</f>
        <v>show</v>
      </c>
      <c r="H2760" t="str">
        <f>HYPERLINK("https://github.com/EmElw/PotTDA-TDA367Projekt/releases", "show")</f>
        <v>show</v>
      </c>
      <c r="I2760">
        <v>0</v>
      </c>
      <c r="J2760">
        <v>0</v>
      </c>
      <c r="K2760">
        <v>0</v>
      </c>
      <c r="L2760">
        <v>0</v>
      </c>
      <c r="M2760" t="s">
        <v>43</v>
      </c>
    </row>
    <row r="2761" spans="1:13" hidden="1" x14ac:dyDescent="0.15">
      <c r="A2761" t="s">
        <v>8781</v>
      </c>
      <c r="B2761" t="s">
        <v>8782</v>
      </c>
      <c r="C2761" t="s">
        <v>8783</v>
      </c>
      <c r="D2761" t="s">
        <v>8774</v>
      </c>
      <c r="E2761">
        <v>3</v>
      </c>
      <c r="F2761" t="str">
        <f>HYPERLINK("https://github.com/openid/AppAuth-Android/issues/228", "show")</f>
        <v>show</v>
      </c>
      <c r="G2761" t="str">
        <f>HYPERLINK("https://github.com/openid/AppAuth-Android", "show")</f>
        <v>show</v>
      </c>
      <c r="H2761" t="str">
        <f>HYPERLINK("https://github.com/openid/AppAuth-Android/releases", "show")</f>
        <v>show</v>
      </c>
      <c r="I2761">
        <v>1</v>
      </c>
      <c r="J2761">
        <v>0</v>
      </c>
      <c r="K2761">
        <v>1</v>
      </c>
      <c r="L2761">
        <v>0</v>
      </c>
      <c r="M2761" t="s">
        <v>64</v>
      </c>
    </row>
    <row r="2762" spans="1:13" hidden="1" x14ac:dyDescent="0.15">
      <c r="A2762" t="s">
        <v>8784</v>
      </c>
      <c r="B2762" t="s">
        <v>8785</v>
      </c>
      <c r="C2762" t="s">
        <v>8786</v>
      </c>
      <c r="D2762" t="s">
        <v>8774</v>
      </c>
      <c r="E2762">
        <v>113</v>
      </c>
      <c r="F2762" t="str">
        <f>HYPERLINK("https://github.com/mycelium-com/wallet-android/issues/354", "show")</f>
        <v>show</v>
      </c>
      <c r="G2762" t="str">
        <f>HYPERLINK("https://github.com/mycelium-com/wallet-android", "show")</f>
        <v>show</v>
      </c>
      <c r="H2762" t="str">
        <f>HYPERLINK("https://github.com/mycelium-com/wallet-android/releases", "show")</f>
        <v>show</v>
      </c>
      <c r="I2762">
        <v>1</v>
      </c>
      <c r="J2762">
        <v>1</v>
      </c>
      <c r="K2762">
        <v>0</v>
      </c>
      <c r="L2762">
        <v>0</v>
      </c>
      <c r="M2762" t="s">
        <v>48</v>
      </c>
    </row>
    <row r="2763" spans="1:13" hidden="1" x14ac:dyDescent="0.15">
      <c r="A2763" t="s">
        <v>8787</v>
      </c>
      <c r="B2763" t="s">
        <v>8788</v>
      </c>
      <c r="C2763" t="s">
        <v>8789</v>
      </c>
      <c r="D2763" t="s">
        <v>8790</v>
      </c>
      <c r="E2763">
        <v>11</v>
      </c>
      <c r="F2763" t="str">
        <f>HYPERLINK("https://github.com/Mariovc/ImagePicker/issues/21", "show")</f>
        <v>show</v>
      </c>
      <c r="G2763" t="str">
        <f>HYPERLINK("https://github.com/Mariovc/ImagePicker", "show")</f>
        <v>show</v>
      </c>
      <c r="H2763" t="str">
        <f>HYPERLINK("https://github.com/Mariovc/ImagePicker/releases", "show")</f>
        <v>show</v>
      </c>
      <c r="I2763">
        <v>1</v>
      </c>
      <c r="J2763">
        <v>0</v>
      </c>
      <c r="K2763">
        <v>0</v>
      </c>
      <c r="L2763">
        <v>0</v>
      </c>
      <c r="M2763" t="s">
        <v>17</v>
      </c>
    </row>
    <row r="2764" spans="1:13" hidden="1" x14ac:dyDescent="0.15">
      <c r="A2764" t="s">
        <v>8791</v>
      </c>
      <c r="B2764" t="s">
        <v>8792</v>
      </c>
      <c r="C2764" t="s">
        <v>8793</v>
      </c>
      <c r="D2764" t="s">
        <v>8790</v>
      </c>
      <c r="E2764">
        <v>10</v>
      </c>
      <c r="F2764" t="str">
        <f>HYPERLINK("https://github.com/MatthijsKok/TI2806-Contextproject/issues/123", "show")</f>
        <v>show</v>
      </c>
      <c r="G2764" t="str">
        <f>HYPERLINK("https://github.com/MatthijsKok/TI2806-Contextproject", "show")</f>
        <v>show</v>
      </c>
      <c r="H2764" t="str">
        <f>HYPERLINK("https://github.com/MatthijsKok/TI2806-Contextproject/releases", "show")</f>
        <v>show</v>
      </c>
      <c r="I2764">
        <v>1</v>
      </c>
      <c r="J2764">
        <v>0</v>
      </c>
      <c r="K2764">
        <v>0</v>
      </c>
      <c r="L2764">
        <v>1</v>
      </c>
      <c r="M2764" t="s">
        <v>29</v>
      </c>
    </row>
    <row r="2765" spans="1:13" hidden="1" x14ac:dyDescent="0.15">
      <c r="A2765" t="s">
        <v>8794</v>
      </c>
      <c r="B2765" t="s">
        <v>8795</v>
      </c>
      <c r="C2765" t="s">
        <v>8796</v>
      </c>
      <c r="D2765" t="s">
        <v>8797</v>
      </c>
      <c r="E2765">
        <v>678</v>
      </c>
      <c r="F2765" t="str">
        <f>HYPERLINK("https://github.com/smartdevicelink/sdl_java_suite/issues/518", "show")</f>
        <v>show</v>
      </c>
      <c r="G2765" t="str">
        <f>HYPERLINK("https://github.com/smartdevicelink/sdl_java_suite", "show")</f>
        <v>show</v>
      </c>
      <c r="H2765" t="str">
        <f>HYPERLINK("https://github.com/smartdevicelink/sdl_java_suite/releases", "show")</f>
        <v>show</v>
      </c>
      <c r="I2765">
        <v>1</v>
      </c>
      <c r="J2765">
        <v>0</v>
      </c>
      <c r="K2765">
        <v>1</v>
      </c>
      <c r="L2765">
        <v>0</v>
      </c>
      <c r="M2765" t="s">
        <v>64</v>
      </c>
    </row>
    <row r="2766" spans="1:13" hidden="1" x14ac:dyDescent="0.15">
      <c r="A2766" t="s">
        <v>8798</v>
      </c>
      <c r="B2766" t="s">
        <v>6772</v>
      </c>
      <c r="C2766" t="s">
        <v>8799</v>
      </c>
      <c r="D2766" t="s">
        <v>8797</v>
      </c>
      <c r="E2766">
        <v>245</v>
      </c>
      <c r="F2766" t="str">
        <f>HYPERLINK("https://github.com/7LPdWcaW/GrowTracker-Android/issues/47", "show")</f>
        <v>show</v>
      </c>
      <c r="G2766" t="str">
        <f>HYPERLINK("https://github.com/7LPdWcaW/GrowTracker-Android", "show")</f>
        <v>show</v>
      </c>
      <c r="H2766" t="str">
        <f>HYPERLINK("https://github.com/7LPdWcaW/GrowTracker-Android/releases", "show")</f>
        <v>show</v>
      </c>
      <c r="I2766">
        <v>1</v>
      </c>
      <c r="J2766">
        <v>0</v>
      </c>
      <c r="K2766">
        <v>0</v>
      </c>
      <c r="L2766">
        <v>0</v>
      </c>
      <c r="M2766" t="s">
        <v>17</v>
      </c>
    </row>
    <row r="2767" spans="1:13" hidden="1" x14ac:dyDescent="0.15">
      <c r="A2767" t="s">
        <v>8800</v>
      </c>
      <c r="B2767" t="s">
        <v>8801</v>
      </c>
      <c r="D2767" t="s">
        <v>8797</v>
      </c>
      <c r="E2767">
        <v>0</v>
      </c>
      <c r="F2767" t="str">
        <f>HYPERLINK("https://github.com/EyeSeeTea/pictureapp/issues/1262", "show")</f>
        <v>show</v>
      </c>
      <c r="G2767" t="str">
        <f>HYPERLINK("https://github.com/EyeSeeTea/pictureapp", "show")</f>
        <v>show</v>
      </c>
      <c r="H2767" t="str">
        <f>HYPERLINK("https://github.com/EyeSeeTea/pictureapp/releases", "show")</f>
        <v>show</v>
      </c>
      <c r="I2767">
        <v>1</v>
      </c>
      <c r="J2767">
        <v>0</v>
      </c>
      <c r="K2767">
        <v>0</v>
      </c>
      <c r="L2767">
        <v>0</v>
      </c>
      <c r="M2767" t="s">
        <v>17</v>
      </c>
    </row>
    <row r="2768" spans="1:13" hidden="1" x14ac:dyDescent="0.15">
      <c r="A2768" t="s">
        <v>8802</v>
      </c>
      <c r="B2768" t="s">
        <v>8803</v>
      </c>
      <c r="C2768" t="s">
        <v>8804</v>
      </c>
      <c r="D2768" t="s">
        <v>8797</v>
      </c>
      <c r="E2768">
        <v>13</v>
      </c>
      <c r="F2768" t="str">
        <f>HYPERLINK("https://github.com/evernote/android-job/issues/200", "show")</f>
        <v>show</v>
      </c>
      <c r="G2768" t="str">
        <f>HYPERLINK("https://github.com/evernote/android-job", "show")</f>
        <v>show</v>
      </c>
      <c r="H2768" t="str">
        <f>HYPERLINK("https://github.com/evernote/android-job/releases", "show")</f>
        <v>show</v>
      </c>
      <c r="I2768">
        <v>1</v>
      </c>
      <c r="J2768">
        <v>0</v>
      </c>
      <c r="K2768">
        <v>1</v>
      </c>
      <c r="L2768">
        <v>0</v>
      </c>
      <c r="M2768" t="s">
        <v>64</v>
      </c>
    </row>
    <row r="2769" spans="1:13" hidden="1" x14ac:dyDescent="0.15">
      <c r="A2769" t="s">
        <v>8805</v>
      </c>
      <c r="B2769" t="s">
        <v>8806</v>
      </c>
      <c r="C2769" t="s">
        <v>8807</v>
      </c>
      <c r="D2769" t="s">
        <v>8797</v>
      </c>
      <c r="E2769">
        <v>11</v>
      </c>
      <c r="F2769" t="str">
        <f>HYPERLINK("https://github.com/inaturalist/iNaturalistAndroid/issues/355", "show")</f>
        <v>show</v>
      </c>
      <c r="G2769" t="str">
        <f>HYPERLINK("https://github.com/inaturalist/iNaturalistAndroid", "show")</f>
        <v>show</v>
      </c>
      <c r="H2769" t="str">
        <f>HYPERLINK("https://github.com/inaturalist/iNaturalistAndroid/releases", "show")</f>
        <v>show</v>
      </c>
      <c r="I2769">
        <v>1</v>
      </c>
      <c r="J2769">
        <v>0</v>
      </c>
      <c r="K2769">
        <v>1</v>
      </c>
      <c r="L2769">
        <v>0</v>
      </c>
      <c r="M2769" t="s">
        <v>64</v>
      </c>
    </row>
    <row r="2770" spans="1:13" hidden="1" x14ac:dyDescent="0.15">
      <c r="A2770" t="s">
        <v>8808</v>
      </c>
      <c r="B2770" t="s">
        <v>8809</v>
      </c>
      <c r="C2770" t="s">
        <v>8810</v>
      </c>
      <c r="D2770" t="s">
        <v>8811</v>
      </c>
      <c r="E2770">
        <v>6</v>
      </c>
      <c r="F2770" t="str">
        <f>HYPERLINK("https://github.com/fossasia/phimpme-android/issues/477", "show")</f>
        <v>show</v>
      </c>
      <c r="G2770" t="str">
        <f>HYPERLINK("https://github.com/fossasia/phimpme-android", "show")</f>
        <v>show</v>
      </c>
      <c r="H2770" t="str">
        <f>HYPERLINK("https://github.com/fossasia/phimpme-android/releases", "show")</f>
        <v>show</v>
      </c>
      <c r="I2770">
        <v>1</v>
      </c>
      <c r="J2770">
        <v>0</v>
      </c>
      <c r="K2770">
        <v>0</v>
      </c>
      <c r="L2770">
        <v>1</v>
      </c>
      <c r="M2770" t="s">
        <v>29</v>
      </c>
    </row>
    <row r="2771" spans="1:13" hidden="1" x14ac:dyDescent="0.15">
      <c r="A2771" t="s">
        <v>8812</v>
      </c>
      <c r="B2771" t="s">
        <v>8813</v>
      </c>
      <c r="C2771" t="s">
        <v>8814</v>
      </c>
      <c r="D2771" t="s">
        <v>8811</v>
      </c>
      <c r="E2771">
        <v>62</v>
      </c>
      <c r="F2771" t="str">
        <f>HYPERLINK("https://github.com/cgeo/cgeo/issues/6580", "show")</f>
        <v>show</v>
      </c>
      <c r="G2771" t="str">
        <f>HYPERLINK("https://github.com/cgeo/cgeo", "show")</f>
        <v>show</v>
      </c>
      <c r="H2771" t="str">
        <f>HYPERLINK("https://github.com/cgeo/cgeo/releases", "show")</f>
        <v>show</v>
      </c>
      <c r="I2771">
        <v>0</v>
      </c>
      <c r="J2771">
        <v>0</v>
      </c>
      <c r="K2771">
        <v>1</v>
      </c>
      <c r="L2771">
        <v>0</v>
      </c>
      <c r="M2771" t="s">
        <v>122</v>
      </c>
    </row>
    <row r="2772" spans="1:13" hidden="1" x14ac:dyDescent="0.15">
      <c r="A2772" t="s">
        <v>8815</v>
      </c>
      <c r="B2772" t="s">
        <v>8816</v>
      </c>
      <c r="D2772" t="s">
        <v>8811</v>
      </c>
      <c r="E2772">
        <v>71</v>
      </c>
      <c r="F2772" t="str">
        <f>HYPERLINK("https://github.com/searles/FractviewAndroid/issues/4", "show")</f>
        <v>show</v>
      </c>
      <c r="G2772" t="str">
        <f>HYPERLINK("https://github.com/searles/FractviewAndroid", "show")</f>
        <v>show</v>
      </c>
      <c r="H2772" t="str">
        <f>HYPERLINK("https://github.com/searles/FractviewAndroid/releases", "show")</f>
        <v>show</v>
      </c>
      <c r="I2772">
        <v>0</v>
      </c>
      <c r="J2772">
        <v>0</v>
      </c>
      <c r="K2772">
        <v>1</v>
      </c>
      <c r="L2772">
        <v>0</v>
      </c>
      <c r="M2772" t="s">
        <v>122</v>
      </c>
    </row>
    <row r="2773" spans="1:13" hidden="1" x14ac:dyDescent="0.15">
      <c r="A2773" t="s">
        <v>8817</v>
      </c>
      <c r="B2773" t="s">
        <v>8818</v>
      </c>
      <c r="C2773" t="s">
        <v>8819</v>
      </c>
      <c r="D2773" t="s">
        <v>8811</v>
      </c>
      <c r="E2773">
        <v>43</v>
      </c>
      <c r="F2773" t="str">
        <f>HYPERLINK("https://github.com/jklmnn/ParkenDD/issues/43", "show")</f>
        <v>show</v>
      </c>
      <c r="G2773" t="str">
        <f>HYPERLINK("https://github.com/jklmnn/ParkenDD", "show")</f>
        <v>show</v>
      </c>
      <c r="H2773" t="str">
        <f>HYPERLINK("https://github.com/jklmnn/ParkenDD/releases", "show")</f>
        <v>show</v>
      </c>
      <c r="I2773">
        <v>1</v>
      </c>
      <c r="J2773">
        <v>0</v>
      </c>
      <c r="K2773">
        <v>0</v>
      </c>
      <c r="L2773">
        <v>0</v>
      </c>
      <c r="M2773" t="s">
        <v>17</v>
      </c>
    </row>
    <row r="2774" spans="1:13" hidden="1" x14ac:dyDescent="0.15">
      <c r="A2774" t="s">
        <v>8820</v>
      </c>
      <c r="B2774" t="s">
        <v>8821</v>
      </c>
      <c r="C2774" t="s">
        <v>8822</v>
      </c>
      <c r="D2774" t="s">
        <v>8823</v>
      </c>
      <c r="E2774">
        <v>1</v>
      </c>
      <c r="F2774" t="str">
        <f>HYPERLINK("https://github.com/getodk/collect/issues/1057", "show")</f>
        <v>show</v>
      </c>
      <c r="G2774" t="str">
        <f>HYPERLINK("https://github.com/getodk/collect", "show")</f>
        <v>show</v>
      </c>
      <c r="H2774" t="str">
        <f>HYPERLINK("https://github.com/getodk/collect/releases", "show")</f>
        <v>show</v>
      </c>
      <c r="I2774">
        <v>0</v>
      </c>
      <c r="J2774">
        <v>0</v>
      </c>
      <c r="K2774">
        <v>0</v>
      </c>
      <c r="L2774">
        <v>0</v>
      </c>
      <c r="M2774" t="s">
        <v>43</v>
      </c>
    </row>
    <row r="2775" spans="1:13" hidden="1" x14ac:dyDescent="0.15">
      <c r="A2775" t="s">
        <v>8824</v>
      </c>
      <c r="B2775" t="s">
        <v>8825</v>
      </c>
      <c r="C2775" t="s">
        <v>8826</v>
      </c>
      <c r="D2775" t="s">
        <v>8827</v>
      </c>
      <c r="E2775">
        <v>26</v>
      </c>
      <c r="F2775" t="str">
        <f>HYPERLINK("https://github.com/searles/FractviewAndroid/issues/14", "show")</f>
        <v>show</v>
      </c>
      <c r="G2775" t="str">
        <f>HYPERLINK("https://github.com/searles/FractviewAndroid", "show")</f>
        <v>show</v>
      </c>
      <c r="H2775" t="str">
        <f>HYPERLINK("https://github.com/searles/FractviewAndroid/releases", "show")</f>
        <v>show</v>
      </c>
      <c r="I2775">
        <v>1</v>
      </c>
      <c r="J2775">
        <v>0</v>
      </c>
      <c r="K2775">
        <v>1</v>
      </c>
      <c r="L2775">
        <v>0</v>
      </c>
      <c r="M2775" t="s">
        <v>64</v>
      </c>
    </row>
    <row r="2776" spans="1:13" hidden="1" x14ac:dyDescent="0.15">
      <c r="A2776" t="s">
        <v>8828</v>
      </c>
      <c r="B2776" t="s">
        <v>8829</v>
      </c>
      <c r="C2776" t="s">
        <v>8830</v>
      </c>
      <c r="D2776" t="s">
        <v>8827</v>
      </c>
      <c r="E2776">
        <v>13</v>
      </c>
      <c r="F2776" t="str">
        <f>HYPERLINK("https://github.com/uw-ictd/dfs-phishing-sms-client/issues/2", "show")</f>
        <v>show</v>
      </c>
      <c r="G2776" t="str">
        <f>HYPERLINK("https://github.com/uw-ictd/dfs-phishing-sms-client", "show")</f>
        <v>show</v>
      </c>
      <c r="H2776" t="str">
        <f>HYPERLINK("https://github.com/uw-ictd/dfs-phishing-sms-client/releases", "show")</f>
        <v>show</v>
      </c>
      <c r="I2776">
        <v>1</v>
      </c>
      <c r="J2776">
        <v>1</v>
      </c>
      <c r="K2776">
        <v>0</v>
      </c>
      <c r="L2776">
        <v>0</v>
      </c>
      <c r="M2776" t="s">
        <v>48</v>
      </c>
    </row>
    <row r="2777" spans="1:13" hidden="1" x14ac:dyDescent="0.15">
      <c r="A2777" t="s">
        <v>8831</v>
      </c>
      <c r="B2777" t="s">
        <v>4871</v>
      </c>
      <c r="C2777" t="s">
        <v>504</v>
      </c>
      <c r="D2777" t="s">
        <v>8827</v>
      </c>
      <c r="E2777">
        <v>280</v>
      </c>
      <c r="F2777" t="str">
        <f>HYPERLINK("https://github.com/tanrabad/survey/issues/22", "show")</f>
        <v>show</v>
      </c>
      <c r="G2777" t="str">
        <f>HYPERLINK("https://github.com/tanrabad/survey", "show")</f>
        <v>show</v>
      </c>
      <c r="H2777" t="str">
        <f>HYPERLINK("https://github.com/tanrabad/survey/releases", "show")</f>
        <v>show</v>
      </c>
      <c r="I2777">
        <v>1</v>
      </c>
      <c r="J2777">
        <v>0</v>
      </c>
      <c r="K2777">
        <v>0</v>
      </c>
      <c r="L2777">
        <v>0</v>
      </c>
      <c r="M2777" t="s">
        <v>17</v>
      </c>
    </row>
    <row r="2778" spans="1:13" hidden="1" x14ac:dyDescent="0.15">
      <c r="A2778" t="s">
        <v>8832</v>
      </c>
      <c r="B2778" t="s">
        <v>8833</v>
      </c>
      <c r="C2778" t="s">
        <v>8834</v>
      </c>
      <c r="D2778" t="s">
        <v>8835</v>
      </c>
      <c r="E2778">
        <v>3</v>
      </c>
      <c r="F2778" t="str">
        <f>HYPERLINK("https://github.com/shivamsriva31093/MovieFinder/issues/3", "show")</f>
        <v>show</v>
      </c>
      <c r="G2778" t="str">
        <f>HYPERLINK("https://github.com/shivamsriva31093/MovieFinder", "show")</f>
        <v>show</v>
      </c>
      <c r="H2778" t="str">
        <f>HYPERLINK("https://github.com/shivamsriva31093/MovieFinder/releases", "show")</f>
        <v>show</v>
      </c>
      <c r="I2778">
        <v>1</v>
      </c>
      <c r="J2778">
        <v>0</v>
      </c>
      <c r="K2778">
        <v>0</v>
      </c>
      <c r="L2778">
        <v>0</v>
      </c>
      <c r="M2778" t="s">
        <v>17</v>
      </c>
    </row>
    <row r="2779" spans="1:13" hidden="1" x14ac:dyDescent="0.15">
      <c r="A2779" t="s">
        <v>8836</v>
      </c>
      <c r="B2779" t="s">
        <v>8837</v>
      </c>
      <c r="C2779" t="s">
        <v>8838</v>
      </c>
      <c r="D2779" t="s">
        <v>8839</v>
      </c>
      <c r="E2779">
        <v>10</v>
      </c>
      <c r="F2779" t="str">
        <f>HYPERLINK("https://github.com/getodk/collect/issues/1074", "show")</f>
        <v>show</v>
      </c>
      <c r="G2779" t="str">
        <f>HYPERLINK("https://github.com/getodk/collect", "show")</f>
        <v>show</v>
      </c>
      <c r="H2779" t="str">
        <f>HYPERLINK("https://github.com/getodk/collect/releases", "show")</f>
        <v>show</v>
      </c>
      <c r="I2779">
        <v>0</v>
      </c>
      <c r="J2779">
        <v>0</v>
      </c>
      <c r="K2779">
        <v>0</v>
      </c>
      <c r="L2779">
        <v>0</v>
      </c>
      <c r="M2779" t="s">
        <v>43</v>
      </c>
    </row>
    <row r="2780" spans="1:13" hidden="1" x14ac:dyDescent="0.15">
      <c r="A2780" t="s">
        <v>8840</v>
      </c>
      <c r="B2780" t="s">
        <v>4871</v>
      </c>
      <c r="C2780" t="s">
        <v>504</v>
      </c>
      <c r="D2780" t="s">
        <v>8839</v>
      </c>
      <c r="E2780">
        <v>277</v>
      </c>
      <c r="F2780" t="str">
        <f>HYPERLINK("https://github.com/tanrabad/survey/issues/24", "show")</f>
        <v>show</v>
      </c>
      <c r="G2780" t="str">
        <f>HYPERLINK("https://github.com/tanrabad/survey", "show")</f>
        <v>show</v>
      </c>
      <c r="H2780" t="str">
        <f>HYPERLINK("https://github.com/tanrabad/survey/releases", "show")</f>
        <v>show</v>
      </c>
      <c r="I2780">
        <v>1</v>
      </c>
      <c r="J2780">
        <v>0</v>
      </c>
      <c r="K2780">
        <v>0</v>
      </c>
      <c r="L2780">
        <v>0</v>
      </c>
      <c r="M2780" t="s">
        <v>17</v>
      </c>
    </row>
    <row r="2781" spans="1:13" hidden="1" x14ac:dyDescent="0.15">
      <c r="A2781" t="s">
        <v>8841</v>
      </c>
      <c r="B2781" t="s">
        <v>8842</v>
      </c>
      <c r="C2781" t="s">
        <v>8843</v>
      </c>
      <c r="D2781" t="s">
        <v>8839</v>
      </c>
      <c r="E2781">
        <v>258</v>
      </c>
      <c r="F2781" t="str">
        <f>HYPERLINK("https://github.com/Mariovc/ImagePicker/issues/23", "show")</f>
        <v>show</v>
      </c>
      <c r="G2781" t="str">
        <f>HYPERLINK("https://github.com/Mariovc/ImagePicker", "show")</f>
        <v>show</v>
      </c>
      <c r="H2781" t="str">
        <f>HYPERLINK("https://github.com/Mariovc/ImagePicker/releases", "show")</f>
        <v>show</v>
      </c>
      <c r="I2781">
        <v>1</v>
      </c>
      <c r="J2781">
        <v>0</v>
      </c>
      <c r="K2781">
        <v>1</v>
      </c>
      <c r="L2781">
        <v>0</v>
      </c>
      <c r="M2781" t="s">
        <v>64</v>
      </c>
    </row>
    <row r="2782" spans="1:13" hidden="1" x14ac:dyDescent="0.15">
      <c r="A2782" t="s">
        <v>8844</v>
      </c>
      <c r="B2782" t="s">
        <v>4871</v>
      </c>
      <c r="C2782" t="s">
        <v>504</v>
      </c>
      <c r="D2782" t="s">
        <v>8839</v>
      </c>
      <c r="E2782">
        <v>277</v>
      </c>
      <c r="F2782" t="str">
        <f>HYPERLINK("https://github.com/tanrabad/survey/issues/23", "show")</f>
        <v>show</v>
      </c>
      <c r="G2782" t="str">
        <f>HYPERLINK("https://github.com/tanrabad/survey", "show")</f>
        <v>show</v>
      </c>
      <c r="H2782" t="str">
        <f>HYPERLINK("https://github.com/tanrabad/survey/releases", "show")</f>
        <v>show</v>
      </c>
      <c r="I2782">
        <v>1</v>
      </c>
      <c r="J2782">
        <v>0</v>
      </c>
      <c r="K2782">
        <v>0</v>
      </c>
      <c r="L2782">
        <v>0</v>
      </c>
      <c r="M2782" t="s">
        <v>17</v>
      </c>
    </row>
    <row r="2783" spans="1:13" hidden="1" x14ac:dyDescent="0.15">
      <c r="A2783" t="s">
        <v>8845</v>
      </c>
      <c r="B2783" t="s">
        <v>8846</v>
      </c>
      <c r="C2783" t="s">
        <v>8847</v>
      </c>
      <c r="D2783" t="s">
        <v>8848</v>
      </c>
      <c r="E2783">
        <v>1</v>
      </c>
      <c r="F2783" t="str">
        <f>HYPERLINK("https://github.com/dariuszseweryn/RxAndroidBle/issues/206", "show")</f>
        <v>show</v>
      </c>
      <c r="G2783" t="str">
        <f>HYPERLINK("https://github.com/dariuszseweryn/RxAndroidBle", "show")</f>
        <v>show</v>
      </c>
      <c r="H2783" t="str">
        <f>HYPERLINK("https://github.com/dariuszseweryn/RxAndroidBle/releases", "show")</f>
        <v>show</v>
      </c>
      <c r="I2783">
        <v>1</v>
      </c>
      <c r="J2783">
        <v>1</v>
      </c>
      <c r="K2783">
        <v>0</v>
      </c>
      <c r="L2783">
        <v>0</v>
      </c>
      <c r="M2783" t="s">
        <v>48</v>
      </c>
    </row>
    <row r="2784" spans="1:13" hidden="1" x14ac:dyDescent="0.15">
      <c r="A2784" t="s">
        <v>8849</v>
      </c>
      <c r="B2784" t="s">
        <v>8850</v>
      </c>
      <c r="C2784" t="s">
        <v>8851</v>
      </c>
      <c r="D2784" t="s">
        <v>8848</v>
      </c>
      <c r="E2784">
        <v>14</v>
      </c>
      <c r="F2784" t="str">
        <f>HYPERLINK("https://github.com/mancj/SlideUp-Android/issues/28", "show")</f>
        <v>show</v>
      </c>
      <c r="G2784" t="str">
        <f>HYPERLINK("https://github.com/mancj/SlideUp-Android", "show")</f>
        <v>show</v>
      </c>
      <c r="H2784" t="str">
        <f>HYPERLINK("https://github.com/mancj/SlideUp-Android/releases", "show")</f>
        <v>show</v>
      </c>
      <c r="I2784">
        <v>1</v>
      </c>
      <c r="J2784">
        <v>0</v>
      </c>
      <c r="K2784">
        <v>0</v>
      </c>
      <c r="L2784">
        <v>0</v>
      </c>
      <c r="M2784" t="s">
        <v>17</v>
      </c>
    </row>
    <row r="2785" spans="1:13" hidden="1" x14ac:dyDescent="0.15">
      <c r="A2785" t="s">
        <v>8852</v>
      </c>
      <c r="B2785" t="s">
        <v>8853</v>
      </c>
      <c r="C2785" t="s">
        <v>8854</v>
      </c>
      <c r="D2785" t="s">
        <v>8848</v>
      </c>
      <c r="E2785">
        <v>10</v>
      </c>
      <c r="F2785" t="str">
        <f>HYPERLINK("https://github.com/ericcornelissen/NervousFish/issues/182", "show")</f>
        <v>show</v>
      </c>
      <c r="G2785" t="str">
        <f>HYPERLINK("https://github.com/ericcornelissen/NervousFish", "show")</f>
        <v>show</v>
      </c>
      <c r="H2785" t="str">
        <f>HYPERLINK("https://github.com/ericcornelissen/NervousFish/releases", "show")</f>
        <v>show</v>
      </c>
      <c r="I2785">
        <v>1</v>
      </c>
      <c r="J2785">
        <v>0</v>
      </c>
      <c r="K2785">
        <v>0</v>
      </c>
      <c r="L2785">
        <v>0</v>
      </c>
      <c r="M2785" t="s">
        <v>17</v>
      </c>
    </row>
    <row r="2786" spans="1:13" hidden="1" x14ac:dyDescent="0.15">
      <c r="A2786" t="s">
        <v>8855</v>
      </c>
      <c r="B2786" t="s">
        <v>8856</v>
      </c>
      <c r="C2786" t="s">
        <v>8857</v>
      </c>
      <c r="D2786" t="s">
        <v>8858</v>
      </c>
      <c r="E2786">
        <v>5</v>
      </c>
      <c r="F2786" t="str">
        <f>HYPERLINK("https://github.com/IBM-Cloud/chatbot-watson-android/issues/3", "show")</f>
        <v>show</v>
      </c>
      <c r="G2786" t="str">
        <f>HYPERLINK("https://github.com/IBM-Cloud/chatbot-watson-android", "show")</f>
        <v>show</v>
      </c>
      <c r="H2786" t="str">
        <f>HYPERLINK("https://github.com/IBM-Cloud/chatbot-watson-android/releases", "show")</f>
        <v>show</v>
      </c>
      <c r="I2786">
        <v>1</v>
      </c>
      <c r="J2786">
        <v>0</v>
      </c>
      <c r="K2786">
        <v>0</v>
      </c>
      <c r="L2786">
        <v>0</v>
      </c>
      <c r="M2786" t="s">
        <v>17</v>
      </c>
    </row>
    <row r="2787" spans="1:13" hidden="1" x14ac:dyDescent="0.15">
      <c r="A2787" t="s">
        <v>8859</v>
      </c>
      <c r="B2787" t="s">
        <v>8860</v>
      </c>
      <c r="D2787" t="s">
        <v>8858</v>
      </c>
      <c r="E2787">
        <v>24</v>
      </c>
      <c r="F2787" t="str">
        <f>HYPERLINK("https://github.com/Ashok-Varma/BottomNavigation/issues/123", "show")</f>
        <v>show</v>
      </c>
      <c r="G2787" t="str">
        <f>HYPERLINK("https://github.com/Ashok-Varma/BottomNavigation", "show")</f>
        <v>show</v>
      </c>
      <c r="H2787" t="str">
        <f>HYPERLINK("https://github.com/Ashok-Varma/BottomNavigation/releases", "show")</f>
        <v>show</v>
      </c>
      <c r="I2787">
        <v>0</v>
      </c>
      <c r="J2787">
        <v>0</v>
      </c>
      <c r="K2787">
        <v>1</v>
      </c>
      <c r="L2787">
        <v>0</v>
      </c>
      <c r="M2787" t="s">
        <v>122</v>
      </c>
    </row>
    <row r="2788" spans="1:13" hidden="1" x14ac:dyDescent="0.15">
      <c r="A2788" t="s">
        <v>8861</v>
      </c>
      <c r="B2788" t="s">
        <v>8862</v>
      </c>
      <c r="D2788" t="s">
        <v>8858</v>
      </c>
      <c r="E2788">
        <v>5</v>
      </c>
      <c r="F2788" t="str">
        <f>HYPERLINK("https://github.com/hsllany/HtmlNative/issues/7", "show")</f>
        <v>show</v>
      </c>
      <c r="G2788" t="str">
        <f>HYPERLINK("https://github.com/hsllany/HtmlNative", "show")</f>
        <v>show</v>
      </c>
      <c r="H2788" t="str">
        <f>HYPERLINK("https://github.com/hsllany/HtmlNative/releases", "show")</f>
        <v>show</v>
      </c>
      <c r="I2788">
        <v>0</v>
      </c>
      <c r="J2788">
        <v>0</v>
      </c>
      <c r="K2788">
        <v>1</v>
      </c>
      <c r="L2788">
        <v>0</v>
      </c>
      <c r="M2788" t="s">
        <v>122</v>
      </c>
    </row>
    <row r="2789" spans="1:13" hidden="1" x14ac:dyDescent="0.15">
      <c r="A2789" t="s">
        <v>8863</v>
      </c>
      <c r="B2789" t="s">
        <v>8864</v>
      </c>
      <c r="C2789" t="s">
        <v>8865</v>
      </c>
      <c r="D2789" t="s">
        <v>8866</v>
      </c>
      <c r="E2789">
        <v>28</v>
      </c>
      <c r="F2789" t="str">
        <f>HYPERLINK("https://github.com/kontalk/androidclient/issues/1011", "show")</f>
        <v>show</v>
      </c>
      <c r="G2789" t="str">
        <f>HYPERLINK("https://github.com/kontalk/androidclient", "show")</f>
        <v>show</v>
      </c>
      <c r="H2789" t="str">
        <f>HYPERLINK("https://github.com/kontalk/androidclient/releases", "show")</f>
        <v>show</v>
      </c>
      <c r="I2789">
        <v>0</v>
      </c>
      <c r="J2789">
        <v>0</v>
      </c>
      <c r="K2789">
        <v>1</v>
      </c>
      <c r="L2789">
        <v>0</v>
      </c>
      <c r="M2789" t="s">
        <v>122</v>
      </c>
    </row>
    <row r="2790" spans="1:13" hidden="1" x14ac:dyDescent="0.15">
      <c r="A2790" t="s">
        <v>8867</v>
      </c>
      <c r="B2790" t="s">
        <v>8868</v>
      </c>
      <c r="C2790" t="s">
        <v>8869</v>
      </c>
      <c r="D2790" t="s">
        <v>8866</v>
      </c>
      <c r="E2790">
        <v>14</v>
      </c>
      <c r="F2790" t="str">
        <f>HYPERLINK("https://github.com/fossasia/phimpme-android/issues/509", "show")</f>
        <v>show</v>
      </c>
      <c r="G2790" t="str">
        <f>HYPERLINK("https://github.com/fossasia/phimpme-android", "show")</f>
        <v>show</v>
      </c>
      <c r="H2790" t="str">
        <f>HYPERLINK("https://github.com/fossasia/phimpme-android/releases", "show")</f>
        <v>show</v>
      </c>
      <c r="I2790">
        <v>0</v>
      </c>
      <c r="J2790">
        <v>0</v>
      </c>
      <c r="K2790">
        <v>0</v>
      </c>
      <c r="L2790">
        <v>0</v>
      </c>
      <c r="M2790" t="s">
        <v>43</v>
      </c>
    </row>
    <row r="2791" spans="1:13" hidden="1" x14ac:dyDescent="0.15">
      <c r="A2791" t="s">
        <v>8870</v>
      </c>
      <c r="B2791" t="s">
        <v>8871</v>
      </c>
      <c r="C2791" t="s">
        <v>8872</v>
      </c>
      <c r="D2791" t="s">
        <v>8866</v>
      </c>
      <c r="E2791">
        <v>1</v>
      </c>
      <c r="F2791" t="str">
        <f>HYPERLINK("https://github.com/akvo/akvo-flow-mobile/issues/740", "show")</f>
        <v>show</v>
      </c>
      <c r="G2791" t="str">
        <f>HYPERLINK("https://github.com/akvo/akvo-flow-mobile", "show")</f>
        <v>show</v>
      </c>
      <c r="H2791" t="str">
        <f>HYPERLINK("https://github.com/akvo/akvo-flow-mobile/releases", "show")</f>
        <v>show</v>
      </c>
      <c r="I2791">
        <v>1</v>
      </c>
      <c r="J2791">
        <v>0</v>
      </c>
      <c r="K2791">
        <v>0</v>
      </c>
      <c r="L2791">
        <v>0</v>
      </c>
      <c r="M2791" t="s">
        <v>17</v>
      </c>
    </row>
    <row r="2792" spans="1:13" hidden="1" x14ac:dyDescent="0.15">
      <c r="A2792" t="s">
        <v>8873</v>
      </c>
      <c r="B2792" t="s">
        <v>8874</v>
      </c>
      <c r="D2792" t="s">
        <v>8866</v>
      </c>
      <c r="E2792">
        <v>4</v>
      </c>
      <c r="F2792" t="str">
        <f>HYPERLINK("https://github.com/ZieIony/Carbon/issues/299", "show")</f>
        <v>show</v>
      </c>
      <c r="G2792" t="str">
        <f>HYPERLINK("https://github.com/ZieIony/Carbon", "show")</f>
        <v>show</v>
      </c>
      <c r="H2792" t="str">
        <f>HYPERLINK("https://github.com/ZieIony/Carbon/releases", "show")</f>
        <v>show</v>
      </c>
      <c r="I2792">
        <v>1</v>
      </c>
      <c r="J2792">
        <v>0</v>
      </c>
      <c r="K2792">
        <v>0</v>
      </c>
      <c r="L2792">
        <v>0</v>
      </c>
      <c r="M2792" t="s">
        <v>17</v>
      </c>
    </row>
    <row r="2793" spans="1:13" hidden="1" x14ac:dyDescent="0.15">
      <c r="A2793" t="s">
        <v>8875</v>
      </c>
      <c r="B2793" t="s">
        <v>8876</v>
      </c>
      <c r="C2793" t="s">
        <v>8877</v>
      </c>
      <c r="D2793" t="s">
        <v>8866</v>
      </c>
      <c r="E2793">
        <v>0</v>
      </c>
      <c r="F2793" t="str">
        <f>HYPERLINK("https://github.com/vector-im/riot-android/issues/1262", "show")</f>
        <v>show</v>
      </c>
      <c r="G2793" t="str">
        <f>HYPERLINK("https://github.com/vector-im/riot-android", "show")</f>
        <v>show</v>
      </c>
      <c r="H2793" t="str">
        <f>HYPERLINK("https://github.com/vector-im/riot-android/releases", "show")</f>
        <v>show</v>
      </c>
      <c r="I2793">
        <v>1</v>
      </c>
      <c r="J2793">
        <v>0</v>
      </c>
      <c r="K2793">
        <v>0</v>
      </c>
      <c r="L2793">
        <v>0</v>
      </c>
      <c r="M2793" t="s">
        <v>17</v>
      </c>
    </row>
    <row r="2794" spans="1:13" hidden="1" x14ac:dyDescent="0.15">
      <c r="A2794" t="s">
        <v>8878</v>
      </c>
      <c r="B2794" t="s">
        <v>8879</v>
      </c>
      <c r="C2794" t="s">
        <v>8880</v>
      </c>
      <c r="D2794" t="s">
        <v>8866</v>
      </c>
      <c r="E2794">
        <v>1</v>
      </c>
      <c r="F2794" t="str">
        <f>HYPERLINK("https://github.com/bumptech/glide/issues/1991", "show")</f>
        <v>show</v>
      </c>
      <c r="G2794" t="str">
        <f>HYPERLINK("https://github.com/bumptech/glide", "show")</f>
        <v>show</v>
      </c>
      <c r="H2794" t="str">
        <f>HYPERLINK("https://github.com/bumptech/glide/releases", "show")</f>
        <v>show</v>
      </c>
      <c r="I2794">
        <v>0</v>
      </c>
      <c r="J2794">
        <v>0</v>
      </c>
      <c r="K2794">
        <v>1</v>
      </c>
      <c r="L2794">
        <v>0</v>
      </c>
      <c r="M2794" t="s">
        <v>122</v>
      </c>
    </row>
    <row r="2795" spans="1:13" hidden="1" x14ac:dyDescent="0.15">
      <c r="A2795" t="s">
        <v>8881</v>
      </c>
      <c r="B2795" t="s">
        <v>8882</v>
      </c>
      <c r="D2795" t="s">
        <v>8883</v>
      </c>
      <c r="E2795">
        <v>1</v>
      </c>
      <c r="F2795" t="str">
        <f>HYPERLINK("https://github.com/searles/FractviewAndroid/issues/27", "show")</f>
        <v>show</v>
      </c>
      <c r="G2795" t="str">
        <f>HYPERLINK("https://github.com/searles/FractviewAndroid", "show")</f>
        <v>show</v>
      </c>
      <c r="H2795" t="str">
        <f>HYPERLINK("https://github.com/searles/FractviewAndroid/releases", "show")</f>
        <v>show</v>
      </c>
      <c r="I2795">
        <v>1</v>
      </c>
      <c r="J2795">
        <v>0</v>
      </c>
      <c r="K2795">
        <v>0</v>
      </c>
      <c r="L2795">
        <v>0</v>
      </c>
      <c r="M2795" t="s">
        <v>17</v>
      </c>
    </row>
    <row r="2796" spans="1:13" hidden="1" x14ac:dyDescent="0.15">
      <c r="A2796" t="s">
        <v>8884</v>
      </c>
      <c r="B2796" t="s">
        <v>8885</v>
      </c>
      <c r="C2796" t="s">
        <v>8886</v>
      </c>
      <c r="D2796" t="s">
        <v>8883</v>
      </c>
      <c r="E2796">
        <v>0</v>
      </c>
      <c r="F2796" t="str">
        <f>HYPERLINK("https://github.com/nitroshare/nitroshare-android/issues/25", "show")</f>
        <v>show</v>
      </c>
      <c r="G2796" t="str">
        <f>HYPERLINK("https://github.com/nitroshare/nitroshare-android", "show")</f>
        <v>show</v>
      </c>
      <c r="H2796" t="str">
        <f>HYPERLINK("https://github.com/nitroshare/nitroshare-android/releases", "show")</f>
        <v>show</v>
      </c>
      <c r="I2796">
        <v>1</v>
      </c>
      <c r="J2796">
        <v>0</v>
      </c>
      <c r="K2796">
        <v>0</v>
      </c>
      <c r="L2796">
        <v>0</v>
      </c>
      <c r="M2796" t="s">
        <v>17</v>
      </c>
    </row>
    <row r="2797" spans="1:13" hidden="1" x14ac:dyDescent="0.15">
      <c r="A2797" t="s">
        <v>8887</v>
      </c>
      <c r="B2797" t="s">
        <v>8888</v>
      </c>
      <c r="C2797" t="s">
        <v>8889</v>
      </c>
      <c r="D2797" t="s">
        <v>8883</v>
      </c>
      <c r="E2797">
        <v>1</v>
      </c>
      <c r="F2797" t="str">
        <f>HYPERLINK("https://github.com/fossasia/phimpme-android/issues/519", "show")</f>
        <v>show</v>
      </c>
      <c r="G2797" t="str">
        <f>HYPERLINK("https://github.com/fossasia/phimpme-android", "show")</f>
        <v>show</v>
      </c>
      <c r="H2797" t="str">
        <f>HYPERLINK("https://github.com/fossasia/phimpme-android/releases", "show")</f>
        <v>show</v>
      </c>
      <c r="I2797">
        <v>0</v>
      </c>
      <c r="J2797">
        <v>0</v>
      </c>
      <c r="K2797">
        <v>0</v>
      </c>
      <c r="L2797">
        <v>0</v>
      </c>
      <c r="M2797" t="s">
        <v>43</v>
      </c>
    </row>
    <row r="2798" spans="1:13" hidden="1" x14ac:dyDescent="0.15">
      <c r="A2798" t="s">
        <v>8890</v>
      </c>
      <c r="B2798" t="s">
        <v>8891</v>
      </c>
      <c r="C2798" t="s">
        <v>8892</v>
      </c>
      <c r="D2798" t="s">
        <v>8883</v>
      </c>
      <c r="E2798">
        <v>1</v>
      </c>
      <c r="F2798" t="str">
        <f>HYPERLINK("https://github.com/fossasia/phimpme-android/issues/517", "show")</f>
        <v>show</v>
      </c>
      <c r="G2798" t="str">
        <f>HYPERLINK("https://github.com/fossasia/phimpme-android", "show")</f>
        <v>show</v>
      </c>
      <c r="H2798" t="str">
        <f>HYPERLINK("https://github.com/fossasia/phimpme-android/releases", "show")</f>
        <v>show</v>
      </c>
      <c r="I2798">
        <v>1</v>
      </c>
      <c r="J2798">
        <v>1</v>
      </c>
      <c r="K2798">
        <v>1</v>
      </c>
      <c r="L2798">
        <v>0</v>
      </c>
      <c r="M2798" t="s">
        <v>59</v>
      </c>
    </row>
    <row r="2799" spans="1:13" hidden="1" x14ac:dyDescent="0.15">
      <c r="A2799" t="s">
        <v>8893</v>
      </c>
      <c r="B2799" t="s">
        <v>8894</v>
      </c>
      <c r="C2799" t="s">
        <v>8895</v>
      </c>
      <c r="D2799" t="s">
        <v>8883</v>
      </c>
      <c r="E2799">
        <v>3</v>
      </c>
      <c r="F2799" t="str">
        <f>HYPERLINK("https://github.com/ethmobile/ethdroid/issues/22", "show")</f>
        <v>show</v>
      </c>
      <c r="G2799" t="str">
        <f>HYPERLINK("https://github.com/ethmobile/ethdroid", "show")</f>
        <v>show</v>
      </c>
      <c r="H2799" t="str">
        <f>HYPERLINK("https://github.com/ethmobile/ethdroid/releases", "show")</f>
        <v>show</v>
      </c>
      <c r="I2799">
        <v>1</v>
      </c>
      <c r="J2799">
        <v>0</v>
      </c>
      <c r="K2799">
        <v>0</v>
      </c>
      <c r="L2799">
        <v>0</v>
      </c>
      <c r="M2799" t="s">
        <v>17</v>
      </c>
    </row>
    <row r="2800" spans="1:13" hidden="1" x14ac:dyDescent="0.15">
      <c r="A2800" t="s">
        <v>8896</v>
      </c>
      <c r="B2800" t="s">
        <v>8897</v>
      </c>
      <c r="C2800" t="s">
        <v>8898</v>
      </c>
      <c r="D2800" t="s">
        <v>8883</v>
      </c>
      <c r="E2800">
        <v>6</v>
      </c>
      <c r="F2800" t="str">
        <f>HYPERLINK("https://github.com/ZeeRooo/MaterialFBook/issues/88", "show")</f>
        <v>show</v>
      </c>
      <c r="G2800" t="str">
        <f>HYPERLINK("https://github.com/ZeeRooo/MaterialFBook", "show")</f>
        <v>show</v>
      </c>
      <c r="H2800" t="str">
        <f>HYPERLINK("https://github.com/ZeeRooo/MaterialFBook/releases", "show")</f>
        <v>show</v>
      </c>
      <c r="I2800">
        <v>1</v>
      </c>
      <c r="J2800">
        <v>0</v>
      </c>
      <c r="K2800">
        <v>0</v>
      </c>
      <c r="L2800">
        <v>0</v>
      </c>
      <c r="M2800" t="s">
        <v>17</v>
      </c>
    </row>
    <row r="2801" spans="1:13" hidden="1" x14ac:dyDescent="0.15">
      <c r="A2801" t="s">
        <v>8899</v>
      </c>
      <c r="B2801" t="s">
        <v>8900</v>
      </c>
      <c r="C2801" t="s">
        <v>504</v>
      </c>
      <c r="D2801" t="s">
        <v>8883</v>
      </c>
      <c r="E2801">
        <v>273</v>
      </c>
      <c r="F2801" t="str">
        <f>HYPERLINK("https://github.com/tanrabad/survey/issues/25", "show")</f>
        <v>show</v>
      </c>
      <c r="G2801" t="str">
        <f>HYPERLINK("https://github.com/tanrabad/survey", "show")</f>
        <v>show</v>
      </c>
      <c r="H2801" t="str">
        <f>HYPERLINK("https://github.com/tanrabad/survey/releases", "show")</f>
        <v>show</v>
      </c>
      <c r="I2801">
        <v>1</v>
      </c>
      <c r="J2801">
        <v>0</v>
      </c>
      <c r="K2801">
        <v>0</v>
      </c>
      <c r="L2801">
        <v>0</v>
      </c>
      <c r="M2801" t="s">
        <v>17</v>
      </c>
    </row>
    <row r="2802" spans="1:13" hidden="1" x14ac:dyDescent="0.15">
      <c r="A2802" t="s">
        <v>8901</v>
      </c>
      <c r="B2802" t="s">
        <v>8902</v>
      </c>
      <c r="C2802" t="s">
        <v>8903</v>
      </c>
      <c r="D2802" t="s">
        <v>8883</v>
      </c>
      <c r="E2802">
        <v>14</v>
      </c>
      <c r="F2802" t="str">
        <f>HYPERLINK("https://github.com/danimahardhika/candybar-library/issues/63", "show")</f>
        <v>show</v>
      </c>
      <c r="G2802" t="str">
        <f>HYPERLINK("https://github.com/danimahardhika/candybar-library", "show")</f>
        <v>show</v>
      </c>
      <c r="H2802" t="str">
        <f>HYPERLINK("https://github.com/danimahardhika/candybar-library/releases", "show")</f>
        <v>show</v>
      </c>
      <c r="I2802">
        <v>0</v>
      </c>
      <c r="J2802">
        <v>0</v>
      </c>
      <c r="K2802">
        <v>0</v>
      </c>
      <c r="L2802">
        <v>0</v>
      </c>
      <c r="M2802" t="s">
        <v>43</v>
      </c>
    </row>
    <row r="2803" spans="1:13" hidden="1" x14ac:dyDescent="0.15">
      <c r="A2803" t="s">
        <v>8904</v>
      </c>
      <c r="B2803" t="s">
        <v>4871</v>
      </c>
      <c r="C2803" t="s">
        <v>504</v>
      </c>
      <c r="D2803" t="s">
        <v>8905</v>
      </c>
      <c r="E2803">
        <v>272</v>
      </c>
      <c r="F2803" t="str">
        <f>HYPERLINK("https://github.com/tanrabad/survey/issues/26", "show")</f>
        <v>show</v>
      </c>
      <c r="G2803" t="str">
        <f>HYPERLINK("https://github.com/tanrabad/survey", "show")</f>
        <v>show</v>
      </c>
      <c r="H2803" t="str">
        <f>HYPERLINK("https://github.com/tanrabad/survey/releases", "show")</f>
        <v>show</v>
      </c>
      <c r="I2803">
        <v>1</v>
      </c>
      <c r="J2803">
        <v>0</v>
      </c>
      <c r="K2803">
        <v>0</v>
      </c>
      <c r="L2803">
        <v>0</v>
      </c>
      <c r="M2803" t="s">
        <v>17</v>
      </c>
    </row>
    <row r="2804" spans="1:13" hidden="1" x14ac:dyDescent="0.15">
      <c r="A2804" t="s">
        <v>8906</v>
      </c>
      <c r="B2804" t="s">
        <v>8907</v>
      </c>
      <c r="D2804" t="s">
        <v>8908</v>
      </c>
      <c r="E2804">
        <v>42</v>
      </c>
      <c r="F2804" t="str">
        <f>HYPERLINK("https://github.com/elimu-ai/launcher/issues/4", "show")</f>
        <v>show</v>
      </c>
      <c r="G2804" t="str">
        <f>HYPERLINK("https://github.com/elimu-ai/launcher", "show")</f>
        <v>show</v>
      </c>
      <c r="H2804" t="str">
        <f>HYPERLINK("https://github.com/elimu-ai/launcher/releases", "show")</f>
        <v>show</v>
      </c>
      <c r="I2804">
        <v>0</v>
      </c>
      <c r="J2804">
        <v>0</v>
      </c>
      <c r="K2804">
        <v>1</v>
      </c>
      <c r="L2804">
        <v>0</v>
      </c>
      <c r="M2804" t="s">
        <v>122</v>
      </c>
    </row>
    <row r="2805" spans="1:13" x14ac:dyDescent="0.15">
      <c r="A2805" t="s">
        <v>8909</v>
      </c>
      <c r="B2805" t="s">
        <v>8910</v>
      </c>
      <c r="C2805" t="s">
        <v>8911</v>
      </c>
      <c r="D2805" t="s">
        <v>8912</v>
      </c>
      <c r="E2805">
        <v>2</v>
      </c>
      <c r="F2805" t="str">
        <f>HYPERLINK("https://github.com/syncthing/syncthing-android/issues/901", "show")</f>
        <v>show</v>
      </c>
      <c r="G2805" t="str">
        <f>HYPERLINK("https://github.com/syncthing/syncthing-android", "show")</f>
        <v>show</v>
      </c>
      <c r="H2805" t="str">
        <f>HYPERLINK("https://github.com/syncthing/syncthing-android/releases", "show")</f>
        <v>show</v>
      </c>
      <c r="I2805">
        <v>0</v>
      </c>
      <c r="J2805">
        <v>1</v>
      </c>
      <c r="K2805">
        <v>0</v>
      </c>
      <c r="L2805">
        <v>0</v>
      </c>
      <c r="M2805" t="s">
        <v>139</v>
      </c>
    </row>
    <row r="2806" spans="1:13" hidden="1" x14ac:dyDescent="0.15">
      <c r="A2806" t="s">
        <v>8913</v>
      </c>
      <c r="B2806" t="s">
        <v>8914</v>
      </c>
      <c r="C2806" t="s">
        <v>8915</v>
      </c>
      <c r="D2806" t="s">
        <v>8912</v>
      </c>
      <c r="E2806">
        <v>145</v>
      </c>
      <c r="F2806" t="str">
        <f>HYPERLINK("https://github.com/k9mail/k-9/issues/2569", "show")</f>
        <v>show</v>
      </c>
      <c r="G2806" t="str">
        <f>HYPERLINK("https://github.com/k9mail/k-9", "show")</f>
        <v>show</v>
      </c>
      <c r="H2806" t="str">
        <f>HYPERLINK("https://github.com/k9mail/k-9/releases", "show")</f>
        <v>show</v>
      </c>
      <c r="I2806">
        <v>1</v>
      </c>
      <c r="J2806">
        <v>1</v>
      </c>
      <c r="K2806">
        <v>0</v>
      </c>
      <c r="L2806">
        <v>0</v>
      </c>
      <c r="M2806" t="s">
        <v>48</v>
      </c>
    </row>
    <row r="2807" spans="1:13" hidden="1" x14ac:dyDescent="0.15">
      <c r="A2807" t="s">
        <v>8916</v>
      </c>
      <c r="B2807" t="s">
        <v>8917</v>
      </c>
      <c r="C2807" t="s">
        <v>8918</v>
      </c>
      <c r="D2807" t="s">
        <v>8912</v>
      </c>
      <c r="E2807">
        <v>25</v>
      </c>
      <c r="F2807" t="str">
        <f>HYPERLINK("https://github.com/nextcloud/android/issues/1070", "show")</f>
        <v>show</v>
      </c>
      <c r="G2807" t="str">
        <f>HYPERLINK("https://github.com/nextcloud/android", "show")</f>
        <v>show</v>
      </c>
      <c r="H2807" t="str">
        <f>HYPERLINK("https://github.com/nextcloud/android/releases", "show")</f>
        <v>show</v>
      </c>
      <c r="I2807">
        <v>1</v>
      </c>
      <c r="J2807">
        <v>1</v>
      </c>
      <c r="K2807">
        <v>0</v>
      </c>
      <c r="L2807">
        <v>0</v>
      </c>
      <c r="M2807" t="s">
        <v>48</v>
      </c>
    </row>
    <row r="2808" spans="1:13" hidden="1" x14ac:dyDescent="0.15">
      <c r="A2808" t="s">
        <v>8919</v>
      </c>
      <c r="B2808" t="s">
        <v>8920</v>
      </c>
      <c r="C2808" t="s">
        <v>8921</v>
      </c>
      <c r="D2808" t="s">
        <v>8912</v>
      </c>
      <c r="E2808">
        <v>252</v>
      </c>
      <c r="F2808" t="str">
        <f>HYPERLINK("https://github.com/deltachat/deltachat-android/issues/96", "show")</f>
        <v>show</v>
      </c>
      <c r="G2808" t="str">
        <f>HYPERLINK("https://github.com/deltachat/deltachat-android", "show")</f>
        <v>show</v>
      </c>
      <c r="H2808" t="str">
        <f>HYPERLINK("https://github.com/deltachat/deltachat-android/releases", "show")</f>
        <v>show</v>
      </c>
      <c r="I2808">
        <v>1</v>
      </c>
      <c r="J2808">
        <v>1</v>
      </c>
      <c r="K2808">
        <v>0</v>
      </c>
      <c r="L2808">
        <v>0</v>
      </c>
      <c r="M2808" t="s">
        <v>48</v>
      </c>
    </row>
    <row r="2809" spans="1:13" hidden="1" x14ac:dyDescent="0.15">
      <c r="A2809" t="s">
        <v>8922</v>
      </c>
      <c r="B2809" t="s">
        <v>8923</v>
      </c>
      <c r="C2809" t="s">
        <v>8924</v>
      </c>
      <c r="D2809" t="s">
        <v>8912</v>
      </c>
      <c r="E2809">
        <v>0</v>
      </c>
      <c r="F2809" t="str">
        <f>HYPERLINK("https://github.com/universAAL/nativeandroid/issues/464", "show")</f>
        <v>show</v>
      </c>
      <c r="G2809" t="str">
        <f>HYPERLINK("https://github.com/universAAL/nativeandroid", "show")</f>
        <v>show</v>
      </c>
      <c r="H2809" t="str">
        <f>HYPERLINK("https://github.com/universAAL/nativeandroid/releases", "show")</f>
        <v>show</v>
      </c>
      <c r="I2809">
        <v>0</v>
      </c>
      <c r="J2809">
        <v>0</v>
      </c>
      <c r="K2809">
        <v>0</v>
      </c>
      <c r="L2809">
        <v>0</v>
      </c>
      <c r="M2809" t="s">
        <v>43</v>
      </c>
    </row>
    <row r="2810" spans="1:13" hidden="1" x14ac:dyDescent="0.15">
      <c r="A2810" t="s">
        <v>8925</v>
      </c>
      <c r="B2810" t="s">
        <v>8926</v>
      </c>
      <c r="C2810" t="s">
        <v>8927</v>
      </c>
      <c r="D2810" t="s">
        <v>8912</v>
      </c>
      <c r="E2810">
        <v>4</v>
      </c>
      <c r="F2810" t="str">
        <f>HYPERLINK("https://github.com/huhx0015/DashNearby/issues/3", "show")</f>
        <v>show</v>
      </c>
      <c r="G2810" t="str">
        <f>HYPERLINK("https://github.com/huhx0015/DashNearby", "show")</f>
        <v>show</v>
      </c>
      <c r="H2810" t="str">
        <f>HYPERLINK("https://github.com/huhx0015/DashNearby/releases", "show")</f>
        <v>show</v>
      </c>
      <c r="I2810">
        <v>1</v>
      </c>
      <c r="J2810">
        <v>0</v>
      </c>
      <c r="K2810">
        <v>1</v>
      </c>
      <c r="L2810">
        <v>0</v>
      </c>
      <c r="M2810" t="s">
        <v>64</v>
      </c>
    </row>
    <row r="2811" spans="1:13" hidden="1" x14ac:dyDescent="0.15">
      <c r="A2811" t="s">
        <v>8928</v>
      </c>
      <c r="B2811" t="s">
        <v>8929</v>
      </c>
      <c r="C2811" t="s">
        <v>8930</v>
      </c>
      <c r="D2811" t="s">
        <v>8931</v>
      </c>
      <c r="E2811">
        <v>1</v>
      </c>
      <c r="F2811" t="str">
        <f>HYPERLINK("https://github.com/shivamsriva31093/MovieFinder/issues/12", "show")</f>
        <v>show</v>
      </c>
      <c r="G2811" t="str">
        <f>HYPERLINK("https://github.com/shivamsriva31093/MovieFinder", "show")</f>
        <v>show</v>
      </c>
      <c r="H2811" t="str">
        <f>HYPERLINK("https://github.com/shivamsriva31093/MovieFinder/releases", "show")</f>
        <v>show</v>
      </c>
      <c r="I2811">
        <v>1</v>
      </c>
      <c r="J2811">
        <v>0</v>
      </c>
      <c r="K2811">
        <v>0</v>
      </c>
      <c r="L2811">
        <v>0</v>
      </c>
      <c r="M2811" t="s">
        <v>17</v>
      </c>
    </row>
    <row r="2812" spans="1:13" hidden="1" x14ac:dyDescent="0.15">
      <c r="A2812" t="s">
        <v>8932</v>
      </c>
      <c r="B2812" t="s">
        <v>8933</v>
      </c>
      <c r="C2812" t="s">
        <v>8934</v>
      </c>
      <c r="D2812" t="s">
        <v>8931</v>
      </c>
      <c r="E2812">
        <v>1</v>
      </c>
      <c r="F2812" t="str">
        <f>HYPERLINK("https://github.com/inaturalist/iNaturalistAndroid/issues/359", "show")</f>
        <v>show</v>
      </c>
      <c r="G2812" t="str">
        <f>HYPERLINK("https://github.com/inaturalist/iNaturalistAndroid", "show")</f>
        <v>show</v>
      </c>
      <c r="H2812" t="str">
        <f>HYPERLINK("https://github.com/inaturalist/iNaturalistAndroid/releases", "show")</f>
        <v>show</v>
      </c>
      <c r="I2812">
        <v>1</v>
      </c>
      <c r="J2812">
        <v>1</v>
      </c>
      <c r="K2812">
        <v>1</v>
      </c>
      <c r="L2812">
        <v>0</v>
      </c>
      <c r="M2812" t="s">
        <v>59</v>
      </c>
    </row>
    <row r="2813" spans="1:13" hidden="1" x14ac:dyDescent="0.15">
      <c r="A2813" t="s">
        <v>8935</v>
      </c>
      <c r="B2813" t="s">
        <v>8936</v>
      </c>
      <c r="C2813" t="s">
        <v>8937</v>
      </c>
      <c r="D2813" t="s">
        <v>8931</v>
      </c>
      <c r="E2813">
        <v>10</v>
      </c>
      <c r="F2813" t="str">
        <f>HYPERLINK("https://github.com/ericcornelissen/NervousFish/issues/216", "show")</f>
        <v>show</v>
      </c>
      <c r="G2813" t="str">
        <f>HYPERLINK("https://github.com/ericcornelissen/NervousFish", "show")</f>
        <v>show</v>
      </c>
      <c r="H2813" t="str">
        <f>HYPERLINK("https://github.com/ericcornelissen/NervousFish/releases", "show")</f>
        <v>show</v>
      </c>
      <c r="I2813">
        <v>1</v>
      </c>
      <c r="J2813">
        <v>1</v>
      </c>
      <c r="K2813">
        <v>0</v>
      </c>
      <c r="L2813">
        <v>0</v>
      </c>
      <c r="M2813" t="s">
        <v>48</v>
      </c>
    </row>
    <row r="2814" spans="1:13" hidden="1" x14ac:dyDescent="0.15">
      <c r="A2814" t="s">
        <v>8938</v>
      </c>
      <c r="B2814" t="s">
        <v>8939</v>
      </c>
      <c r="C2814" t="s">
        <v>8940</v>
      </c>
      <c r="D2814" t="s">
        <v>8931</v>
      </c>
      <c r="E2814">
        <v>0</v>
      </c>
      <c r="F2814" t="str">
        <f>HYPERLINK("https://github.com/geopaparazzi/geopaparazzi/issues/404", "show")</f>
        <v>show</v>
      </c>
      <c r="G2814" t="str">
        <f>HYPERLINK("https://github.com/geopaparazzi/geopaparazzi", "show")</f>
        <v>show</v>
      </c>
      <c r="H2814" t="str">
        <f>HYPERLINK("https://github.com/geopaparazzi/geopaparazzi/releases", "show")</f>
        <v>show</v>
      </c>
      <c r="I2814">
        <v>1</v>
      </c>
      <c r="J2814">
        <v>0</v>
      </c>
      <c r="K2814">
        <v>0</v>
      </c>
      <c r="L2814">
        <v>0</v>
      </c>
      <c r="M2814" t="s">
        <v>17</v>
      </c>
    </row>
    <row r="2815" spans="1:13" hidden="1" x14ac:dyDescent="0.15">
      <c r="A2815" t="s">
        <v>8941</v>
      </c>
      <c r="B2815" t="s">
        <v>8942</v>
      </c>
      <c r="C2815" t="s">
        <v>8943</v>
      </c>
      <c r="D2815" t="s">
        <v>8931</v>
      </c>
      <c r="E2815">
        <v>0</v>
      </c>
      <c r="F2815" t="str">
        <f>HYPERLINK("https://github.com/jacob-g/cleveland-rta-next-bus-train/issues/70", "show")</f>
        <v>show</v>
      </c>
      <c r="G2815" t="str">
        <f>HYPERLINK("https://github.com/jacob-g/cleveland-rta-next-bus-train", "show")</f>
        <v>show</v>
      </c>
      <c r="H2815" t="str">
        <f>HYPERLINK("https://github.com/jacob-g/cleveland-rta-next-bus-train/releases", "show")</f>
        <v>show</v>
      </c>
      <c r="I2815">
        <v>1</v>
      </c>
      <c r="J2815">
        <v>0</v>
      </c>
      <c r="K2815">
        <v>0</v>
      </c>
      <c r="L2815">
        <v>0</v>
      </c>
      <c r="M2815" t="s">
        <v>17</v>
      </c>
    </row>
    <row r="2816" spans="1:13" hidden="1" x14ac:dyDescent="0.15">
      <c r="A2816" t="s">
        <v>8944</v>
      </c>
      <c r="B2816" t="s">
        <v>4871</v>
      </c>
      <c r="C2816" t="s">
        <v>504</v>
      </c>
      <c r="D2816" t="s">
        <v>8931</v>
      </c>
      <c r="E2816">
        <v>269</v>
      </c>
      <c r="F2816" t="str">
        <f>HYPERLINK("https://github.com/tanrabad/survey/issues/27", "show")</f>
        <v>show</v>
      </c>
      <c r="G2816" t="str">
        <f>HYPERLINK("https://github.com/tanrabad/survey", "show")</f>
        <v>show</v>
      </c>
      <c r="H2816" t="str">
        <f>HYPERLINK("https://github.com/tanrabad/survey/releases", "show")</f>
        <v>show</v>
      </c>
      <c r="I2816">
        <v>1</v>
      </c>
      <c r="J2816">
        <v>0</v>
      </c>
      <c r="K2816">
        <v>0</v>
      </c>
      <c r="L2816">
        <v>0</v>
      </c>
      <c r="M2816" t="s">
        <v>17</v>
      </c>
    </row>
    <row r="2817" spans="1:13" hidden="1" x14ac:dyDescent="0.15">
      <c r="A2817" t="s">
        <v>8945</v>
      </c>
      <c r="B2817" t="s">
        <v>8946</v>
      </c>
      <c r="C2817" t="s">
        <v>8947</v>
      </c>
      <c r="D2817" t="s">
        <v>8948</v>
      </c>
      <c r="E2817">
        <v>1</v>
      </c>
      <c r="F2817" t="str">
        <f>HYPERLINK("https://github.com/fossasia/open-event-organizer-android/issues/158", "show")</f>
        <v>show</v>
      </c>
      <c r="G2817" t="str">
        <f>HYPERLINK("https://github.com/fossasia/open-event-organizer-android", "show")</f>
        <v>show</v>
      </c>
      <c r="H2817" t="str">
        <f>HYPERLINK("https://github.com/fossasia/open-event-organizer-android/releases", "show")</f>
        <v>show</v>
      </c>
      <c r="I2817">
        <v>1</v>
      </c>
      <c r="J2817">
        <v>0</v>
      </c>
      <c r="K2817">
        <v>0</v>
      </c>
      <c r="L2817">
        <v>0</v>
      </c>
      <c r="M2817" t="s">
        <v>17</v>
      </c>
    </row>
    <row r="2818" spans="1:13" hidden="1" x14ac:dyDescent="0.15">
      <c r="A2818" t="s">
        <v>8949</v>
      </c>
      <c r="B2818" t="s">
        <v>8950</v>
      </c>
      <c r="C2818" t="s">
        <v>8951</v>
      </c>
      <c r="D2818" t="s">
        <v>8948</v>
      </c>
      <c r="E2818">
        <v>2</v>
      </c>
      <c r="F2818" t="str">
        <f>HYPERLINK("https://github.com/ericcornelissen/NervousFish/issues/223", "show")</f>
        <v>show</v>
      </c>
      <c r="G2818" t="str">
        <f>HYPERLINK("https://github.com/ericcornelissen/NervousFish", "show")</f>
        <v>show</v>
      </c>
      <c r="H2818" t="str">
        <f>HYPERLINK("https://github.com/ericcornelissen/NervousFish/releases", "show")</f>
        <v>show</v>
      </c>
      <c r="I2818">
        <v>1</v>
      </c>
      <c r="J2818">
        <v>0</v>
      </c>
      <c r="K2818">
        <v>0</v>
      </c>
      <c r="L2818">
        <v>0</v>
      </c>
      <c r="M2818" t="s">
        <v>17</v>
      </c>
    </row>
    <row r="2819" spans="1:13" hidden="1" x14ac:dyDescent="0.15">
      <c r="A2819" t="s">
        <v>8952</v>
      </c>
      <c r="B2819" t="s">
        <v>8953</v>
      </c>
      <c r="C2819" t="s">
        <v>8954</v>
      </c>
      <c r="D2819" t="s">
        <v>8948</v>
      </c>
      <c r="E2819">
        <v>575</v>
      </c>
      <c r="F2819" t="str">
        <f>HYPERLINK("https://github.com/vector-im/riot-android/issues/1294", "show")</f>
        <v>show</v>
      </c>
      <c r="G2819" t="str">
        <f>HYPERLINK("https://github.com/vector-im/riot-android", "show")</f>
        <v>show</v>
      </c>
      <c r="H2819" t="str">
        <f>HYPERLINK("https://github.com/vector-im/riot-android/releases", "show")</f>
        <v>show</v>
      </c>
      <c r="I2819">
        <v>0</v>
      </c>
      <c r="J2819">
        <v>0</v>
      </c>
      <c r="K2819">
        <v>0</v>
      </c>
      <c r="L2819">
        <v>0</v>
      </c>
      <c r="M2819" t="s">
        <v>43</v>
      </c>
    </row>
    <row r="2820" spans="1:13" hidden="1" x14ac:dyDescent="0.15">
      <c r="A2820" t="s">
        <v>8955</v>
      </c>
      <c r="B2820" t="s">
        <v>8956</v>
      </c>
      <c r="C2820" t="s">
        <v>8957</v>
      </c>
      <c r="D2820" t="s">
        <v>8948</v>
      </c>
      <c r="E2820">
        <v>100</v>
      </c>
      <c r="F2820" t="str">
        <f>HYPERLINK("https://github.com/ganfra/MaterialSpinner/issues/93", "show")</f>
        <v>show</v>
      </c>
      <c r="G2820" t="str">
        <f>HYPERLINK("https://github.com/ganfra/MaterialSpinner", "show")</f>
        <v>show</v>
      </c>
      <c r="H2820" t="str">
        <f>HYPERLINK("https://github.com/ganfra/MaterialSpinner/releases", "show")</f>
        <v>show</v>
      </c>
      <c r="I2820">
        <v>0</v>
      </c>
      <c r="J2820">
        <v>0</v>
      </c>
      <c r="K2820">
        <v>1</v>
      </c>
      <c r="L2820">
        <v>0</v>
      </c>
      <c r="M2820" t="s">
        <v>122</v>
      </c>
    </row>
    <row r="2821" spans="1:13" hidden="1" x14ac:dyDescent="0.15">
      <c r="A2821" t="s">
        <v>8958</v>
      </c>
      <c r="B2821" t="s">
        <v>8959</v>
      </c>
      <c r="C2821" t="s">
        <v>8960</v>
      </c>
      <c r="D2821" t="s">
        <v>8948</v>
      </c>
      <c r="E2821">
        <v>7</v>
      </c>
      <c r="F2821" t="str">
        <f>HYPERLINK("https://github.com/twilio/voice-quickstart-android/issues/61", "show")</f>
        <v>show</v>
      </c>
      <c r="G2821" t="str">
        <f>HYPERLINK("https://github.com/twilio/voice-quickstart-android", "show")</f>
        <v>show</v>
      </c>
      <c r="H2821" t="str">
        <f>HYPERLINK("https://github.com/twilio/voice-quickstart-android/releases", "show")</f>
        <v>show</v>
      </c>
      <c r="I2821">
        <v>0</v>
      </c>
      <c r="J2821">
        <v>0</v>
      </c>
      <c r="K2821">
        <v>1</v>
      </c>
      <c r="L2821">
        <v>0</v>
      </c>
      <c r="M2821" t="s">
        <v>122</v>
      </c>
    </row>
    <row r="2822" spans="1:13" hidden="1" x14ac:dyDescent="0.15">
      <c r="A2822" t="s">
        <v>8961</v>
      </c>
      <c r="B2822" t="s">
        <v>8962</v>
      </c>
      <c r="C2822" t="s">
        <v>8963</v>
      </c>
      <c r="D2822" t="s">
        <v>8948</v>
      </c>
      <c r="E2822">
        <v>22</v>
      </c>
      <c r="F2822" t="str">
        <f>HYPERLINK("https://github.com/twilio/voice-quickstart-android/issues/60", "show")</f>
        <v>show</v>
      </c>
      <c r="G2822" t="str">
        <f>HYPERLINK("https://github.com/twilio/voice-quickstart-android", "show")</f>
        <v>show</v>
      </c>
      <c r="H2822" t="str">
        <f>HYPERLINK("https://github.com/twilio/voice-quickstart-android/releases", "show")</f>
        <v>show</v>
      </c>
      <c r="I2822">
        <v>0</v>
      </c>
      <c r="J2822">
        <v>0</v>
      </c>
      <c r="K2822">
        <v>1</v>
      </c>
      <c r="L2822">
        <v>0</v>
      </c>
      <c r="M2822" t="s">
        <v>122</v>
      </c>
    </row>
    <row r="2823" spans="1:13" hidden="1" x14ac:dyDescent="0.15">
      <c r="A2823" t="s">
        <v>8964</v>
      </c>
      <c r="B2823" t="s">
        <v>8965</v>
      </c>
      <c r="C2823" t="s">
        <v>8966</v>
      </c>
      <c r="D2823" t="s">
        <v>8967</v>
      </c>
      <c r="E2823">
        <v>26</v>
      </c>
      <c r="F2823" t="str">
        <f>HYPERLINK("https://github.com/nextcloud/android/issues/1074", "show")</f>
        <v>show</v>
      </c>
      <c r="G2823" t="str">
        <f>HYPERLINK("https://github.com/nextcloud/android", "show")</f>
        <v>show</v>
      </c>
      <c r="H2823" t="str">
        <f>HYPERLINK("https://github.com/nextcloud/android/releases", "show")</f>
        <v>show</v>
      </c>
      <c r="I2823">
        <v>1</v>
      </c>
      <c r="J2823">
        <v>1</v>
      </c>
      <c r="K2823">
        <v>0</v>
      </c>
      <c r="L2823">
        <v>0</v>
      </c>
      <c r="M2823" t="s">
        <v>48</v>
      </c>
    </row>
    <row r="2824" spans="1:13" hidden="1" x14ac:dyDescent="0.15">
      <c r="A2824" t="s">
        <v>8968</v>
      </c>
      <c r="B2824" t="s">
        <v>8969</v>
      </c>
      <c r="C2824" t="s">
        <v>8970</v>
      </c>
      <c r="D2824" t="s">
        <v>8967</v>
      </c>
      <c r="E2824">
        <v>12</v>
      </c>
      <c r="F2824" t="str">
        <f>HYPERLINK("https://github.com/philipphecht/react-native-doc-viewer/issues/16", "show")</f>
        <v>show</v>
      </c>
      <c r="G2824" t="str">
        <f>HYPERLINK("https://github.com/philipphecht/react-native-doc-viewer", "show")</f>
        <v>show</v>
      </c>
      <c r="H2824" t="str">
        <f>HYPERLINK("https://github.com/philipphecht/react-native-doc-viewer/releases", "show")</f>
        <v>show</v>
      </c>
      <c r="I2824">
        <v>1</v>
      </c>
      <c r="J2824">
        <v>0</v>
      </c>
      <c r="K2824">
        <v>0</v>
      </c>
      <c r="L2824">
        <v>0</v>
      </c>
      <c r="M2824" t="s">
        <v>17</v>
      </c>
    </row>
    <row r="2825" spans="1:13" hidden="1" x14ac:dyDescent="0.15">
      <c r="A2825" t="s">
        <v>8971</v>
      </c>
      <c r="B2825" t="s">
        <v>8972</v>
      </c>
      <c r="C2825" t="s">
        <v>8973</v>
      </c>
      <c r="D2825" t="s">
        <v>8967</v>
      </c>
      <c r="E2825">
        <v>5</v>
      </c>
      <c r="F2825" t="str">
        <f>HYPERLINK("https://github.com/requery/requery/issues/582", "show")</f>
        <v>show</v>
      </c>
      <c r="G2825" t="str">
        <f>HYPERLINK("https://github.com/requery/requery", "show")</f>
        <v>show</v>
      </c>
      <c r="H2825" t="str">
        <f>HYPERLINK("https://github.com/requery/requery/releases", "show")</f>
        <v>show</v>
      </c>
      <c r="I2825">
        <v>1</v>
      </c>
      <c r="J2825">
        <v>0</v>
      </c>
      <c r="K2825">
        <v>1</v>
      </c>
      <c r="L2825">
        <v>0</v>
      </c>
      <c r="M2825" t="s">
        <v>64</v>
      </c>
    </row>
    <row r="2826" spans="1:13" hidden="1" x14ac:dyDescent="0.15">
      <c r="A2826" t="s">
        <v>8974</v>
      </c>
      <c r="B2826" t="s">
        <v>8975</v>
      </c>
      <c r="C2826" t="s">
        <v>8976</v>
      </c>
      <c r="D2826" t="s">
        <v>8967</v>
      </c>
      <c r="E2826">
        <v>23</v>
      </c>
      <c r="F2826" t="str">
        <f>HYPERLINK("https://github.com/commons-app/apps-android-commons/issues/728", "show")</f>
        <v>show</v>
      </c>
      <c r="G2826" t="str">
        <f>HYPERLINK("https://github.com/commons-app/apps-android-commons", "show")</f>
        <v>show</v>
      </c>
      <c r="H2826" t="str">
        <f>HYPERLINK("https://github.com/commons-app/apps-android-commons/releases", "show")</f>
        <v>show</v>
      </c>
      <c r="I2826">
        <v>0</v>
      </c>
      <c r="J2826">
        <v>0</v>
      </c>
      <c r="K2826">
        <v>1</v>
      </c>
      <c r="L2826">
        <v>0</v>
      </c>
      <c r="M2826" t="s">
        <v>122</v>
      </c>
    </row>
    <row r="2827" spans="1:13" hidden="1" x14ac:dyDescent="0.15">
      <c r="A2827" t="s">
        <v>8977</v>
      </c>
      <c r="B2827" t="s">
        <v>8978</v>
      </c>
      <c r="C2827" t="s">
        <v>8979</v>
      </c>
      <c r="D2827" t="s">
        <v>8967</v>
      </c>
      <c r="E2827">
        <v>6</v>
      </c>
      <c r="F2827" t="str">
        <f>HYPERLINK("https://github.com/Intelehealth/Android-Mobile-Client/issues/253", "show")</f>
        <v>show</v>
      </c>
      <c r="G2827" t="str">
        <f>HYPERLINK("https://github.com/Intelehealth/Android-Mobile-Client", "show")</f>
        <v>show</v>
      </c>
      <c r="H2827" t="str">
        <f>HYPERLINK("https://github.com/Intelehealth/Android-Mobile-Client/releases", "show")</f>
        <v>show</v>
      </c>
      <c r="I2827">
        <v>1</v>
      </c>
      <c r="J2827">
        <v>0</v>
      </c>
      <c r="K2827">
        <v>0</v>
      </c>
      <c r="L2827">
        <v>0</v>
      </c>
      <c r="M2827" t="s">
        <v>17</v>
      </c>
    </row>
    <row r="2828" spans="1:13" hidden="1" x14ac:dyDescent="0.15">
      <c r="A2828" t="s">
        <v>8980</v>
      </c>
      <c r="B2828" t="s">
        <v>8981</v>
      </c>
      <c r="D2828" t="s">
        <v>8967</v>
      </c>
      <c r="E2828">
        <v>137</v>
      </c>
      <c r="F2828" t="str">
        <f>HYPERLINK("https://github.com/vector-im/riot-android/issues/1296", "show")</f>
        <v>show</v>
      </c>
      <c r="G2828" t="str">
        <f>HYPERLINK("https://github.com/vector-im/riot-android", "show")</f>
        <v>show</v>
      </c>
      <c r="H2828" t="str">
        <f>HYPERLINK("https://github.com/vector-im/riot-android/releases", "show")</f>
        <v>show</v>
      </c>
      <c r="I2828">
        <v>1</v>
      </c>
      <c r="J2828">
        <v>0</v>
      </c>
      <c r="K2828">
        <v>1</v>
      </c>
      <c r="L2828">
        <v>0</v>
      </c>
      <c r="M2828" t="s">
        <v>64</v>
      </c>
    </row>
    <row r="2829" spans="1:13" hidden="1" x14ac:dyDescent="0.15">
      <c r="A2829" t="s">
        <v>8982</v>
      </c>
      <c r="B2829" t="s">
        <v>4871</v>
      </c>
      <c r="C2829" t="s">
        <v>504</v>
      </c>
      <c r="D2829" t="s">
        <v>8967</v>
      </c>
      <c r="E2829">
        <v>267</v>
      </c>
      <c r="F2829" t="str">
        <f>HYPERLINK("https://github.com/tanrabad/survey/issues/28", "show")</f>
        <v>show</v>
      </c>
      <c r="G2829" t="str">
        <f>HYPERLINK("https://github.com/tanrabad/survey", "show")</f>
        <v>show</v>
      </c>
      <c r="H2829" t="str">
        <f>HYPERLINK("https://github.com/tanrabad/survey/releases", "show")</f>
        <v>show</v>
      </c>
      <c r="I2829">
        <v>1</v>
      </c>
      <c r="J2829">
        <v>0</v>
      </c>
      <c r="K2829">
        <v>0</v>
      </c>
      <c r="L2829">
        <v>0</v>
      </c>
      <c r="M2829" t="s">
        <v>17</v>
      </c>
    </row>
    <row r="2830" spans="1:13" hidden="1" x14ac:dyDescent="0.15">
      <c r="A2830" t="s">
        <v>8983</v>
      </c>
      <c r="B2830" t="s">
        <v>8984</v>
      </c>
      <c r="C2830" t="s">
        <v>8985</v>
      </c>
      <c r="D2830" t="s">
        <v>8967</v>
      </c>
      <c r="E2830">
        <v>3</v>
      </c>
      <c r="F2830" t="str">
        <f>HYPERLINK("https://github.com/fossasia/phimpme-android/issues/553", "show")</f>
        <v>show</v>
      </c>
      <c r="G2830" t="str">
        <f>HYPERLINK("https://github.com/fossasia/phimpme-android", "show")</f>
        <v>show</v>
      </c>
      <c r="H2830" t="str">
        <f>HYPERLINK("https://github.com/fossasia/phimpme-android/releases", "show")</f>
        <v>show</v>
      </c>
      <c r="I2830">
        <v>1</v>
      </c>
      <c r="J2830">
        <v>1</v>
      </c>
      <c r="K2830">
        <v>0</v>
      </c>
      <c r="L2830">
        <v>0</v>
      </c>
      <c r="M2830" t="s">
        <v>48</v>
      </c>
    </row>
    <row r="2831" spans="1:13" hidden="1" x14ac:dyDescent="0.15">
      <c r="A2831" t="s">
        <v>8986</v>
      </c>
      <c r="B2831" t="s">
        <v>8987</v>
      </c>
      <c r="C2831" t="s">
        <v>8988</v>
      </c>
      <c r="D2831" t="s">
        <v>8967</v>
      </c>
      <c r="E2831">
        <v>302</v>
      </c>
      <c r="F2831" t="str">
        <f>HYPERLINK("https://github.com/pathsense/pathsense-samples-android/issues/12", "show")</f>
        <v>show</v>
      </c>
      <c r="G2831" t="str">
        <f>HYPERLINK("https://github.com/pathsense/pathsense-samples-android", "show")</f>
        <v>show</v>
      </c>
      <c r="H2831" t="str">
        <f>HYPERLINK("https://github.com/pathsense/pathsense-samples-android/releases", "show")</f>
        <v>show</v>
      </c>
      <c r="I2831">
        <v>0</v>
      </c>
      <c r="J2831">
        <v>0</v>
      </c>
      <c r="K2831">
        <v>1</v>
      </c>
      <c r="L2831">
        <v>0</v>
      </c>
      <c r="M2831" t="s">
        <v>122</v>
      </c>
    </row>
    <row r="2832" spans="1:13" hidden="1" x14ac:dyDescent="0.15">
      <c r="A2832" t="s">
        <v>8989</v>
      </c>
      <c r="B2832" t="s">
        <v>8990</v>
      </c>
      <c r="C2832" t="s">
        <v>8991</v>
      </c>
      <c r="D2832" t="s">
        <v>8992</v>
      </c>
      <c r="E2832">
        <v>1</v>
      </c>
      <c r="F2832" t="str">
        <f>HYPERLINK("https://github.com/fossasia/phimpme-android/issues/564", "show")</f>
        <v>show</v>
      </c>
      <c r="G2832" t="str">
        <f>HYPERLINK("https://github.com/fossasia/phimpme-android", "show")</f>
        <v>show</v>
      </c>
      <c r="H2832" t="str">
        <f>HYPERLINK("https://github.com/fossasia/phimpme-android/releases", "show")</f>
        <v>show</v>
      </c>
      <c r="I2832">
        <v>1</v>
      </c>
      <c r="J2832">
        <v>0</v>
      </c>
      <c r="K2832">
        <v>1</v>
      </c>
      <c r="L2832">
        <v>0</v>
      </c>
      <c r="M2832" t="s">
        <v>64</v>
      </c>
    </row>
    <row r="2833" spans="1:13" hidden="1" x14ac:dyDescent="0.15">
      <c r="A2833" t="s">
        <v>8993</v>
      </c>
      <c r="B2833" t="s">
        <v>8994</v>
      </c>
      <c r="C2833" t="s">
        <v>8995</v>
      </c>
      <c r="D2833" t="s">
        <v>8992</v>
      </c>
      <c r="E2833">
        <v>0</v>
      </c>
      <c r="F2833" t="str">
        <f>HYPERLINK("https://github.com/fossasia/open-event-droidgen/issues/1682", "show")</f>
        <v>show</v>
      </c>
      <c r="G2833" t="str">
        <f>HYPERLINK("https://github.com/fossasia/open-event-droidgen", "show")</f>
        <v>show</v>
      </c>
      <c r="H2833" t="str">
        <f>HYPERLINK("https://github.com/fossasia/open-event-droidgen/releases", "show")</f>
        <v>show</v>
      </c>
      <c r="I2833">
        <v>0</v>
      </c>
      <c r="J2833">
        <v>0</v>
      </c>
      <c r="K2833">
        <v>0</v>
      </c>
      <c r="L2833">
        <v>0</v>
      </c>
      <c r="M2833" t="s">
        <v>43</v>
      </c>
    </row>
    <row r="2834" spans="1:13" hidden="1" x14ac:dyDescent="0.15">
      <c r="A2834" t="s">
        <v>8996</v>
      </c>
      <c r="B2834" t="s">
        <v>8997</v>
      </c>
      <c r="C2834" t="s">
        <v>8998</v>
      </c>
      <c r="D2834" t="s">
        <v>8992</v>
      </c>
      <c r="E2834">
        <v>0</v>
      </c>
      <c r="F2834" t="str">
        <f>HYPERLINK("https://github.com/vector-im/riot-android/issues/1300", "show")</f>
        <v>show</v>
      </c>
      <c r="G2834" t="str">
        <f>HYPERLINK("https://github.com/vector-im/riot-android", "show")</f>
        <v>show</v>
      </c>
      <c r="H2834" t="str">
        <f>HYPERLINK("https://github.com/vector-im/riot-android/releases", "show")</f>
        <v>show</v>
      </c>
      <c r="I2834">
        <v>1</v>
      </c>
      <c r="J2834">
        <v>0</v>
      </c>
      <c r="K2834">
        <v>0</v>
      </c>
      <c r="L2834">
        <v>0</v>
      </c>
      <c r="M2834" t="s">
        <v>17</v>
      </c>
    </row>
    <row r="2835" spans="1:13" hidden="1" x14ac:dyDescent="0.15">
      <c r="A2835" t="s">
        <v>8999</v>
      </c>
      <c r="B2835" t="s">
        <v>9000</v>
      </c>
      <c r="C2835" t="s">
        <v>9001</v>
      </c>
      <c r="D2835" t="s">
        <v>9002</v>
      </c>
      <c r="E2835">
        <v>151</v>
      </c>
      <c r="F2835" t="str">
        <f>HYPERLINK("https://github.com/OpenLauncherTeam/openlauncher/issues/161", "show")</f>
        <v>show</v>
      </c>
      <c r="G2835" t="str">
        <f>HYPERLINK("https://github.com/OpenLauncherTeam/openlauncher", "show")</f>
        <v>show</v>
      </c>
      <c r="H2835" t="str">
        <f>HYPERLINK("https://github.com/OpenLauncherTeam/openlauncher/releases", "show")</f>
        <v>show</v>
      </c>
      <c r="I2835">
        <v>1</v>
      </c>
      <c r="J2835">
        <v>0</v>
      </c>
      <c r="K2835">
        <v>1</v>
      </c>
      <c r="L2835">
        <v>0</v>
      </c>
      <c r="M2835" t="s">
        <v>64</v>
      </c>
    </row>
    <row r="2836" spans="1:13" hidden="1" x14ac:dyDescent="0.15">
      <c r="A2836" t="s">
        <v>9003</v>
      </c>
      <c r="B2836" t="s">
        <v>9004</v>
      </c>
      <c r="C2836" t="s">
        <v>9005</v>
      </c>
      <c r="D2836" t="s">
        <v>9006</v>
      </c>
      <c r="E2836">
        <v>32</v>
      </c>
      <c r="F2836" t="str">
        <f>HYPERLINK("https://github.com/commons-app/apps-android-commons/issues/731", "show")</f>
        <v>show</v>
      </c>
      <c r="G2836" t="str">
        <f>HYPERLINK("https://github.com/commons-app/apps-android-commons", "show")</f>
        <v>show</v>
      </c>
      <c r="H2836" t="str">
        <f>HYPERLINK("https://github.com/commons-app/apps-android-commons/releases", "show")</f>
        <v>show</v>
      </c>
      <c r="I2836">
        <v>0</v>
      </c>
      <c r="J2836">
        <v>0</v>
      </c>
      <c r="K2836">
        <v>1</v>
      </c>
      <c r="L2836">
        <v>0</v>
      </c>
      <c r="M2836" t="s">
        <v>122</v>
      </c>
    </row>
    <row r="2837" spans="1:13" hidden="1" x14ac:dyDescent="0.15">
      <c r="A2837" t="s">
        <v>9007</v>
      </c>
      <c r="B2837" t="s">
        <v>9008</v>
      </c>
      <c r="C2837" t="s">
        <v>9009</v>
      </c>
      <c r="D2837" t="s">
        <v>9006</v>
      </c>
      <c r="E2837">
        <v>1</v>
      </c>
      <c r="F2837" t="str">
        <f>HYPERLINK("https://github.com/fossasia/open-event-droidgen/issues/1689", "show")</f>
        <v>show</v>
      </c>
      <c r="G2837" t="str">
        <f>HYPERLINK("https://github.com/fossasia/open-event-droidgen", "show")</f>
        <v>show</v>
      </c>
      <c r="H2837" t="str">
        <f>HYPERLINK("https://github.com/fossasia/open-event-droidgen/releases", "show")</f>
        <v>show</v>
      </c>
      <c r="I2837">
        <v>1</v>
      </c>
      <c r="J2837">
        <v>0</v>
      </c>
      <c r="K2837">
        <v>0</v>
      </c>
      <c r="L2837">
        <v>0</v>
      </c>
      <c r="M2837" t="s">
        <v>17</v>
      </c>
    </row>
    <row r="2838" spans="1:13" hidden="1" x14ac:dyDescent="0.15">
      <c r="A2838" t="s">
        <v>9010</v>
      </c>
      <c r="B2838" t="s">
        <v>9011</v>
      </c>
      <c r="C2838" t="s">
        <v>9012</v>
      </c>
      <c r="D2838" t="s">
        <v>9013</v>
      </c>
      <c r="E2838">
        <v>5</v>
      </c>
      <c r="F2838" t="str">
        <f>HYPERLINK("https://github.com/osmdroid/osmdroid/issues/616", "show")</f>
        <v>show</v>
      </c>
      <c r="G2838" t="str">
        <f>HYPERLINK("https://github.com/osmdroid/osmdroid", "show")</f>
        <v>show</v>
      </c>
      <c r="H2838" t="str">
        <f>HYPERLINK("https://github.com/osmdroid/osmdroid/releases", "show")</f>
        <v>show</v>
      </c>
      <c r="I2838">
        <v>0</v>
      </c>
      <c r="J2838">
        <v>0</v>
      </c>
      <c r="K2838">
        <v>1</v>
      </c>
      <c r="L2838">
        <v>0</v>
      </c>
      <c r="M2838" t="s">
        <v>122</v>
      </c>
    </row>
    <row r="2839" spans="1:13" hidden="1" x14ac:dyDescent="0.15">
      <c r="A2839" t="s">
        <v>9014</v>
      </c>
      <c r="B2839" t="s">
        <v>9015</v>
      </c>
      <c r="C2839" t="s">
        <v>9016</v>
      </c>
      <c r="D2839" t="s">
        <v>9013</v>
      </c>
      <c r="E2839">
        <v>2</v>
      </c>
      <c r="F2839" t="str">
        <f>HYPERLINK("https://github.com/ericcornelissen/NervousFish/issues/247", "show")</f>
        <v>show</v>
      </c>
      <c r="G2839" t="str">
        <f>HYPERLINK("https://github.com/ericcornelissen/NervousFish", "show")</f>
        <v>show</v>
      </c>
      <c r="H2839" t="str">
        <f>HYPERLINK("https://github.com/ericcornelissen/NervousFish/releases", "show")</f>
        <v>show</v>
      </c>
      <c r="I2839">
        <v>1</v>
      </c>
      <c r="J2839">
        <v>0</v>
      </c>
      <c r="K2839">
        <v>0</v>
      </c>
      <c r="L2839">
        <v>0</v>
      </c>
      <c r="M2839" t="s">
        <v>17</v>
      </c>
    </row>
    <row r="2840" spans="1:13" hidden="1" x14ac:dyDescent="0.15">
      <c r="A2840" t="s">
        <v>9017</v>
      </c>
      <c r="B2840" t="s">
        <v>9018</v>
      </c>
      <c r="C2840" t="s">
        <v>9019</v>
      </c>
      <c r="D2840" t="s">
        <v>9013</v>
      </c>
      <c r="E2840">
        <v>28</v>
      </c>
      <c r="F2840" t="str">
        <f>HYPERLINK("https://github.com/DoubleSymmetry/react-native-track-player/issues/22", "show")</f>
        <v>show</v>
      </c>
      <c r="G2840" t="str">
        <f>HYPERLINK("https://github.com/DoubleSymmetry/react-native-track-player", "show")</f>
        <v>show</v>
      </c>
      <c r="H2840" t="str">
        <f>HYPERLINK("https://github.com/DoubleSymmetry/react-native-track-player/releases", "show")</f>
        <v>show</v>
      </c>
      <c r="I2840">
        <v>0</v>
      </c>
      <c r="J2840">
        <v>0</v>
      </c>
      <c r="K2840">
        <v>1</v>
      </c>
      <c r="L2840">
        <v>0</v>
      </c>
      <c r="M2840" t="s">
        <v>122</v>
      </c>
    </row>
    <row r="2841" spans="1:13" hidden="1" x14ac:dyDescent="0.15">
      <c r="A2841" t="s">
        <v>9020</v>
      </c>
      <c r="B2841" t="s">
        <v>9021</v>
      </c>
      <c r="C2841" t="s">
        <v>9022</v>
      </c>
      <c r="D2841" t="s">
        <v>9013</v>
      </c>
      <c r="E2841">
        <v>1</v>
      </c>
      <c r="F2841" t="str">
        <f>HYPERLINK("https://github.com/digital-voting-pass/polling-station-app/issues/123", "show")</f>
        <v>show</v>
      </c>
      <c r="G2841" t="str">
        <f>HYPERLINK("https://github.com/digital-voting-pass/polling-station-app", "show")</f>
        <v>show</v>
      </c>
      <c r="H2841" t="str">
        <f>HYPERLINK("https://github.com/digital-voting-pass/polling-station-app/releases", "show")</f>
        <v>show</v>
      </c>
      <c r="I2841">
        <v>1</v>
      </c>
      <c r="J2841">
        <v>0</v>
      </c>
      <c r="K2841">
        <v>0</v>
      </c>
      <c r="L2841">
        <v>0</v>
      </c>
      <c r="M2841" t="s">
        <v>17</v>
      </c>
    </row>
    <row r="2842" spans="1:13" hidden="1" x14ac:dyDescent="0.15">
      <c r="A2842" t="s">
        <v>9023</v>
      </c>
      <c r="B2842" t="s">
        <v>9024</v>
      </c>
      <c r="C2842" t="s">
        <v>9025</v>
      </c>
      <c r="D2842" t="s">
        <v>9026</v>
      </c>
      <c r="E2842">
        <v>2</v>
      </c>
      <c r="F2842" t="str">
        <f>HYPERLINK("https://github.com/novoda/view-pager-adapter/issues/16", "show")</f>
        <v>show</v>
      </c>
      <c r="G2842" t="str">
        <f>HYPERLINK("https://github.com/novoda/view-pager-adapter", "show")</f>
        <v>show</v>
      </c>
      <c r="H2842" t="str">
        <f>HYPERLINK("https://github.com/novoda/view-pager-adapter/releases", "show")</f>
        <v>show</v>
      </c>
      <c r="I2842">
        <v>1</v>
      </c>
      <c r="J2842">
        <v>1</v>
      </c>
      <c r="K2842">
        <v>0</v>
      </c>
      <c r="L2842">
        <v>0</v>
      </c>
      <c r="M2842" t="s">
        <v>48</v>
      </c>
    </row>
    <row r="2843" spans="1:13" hidden="1" x14ac:dyDescent="0.15">
      <c r="A2843" t="s">
        <v>9027</v>
      </c>
      <c r="B2843" t="s">
        <v>9028</v>
      </c>
      <c r="C2843" t="s">
        <v>9029</v>
      </c>
      <c r="D2843" t="s">
        <v>9026</v>
      </c>
      <c r="E2843">
        <v>770</v>
      </c>
      <c r="F2843" t="str">
        <f>HYPERLINK("https://github.com/mycelium-com/wallet-android/issues/362", "show")</f>
        <v>show</v>
      </c>
      <c r="G2843" t="str">
        <f>HYPERLINK("https://github.com/mycelium-com/wallet-android", "show")</f>
        <v>show</v>
      </c>
      <c r="H2843" t="str">
        <f>HYPERLINK("https://github.com/mycelium-com/wallet-android/releases", "show")</f>
        <v>show</v>
      </c>
      <c r="I2843">
        <v>1</v>
      </c>
      <c r="J2843">
        <v>0</v>
      </c>
      <c r="K2843">
        <v>0</v>
      </c>
      <c r="L2843">
        <v>0</v>
      </c>
      <c r="M2843" t="s">
        <v>17</v>
      </c>
    </row>
    <row r="2844" spans="1:13" hidden="1" x14ac:dyDescent="0.15">
      <c r="A2844" t="s">
        <v>9030</v>
      </c>
      <c r="B2844" t="s">
        <v>9031</v>
      </c>
      <c r="C2844" t="s">
        <v>9032</v>
      </c>
      <c r="D2844" t="s">
        <v>9026</v>
      </c>
      <c r="E2844">
        <v>0</v>
      </c>
      <c r="F2844" t="str">
        <f>HYPERLINK("https://github.com/chandevel/Clover/issues/319", "show")</f>
        <v>show</v>
      </c>
      <c r="G2844" t="str">
        <f>HYPERLINK("https://github.com/chandevel/Clover", "show")</f>
        <v>show</v>
      </c>
      <c r="H2844" t="str">
        <f>HYPERLINK("https://github.com/chandevel/Clover/releases", "show")</f>
        <v>show</v>
      </c>
      <c r="I2844">
        <v>1</v>
      </c>
      <c r="J2844">
        <v>0</v>
      </c>
      <c r="K2844">
        <v>0</v>
      </c>
      <c r="L2844">
        <v>0</v>
      </c>
      <c r="M2844" t="s">
        <v>17</v>
      </c>
    </row>
    <row r="2845" spans="1:13" hidden="1" x14ac:dyDescent="0.15">
      <c r="A2845" t="s">
        <v>9033</v>
      </c>
      <c r="B2845" t="s">
        <v>9034</v>
      </c>
      <c r="C2845" t="s">
        <v>736</v>
      </c>
      <c r="D2845" t="s">
        <v>9026</v>
      </c>
      <c r="E2845">
        <v>146</v>
      </c>
      <c r="F2845" t="str">
        <f>HYPERLINK("https://github.com/seiginonakama/BlockCanaryEx/issues/16", "show")</f>
        <v>show</v>
      </c>
      <c r="G2845" t="str">
        <f>HYPERLINK("https://github.com/seiginonakama/BlockCanaryEx", "show")</f>
        <v>show</v>
      </c>
      <c r="H2845" t="str">
        <f>HYPERLINK("https://github.com/seiginonakama/BlockCanaryEx/releases", "show")</f>
        <v>show</v>
      </c>
      <c r="I2845">
        <v>1</v>
      </c>
      <c r="J2845">
        <v>0</v>
      </c>
      <c r="K2845">
        <v>0</v>
      </c>
      <c r="L2845">
        <v>0</v>
      </c>
      <c r="M2845" t="s">
        <v>17</v>
      </c>
    </row>
    <row r="2846" spans="1:13" hidden="1" x14ac:dyDescent="0.15">
      <c r="A2846" t="s">
        <v>9035</v>
      </c>
      <c r="B2846" t="s">
        <v>9036</v>
      </c>
      <c r="C2846" t="s">
        <v>9037</v>
      </c>
      <c r="D2846" t="s">
        <v>9026</v>
      </c>
      <c r="E2846">
        <v>2</v>
      </c>
      <c r="F2846" t="str">
        <f>HYPERLINK("https://github.com/square/okhttp/issues/3404", "show")</f>
        <v>show</v>
      </c>
      <c r="G2846" t="str">
        <f>HYPERLINK("https://github.com/square/okhttp", "show")</f>
        <v>show</v>
      </c>
      <c r="H2846" t="str">
        <f>HYPERLINK("https://github.com/square/okhttp/releases", "show")</f>
        <v>show</v>
      </c>
      <c r="I2846">
        <v>0</v>
      </c>
      <c r="J2846">
        <v>0</v>
      </c>
      <c r="K2846">
        <v>1</v>
      </c>
      <c r="L2846">
        <v>0</v>
      </c>
      <c r="M2846" t="s">
        <v>122</v>
      </c>
    </row>
    <row r="2847" spans="1:13" hidden="1" x14ac:dyDescent="0.15">
      <c r="A2847" t="s">
        <v>9038</v>
      </c>
      <c r="B2847" t="s">
        <v>9039</v>
      </c>
      <c r="C2847" t="s">
        <v>9040</v>
      </c>
      <c r="D2847" t="s">
        <v>9041</v>
      </c>
      <c r="E2847">
        <v>3</v>
      </c>
      <c r="F2847" t="str">
        <f>HYPERLINK("https://github.com/lingochamp/FileDownloader/issues/610", "show")</f>
        <v>show</v>
      </c>
      <c r="G2847" t="str">
        <f>HYPERLINK("https://github.com/lingochamp/FileDownloader", "show")</f>
        <v>show</v>
      </c>
      <c r="H2847" t="str">
        <f>HYPERLINK("https://github.com/lingochamp/FileDownloader/releases", "show")</f>
        <v>show</v>
      </c>
      <c r="I2847">
        <v>0</v>
      </c>
      <c r="J2847">
        <v>0</v>
      </c>
      <c r="K2847">
        <v>0</v>
      </c>
      <c r="L2847">
        <v>0</v>
      </c>
      <c r="M2847" t="s">
        <v>43</v>
      </c>
    </row>
    <row r="2848" spans="1:13" hidden="1" x14ac:dyDescent="0.15">
      <c r="A2848" t="s">
        <v>9042</v>
      </c>
      <c r="B2848" t="s">
        <v>9043</v>
      </c>
      <c r="C2848" t="s">
        <v>9044</v>
      </c>
      <c r="D2848" t="s">
        <v>9041</v>
      </c>
      <c r="E2848">
        <v>47</v>
      </c>
      <c r="F2848" t="str">
        <f>HYPERLINK("https://github.com/nextcloud/android/issues/1090", "show")</f>
        <v>show</v>
      </c>
      <c r="G2848" t="str">
        <f>HYPERLINK("https://github.com/nextcloud/android", "show")</f>
        <v>show</v>
      </c>
      <c r="H2848" t="str">
        <f>HYPERLINK("https://github.com/nextcloud/android/releases", "show")</f>
        <v>show</v>
      </c>
      <c r="I2848">
        <v>1</v>
      </c>
      <c r="J2848">
        <v>0</v>
      </c>
      <c r="K2848">
        <v>1</v>
      </c>
      <c r="L2848">
        <v>0</v>
      </c>
      <c r="M2848" t="s">
        <v>64</v>
      </c>
    </row>
    <row r="2849" spans="1:13" hidden="1" x14ac:dyDescent="0.15">
      <c r="A2849" t="s">
        <v>9045</v>
      </c>
      <c r="B2849" t="s">
        <v>9046</v>
      </c>
      <c r="C2849" t="s">
        <v>9047</v>
      </c>
      <c r="D2849" t="s">
        <v>9041</v>
      </c>
      <c r="E2849">
        <v>1</v>
      </c>
      <c r="F2849" t="str">
        <f>HYPERLINK("https://github.com/Openu20950/OpenApp/issues/132", "show")</f>
        <v>show</v>
      </c>
      <c r="G2849" t="str">
        <f>HYPERLINK("https://github.com/Openu20950/OpenApp", "show")</f>
        <v>show</v>
      </c>
      <c r="H2849" t="str">
        <f>HYPERLINK("https://github.com/Openu20950/OpenApp/releases", "show")</f>
        <v>show</v>
      </c>
      <c r="I2849">
        <v>1</v>
      </c>
      <c r="J2849">
        <v>0</v>
      </c>
      <c r="K2849">
        <v>0</v>
      </c>
      <c r="L2849">
        <v>0</v>
      </c>
      <c r="M2849" t="s">
        <v>17</v>
      </c>
    </row>
    <row r="2850" spans="1:13" hidden="1" x14ac:dyDescent="0.15">
      <c r="A2850" t="s">
        <v>9048</v>
      </c>
      <c r="B2850" t="s">
        <v>9049</v>
      </c>
      <c r="C2850" t="s">
        <v>9050</v>
      </c>
      <c r="D2850" t="s">
        <v>9051</v>
      </c>
      <c r="E2850">
        <v>1</v>
      </c>
      <c r="F2850" t="str">
        <f>HYPERLINK("https://github.com/vector-im/riot-android/issues/1335", "show")</f>
        <v>show</v>
      </c>
      <c r="G2850" t="str">
        <f>HYPERLINK("https://github.com/vector-im/riot-android", "show")</f>
        <v>show</v>
      </c>
      <c r="H2850" t="str">
        <f>HYPERLINK("https://github.com/vector-im/riot-android/releases", "show")</f>
        <v>show</v>
      </c>
      <c r="I2850">
        <v>1</v>
      </c>
      <c r="J2850">
        <v>0</v>
      </c>
      <c r="K2850">
        <v>0</v>
      </c>
      <c r="L2850">
        <v>0</v>
      </c>
      <c r="M2850" t="s">
        <v>17</v>
      </c>
    </row>
    <row r="2851" spans="1:13" hidden="1" x14ac:dyDescent="0.15">
      <c r="A2851" t="s">
        <v>9052</v>
      </c>
      <c r="B2851" t="s">
        <v>9053</v>
      </c>
      <c r="C2851" t="s">
        <v>9054</v>
      </c>
      <c r="D2851" t="s">
        <v>9051</v>
      </c>
      <c r="E2851">
        <v>2</v>
      </c>
      <c r="F2851" t="str">
        <f>HYPERLINK("https://github.com/Schmitt-Florian/SchoolPlanner/issues/57", "show")</f>
        <v>show</v>
      </c>
      <c r="G2851" t="str">
        <f>HYPERLINK("https://github.com/Schmitt-Florian/SchoolPlanner", "show")</f>
        <v>show</v>
      </c>
      <c r="H2851" t="str">
        <f>HYPERLINK("https://github.com/Schmitt-Florian/SchoolPlanner/releases", "show")</f>
        <v>show</v>
      </c>
      <c r="I2851">
        <v>1</v>
      </c>
      <c r="J2851">
        <v>1</v>
      </c>
      <c r="K2851">
        <v>0</v>
      </c>
      <c r="L2851">
        <v>0</v>
      </c>
      <c r="M2851" t="s">
        <v>48</v>
      </c>
    </row>
    <row r="2852" spans="1:13" hidden="1" x14ac:dyDescent="0.15">
      <c r="A2852" t="s">
        <v>9055</v>
      </c>
      <c r="B2852" t="s">
        <v>9056</v>
      </c>
      <c r="C2852" t="s">
        <v>9057</v>
      </c>
      <c r="D2852" t="s">
        <v>9051</v>
      </c>
      <c r="E2852">
        <v>3</v>
      </c>
      <c r="F2852" t="str">
        <f>HYPERLINK("https://github.com/romankh/gat-app/issues/6", "show")</f>
        <v>show</v>
      </c>
      <c r="G2852" t="str">
        <f>HYPERLINK("https://github.com/romankh/gat-app", "show")</f>
        <v>show</v>
      </c>
      <c r="H2852" t="str">
        <f>HYPERLINK("https://github.com/romankh/gat-app/releases", "show")</f>
        <v>show</v>
      </c>
      <c r="I2852">
        <v>1</v>
      </c>
      <c r="J2852">
        <v>0</v>
      </c>
      <c r="K2852">
        <v>0</v>
      </c>
      <c r="L2852">
        <v>0</v>
      </c>
      <c r="M2852" t="s">
        <v>17</v>
      </c>
    </row>
    <row r="2853" spans="1:13" hidden="1" x14ac:dyDescent="0.15">
      <c r="A2853" t="s">
        <v>9058</v>
      </c>
      <c r="B2853" t="s">
        <v>9059</v>
      </c>
      <c r="C2853" t="s">
        <v>9060</v>
      </c>
      <c r="D2853" t="s">
        <v>9051</v>
      </c>
      <c r="E2853">
        <v>66</v>
      </c>
      <c r="F2853" t="str">
        <f>HYPERLINK("https://github.com/jonasoreland/runnerup/issues/568", "show")</f>
        <v>show</v>
      </c>
      <c r="G2853" t="str">
        <f>HYPERLINK("https://github.com/jonasoreland/runnerup", "show")</f>
        <v>show</v>
      </c>
      <c r="H2853" t="str">
        <f>HYPERLINK("https://github.com/jonasoreland/runnerup/releases", "show")</f>
        <v>show</v>
      </c>
      <c r="I2853">
        <v>1</v>
      </c>
      <c r="J2853">
        <v>0</v>
      </c>
      <c r="K2853">
        <v>0</v>
      </c>
      <c r="L2853">
        <v>0</v>
      </c>
      <c r="M2853" t="s">
        <v>17</v>
      </c>
    </row>
    <row r="2854" spans="1:13" hidden="1" x14ac:dyDescent="0.15">
      <c r="A2854" t="s">
        <v>9061</v>
      </c>
      <c r="B2854" t="s">
        <v>9062</v>
      </c>
      <c r="C2854" t="s">
        <v>9063</v>
      </c>
      <c r="D2854" t="s">
        <v>9064</v>
      </c>
      <c r="E2854">
        <v>3</v>
      </c>
      <c r="F2854" t="str">
        <f>HYPERLINK("https://github.com/ericcornelissen/NervousFish/issues/263", "show")</f>
        <v>show</v>
      </c>
      <c r="G2854" t="str">
        <f>HYPERLINK("https://github.com/ericcornelissen/NervousFish", "show")</f>
        <v>show</v>
      </c>
      <c r="H2854" t="str">
        <f>HYPERLINK("https://github.com/ericcornelissen/NervousFish/releases", "show")</f>
        <v>show</v>
      </c>
      <c r="I2854">
        <v>1</v>
      </c>
      <c r="J2854">
        <v>1</v>
      </c>
      <c r="K2854">
        <v>0</v>
      </c>
      <c r="L2854">
        <v>0</v>
      </c>
      <c r="M2854" t="s">
        <v>48</v>
      </c>
    </row>
    <row r="2855" spans="1:13" hidden="1" x14ac:dyDescent="0.15">
      <c r="A2855" t="s">
        <v>9065</v>
      </c>
      <c r="B2855" t="s">
        <v>9066</v>
      </c>
      <c r="C2855" t="s">
        <v>9067</v>
      </c>
      <c r="D2855" t="s">
        <v>9068</v>
      </c>
      <c r="E2855">
        <v>0</v>
      </c>
      <c r="F2855" t="str">
        <f>HYPERLINK("https://github.com/Mishiranu/Dashchan/issues/146", "show")</f>
        <v>show</v>
      </c>
      <c r="G2855" t="str">
        <f>HYPERLINK("https://github.com/Mishiranu/Dashchan", "show")</f>
        <v>show</v>
      </c>
      <c r="H2855" t="str">
        <f>HYPERLINK("https://github.com/Mishiranu/Dashchan/releases", "show")</f>
        <v>show</v>
      </c>
      <c r="I2855">
        <v>0</v>
      </c>
      <c r="J2855">
        <v>0</v>
      </c>
      <c r="K2855">
        <v>0</v>
      </c>
      <c r="L2855">
        <v>0</v>
      </c>
      <c r="M2855" t="s">
        <v>43</v>
      </c>
    </row>
    <row r="2856" spans="1:13" hidden="1" x14ac:dyDescent="0.15">
      <c r="A2856" t="s">
        <v>9069</v>
      </c>
      <c r="B2856" t="s">
        <v>9070</v>
      </c>
      <c r="C2856" t="s">
        <v>9071</v>
      </c>
      <c r="D2856" t="s">
        <v>9068</v>
      </c>
      <c r="E2856">
        <v>144</v>
      </c>
      <c r="F2856" t="str">
        <f>HYPERLINK("https://github.com/OpenLauncherTeam/openlauncher/issues/164", "show")</f>
        <v>show</v>
      </c>
      <c r="G2856" t="str">
        <f>HYPERLINK("https://github.com/OpenLauncherTeam/openlauncher", "show")</f>
        <v>show</v>
      </c>
      <c r="H2856" t="str">
        <f>HYPERLINK("https://github.com/OpenLauncherTeam/openlauncher/releases", "show")</f>
        <v>show</v>
      </c>
      <c r="I2856">
        <v>1</v>
      </c>
      <c r="J2856">
        <v>0</v>
      </c>
      <c r="K2856">
        <v>1</v>
      </c>
      <c r="L2856">
        <v>0</v>
      </c>
      <c r="M2856" t="s">
        <v>64</v>
      </c>
    </row>
    <row r="2857" spans="1:13" hidden="1" x14ac:dyDescent="0.15">
      <c r="A2857" t="s">
        <v>9072</v>
      </c>
      <c r="B2857" t="s">
        <v>9073</v>
      </c>
      <c r="C2857" t="s">
        <v>9074</v>
      </c>
      <c r="D2857" t="s">
        <v>9075</v>
      </c>
      <c r="E2857">
        <v>393</v>
      </c>
      <c r="F2857" t="str">
        <f>HYPERLINK("https://github.com/fossasia/pslab-android/issues/193", "show")</f>
        <v>show</v>
      </c>
      <c r="G2857" t="str">
        <f>HYPERLINK("https://github.com/fossasia/pslab-android", "show")</f>
        <v>show</v>
      </c>
      <c r="H2857" t="str">
        <f>HYPERLINK("https://github.com/fossasia/pslab-android/releases", "show")</f>
        <v>show</v>
      </c>
      <c r="I2857">
        <v>1</v>
      </c>
      <c r="J2857">
        <v>1</v>
      </c>
      <c r="K2857">
        <v>0</v>
      </c>
      <c r="L2857">
        <v>0</v>
      </c>
      <c r="M2857" t="s">
        <v>48</v>
      </c>
    </row>
    <row r="2858" spans="1:13" hidden="1" x14ac:dyDescent="0.15">
      <c r="A2858" t="s">
        <v>9076</v>
      </c>
      <c r="B2858" t="s">
        <v>9077</v>
      </c>
      <c r="C2858" t="s">
        <v>9078</v>
      </c>
      <c r="D2858" t="s">
        <v>9075</v>
      </c>
      <c r="E2858">
        <v>1</v>
      </c>
      <c r="F2858" t="str">
        <f>HYPERLINK("https://github.com/fossasia/phimpme-android/issues/620", "show")</f>
        <v>show</v>
      </c>
      <c r="G2858" t="str">
        <f>HYPERLINK("https://github.com/fossasia/phimpme-android", "show")</f>
        <v>show</v>
      </c>
      <c r="H2858" t="str">
        <f>HYPERLINK("https://github.com/fossasia/phimpme-android/releases", "show")</f>
        <v>show</v>
      </c>
      <c r="I2858">
        <v>1</v>
      </c>
      <c r="J2858">
        <v>0</v>
      </c>
      <c r="K2858">
        <v>0</v>
      </c>
      <c r="L2858">
        <v>0</v>
      </c>
      <c r="M2858" t="s">
        <v>17</v>
      </c>
    </row>
    <row r="2859" spans="1:13" hidden="1" x14ac:dyDescent="0.15">
      <c r="A2859" t="s">
        <v>9079</v>
      </c>
      <c r="B2859" t="s">
        <v>9080</v>
      </c>
      <c r="C2859" t="s">
        <v>9081</v>
      </c>
      <c r="D2859" t="s">
        <v>9075</v>
      </c>
      <c r="E2859">
        <v>0</v>
      </c>
      <c r="F2859" t="str">
        <f>HYPERLINK("https://github.com/fossasia/phimpme-android/issues/615", "show")</f>
        <v>show</v>
      </c>
      <c r="G2859" t="str">
        <f>HYPERLINK("https://github.com/fossasia/phimpme-android", "show")</f>
        <v>show</v>
      </c>
      <c r="H2859" t="str">
        <f>HYPERLINK("https://github.com/fossasia/phimpme-android/releases", "show")</f>
        <v>show</v>
      </c>
      <c r="I2859">
        <v>1</v>
      </c>
      <c r="J2859">
        <v>0</v>
      </c>
      <c r="K2859">
        <v>0</v>
      </c>
      <c r="L2859">
        <v>0</v>
      </c>
      <c r="M2859" t="s">
        <v>17</v>
      </c>
    </row>
    <row r="2860" spans="1:13" hidden="1" x14ac:dyDescent="0.15">
      <c r="A2860" t="s">
        <v>9082</v>
      </c>
      <c r="B2860" t="s">
        <v>9083</v>
      </c>
      <c r="C2860" t="s">
        <v>9084</v>
      </c>
      <c r="D2860" t="s">
        <v>9085</v>
      </c>
      <c r="E2860">
        <v>85</v>
      </c>
      <c r="F2860" t="str">
        <f>HYPERLINK("https://github.com/ForstaLabs/relay/issues/73", "show")</f>
        <v>show</v>
      </c>
      <c r="G2860" t="str">
        <f>HYPERLINK("https://github.com/ForstaLabs/relay", "show")</f>
        <v>show</v>
      </c>
      <c r="H2860" t="str">
        <f>HYPERLINK("https://github.com/ForstaLabs/relay/releases", "show")</f>
        <v>show</v>
      </c>
      <c r="I2860">
        <v>1</v>
      </c>
      <c r="J2860">
        <v>1</v>
      </c>
      <c r="K2860">
        <v>0</v>
      </c>
      <c r="L2860">
        <v>0</v>
      </c>
      <c r="M2860" t="s">
        <v>48</v>
      </c>
    </row>
    <row r="2861" spans="1:13" hidden="1" x14ac:dyDescent="0.15">
      <c r="A2861" t="s">
        <v>9086</v>
      </c>
      <c r="B2861" t="s">
        <v>9087</v>
      </c>
      <c r="C2861" t="s">
        <v>9088</v>
      </c>
      <c r="D2861" t="s">
        <v>9085</v>
      </c>
      <c r="E2861">
        <v>1</v>
      </c>
      <c r="F2861" t="str">
        <f>HYPERLINK("https://github.com/vector-im/riot-android/issues/1347", "show")</f>
        <v>show</v>
      </c>
      <c r="G2861" t="str">
        <f>HYPERLINK("https://github.com/vector-im/riot-android", "show")</f>
        <v>show</v>
      </c>
      <c r="H2861" t="str">
        <f>HYPERLINK("https://github.com/vector-im/riot-android/releases", "show")</f>
        <v>show</v>
      </c>
      <c r="I2861">
        <v>1</v>
      </c>
      <c r="J2861">
        <v>1</v>
      </c>
      <c r="K2861">
        <v>0</v>
      </c>
      <c r="L2861">
        <v>0</v>
      </c>
      <c r="M2861" t="s">
        <v>48</v>
      </c>
    </row>
    <row r="2862" spans="1:13" hidden="1" x14ac:dyDescent="0.15">
      <c r="A2862" t="s">
        <v>9089</v>
      </c>
      <c r="B2862" t="s">
        <v>9090</v>
      </c>
      <c r="C2862" t="s">
        <v>9091</v>
      </c>
      <c r="D2862" t="s">
        <v>9085</v>
      </c>
      <c r="E2862">
        <v>0</v>
      </c>
      <c r="F2862" t="str">
        <f>HYPERLINK("https://github.com/ericcornelissen/NervousFish/issues/294", "show")</f>
        <v>show</v>
      </c>
      <c r="G2862" t="str">
        <f>HYPERLINK("https://github.com/ericcornelissen/NervousFish", "show")</f>
        <v>show</v>
      </c>
      <c r="H2862" t="str">
        <f>HYPERLINK("https://github.com/ericcornelissen/NervousFish/releases", "show")</f>
        <v>show</v>
      </c>
      <c r="I2862">
        <v>1</v>
      </c>
      <c r="J2862">
        <v>1</v>
      </c>
      <c r="K2862">
        <v>0</v>
      </c>
      <c r="L2862">
        <v>0</v>
      </c>
      <c r="M2862" t="s">
        <v>48</v>
      </c>
    </row>
    <row r="2863" spans="1:13" hidden="1" x14ac:dyDescent="0.15">
      <c r="A2863" t="s">
        <v>9092</v>
      </c>
      <c r="B2863" t="s">
        <v>9093</v>
      </c>
      <c r="C2863" t="s">
        <v>9094</v>
      </c>
      <c r="D2863" t="s">
        <v>9095</v>
      </c>
      <c r="E2863">
        <v>104</v>
      </c>
      <c r="F2863" t="str">
        <f>HYPERLINK("https://github.com/maks/MGit/issues/171", "show")</f>
        <v>show</v>
      </c>
      <c r="G2863" t="str">
        <f>HYPERLINK("https://github.com/maks/MGit", "show")</f>
        <v>show</v>
      </c>
      <c r="H2863" t="str">
        <f>HYPERLINK("https://github.com/maks/MGit/releases", "show")</f>
        <v>show</v>
      </c>
      <c r="I2863">
        <v>0</v>
      </c>
      <c r="J2863">
        <v>0</v>
      </c>
      <c r="K2863">
        <v>0</v>
      </c>
      <c r="L2863">
        <v>0</v>
      </c>
      <c r="M2863" t="s">
        <v>43</v>
      </c>
    </row>
    <row r="2864" spans="1:13" hidden="1" x14ac:dyDescent="0.15">
      <c r="A2864" t="s">
        <v>9096</v>
      </c>
      <c r="B2864" t="s">
        <v>9097</v>
      </c>
      <c r="C2864" t="s">
        <v>9098</v>
      </c>
      <c r="D2864" t="s">
        <v>9095</v>
      </c>
      <c r="E2864">
        <v>498</v>
      </c>
      <c r="F2864" t="str">
        <f>HYPERLINK("https://github.com/inaturalist/iNaturalistAndroid/issues/367", "show")</f>
        <v>show</v>
      </c>
      <c r="G2864" t="str">
        <f>HYPERLINK("https://github.com/inaturalist/iNaturalistAndroid", "show")</f>
        <v>show</v>
      </c>
      <c r="H2864" t="str">
        <f>HYPERLINK("https://github.com/inaturalist/iNaturalistAndroid/releases", "show")</f>
        <v>show</v>
      </c>
      <c r="I2864">
        <v>1</v>
      </c>
      <c r="J2864">
        <v>0</v>
      </c>
      <c r="K2864">
        <v>1</v>
      </c>
      <c r="L2864">
        <v>0</v>
      </c>
      <c r="M2864" t="s">
        <v>64</v>
      </c>
    </row>
    <row r="2865" spans="1:13" hidden="1" x14ac:dyDescent="0.15">
      <c r="A2865" t="s">
        <v>9099</v>
      </c>
      <c r="B2865" t="s">
        <v>9100</v>
      </c>
      <c r="C2865" t="s">
        <v>9101</v>
      </c>
      <c r="D2865" t="s">
        <v>9095</v>
      </c>
      <c r="E2865">
        <v>1</v>
      </c>
      <c r="F2865" t="str">
        <f>HYPERLINK("https://github.com/inaturalist/iNaturalistAndroid/issues/366", "show")</f>
        <v>show</v>
      </c>
      <c r="G2865" t="str">
        <f>HYPERLINK("https://github.com/inaturalist/iNaturalistAndroid", "show")</f>
        <v>show</v>
      </c>
      <c r="H2865" t="str">
        <f>HYPERLINK("https://github.com/inaturalist/iNaturalistAndroid/releases", "show")</f>
        <v>show</v>
      </c>
      <c r="I2865">
        <v>1</v>
      </c>
      <c r="J2865">
        <v>0</v>
      </c>
      <c r="K2865">
        <v>1</v>
      </c>
      <c r="L2865">
        <v>0</v>
      </c>
      <c r="M2865" t="s">
        <v>64</v>
      </c>
    </row>
    <row r="2866" spans="1:13" x14ac:dyDescent="0.15">
      <c r="A2866" t="s">
        <v>9102</v>
      </c>
      <c r="B2866" t="s">
        <v>9103</v>
      </c>
      <c r="C2866" t="s">
        <v>9104</v>
      </c>
      <c r="D2866" t="s">
        <v>9095</v>
      </c>
      <c r="E2866">
        <v>83</v>
      </c>
      <c r="F2866" t="str">
        <f>HYPERLINK("https://github.com/sockeqwe/mosby/issues/256", "show")</f>
        <v>show</v>
      </c>
      <c r="G2866" t="str">
        <f>HYPERLINK("https://github.com/sockeqwe/mosby", "show")</f>
        <v>show</v>
      </c>
      <c r="H2866" t="str">
        <f>HYPERLINK("https://github.com/sockeqwe/mosby/releases", "show")</f>
        <v>show</v>
      </c>
      <c r="I2866">
        <v>0</v>
      </c>
      <c r="J2866">
        <v>1</v>
      </c>
      <c r="K2866">
        <v>0</v>
      </c>
      <c r="L2866">
        <v>0</v>
      </c>
      <c r="M2866" t="s">
        <v>139</v>
      </c>
    </row>
    <row r="2867" spans="1:13" hidden="1" x14ac:dyDescent="0.15">
      <c r="A2867" t="s">
        <v>9105</v>
      </c>
      <c r="B2867" t="s">
        <v>9106</v>
      </c>
      <c r="C2867" t="s">
        <v>9107</v>
      </c>
      <c r="D2867" t="s">
        <v>9095</v>
      </c>
      <c r="E2867">
        <v>1</v>
      </c>
      <c r="F2867" t="str">
        <f>HYPERLINK("https://github.com/fossasia/phimpme-android/issues/639", "show")</f>
        <v>show</v>
      </c>
      <c r="G2867" t="str">
        <f>HYPERLINK("https://github.com/fossasia/phimpme-android", "show")</f>
        <v>show</v>
      </c>
      <c r="H2867" t="str">
        <f>HYPERLINK("https://github.com/fossasia/phimpme-android/releases", "show")</f>
        <v>show</v>
      </c>
      <c r="I2867">
        <v>1</v>
      </c>
      <c r="J2867">
        <v>0</v>
      </c>
      <c r="K2867">
        <v>0</v>
      </c>
      <c r="L2867">
        <v>0</v>
      </c>
      <c r="M2867" t="s">
        <v>17</v>
      </c>
    </row>
    <row r="2868" spans="1:13" hidden="1" x14ac:dyDescent="0.15">
      <c r="A2868" t="s">
        <v>9108</v>
      </c>
      <c r="B2868" t="s">
        <v>9109</v>
      </c>
      <c r="C2868" t="s">
        <v>9110</v>
      </c>
      <c r="D2868" t="s">
        <v>9095</v>
      </c>
      <c r="E2868">
        <v>1</v>
      </c>
      <c r="F2868" t="str">
        <f>HYPERLINK("https://github.com/fossasia/phimpme-android/issues/638", "show")</f>
        <v>show</v>
      </c>
      <c r="G2868" t="str">
        <f>HYPERLINK("https://github.com/fossasia/phimpme-android", "show")</f>
        <v>show</v>
      </c>
      <c r="H2868" t="str">
        <f>HYPERLINK("https://github.com/fossasia/phimpme-android/releases", "show")</f>
        <v>show</v>
      </c>
      <c r="I2868">
        <v>1</v>
      </c>
      <c r="J2868">
        <v>1</v>
      </c>
      <c r="K2868">
        <v>0</v>
      </c>
      <c r="L2868">
        <v>0</v>
      </c>
      <c r="M2868" t="s">
        <v>48</v>
      </c>
    </row>
    <row r="2869" spans="1:13" hidden="1" x14ac:dyDescent="0.15">
      <c r="A2869" t="s">
        <v>9111</v>
      </c>
      <c r="B2869" t="s">
        <v>9112</v>
      </c>
      <c r="D2869" t="s">
        <v>9113</v>
      </c>
      <c r="E2869">
        <v>0</v>
      </c>
      <c r="F2869" t="str">
        <f>HYPERLINK("https://github.com/wahibhaq/urdu-font-comparator-app/issues/29", "show")</f>
        <v>show</v>
      </c>
      <c r="G2869" t="str">
        <f>HYPERLINK("https://github.com/wahibhaq/urdu-font-comparator-app", "show")</f>
        <v>show</v>
      </c>
      <c r="H2869" t="str">
        <f>HYPERLINK("https://github.com/wahibhaq/urdu-font-comparator-app/releases", "show")</f>
        <v>show</v>
      </c>
      <c r="I2869">
        <v>1</v>
      </c>
      <c r="J2869">
        <v>0</v>
      </c>
      <c r="K2869">
        <v>0</v>
      </c>
      <c r="L2869">
        <v>0</v>
      </c>
      <c r="M2869" t="s">
        <v>17</v>
      </c>
    </row>
    <row r="2870" spans="1:13" hidden="1" x14ac:dyDescent="0.15">
      <c r="A2870" t="s">
        <v>9114</v>
      </c>
      <c r="B2870" t="s">
        <v>6772</v>
      </c>
      <c r="D2870" t="s">
        <v>9113</v>
      </c>
      <c r="E2870">
        <v>216</v>
      </c>
      <c r="F2870" t="str">
        <f>HYPERLINK("https://github.com/7LPdWcaW/GrowTracker-Android/issues/53", "show")</f>
        <v>show</v>
      </c>
      <c r="G2870" t="str">
        <f>HYPERLINK("https://github.com/7LPdWcaW/GrowTracker-Android", "show")</f>
        <v>show</v>
      </c>
      <c r="H2870" t="str">
        <f>HYPERLINK("https://github.com/7LPdWcaW/GrowTracker-Android/releases", "show")</f>
        <v>show</v>
      </c>
      <c r="I2870">
        <v>1</v>
      </c>
      <c r="J2870">
        <v>0</v>
      </c>
      <c r="K2870">
        <v>0</v>
      </c>
      <c r="L2870">
        <v>0</v>
      </c>
      <c r="M2870" t="s">
        <v>17</v>
      </c>
    </row>
    <row r="2871" spans="1:13" hidden="1" x14ac:dyDescent="0.15">
      <c r="A2871" t="s">
        <v>9115</v>
      </c>
      <c r="B2871" t="s">
        <v>9116</v>
      </c>
      <c r="C2871" t="s">
        <v>9117</v>
      </c>
      <c r="D2871" t="s">
        <v>9113</v>
      </c>
      <c r="E2871">
        <v>2</v>
      </c>
      <c r="F2871" t="str">
        <f>HYPERLINK("https://github.com/getodk/collect/issues/1191", "show")</f>
        <v>show</v>
      </c>
      <c r="G2871" t="str">
        <f>HYPERLINK("https://github.com/getodk/collect", "show")</f>
        <v>show</v>
      </c>
      <c r="H2871" t="str">
        <f>HYPERLINK("https://github.com/getodk/collect/releases", "show")</f>
        <v>show</v>
      </c>
      <c r="I2871">
        <v>1</v>
      </c>
      <c r="J2871">
        <v>1</v>
      </c>
      <c r="K2871">
        <v>0</v>
      </c>
      <c r="L2871">
        <v>0</v>
      </c>
      <c r="M2871" t="s">
        <v>48</v>
      </c>
    </row>
    <row r="2872" spans="1:13" hidden="1" x14ac:dyDescent="0.15">
      <c r="A2872" t="s">
        <v>9118</v>
      </c>
      <c r="B2872" t="s">
        <v>9119</v>
      </c>
      <c r="C2872" t="s">
        <v>9120</v>
      </c>
      <c r="D2872" t="s">
        <v>9113</v>
      </c>
      <c r="E2872">
        <v>37</v>
      </c>
      <c r="F2872" t="str">
        <f>HYPERLINK("https://github.com/nextcloud/android/issues/1100", "show")</f>
        <v>show</v>
      </c>
      <c r="G2872" t="str">
        <f>HYPERLINK("https://github.com/nextcloud/android", "show")</f>
        <v>show</v>
      </c>
      <c r="H2872" t="str">
        <f>HYPERLINK("https://github.com/nextcloud/android/releases", "show")</f>
        <v>show</v>
      </c>
      <c r="I2872">
        <v>1</v>
      </c>
      <c r="J2872">
        <v>1</v>
      </c>
      <c r="K2872">
        <v>0</v>
      </c>
      <c r="L2872">
        <v>0</v>
      </c>
      <c r="M2872" t="s">
        <v>48</v>
      </c>
    </row>
    <row r="2873" spans="1:13" hidden="1" x14ac:dyDescent="0.15">
      <c r="A2873" t="s">
        <v>9121</v>
      </c>
      <c r="B2873" t="s">
        <v>9122</v>
      </c>
      <c r="C2873" t="s">
        <v>9123</v>
      </c>
      <c r="D2873" t="s">
        <v>9124</v>
      </c>
      <c r="E2873">
        <v>7</v>
      </c>
      <c r="F2873" t="str">
        <f>HYPERLINK("https://github.com/nextcloud/android/issues/1107", "show")</f>
        <v>show</v>
      </c>
      <c r="G2873" t="str">
        <f>HYPERLINK("https://github.com/nextcloud/android", "show")</f>
        <v>show</v>
      </c>
      <c r="H2873" t="str">
        <f>HYPERLINK("https://github.com/nextcloud/android/releases", "show")</f>
        <v>show</v>
      </c>
      <c r="I2873">
        <v>1</v>
      </c>
      <c r="J2873">
        <v>1</v>
      </c>
      <c r="K2873">
        <v>0</v>
      </c>
      <c r="L2873">
        <v>0</v>
      </c>
      <c r="M2873" t="s">
        <v>48</v>
      </c>
    </row>
    <row r="2874" spans="1:13" hidden="1" x14ac:dyDescent="0.15">
      <c r="A2874" t="s">
        <v>9125</v>
      </c>
      <c r="B2874" t="s">
        <v>9126</v>
      </c>
      <c r="C2874" t="s">
        <v>9127</v>
      </c>
      <c r="D2874" t="s">
        <v>9124</v>
      </c>
      <c r="E2874">
        <v>20</v>
      </c>
      <c r="F2874" t="str">
        <f>HYPERLINK("https://github.com/RestComm/restcomm-android-sdk/issues/621", "show")</f>
        <v>show</v>
      </c>
      <c r="G2874" t="str">
        <f>HYPERLINK("https://github.com/RestComm/restcomm-android-sdk", "show")</f>
        <v>show</v>
      </c>
      <c r="H2874" t="str">
        <f>HYPERLINK("https://github.com/RestComm/restcomm-android-sdk/releases", "show")</f>
        <v>show</v>
      </c>
      <c r="I2874">
        <v>1</v>
      </c>
      <c r="J2874">
        <v>1</v>
      </c>
      <c r="K2874">
        <v>1</v>
      </c>
      <c r="L2874">
        <v>0</v>
      </c>
      <c r="M2874" t="s">
        <v>59</v>
      </c>
    </row>
    <row r="2875" spans="1:13" hidden="1" x14ac:dyDescent="0.15">
      <c r="A2875" t="s">
        <v>9128</v>
      </c>
      <c r="B2875" t="s">
        <v>9129</v>
      </c>
      <c r="C2875" t="s">
        <v>9130</v>
      </c>
      <c r="D2875" t="s">
        <v>9124</v>
      </c>
      <c r="E2875">
        <v>62</v>
      </c>
      <c r="F2875" t="str">
        <f>HYPERLINK("https://github.com/twilio/video-quickstart-android/issues/126", "show")</f>
        <v>show</v>
      </c>
      <c r="G2875" t="str">
        <f>HYPERLINK("https://github.com/twilio/video-quickstart-android", "show")</f>
        <v>show</v>
      </c>
      <c r="H2875" t="str">
        <f>HYPERLINK("https://github.com/twilio/video-quickstart-android/releases", "show")</f>
        <v>show</v>
      </c>
      <c r="I2875">
        <v>0</v>
      </c>
      <c r="J2875">
        <v>0</v>
      </c>
      <c r="K2875">
        <v>1</v>
      </c>
      <c r="L2875">
        <v>0</v>
      </c>
      <c r="M2875" t="s">
        <v>122</v>
      </c>
    </row>
    <row r="2876" spans="1:13" hidden="1" x14ac:dyDescent="0.15">
      <c r="A2876" t="s">
        <v>9131</v>
      </c>
      <c r="B2876" t="s">
        <v>9132</v>
      </c>
      <c r="C2876" t="s">
        <v>9133</v>
      </c>
      <c r="D2876" t="s">
        <v>9134</v>
      </c>
      <c r="E2876">
        <v>484</v>
      </c>
      <c r="F2876" t="str">
        <f>HYPERLINK("https://github.com/nextcloud/android/issues/1123", "show")</f>
        <v>show</v>
      </c>
      <c r="G2876" t="str">
        <f>HYPERLINK("https://github.com/nextcloud/android", "show")</f>
        <v>show</v>
      </c>
      <c r="H2876" t="str">
        <f>HYPERLINK("https://github.com/nextcloud/android/releases", "show")</f>
        <v>show</v>
      </c>
      <c r="I2876">
        <v>1</v>
      </c>
      <c r="J2876">
        <v>1</v>
      </c>
      <c r="K2876">
        <v>0</v>
      </c>
      <c r="L2876">
        <v>0</v>
      </c>
      <c r="M2876" t="s">
        <v>48</v>
      </c>
    </row>
    <row r="2877" spans="1:13" hidden="1" x14ac:dyDescent="0.15">
      <c r="A2877" t="s">
        <v>9135</v>
      </c>
      <c r="B2877" t="s">
        <v>9136</v>
      </c>
      <c r="C2877" t="s">
        <v>9137</v>
      </c>
      <c r="D2877" t="s">
        <v>9134</v>
      </c>
      <c r="E2877">
        <v>124</v>
      </c>
      <c r="F2877" t="str">
        <f>HYPERLINK("https://github.com/project-travel-mate/Travel-Mate/issues/22", "show")</f>
        <v>show</v>
      </c>
      <c r="G2877" t="str">
        <f>HYPERLINK("https://github.com/project-travel-mate/Travel-Mate", "show")</f>
        <v>show</v>
      </c>
      <c r="H2877" t="str">
        <f>HYPERLINK("https://github.com/project-travel-mate/Travel-Mate/releases", "show")</f>
        <v>show</v>
      </c>
      <c r="I2877">
        <v>1</v>
      </c>
      <c r="J2877">
        <v>0</v>
      </c>
      <c r="K2877">
        <v>1</v>
      </c>
      <c r="L2877">
        <v>0</v>
      </c>
      <c r="M2877" t="s">
        <v>64</v>
      </c>
    </row>
    <row r="2878" spans="1:13" hidden="1" x14ac:dyDescent="0.15">
      <c r="A2878" t="s">
        <v>9138</v>
      </c>
      <c r="B2878" t="s">
        <v>9139</v>
      </c>
      <c r="D2878" t="s">
        <v>9140</v>
      </c>
      <c r="E2878">
        <v>0</v>
      </c>
      <c r="F2878" t="str">
        <f>HYPERLINK("https://github.com/fossasia/phimpme-android/issues/671", "show")</f>
        <v>show</v>
      </c>
      <c r="G2878" t="str">
        <f>HYPERLINK("https://github.com/fossasia/phimpme-android", "show")</f>
        <v>show</v>
      </c>
      <c r="H2878" t="str">
        <f>HYPERLINK("https://github.com/fossasia/phimpme-android/releases", "show")</f>
        <v>show</v>
      </c>
      <c r="I2878">
        <v>1</v>
      </c>
      <c r="J2878">
        <v>0</v>
      </c>
      <c r="K2878">
        <v>0</v>
      </c>
      <c r="L2878">
        <v>0</v>
      </c>
      <c r="M2878" t="s">
        <v>17</v>
      </c>
    </row>
    <row r="2879" spans="1:13" hidden="1" x14ac:dyDescent="0.15">
      <c r="A2879" t="s">
        <v>9141</v>
      </c>
      <c r="B2879" t="s">
        <v>9142</v>
      </c>
      <c r="C2879" t="s">
        <v>9143</v>
      </c>
      <c r="D2879" t="s">
        <v>9140</v>
      </c>
      <c r="E2879">
        <v>0</v>
      </c>
      <c r="F2879" t="str">
        <f>HYPERLINK("https://github.com/fossasia/phimpme-android/issues/670", "show")</f>
        <v>show</v>
      </c>
      <c r="G2879" t="str">
        <f>HYPERLINK("https://github.com/fossasia/phimpme-android", "show")</f>
        <v>show</v>
      </c>
      <c r="H2879" t="str">
        <f>HYPERLINK("https://github.com/fossasia/phimpme-android/releases", "show")</f>
        <v>show</v>
      </c>
      <c r="I2879">
        <v>1</v>
      </c>
      <c r="J2879">
        <v>1</v>
      </c>
      <c r="K2879">
        <v>0</v>
      </c>
      <c r="L2879">
        <v>0</v>
      </c>
      <c r="M2879" t="s">
        <v>48</v>
      </c>
    </row>
    <row r="2880" spans="1:13" hidden="1" x14ac:dyDescent="0.15">
      <c r="A2880" t="s">
        <v>9144</v>
      </c>
      <c r="B2880" t="s">
        <v>9145</v>
      </c>
      <c r="C2880" t="s">
        <v>504</v>
      </c>
      <c r="D2880" t="s">
        <v>9146</v>
      </c>
      <c r="E2880">
        <v>250</v>
      </c>
      <c r="F2880" t="str">
        <f>HYPERLINK("https://github.com/tanrabad/survey/issues/29", "show")</f>
        <v>show</v>
      </c>
      <c r="G2880" t="str">
        <f>HYPERLINK("https://github.com/tanrabad/survey", "show")</f>
        <v>show</v>
      </c>
      <c r="H2880" t="str">
        <f>HYPERLINK("https://github.com/tanrabad/survey/releases", "show")</f>
        <v>show</v>
      </c>
      <c r="I2880">
        <v>1</v>
      </c>
      <c r="J2880">
        <v>0</v>
      </c>
      <c r="K2880">
        <v>0</v>
      </c>
      <c r="L2880">
        <v>0</v>
      </c>
      <c r="M2880" t="s">
        <v>17</v>
      </c>
    </row>
    <row r="2881" spans="1:13" hidden="1" x14ac:dyDescent="0.15">
      <c r="A2881" t="s">
        <v>9147</v>
      </c>
      <c r="B2881" t="s">
        <v>9148</v>
      </c>
      <c r="C2881" t="s">
        <v>9149</v>
      </c>
      <c r="D2881" t="s">
        <v>9146</v>
      </c>
      <c r="E2881">
        <v>5</v>
      </c>
      <c r="F2881" t="str">
        <f>HYPERLINK("https://github.com/nextcloud/android/issues/1130", "show")</f>
        <v>show</v>
      </c>
      <c r="G2881" t="str">
        <f>HYPERLINK("https://github.com/nextcloud/android", "show")</f>
        <v>show</v>
      </c>
      <c r="H2881" t="str">
        <f>HYPERLINK("https://github.com/nextcloud/android/releases", "show")</f>
        <v>show</v>
      </c>
      <c r="I2881">
        <v>1</v>
      </c>
      <c r="J2881">
        <v>0</v>
      </c>
      <c r="K2881">
        <v>0</v>
      </c>
      <c r="L2881">
        <v>0</v>
      </c>
      <c r="M2881" t="s">
        <v>17</v>
      </c>
    </row>
    <row r="2882" spans="1:13" hidden="1" x14ac:dyDescent="0.15">
      <c r="A2882" t="s">
        <v>9150</v>
      </c>
      <c r="B2882" t="s">
        <v>9151</v>
      </c>
      <c r="C2882" t="s">
        <v>9152</v>
      </c>
      <c r="D2882" t="s">
        <v>9146</v>
      </c>
      <c r="E2882">
        <v>3</v>
      </c>
      <c r="F2882" t="str">
        <f>HYPERLINK("https://github.com/fossasia/pslab-android/issues/231", "show")</f>
        <v>show</v>
      </c>
      <c r="G2882" t="str">
        <f>HYPERLINK("https://github.com/fossasia/pslab-android", "show")</f>
        <v>show</v>
      </c>
      <c r="H2882" t="str">
        <f>HYPERLINK("https://github.com/fossasia/pslab-android/releases", "show")</f>
        <v>show</v>
      </c>
      <c r="I2882">
        <v>1</v>
      </c>
      <c r="J2882">
        <v>1</v>
      </c>
      <c r="K2882">
        <v>1</v>
      </c>
      <c r="L2882">
        <v>0</v>
      </c>
      <c r="M2882" t="s">
        <v>59</v>
      </c>
    </row>
    <row r="2883" spans="1:13" hidden="1" x14ac:dyDescent="0.15">
      <c r="A2883" t="s">
        <v>9153</v>
      </c>
      <c r="B2883" t="s">
        <v>9154</v>
      </c>
      <c r="C2883" t="s">
        <v>9155</v>
      </c>
      <c r="D2883" t="s">
        <v>9156</v>
      </c>
      <c r="E2883">
        <v>10</v>
      </c>
      <c r="F2883" t="str">
        <f>HYPERLINK("https://github.com/lingochamp/FileDownloader/issues/631", "show")</f>
        <v>show</v>
      </c>
      <c r="G2883" t="str">
        <f>HYPERLINK("https://github.com/lingochamp/FileDownloader", "show")</f>
        <v>show</v>
      </c>
      <c r="H2883" t="str">
        <f>HYPERLINK("https://github.com/lingochamp/FileDownloader/releases", "show")</f>
        <v>show</v>
      </c>
      <c r="I2883">
        <v>0</v>
      </c>
      <c r="J2883">
        <v>0</v>
      </c>
      <c r="K2883">
        <v>0</v>
      </c>
      <c r="L2883">
        <v>0</v>
      </c>
      <c r="M2883" t="s">
        <v>43</v>
      </c>
    </row>
    <row r="2884" spans="1:13" hidden="1" x14ac:dyDescent="0.15">
      <c r="A2884" t="s">
        <v>9157</v>
      </c>
      <c r="B2884" t="s">
        <v>9158</v>
      </c>
      <c r="D2884" t="s">
        <v>9159</v>
      </c>
      <c r="E2884">
        <v>6</v>
      </c>
      <c r="F2884" t="str">
        <f>HYPERLINK("https://github.com/LawnchairLauncher/lawnchair/issues/71", "show")</f>
        <v>show</v>
      </c>
      <c r="G2884" t="str">
        <f>HYPERLINK("https://github.com/LawnchairLauncher/lawnchair", "show")</f>
        <v>show</v>
      </c>
      <c r="H2884" t="str">
        <f>HYPERLINK("https://github.com/LawnchairLauncher/lawnchair/releases", "show")</f>
        <v>show</v>
      </c>
      <c r="I2884">
        <v>0</v>
      </c>
      <c r="J2884">
        <v>0</v>
      </c>
      <c r="K2884">
        <v>0</v>
      </c>
      <c r="L2884">
        <v>0</v>
      </c>
      <c r="M2884" t="s">
        <v>43</v>
      </c>
    </row>
    <row r="2885" spans="1:13" hidden="1" x14ac:dyDescent="0.15">
      <c r="A2885" t="s">
        <v>9160</v>
      </c>
      <c r="B2885" t="s">
        <v>9161</v>
      </c>
      <c r="D2885" t="s">
        <v>9159</v>
      </c>
      <c r="E2885">
        <v>1</v>
      </c>
      <c r="F2885" t="str">
        <f>HYPERLINK("https://github.com/Intelehealth/Android-Mobile-Client/issues/294", "show")</f>
        <v>show</v>
      </c>
      <c r="G2885" t="str">
        <f>HYPERLINK("https://github.com/Intelehealth/Android-Mobile-Client", "show")</f>
        <v>show</v>
      </c>
      <c r="H2885" t="str">
        <f>HYPERLINK("https://github.com/Intelehealth/Android-Mobile-Client/releases", "show")</f>
        <v>show</v>
      </c>
      <c r="I2885">
        <v>1</v>
      </c>
      <c r="J2885">
        <v>0</v>
      </c>
      <c r="K2885">
        <v>0</v>
      </c>
      <c r="L2885">
        <v>0</v>
      </c>
      <c r="M2885" t="s">
        <v>17</v>
      </c>
    </row>
    <row r="2886" spans="1:13" hidden="1" x14ac:dyDescent="0.15">
      <c r="A2886" t="s">
        <v>9162</v>
      </c>
      <c r="B2886" t="s">
        <v>9163</v>
      </c>
      <c r="C2886" t="s">
        <v>9164</v>
      </c>
      <c r="D2886" t="s">
        <v>9159</v>
      </c>
      <c r="E2886">
        <v>1196</v>
      </c>
      <c r="F2886" t="str">
        <f>HYPERLINK("https://github.com/k9mail/k-9/issues/2604", "show")</f>
        <v>show</v>
      </c>
      <c r="G2886" t="str">
        <f>HYPERLINK("https://github.com/k9mail/k-9", "show")</f>
        <v>show</v>
      </c>
      <c r="H2886" t="str">
        <f>HYPERLINK("https://github.com/k9mail/k-9/releases", "show")</f>
        <v>show</v>
      </c>
      <c r="I2886">
        <v>1</v>
      </c>
      <c r="J2886">
        <v>0</v>
      </c>
      <c r="K2886">
        <v>0</v>
      </c>
      <c r="L2886">
        <v>0</v>
      </c>
      <c r="M2886" t="s">
        <v>17</v>
      </c>
    </row>
    <row r="2887" spans="1:13" hidden="1" x14ac:dyDescent="0.15">
      <c r="A2887" t="s">
        <v>9165</v>
      </c>
      <c r="B2887" t="s">
        <v>9166</v>
      </c>
      <c r="C2887" t="s">
        <v>9167</v>
      </c>
      <c r="D2887" t="s">
        <v>9159</v>
      </c>
      <c r="E2887">
        <v>9</v>
      </c>
      <c r="F2887" t="str">
        <f>HYPERLINK("https://github.com/getodk/collect/issues/1206", "show")</f>
        <v>show</v>
      </c>
      <c r="G2887" t="str">
        <f>HYPERLINK("https://github.com/getodk/collect", "show")</f>
        <v>show</v>
      </c>
      <c r="H2887" t="str">
        <f>HYPERLINK("https://github.com/getodk/collect/releases", "show")</f>
        <v>show</v>
      </c>
      <c r="I2887">
        <v>1</v>
      </c>
      <c r="J2887">
        <v>0</v>
      </c>
      <c r="K2887">
        <v>1</v>
      </c>
      <c r="L2887">
        <v>0</v>
      </c>
      <c r="M2887" t="s">
        <v>64</v>
      </c>
    </row>
    <row r="2888" spans="1:13" hidden="1" x14ac:dyDescent="0.15">
      <c r="A2888" t="s">
        <v>9168</v>
      </c>
      <c r="B2888" t="s">
        <v>9169</v>
      </c>
      <c r="C2888" t="s">
        <v>9170</v>
      </c>
      <c r="D2888" t="s">
        <v>9171</v>
      </c>
      <c r="E2888">
        <v>36</v>
      </c>
      <c r="F2888" t="str">
        <f>HYPERLINK("https://github.com/searles/FractviewAndroid/issues/46", "show")</f>
        <v>show</v>
      </c>
      <c r="G2888" t="str">
        <f>HYPERLINK("https://github.com/searles/FractviewAndroid", "show")</f>
        <v>show</v>
      </c>
      <c r="H2888" t="str">
        <f>HYPERLINK("https://github.com/searles/FractviewAndroid/releases", "show")</f>
        <v>show</v>
      </c>
      <c r="I2888">
        <v>1</v>
      </c>
      <c r="J2888">
        <v>0</v>
      </c>
      <c r="K2888">
        <v>0</v>
      </c>
      <c r="L2888">
        <v>0</v>
      </c>
      <c r="M2888" t="s">
        <v>17</v>
      </c>
    </row>
    <row r="2889" spans="1:13" hidden="1" x14ac:dyDescent="0.15">
      <c r="A2889" t="s">
        <v>9172</v>
      </c>
      <c r="B2889" t="s">
        <v>9173</v>
      </c>
      <c r="C2889" t="s">
        <v>9174</v>
      </c>
      <c r="D2889" t="s">
        <v>9171</v>
      </c>
      <c r="E2889">
        <v>1</v>
      </c>
      <c r="F2889" t="str">
        <f>HYPERLINK("https://github.com/hendraanggrian/socialview/issues/10", "show")</f>
        <v>show</v>
      </c>
      <c r="G2889" t="str">
        <f>HYPERLINK("https://github.com/hendraanggrian/socialview", "show")</f>
        <v>show</v>
      </c>
      <c r="H2889" t="str">
        <f>HYPERLINK("https://github.com/hendraanggrian/socialview/releases", "show")</f>
        <v>show</v>
      </c>
      <c r="I2889">
        <v>1</v>
      </c>
      <c r="J2889">
        <v>0</v>
      </c>
      <c r="K2889">
        <v>1</v>
      </c>
      <c r="L2889">
        <v>0</v>
      </c>
      <c r="M2889" t="s">
        <v>64</v>
      </c>
    </row>
    <row r="2890" spans="1:13" hidden="1" x14ac:dyDescent="0.15">
      <c r="A2890" t="s">
        <v>9175</v>
      </c>
      <c r="B2890" t="s">
        <v>9176</v>
      </c>
      <c r="C2890" t="s">
        <v>9177</v>
      </c>
      <c r="D2890" t="s">
        <v>9171</v>
      </c>
      <c r="E2890">
        <v>6</v>
      </c>
      <c r="F2890" t="str">
        <f>HYPERLINK("https://github.com/HueToYou/ChatExchange-old/issues/5", "show")</f>
        <v>show</v>
      </c>
      <c r="G2890" t="str">
        <f>HYPERLINK("https://github.com/HueToYou/ChatExchange-old", "show")</f>
        <v>show</v>
      </c>
      <c r="H2890" t="str">
        <f>HYPERLINK("https://github.com/HueToYou/ChatExchange-old/releases", "show")</f>
        <v>show</v>
      </c>
      <c r="I2890">
        <v>0</v>
      </c>
      <c r="J2890">
        <v>0</v>
      </c>
      <c r="K2890">
        <v>0</v>
      </c>
      <c r="L2890">
        <v>0</v>
      </c>
      <c r="M2890" t="s">
        <v>43</v>
      </c>
    </row>
    <row r="2891" spans="1:13" hidden="1" x14ac:dyDescent="0.15">
      <c r="A2891" t="s">
        <v>9178</v>
      </c>
      <c r="B2891" t="s">
        <v>9179</v>
      </c>
      <c r="C2891" t="s">
        <v>9180</v>
      </c>
      <c r="D2891" t="s">
        <v>9171</v>
      </c>
      <c r="E2891">
        <v>1</v>
      </c>
      <c r="F2891" t="str">
        <f>HYPERLINK("https://github.com/wallabag/android-app/issues/580", "show")</f>
        <v>show</v>
      </c>
      <c r="G2891" t="str">
        <f>HYPERLINK("https://github.com/wallabag/android-app", "show")</f>
        <v>show</v>
      </c>
      <c r="H2891" t="str">
        <f>HYPERLINK("https://github.com/wallabag/android-app/releases", "show")</f>
        <v>show</v>
      </c>
      <c r="I2891">
        <v>1</v>
      </c>
      <c r="J2891">
        <v>0</v>
      </c>
      <c r="K2891">
        <v>0</v>
      </c>
      <c r="L2891">
        <v>0</v>
      </c>
      <c r="M2891" t="s">
        <v>17</v>
      </c>
    </row>
    <row r="2892" spans="1:13" hidden="1" x14ac:dyDescent="0.15">
      <c r="A2892" t="s">
        <v>9181</v>
      </c>
      <c r="B2892" t="s">
        <v>9182</v>
      </c>
      <c r="C2892" t="s">
        <v>9183</v>
      </c>
      <c r="D2892" t="s">
        <v>9184</v>
      </c>
      <c r="E2892">
        <v>18</v>
      </c>
      <c r="F2892" t="str">
        <f>HYPERLINK("https://github.com/RestComm/restcomm-android-sdk/issues/634", "show")</f>
        <v>show</v>
      </c>
      <c r="G2892" t="str">
        <f>HYPERLINK("https://github.com/RestComm/restcomm-android-sdk", "show")</f>
        <v>show</v>
      </c>
      <c r="H2892" t="str">
        <f>HYPERLINK("https://github.com/RestComm/restcomm-android-sdk/releases", "show")</f>
        <v>show</v>
      </c>
      <c r="I2892">
        <v>1</v>
      </c>
      <c r="J2892">
        <v>1</v>
      </c>
      <c r="K2892">
        <v>0</v>
      </c>
      <c r="L2892">
        <v>0</v>
      </c>
      <c r="M2892" t="s">
        <v>48</v>
      </c>
    </row>
    <row r="2893" spans="1:13" hidden="1" x14ac:dyDescent="0.15">
      <c r="A2893" t="s">
        <v>9185</v>
      </c>
      <c r="B2893" t="s">
        <v>9186</v>
      </c>
      <c r="C2893" t="s">
        <v>9187</v>
      </c>
      <c r="D2893" t="s">
        <v>9184</v>
      </c>
      <c r="E2893">
        <v>0</v>
      </c>
      <c r="F2893" t="str">
        <f>HYPERLINK("https://github.com/novoda/no-player/issues/61", "show")</f>
        <v>show</v>
      </c>
      <c r="G2893" t="str">
        <f>HYPERLINK("https://github.com/novoda/no-player", "show")</f>
        <v>show</v>
      </c>
      <c r="H2893" t="str">
        <f>HYPERLINK("https://github.com/novoda/no-player/releases", "show")</f>
        <v>show</v>
      </c>
      <c r="I2893">
        <v>1</v>
      </c>
      <c r="J2893">
        <v>0</v>
      </c>
      <c r="K2893">
        <v>0</v>
      </c>
      <c r="L2893">
        <v>0</v>
      </c>
      <c r="M2893" t="s">
        <v>17</v>
      </c>
    </row>
    <row r="2894" spans="1:13" hidden="1" x14ac:dyDescent="0.15">
      <c r="A2894" t="s">
        <v>9188</v>
      </c>
      <c r="B2894" t="s">
        <v>9189</v>
      </c>
      <c r="C2894" t="s">
        <v>9190</v>
      </c>
      <c r="D2894" t="s">
        <v>9184</v>
      </c>
      <c r="E2894">
        <v>4</v>
      </c>
      <c r="F2894" t="str">
        <f>HYPERLINK("https://github.com/fossasia/phimpme-android/issues/689", "show")</f>
        <v>show</v>
      </c>
      <c r="G2894" t="str">
        <f>HYPERLINK("https://github.com/fossasia/phimpme-android", "show")</f>
        <v>show</v>
      </c>
      <c r="H2894" t="str">
        <f>HYPERLINK("https://github.com/fossasia/phimpme-android/releases", "show")</f>
        <v>show</v>
      </c>
      <c r="I2894">
        <v>1</v>
      </c>
      <c r="J2894">
        <v>1</v>
      </c>
      <c r="K2894">
        <v>0</v>
      </c>
      <c r="L2894">
        <v>0</v>
      </c>
      <c r="M2894" t="s">
        <v>48</v>
      </c>
    </row>
    <row r="2895" spans="1:13" hidden="1" x14ac:dyDescent="0.15">
      <c r="A2895" t="s">
        <v>9191</v>
      </c>
      <c r="B2895" t="s">
        <v>9192</v>
      </c>
      <c r="C2895" t="s">
        <v>9193</v>
      </c>
      <c r="D2895" t="s">
        <v>9184</v>
      </c>
      <c r="E2895">
        <v>0</v>
      </c>
      <c r="F2895" t="str">
        <f>HYPERLINK("https://github.com/novoda/merlin/issues/134", "show")</f>
        <v>show</v>
      </c>
      <c r="G2895" t="str">
        <f>HYPERLINK("https://github.com/novoda/merlin", "show")</f>
        <v>show</v>
      </c>
      <c r="H2895" t="str">
        <f>HYPERLINK("https://github.com/novoda/merlin/releases", "show")</f>
        <v>show</v>
      </c>
      <c r="I2895">
        <v>0</v>
      </c>
      <c r="J2895">
        <v>0</v>
      </c>
      <c r="K2895">
        <v>0</v>
      </c>
      <c r="L2895">
        <v>0</v>
      </c>
      <c r="M2895" t="s">
        <v>43</v>
      </c>
    </row>
    <row r="2896" spans="1:13" hidden="1" x14ac:dyDescent="0.15">
      <c r="A2896" t="s">
        <v>9194</v>
      </c>
      <c r="B2896" t="s">
        <v>9195</v>
      </c>
      <c r="C2896" t="s">
        <v>9196</v>
      </c>
      <c r="D2896" t="s">
        <v>9184</v>
      </c>
      <c r="E2896">
        <v>88</v>
      </c>
      <c r="F2896" t="str">
        <f>HYPERLINK("https://github.com/square/okhttp/issues/3438", "show")</f>
        <v>show</v>
      </c>
      <c r="G2896" t="str">
        <f>HYPERLINK("https://github.com/square/okhttp", "show")</f>
        <v>show</v>
      </c>
      <c r="H2896" t="str">
        <f>HYPERLINK("https://github.com/square/okhttp/releases", "show")</f>
        <v>show</v>
      </c>
      <c r="I2896">
        <v>0</v>
      </c>
      <c r="J2896">
        <v>0</v>
      </c>
      <c r="K2896">
        <v>1</v>
      </c>
      <c r="L2896">
        <v>0</v>
      </c>
      <c r="M2896" t="s">
        <v>122</v>
      </c>
    </row>
    <row r="2897" spans="1:13" hidden="1" x14ac:dyDescent="0.15">
      <c r="A2897" t="s">
        <v>9197</v>
      </c>
      <c r="B2897" t="s">
        <v>9198</v>
      </c>
      <c r="D2897" t="s">
        <v>9184</v>
      </c>
      <c r="E2897">
        <v>1</v>
      </c>
      <c r="F2897" t="str">
        <f>HYPERLINK("https://github.com/Intelehealth/Android-Mobile-Client/issues/305", "show")</f>
        <v>show</v>
      </c>
      <c r="G2897" t="str">
        <f>HYPERLINK("https://github.com/Intelehealth/Android-Mobile-Client", "show")</f>
        <v>show</v>
      </c>
      <c r="H2897" t="str">
        <f>HYPERLINK("https://github.com/Intelehealth/Android-Mobile-Client/releases", "show")</f>
        <v>show</v>
      </c>
      <c r="I2897">
        <v>0</v>
      </c>
      <c r="J2897">
        <v>0</v>
      </c>
      <c r="K2897">
        <v>0</v>
      </c>
      <c r="L2897">
        <v>0</v>
      </c>
      <c r="M2897" t="s">
        <v>43</v>
      </c>
    </row>
    <row r="2898" spans="1:13" hidden="1" x14ac:dyDescent="0.15">
      <c r="A2898" t="s">
        <v>9199</v>
      </c>
      <c r="B2898" t="s">
        <v>9200</v>
      </c>
      <c r="C2898" t="s">
        <v>9201</v>
      </c>
      <c r="D2898" t="s">
        <v>9184</v>
      </c>
      <c r="E2898">
        <v>1</v>
      </c>
      <c r="F2898" t="str">
        <f>HYPERLINK("https://github.com/fossasia/pslab-android/issues/248", "show")</f>
        <v>show</v>
      </c>
      <c r="G2898" t="str">
        <f>HYPERLINK("https://github.com/fossasia/pslab-android", "show")</f>
        <v>show</v>
      </c>
      <c r="H2898" t="str">
        <f>HYPERLINK("https://github.com/fossasia/pslab-android/releases", "show")</f>
        <v>show</v>
      </c>
      <c r="I2898">
        <v>1</v>
      </c>
      <c r="J2898">
        <v>1</v>
      </c>
      <c r="K2898">
        <v>1</v>
      </c>
      <c r="L2898">
        <v>1</v>
      </c>
      <c r="M2898" t="s">
        <v>2875</v>
      </c>
    </row>
    <row r="2899" spans="1:13" hidden="1" x14ac:dyDescent="0.15">
      <c r="A2899" t="s">
        <v>9202</v>
      </c>
      <c r="B2899" t="s">
        <v>9203</v>
      </c>
      <c r="C2899" t="s">
        <v>9204</v>
      </c>
      <c r="D2899" t="s">
        <v>9205</v>
      </c>
      <c r="E2899">
        <v>23</v>
      </c>
      <c r="F2899" t="str">
        <f>HYPERLINK("https://github.com/eltos/SimpleDialogFragments/issues/12", "show")</f>
        <v>show</v>
      </c>
      <c r="G2899" t="str">
        <f>HYPERLINK("https://github.com/eltos/SimpleDialogFragments", "show")</f>
        <v>show</v>
      </c>
      <c r="H2899" t="str">
        <f>HYPERLINK("https://github.com/eltos/SimpleDialogFragments/releases", "show")</f>
        <v>show</v>
      </c>
      <c r="I2899">
        <v>0</v>
      </c>
      <c r="J2899">
        <v>0</v>
      </c>
      <c r="K2899">
        <v>0</v>
      </c>
      <c r="L2899">
        <v>0</v>
      </c>
      <c r="M2899" t="s">
        <v>43</v>
      </c>
    </row>
    <row r="2900" spans="1:13" hidden="1" x14ac:dyDescent="0.15">
      <c r="A2900" t="s">
        <v>9206</v>
      </c>
      <c r="B2900" t="s">
        <v>9207</v>
      </c>
      <c r="C2900" t="s">
        <v>9208</v>
      </c>
      <c r="D2900" t="s">
        <v>9205</v>
      </c>
      <c r="E2900">
        <v>10</v>
      </c>
      <c r="F2900" t="str">
        <f>HYPERLINK("https://github.com/fekracomputers/IslamicLibraryAndroid/issues/29", "show")</f>
        <v>show</v>
      </c>
      <c r="G2900" t="str">
        <f>HYPERLINK("https://github.com/fekracomputers/IslamicLibraryAndroid", "show")</f>
        <v>show</v>
      </c>
      <c r="H2900" t="str">
        <f>HYPERLINK("https://github.com/fekracomputers/IslamicLibraryAndroid/releases", "show")</f>
        <v>show</v>
      </c>
      <c r="I2900">
        <v>1</v>
      </c>
      <c r="J2900">
        <v>0</v>
      </c>
      <c r="K2900">
        <v>0</v>
      </c>
      <c r="L2900">
        <v>0</v>
      </c>
      <c r="M2900" t="s">
        <v>17</v>
      </c>
    </row>
    <row r="2901" spans="1:13" hidden="1" x14ac:dyDescent="0.15">
      <c r="A2901" t="s">
        <v>9209</v>
      </c>
      <c r="B2901" t="s">
        <v>9210</v>
      </c>
      <c r="C2901" t="s">
        <v>9211</v>
      </c>
      <c r="D2901" t="s">
        <v>9212</v>
      </c>
      <c r="E2901">
        <v>61</v>
      </c>
      <c r="F2901" t="str">
        <f>HYPERLINK("https://github.com/gelin/weather-notification/issues/45", "show")</f>
        <v>show</v>
      </c>
      <c r="G2901" t="str">
        <f>HYPERLINK("https://github.com/gelin/weather-notification", "show")</f>
        <v>show</v>
      </c>
      <c r="H2901" t="str">
        <f>HYPERLINK("https://github.com/gelin/weather-notification/releases", "show")</f>
        <v>show</v>
      </c>
      <c r="I2901">
        <v>1</v>
      </c>
      <c r="J2901">
        <v>0</v>
      </c>
      <c r="K2901">
        <v>0</v>
      </c>
      <c r="L2901">
        <v>0</v>
      </c>
      <c r="M2901" t="s">
        <v>17</v>
      </c>
    </row>
    <row r="2902" spans="1:13" hidden="1" x14ac:dyDescent="0.15">
      <c r="A2902" t="s">
        <v>9213</v>
      </c>
      <c r="B2902" t="s">
        <v>9214</v>
      </c>
      <c r="C2902" t="s">
        <v>9215</v>
      </c>
      <c r="D2902" t="s">
        <v>9212</v>
      </c>
      <c r="E2902">
        <v>0</v>
      </c>
      <c r="F2902" t="str">
        <f>HYPERLINK("https://github.com/hyperrail/hyperrail-for-android/issues/40", "show")</f>
        <v>show</v>
      </c>
      <c r="G2902" t="str">
        <f>HYPERLINK("https://github.com/hyperrail/hyperrail-for-android", "show")</f>
        <v>show</v>
      </c>
      <c r="H2902" t="str">
        <f>HYPERLINK("https://github.com/hyperrail/hyperrail-for-android/releases", "show")</f>
        <v>show</v>
      </c>
      <c r="I2902">
        <v>1</v>
      </c>
      <c r="J2902">
        <v>0</v>
      </c>
      <c r="K2902">
        <v>0</v>
      </c>
      <c r="L2902">
        <v>0</v>
      </c>
      <c r="M2902" t="s">
        <v>17</v>
      </c>
    </row>
    <row r="2903" spans="1:13" hidden="1" x14ac:dyDescent="0.15">
      <c r="A2903" t="s">
        <v>9216</v>
      </c>
      <c r="B2903" t="s">
        <v>9217</v>
      </c>
      <c r="C2903" t="s">
        <v>9218</v>
      </c>
      <c r="D2903" t="s">
        <v>9219</v>
      </c>
      <c r="E2903">
        <v>184</v>
      </c>
      <c r="F2903" t="str">
        <f>HYPERLINK("https://github.com/dhbw-timetable/dhbw-timetable-android/issues/41", "show")</f>
        <v>show</v>
      </c>
      <c r="G2903" t="str">
        <f>HYPERLINK("https://github.com/dhbw-timetable/dhbw-timetable-android", "show")</f>
        <v>show</v>
      </c>
      <c r="H2903" t="str">
        <f>HYPERLINK("https://github.com/dhbw-timetable/dhbw-timetable-android/releases", "show")</f>
        <v>show</v>
      </c>
      <c r="I2903">
        <v>1</v>
      </c>
      <c r="J2903">
        <v>0</v>
      </c>
      <c r="K2903">
        <v>0</v>
      </c>
      <c r="L2903">
        <v>0</v>
      </c>
      <c r="M2903" t="s">
        <v>17</v>
      </c>
    </row>
    <row r="2904" spans="1:13" hidden="1" x14ac:dyDescent="0.15">
      <c r="A2904" t="s">
        <v>9220</v>
      </c>
      <c r="B2904" t="s">
        <v>9221</v>
      </c>
      <c r="D2904" t="s">
        <v>9219</v>
      </c>
      <c r="E2904">
        <v>1</v>
      </c>
      <c r="F2904" t="str">
        <f>HYPERLINK("https://github.com/maxneaga/open_dash_cam_android/issues/1", "show")</f>
        <v>show</v>
      </c>
      <c r="G2904" t="str">
        <f>HYPERLINK("https://github.com/maxneaga/open_dash_cam_android", "show")</f>
        <v>show</v>
      </c>
      <c r="H2904" t="str">
        <f>HYPERLINK("https://github.com/maxneaga/open_dash_cam_android/releases", "show")</f>
        <v>show</v>
      </c>
      <c r="I2904">
        <v>1</v>
      </c>
      <c r="J2904">
        <v>0</v>
      </c>
      <c r="K2904">
        <v>0</v>
      </c>
      <c r="L2904">
        <v>0</v>
      </c>
      <c r="M2904" t="s">
        <v>17</v>
      </c>
    </row>
    <row r="2905" spans="1:13" hidden="1" x14ac:dyDescent="0.15">
      <c r="A2905" t="s">
        <v>9222</v>
      </c>
      <c r="B2905" t="s">
        <v>9223</v>
      </c>
      <c r="C2905" t="s">
        <v>9224</v>
      </c>
      <c r="D2905" t="s">
        <v>9225</v>
      </c>
      <c r="E2905">
        <v>70</v>
      </c>
      <c r="F2905" t="str">
        <f>HYPERLINK("https://github.com/Nightonke/BoomMenu/issues/134", "show")</f>
        <v>show</v>
      </c>
      <c r="G2905" t="str">
        <f>HYPERLINK("https://github.com/Nightonke/BoomMenu", "show")</f>
        <v>show</v>
      </c>
      <c r="H2905" t="str">
        <f>HYPERLINK("https://github.com/Nightonke/BoomMenu/releases", "show")</f>
        <v>show</v>
      </c>
      <c r="I2905">
        <v>1</v>
      </c>
      <c r="J2905">
        <v>0</v>
      </c>
      <c r="K2905">
        <v>1</v>
      </c>
      <c r="L2905">
        <v>0</v>
      </c>
      <c r="M2905" t="s">
        <v>64</v>
      </c>
    </row>
    <row r="2906" spans="1:13" hidden="1" x14ac:dyDescent="0.15">
      <c r="A2906" t="s">
        <v>9226</v>
      </c>
      <c r="B2906" t="s">
        <v>9227</v>
      </c>
      <c r="C2906" t="s">
        <v>9228</v>
      </c>
      <c r="D2906" t="s">
        <v>9225</v>
      </c>
      <c r="E2906">
        <v>0</v>
      </c>
      <c r="F2906" t="str">
        <f>HYPERLINK("https://github.com/fenimore/DemocracyDroid/issues/30", "show")</f>
        <v>show</v>
      </c>
      <c r="G2906" t="str">
        <f>HYPERLINK("https://github.com/fenimore/DemocracyDroid", "show")</f>
        <v>show</v>
      </c>
      <c r="H2906" t="str">
        <f>HYPERLINK("https://github.com/fenimore/DemocracyDroid/releases", "show")</f>
        <v>show</v>
      </c>
      <c r="I2906">
        <v>0</v>
      </c>
      <c r="J2906">
        <v>0</v>
      </c>
      <c r="K2906">
        <v>0</v>
      </c>
      <c r="L2906">
        <v>0</v>
      </c>
      <c r="M2906" t="s">
        <v>43</v>
      </c>
    </row>
    <row r="2907" spans="1:13" hidden="1" x14ac:dyDescent="0.15">
      <c r="A2907" t="s">
        <v>9229</v>
      </c>
      <c r="B2907" t="s">
        <v>9230</v>
      </c>
      <c r="C2907" t="s">
        <v>9231</v>
      </c>
      <c r="D2907" t="s">
        <v>9225</v>
      </c>
      <c r="E2907">
        <v>0</v>
      </c>
      <c r="F2907" t="str">
        <f>HYPERLINK("https://github.com/vector-im/riot-android/issues/1398", "show")</f>
        <v>show</v>
      </c>
      <c r="G2907" t="str">
        <f>HYPERLINK("https://github.com/vector-im/riot-android", "show")</f>
        <v>show</v>
      </c>
      <c r="H2907" t="str">
        <f>HYPERLINK("https://github.com/vector-im/riot-android/releases", "show")</f>
        <v>show</v>
      </c>
      <c r="I2907">
        <v>1</v>
      </c>
      <c r="J2907">
        <v>0</v>
      </c>
      <c r="K2907">
        <v>0</v>
      </c>
      <c r="L2907">
        <v>0</v>
      </c>
      <c r="M2907" t="s">
        <v>17</v>
      </c>
    </row>
    <row r="2908" spans="1:13" hidden="1" x14ac:dyDescent="0.15">
      <c r="A2908" t="s">
        <v>9232</v>
      </c>
      <c r="B2908" t="s">
        <v>9233</v>
      </c>
      <c r="D2908" t="s">
        <v>9225</v>
      </c>
      <c r="E2908">
        <v>0</v>
      </c>
      <c r="F2908" t="str">
        <f>HYPERLINK("https://github.com/vector-im/riot-android/issues/1396", "show")</f>
        <v>show</v>
      </c>
      <c r="G2908" t="str">
        <f>HYPERLINK("https://github.com/vector-im/riot-android", "show")</f>
        <v>show</v>
      </c>
      <c r="H2908" t="str">
        <f>HYPERLINK("https://github.com/vector-im/riot-android/releases", "show")</f>
        <v>show</v>
      </c>
      <c r="I2908">
        <v>1</v>
      </c>
      <c r="J2908">
        <v>0</v>
      </c>
      <c r="K2908">
        <v>0</v>
      </c>
      <c r="L2908">
        <v>0</v>
      </c>
      <c r="M2908" t="s">
        <v>17</v>
      </c>
    </row>
    <row r="2909" spans="1:13" hidden="1" x14ac:dyDescent="0.15">
      <c r="A2909" t="s">
        <v>9234</v>
      </c>
      <c r="B2909" t="s">
        <v>9235</v>
      </c>
      <c r="C2909" t="s">
        <v>9236</v>
      </c>
      <c r="D2909" t="s">
        <v>9225</v>
      </c>
      <c r="E2909">
        <v>0</v>
      </c>
      <c r="F2909" t="str">
        <f>HYPERLINK("https://github.com/commons-app/apps-android-commons/issues/758", "show")</f>
        <v>show</v>
      </c>
      <c r="G2909" t="str">
        <f>HYPERLINK("https://github.com/commons-app/apps-android-commons", "show")</f>
        <v>show</v>
      </c>
      <c r="H2909" t="str">
        <f>HYPERLINK("https://github.com/commons-app/apps-android-commons/releases", "show")</f>
        <v>show</v>
      </c>
      <c r="I2909">
        <v>1</v>
      </c>
      <c r="J2909">
        <v>1</v>
      </c>
      <c r="K2909">
        <v>1</v>
      </c>
      <c r="L2909">
        <v>0</v>
      </c>
      <c r="M2909" t="s">
        <v>59</v>
      </c>
    </row>
    <row r="2910" spans="1:13" hidden="1" x14ac:dyDescent="0.15">
      <c r="A2910" t="s">
        <v>9237</v>
      </c>
      <c r="B2910" t="s">
        <v>9238</v>
      </c>
      <c r="C2910" t="s">
        <v>9239</v>
      </c>
      <c r="D2910" t="s">
        <v>9240</v>
      </c>
      <c r="E2910">
        <v>1</v>
      </c>
      <c r="F2910" t="str">
        <f>HYPERLINK("https://github.com/LawnchairLauncher/lawnchair/issues/122", "show")</f>
        <v>show</v>
      </c>
      <c r="G2910" t="str">
        <f>HYPERLINK("https://github.com/LawnchairLauncher/lawnchair", "show")</f>
        <v>show</v>
      </c>
      <c r="H2910" t="str">
        <f>HYPERLINK("https://github.com/LawnchairLauncher/lawnchair/releases", "show")</f>
        <v>show</v>
      </c>
      <c r="I2910">
        <v>1</v>
      </c>
      <c r="J2910">
        <v>0</v>
      </c>
      <c r="K2910">
        <v>0</v>
      </c>
      <c r="L2910">
        <v>0</v>
      </c>
      <c r="M2910" t="s">
        <v>17</v>
      </c>
    </row>
    <row r="2911" spans="1:13" hidden="1" x14ac:dyDescent="0.15">
      <c r="A2911" t="s">
        <v>9241</v>
      </c>
      <c r="B2911" t="s">
        <v>9242</v>
      </c>
      <c r="C2911" t="s">
        <v>9243</v>
      </c>
      <c r="D2911" t="s">
        <v>9240</v>
      </c>
      <c r="E2911">
        <v>1</v>
      </c>
      <c r="F2911" t="str">
        <f>HYPERLINK("https://github.com/twilio/mobile-sdk-sample-android/issues/3", "show")</f>
        <v>show</v>
      </c>
      <c r="G2911" t="str">
        <f>HYPERLINK("https://github.com/twilio/mobile-sdk-sample-android", "show")</f>
        <v>show</v>
      </c>
      <c r="H2911" t="str">
        <f>HYPERLINK("https://github.com/twilio/mobile-sdk-sample-android/releases", "show")</f>
        <v>show</v>
      </c>
      <c r="I2911">
        <v>0</v>
      </c>
      <c r="J2911">
        <v>0</v>
      </c>
      <c r="K2911">
        <v>1</v>
      </c>
      <c r="L2911">
        <v>0</v>
      </c>
      <c r="M2911" t="s">
        <v>122</v>
      </c>
    </row>
    <row r="2912" spans="1:13" x14ac:dyDescent="0.15">
      <c r="A2912" t="s">
        <v>9244</v>
      </c>
      <c r="B2912" t="s">
        <v>9245</v>
      </c>
      <c r="C2912" t="s">
        <v>9246</v>
      </c>
      <c r="D2912" t="s">
        <v>9240</v>
      </c>
      <c r="E2912">
        <v>1</v>
      </c>
      <c r="F2912" t="str">
        <f>HYPERLINK("https://github.com/LawnchairLauncher/lawnchair/issues/121", "show")</f>
        <v>show</v>
      </c>
      <c r="G2912" t="str">
        <f>HYPERLINK("https://github.com/LawnchairLauncher/lawnchair", "show")</f>
        <v>show</v>
      </c>
      <c r="H2912" t="str">
        <f>HYPERLINK("https://github.com/LawnchairLauncher/lawnchair/releases", "show")</f>
        <v>show</v>
      </c>
      <c r="I2912">
        <v>0</v>
      </c>
      <c r="J2912">
        <v>1</v>
      </c>
      <c r="K2912">
        <v>0</v>
      </c>
      <c r="L2912">
        <v>0</v>
      </c>
      <c r="M2912" t="s">
        <v>139</v>
      </c>
    </row>
    <row r="2913" spans="1:13" hidden="1" x14ac:dyDescent="0.15">
      <c r="A2913" t="s">
        <v>9247</v>
      </c>
      <c r="B2913" t="s">
        <v>9248</v>
      </c>
      <c r="C2913" t="s">
        <v>9249</v>
      </c>
      <c r="D2913" t="s">
        <v>9240</v>
      </c>
      <c r="E2913">
        <v>704</v>
      </c>
      <c r="F2913" t="str">
        <f>HYPERLINK("https://github.com/react-native-camera/react-native-camera/issues/774", "show")</f>
        <v>show</v>
      </c>
      <c r="G2913" t="str">
        <f>HYPERLINK("https://github.com/react-native-camera/react-native-camera", "show")</f>
        <v>show</v>
      </c>
      <c r="H2913" t="str">
        <f>HYPERLINK("https://github.com/react-native-camera/react-native-camera/releases", "show")</f>
        <v>show</v>
      </c>
      <c r="I2913">
        <v>1</v>
      </c>
      <c r="J2913">
        <v>0</v>
      </c>
      <c r="K2913">
        <v>0</v>
      </c>
      <c r="L2913">
        <v>0</v>
      </c>
      <c r="M2913" t="s">
        <v>17</v>
      </c>
    </row>
    <row r="2914" spans="1:13" hidden="1" x14ac:dyDescent="0.15">
      <c r="A2914" t="s">
        <v>9250</v>
      </c>
      <c r="B2914" t="s">
        <v>9251</v>
      </c>
      <c r="C2914" t="s">
        <v>9252</v>
      </c>
      <c r="D2914" t="s">
        <v>9240</v>
      </c>
      <c r="E2914">
        <v>7</v>
      </c>
      <c r="F2914" t="str">
        <f>HYPERLINK("https://github.com/nextcloud/android/issues/1161", "show")</f>
        <v>show</v>
      </c>
      <c r="G2914" t="str">
        <f>HYPERLINK("https://github.com/nextcloud/android", "show")</f>
        <v>show</v>
      </c>
      <c r="H2914" t="str">
        <f>HYPERLINK("https://github.com/nextcloud/android/releases", "show")</f>
        <v>show</v>
      </c>
      <c r="I2914">
        <v>0</v>
      </c>
      <c r="J2914">
        <v>0</v>
      </c>
      <c r="K2914">
        <v>0</v>
      </c>
      <c r="L2914">
        <v>0</v>
      </c>
      <c r="M2914" t="s">
        <v>43</v>
      </c>
    </row>
    <row r="2915" spans="1:13" hidden="1" x14ac:dyDescent="0.15">
      <c r="A2915" t="s">
        <v>9253</v>
      </c>
      <c r="B2915" t="s">
        <v>9254</v>
      </c>
      <c r="C2915" t="s">
        <v>9255</v>
      </c>
      <c r="D2915" t="s">
        <v>9256</v>
      </c>
      <c r="E2915">
        <v>0</v>
      </c>
      <c r="F2915" t="str">
        <f>HYPERLINK("https://github.com/wiglenet/wigle-wifi-wardriving/issues/149", "show")</f>
        <v>show</v>
      </c>
      <c r="G2915" t="str">
        <f>HYPERLINK("https://github.com/wiglenet/wigle-wifi-wardriving", "show")</f>
        <v>show</v>
      </c>
      <c r="H2915" t="str">
        <f>HYPERLINK("https://github.com/wiglenet/wigle-wifi-wardriving/releases", "show")</f>
        <v>show</v>
      </c>
      <c r="I2915">
        <v>0</v>
      </c>
      <c r="J2915">
        <v>0</v>
      </c>
      <c r="K2915">
        <v>0</v>
      </c>
      <c r="L2915">
        <v>0</v>
      </c>
      <c r="M2915" t="s">
        <v>43</v>
      </c>
    </row>
    <row r="2916" spans="1:13" hidden="1" x14ac:dyDescent="0.15">
      <c r="A2916" t="s">
        <v>9257</v>
      </c>
      <c r="B2916" t="s">
        <v>9258</v>
      </c>
      <c r="C2916" t="s">
        <v>9259</v>
      </c>
      <c r="D2916" t="s">
        <v>9256</v>
      </c>
      <c r="E2916">
        <v>620</v>
      </c>
      <c r="F2916" t="str">
        <f>HYPERLINK("https://github.com/SecUSo/privacy-friendly-shopping-list/issues/41", "show")</f>
        <v>show</v>
      </c>
      <c r="G2916" t="str">
        <f>HYPERLINK("https://github.com/SecUSo/privacy-friendly-shopping-list", "show")</f>
        <v>show</v>
      </c>
      <c r="H2916" t="str">
        <f>HYPERLINK("https://github.com/SecUSo/privacy-friendly-shopping-list/releases", "show")</f>
        <v>show</v>
      </c>
      <c r="I2916">
        <v>1</v>
      </c>
      <c r="J2916">
        <v>0</v>
      </c>
      <c r="K2916">
        <v>1</v>
      </c>
      <c r="L2916">
        <v>0</v>
      </c>
      <c r="M2916" t="s">
        <v>64</v>
      </c>
    </row>
    <row r="2917" spans="1:13" hidden="1" x14ac:dyDescent="0.15">
      <c r="A2917" t="s">
        <v>9260</v>
      </c>
      <c r="B2917" t="s">
        <v>9261</v>
      </c>
      <c r="C2917" t="s">
        <v>9262</v>
      </c>
      <c r="D2917" t="s">
        <v>9256</v>
      </c>
      <c r="E2917">
        <v>0</v>
      </c>
      <c r="F2917" t="str">
        <f>HYPERLINK("https://github.com/eurofurence/ef-app_android/issues/97", "show")</f>
        <v>show</v>
      </c>
      <c r="G2917" t="str">
        <f>HYPERLINK("https://github.com/eurofurence/ef-app_android", "show")</f>
        <v>show</v>
      </c>
      <c r="H2917" t="str">
        <f>HYPERLINK("https://github.com/eurofurence/ef-app_android/releases", "show")</f>
        <v>show</v>
      </c>
      <c r="I2917">
        <v>1</v>
      </c>
      <c r="J2917">
        <v>0</v>
      </c>
      <c r="K2917">
        <v>0</v>
      </c>
      <c r="L2917">
        <v>1</v>
      </c>
      <c r="M2917" t="s">
        <v>29</v>
      </c>
    </row>
    <row r="2918" spans="1:13" hidden="1" x14ac:dyDescent="0.15">
      <c r="A2918" t="s">
        <v>9263</v>
      </c>
      <c r="B2918" t="s">
        <v>9264</v>
      </c>
      <c r="C2918" t="s">
        <v>9265</v>
      </c>
      <c r="D2918" t="s">
        <v>9256</v>
      </c>
      <c r="E2918">
        <v>0</v>
      </c>
      <c r="F2918" t="str">
        <f>HYPERLINK("https://github.com/vector-im/riot-android/issues/1410", "show")</f>
        <v>show</v>
      </c>
      <c r="G2918" t="str">
        <f>HYPERLINK("https://github.com/vector-im/riot-android", "show")</f>
        <v>show</v>
      </c>
      <c r="H2918" t="str">
        <f>HYPERLINK("https://github.com/vector-im/riot-android/releases", "show")</f>
        <v>show</v>
      </c>
      <c r="I2918">
        <v>1</v>
      </c>
      <c r="J2918">
        <v>0</v>
      </c>
      <c r="K2918">
        <v>0</v>
      </c>
      <c r="L2918">
        <v>0</v>
      </c>
      <c r="M2918" t="s">
        <v>17</v>
      </c>
    </row>
    <row r="2919" spans="1:13" hidden="1" x14ac:dyDescent="0.15">
      <c r="A2919" t="s">
        <v>9266</v>
      </c>
      <c r="B2919" t="s">
        <v>9267</v>
      </c>
      <c r="C2919" t="s">
        <v>9268</v>
      </c>
      <c r="D2919" t="s">
        <v>9269</v>
      </c>
      <c r="E2919">
        <v>1</v>
      </c>
      <c r="F2919" t="str">
        <f>HYPERLINK("https://github.com/inaturalist/iNaturalistAndroid/issues/377", "show")</f>
        <v>show</v>
      </c>
      <c r="G2919" t="str">
        <f>HYPERLINK("https://github.com/inaturalist/iNaturalistAndroid", "show")</f>
        <v>show</v>
      </c>
      <c r="H2919" t="str">
        <f>HYPERLINK("https://github.com/inaturalist/iNaturalistAndroid/releases", "show")</f>
        <v>show</v>
      </c>
      <c r="I2919">
        <v>1</v>
      </c>
      <c r="J2919">
        <v>0</v>
      </c>
      <c r="K2919">
        <v>1</v>
      </c>
      <c r="L2919">
        <v>0</v>
      </c>
      <c r="M2919" t="s">
        <v>64</v>
      </c>
    </row>
    <row r="2920" spans="1:13" hidden="1" x14ac:dyDescent="0.15">
      <c r="A2920" t="s">
        <v>9270</v>
      </c>
      <c r="B2920" t="s">
        <v>9271</v>
      </c>
      <c r="C2920" t="s">
        <v>504</v>
      </c>
      <c r="D2920" t="s">
        <v>9269</v>
      </c>
      <c r="E2920">
        <v>530</v>
      </c>
      <c r="F2920" t="str">
        <f>HYPERLINK("https://github.com/niclabs/adkintunmobile-androidclient/issues/178", "show")</f>
        <v>show</v>
      </c>
      <c r="G2920" t="str">
        <f>HYPERLINK("https://github.com/niclabs/adkintunmobile-androidclient", "show")</f>
        <v>show</v>
      </c>
      <c r="H2920" t="str">
        <f>HYPERLINK("https://github.com/niclabs/adkintunmobile-androidclient/releases", "show")</f>
        <v>show</v>
      </c>
      <c r="I2920">
        <v>1</v>
      </c>
      <c r="J2920">
        <v>0</v>
      </c>
      <c r="K2920">
        <v>0</v>
      </c>
      <c r="L2920">
        <v>0</v>
      </c>
      <c r="M2920" t="s">
        <v>17</v>
      </c>
    </row>
    <row r="2921" spans="1:13" hidden="1" x14ac:dyDescent="0.15">
      <c r="A2921" t="s">
        <v>9272</v>
      </c>
      <c r="B2921" t="s">
        <v>9273</v>
      </c>
      <c r="C2921" t="s">
        <v>9274</v>
      </c>
      <c r="D2921" t="s">
        <v>9269</v>
      </c>
      <c r="E2921">
        <v>1</v>
      </c>
      <c r="F2921" t="str">
        <f>HYPERLINK("https://github.com/fossasia/pslab-android/issues/286", "show")</f>
        <v>show</v>
      </c>
      <c r="G2921" t="str">
        <f>HYPERLINK("https://github.com/fossasia/pslab-android", "show")</f>
        <v>show</v>
      </c>
      <c r="H2921" t="str">
        <f>HYPERLINK("https://github.com/fossasia/pslab-android/releases", "show")</f>
        <v>show</v>
      </c>
      <c r="I2921">
        <v>1</v>
      </c>
      <c r="J2921">
        <v>0</v>
      </c>
      <c r="K2921">
        <v>0</v>
      </c>
      <c r="L2921">
        <v>0</v>
      </c>
      <c r="M2921" t="s">
        <v>17</v>
      </c>
    </row>
    <row r="2922" spans="1:13" hidden="1" x14ac:dyDescent="0.15">
      <c r="A2922" t="s">
        <v>9275</v>
      </c>
      <c r="B2922" t="s">
        <v>9276</v>
      </c>
      <c r="C2922" t="s">
        <v>9277</v>
      </c>
      <c r="D2922" t="s">
        <v>9269</v>
      </c>
      <c r="E2922">
        <v>4</v>
      </c>
      <c r="F2922" t="str">
        <f>HYPERLINK("https://github.com/myinnos/AlphabetIndex-Fast-Scroll-RecyclerView/issues/13", "show")</f>
        <v>show</v>
      </c>
      <c r="G2922" t="str">
        <f>HYPERLINK("https://github.com/myinnos/AlphabetIndex-Fast-Scroll-RecyclerView", "show")</f>
        <v>show</v>
      </c>
      <c r="H2922" t="str">
        <f>HYPERLINK("https://github.com/myinnos/AlphabetIndex-Fast-Scroll-RecyclerView/releases", "show")</f>
        <v>show</v>
      </c>
      <c r="I2922">
        <v>1</v>
      </c>
      <c r="J2922">
        <v>0</v>
      </c>
      <c r="K2922">
        <v>0</v>
      </c>
      <c r="L2922">
        <v>0</v>
      </c>
      <c r="M2922" t="s">
        <v>17</v>
      </c>
    </row>
    <row r="2923" spans="1:13" hidden="1" x14ac:dyDescent="0.15">
      <c r="A2923" t="s">
        <v>9278</v>
      </c>
      <c r="B2923" t="s">
        <v>9279</v>
      </c>
      <c r="C2923" t="s">
        <v>9280</v>
      </c>
      <c r="D2923" t="s">
        <v>9269</v>
      </c>
      <c r="E2923">
        <v>2</v>
      </c>
      <c r="F2923" t="str">
        <f>HYPERLINK("https://github.com/LawnchairLauncher/lawnchair/issues/156", "show")</f>
        <v>show</v>
      </c>
      <c r="G2923" t="str">
        <f>HYPERLINK("https://github.com/LawnchairLauncher/lawnchair", "show")</f>
        <v>show</v>
      </c>
      <c r="H2923" t="str">
        <f>HYPERLINK("https://github.com/LawnchairLauncher/lawnchair/releases", "show")</f>
        <v>show</v>
      </c>
      <c r="I2923">
        <v>1</v>
      </c>
      <c r="J2923">
        <v>0</v>
      </c>
      <c r="K2923">
        <v>1</v>
      </c>
      <c r="L2923">
        <v>0</v>
      </c>
      <c r="M2923" t="s">
        <v>64</v>
      </c>
    </row>
    <row r="2924" spans="1:13" hidden="1" x14ac:dyDescent="0.15">
      <c r="A2924" t="s">
        <v>9281</v>
      </c>
      <c r="B2924" t="s">
        <v>4871</v>
      </c>
      <c r="C2924" t="s">
        <v>504</v>
      </c>
      <c r="D2924" t="s">
        <v>9282</v>
      </c>
      <c r="E2924">
        <v>237</v>
      </c>
      <c r="F2924" t="str">
        <f>HYPERLINK("https://github.com/tanrabad/survey/issues/30", "show")</f>
        <v>show</v>
      </c>
      <c r="G2924" t="str">
        <f>HYPERLINK("https://github.com/tanrabad/survey", "show")</f>
        <v>show</v>
      </c>
      <c r="H2924" t="str">
        <f>HYPERLINK("https://github.com/tanrabad/survey/releases", "show")</f>
        <v>show</v>
      </c>
      <c r="I2924">
        <v>1</v>
      </c>
      <c r="J2924">
        <v>0</v>
      </c>
      <c r="K2924">
        <v>0</v>
      </c>
      <c r="L2924">
        <v>0</v>
      </c>
      <c r="M2924" t="s">
        <v>17</v>
      </c>
    </row>
    <row r="2925" spans="1:13" hidden="1" x14ac:dyDescent="0.15">
      <c r="A2925" t="s">
        <v>9283</v>
      </c>
      <c r="B2925" t="s">
        <v>9284</v>
      </c>
      <c r="C2925" t="s">
        <v>9285</v>
      </c>
      <c r="D2925" t="s">
        <v>9286</v>
      </c>
      <c r="E2925">
        <v>1</v>
      </c>
      <c r="F2925" t="str">
        <f>HYPERLINK("https://github.com/Ashok-Varma/BottomNavigation/issues/134", "show")</f>
        <v>show</v>
      </c>
      <c r="G2925" t="str">
        <f>HYPERLINK("https://github.com/Ashok-Varma/BottomNavigation", "show")</f>
        <v>show</v>
      </c>
      <c r="H2925" t="str">
        <f>HYPERLINK("https://github.com/Ashok-Varma/BottomNavigation/releases", "show")</f>
        <v>show</v>
      </c>
      <c r="I2925">
        <v>1</v>
      </c>
      <c r="J2925">
        <v>0</v>
      </c>
      <c r="K2925">
        <v>0</v>
      </c>
      <c r="L2925">
        <v>0</v>
      </c>
      <c r="M2925" t="s">
        <v>17</v>
      </c>
    </row>
    <row r="2926" spans="1:13" hidden="1" x14ac:dyDescent="0.15">
      <c r="A2926" t="s">
        <v>9287</v>
      </c>
      <c r="B2926" t="s">
        <v>9288</v>
      </c>
      <c r="C2926" t="s">
        <v>9289</v>
      </c>
      <c r="D2926" t="s">
        <v>9290</v>
      </c>
      <c r="E2926">
        <v>1</v>
      </c>
      <c r="F2926" t="str">
        <f>HYPERLINK("https://github.com/ZieIony/Carbon/issues/306", "show")</f>
        <v>show</v>
      </c>
      <c r="G2926" t="str">
        <f>HYPERLINK("https://github.com/ZieIony/Carbon", "show")</f>
        <v>show</v>
      </c>
      <c r="H2926" t="str">
        <f>HYPERLINK("https://github.com/ZieIony/Carbon/releases", "show")</f>
        <v>show</v>
      </c>
      <c r="I2926">
        <v>1</v>
      </c>
      <c r="J2926">
        <v>0</v>
      </c>
      <c r="K2926">
        <v>0</v>
      </c>
      <c r="L2926">
        <v>0</v>
      </c>
      <c r="M2926" t="s">
        <v>17</v>
      </c>
    </row>
    <row r="2927" spans="1:13" hidden="1" x14ac:dyDescent="0.15">
      <c r="A2927" t="s">
        <v>9291</v>
      </c>
      <c r="B2927" t="s">
        <v>9292</v>
      </c>
      <c r="C2927" t="s">
        <v>9293</v>
      </c>
      <c r="D2927" t="s">
        <v>9294</v>
      </c>
      <c r="E2927">
        <v>183</v>
      </c>
      <c r="F2927" t="str">
        <f>HYPERLINK("https://github.com/smartdevicelink/sdl_java_suite/issues/555", "show")</f>
        <v>show</v>
      </c>
      <c r="G2927" t="str">
        <f>HYPERLINK("https://github.com/smartdevicelink/sdl_java_suite", "show")</f>
        <v>show</v>
      </c>
      <c r="H2927" t="str">
        <f>HYPERLINK("https://github.com/smartdevicelink/sdl_java_suite/releases", "show")</f>
        <v>show</v>
      </c>
      <c r="I2927">
        <v>0</v>
      </c>
      <c r="J2927">
        <v>0</v>
      </c>
      <c r="K2927">
        <v>1</v>
      </c>
      <c r="L2927">
        <v>0</v>
      </c>
      <c r="M2927" t="s">
        <v>122</v>
      </c>
    </row>
    <row r="2928" spans="1:13" hidden="1" x14ac:dyDescent="0.15">
      <c r="A2928" t="s">
        <v>9295</v>
      </c>
      <c r="B2928" t="s">
        <v>9296</v>
      </c>
      <c r="C2928" t="s">
        <v>9297</v>
      </c>
      <c r="D2928" t="s">
        <v>9294</v>
      </c>
      <c r="E2928">
        <v>3</v>
      </c>
      <c r="F2928" t="str">
        <f>HYPERLINK("https://github.com/fuzz-productions/CutoutViewIndicator/issues/71", "show")</f>
        <v>show</v>
      </c>
      <c r="G2928" t="str">
        <f>HYPERLINK("https://github.com/fuzz-productions/CutoutViewIndicator", "show")</f>
        <v>show</v>
      </c>
      <c r="H2928" t="str">
        <f>HYPERLINK("https://github.com/fuzz-productions/CutoutViewIndicator/releases", "show")</f>
        <v>show</v>
      </c>
      <c r="I2928">
        <v>0</v>
      </c>
      <c r="J2928">
        <v>0</v>
      </c>
      <c r="K2928">
        <v>0</v>
      </c>
      <c r="L2928">
        <v>0</v>
      </c>
      <c r="M2928" t="s">
        <v>43</v>
      </c>
    </row>
    <row r="2929" spans="1:13" hidden="1" x14ac:dyDescent="0.15">
      <c r="A2929" t="s">
        <v>9298</v>
      </c>
      <c r="B2929" t="s">
        <v>9299</v>
      </c>
      <c r="C2929" t="s">
        <v>9300</v>
      </c>
      <c r="D2929" t="s">
        <v>9294</v>
      </c>
      <c r="E2929">
        <v>1</v>
      </c>
      <c r="F2929" t="str">
        <f>HYPERLINK("https://github.com/RestComm/restcomm-android-sdk/issues/637", "show")</f>
        <v>show</v>
      </c>
      <c r="G2929" t="str">
        <f>HYPERLINK("https://github.com/RestComm/restcomm-android-sdk", "show")</f>
        <v>show</v>
      </c>
      <c r="H2929" t="str">
        <f>HYPERLINK("https://github.com/RestComm/restcomm-android-sdk/releases", "show")</f>
        <v>show</v>
      </c>
      <c r="I2929">
        <v>1</v>
      </c>
      <c r="J2929">
        <v>0</v>
      </c>
      <c r="K2929">
        <v>0</v>
      </c>
      <c r="L2929">
        <v>0</v>
      </c>
      <c r="M2929" t="s">
        <v>17</v>
      </c>
    </row>
    <row r="2930" spans="1:13" hidden="1" x14ac:dyDescent="0.15">
      <c r="A2930" t="s">
        <v>9301</v>
      </c>
      <c r="B2930" t="s">
        <v>9302</v>
      </c>
      <c r="C2930" t="s">
        <v>9303</v>
      </c>
      <c r="D2930" t="s">
        <v>9304</v>
      </c>
      <c r="E2930">
        <v>1</v>
      </c>
      <c r="F2930" t="str">
        <f>HYPERLINK("https://github.com/novoda/merlin/issues/139", "show")</f>
        <v>show</v>
      </c>
      <c r="G2930" t="str">
        <f>HYPERLINK("https://github.com/novoda/merlin", "show")</f>
        <v>show</v>
      </c>
      <c r="H2930" t="str">
        <f>HYPERLINK("https://github.com/novoda/merlin/releases", "show")</f>
        <v>show</v>
      </c>
      <c r="I2930">
        <v>0</v>
      </c>
      <c r="J2930">
        <v>0</v>
      </c>
      <c r="K2930">
        <v>0</v>
      </c>
      <c r="L2930">
        <v>0</v>
      </c>
      <c r="M2930" t="s">
        <v>43</v>
      </c>
    </row>
    <row r="2931" spans="1:13" hidden="1" x14ac:dyDescent="0.15">
      <c r="A2931" t="s">
        <v>9305</v>
      </c>
      <c r="B2931" t="s">
        <v>9306</v>
      </c>
      <c r="C2931" t="s">
        <v>9307</v>
      </c>
      <c r="D2931" t="s">
        <v>9304</v>
      </c>
      <c r="E2931">
        <v>0</v>
      </c>
      <c r="F2931" t="str">
        <f>HYPERLINK("https://github.com/davideas/FlexibleAdapter/issues/409", "show")</f>
        <v>show</v>
      </c>
      <c r="G2931" t="str">
        <f>HYPERLINK("https://github.com/davideas/FlexibleAdapter", "show")</f>
        <v>show</v>
      </c>
      <c r="H2931" t="str">
        <f>HYPERLINK("https://github.com/davideas/FlexibleAdapter/releases", "show")</f>
        <v>show</v>
      </c>
      <c r="I2931">
        <v>1</v>
      </c>
      <c r="J2931">
        <v>0</v>
      </c>
      <c r="K2931">
        <v>0</v>
      </c>
      <c r="L2931">
        <v>0</v>
      </c>
      <c r="M2931" t="s">
        <v>17</v>
      </c>
    </row>
    <row r="2932" spans="1:13" hidden="1" x14ac:dyDescent="0.15">
      <c r="A2932" t="s">
        <v>9308</v>
      </c>
      <c r="B2932" t="s">
        <v>9309</v>
      </c>
      <c r="C2932" t="s">
        <v>9310</v>
      </c>
      <c r="D2932" t="s">
        <v>9304</v>
      </c>
      <c r="E2932">
        <v>84</v>
      </c>
      <c r="F2932" t="str">
        <f>HYPERLINK("https://github.com/martykan/forecastie/issues/219", "show")</f>
        <v>show</v>
      </c>
      <c r="G2932" t="str">
        <f>HYPERLINK("https://github.com/martykan/forecastie", "show")</f>
        <v>show</v>
      </c>
      <c r="H2932" t="str">
        <f>HYPERLINK("https://github.com/martykan/forecastie/releases", "show")</f>
        <v>show</v>
      </c>
      <c r="I2932">
        <v>1</v>
      </c>
      <c r="J2932">
        <v>0</v>
      </c>
      <c r="K2932">
        <v>0</v>
      </c>
      <c r="L2932">
        <v>0</v>
      </c>
      <c r="M2932" t="s">
        <v>17</v>
      </c>
    </row>
    <row r="2933" spans="1:13" hidden="1" x14ac:dyDescent="0.15">
      <c r="A2933" t="s">
        <v>9311</v>
      </c>
      <c r="B2933" t="s">
        <v>9312</v>
      </c>
      <c r="C2933" t="s">
        <v>9313</v>
      </c>
      <c r="D2933" t="s">
        <v>9304</v>
      </c>
      <c r="E2933">
        <v>1</v>
      </c>
      <c r="F2933" t="str">
        <f>HYPERLINK("https://github.com/NineWorlds/serenity-android/issues/336", "show")</f>
        <v>show</v>
      </c>
      <c r="G2933" t="str">
        <f>HYPERLINK("https://github.com/NineWorlds/serenity-android", "show")</f>
        <v>show</v>
      </c>
      <c r="H2933" t="str">
        <f>HYPERLINK("https://github.com/NineWorlds/serenity-android/releases", "show")</f>
        <v>show</v>
      </c>
      <c r="I2933">
        <v>1</v>
      </c>
      <c r="J2933">
        <v>0</v>
      </c>
      <c r="K2933">
        <v>0</v>
      </c>
      <c r="L2933">
        <v>0</v>
      </c>
      <c r="M2933" t="s">
        <v>17</v>
      </c>
    </row>
    <row r="2934" spans="1:13" hidden="1" x14ac:dyDescent="0.15">
      <c r="A2934" t="s">
        <v>9314</v>
      </c>
      <c r="B2934" t="s">
        <v>9315</v>
      </c>
      <c r="C2934" t="s">
        <v>9316</v>
      </c>
      <c r="D2934" t="s">
        <v>9317</v>
      </c>
      <c r="E2934">
        <v>6</v>
      </c>
      <c r="F2934" t="str">
        <f>HYPERLINK("https://github.com/pc-coholic/de.pccoholic.pretix.dpc/issues/2", "show")</f>
        <v>show</v>
      </c>
      <c r="G2934" t="str">
        <f>HYPERLINK("https://github.com/pc-coholic/de.pccoholic.pretix.dpc", "show")</f>
        <v>show</v>
      </c>
      <c r="H2934" t="str">
        <f>HYPERLINK("https://github.com/pc-coholic/de.pccoholic.pretix.dpc/releases", "show")</f>
        <v>show</v>
      </c>
      <c r="I2934">
        <v>1</v>
      </c>
      <c r="J2934">
        <v>0</v>
      </c>
      <c r="K2934">
        <v>0</v>
      </c>
      <c r="L2934">
        <v>0</v>
      </c>
      <c r="M2934" t="s">
        <v>17</v>
      </c>
    </row>
    <row r="2935" spans="1:13" hidden="1" x14ac:dyDescent="0.15">
      <c r="A2935" t="s">
        <v>9318</v>
      </c>
      <c r="B2935" t="s">
        <v>9319</v>
      </c>
      <c r="C2935" t="s">
        <v>9320</v>
      </c>
      <c r="D2935" t="s">
        <v>9317</v>
      </c>
      <c r="E2935">
        <v>0</v>
      </c>
      <c r="F2935" t="str">
        <f>HYPERLINK("https://github.com/novoda/no-player/issues/70", "show")</f>
        <v>show</v>
      </c>
      <c r="G2935" t="str">
        <f>HYPERLINK("https://github.com/novoda/no-player", "show")</f>
        <v>show</v>
      </c>
      <c r="H2935" t="str">
        <f>HYPERLINK("https://github.com/novoda/no-player/releases", "show")</f>
        <v>show</v>
      </c>
      <c r="I2935">
        <v>1</v>
      </c>
      <c r="J2935">
        <v>0</v>
      </c>
      <c r="K2935">
        <v>0</v>
      </c>
      <c r="L2935">
        <v>0</v>
      </c>
      <c r="M2935" t="s">
        <v>17</v>
      </c>
    </row>
    <row r="2936" spans="1:13" hidden="1" x14ac:dyDescent="0.15">
      <c r="A2936" t="s">
        <v>9321</v>
      </c>
      <c r="B2936" t="s">
        <v>9322</v>
      </c>
      <c r="C2936" t="s">
        <v>9323</v>
      </c>
      <c r="D2936" t="s">
        <v>9317</v>
      </c>
      <c r="E2936">
        <v>103</v>
      </c>
      <c r="F2936" t="str">
        <f>HYPERLINK("https://github.com/mit-cml/appinventor-sources/issues/899", "show")</f>
        <v>show</v>
      </c>
      <c r="G2936" t="str">
        <f>HYPERLINK("https://github.com/mit-cml/appinventor-sources", "show")</f>
        <v>show</v>
      </c>
      <c r="H2936" t="str">
        <f>HYPERLINK("https://github.com/mit-cml/appinventor-sources/releases", "show")</f>
        <v>show</v>
      </c>
      <c r="I2936">
        <v>0</v>
      </c>
      <c r="J2936">
        <v>0</v>
      </c>
      <c r="K2936">
        <v>0</v>
      </c>
      <c r="L2936">
        <v>0</v>
      </c>
      <c r="M2936" t="s">
        <v>43</v>
      </c>
    </row>
    <row r="2937" spans="1:13" hidden="1" x14ac:dyDescent="0.15">
      <c r="A2937" t="s">
        <v>9324</v>
      </c>
      <c r="B2937" t="s">
        <v>9325</v>
      </c>
      <c r="C2937" t="s">
        <v>9326</v>
      </c>
      <c r="D2937" t="s">
        <v>9327</v>
      </c>
      <c r="E2937">
        <v>18</v>
      </c>
      <c r="F2937" t="str">
        <f>HYPERLINK("https://github.com/simoneapp/S3-16-simone/issues/22", "show")</f>
        <v>show</v>
      </c>
      <c r="G2937" t="str">
        <f>HYPERLINK("https://github.com/simoneapp/S3-16-simone", "show")</f>
        <v>show</v>
      </c>
      <c r="H2937" t="str">
        <f>HYPERLINK("https://github.com/simoneapp/S3-16-simone/releases", "show")</f>
        <v>show</v>
      </c>
      <c r="I2937">
        <v>1</v>
      </c>
      <c r="J2937">
        <v>0</v>
      </c>
      <c r="K2937">
        <v>0</v>
      </c>
      <c r="L2937">
        <v>0</v>
      </c>
      <c r="M2937" t="s">
        <v>17</v>
      </c>
    </row>
    <row r="2938" spans="1:13" hidden="1" x14ac:dyDescent="0.15">
      <c r="A2938" t="s">
        <v>9328</v>
      </c>
      <c r="B2938" t="s">
        <v>9329</v>
      </c>
      <c r="C2938" t="s">
        <v>9330</v>
      </c>
      <c r="D2938" t="s">
        <v>9327</v>
      </c>
      <c r="E2938">
        <v>0</v>
      </c>
      <c r="F2938" t="str">
        <f>HYPERLINK("https://github.com/dimagi/commcare-android/issues/1763", "show")</f>
        <v>show</v>
      </c>
      <c r="G2938" t="str">
        <f>HYPERLINK("https://github.com/dimagi/commcare-android", "show")</f>
        <v>show</v>
      </c>
      <c r="H2938" t="str">
        <f>HYPERLINK("https://github.com/dimagi/commcare-android/releases", "show")</f>
        <v>show</v>
      </c>
      <c r="I2938">
        <v>1</v>
      </c>
      <c r="J2938">
        <v>0</v>
      </c>
      <c r="K2938">
        <v>0</v>
      </c>
      <c r="L2938">
        <v>0</v>
      </c>
      <c r="M2938" t="s">
        <v>17</v>
      </c>
    </row>
    <row r="2939" spans="1:13" hidden="1" x14ac:dyDescent="0.15">
      <c r="A2939" t="s">
        <v>9331</v>
      </c>
      <c r="B2939" t="s">
        <v>9332</v>
      </c>
      <c r="C2939" t="s">
        <v>9333</v>
      </c>
      <c r="D2939" t="s">
        <v>9327</v>
      </c>
      <c r="E2939">
        <v>8</v>
      </c>
      <c r="F2939" t="str">
        <f>HYPERLINK("https://github.com/Windsander/Android-UltimateGPUImage/issues/14", "show")</f>
        <v>show</v>
      </c>
      <c r="G2939" t="str">
        <f>HYPERLINK("https://github.com/Windsander/Android-UltimateGPUImage", "show")</f>
        <v>show</v>
      </c>
      <c r="H2939" t="str">
        <f>HYPERLINK("https://github.com/Windsander/Android-UltimateGPUImage/releases", "show")</f>
        <v>show</v>
      </c>
      <c r="I2939">
        <v>1</v>
      </c>
      <c r="J2939">
        <v>0</v>
      </c>
      <c r="K2939">
        <v>0</v>
      </c>
      <c r="L2939">
        <v>0</v>
      </c>
      <c r="M2939" t="s">
        <v>17</v>
      </c>
    </row>
    <row r="2940" spans="1:13" hidden="1" x14ac:dyDescent="0.15">
      <c r="A2940" t="s">
        <v>9334</v>
      </c>
      <c r="B2940" t="s">
        <v>9335</v>
      </c>
      <c r="C2940" t="s">
        <v>9336</v>
      </c>
      <c r="D2940" t="s">
        <v>9327</v>
      </c>
      <c r="E2940">
        <v>2</v>
      </c>
      <c r="F2940" t="str">
        <f>HYPERLINK("https://github.com/nextcloud/android/issues/1184", "show")</f>
        <v>show</v>
      </c>
      <c r="G2940" t="str">
        <f>HYPERLINK("https://github.com/nextcloud/android", "show")</f>
        <v>show</v>
      </c>
      <c r="H2940" t="str">
        <f>HYPERLINK("https://github.com/nextcloud/android/releases", "show")</f>
        <v>show</v>
      </c>
      <c r="I2940">
        <v>1</v>
      </c>
      <c r="J2940">
        <v>0</v>
      </c>
      <c r="K2940">
        <v>0</v>
      </c>
      <c r="L2940">
        <v>0</v>
      </c>
      <c r="M2940" t="s">
        <v>17</v>
      </c>
    </row>
    <row r="2941" spans="1:13" hidden="1" x14ac:dyDescent="0.15">
      <c r="A2941" t="s">
        <v>9337</v>
      </c>
      <c r="B2941" t="s">
        <v>9338</v>
      </c>
      <c r="C2941" t="s">
        <v>9339</v>
      </c>
      <c r="D2941" t="s">
        <v>9327</v>
      </c>
      <c r="E2941">
        <v>5</v>
      </c>
      <c r="F2941" t="str">
        <f>HYPERLINK("https://github.com/barbeau/gpstest/issues/85", "show")</f>
        <v>show</v>
      </c>
      <c r="G2941" t="str">
        <f>HYPERLINK("https://github.com/barbeau/gpstest", "show")</f>
        <v>show</v>
      </c>
      <c r="H2941" t="str">
        <f>HYPERLINK("https://github.com/barbeau/gpstest/releases", "show")</f>
        <v>show</v>
      </c>
      <c r="I2941">
        <v>1</v>
      </c>
      <c r="J2941">
        <v>0</v>
      </c>
      <c r="K2941">
        <v>1</v>
      </c>
      <c r="L2941">
        <v>0</v>
      </c>
      <c r="M2941" t="s">
        <v>64</v>
      </c>
    </row>
    <row r="2942" spans="1:13" hidden="1" x14ac:dyDescent="0.15">
      <c r="A2942" t="s">
        <v>9340</v>
      </c>
      <c r="B2942" t="s">
        <v>9341</v>
      </c>
      <c r="D2942" t="s">
        <v>9327</v>
      </c>
      <c r="E2942">
        <v>970</v>
      </c>
      <c r="F2942" t="str">
        <f>HYPERLINK("https://github.com/getodk/collect/issues/1251", "show")</f>
        <v>show</v>
      </c>
      <c r="G2942" t="str">
        <f>HYPERLINK("https://github.com/getodk/collect", "show")</f>
        <v>show</v>
      </c>
      <c r="H2942" t="str">
        <f>HYPERLINK("https://github.com/getodk/collect/releases", "show")</f>
        <v>show</v>
      </c>
      <c r="I2942">
        <v>1</v>
      </c>
      <c r="J2942">
        <v>0</v>
      </c>
      <c r="K2942">
        <v>1</v>
      </c>
      <c r="L2942">
        <v>0</v>
      </c>
      <c r="M2942" t="s">
        <v>64</v>
      </c>
    </row>
    <row r="2943" spans="1:13" hidden="1" x14ac:dyDescent="0.15">
      <c r="A2943" t="s">
        <v>9342</v>
      </c>
      <c r="B2943" t="s">
        <v>9343</v>
      </c>
      <c r="D2943" t="s">
        <v>9327</v>
      </c>
      <c r="E2943">
        <v>449</v>
      </c>
      <c r="F2943" t="str">
        <f>HYPERLINK("https://github.com/jroal/a2dpvolume/issues/250", "show")</f>
        <v>show</v>
      </c>
      <c r="G2943" t="str">
        <f>HYPERLINK("https://github.com/jroal/a2dpvolume", "show")</f>
        <v>show</v>
      </c>
      <c r="H2943" t="str">
        <f>HYPERLINK("https://github.com/jroal/a2dpvolume/releases", "show")</f>
        <v>show</v>
      </c>
      <c r="I2943">
        <v>1</v>
      </c>
      <c r="J2943">
        <v>0</v>
      </c>
      <c r="K2943">
        <v>1</v>
      </c>
      <c r="L2943">
        <v>0</v>
      </c>
      <c r="M2943" t="s">
        <v>64</v>
      </c>
    </row>
    <row r="2944" spans="1:13" hidden="1" x14ac:dyDescent="0.15">
      <c r="A2944" t="s">
        <v>9344</v>
      </c>
      <c r="B2944" t="s">
        <v>9345</v>
      </c>
      <c r="C2944" t="s">
        <v>9346</v>
      </c>
      <c r="D2944" t="s">
        <v>9347</v>
      </c>
      <c r="E2944">
        <v>594</v>
      </c>
      <c r="F2944" t="str">
        <f>HYPERLINK("https://github.com/k9mail/k-9/issues/2627", "show")</f>
        <v>show</v>
      </c>
      <c r="G2944" t="str">
        <f>HYPERLINK("https://github.com/k9mail/k-9", "show")</f>
        <v>show</v>
      </c>
      <c r="H2944" t="str">
        <f>HYPERLINK("https://github.com/k9mail/k-9/releases", "show")</f>
        <v>show</v>
      </c>
      <c r="I2944">
        <v>1</v>
      </c>
      <c r="J2944">
        <v>1</v>
      </c>
      <c r="K2944">
        <v>0</v>
      </c>
      <c r="L2944">
        <v>1</v>
      </c>
      <c r="M2944" t="s">
        <v>1894</v>
      </c>
    </row>
    <row r="2945" spans="1:13" hidden="1" x14ac:dyDescent="0.15">
      <c r="A2945" t="s">
        <v>9348</v>
      </c>
      <c r="B2945" t="s">
        <v>6772</v>
      </c>
      <c r="D2945" t="s">
        <v>9347</v>
      </c>
      <c r="E2945">
        <v>192</v>
      </c>
      <c r="F2945" t="str">
        <f>HYPERLINK("https://github.com/7LPdWcaW/GrowTracker-Android/issues/54", "show")</f>
        <v>show</v>
      </c>
      <c r="G2945" t="str">
        <f>HYPERLINK("https://github.com/7LPdWcaW/GrowTracker-Android", "show")</f>
        <v>show</v>
      </c>
      <c r="H2945" t="str">
        <f>HYPERLINK("https://github.com/7LPdWcaW/GrowTracker-Android/releases", "show")</f>
        <v>show</v>
      </c>
      <c r="I2945">
        <v>1</v>
      </c>
      <c r="J2945">
        <v>0</v>
      </c>
      <c r="K2945">
        <v>0</v>
      </c>
      <c r="L2945">
        <v>0</v>
      </c>
      <c r="M2945" t="s">
        <v>17</v>
      </c>
    </row>
    <row r="2946" spans="1:13" hidden="1" x14ac:dyDescent="0.15">
      <c r="A2946" t="s">
        <v>9349</v>
      </c>
      <c r="B2946" t="s">
        <v>9350</v>
      </c>
      <c r="C2946" t="s">
        <v>9351</v>
      </c>
      <c r="D2946" t="s">
        <v>9347</v>
      </c>
      <c r="E2946">
        <v>0</v>
      </c>
      <c r="F2946" t="str">
        <f>HYPERLINK("https://github.com/fossasia/pslab-android/issues/316", "show")</f>
        <v>show</v>
      </c>
      <c r="G2946" t="str">
        <f>HYPERLINK("https://github.com/fossasia/pslab-android", "show")</f>
        <v>show</v>
      </c>
      <c r="H2946" t="str">
        <f>HYPERLINK("https://github.com/fossasia/pslab-android/releases", "show")</f>
        <v>show</v>
      </c>
      <c r="I2946">
        <v>1</v>
      </c>
      <c r="J2946">
        <v>1</v>
      </c>
      <c r="K2946">
        <v>1</v>
      </c>
      <c r="L2946">
        <v>0</v>
      </c>
      <c r="M2946" t="s">
        <v>59</v>
      </c>
    </row>
    <row r="2947" spans="1:13" hidden="1" x14ac:dyDescent="0.15">
      <c r="A2947" t="s">
        <v>9352</v>
      </c>
      <c r="B2947" t="s">
        <v>4871</v>
      </c>
      <c r="C2947" t="s">
        <v>504</v>
      </c>
      <c r="D2947" t="s">
        <v>9347</v>
      </c>
      <c r="E2947">
        <v>230</v>
      </c>
      <c r="F2947" t="str">
        <f>HYPERLINK("https://github.com/tanrabad/survey/issues/31", "show")</f>
        <v>show</v>
      </c>
      <c r="G2947" t="str">
        <f>HYPERLINK("https://github.com/tanrabad/survey", "show")</f>
        <v>show</v>
      </c>
      <c r="H2947" t="str">
        <f>HYPERLINK("https://github.com/tanrabad/survey/releases", "show")</f>
        <v>show</v>
      </c>
      <c r="I2947">
        <v>1</v>
      </c>
      <c r="J2947">
        <v>0</v>
      </c>
      <c r="K2947">
        <v>0</v>
      </c>
      <c r="L2947">
        <v>0</v>
      </c>
      <c r="M2947" t="s">
        <v>17</v>
      </c>
    </row>
    <row r="2948" spans="1:13" hidden="1" x14ac:dyDescent="0.15">
      <c r="A2948" t="s">
        <v>9353</v>
      </c>
      <c r="B2948" t="s">
        <v>9354</v>
      </c>
      <c r="C2948" t="s">
        <v>9355</v>
      </c>
      <c r="D2948" t="s">
        <v>9356</v>
      </c>
      <c r="E2948">
        <v>1</v>
      </c>
      <c r="F2948" t="str">
        <f>HYPERLINK("https://github.com/AppLozic/Applozic-Android-SDK/issues/268", "show")</f>
        <v>show</v>
      </c>
      <c r="G2948" t="str">
        <f>HYPERLINK("https://github.com/AppLozic/Applozic-Android-SDK", "show")</f>
        <v>show</v>
      </c>
      <c r="H2948" t="str">
        <f>HYPERLINK("https://github.com/AppLozic/Applozic-Android-SDK/releases", "show")</f>
        <v>show</v>
      </c>
      <c r="I2948">
        <v>0</v>
      </c>
      <c r="J2948">
        <v>0</v>
      </c>
      <c r="K2948">
        <v>0</v>
      </c>
      <c r="L2948">
        <v>0</v>
      </c>
      <c r="M2948" t="s">
        <v>43</v>
      </c>
    </row>
    <row r="2949" spans="1:13" hidden="1" x14ac:dyDescent="0.15">
      <c r="A2949" t="s">
        <v>9357</v>
      </c>
      <c r="B2949" t="s">
        <v>9358</v>
      </c>
      <c r="C2949" t="s">
        <v>9359</v>
      </c>
      <c r="D2949" t="s">
        <v>9356</v>
      </c>
      <c r="E2949">
        <v>1</v>
      </c>
      <c r="F2949" t="str">
        <f>HYPERLINK("https://github.com/nextcloud/android/issues/1197", "show")</f>
        <v>show</v>
      </c>
      <c r="G2949" t="str">
        <f>HYPERLINK("https://github.com/nextcloud/android", "show")</f>
        <v>show</v>
      </c>
      <c r="H2949" t="str">
        <f>HYPERLINK("https://github.com/nextcloud/android/releases", "show")</f>
        <v>show</v>
      </c>
      <c r="I2949">
        <v>1</v>
      </c>
      <c r="J2949">
        <v>0</v>
      </c>
      <c r="K2949">
        <v>0</v>
      </c>
      <c r="L2949">
        <v>0</v>
      </c>
      <c r="M2949" t="s">
        <v>17</v>
      </c>
    </row>
    <row r="2950" spans="1:13" hidden="1" x14ac:dyDescent="0.15">
      <c r="A2950" t="s">
        <v>9360</v>
      </c>
      <c r="B2950" t="s">
        <v>9361</v>
      </c>
      <c r="C2950" t="s">
        <v>9362</v>
      </c>
      <c r="D2950" t="s">
        <v>9356</v>
      </c>
      <c r="E2950">
        <v>52</v>
      </c>
      <c r="F2950" t="str">
        <f>HYPERLINK("https://github.com/fekracomputers/IslamicLibraryAndroid/issues/32", "show")</f>
        <v>show</v>
      </c>
      <c r="G2950" t="str">
        <f>HYPERLINK("https://github.com/fekracomputers/IslamicLibraryAndroid", "show")</f>
        <v>show</v>
      </c>
      <c r="H2950" t="str">
        <f>HYPERLINK("https://github.com/fekracomputers/IslamicLibraryAndroid/releases", "show")</f>
        <v>show</v>
      </c>
      <c r="I2950">
        <v>1</v>
      </c>
      <c r="J2950">
        <v>0</v>
      </c>
      <c r="K2950">
        <v>0</v>
      </c>
      <c r="L2950">
        <v>0</v>
      </c>
      <c r="M2950" t="s">
        <v>17</v>
      </c>
    </row>
    <row r="2951" spans="1:13" hidden="1" x14ac:dyDescent="0.15">
      <c r="A2951" t="s">
        <v>9363</v>
      </c>
      <c r="B2951" t="s">
        <v>9364</v>
      </c>
      <c r="C2951" t="s">
        <v>9365</v>
      </c>
      <c r="D2951" t="s">
        <v>9356</v>
      </c>
      <c r="E2951">
        <v>51</v>
      </c>
      <c r="F2951" t="str">
        <f>HYPERLINK("https://github.com/xkik-dev/XKik/issues/5", "show")</f>
        <v>show</v>
      </c>
      <c r="G2951" t="str">
        <f>HYPERLINK("https://github.com/xkik-dev/XKik", "show")</f>
        <v>show</v>
      </c>
      <c r="H2951" t="str">
        <f>HYPERLINK("https://github.com/xkik-dev/XKik/releases", "show")</f>
        <v>show</v>
      </c>
      <c r="I2951">
        <v>1</v>
      </c>
      <c r="J2951">
        <v>0</v>
      </c>
      <c r="K2951">
        <v>0</v>
      </c>
      <c r="L2951">
        <v>0</v>
      </c>
      <c r="M2951" t="s">
        <v>17</v>
      </c>
    </row>
    <row r="2952" spans="1:13" hidden="1" x14ac:dyDescent="0.15">
      <c r="A2952" t="s">
        <v>9366</v>
      </c>
      <c r="B2952" t="s">
        <v>9367</v>
      </c>
      <c r="D2952" t="s">
        <v>9356</v>
      </c>
      <c r="E2952">
        <v>0</v>
      </c>
      <c r="F2952" t="str">
        <f>HYPERLINK("https://github.com/LawnchairLauncher/lawnchair/issues/214", "show")</f>
        <v>show</v>
      </c>
      <c r="G2952" t="str">
        <f>HYPERLINK("https://github.com/LawnchairLauncher/lawnchair", "show")</f>
        <v>show</v>
      </c>
      <c r="H2952" t="str">
        <f>HYPERLINK("https://github.com/LawnchairLauncher/lawnchair/releases", "show")</f>
        <v>show</v>
      </c>
      <c r="I2952">
        <v>1</v>
      </c>
      <c r="J2952">
        <v>0</v>
      </c>
      <c r="K2952">
        <v>0</v>
      </c>
      <c r="L2952">
        <v>0</v>
      </c>
      <c r="M2952" t="s">
        <v>17</v>
      </c>
    </row>
    <row r="2953" spans="1:13" hidden="1" x14ac:dyDescent="0.15">
      <c r="A2953" t="s">
        <v>9368</v>
      </c>
      <c r="B2953" t="s">
        <v>9369</v>
      </c>
      <c r="C2953" t="s">
        <v>9370</v>
      </c>
      <c r="D2953" t="s">
        <v>9371</v>
      </c>
      <c r="E2953">
        <v>46</v>
      </c>
      <c r="F2953" t="str">
        <f>HYPERLINK("https://github.com/cientopolis/samplers/issues/65", "show")</f>
        <v>show</v>
      </c>
      <c r="G2953" t="str">
        <f>HYPERLINK("https://github.com/cientopolis/samplers", "show")</f>
        <v>show</v>
      </c>
      <c r="H2953" t="str">
        <f>HYPERLINK("https://github.com/cientopolis/samplers/releases", "show")</f>
        <v>show</v>
      </c>
      <c r="I2953">
        <v>1</v>
      </c>
      <c r="J2953">
        <v>0</v>
      </c>
      <c r="K2953">
        <v>0</v>
      </c>
      <c r="L2953">
        <v>0</v>
      </c>
      <c r="M2953" t="s">
        <v>17</v>
      </c>
    </row>
    <row r="2954" spans="1:13" hidden="1" x14ac:dyDescent="0.15">
      <c r="A2954" t="s">
        <v>9372</v>
      </c>
      <c r="B2954" t="s">
        <v>9373</v>
      </c>
      <c r="C2954" t="s">
        <v>9374</v>
      </c>
      <c r="D2954" t="s">
        <v>9371</v>
      </c>
      <c r="E2954">
        <v>4</v>
      </c>
      <c r="F2954" t="str">
        <f>HYPERLINK("https://github.com/fossasia/phimpme-android/issues/815", "show")</f>
        <v>show</v>
      </c>
      <c r="G2954" t="str">
        <f>HYPERLINK("https://github.com/fossasia/phimpme-android", "show")</f>
        <v>show</v>
      </c>
      <c r="H2954" t="str">
        <f>HYPERLINK("https://github.com/fossasia/phimpme-android/releases", "show")</f>
        <v>show</v>
      </c>
      <c r="I2954">
        <v>1</v>
      </c>
      <c r="J2954">
        <v>0</v>
      </c>
      <c r="K2954">
        <v>0</v>
      </c>
      <c r="L2954">
        <v>0</v>
      </c>
      <c r="M2954" t="s">
        <v>17</v>
      </c>
    </row>
    <row r="2955" spans="1:13" hidden="1" x14ac:dyDescent="0.15">
      <c r="A2955" t="s">
        <v>9375</v>
      </c>
      <c r="B2955" t="s">
        <v>9376</v>
      </c>
      <c r="C2955" t="s">
        <v>9377</v>
      </c>
      <c r="D2955" t="s">
        <v>9371</v>
      </c>
      <c r="E2955">
        <v>1</v>
      </c>
      <c r="F2955" t="str">
        <f>HYPERLINK("https://github.com/smart-fun/XmlToJson/issues/8", "show")</f>
        <v>show</v>
      </c>
      <c r="G2955" t="str">
        <f>HYPERLINK("https://github.com/smart-fun/XmlToJson", "show")</f>
        <v>show</v>
      </c>
      <c r="H2955" t="str">
        <f>HYPERLINK("https://github.com/smart-fun/XmlToJson/releases", "show")</f>
        <v>show</v>
      </c>
      <c r="I2955">
        <v>0</v>
      </c>
      <c r="J2955">
        <v>0</v>
      </c>
      <c r="K2955">
        <v>1</v>
      </c>
      <c r="L2955">
        <v>0</v>
      </c>
      <c r="M2955" t="s">
        <v>122</v>
      </c>
    </row>
    <row r="2956" spans="1:13" hidden="1" x14ac:dyDescent="0.15">
      <c r="A2956" t="s">
        <v>9378</v>
      </c>
      <c r="B2956" t="s">
        <v>9379</v>
      </c>
      <c r="D2956" t="s">
        <v>9380</v>
      </c>
      <c r="E2956">
        <v>1</v>
      </c>
      <c r="F2956" t="str">
        <f>HYPERLINK("https://github.com/HueToYou/ChatExchange-old/issues/16", "show")</f>
        <v>show</v>
      </c>
      <c r="G2956" t="str">
        <f>HYPERLINK("https://github.com/HueToYou/ChatExchange-old", "show")</f>
        <v>show</v>
      </c>
      <c r="H2956" t="str">
        <f>HYPERLINK("https://github.com/HueToYou/ChatExchange-old/releases", "show")</f>
        <v>show</v>
      </c>
      <c r="I2956">
        <v>1</v>
      </c>
      <c r="J2956">
        <v>0</v>
      </c>
      <c r="K2956">
        <v>1</v>
      </c>
      <c r="L2956">
        <v>0</v>
      </c>
      <c r="M2956" t="s">
        <v>64</v>
      </c>
    </row>
    <row r="2957" spans="1:13" hidden="1" x14ac:dyDescent="0.15">
      <c r="A2957" t="s">
        <v>9381</v>
      </c>
      <c r="B2957" t="s">
        <v>9382</v>
      </c>
      <c r="C2957" t="s">
        <v>9383</v>
      </c>
      <c r="D2957" t="s">
        <v>9380</v>
      </c>
      <c r="E2957">
        <v>20</v>
      </c>
      <c r="F2957" t="str">
        <f>HYPERLINK("https://github.com/novoda/no-player/issues/72", "show")</f>
        <v>show</v>
      </c>
      <c r="G2957" t="str">
        <f>HYPERLINK("https://github.com/novoda/no-player", "show")</f>
        <v>show</v>
      </c>
      <c r="H2957" t="str">
        <f>HYPERLINK("https://github.com/novoda/no-player/releases", "show")</f>
        <v>show</v>
      </c>
      <c r="I2957">
        <v>1</v>
      </c>
      <c r="J2957">
        <v>0</v>
      </c>
      <c r="K2957">
        <v>0</v>
      </c>
      <c r="L2957">
        <v>0</v>
      </c>
      <c r="M2957" t="s">
        <v>17</v>
      </c>
    </row>
    <row r="2958" spans="1:13" hidden="1" x14ac:dyDescent="0.15">
      <c r="A2958" t="s">
        <v>9384</v>
      </c>
      <c r="B2958" t="s">
        <v>9385</v>
      </c>
      <c r="C2958" t="s">
        <v>9386</v>
      </c>
      <c r="D2958" t="s">
        <v>9380</v>
      </c>
      <c r="E2958">
        <v>2</v>
      </c>
      <c r="F2958" t="str">
        <f>HYPERLINK("https://github.com/google/ExoPlayer/issues/3079", "show")</f>
        <v>show</v>
      </c>
      <c r="G2958" t="str">
        <f>HYPERLINK("https://github.com/google/ExoPlayer", "show")</f>
        <v>show</v>
      </c>
      <c r="H2958" t="str">
        <f>HYPERLINK("https://github.com/google/ExoPlayer/releases", "show")</f>
        <v>show</v>
      </c>
      <c r="I2958">
        <v>1</v>
      </c>
      <c r="J2958">
        <v>1</v>
      </c>
      <c r="K2958">
        <v>0</v>
      </c>
      <c r="L2958">
        <v>0</v>
      </c>
      <c r="M2958" t="s">
        <v>48</v>
      </c>
    </row>
    <row r="2959" spans="1:13" hidden="1" x14ac:dyDescent="0.15">
      <c r="A2959" t="s">
        <v>9387</v>
      </c>
      <c r="B2959" t="s">
        <v>9388</v>
      </c>
      <c r="C2959" t="s">
        <v>9389</v>
      </c>
      <c r="D2959" t="s">
        <v>9380</v>
      </c>
      <c r="E2959">
        <v>9</v>
      </c>
      <c r="F2959" t="str">
        <f>HYPERLINK("https://github.com/LawnchairLauncher/lawnchair/issues/237", "show")</f>
        <v>show</v>
      </c>
      <c r="G2959" t="str">
        <f>HYPERLINK("https://github.com/LawnchairLauncher/lawnchair", "show")</f>
        <v>show</v>
      </c>
      <c r="H2959" t="str">
        <f>HYPERLINK("https://github.com/LawnchairLauncher/lawnchair/releases", "show")</f>
        <v>show</v>
      </c>
      <c r="I2959">
        <v>1</v>
      </c>
      <c r="J2959">
        <v>0</v>
      </c>
      <c r="K2959">
        <v>0</v>
      </c>
      <c r="L2959">
        <v>0</v>
      </c>
      <c r="M2959" t="s">
        <v>17</v>
      </c>
    </row>
    <row r="2960" spans="1:13" hidden="1" x14ac:dyDescent="0.15">
      <c r="A2960" t="s">
        <v>9390</v>
      </c>
      <c r="B2960" t="s">
        <v>6772</v>
      </c>
      <c r="D2960" t="s">
        <v>9391</v>
      </c>
      <c r="E2960">
        <v>38</v>
      </c>
      <c r="F2960" t="str">
        <f>HYPERLINK("https://github.com/7LPdWcaW/GrowTracker-Android/issues/56", "show")</f>
        <v>show</v>
      </c>
      <c r="G2960" t="str">
        <f>HYPERLINK("https://github.com/7LPdWcaW/GrowTracker-Android", "show")</f>
        <v>show</v>
      </c>
      <c r="H2960" t="str">
        <f>HYPERLINK("https://github.com/7LPdWcaW/GrowTracker-Android/releases", "show")</f>
        <v>show</v>
      </c>
      <c r="I2960">
        <v>1</v>
      </c>
      <c r="J2960">
        <v>0</v>
      </c>
      <c r="K2960">
        <v>0</v>
      </c>
      <c r="L2960">
        <v>0</v>
      </c>
      <c r="M2960" t="s">
        <v>17</v>
      </c>
    </row>
    <row r="2961" spans="1:13" hidden="1" x14ac:dyDescent="0.15">
      <c r="A2961" t="s">
        <v>9392</v>
      </c>
      <c r="B2961" t="s">
        <v>9393</v>
      </c>
      <c r="C2961" t="s">
        <v>9394</v>
      </c>
      <c r="D2961" t="s">
        <v>9391</v>
      </c>
      <c r="E2961">
        <v>1</v>
      </c>
      <c r="F2961" t="str">
        <f>HYPERLINK("https://github.com/alter-ego/androidbound/issues/126", "show")</f>
        <v>show</v>
      </c>
      <c r="G2961" t="str">
        <f>HYPERLINK("https://github.com/alter-ego/androidbound", "show")</f>
        <v>show</v>
      </c>
      <c r="H2961" t="str">
        <f>HYPERLINK("https://github.com/alter-ego/androidbound/releases", "show")</f>
        <v>show</v>
      </c>
      <c r="I2961">
        <v>1</v>
      </c>
      <c r="J2961">
        <v>0</v>
      </c>
      <c r="K2961">
        <v>1</v>
      </c>
      <c r="L2961">
        <v>0</v>
      </c>
      <c r="M2961" t="s">
        <v>64</v>
      </c>
    </row>
    <row r="2962" spans="1:13" hidden="1" x14ac:dyDescent="0.15">
      <c r="A2962" t="s">
        <v>9395</v>
      </c>
      <c r="B2962" t="s">
        <v>4871</v>
      </c>
      <c r="C2962" t="s">
        <v>504</v>
      </c>
      <c r="D2962" t="s">
        <v>9391</v>
      </c>
      <c r="E2962">
        <v>226</v>
      </c>
      <c r="F2962" t="str">
        <f>HYPERLINK("https://github.com/tanrabad/survey/issues/32", "show")</f>
        <v>show</v>
      </c>
      <c r="G2962" t="str">
        <f>HYPERLINK("https://github.com/tanrabad/survey", "show")</f>
        <v>show</v>
      </c>
      <c r="H2962" t="str">
        <f>HYPERLINK("https://github.com/tanrabad/survey/releases", "show")</f>
        <v>show</v>
      </c>
      <c r="I2962">
        <v>1</v>
      </c>
      <c r="J2962">
        <v>0</v>
      </c>
      <c r="K2962">
        <v>0</v>
      </c>
      <c r="L2962">
        <v>0</v>
      </c>
      <c r="M2962" t="s">
        <v>17</v>
      </c>
    </row>
    <row r="2963" spans="1:13" hidden="1" x14ac:dyDescent="0.15">
      <c r="A2963" t="s">
        <v>9396</v>
      </c>
      <c r="B2963" t="s">
        <v>9397</v>
      </c>
      <c r="C2963" t="s">
        <v>9398</v>
      </c>
      <c r="D2963" t="s">
        <v>9391</v>
      </c>
      <c r="E2963">
        <v>2</v>
      </c>
      <c r="F2963" t="str">
        <f>HYPERLINK("https://github.com/inaturalist/iNaturalistAndroid/issues/390", "show")</f>
        <v>show</v>
      </c>
      <c r="G2963" t="str">
        <f>HYPERLINK("https://github.com/inaturalist/iNaturalistAndroid", "show")</f>
        <v>show</v>
      </c>
      <c r="H2963" t="str">
        <f>HYPERLINK("https://github.com/inaturalist/iNaturalistAndroid/releases", "show")</f>
        <v>show</v>
      </c>
      <c r="I2963">
        <v>1</v>
      </c>
      <c r="J2963">
        <v>0</v>
      </c>
      <c r="K2963">
        <v>1</v>
      </c>
      <c r="L2963">
        <v>0</v>
      </c>
      <c r="M2963" t="s">
        <v>64</v>
      </c>
    </row>
    <row r="2964" spans="1:13" hidden="1" x14ac:dyDescent="0.15">
      <c r="A2964" t="s">
        <v>9399</v>
      </c>
      <c r="B2964" t="s">
        <v>9400</v>
      </c>
      <c r="D2964" t="s">
        <v>9401</v>
      </c>
      <c r="E2964">
        <v>76</v>
      </c>
      <c r="F2964" t="str">
        <f>HYPERLINK("https://github.com/dhbw-timetable/dhbw-timetable-android/issues/75", "show")</f>
        <v>show</v>
      </c>
      <c r="G2964" t="str">
        <f>HYPERLINK("https://github.com/dhbw-timetable/dhbw-timetable-android", "show")</f>
        <v>show</v>
      </c>
      <c r="H2964" t="str">
        <f>HYPERLINK("https://github.com/dhbw-timetable/dhbw-timetable-android/releases", "show")</f>
        <v>show</v>
      </c>
      <c r="I2964">
        <v>1</v>
      </c>
      <c r="J2964">
        <v>0</v>
      </c>
      <c r="K2964">
        <v>0</v>
      </c>
      <c r="L2964">
        <v>0</v>
      </c>
      <c r="M2964" t="s">
        <v>17</v>
      </c>
    </row>
    <row r="2965" spans="1:13" hidden="1" x14ac:dyDescent="0.15">
      <c r="A2965" t="s">
        <v>9402</v>
      </c>
      <c r="B2965" t="s">
        <v>9403</v>
      </c>
      <c r="C2965" t="s">
        <v>9404</v>
      </c>
      <c r="D2965" t="s">
        <v>9401</v>
      </c>
      <c r="E2965">
        <v>166</v>
      </c>
      <c r="F2965" t="str">
        <f>HYPERLINK("https://github.com/dhbw-timetable/dhbw-timetable-android/issues/73", "show")</f>
        <v>show</v>
      </c>
      <c r="G2965" t="str">
        <f>HYPERLINK("https://github.com/dhbw-timetable/dhbw-timetable-android", "show")</f>
        <v>show</v>
      </c>
      <c r="H2965" t="str">
        <f>HYPERLINK("https://github.com/dhbw-timetable/dhbw-timetable-android/releases", "show")</f>
        <v>show</v>
      </c>
      <c r="I2965">
        <v>0</v>
      </c>
      <c r="J2965">
        <v>0</v>
      </c>
      <c r="K2965">
        <v>0</v>
      </c>
      <c r="L2965">
        <v>0</v>
      </c>
      <c r="M2965" t="s">
        <v>43</v>
      </c>
    </row>
    <row r="2966" spans="1:13" hidden="1" x14ac:dyDescent="0.15">
      <c r="A2966" t="s">
        <v>9405</v>
      </c>
      <c r="B2966" t="s">
        <v>9406</v>
      </c>
      <c r="C2966" t="s">
        <v>504</v>
      </c>
      <c r="D2966" t="s">
        <v>9407</v>
      </c>
      <c r="E2966">
        <v>1003</v>
      </c>
      <c r="F2966" t="str">
        <f>HYPERLINK("https://github.com/BaseballCardTracker/bbct-android/issues/416", "show")</f>
        <v>show</v>
      </c>
      <c r="G2966" t="str">
        <f>HYPERLINK("https://github.com/BaseballCardTracker/bbct-android", "show")</f>
        <v>show</v>
      </c>
      <c r="H2966" t="str">
        <f>HYPERLINK("https://github.com/BaseballCardTracker/bbct-android/releases", "show")</f>
        <v>show</v>
      </c>
      <c r="I2966">
        <v>1</v>
      </c>
      <c r="J2966">
        <v>0</v>
      </c>
      <c r="K2966">
        <v>0</v>
      </c>
      <c r="L2966">
        <v>0</v>
      </c>
      <c r="M2966" t="s">
        <v>17</v>
      </c>
    </row>
    <row r="2967" spans="1:13" hidden="1" x14ac:dyDescent="0.15">
      <c r="A2967" t="s">
        <v>9408</v>
      </c>
      <c r="B2967" t="s">
        <v>9409</v>
      </c>
      <c r="C2967" t="s">
        <v>9410</v>
      </c>
      <c r="D2967" t="s">
        <v>9411</v>
      </c>
      <c r="E2967">
        <v>1019</v>
      </c>
      <c r="F2967" t="str">
        <f>HYPERLINK("https://github.com/TeamNewPipe/NewPipe/issues/635", "show")</f>
        <v>show</v>
      </c>
      <c r="G2967" t="str">
        <f>HYPERLINK("https://github.com/TeamNewPipe/NewPipe", "show")</f>
        <v>show</v>
      </c>
      <c r="H2967" t="str">
        <f>HYPERLINK("https://github.com/TeamNewPipe/NewPipe/releases", "show")</f>
        <v>show</v>
      </c>
      <c r="I2967">
        <v>1</v>
      </c>
      <c r="J2967">
        <v>0</v>
      </c>
      <c r="K2967">
        <v>0</v>
      </c>
      <c r="L2967">
        <v>0</v>
      </c>
      <c r="M2967" t="s">
        <v>17</v>
      </c>
    </row>
    <row r="2968" spans="1:13" hidden="1" x14ac:dyDescent="0.15">
      <c r="A2968" t="s">
        <v>9412</v>
      </c>
      <c r="B2968" t="s">
        <v>9413</v>
      </c>
      <c r="C2968" t="s">
        <v>9414</v>
      </c>
      <c r="D2968" t="s">
        <v>9415</v>
      </c>
      <c r="E2968">
        <v>7</v>
      </c>
      <c r="F2968" t="str">
        <f>HYPERLINK("https://github.com/billthefarmer/editor/issues/1", "show")</f>
        <v>show</v>
      </c>
      <c r="G2968" t="str">
        <f>HYPERLINK("https://github.com/billthefarmer/editor", "show")</f>
        <v>show</v>
      </c>
      <c r="H2968" t="str">
        <f>HYPERLINK("https://github.com/billthefarmer/editor/releases", "show")</f>
        <v>show</v>
      </c>
      <c r="I2968">
        <v>1</v>
      </c>
      <c r="J2968">
        <v>0</v>
      </c>
      <c r="K2968">
        <v>1</v>
      </c>
      <c r="L2968">
        <v>0</v>
      </c>
      <c r="M2968" t="s">
        <v>64</v>
      </c>
    </row>
    <row r="2969" spans="1:13" hidden="1" x14ac:dyDescent="0.15">
      <c r="A2969" t="s">
        <v>9416</v>
      </c>
      <c r="B2969" t="s">
        <v>9417</v>
      </c>
      <c r="C2969" t="s">
        <v>9418</v>
      </c>
      <c r="D2969" t="s">
        <v>9415</v>
      </c>
      <c r="E2969">
        <v>64</v>
      </c>
      <c r="F2969" t="str">
        <f>HYPERLINK("https://github.com/syncthing/syncthing-android/issues/927", "show")</f>
        <v>show</v>
      </c>
      <c r="G2969" t="str">
        <f>HYPERLINK("https://github.com/syncthing/syncthing-android", "show")</f>
        <v>show</v>
      </c>
      <c r="H2969" t="str">
        <f>HYPERLINK("https://github.com/syncthing/syncthing-android/releases", "show")</f>
        <v>show</v>
      </c>
      <c r="I2969">
        <v>1</v>
      </c>
      <c r="J2969">
        <v>1</v>
      </c>
      <c r="K2969">
        <v>0</v>
      </c>
      <c r="L2969">
        <v>0</v>
      </c>
      <c r="M2969" t="s">
        <v>48</v>
      </c>
    </row>
    <row r="2970" spans="1:13" hidden="1" x14ac:dyDescent="0.15">
      <c r="A2970" t="s">
        <v>9419</v>
      </c>
      <c r="B2970" t="s">
        <v>9420</v>
      </c>
      <c r="C2970" t="s">
        <v>9421</v>
      </c>
      <c r="D2970" t="s">
        <v>9415</v>
      </c>
      <c r="E2970">
        <v>507</v>
      </c>
      <c r="F2970" t="str">
        <f>HYPERLINK("https://github.com/dji-sdk/Mobile-SDK-Android/issues/143", "show")</f>
        <v>show</v>
      </c>
      <c r="G2970" t="str">
        <f>HYPERLINK("https://github.com/dji-sdk/Mobile-SDK-Android", "show")</f>
        <v>show</v>
      </c>
      <c r="H2970" t="str">
        <f>HYPERLINK("https://github.com/dji-sdk/Mobile-SDK-Android/releases", "show")</f>
        <v>show</v>
      </c>
      <c r="I2970">
        <v>0</v>
      </c>
      <c r="J2970">
        <v>0</v>
      </c>
      <c r="K2970">
        <v>0</v>
      </c>
      <c r="L2970">
        <v>0</v>
      </c>
      <c r="M2970" t="s">
        <v>43</v>
      </c>
    </row>
    <row r="2971" spans="1:13" hidden="1" x14ac:dyDescent="0.15">
      <c r="A2971" t="s">
        <v>9422</v>
      </c>
      <c r="B2971" t="s">
        <v>9423</v>
      </c>
      <c r="C2971" t="s">
        <v>9424</v>
      </c>
      <c r="D2971" t="s">
        <v>9425</v>
      </c>
      <c r="E2971">
        <v>24</v>
      </c>
      <c r="F2971" t="str">
        <f>HYPERLINK("https://github.com/ZeusWPI/hydra-android/issues/163", "show")</f>
        <v>show</v>
      </c>
      <c r="G2971" t="str">
        <f>HYPERLINK("https://github.com/ZeusWPI/hydra-android", "show")</f>
        <v>show</v>
      </c>
      <c r="H2971" t="str">
        <f>HYPERLINK("https://github.com/ZeusWPI/hydra-android/releases", "show")</f>
        <v>show</v>
      </c>
      <c r="I2971">
        <v>1</v>
      </c>
      <c r="J2971">
        <v>0</v>
      </c>
      <c r="K2971">
        <v>0</v>
      </c>
      <c r="L2971">
        <v>0</v>
      </c>
      <c r="M2971" t="s">
        <v>17</v>
      </c>
    </row>
    <row r="2972" spans="1:13" hidden="1" x14ac:dyDescent="0.15">
      <c r="A2972" t="s">
        <v>9426</v>
      </c>
      <c r="B2972" t="s">
        <v>9427</v>
      </c>
      <c r="C2972" t="s">
        <v>9428</v>
      </c>
      <c r="D2972" t="s">
        <v>9425</v>
      </c>
      <c r="E2972">
        <v>12</v>
      </c>
      <c r="F2972" t="str">
        <f>HYPERLINK("https://github.com/turing-tech/MaterialScrollBar/issues/100", "show")</f>
        <v>show</v>
      </c>
      <c r="G2972" t="str">
        <f>HYPERLINK("https://github.com/turing-tech/MaterialScrollBar", "show")</f>
        <v>show</v>
      </c>
      <c r="H2972" t="str">
        <f>HYPERLINK("https://github.com/turing-tech/MaterialScrollBar/releases", "show")</f>
        <v>show</v>
      </c>
      <c r="I2972">
        <v>1</v>
      </c>
      <c r="J2972">
        <v>0</v>
      </c>
      <c r="K2972">
        <v>0</v>
      </c>
      <c r="L2972">
        <v>0</v>
      </c>
      <c r="M2972" t="s">
        <v>17</v>
      </c>
    </row>
    <row r="2973" spans="1:13" hidden="1" x14ac:dyDescent="0.15">
      <c r="A2973" t="s">
        <v>9429</v>
      </c>
      <c r="B2973" t="s">
        <v>9430</v>
      </c>
      <c r="C2973" t="s">
        <v>9431</v>
      </c>
      <c r="D2973" t="s">
        <v>9425</v>
      </c>
      <c r="E2973">
        <v>0</v>
      </c>
      <c r="F2973" t="str">
        <f>HYPERLINK("https://github.com/novoda/no-player/issues/74", "show")</f>
        <v>show</v>
      </c>
      <c r="G2973" t="str">
        <f>HYPERLINK("https://github.com/novoda/no-player", "show")</f>
        <v>show</v>
      </c>
      <c r="H2973" t="str">
        <f>HYPERLINK("https://github.com/novoda/no-player/releases", "show")</f>
        <v>show</v>
      </c>
      <c r="I2973">
        <v>1</v>
      </c>
      <c r="J2973">
        <v>0</v>
      </c>
      <c r="K2973">
        <v>1</v>
      </c>
      <c r="L2973">
        <v>1</v>
      </c>
      <c r="M2973" t="s">
        <v>1259</v>
      </c>
    </row>
    <row r="2974" spans="1:13" hidden="1" x14ac:dyDescent="0.15">
      <c r="A2974" t="s">
        <v>9432</v>
      </c>
      <c r="B2974" t="s">
        <v>9433</v>
      </c>
      <c r="C2974" t="s">
        <v>9434</v>
      </c>
      <c r="D2974" t="s">
        <v>9435</v>
      </c>
      <c r="E2974">
        <v>15</v>
      </c>
      <c r="F2974" t="str">
        <f>HYPERLINK("https://github.com/codekidX/storage-chooser/issues/43", "show")</f>
        <v>show</v>
      </c>
      <c r="G2974" t="str">
        <f>HYPERLINK("https://github.com/codekidX/storage-chooser", "show")</f>
        <v>show</v>
      </c>
      <c r="H2974" t="str">
        <f>HYPERLINK("https://github.com/codekidX/storage-chooser/releases", "show")</f>
        <v>show</v>
      </c>
      <c r="I2974">
        <v>0</v>
      </c>
      <c r="J2974">
        <v>0</v>
      </c>
      <c r="K2974">
        <v>1</v>
      </c>
      <c r="L2974">
        <v>0</v>
      </c>
      <c r="M2974" t="s">
        <v>122</v>
      </c>
    </row>
    <row r="2975" spans="1:13" hidden="1" x14ac:dyDescent="0.15">
      <c r="A2975" t="s">
        <v>9436</v>
      </c>
      <c r="B2975" t="s">
        <v>9437</v>
      </c>
      <c r="C2975" t="s">
        <v>9438</v>
      </c>
      <c r="D2975" t="s">
        <v>9435</v>
      </c>
      <c r="E2975">
        <v>0</v>
      </c>
      <c r="F2975" t="str">
        <f>HYPERLINK("https://github.com/novoda/no-player/issues/76", "show")</f>
        <v>show</v>
      </c>
      <c r="G2975" t="str">
        <f>HYPERLINK("https://github.com/novoda/no-player", "show")</f>
        <v>show</v>
      </c>
      <c r="H2975" t="str">
        <f>HYPERLINK("https://github.com/novoda/no-player/releases", "show")</f>
        <v>show</v>
      </c>
      <c r="I2975">
        <v>1</v>
      </c>
      <c r="J2975">
        <v>0</v>
      </c>
      <c r="K2975">
        <v>0</v>
      </c>
      <c r="L2975">
        <v>0</v>
      </c>
      <c r="M2975" t="s">
        <v>17</v>
      </c>
    </row>
    <row r="2976" spans="1:13" hidden="1" x14ac:dyDescent="0.15">
      <c r="A2976" t="s">
        <v>9439</v>
      </c>
      <c r="B2976" t="s">
        <v>9440</v>
      </c>
      <c r="C2976" t="s">
        <v>9441</v>
      </c>
      <c r="D2976" t="s">
        <v>9435</v>
      </c>
      <c r="E2976">
        <v>0</v>
      </c>
      <c r="F2976" t="str">
        <f>HYPERLINK("https://github.com/AniTrend/anitrend-app/issues/4", "show")</f>
        <v>show</v>
      </c>
      <c r="G2976" t="str">
        <f>HYPERLINK("https://github.com/AniTrend/anitrend-app", "show")</f>
        <v>show</v>
      </c>
      <c r="H2976" t="str">
        <f>HYPERLINK("https://github.com/AniTrend/anitrend-app/releases", "show")</f>
        <v>show</v>
      </c>
      <c r="I2976">
        <v>1</v>
      </c>
      <c r="J2976">
        <v>0</v>
      </c>
      <c r="K2976">
        <v>0</v>
      </c>
      <c r="L2976">
        <v>0</v>
      </c>
      <c r="M2976" t="s">
        <v>17</v>
      </c>
    </row>
    <row r="2977" spans="1:13" hidden="1" x14ac:dyDescent="0.15">
      <c r="A2977" t="s">
        <v>9442</v>
      </c>
      <c r="B2977" t="s">
        <v>4871</v>
      </c>
      <c r="C2977" t="s">
        <v>504</v>
      </c>
      <c r="D2977" t="s">
        <v>9435</v>
      </c>
      <c r="E2977">
        <v>219</v>
      </c>
      <c r="F2977" t="str">
        <f>HYPERLINK("https://github.com/tanrabad/survey/issues/33", "show")</f>
        <v>show</v>
      </c>
      <c r="G2977" t="str">
        <f>HYPERLINK("https://github.com/tanrabad/survey", "show")</f>
        <v>show</v>
      </c>
      <c r="H2977" t="str">
        <f>HYPERLINK("https://github.com/tanrabad/survey/releases", "show")</f>
        <v>show</v>
      </c>
      <c r="I2977">
        <v>1</v>
      </c>
      <c r="J2977">
        <v>0</v>
      </c>
      <c r="K2977">
        <v>0</v>
      </c>
      <c r="L2977">
        <v>0</v>
      </c>
      <c r="M2977" t="s">
        <v>17</v>
      </c>
    </row>
    <row r="2978" spans="1:13" hidden="1" x14ac:dyDescent="0.15">
      <c r="A2978" t="s">
        <v>9443</v>
      </c>
      <c r="B2978" t="s">
        <v>9444</v>
      </c>
      <c r="C2978" t="s">
        <v>9445</v>
      </c>
      <c r="D2978" t="s">
        <v>9446</v>
      </c>
      <c r="E2978">
        <v>18</v>
      </c>
      <c r="F2978" t="str">
        <f>HYPERLINK("https://github.com/schedjoules/android-event-discovery-sdk/issues/373", "show")</f>
        <v>show</v>
      </c>
      <c r="G2978" t="str">
        <f>HYPERLINK("https://github.com/schedjoules/android-event-discovery-sdk", "show")</f>
        <v>show</v>
      </c>
      <c r="H2978" t="str">
        <f>HYPERLINK("https://github.com/schedjoules/android-event-discovery-sdk/releases", "show")</f>
        <v>show</v>
      </c>
      <c r="I2978">
        <v>1</v>
      </c>
      <c r="J2978">
        <v>0</v>
      </c>
      <c r="K2978">
        <v>1</v>
      </c>
      <c r="L2978">
        <v>0</v>
      </c>
      <c r="M2978" t="s">
        <v>64</v>
      </c>
    </row>
    <row r="2979" spans="1:13" hidden="1" x14ac:dyDescent="0.15">
      <c r="A2979" t="s">
        <v>9447</v>
      </c>
      <c r="B2979" t="s">
        <v>9448</v>
      </c>
      <c r="C2979" t="s">
        <v>9449</v>
      </c>
      <c r="D2979" t="s">
        <v>9450</v>
      </c>
      <c r="E2979">
        <v>2</v>
      </c>
      <c r="F2979" t="str">
        <f>HYPERLINK("https://github.com/fossasia/phimpme-android/issues/896", "show")</f>
        <v>show</v>
      </c>
      <c r="G2979" t="str">
        <f>HYPERLINK("https://github.com/fossasia/phimpme-android", "show")</f>
        <v>show</v>
      </c>
      <c r="H2979" t="str">
        <f>HYPERLINK("https://github.com/fossasia/phimpme-android/releases", "show")</f>
        <v>show</v>
      </c>
      <c r="I2979">
        <v>0</v>
      </c>
      <c r="J2979">
        <v>0</v>
      </c>
      <c r="K2979">
        <v>1</v>
      </c>
      <c r="L2979">
        <v>0</v>
      </c>
      <c r="M2979" t="s">
        <v>122</v>
      </c>
    </row>
    <row r="2980" spans="1:13" hidden="1" x14ac:dyDescent="0.15">
      <c r="A2980" t="s">
        <v>9451</v>
      </c>
      <c r="B2980" t="s">
        <v>9452</v>
      </c>
      <c r="C2980" t="s">
        <v>9453</v>
      </c>
      <c r="D2980" t="s">
        <v>9450</v>
      </c>
      <c r="E2980">
        <v>4</v>
      </c>
      <c r="F2980" t="str">
        <f>HYPERLINK("https://github.com/hendraanggrian/socialview/issues/15", "show")</f>
        <v>show</v>
      </c>
      <c r="G2980" t="str">
        <f>HYPERLINK("https://github.com/hendraanggrian/socialview", "show")</f>
        <v>show</v>
      </c>
      <c r="H2980" t="str">
        <f>HYPERLINK("https://github.com/hendraanggrian/socialview/releases", "show")</f>
        <v>show</v>
      </c>
      <c r="I2980">
        <v>1</v>
      </c>
      <c r="J2980">
        <v>0</v>
      </c>
      <c r="K2980">
        <v>1</v>
      </c>
      <c r="L2980">
        <v>0</v>
      </c>
      <c r="M2980" t="s">
        <v>64</v>
      </c>
    </row>
    <row r="2981" spans="1:13" hidden="1" x14ac:dyDescent="0.15">
      <c r="A2981" t="s">
        <v>9454</v>
      </c>
      <c r="B2981" t="s">
        <v>9455</v>
      </c>
      <c r="C2981" t="s">
        <v>9456</v>
      </c>
      <c r="D2981" t="s">
        <v>9450</v>
      </c>
      <c r="E2981">
        <v>3</v>
      </c>
      <c r="F2981" t="str">
        <f>HYPERLINK("https://github.com/google/ExoPlayer/issues/3116", "show")</f>
        <v>show</v>
      </c>
      <c r="G2981" t="str">
        <f>HYPERLINK("https://github.com/google/ExoPlayer", "show")</f>
        <v>show</v>
      </c>
      <c r="H2981" t="str">
        <f>HYPERLINK("https://github.com/google/ExoPlayer/releases", "show")</f>
        <v>show</v>
      </c>
      <c r="I2981">
        <v>1</v>
      </c>
      <c r="J2981">
        <v>0</v>
      </c>
      <c r="K2981">
        <v>1</v>
      </c>
      <c r="L2981">
        <v>0</v>
      </c>
      <c r="M2981" t="s">
        <v>64</v>
      </c>
    </row>
    <row r="2982" spans="1:13" hidden="1" x14ac:dyDescent="0.15">
      <c r="A2982" t="s">
        <v>9457</v>
      </c>
      <c r="B2982" t="s">
        <v>9458</v>
      </c>
      <c r="C2982" t="s">
        <v>9459</v>
      </c>
      <c r="D2982" t="s">
        <v>9450</v>
      </c>
      <c r="E2982">
        <v>0</v>
      </c>
      <c r="F2982" t="str">
        <f>HYPERLINK("https://github.com/rubensousa/FloatingToolbar/issues/32", "show")</f>
        <v>show</v>
      </c>
      <c r="G2982" t="str">
        <f>HYPERLINK("https://github.com/rubensousa/FloatingToolbar", "show")</f>
        <v>show</v>
      </c>
      <c r="H2982" t="str">
        <f>HYPERLINK("https://github.com/rubensousa/FloatingToolbar/releases", "show")</f>
        <v>show</v>
      </c>
      <c r="I2982">
        <v>1</v>
      </c>
      <c r="J2982">
        <v>0</v>
      </c>
      <c r="K2982">
        <v>0</v>
      </c>
      <c r="L2982">
        <v>0</v>
      </c>
      <c r="M2982" t="s">
        <v>17</v>
      </c>
    </row>
    <row r="2983" spans="1:13" x14ac:dyDescent="0.15">
      <c r="A2983" t="s">
        <v>9460</v>
      </c>
      <c r="B2983" t="s">
        <v>9461</v>
      </c>
      <c r="C2983" t="s">
        <v>9462</v>
      </c>
      <c r="D2983" t="s">
        <v>9463</v>
      </c>
      <c r="E2983">
        <v>166</v>
      </c>
      <c r="F2983" t="str">
        <f>HYPERLINK("https://github.com/nextcloud/android/issues/1242", "show")</f>
        <v>show</v>
      </c>
      <c r="G2983" t="str">
        <f>HYPERLINK("https://github.com/nextcloud/android", "show")</f>
        <v>show</v>
      </c>
      <c r="H2983" t="str">
        <f>HYPERLINK("https://github.com/nextcloud/android/releases", "show")</f>
        <v>show</v>
      </c>
      <c r="I2983">
        <v>0</v>
      </c>
      <c r="J2983">
        <v>1</v>
      </c>
      <c r="K2983">
        <v>0</v>
      </c>
      <c r="L2983">
        <v>0</v>
      </c>
      <c r="M2983" t="s">
        <v>139</v>
      </c>
    </row>
    <row r="2984" spans="1:13" hidden="1" x14ac:dyDescent="0.15">
      <c r="A2984" t="s">
        <v>9464</v>
      </c>
      <c r="B2984" t="s">
        <v>9465</v>
      </c>
      <c r="C2984" t="s">
        <v>9466</v>
      </c>
      <c r="D2984" t="s">
        <v>9463</v>
      </c>
      <c r="E2984">
        <v>3</v>
      </c>
      <c r="F2984" t="str">
        <f>HYPERLINK("https://github.com/underlx/underlx/issues/31", "show")</f>
        <v>show</v>
      </c>
      <c r="G2984" t="str">
        <f>HYPERLINK("https://github.com/underlx/underlx", "show")</f>
        <v>show</v>
      </c>
      <c r="H2984" t="str">
        <f>HYPERLINK("https://github.com/underlx/underlx/releases", "show")</f>
        <v>show</v>
      </c>
      <c r="I2984">
        <v>1</v>
      </c>
      <c r="J2984">
        <v>0</v>
      </c>
      <c r="K2984">
        <v>0</v>
      </c>
      <c r="L2984">
        <v>0</v>
      </c>
      <c r="M2984" t="s">
        <v>17</v>
      </c>
    </row>
    <row r="2985" spans="1:13" hidden="1" x14ac:dyDescent="0.15">
      <c r="A2985" t="s">
        <v>9467</v>
      </c>
      <c r="B2985" t="s">
        <v>9468</v>
      </c>
      <c r="C2985" t="s">
        <v>504</v>
      </c>
      <c r="D2985" t="s">
        <v>9469</v>
      </c>
      <c r="E2985">
        <v>507</v>
      </c>
      <c r="F2985" t="str">
        <f>HYPERLINK("https://github.com/niclabs/adkintunmobile-androidclient/issues/179", "show")</f>
        <v>show</v>
      </c>
      <c r="G2985" t="str">
        <f>HYPERLINK("https://github.com/niclabs/adkintunmobile-androidclient", "show")</f>
        <v>show</v>
      </c>
      <c r="H2985" t="str">
        <f>HYPERLINK("https://github.com/niclabs/adkintunmobile-androidclient/releases", "show")</f>
        <v>show</v>
      </c>
      <c r="I2985">
        <v>1</v>
      </c>
      <c r="J2985">
        <v>0</v>
      </c>
      <c r="K2985">
        <v>0</v>
      </c>
      <c r="L2985">
        <v>0</v>
      </c>
      <c r="M2985" t="s">
        <v>17</v>
      </c>
    </row>
    <row r="2986" spans="1:13" hidden="1" x14ac:dyDescent="0.15">
      <c r="A2986" t="s">
        <v>9470</v>
      </c>
      <c r="B2986" t="s">
        <v>9471</v>
      </c>
      <c r="C2986" t="s">
        <v>504</v>
      </c>
      <c r="D2986" t="s">
        <v>9469</v>
      </c>
      <c r="E2986">
        <v>263</v>
      </c>
      <c r="F2986" t="str">
        <f>HYPERLINK("https://github.com/itachi1706/SingBuses/issues/83", "show")</f>
        <v>show</v>
      </c>
      <c r="G2986" t="str">
        <f>HYPERLINK("https://github.com/itachi1706/SingBuses", "show")</f>
        <v>show</v>
      </c>
      <c r="H2986" t="str">
        <f>HYPERLINK("https://github.com/itachi1706/SingBuses/releases", "show")</f>
        <v>show</v>
      </c>
      <c r="I2986">
        <v>1</v>
      </c>
      <c r="J2986">
        <v>0</v>
      </c>
      <c r="K2986">
        <v>0</v>
      </c>
      <c r="L2986">
        <v>0</v>
      </c>
      <c r="M2986" t="s">
        <v>17</v>
      </c>
    </row>
    <row r="2987" spans="1:13" hidden="1" x14ac:dyDescent="0.15">
      <c r="A2987" t="s">
        <v>9472</v>
      </c>
      <c r="B2987" t="s">
        <v>9473</v>
      </c>
      <c r="C2987" t="s">
        <v>9474</v>
      </c>
      <c r="D2987" t="s">
        <v>9475</v>
      </c>
      <c r="E2987">
        <v>266</v>
      </c>
      <c r="F2987" t="str">
        <f>HYPERLINK("https://github.com/cgeo/cgeo/issues/6669", "show")</f>
        <v>show</v>
      </c>
      <c r="G2987" t="str">
        <f>HYPERLINK("https://github.com/cgeo/cgeo", "show")</f>
        <v>show</v>
      </c>
      <c r="H2987" t="str">
        <f>HYPERLINK("https://github.com/cgeo/cgeo/releases", "show")</f>
        <v>show</v>
      </c>
      <c r="I2987">
        <v>1</v>
      </c>
      <c r="J2987">
        <v>0</v>
      </c>
      <c r="K2987">
        <v>0</v>
      </c>
      <c r="L2987">
        <v>0</v>
      </c>
      <c r="M2987" t="s">
        <v>17</v>
      </c>
    </row>
    <row r="2988" spans="1:13" hidden="1" x14ac:dyDescent="0.15">
      <c r="A2988" t="s">
        <v>9476</v>
      </c>
      <c r="B2988" t="s">
        <v>9477</v>
      </c>
      <c r="C2988" t="s">
        <v>9478</v>
      </c>
      <c r="D2988" t="s">
        <v>9475</v>
      </c>
      <c r="E2988">
        <v>43</v>
      </c>
      <c r="F2988" t="str">
        <f>HYPERLINK("https://github.com/ForstaLabs/relay/issues/133", "show")</f>
        <v>show</v>
      </c>
      <c r="G2988" t="str">
        <f>HYPERLINK("https://github.com/ForstaLabs/relay", "show")</f>
        <v>show</v>
      </c>
      <c r="H2988" t="str">
        <f>HYPERLINK("https://github.com/ForstaLabs/relay/releases", "show")</f>
        <v>show</v>
      </c>
      <c r="I2988">
        <v>1</v>
      </c>
      <c r="J2988">
        <v>0</v>
      </c>
      <c r="K2988">
        <v>0</v>
      </c>
      <c r="L2988">
        <v>0</v>
      </c>
      <c r="M2988" t="s">
        <v>17</v>
      </c>
    </row>
    <row r="2989" spans="1:13" hidden="1" x14ac:dyDescent="0.15">
      <c r="A2989" t="s">
        <v>9479</v>
      </c>
      <c r="B2989" t="s">
        <v>9480</v>
      </c>
      <c r="D2989" t="s">
        <v>9481</v>
      </c>
      <c r="E2989">
        <v>111</v>
      </c>
      <c r="F2989" t="str">
        <f>HYPERLINK("https://github.com/hcbpassos/step/issues/7", "show")</f>
        <v>show</v>
      </c>
      <c r="G2989" t="str">
        <f>HYPERLINK("https://github.com/hcbpassos/step", "show")</f>
        <v>show</v>
      </c>
      <c r="H2989" t="str">
        <f>HYPERLINK("https://github.com/hcbpassos/step/releases", "show")</f>
        <v>show</v>
      </c>
      <c r="I2989">
        <v>1</v>
      </c>
      <c r="J2989">
        <v>0</v>
      </c>
      <c r="K2989">
        <v>0</v>
      </c>
      <c r="L2989">
        <v>0</v>
      </c>
      <c r="M2989" t="s">
        <v>17</v>
      </c>
    </row>
    <row r="2990" spans="1:13" hidden="1" x14ac:dyDescent="0.15">
      <c r="A2990" t="s">
        <v>9482</v>
      </c>
      <c r="B2990" t="s">
        <v>9483</v>
      </c>
      <c r="C2990" t="s">
        <v>9484</v>
      </c>
      <c r="D2990" t="s">
        <v>9481</v>
      </c>
      <c r="E2990">
        <v>0</v>
      </c>
      <c r="F2990" t="str">
        <f>HYPERLINK("https://github.com/nextcloud/android/issues/1255", "show")</f>
        <v>show</v>
      </c>
      <c r="G2990" t="str">
        <f>HYPERLINK("https://github.com/nextcloud/android", "show")</f>
        <v>show</v>
      </c>
      <c r="H2990" t="str">
        <f>HYPERLINK("https://github.com/nextcloud/android/releases", "show")</f>
        <v>show</v>
      </c>
      <c r="I2990">
        <v>1</v>
      </c>
      <c r="J2990">
        <v>1</v>
      </c>
      <c r="K2990">
        <v>1</v>
      </c>
      <c r="L2990">
        <v>0</v>
      </c>
      <c r="M2990" t="s">
        <v>59</v>
      </c>
    </row>
    <row r="2991" spans="1:13" hidden="1" x14ac:dyDescent="0.15">
      <c r="A2991" t="s">
        <v>9485</v>
      </c>
      <c r="B2991" t="s">
        <v>9486</v>
      </c>
      <c r="C2991" t="s">
        <v>9487</v>
      </c>
      <c r="D2991" t="s">
        <v>9481</v>
      </c>
      <c r="E2991">
        <v>16</v>
      </c>
      <c r="F2991" t="str">
        <f>HYPERLINK("https://github.com/kollerlukas/Camera-Roll-Android-App/issues/64", "show")</f>
        <v>show</v>
      </c>
      <c r="G2991" t="str">
        <f>HYPERLINK("https://github.com/kollerlukas/Camera-Roll-Android-App", "show")</f>
        <v>show</v>
      </c>
      <c r="H2991" t="str">
        <f>HYPERLINK("https://github.com/kollerlukas/Camera-Roll-Android-App/releases", "show")</f>
        <v>show</v>
      </c>
      <c r="I2991">
        <v>1</v>
      </c>
      <c r="J2991">
        <v>0</v>
      </c>
      <c r="K2991">
        <v>0</v>
      </c>
      <c r="L2991">
        <v>0</v>
      </c>
      <c r="M2991" t="s">
        <v>17</v>
      </c>
    </row>
    <row r="2992" spans="1:13" hidden="1" x14ac:dyDescent="0.15">
      <c r="A2992" t="s">
        <v>9488</v>
      </c>
      <c r="B2992" t="s">
        <v>9489</v>
      </c>
      <c r="C2992" t="s">
        <v>9490</v>
      </c>
      <c r="D2992" t="s">
        <v>9481</v>
      </c>
      <c r="E2992">
        <v>0</v>
      </c>
      <c r="F2992" t="str">
        <f>HYPERLINK("https://github.com/fossasia/pslab-android/issues/400", "show")</f>
        <v>show</v>
      </c>
      <c r="G2992" t="str">
        <f>HYPERLINK("https://github.com/fossasia/pslab-android", "show")</f>
        <v>show</v>
      </c>
      <c r="H2992" t="str">
        <f>HYPERLINK("https://github.com/fossasia/pslab-android/releases", "show")</f>
        <v>show</v>
      </c>
      <c r="I2992">
        <v>1</v>
      </c>
      <c r="J2992">
        <v>0</v>
      </c>
      <c r="K2992">
        <v>0</v>
      </c>
      <c r="L2992">
        <v>0</v>
      </c>
      <c r="M2992" t="s">
        <v>17</v>
      </c>
    </row>
    <row r="2993" spans="1:13" hidden="1" x14ac:dyDescent="0.15">
      <c r="A2993" t="s">
        <v>9491</v>
      </c>
      <c r="B2993" t="s">
        <v>9492</v>
      </c>
      <c r="C2993" t="s">
        <v>9493</v>
      </c>
      <c r="D2993" t="s">
        <v>9494</v>
      </c>
      <c r="E2993">
        <v>251</v>
      </c>
      <c r="F2993" t="str">
        <f>HYPERLINK("https://github.com/inaturalist/iNaturalistAndroid/issues/392", "show")</f>
        <v>show</v>
      </c>
      <c r="G2993" t="str">
        <f>HYPERLINK("https://github.com/inaturalist/iNaturalistAndroid", "show")</f>
        <v>show</v>
      </c>
      <c r="H2993" t="str">
        <f>HYPERLINK("https://github.com/inaturalist/iNaturalistAndroid/releases", "show")</f>
        <v>show</v>
      </c>
      <c r="I2993">
        <v>1</v>
      </c>
      <c r="J2993">
        <v>0</v>
      </c>
      <c r="K2993">
        <v>0</v>
      </c>
      <c r="L2993">
        <v>0</v>
      </c>
      <c r="M2993" t="s">
        <v>17</v>
      </c>
    </row>
    <row r="2994" spans="1:13" hidden="1" x14ac:dyDescent="0.15">
      <c r="A2994" t="s">
        <v>9495</v>
      </c>
      <c r="B2994" t="s">
        <v>9496</v>
      </c>
      <c r="C2994" t="s">
        <v>9497</v>
      </c>
      <c r="D2994" t="s">
        <v>9494</v>
      </c>
      <c r="E2994">
        <v>5</v>
      </c>
      <c r="F2994" t="str">
        <f>HYPERLINK("https://github.com/simoneapp/S3-16-simone/issues/27", "show")</f>
        <v>show</v>
      </c>
      <c r="G2994" t="str">
        <f>HYPERLINK("https://github.com/simoneapp/S3-16-simone", "show")</f>
        <v>show</v>
      </c>
      <c r="H2994" t="str">
        <f>HYPERLINK("https://github.com/simoneapp/S3-16-simone/releases", "show")</f>
        <v>show</v>
      </c>
      <c r="I2994">
        <v>0</v>
      </c>
      <c r="J2994">
        <v>0</v>
      </c>
      <c r="K2994">
        <v>0</v>
      </c>
      <c r="L2994">
        <v>0</v>
      </c>
      <c r="M2994" t="s">
        <v>43</v>
      </c>
    </row>
    <row r="2995" spans="1:13" hidden="1" x14ac:dyDescent="0.15">
      <c r="A2995" t="s">
        <v>9498</v>
      </c>
      <c r="B2995" t="s">
        <v>9499</v>
      </c>
      <c r="C2995" t="s">
        <v>9500</v>
      </c>
      <c r="D2995" t="s">
        <v>9494</v>
      </c>
      <c r="E2995">
        <v>0</v>
      </c>
      <c r="F2995" t="str">
        <f>HYPERLINK("https://github.com/dimagi/commcare-android/issues/1779", "show")</f>
        <v>show</v>
      </c>
      <c r="G2995" t="str">
        <f>HYPERLINK("https://github.com/dimagi/commcare-android", "show")</f>
        <v>show</v>
      </c>
      <c r="H2995" t="str">
        <f>HYPERLINK("https://github.com/dimagi/commcare-android/releases", "show")</f>
        <v>show</v>
      </c>
      <c r="I2995">
        <v>1</v>
      </c>
      <c r="J2995">
        <v>0</v>
      </c>
      <c r="K2995">
        <v>0</v>
      </c>
      <c r="L2995">
        <v>0</v>
      </c>
      <c r="M2995" t="s">
        <v>17</v>
      </c>
    </row>
    <row r="2996" spans="1:13" hidden="1" x14ac:dyDescent="0.15">
      <c r="A2996" t="s">
        <v>9501</v>
      </c>
      <c r="B2996" t="s">
        <v>9502</v>
      </c>
      <c r="C2996" t="s">
        <v>9503</v>
      </c>
      <c r="D2996" t="s">
        <v>9494</v>
      </c>
      <c r="E2996">
        <v>2</v>
      </c>
      <c r="F2996" t="str">
        <f>HYPERLINK("https://github.com/vector-im/riot-android/issues/1474", "show")</f>
        <v>show</v>
      </c>
      <c r="G2996" t="str">
        <f>HYPERLINK("https://github.com/vector-im/riot-android", "show")</f>
        <v>show</v>
      </c>
      <c r="H2996" t="str">
        <f>HYPERLINK("https://github.com/vector-im/riot-android/releases", "show")</f>
        <v>show</v>
      </c>
      <c r="I2996">
        <v>0</v>
      </c>
      <c r="J2996">
        <v>0</v>
      </c>
      <c r="K2996">
        <v>0</v>
      </c>
      <c r="L2996">
        <v>0</v>
      </c>
      <c r="M2996" t="s">
        <v>43</v>
      </c>
    </row>
    <row r="2997" spans="1:13" hidden="1" x14ac:dyDescent="0.15">
      <c r="A2997" t="s">
        <v>9504</v>
      </c>
      <c r="B2997" t="s">
        <v>9505</v>
      </c>
      <c r="C2997" t="s">
        <v>9506</v>
      </c>
      <c r="D2997" t="s">
        <v>9507</v>
      </c>
      <c r="E2997">
        <v>1</v>
      </c>
      <c r="F2997" t="str">
        <f>HYPERLINK("https://github.com/fossasia/phimpme-android/issues/944", "show")</f>
        <v>show</v>
      </c>
      <c r="G2997" t="str">
        <f>HYPERLINK("https://github.com/fossasia/phimpme-android", "show")</f>
        <v>show</v>
      </c>
      <c r="H2997" t="str">
        <f>HYPERLINK("https://github.com/fossasia/phimpme-android/releases", "show")</f>
        <v>show</v>
      </c>
      <c r="I2997">
        <v>1</v>
      </c>
      <c r="J2997">
        <v>1</v>
      </c>
      <c r="K2997">
        <v>0</v>
      </c>
      <c r="L2997">
        <v>0</v>
      </c>
      <c r="M2997" t="s">
        <v>48</v>
      </c>
    </row>
    <row r="2998" spans="1:13" hidden="1" x14ac:dyDescent="0.15">
      <c r="A2998" t="s">
        <v>9508</v>
      </c>
      <c r="B2998" t="s">
        <v>9509</v>
      </c>
      <c r="C2998" t="s">
        <v>9510</v>
      </c>
      <c r="D2998" t="s">
        <v>9507</v>
      </c>
      <c r="E2998">
        <v>4</v>
      </c>
      <c r="F2998" t="str">
        <f>HYPERLINK("https://github.com/openbase/bco.bcomfy/issues/46", "show")</f>
        <v>show</v>
      </c>
      <c r="G2998" t="str">
        <f>HYPERLINK("https://github.com/openbase/bco.bcomfy", "show")</f>
        <v>show</v>
      </c>
      <c r="H2998" t="str">
        <f>HYPERLINK("https://github.com/openbase/bco.bcomfy/releases", "show")</f>
        <v>show</v>
      </c>
      <c r="I2998">
        <v>1</v>
      </c>
      <c r="J2998">
        <v>0</v>
      </c>
      <c r="K2998">
        <v>1</v>
      </c>
      <c r="L2998">
        <v>0</v>
      </c>
      <c r="M2998" t="s">
        <v>64</v>
      </c>
    </row>
    <row r="2999" spans="1:13" hidden="1" x14ac:dyDescent="0.15">
      <c r="A2999" t="s">
        <v>9511</v>
      </c>
      <c r="B2999" t="s">
        <v>9512</v>
      </c>
      <c r="C2999" t="s">
        <v>9513</v>
      </c>
      <c r="D2999" t="s">
        <v>9514</v>
      </c>
      <c r="E2999">
        <v>4</v>
      </c>
      <c r="F2999" t="str">
        <f>HYPERLINK("https://github.com/getodk/collect/issues/1313", "show")</f>
        <v>show</v>
      </c>
      <c r="G2999" t="str">
        <f>HYPERLINK("https://github.com/getodk/collect", "show")</f>
        <v>show</v>
      </c>
      <c r="H2999" t="str">
        <f>HYPERLINK("https://github.com/getodk/collect/releases", "show")</f>
        <v>show</v>
      </c>
      <c r="I2999">
        <v>0</v>
      </c>
      <c r="J2999">
        <v>0</v>
      </c>
      <c r="K2999">
        <v>1</v>
      </c>
      <c r="L2999">
        <v>0</v>
      </c>
      <c r="M2999" t="s">
        <v>122</v>
      </c>
    </row>
    <row r="3000" spans="1:13" hidden="1" x14ac:dyDescent="0.15">
      <c r="A3000" t="s">
        <v>9515</v>
      </c>
      <c r="B3000" t="s">
        <v>9516</v>
      </c>
      <c r="C3000" t="s">
        <v>9517</v>
      </c>
      <c r="D3000" t="s">
        <v>9514</v>
      </c>
      <c r="E3000">
        <v>18</v>
      </c>
      <c r="F3000" t="str">
        <f>HYPERLINK("https://github.com/billthefarmer/editor/issues/3", "show")</f>
        <v>show</v>
      </c>
      <c r="G3000" t="str">
        <f>HYPERLINK("https://github.com/billthefarmer/editor", "show")</f>
        <v>show</v>
      </c>
      <c r="H3000" t="str">
        <f>HYPERLINK("https://github.com/billthefarmer/editor/releases", "show")</f>
        <v>show</v>
      </c>
      <c r="I3000">
        <v>1</v>
      </c>
      <c r="J3000">
        <v>0</v>
      </c>
      <c r="K3000">
        <v>0</v>
      </c>
      <c r="L3000">
        <v>0</v>
      </c>
      <c r="M3000" t="s">
        <v>17</v>
      </c>
    </row>
    <row r="3001" spans="1:13" hidden="1" x14ac:dyDescent="0.15">
      <c r="A3001" t="s">
        <v>9518</v>
      </c>
      <c r="B3001" t="s">
        <v>9519</v>
      </c>
      <c r="C3001" t="s">
        <v>9520</v>
      </c>
      <c r="D3001" t="s">
        <v>9514</v>
      </c>
      <c r="E3001">
        <v>538</v>
      </c>
      <c r="F3001" t="str">
        <f>HYPERLINK("https://github.com/ccrama/Slide/issues/2503", "show")</f>
        <v>show</v>
      </c>
      <c r="G3001" t="str">
        <f>HYPERLINK("https://github.com/ccrama/Slide", "show")</f>
        <v>show</v>
      </c>
      <c r="H3001" t="str">
        <f>HYPERLINK("https://github.com/ccrama/Slide/releases", "show")</f>
        <v>show</v>
      </c>
      <c r="I3001">
        <v>1</v>
      </c>
      <c r="J3001">
        <v>0</v>
      </c>
      <c r="K3001">
        <v>0</v>
      </c>
      <c r="L3001">
        <v>0</v>
      </c>
      <c r="M3001" t="s">
        <v>17</v>
      </c>
    </row>
    <row r="3002" spans="1:13" hidden="1" x14ac:dyDescent="0.15">
      <c r="A3002" t="s">
        <v>9521</v>
      </c>
      <c r="B3002" t="s">
        <v>9522</v>
      </c>
      <c r="D3002" t="s">
        <v>9514</v>
      </c>
      <c r="E3002">
        <v>390</v>
      </c>
      <c r="F3002" t="str">
        <f>HYPERLINK("https://github.com/NeXT-Workshops/mindroid/issues/50", "show")</f>
        <v>show</v>
      </c>
      <c r="G3002" t="str">
        <f>HYPERLINK("https://github.com/NeXT-Workshops/mindroid", "show")</f>
        <v>show</v>
      </c>
      <c r="H3002" t="str">
        <f>HYPERLINK("https://github.com/NeXT-Workshops/mindroid/releases", "show")</f>
        <v>show</v>
      </c>
      <c r="I3002">
        <v>1</v>
      </c>
      <c r="J3002">
        <v>0</v>
      </c>
      <c r="K3002">
        <v>0</v>
      </c>
      <c r="L3002">
        <v>0</v>
      </c>
      <c r="M3002" t="s">
        <v>17</v>
      </c>
    </row>
    <row r="3003" spans="1:13" hidden="1" x14ac:dyDescent="0.15">
      <c r="A3003" t="s">
        <v>9523</v>
      </c>
      <c r="B3003" t="s">
        <v>9524</v>
      </c>
      <c r="C3003" t="s">
        <v>9525</v>
      </c>
      <c r="D3003" t="s">
        <v>9514</v>
      </c>
      <c r="E3003">
        <v>2</v>
      </c>
      <c r="F3003" t="str">
        <f>HYPERLINK("https://github.com/koral--/android-gif-drawable/issues/434", "show")</f>
        <v>show</v>
      </c>
      <c r="G3003" t="str">
        <f>HYPERLINK("https://github.com/koral--/android-gif-drawable", "show")</f>
        <v>show</v>
      </c>
      <c r="H3003" t="str">
        <f>HYPERLINK("https://github.com/koral--/android-gif-drawable/releases", "show")</f>
        <v>show</v>
      </c>
      <c r="I3003">
        <v>1</v>
      </c>
      <c r="J3003">
        <v>0</v>
      </c>
      <c r="K3003">
        <v>0</v>
      </c>
      <c r="L3003">
        <v>0</v>
      </c>
      <c r="M3003" t="s">
        <v>17</v>
      </c>
    </row>
    <row r="3004" spans="1:13" hidden="1" x14ac:dyDescent="0.15">
      <c r="A3004" t="s">
        <v>9526</v>
      </c>
      <c r="B3004" t="s">
        <v>9527</v>
      </c>
      <c r="C3004" t="s">
        <v>9528</v>
      </c>
      <c r="D3004" t="s">
        <v>9529</v>
      </c>
      <c r="E3004">
        <v>109</v>
      </c>
      <c r="F3004" t="str">
        <f>HYPERLINK("https://github.com/DecentralizedAmateurPagingNetwork/DAPNETApp/issues/43", "show")</f>
        <v>show</v>
      </c>
      <c r="G3004" t="str">
        <f>HYPERLINK("https://github.com/DecentralizedAmateurPagingNetwork/DAPNETApp", "show")</f>
        <v>show</v>
      </c>
      <c r="H3004" t="str">
        <f>HYPERLINK("https://github.com/DecentralizedAmateurPagingNetwork/DAPNETApp/releases", "show")</f>
        <v>show</v>
      </c>
      <c r="I3004">
        <v>1</v>
      </c>
      <c r="J3004">
        <v>0</v>
      </c>
      <c r="K3004">
        <v>0</v>
      </c>
      <c r="L3004">
        <v>0</v>
      </c>
      <c r="M3004" t="s">
        <v>17</v>
      </c>
    </row>
    <row r="3005" spans="1:13" hidden="1" x14ac:dyDescent="0.15">
      <c r="A3005" t="s">
        <v>9530</v>
      </c>
      <c r="B3005" t="s">
        <v>9531</v>
      </c>
      <c r="D3005" t="s">
        <v>9529</v>
      </c>
      <c r="E3005">
        <v>0</v>
      </c>
      <c r="F3005" t="str">
        <f>HYPERLINK("https://github.com/MrZeRo2000/violetnote-android/issues/84", "show")</f>
        <v>show</v>
      </c>
      <c r="G3005" t="str">
        <f>HYPERLINK("https://github.com/MrZeRo2000/violetnote-android", "show")</f>
        <v>show</v>
      </c>
      <c r="H3005" t="str">
        <f>HYPERLINK("https://github.com/MrZeRo2000/violetnote-android/releases", "show")</f>
        <v>show</v>
      </c>
      <c r="I3005">
        <v>1</v>
      </c>
      <c r="J3005">
        <v>0</v>
      </c>
      <c r="K3005">
        <v>0</v>
      </c>
      <c r="L3005">
        <v>0</v>
      </c>
      <c r="M3005" t="s">
        <v>17</v>
      </c>
    </row>
    <row r="3006" spans="1:13" hidden="1" x14ac:dyDescent="0.15">
      <c r="A3006" t="s">
        <v>9532</v>
      </c>
      <c r="B3006" t="s">
        <v>9533</v>
      </c>
      <c r="C3006" t="s">
        <v>9534</v>
      </c>
      <c r="D3006" t="s">
        <v>9535</v>
      </c>
      <c r="E3006">
        <v>0</v>
      </c>
      <c r="F3006" t="str">
        <f>HYPERLINK("https://github.com/jacob-g/cleveland-rta-next-bus-train/issues/87", "show")</f>
        <v>show</v>
      </c>
      <c r="G3006" t="str">
        <f>HYPERLINK("https://github.com/jacob-g/cleveland-rta-next-bus-train", "show")</f>
        <v>show</v>
      </c>
      <c r="H3006" t="str">
        <f>HYPERLINK("https://github.com/jacob-g/cleveland-rta-next-bus-train/releases", "show")</f>
        <v>show</v>
      </c>
      <c r="I3006">
        <v>1</v>
      </c>
      <c r="J3006">
        <v>0</v>
      </c>
      <c r="K3006">
        <v>0</v>
      </c>
      <c r="L3006">
        <v>0</v>
      </c>
      <c r="M3006" t="s">
        <v>17</v>
      </c>
    </row>
    <row r="3007" spans="1:13" hidden="1" x14ac:dyDescent="0.15">
      <c r="A3007" t="s">
        <v>9536</v>
      </c>
      <c r="B3007" t="s">
        <v>9537</v>
      </c>
      <c r="C3007" t="s">
        <v>9538</v>
      </c>
      <c r="D3007" t="s">
        <v>9535</v>
      </c>
      <c r="E3007">
        <v>59</v>
      </c>
      <c r="F3007" t="str">
        <f>HYPERLINK("https://github.com/projectwife/mtesitoo-android/issues/135", "show")</f>
        <v>show</v>
      </c>
      <c r="G3007" t="str">
        <f>HYPERLINK("https://github.com/projectwife/mtesitoo-android", "show")</f>
        <v>show</v>
      </c>
      <c r="H3007" t="str">
        <f>HYPERLINK("https://github.com/projectwife/mtesitoo-android/releases", "show")</f>
        <v>show</v>
      </c>
      <c r="I3007">
        <v>1</v>
      </c>
      <c r="J3007">
        <v>0</v>
      </c>
      <c r="K3007">
        <v>1</v>
      </c>
      <c r="L3007">
        <v>0</v>
      </c>
      <c r="M3007" t="s">
        <v>64</v>
      </c>
    </row>
    <row r="3008" spans="1:13" hidden="1" x14ac:dyDescent="0.15">
      <c r="A3008" t="s">
        <v>9539</v>
      </c>
      <c r="B3008" t="s">
        <v>9540</v>
      </c>
      <c r="C3008" t="s">
        <v>9541</v>
      </c>
      <c r="D3008" t="s">
        <v>9535</v>
      </c>
      <c r="E3008">
        <v>5</v>
      </c>
      <c r="F3008" t="str">
        <f>HYPERLINK("https://github.com/Vinetos/Hello-Music/issues/7", "show")</f>
        <v>show</v>
      </c>
      <c r="G3008" t="str">
        <f>HYPERLINK("https://github.com/Vinetos/Hello-Music", "show")</f>
        <v>show</v>
      </c>
      <c r="H3008" t="str">
        <f>HYPERLINK("https://github.com/Vinetos/Hello-Music/releases", "show")</f>
        <v>show</v>
      </c>
      <c r="I3008">
        <v>0</v>
      </c>
      <c r="J3008">
        <v>0</v>
      </c>
      <c r="K3008">
        <v>0</v>
      </c>
      <c r="L3008">
        <v>0</v>
      </c>
      <c r="M3008" t="s">
        <v>43</v>
      </c>
    </row>
    <row r="3009" spans="1:13" hidden="1" x14ac:dyDescent="0.15">
      <c r="A3009" t="s">
        <v>9542</v>
      </c>
      <c r="B3009" t="s">
        <v>9543</v>
      </c>
      <c r="C3009" t="s">
        <v>504</v>
      </c>
      <c r="D3009" t="s">
        <v>9535</v>
      </c>
      <c r="E3009">
        <v>0</v>
      </c>
      <c r="F3009" t="str">
        <f>HYPERLINK("https://github.com/itachi1706/SingBuses/issues/85", "show")</f>
        <v>show</v>
      </c>
      <c r="G3009" t="str">
        <f>HYPERLINK("https://github.com/itachi1706/SingBuses", "show")</f>
        <v>show</v>
      </c>
      <c r="H3009" t="str">
        <f>HYPERLINK("https://github.com/itachi1706/SingBuses/releases", "show")</f>
        <v>show</v>
      </c>
      <c r="I3009">
        <v>1</v>
      </c>
      <c r="J3009">
        <v>0</v>
      </c>
      <c r="K3009">
        <v>0</v>
      </c>
      <c r="L3009">
        <v>0</v>
      </c>
      <c r="M3009" t="s">
        <v>17</v>
      </c>
    </row>
    <row r="3010" spans="1:13" hidden="1" x14ac:dyDescent="0.15">
      <c r="A3010" t="s">
        <v>9544</v>
      </c>
      <c r="B3010" t="s">
        <v>9545</v>
      </c>
      <c r="C3010" t="s">
        <v>9546</v>
      </c>
      <c r="D3010" t="s">
        <v>9547</v>
      </c>
      <c r="E3010">
        <v>6</v>
      </c>
      <c r="F3010" t="str">
        <f>HYPERLINK("https://github.com/alhazmy13/MediaPicker/issues/35", "show")</f>
        <v>show</v>
      </c>
      <c r="G3010" t="str">
        <f>HYPERLINK("https://github.com/alhazmy13/MediaPicker", "show")</f>
        <v>show</v>
      </c>
      <c r="H3010" t="str">
        <f>HYPERLINK("https://github.com/alhazmy13/MediaPicker/releases", "show")</f>
        <v>show</v>
      </c>
      <c r="I3010">
        <v>1</v>
      </c>
      <c r="J3010">
        <v>0</v>
      </c>
      <c r="K3010">
        <v>0</v>
      </c>
      <c r="L3010">
        <v>0</v>
      </c>
      <c r="M3010" t="s">
        <v>17</v>
      </c>
    </row>
    <row r="3011" spans="1:13" hidden="1" x14ac:dyDescent="0.15">
      <c r="A3011" t="s">
        <v>9548</v>
      </c>
      <c r="B3011" t="s">
        <v>9549</v>
      </c>
      <c r="C3011" t="s">
        <v>9550</v>
      </c>
      <c r="D3011" t="s">
        <v>9547</v>
      </c>
      <c r="E3011">
        <v>1</v>
      </c>
      <c r="F3011" t="str">
        <f>HYPERLINK("https://github.com/psych-tech/smart-pm/issues/30", "show")</f>
        <v>show</v>
      </c>
      <c r="G3011" t="str">
        <f>HYPERLINK("https://github.com/psych-tech/smart-pm", "show")</f>
        <v>show</v>
      </c>
      <c r="H3011" t="str">
        <f>HYPERLINK("https://github.com/psych-tech/smart-pm/releases", "show")</f>
        <v>show</v>
      </c>
      <c r="I3011">
        <v>1</v>
      </c>
      <c r="J3011">
        <v>0</v>
      </c>
      <c r="K3011">
        <v>1</v>
      </c>
      <c r="L3011">
        <v>0</v>
      </c>
      <c r="M3011" t="s">
        <v>64</v>
      </c>
    </row>
    <row r="3012" spans="1:13" hidden="1" x14ac:dyDescent="0.15">
      <c r="A3012" t="s">
        <v>9551</v>
      </c>
      <c r="B3012" t="s">
        <v>9552</v>
      </c>
      <c r="C3012" t="s">
        <v>504</v>
      </c>
      <c r="D3012" t="s">
        <v>9547</v>
      </c>
      <c r="E3012">
        <v>986</v>
      </c>
      <c r="F3012" t="str">
        <f>HYPERLINK("https://github.com/BaseballCardTracker/bbct-android/issues/421", "show")</f>
        <v>show</v>
      </c>
      <c r="G3012" t="str">
        <f>HYPERLINK("https://github.com/BaseballCardTracker/bbct-android", "show")</f>
        <v>show</v>
      </c>
      <c r="H3012" t="str">
        <f>HYPERLINK("https://github.com/BaseballCardTracker/bbct-android/releases", "show")</f>
        <v>show</v>
      </c>
      <c r="I3012">
        <v>1</v>
      </c>
      <c r="J3012">
        <v>0</v>
      </c>
      <c r="K3012">
        <v>0</v>
      </c>
      <c r="L3012">
        <v>0</v>
      </c>
      <c r="M3012" t="s">
        <v>17</v>
      </c>
    </row>
    <row r="3013" spans="1:13" hidden="1" x14ac:dyDescent="0.15">
      <c r="A3013" t="s">
        <v>9553</v>
      </c>
      <c r="B3013" t="s">
        <v>9552</v>
      </c>
      <c r="C3013" t="s">
        <v>504</v>
      </c>
      <c r="D3013" t="s">
        <v>9547</v>
      </c>
      <c r="E3013">
        <v>986</v>
      </c>
      <c r="F3013" t="str">
        <f>HYPERLINK("https://github.com/BaseballCardTracker/bbct-android/issues/420", "show")</f>
        <v>show</v>
      </c>
      <c r="G3013" t="str">
        <f>HYPERLINK("https://github.com/BaseballCardTracker/bbct-android", "show")</f>
        <v>show</v>
      </c>
      <c r="H3013" t="str">
        <f>HYPERLINK("https://github.com/BaseballCardTracker/bbct-android/releases", "show")</f>
        <v>show</v>
      </c>
      <c r="I3013">
        <v>1</v>
      </c>
      <c r="J3013">
        <v>0</v>
      </c>
      <c r="K3013">
        <v>0</v>
      </c>
      <c r="L3013">
        <v>0</v>
      </c>
      <c r="M3013" t="s">
        <v>17</v>
      </c>
    </row>
    <row r="3014" spans="1:13" hidden="1" x14ac:dyDescent="0.15">
      <c r="A3014" t="s">
        <v>9554</v>
      </c>
      <c r="B3014" t="s">
        <v>9555</v>
      </c>
      <c r="C3014" t="s">
        <v>9556</v>
      </c>
      <c r="D3014" t="s">
        <v>9547</v>
      </c>
      <c r="E3014">
        <v>0</v>
      </c>
      <c r="F3014" t="str">
        <f>HYPERLINK("https://github.com/fossasia/pslab-android/issues/453", "show")</f>
        <v>show</v>
      </c>
      <c r="G3014" t="str">
        <f>HYPERLINK("https://github.com/fossasia/pslab-android", "show")</f>
        <v>show</v>
      </c>
      <c r="H3014" t="str">
        <f>HYPERLINK("https://github.com/fossasia/pslab-android/releases", "show")</f>
        <v>show</v>
      </c>
      <c r="I3014">
        <v>1</v>
      </c>
      <c r="J3014">
        <v>0</v>
      </c>
      <c r="K3014">
        <v>1</v>
      </c>
      <c r="L3014">
        <v>0</v>
      </c>
      <c r="M3014" t="s">
        <v>64</v>
      </c>
    </row>
    <row r="3015" spans="1:13" hidden="1" x14ac:dyDescent="0.15">
      <c r="A3015" t="s">
        <v>9557</v>
      </c>
      <c r="B3015" t="s">
        <v>9558</v>
      </c>
      <c r="C3015" t="s">
        <v>9559</v>
      </c>
      <c r="D3015" t="s">
        <v>9547</v>
      </c>
      <c r="E3015">
        <v>8</v>
      </c>
      <c r="F3015" t="str">
        <f>HYPERLINK("https://github.com/kollerlukas/Camera-Roll-Android-App/issues/67", "show")</f>
        <v>show</v>
      </c>
      <c r="G3015" t="str">
        <f>HYPERLINK("https://github.com/kollerlukas/Camera-Roll-Android-App", "show")</f>
        <v>show</v>
      </c>
      <c r="H3015" t="str">
        <f>HYPERLINK("https://github.com/kollerlukas/Camera-Roll-Android-App/releases", "show")</f>
        <v>show</v>
      </c>
      <c r="I3015">
        <v>1</v>
      </c>
      <c r="J3015">
        <v>0</v>
      </c>
      <c r="K3015">
        <v>1</v>
      </c>
      <c r="L3015">
        <v>0</v>
      </c>
      <c r="M3015" t="s">
        <v>64</v>
      </c>
    </row>
    <row r="3016" spans="1:13" hidden="1" x14ac:dyDescent="0.15">
      <c r="A3016" t="s">
        <v>9560</v>
      </c>
      <c r="B3016" t="s">
        <v>4871</v>
      </c>
      <c r="C3016" t="s">
        <v>504</v>
      </c>
      <c r="D3016" t="s">
        <v>9547</v>
      </c>
      <c r="E3016">
        <v>207</v>
      </c>
      <c r="F3016" t="str">
        <f>HYPERLINK("https://github.com/tanrabad/survey/issues/34", "show")</f>
        <v>show</v>
      </c>
      <c r="G3016" t="str">
        <f>HYPERLINK("https://github.com/tanrabad/survey", "show")</f>
        <v>show</v>
      </c>
      <c r="H3016" t="str">
        <f>HYPERLINK("https://github.com/tanrabad/survey/releases", "show")</f>
        <v>show</v>
      </c>
      <c r="I3016">
        <v>1</v>
      </c>
      <c r="J3016">
        <v>0</v>
      </c>
      <c r="K3016">
        <v>0</v>
      </c>
      <c r="L3016">
        <v>0</v>
      </c>
      <c r="M3016" t="s">
        <v>17</v>
      </c>
    </row>
    <row r="3017" spans="1:13" hidden="1" x14ac:dyDescent="0.15">
      <c r="A3017" t="s">
        <v>9561</v>
      </c>
      <c r="B3017" t="s">
        <v>9562</v>
      </c>
      <c r="C3017" t="s">
        <v>9563</v>
      </c>
      <c r="D3017" t="s">
        <v>9564</v>
      </c>
      <c r="E3017">
        <v>0</v>
      </c>
      <c r="F3017" t="str">
        <f>HYPERLINK("https://github.com/fossasia/phimpme-android/issues/984", "show")</f>
        <v>show</v>
      </c>
      <c r="G3017" t="str">
        <f>HYPERLINK("https://github.com/fossasia/phimpme-android", "show")</f>
        <v>show</v>
      </c>
      <c r="H3017" t="str">
        <f>HYPERLINK("https://github.com/fossasia/phimpme-android/releases", "show")</f>
        <v>show</v>
      </c>
      <c r="I3017">
        <v>1</v>
      </c>
      <c r="J3017">
        <v>0</v>
      </c>
      <c r="K3017">
        <v>0</v>
      </c>
      <c r="L3017">
        <v>0</v>
      </c>
      <c r="M3017" t="s">
        <v>17</v>
      </c>
    </row>
    <row r="3018" spans="1:13" hidden="1" x14ac:dyDescent="0.15">
      <c r="A3018" t="s">
        <v>9565</v>
      </c>
      <c r="B3018" t="s">
        <v>9566</v>
      </c>
      <c r="C3018" t="s">
        <v>9567</v>
      </c>
      <c r="D3018" t="s">
        <v>9564</v>
      </c>
      <c r="E3018">
        <v>206</v>
      </c>
      <c r="F3018" t="str">
        <f>HYPERLINK("https://github.com/tanrabad/survey/issues/35", "show")</f>
        <v>show</v>
      </c>
      <c r="G3018" t="str">
        <f>HYPERLINK("https://github.com/tanrabad/survey", "show")</f>
        <v>show</v>
      </c>
      <c r="H3018" t="str">
        <f>HYPERLINK("https://github.com/tanrabad/survey/releases", "show")</f>
        <v>show</v>
      </c>
      <c r="I3018">
        <v>1</v>
      </c>
      <c r="J3018">
        <v>0</v>
      </c>
      <c r="K3018">
        <v>0</v>
      </c>
      <c r="L3018">
        <v>0</v>
      </c>
      <c r="M3018" t="s">
        <v>17</v>
      </c>
    </row>
    <row r="3019" spans="1:13" hidden="1" x14ac:dyDescent="0.15">
      <c r="A3019" t="s">
        <v>9568</v>
      </c>
      <c r="B3019" t="s">
        <v>9569</v>
      </c>
      <c r="C3019" t="s">
        <v>9570</v>
      </c>
      <c r="D3019" t="s">
        <v>9571</v>
      </c>
      <c r="E3019">
        <v>0</v>
      </c>
      <c r="F3019" t="str">
        <f>HYPERLINK("https://github.com/no131614/Spion-C/issues/1", "show")</f>
        <v>show</v>
      </c>
      <c r="G3019" t="str">
        <f>HYPERLINK("https://github.com/no131614/Spion-C", "show")</f>
        <v>show</v>
      </c>
      <c r="H3019" t="str">
        <f>HYPERLINK("https://github.com/no131614/Spion-C/releases", "show")</f>
        <v>show</v>
      </c>
      <c r="I3019">
        <v>1</v>
      </c>
      <c r="J3019">
        <v>0</v>
      </c>
      <c r="K3019">
        <v>0</v>
      </c>
      <c r="L3019">
        <v>0</v>
      </c>
      <c r="M3019" t="s">
        <v>17</v>
      </c>
    </row>
    <row r="3020" spans="1:13" hidden="1" x14ac:dyDescent="0.15">
      <c r="A3020" t="s">
        <v>9572</v>
      </c>
      <c r="B3020" t="s">
        <v>9573</v>
      </c>
      <c r="C3020" t="s">
        <v>9574</v>
      </c>
      <c r="D3020" t="s">
        <v>9571</v>
      </c>
      <c r="E3020">
        <v>21</v>
      </c>
      <c r="F3020" t="str">
        <f>HYPERLINK("https://github.com/square/okhttp/issues/3514", "show")</f>
        <v>show</v>
      </c>
      <c r="G3020" t="str">
        <f>HYPERLINK("https://github.com/square/okhttp", "show")</f>
        <v>show</v>
      </c>
      <c r="H3020" t="str">
        <f>HYPERLINK("https://github.com/square/okhttp/releases", "show")</f>
        <v>show</v>
      </c>
      <c r="I3020">
        <v>1</v>
      </c>
      <c r="J3020">
        <v>0</v>
      </c>
      <c r="K3020">
        <v>1</v>
      </c>
      <c r="L3020">
        <v>0</v>
      </c>
      <c r="M3020" t="s">
        <v>64</v>
      </c>
    </row>
    <row r="3021" spans="1:13" hidden="1" x14ac:dyDescent="0.15">
      <c r="A3021" t="s">
        <v>9575</v>
      </c>
      <c r="B3021" t="s">
        <v>9576</v>
      </c>
      <c r="C3021" t="s">
        <v>9577</v>
      </c>
      <c r="D3021" t="s">
        <v>9571</v>
      </c>
      <c r="E3021">
        <v>2</v>
      </c>
      <c r="F3021" t="str">
        <f>HYPERLINK("https://github.com/d4rken/reddit-android-appstore/issues/124", "show")</f>
        <v>show</v>
      </c>
      <c r="G3021" t="str">
        <f>HYPERLINK("https://github.com/d4rken/reddit-android-appstore", "show")</f>
        <v>show</v>
      </c>
      <c r="H3021" t="str">
        <f>HYPERLINK("https://github.com/d4rken/reddit-android-appstore/releases", "show")</f>
        <v>show</v>
      </c>
      <c r="I3021">
        <v>1</v>
      </c>
      <c r="J3021">
        <v>0</v>
      </c>
      <c r="K3021">
        <v>1</v>
      </c>
      <c r="L3021">
        <v>0</v>
      </c>
      <c r="M3021" t="s">
        <v>64</v>
      </c>
    </row>
    <row r="3022" spans="1:13" hidden="1" x14ac:dyDescent="0.15">
      <c r="A3022" t="s">
        <v>9578</v>
      </c>
      <c r="B3022" t="s">
        <v>9579</v>
      </c>
      <c r="C3022" t="s">
        <v>9580</v>
      </c>
      <c r="D3022" t="s">
        <v>9581</v>
      </c>
      <c r="E3022">
        <v>0</v>
      </c>
      <c r="F3022" t="str">
        <f>HYPERLINK("https://github.com/novoda/merlin/issues/148", "show")</f>
        <v>show</v>
      </c>
      <c r="G3022" t="str">
        <f>HYPERLINK("https://github.com/novoda/merlin", "show")</f>
        <v>show</v>
      </c>
      <c r="H3022" t="str">
        <f>HYPERLINK("https://github.com/novoda/merlin/releases", "show")</f>
        <v>show</v>
      </c>
      <c r="I3022">
        <v>1</v>
      </c>
      <c r="J3022">
        <v>0</v>
      </c>
      <c r="K3022">
        <v>0</v>
      </c>
      <c r="L3022">
        <v>0</v>
      </c>
      <c r="M3022" t="s">
        <v>17</v>
      </c>
    </row>
    <row r="3023" spans="1:13" hidden="1" x14ac:dyDescent="0.15">
      <c r="A3023" t="s">
        <v>9582</v>
      </c>
      <c r="B3023" t="s">
        <v>9583</v>
      </c>
      <c r="C3023" t="s">
        <v>9584</v>
      </c>
      <c r="D3023" t="s">
        <v>9581</v>
      </c>
      <c r="E3023">
        <v>0</v>
      </c>
      <c r="F3023" t="str">
        <f>HYPERLINK("https://github.com/novoda/merlin/issues/146", "show")</f>
        <v>show</v>
      </c>
      <c r="G3023" t="str">
        <f>HYPERLINK("https://github.com/novoda/merlin", "show")</f>
        <v>show</v>
      </c>
      <c r="H3023" t="str">
        <f>HYPERLINK("https://github.com/novoda/merlin/releases", "show")</f>
        <v>show</v>
      </c>
      <c r="I3023">
        <v>1</v>
      </c>
      <c r="J3023">
        <v>0</v>
      </c>
      <c r="K3023">
        <v>0</v>
      </c>
      <c r="L3023">
        <v>0</v>
      </c>
      <c r="M3023" t="s">
        <v>17</v>
      </c>
    </row>
    <row r="3024" spans="1:13" hidden="1" x14ac:dyDescent="0.15">
      <c r="A3024" t="s">
        <v>9585</v>
      </c>
      <c r="B3024" t="s">
        <v>4871</v>
      </c>
      <c r="C3024" t="s">
        <v>504</v>
      </c>
      <c r="D3024" t="s">
        <v>9581</v>
      </c>
      <c r="E3024">
        <v>204</v>
      </c>
      <c r="F3024" t="str">
        <f>HYPERLINK("https://github.com/tanrabad/survey/issues/36", "show")</f>
        <v>show</v>
      </c>
      <c r="G3024" t="str">
        <f>HYPERLINK("https://github.com/tanrabad/survey", "show")</f>
        <v>show</v>
      </c>
      <c r="H3024" t="str">
        <f>HYPERLINK("https://github.com/tanrabad/survey/releases", "show")</f>
        <v>show</v>
      </c>
      <c r="I3024">
        <v>1</v>
      </c>
      <c r="J3024">
        <v>0</v>
      </c>
      <c r="K3024">
        <v>0</v>
      </c>
      <c r="L3024">
        <v>0</v>
      </c>
      <c r="M3024" t="s">
        <v>17</v>
      </c>
    </row>
    <row r="3025" spans="1:13" hidden="1" x14ac:dyDescent="0.15">
      <c r="A3025" t="s">
        <v>9586</v>
      </c>
      <c r="B3025" t="s">
        <v>9587</v>
      </c>
      <c r="C3025" t="s">
        <v>9588</v>
      </c>
      <c r="D3025" t="s">
        <v>9589</v>
      </c>
      <c r="E3025">
        <v>4</v>
      </c>
      <c r="F3025" t="str">
        <f>HYPERLINK("https://github.com/bumptech/glide/issues/2237", "show")</f>
        <v>show</v>
      </c>
      <c r="G3025" t="str">
        <f>HYPERLINK("https://github.com/bumptech/glide", "show")</f>
        <v>show</v>
      </c>
      <c r="H3025" t="str">
        <f>HYPERLINK("https://github.com/bumptech/glide/releases", "show")</f>
        <v>show</v>
      </c>
      <c r="I3025">
        <v>1</v>
      </c>
      <c r="J3025">
        <v>0</v>
      </c>
      <c r="K3025">
        <v>1</v>
      </c>
      <c r="L3025">
        <v>0</v>
      </c>
      <c r="M3025" t="s">
        <v>64</v>
      </c>
    </row>
    <row r="3026" spans="1:13" hidden="1" x14ac:dyDescent="0.15">
      <c r="A3026" t="s">
        <v>9590</v>
      </c>
      <c r="B3026" t="s">
        <v>9591</v>
      </c>
      <c r="C3026" t="s">
        <v>9592</v>
      </c>
      <c r="D3026" t="s">
        <v>9589</v>
      </c>
      <c r="E3026">
        <v>35</v>
      </c>
      <c r="F3026" t="str">
        <f>HYPERLINK("https://github.com/nextcloud/android/issues/1316", "show")</f>
        <v>show</v>
      </c>
      <c r="G3026" t="str">
        <f>HYPERLINK("https://github.com/nextcloud/android", "show")</f>
        <v>show</v>
      </c>
      <c r="H3026" t="str">
        <f>HYPERLINK("https://github.com/nextcloud/android/releases", "show")</f>
        <v>show</v>
      </c>
      <c r="I3026">
        <v>1</v>
      </c>
      <c r="J3026">
        <v>1</v>
      </c>
      <c r="K3026">
        <v>0</v>
      </c>
      <c r="L3026">
        <v>0</v>
      </c>
      <c r="M3026" t="s">
        <v>48</v>
      </c>
    </row>
    <row r="3027" spans="1:13" hidden="1" x14ac:dyDescent="0.15">
      <c r="A3027" t="s">
        <v>9593</v>
      </c>
      <c r="B3027" t="s">
        <v>9594</v>
      </c>
      <c r="C3027" t="s">
        <v>9595</v>
      </c>
      <c r="D3027" t="s">
        <v>9596</v>
      </c>
      <c r="E3027">
        <v>1365</v>
      </c>
      <c r="F3027" t="str">
        <f>HYPERLINK("https://github.com/comp-sci-squad/url-irl/issues/8", "show")</f>
        <v>show</v>
      </c>
      <c r="G3027" t="str">
        <f>HYPERLINK("https://github.com/comp-sci-squad/url-irl", "show")</f>
        <v>show</v>
      </c>
      <c r="H3027" t="str">
        <f>HYPERLINK("https://github.com/comp-sci-squad/url-irl/releases", "show")</f>
        <v>show</v>
      </c>
      <c r="I3027">
        <v>1</v>
      </c>
      <c r="J3027">
        <v>0</v>
      </c>
      <c r="K3027">
        <v>0</v>
      </c>
      <c r="L3027">
        <v>1</v>
      </c>
      <c r="M3027" t="s">
        <v>29</v>
      </c>
    </row>
    <row r="3028" spans="1:13" hidden="1" x14ac:dyDescent="0.15">
      <c r="A3028" t="s">
        <v>9597</v>
      </c>
      <c r="B3028" t="s">
        <v>9598</v>
      </c>
      <c r="C3028" t="s">
        <v>9599</v>
      </c>
      <c r="D3028" t="s">
        <v>9596</v>
      </c>
      <c r="E3028">
        <v>2</v>
      </c>
      <c r="F3028" t="str">
        <f>HYPERLINK("https://github.com/fossasia/phimpme-android/issues/1005", "show")</f>
        <v>show</v>
      </c>
      <c r="G3028" t="str">
        <f>HYPERLINK("https://github.com/fossasia/phimpme-android", "show")</f>
        <v>show</v>
      </c>
      <c r="H3028" t="str">
        <f>HYPERLINK("https://github.com/fossasia/phimpme-android/releases", "show")</f>
        <v>show</v>
      </c>
      <c r="I3028">
        <v>1</v>
      </c>
      <c r="J3028">
        <v>0</v>
      </c>
      <c r="K3028">
        <v>0</v>
      </c>
      <c r="L3028">
        <v>0</v>
      </c>
      <c r="M3028" t="s">
        <v>17</v>
      </c>
    </row>
    <row r="3029" spans="1:13" hidden="1" x14ac:dyDescent="0.15">
      <c r="A3029" t="s">
        <v>9600</v>
      </c>
      <c r="B3029" t="s">
        <v>9601</v>
      </c>
      <c r="C3029" t="s">
        <v>9602</v>
      </c>
      <c r="D3029" t="s">
        <v>9596</v>
      </c>
      <c r="E3029">
        <v>1</v>
      </c>
      <c r="F3029" t="str">
        <f>HYPERLINK("https://github.com/gsantner/dandelion/issues/164", "show")</f>
        <v>show</v>
      </c>
      <c r="G3029" t="str">
        <f>HYPERLINK("https://github.com/gsantner/dandelion", "show")</f>
        <v>show</v>
      </c>
      <c r="H3029" t="str">
        <f>HYPERLINK("https://github.com/gsantner/dandelion/releases", "show")</f>
        <v>show</v>
      </c>
      <c r="I3029">
        <v>1</v>
      </c>
      <c r="J3029">
        <v>1</v>
      </c>
      <c r="K3029">
        <v>0</v>
      </c>
      <c r="L3029">
        <v>0</v>
      </c>
      <c r="M3029" t="s">
        <v>48</v>
      </c>
    </row>
    <row r="3030" spans="1:13" hidden="1" x14ac:dyDescent="0.15">
      <c r="A3030" t="s">
        <v>9603</v>
      </c>
      <c r="B3030" t="s">
        <v>9604</v>
      </c>
      <c r="D3030" t="s">
        <v>9596</v>
      </c>
      <c r="E3030">
        <v>0</v>
      </c>
      <c r="F3030" t="str">
        <f>HYPERLINK("https://github.com/eurofurence/ef-app_android/issues/135", "show")</f>
        <v>show</v>
      </c>
      <c r="G3030" t="str">
        <f>HYPERLINK("https://github.com/eurofurence/ef-app_android", "show")</f>
        <v>show</v>
      </c>
      <c r="H3030" t="str">
        <f>HYPERLINK("https://github.com/eurofurence/ef-app_android/releases", "show")</f>
        <v>show</v>
      </c>
      <c r="I3030">
        <v>1</v>
      </c>
      <c r="J3030">
        <v>0</v>
      </c>
      <c r="K3030">
        <v>0</v>
      </c>
      <c r="L3030">
        <v>0</v>
      </c>
      <c r="M3030" t="s">
        <v>17</v>
      </c>
    </row>
    <row r="3031" spans="1:13" hidden="1" x14ac:dyDescent="0.15">
      <c r="A3031" t="s">
        <v>9605</v>
      </c>
      <c r="B3031" t="s">
        <v>9606</v>
      </c>
      <c r="D3031" t="s">
        <v>9596</v>
      </c>
      <c r="E3031">
        <v>0</v>
      </c>
      <c r="F3031" t="str">
        <f>HYPERLINK("https://github.com/eurofurence/ef-app_android/issues/134", "show")</f>
        <v>show</v>
      </c>
      <c r="G3031" t="str">
        <f>HYPERLINK("https://github.com/eurofurence/ef-app_android", "show")</f>
        <v>show</v>
      </c>
      <c r="H3031" t="str">
        <f>HYPERLINK("https://github.com/eurofurence/ef-app_android/releases", "show")</f>
        <v>show</v>
      </c>
      <c r="I3031">
        <v>1</v>
      </c>
      <c r="J3031">
        <v>0</v>
      </c>
      <c r="K3031">
        <v>0</v>
      </c>
      <c r="L3031">
        <v>0</v>
      </c>
      <c r="M3031" t="s">
        <v>17</v>
      </c>
    </row>
    <row r="3032" spans="1:13" hidden="1" x14ac:dyDescent="0.15">
      <c r="A3032" t="s">
        <v>9607</v>
      </c>
      <c r="B3032" t="s">
        <v>9608</v>
      </c>
      <c r="C3032" t="s">
        <v>9609</v>
      </c>
      <c r="D3032" t="s">
        <v>9610</v>
      </c>
      <c r="E3032">
        <v>1</v>
      </c>
      <c r="F3032" t="str">
        <f>HYPERLINK("https://github.com/timusus/Shuttle/issues/121", "show")</f>
        <v>show</v>
      </c>
      <c r="G3032" t="str">
        <f>HYPERLINK("https://github.com/timusus/Shuttle", "show")</f>
        <v>show</v>
      </c>
      <c r="H3032" t="str">
        <f>HYPERLINK("https://github.com/timusus/Shuttle/releases", "show")</f>
        <v>show</v>
      </c>
      <c r="I3032">
        <v>1</v>
      </c>
      <c r="J3032">
        <v>0</v>
      </c>
      <c r="K3032">
        <v>1</v>
      </c>
      <c r="L3032">
        <v>0</v>
      </c>
      <c r="M3032" t="s">
        <v>64</v>
      </c>
    </row>
    <row r="3033" spans="1:13" hidden="1" x14ac:dyDescent="0.15">
      <c r="A3033" t="s">
        <v>9611</v>
      </c>
      <c r="B3033" t="s">
        <v>9612</v>
      </c>
      <c r="C3033" t="s">
        <v>9613</v>
      </c>
      <c r="D3033" t="s">
        <v>9610</v>
      </c>
      <c r="E3033">
        <v>2</v>
      </c>
      <c r="F3033" t="str">
        <f>HYPERLINK("https://github.com/fossasia/phimpme-android/issues/1014", "show")</f>
        <v>show</v>
      </c>
      <c r="G3033" t="str">
        <f>HYPERLINK("https://github.com/fossasia/phimpme-android", "show")</f>
        <v>show</v>
      </c>
      <c r="H3033" t="str">
        <f>HYPERLINK("https://github.com/fossasia/phimpme-android/releases", "show")</f>
        <v>show</v>
      </c>
      <c r="I3033">
        <v>1</v>
      </c>
      <c r="J3033">
        <v>0</v>
      </c>
      <c r="K3033">
        <v>1</v>
      </c>
      <c r="L3033">
        <v>0</v>
      </c>
      <c r="M3033" t="s">
        <v>64</v>
      </c>
    </row>
    <row r="3034" spans="1:13" hidden="1" x14ac:dyDescent="0.15">
      <c r="A3034" t="s">
        <v>9614</v>
      </c>
      <c r="B3034" t="s">
        <v>9615</v>
      </c>
      <c r="C3034" t="s">
        <v>9616</v>
      </c>
      <c r="D3034" t="s">
        <v>9610</v>
      </c>
      <c r="E3034">
        <v>561</v>
      </c>
      <c r="F3034" t="str">
        <f>HYPERLINK("https://github.com/cgeo/cgeo/issues/6681", "show")</f>
        <v>show</v>
      </c>
      <c r="G3034" t="str">
        <f>HYPERLINK("https://github.com/cgeo/cgeo", "show")</f>
        <v>show</v>
      </c>
      <c r="H3034" t="str">
        <f>HYPERLINK("https://github.com/cgeo/cgeo/releases", "show")</f>
        <v>show</v>
      </c>
      <c r="I3034">
        <v>1</v>
      </c>
      <c r="J3034">
        <v>1</v>
      </c>
      <c r="K3034">
        <v>1</v>
      </c>
      <c r="L3034">
        <v>0</v>
      </c>
      <c r="M3034" t="s">
        <v>59</v>
      </c>
    </row>
    <row r="3035" spans="1:13" hidden="1" x14ac:dyDescent="0.15">
      <c r="A3035" t="s">
        <v>9617</v>
      </c>
      <c r="B3035" t="s">
        <v>9618</v>
      </c>
      <c r="C3035" t="s">
        <v>9619</v>
      </c>
      <c r="D3035" t="s">
        <v>9620</v>
      </c>
      <c r="E3035">
        <v>0</v>
      </c>
      <c r="F3035" t="str">
        <f>HYPERLINK("https://github.com/vestrel00/android-dagger-butterknife-mvp/issues/46", "show")</f>
        <v>show</v>
      </c>
      <c r="G3035" t="str">
        <f>HYPERLINK("https://github.com/vestrel00/android-dagger-butterknife-mvp", "show")</f>
        <v>show</v>
      </c>
      <c r="H3035" t="str">
        <f>HYPERLINK("https://github.com/vestrel00/android-dagger-butterknife-mvp/releases", "show")</f>
        <v>show</v>
      </c>
      <c r="I3035">
        <v>1</v>
      </c>
      <c r="J3035">
        <v>1</v>
      </c>
      <c r="K3035">
        <v>0</v>
      </c>
      <c r="L3035">
        <v>0</v>
      </c>
      <c r="M3035" t="s">
        <v>48</v>
      </c>
    </row>
    <row r="3036" spans="1:13" hidden="1" x14ac:dyDescent="0.15">
      <c r="A3036" t="s">
        <v>9621</v>
      </c>
      <c r="B3036" t="s">
        <v>9622</v>
      </c>
      <c r="C3036" t="s">
        <v>9623</v>
      </c>
      <c r="D3036" t="s">
        <v>9620</v>
      </c>
      <c r="E3036">
        <v>1</v>
      </c>
      <c r="F3036" t="str">
        <f>HYPERLINK("https://github.com/hzi-braunschweig/SORMAS-Project/issues/281", "show")</f>
        <v>show</v>
      </c>
      <c r="G3036" t="str">
        <f>HYPERLINK("https://github.com/hzi-braunschweig/SORMAS-Project", "show")</f>
        <v>show</v>
      </c>
      <c r="H3036" t="str">
        <f>HYPERLINK("https://github.com/hzi-braunschweig/SORMAS-Project/releases", "show")</f>
        <v>show</v>
      </c>
      <c r="I3036">
        <v>1</v>
      </c>
      <c r="J3036">
        <v>0</v>
      </c>
      <c r="K3036">
        <v>0</v>
      </c>
      <c r="L3036">
        <v>0</v>
      </c>
      <c r="M3036" t="s">
        <v>17</v>
      </c>
    </row>
    <row r="3037" spans="1:13" hidden="1" x14ac:dyDescent="0.15">
      <c r="A3037" t="s">
        <v>9624</v>
      </c>
      <c r="B3037" t="s">
        <v>9625</v>
      </c>
      <c r="C3037" t="s">
        <v>9626</v>
      </c>
      <c r="D3037" t="s">
        <v>9620</v>
      </c>
      <c r="E3037">
        <v>714</v>
      </c>
      <c r="F3037" t="str">
        <f>HYPERLINK("https://github.com/CityZenApp/AndroidApp/issues/3", "show")</f>
        <v>show</v>
      </c>
      <c r="G3037" t="str">
        <f>HYPERLINK("https://github.com/CityZenApp/AndroidApp", "show")</f>
        <v>show</v>
      </c>
      <c r="H3037" t="str">
        <f>HYPERLINK("https://github.com/CityZenApp/AndroidApp/releases", "show")</f>
        <v>show</v>
      </c>
      <c r="I3037">
        <v>0</v>
      </c>
      <c r="J3037">
        <v>1</v>
      </c>
      <c r="K3037">
        <v>0</v>
      </c>
      <c r="L3037">
        <v>1</v>
      </c>
      <c r="M3037" t="s">
        <v>1732</v>
      </c>
    </row>
    <row r="3038" spans="1:13" hidden="1" x14ac:dyDescent="0.15">
      <c r="A3038" t="s">
        <v>9627</v>
      </c>
      <c r="B3038" t="s">
        <v>9628</v>
      </c>
      <c r="C3038" t="s">
        <v>9629</v>
      </c>
      <c r="D3038" t="s">
        <v>9620</v>
      </c>
      <c r="E3038">
        <v>2</v>
      </c>
      <c r="F3038" t="str">
        <f>HYPERLINK("https://github.com/fossasia/phimpme-android/issues/1021", "show")</f>
        <v>show</v>
      </c>
      <c r="G3038" t="str">
        <f>HYPERLINK("https://github.com/fossasia/phimpme-android", "show")</f>
        <v>show</v>
      </c>
      <c r="H3038" t="str">
        <f>HYPERLINK("https://github.com/fossasia/phimpme-android/releases", "show")</f>
        <v>show</v>
      </c>
      <c r="I3038">
        <v>0</v>
      </c>
      <c r="J3038">
        <v>1</v>
      </c>
      <c r="K3038">
        <v>1</v>
      </c>
      <c r="L3038">
        <v>0</v>
      </c>
      <c r="M3038" t="s">
        <v>699</v>
      </c>
    </row>
    <row r="3039" spans="1:13" hidden="1" x14ac:dyDescent="0.15">
      <c r="A3039" t="s">
        <v>9630</v>
      </c>
      <c r="B3039" t="s">
        <v>9631</v>
      </c>
      <c r="C3039" t="s">
        <v>9632</v>
      </c>
      <c r="D3039" t="s">
        <v>9633</v>
      </c>
      <c r="E3039">
        <v>141</v>
      </c>
      <c r="F3039" t="str">
        <f>HYPERLINK("https://github.com/nextcloud/android/issues/1347", "show")</f>
        <v>show</v>
      </c>
      <c r="G3039" t="str">
        <f>HYPERLINK("https://github.com/nextcloud/android", "show")</f>
        <v>show</v>
      </c>
      <c r="H3039" t="str">
        <f>HYPERLINK("https://github.com/nextcloud/android/releases", "show")</f>
        <v>show</v>
      </c>
      <c r="I3039">
        <v>1</v>
      </c>
      <c r="J3039">
        <v>1</v>
      </c>
      <c r="K3039">
        <v>0</v>
      </c>
      <c r="L3039">
        <v>0</v>
      </c>
      <c r="M3039" t="s">
        <v>48</v>
      </c>
    </row>
    <row r="3040" spans="1:13" hidden="1" x14ac:dyDescent="0.15">
      <c r="A3040" t="s">
        <v>9634</v>
      </c>
      <c r="B3040" t="s">
        <v>9635</v>
      </c>
      <c r="C3040" t="s">
        <v>9636</v>
      </c>
      <c r="D3040" t="s">
        <v>9637</v>
      </c>
      <c r="E3040">
        <v>151</v>
      </c>
      <c r="F3040" t="str">
        <f>HYPERLINK("https://github.com/OpenLauncherTeam/openlauncher/issues/220", "show")</f>
        <v>show</v>
      </c>
      <c r="G3040" t="str">
        <f>HYPERLINK("https://github.com/OpenLauncherTeam/openlauncher", "show")</f>
        <v>show</v>
      </c>
      <c r="H3040" t="str">
        <f>HYPERLINK("https://github.com/OpenLauncherTeam/openlauncher/releases", "show")</f>
        <v>show</v>
      </c>
      <c r="I3040">
        <v>1</v>
      </c>
      <c r="J3040">
        <v>0</v>
      </c>
      <c r="K3040">
        <v>1</v>
      </c>
      <c r="L3040">
        <v>1</v>
      </c>
      <c r="M3040" t="s">
        <v>1259</v>
      </c>
    </row>
    <row r="3041" spans="1:13" hidden="1" x14ac:dyDescent="0.15">
      <c r="A3041" t="s">
        <v>9638</v>
      </c>
      <c r="B3041" t="s">
        <v>9639</v>
      </c>
      <c r="C3041" t="s">
        <v>9640</v>
      </c>
      <c r="D3041" t="s">
        <v>9637</v>
      </c>
      <c r="E3041">
        <v>3</v>
      </c>
      <c r="F3041" t="str">
        <f>HYPERLINK("https://github.com/fossasia/phimpme-android/issues/1032", "show")</f>
        <v>show</v>
      </c>
      <c r="G3041" t="str">
        <f>HYPERLINK("https://github.com/fossasia/phimpme-android", "show")</f>
        <v>show</v>
      </c>
      <c r="H3041" t="str">
        <f>HYPERLINK("https://github.com/fossasia/phimpme-android/releases", "show")</f>
        <v>show</v>
      </c>
      <c r="I3041">
        <v>1</v>
      </c>
      <c r="J3041">
        <v>0</v>
      </c>
      <c r="K3041">
        <v>1</v>
      </c>
      <c r="L3041">
        <v>0</v>
      </c>
      <c r="M3041" t="s">
        <v>64</v>
      </c>
    </row>
    <row r="3042" spans="1:13" hidden="1" x14ac:dyDescent="0.15">
      <c r="A3042" t="s">
        <v>9641</v>
      </c>
      <c r="B3042" t="s">
        <v>9642</v>
      </c>
      <c r="C3042" t="s">
        <v>9643</v>
      </c>
      <c r="D3042" t="s">
        <v>9637</v>
      </c>
      <c r="E3042">
        <v>2</v>
      </c>
      <c r="F3042" t="str">
        <f>HYPERLINK("https://github.com/uDevel/widgetlab/issues/8", "show")</f>
        <v>show</v>
      </c>
      <c r="G3042" t="str">
        <f>HYPERLINK("https://github.com/uDevel/widgetlab", "show")</f>
        <v>show</v>
      </c>
      <c r="H3042" t="str">
        <f>HYPERLINK("https://github.com/uDevel/widgetlab/releases", "show")</f>
        <v>show</v>
      </c>
      <c r="I3042">
        <v>1</v>
      </c>
      <c r="J3042">
        <v>0</v>
      </c>
      <c r="K3042">
        <v>0</v>
      </c>
      <c r="L3042">
        <v>0</v>
      </c>
      <c r="M3042" t="s">
        <v>17</v>
      </c>
    </row>
    <row r="3043" spans="1:13" hidden="1" x14ac:dyDescent="0.15">
      <c r="A3043" t="s">
        <v>9644</v>
      </c>
      <c r="B3043" t="s">
        <v>9645</v>
      </c>
      <c r="C3043" t="s">
        <v>9646</v>
      </c>
      <c r="D3043" t="s">
        <v>9647</v>
      </c>
      <c r="E3043">
        <v>1</v>
      </c>
      <c r="F3043" t="str">
        <f>HYPERLINK("https://github.com/nextcloud/android/issues/1365", "show")</f>
        <v>show</v>
      </c>
      <c r="G3043" t="str">
        <f>HYPERLINK("https://github.com/nextcloud/android", "show")</f>
        <v>show</v>
      </c>
      <c r="H3043" t="str">
        <f>HYPERLINK("https://github.com/nextcloud/android/releases", "show")</f>
        <v>show</v>
      </c>
      <c r="I3043">
        <v>1</v>
      </c>
      <c r="J3043">
        <v>1</v>
      </c>
      <c r="K3043">
        <v>1</v>
      </c>
      <c r="L3043">
        <v>0</v>
      </c>
      <c r="M3043" t="s">
        <v>59</v>
      </c>
    </row>
    <row r="3044" spans="1:13" hidden="1" x14ac:dyDescent="0.15">
      <c r="A3044" t="s">
        <v>9648</v>
      </c>
      <c r="B3044" t="s">
        <v>9649</v>
      </c>
      <c r="C3044" t="s">
        <v>9650</v>
      </c>
      <c r="D3044" t="s">
        <v>9647</v>
      </c>
      <c r="E3044">
        <v>15</v>
      </c>
      <c r="F3044" t="str">
        <f>HYPERLINK("https://github.com/nextcloud/android/issues/1364", "show")</f>
        <v>show</v>
      </c>
      <c r="G3044" t="str">
        <f>HYPERLINK("https://github.com/nextcloud/android", "show")</f>
        <v>show</v>
      </c>
      <c r="H3044" t="str">
        <f>HYPERLINK("https://github.com/nextcloud/android/releases", "show")</f>
        <v>show</v>
      </c>
      <c r="I3044">
        <v>1</v>
      </c>
      <c r="J3044">
        <v>1</v>
      </c>
      <c r="K3044">
        <v>0</v>
      </c>
      <c r="L3044">
        <v>0</v>
      </c>
      <c r="M3044" t="s">
        <v>48</v>
      </c>
    </row>
    <row r="3045" spans="1:13" hidden="1" x14ac:dyDescent="0.15">
      <c r="A3045" t="s">
        <v>9651</v>
      </c>
      <c r="B3045" t="s">
        <v>9652</v>
      </c>
      <c r="C3045" t="s">
        <v>9653</v>
      </c>
      <c r="D3045" t="s">
        <v>9654</v>
      </c>
      <c r="E3045">
        <v>2</v>
      </c>
      <c r="F3045" t="str">
        <f>HYPERLINK("https://github.com/ZieIony/Carbon/issues/316", "show")</f>
        <v>show</v>
      </c>
      <c r="G3045" t="str">
        <f>HYPERLINK("https://github.com/ZieIony/Carbon", "show")</f>
        <v>show</v>
      </c>
      <c r="H3045" t="str">
        <f>HYPERLINK("https://github.com/ZieIony/Carbon/releases", "show")</f>
        <v>show</v>
      </c>
      <c r="I3045">
        <v>1</v>
      </c>
      <c r="J3045">
        <v>0</v>
      </c>
      <c r="K3045">
        <v>1</v>
      </c>
      <c r="L3045">
        <v>0</v>
      </c>
      <c r="M3045" t="s">
        <v>64</v>
      </c>
    </row>
    <row r="3046" spans="1:13" hidden="1" x14ac:dyDescent="0.15">
      <c r="A3046" t="s">
        <v>9655</v>
      </c>
      <c r="B3046" t="s">
        <v>9656</v>
      </c>
      <c r="C3046" t="s">
        <v>9657</v>
      </c>
      <c r="D3046" t="s">
        <v>9654</v>
      </c>
      <c r="E3046">
        <v>4</v>
      </c>
      <c r="F3046" t="str">
        <f>HYPERLINK("https://github.com/getodk/collect/issues/1357", "show")</f>
        <v>show</v>
      </c>
      <c r="G3046" t="str">
        <f>HYPERLINK("https://github.com/getodk/collect", "show")</f>
        <v>show</v>
      </c>
      <c r="H3046" t="str">
        <f>HYPERLINK("https://github.com/getodk/collect/releases", "show")</f>
        <v>show</v>
      </c>
      <c r="I3046">
        <v>0</v>
      </c>
      <c r="J3046">
        <v>1</v>
      </c>
      <c r="K3046">
        <v>1</v>
      </c>
      <c r="L3046">
        <v>0</v>
      </c>
      <c r="M3046" t="s">
        <v>699</v>
      </c>
    </row>
    <row r="3047" spans="1:13" hidden="1" x14ac:dyDescent="0.15">
      <c r="A3047" t="s">
        <v>9658</v>
      </c>
      <c r="B3047" t="s">
        <v>9659</v>
      </c>
      <c r="C3047" t="s">
        <v>9660</v>
      </c>
      <c r="D3047" t="s">
        <v>9654</v>
      </c>
      <c r="E3047">
        <v>91</v>
      </c>
      <c r="F3047" t="str">
        <f>HYPERLINK("https://github.com/bumptech/glide/issues/2262", "show")</f>
        <v>show</v>
      </c>
      <c r="G3047" t="str">
        <f>HYPERLINK("https://github.com/bumptech/glide", "show")</f>
        <v>show</v>
      </c>
      <c r="H3047" t="str">
        <f>HYPERLINK("https://github.com/bumptech/glide/releases", "show")</f>
        <v>show</v>
      </c>
      <c r="I3047">
        <v>0</v>
      </c>
      <c r="J3047">
        <v>0</v>
      </c>
      <c r="K3047">
        <v>1</v>
      </c>
      <c r="L3047">
        <v>0</v>
      </c>
      <c r="M3047" t="s">
        <v>122</v>
      </c>
    </row>
    <row r="3048" spans="1:13" hidden="1" x14ac:dyDescent="0.15">
      <c r="A3048" t="s">
        <v>9661</v>
      </c>
      <c r="B3048" t="s">
        <v>9662</v>
      </c>
      <c r="C3048" t="s">
        <v>9663</v>
      </c>
      <c r="D3048" t="s">
        <v>9654</v>
      </c>
      <c r="E3048">
        <v>12</v>
      </c>
      <c r="F3048" t="str">
        <f>HYPERLINK("https://github.com/square/okhttp/issues/3530", "show")</f>
        <v>show</v>
      </c>
      <c r="G3048" t="str">
        <f>HYPERLINK("https://github.com/square/okhttp", "show")</f>
        <v>show</v>
      </c>
      <c r="H3048" t="str">
        <f>HYPERLINK("https://github.com/square/okhttp/releases", "show")</f>
        <v>show</v>
      </c>
      <c r="I3048">
        <v>0</v>
      </c>
      <c r="J3048">
        <v>0</v>
      </c>
      <c r="K3048">
        <v>0</v>
      </c>
      <c r="L3048">
        <v>0</v>
      </c>
      <c r="M3048" t="s">
        <v>43</v>
      </c>
    </row>
    <row r="3049" spans="1:13" hidden="1" x14ac:dyDescent="0.15">
      <c r="A3049" t="s">
        <v>9664</v>
      </c>
      <c r="B3049" t="s">
        <v>9665</v>
      </c>
      <c r="C3049" t="s">
        <v>9666</v>
      </c>
      <c r="D3049" t="s">
        <v>9667</v>
      </c>
      <c r="E3049">
        <v>1</v>
      </c>
      <c r="F3049" t="str">
        <f>HYPERLINK("https://github.com/fossasia/phimpme-android/issues/1046", "show")</f>
        <v>show</v>
      </c>
      <c r="G3049" t="str">
        <f>HYPERLINK("https://github.com/fossasia/phimpme-android", "show")</f>
        <v>show</v>
      </c>
      <c r="H3049" t="str">
        <f>HYPERLINK("https://github.com/fossasia/phimpme-android/releases", "show")</f>
        <v>show</v>
      </c>
      <c r="I3049">
        <v>1</v>
      </c>
      <c r="J3049">
        <v>0</v>
      </c>
      <c r="K3049">
        <v>0</v>
      </c>
      <c r="L3049">
        <v>0</v>
      </c>
      <c r="M3049" t="s">
        <v>17</v>
      </c>
    </row>
    <row r="3050" spans="1:13" hidden="1" x14ac:dyDescent="0.15">
      <c r="A3050" t="s">
        <v>9668</v>
      </c>
      <c r="B3050" t="s">
        <v>9669</v>
      </c>
      <c r="C3050" t="s">
        <v>9670</v>
      </c>
      <c r="D3050" t="s">
        <v>9667</v>
      </c>
      <c r="E3050">
        <v>4</v>
      </c>
      <c r="F3050" t="str">
        <f>HYPERLINK("https://github.com/amahi/android/issues/264", "show")</f>
        <v>show</v>
      </c>
      <c r="G3050" t="str">
        <f>HYPERLINK("https://github.com/amahi/android", "show")</f>
        <v>show</v>
      </c>
      <c r="H3050" t="str">
        <f>HYPERLINK("https://github.com/amahi/android/releases", "show")</f>
        <v>show</v>
      </c>
      <c r="I3050">
        <v>1</v>
      </c>
      <c r="J3050">
        <v>0</v>
      </c>
      <c r="K3050">
        <v>1</v>
      </c>
      <c r="L3050">
        <v>0</v>
      </c>
      <c r="M3050" t="s">
        <v>64</v>
      </c>
    </row>
    <row r="3051" spans="1:13" hidden="1" x14ac:dyDescent="0.15">
      <c r="A3051" t="s">
        <v>9671</v>
      </c>
      <c r="B3051" t="s">
        <v>9672</v>
      </c>
      <c r="C3051" t="s">
        <v>9673</v>
      </c>
      <c r="D3051" t="s">
        <v>9667</v>
      </c>
      <c r="E3051">
        <v>399</v>
      </c>
      <c r="F3051" t="str">
        <f>HYPERLINK("https://github.com/Etar-Group/Etar-Calendar/issues/248", "show")</f>
        <v>show</v>
      </c>
      <c r="G3051" t="str">
        <f>HYPERLINK("https://github.com/Etar-Group/Etar-Calendar", "show")</f>
        <v>show</v>
      </c>
      <c r="H3051" t="str">
        <f>HYPERLINK("https://github.com/Etar-Group/Etar-Calendar/releases", "show")</f>
        <v>show</v>
      </c>
      <c r="I3051">
        <v>1</v>
      </c>
      <c r="J3051">
        <v>1</v>
      </c>
      <c r="K3051">
        <v>1</v>
      </c>
      <c r="L3051">
        <v>0</v>
      </c>
      <c r="M3051" t="s">
        <v>59</v>
      </c>
    </row>
    <row r="3052" spans="1:13" hidden="1" x14ac:dyDescent="0.15">
      <c r="A3052" t="s">
        <v>9674</v>
      </c>
      <c r="B3052" t="s">
        <v>9675</v>
      </c>
      <c r="C3052" t="s">
        <v>9676</v>
      </c>
      <c r="D3052" t="s">
        <v>9667</v>
      </c>
      <c r="E3052">
        <v>112</v>
      </c>
      <c r="F3052" t="str">
        <f>HYPERLINK("https://github.com/timusus/Shuttle/issues/126", "show")</f>
        <v>show</v>
      </c>
      <c r="G3052" t="str">
        <f>HYPERLINK("https://github.com/timusus/Shuttle", "show")</f>
        <v>show</v>
      </c>
      <c r="H3052" t="str">
        <f>HYPERLINK("https://github.com/timusus/Shuttle/releases", "show")</f>
        <v>show</v>
      </c>
      <c r="I3052">
        <v>1</v>
      </c>
      <c r="J3052">
        <v>1</v>
      </c>
      <c r="K3052">
        <v>1</v>
      </c>
      <c r="L3052">
        <v>0</v>
      </c>
      <c r="M3052" t="s">
        <v>59</v>
      </c>
    </row>
    <row r="3053" spans="1:13" hidden="1" x14ac:dyDescent="0.15">
      <c r="A3053" t="s">
        <v>9677</v>
      </c>
      <c r="B3053" t="s">
        <v>9678</v>
      </c>
      <c r="C3053" t="s">
        <v>9679</v>
      </c>
      <c r="D3053" t="s">
        <v>9680</v>
      </c>
      <c r="E3053">
        <v>2</v>
      </c>
      <c r="F3053" t="str">
        <f>HYPERLINK("https://github.com/pwittchen/ReactiveNetwork/issues/209", "show")</f>
        <v>show</v>
      </c>
      <c r="G3053" t="str">
        <f>HYPERLINK("https://github.com/pwittchen/ReactiveNetwork", "show")</f>
        <v>show</v>
      </c>
      <c r="H3053" t="str">
        <f>HYPERLINK("https://github.com/pwittchen/ReactiveNetwork/releases", "show")</f>
        <v>show</v>
      </c>
      <c r="I3053">
        <v>0</v>
      </c>
      <c r="J3053">
        <v>0</v>
      </c>
      <c r="K3053">
        <v>0</v>
      </c>
      <c r="L3053">
        <v>0</v>
      </c>
      <c r="M3053" t="s">
        <v>43</v>
      </c>
    </row>
    <row r="3054" spans="1:13" hidden="1" x14ac:dyDescent="0.15">
      <c r="A3054" t="s">
        <v>9681</v>
      </c>
      <c r="B3054" t="s">
        <v>9682</v>
      </c>
      <c r="C3054" t="s">
        <v>9683</v>
      </c>
      <c r="D3054" t="s">
        <v>9680</v>
      </c>
      <c r="E3054">
        <v>4</v>
      </c>
      <c r="F3054" t="str">
        <f>HYPERLINK("https://github.com/fossasia/phimpme-android/issues/1063", "show")</f>
        <v>show</v>
      </c>
      <c r="G3054" t="str">
        <f>HYPERLINK("https://github.com/fossasia/phimpme-android", "show")</f>
        <v>show</v>
      </c>
      <c r="H3054" t="str">
        <f>HYPERLINK("https://github.com/fossasia/phimpme-android/releases", "show")</f>
        <v>show</v>
      </c>
      <c r="I3054">
        <v>1</v>
      </c>
      <c r="J3054">
        <v>1</v>
      </c>
      <c r="K3054">
        <v>1</v>
      </c>
      <c r="L3054">
        <v>0</v>
      </c>
      <c r="M3054" t="s">
        <v>59</v>
      </c>
    </row>
    <row r="3055" spans="1:13" hidden="1" x14ac:dyDescent="0.15">
      <c r="A3055" t="s">
        <v>9684</v>
      </c>
      <c r="B3055" t="s">
        <v>9685</v>
      </c>
      <c r="C3055" t="s">
        <v>9686</v>
      </c>
      <c r="D3055" t="s">
        <v>9687</v>
      </c>
      <c r="E3055">
        <v>8</v>
      </c>
      <c r="F3055" t="str">
        <f>HYPERLINK("https://github.com/getodk/collect/issues/1362", "show")</f>
        <v>show</v>
      </c>
      <c r="G3055" t="str">
        <f>HYPERLINK("https://github.com/getodk/collect", "show")</f>
        <v>show</v>
      </c>
      <c r="H3055" t="str">
        <f>HYPERLINK("https://github.com/getodk/collect/releases", "show")</f>
        <v>show</v>
      </c>
      <c r="I3055">
        <v>1</v>
      </c>
      <c r="J3055">
        <v>0</v>
      </c>
      <c r="K3055">
        <v>1</v>
      </c>
      <c r="L3055">
        <v>0</v>
      </c>
      <c r="M3055" t="s">
        <v>64</v>
      </c>
    </row>
    <row r="3056" spans="1:13" hidden="1" x14ac:dyDescent="0.15">
      <c r="A3056" t="s">
        <v>9688</v>
      </c>
      <c r="B3056" t="s">
        <v>9689</v>
      </c>
      <c r="C3056" t="s">
        <v>9690</v>
      </c>
      <c r="D3056" t="s">
        <v>9687</v>
      </c>
      <c r="E3056">
        <v>0</v>
      </c>
      <c r="F3056" t="str">
        <f>HYPERLINK("https://github.com/timusus/Shuttle/issues/146", "show")</f>
        <v>show</v>
      </c>
      <c r="G3056" t="str">
        <f>HYPERLINK("https://github.com/timusus/Shuttle", "show")</f>
        <v>show</v>
      </c>
      <c r="H3056" t="str">
        <f>HYPERLINK("https://github.com/timusus/Shuttle/releases", "show")</f>
        <v>show</v>
      </c>
      <c r="I3056">
        <v>1</v>
      </c>
      <c r="J3056">
        <v>0</v>
      </c>
      <c r="K3056">
        <v>1</v>
      </c>
      <c r="L3056">
        <v>0</v>
      </c>
      <c r="M3056" t="s">
        <v>64</v>
      </c>
    </row>
    <row r="3057" spans="1:13" hidden="1" x14ac:dyDescent="0.15">
      <c r="A3057" t="s">
        <v>9691</v>
      </c>
      <c r="B3057" t="s">
        <v>9692</v>
      </c>
      <c r="C3057" t="s">
        <v>9693</v>
      </c>
      <c r="D3057" t="s">
        <v>9687</v>
      </c>
      <c r="E3057">
        <v>0</v>
      </c>
      <c r="F3057" t="str">
        <f>HYPERLINK("https://github.com/nextcloud/android/issues/1386", "show")</f>
        <v>show</v>
      </c>
      <c r="G3057" t="str">
        <f>HYPERLINK("https://github.com/nextcloud/android", "show")</f>
        <v>show</v>
      </c>
      <c r="H3057" t="str">
        <f>HYPERLINK("https://github.com/nextcloud/android/releases", "show")</f>
        <v>show</v>
      </c>
      <c r="I3057">
        <v>0</v>
      </c>
      <c r="J3057">
        <v>0</v>
      </c>
      <c r="K3057">
        <v>1</v>
      </c>
      <c r="L3057">
        <v>0</v>
      </c>
      <c r="M3057" t="s">
        <v>122</v>
      </c>
    </row>
    <row r="3058" spans="1:13" hidden="1" x14ac:dyDescent="0.15">
      <c r="A3058" t="s">
        <v>9694</v>
      </c>
      <c r="B3058" t="s">
        <v>9695</v>
      </c>
      <c r="C3058" t="s">
        <v>9696</v>
      </c>
      <c r="D3058" t="s">
        <v>9687</v>
      </c>
      <c r="E3058">
        <v>127</v>
      </c>
      <c r="F3058" t="str">
        <f>HYPERLINK("https://github.com/testpress/android-sdk/issues/50", "show")</f>
        <v>show</v>
      </c>
      <c r="G3058" t="str">
        <f>HYPERLINK("https://github.com/testpress/android-sdk", "show")</f>
        <v>show</v>
      </c>
      <c r="H3058" t="str">
        <f>HYPERLINK("https://github.com/testpress/android-sdk/releases", "show")</f>
        <v>show</v>
      </c>
      <c r="I3058">
        <v>1</v>
      </c>
      <c r="J3058">
        <v>0</v>
      </c>
      <c r="K3058">
        <v>0</v>
      </c>
      <c r="L3058">
        <v>0</v>
      </c>
      <c r="M3058" t="s">
        <v>17</v>
      </c>
    </row>
    <row r="3059" spans="1:13" hidden="1" x14ac:dyDescent="0.15">
      <c r="A3059" t="s">
        <v>9697</v>
      </c>
      <c r="B3059" t="s">
        <v>9695</v>
      </c>
      <c r="C3059" t="s">
        <v>9696</v>
      </c>
      <c r="D3059" t="s">
        <v>9687</v>
      </c>
      <c r="E3059">
        <v>127</v>
      </c>
      <c r="F3059" t="str">
        <f>HYPERLINK("https://github.com/testpress/android-sdk/issues/49", "show")</f>
        <v>show</v>
      </c>
      <c r="G3059" t="str">
        <f>HYPERLINK("https://github.com/testpress/android-sdk", "show")</f>
        <v>show</v>
      </c>
      <c r="H3059" t="str">
        <f>HYPERLINK("https://github.com/testpress/android-sdk/releases", "show")</f>
        <v>show</v>
      </c>
      <c r="I3059">
        <v>1</v>
      </c>
      <c r="J3059">
        <v>0</v>
      </c>
      <c r="K3059">
        <v>0</v>
      </c>
      <c r="L3059">
        <v>0</v>
      </c>
      <c r="M3059" t="s">
        <v>17</v>
      </c>
    </row>
    <row r="3060" spans="1:13" hidden="1" x14ac:dyDescent="0.15">
      <c r="A3060" t="s">
        <v>9698</v>
      </c>
      <c r="B3060" t="s">
        <v>9699</v>
      </c>
      <c r="C3060" t="s">
        <v>9700</v>
      </c>
      <c r="D3060" t="s">
        <v>9701</v>
      </c>
      <c r="E3060">
        <v>1</v>
      </c>
      <c r="F3060" t="str">
        <f>HYPERLINK("https://github.com/chat-sdk/chat-sdk-android/issues/132", "show")</f>
        <v>show</v>
      </c>
      <c r="G3060" t="str">
        <f>HYPERLINK("https://github.com/chat-sdk/chat-sdk-android", "show")</f>
        <v>show</v>
      </c>
      <c r="H3060" t="str">
        <f>HYPERLINK("https://github.com/chat-sdk/chat-sdk-android/releases", "show")</f>
        <v>show</v>
      </c>
      <c r="I3060">
        <v>1</v>
      </c>
      <c r="J3060">
        <v>0</v>
      </c>
      <c r="K3060">
        <v>0</v>
      </c>
      <c r="L3060">
        <v>0</v>
      </c>
      <c r="M3060" t="s">
        <v>17</v>
      </c>
    </row>
    <row r="3061" spans="1:13" hidden="1" x14ac:dyDescent="0.15">
      <c r="A3061" t="s">
        <v>9702</v>
      </c>
      <c r="B3061" t="s">
        <v>9703</v>
      </c>
      <c r="C3061" t="s">
        <v>9704</v>
      </c>
      <c r="D3061" t="s">
        <v>9701</v>
      </c>
      <c r="E3061">
        <v>640</v>
      </c>
      <c r="F3061" t="str">
        <f>HYPERLINK("https://github.com/nextcloud/android/issues/1401", "show")</f>
        <v>show</v>
      </c>
      <c r="G3061" t="str">
        <f>HYPERLINK("https://github.com/nextcloud/android", "show")</f>
        <v>show</v>
      </c>
      <c r="H3061" t="str">
        <f>HYPERLINK("https://github.com/nextcloud/android/releases", "show")</f>
        <v>show</v>
      </c>
      <c r="I3061">
        <v>0</v>
      </c>
      <c r="J3061">
        <v>0</v>
      </c>
      <c r="K3061">
        <v>1</v>
      </c>
      <c r="L3061">
        <v>0</v>
      </c>
      <c r="M3061" t="s">
        <v>122</v>
      </c>
    </row>
    <row r="3062" spans="1:13" hidden="1" x14ac:dyDescent="0.15">
      <c r="A3062" t="s">
        <v>9705</v>
      </c>
      <c r="B3062" t="s">
        <v>9706</v>
      </c>
      <c r="C3062" t="s">
        <v>9707</v>
      </c>
      <c r="D3062" t="s">
        <v>9701</v>
      </c>
      <c r="E3062">
        <v>134</v>
      </c>
      <c r="F3062" t="str">
        <f>HYPERLINK("https://github.com/nextcloud/android/issues/1400", "show")</f>
        <v>show</v>
      </c>
      <c r="G3062" t="str">
        <f>HYPERLINK("https://github.com/nextcloud/android", "show")</f>
        <v>show</v>
      </c>
      <c r="H3062" t="str">
        <f>HYPERLINK("https://github.com/nextcloud/android/releases", "show")</f>
        <v>show</v>
      </c>
      <c r="I3062">
        <v>0</v>
      </c>
      <c r="J3062">
        <v>0</v>
      </c>
      <c r="K3062">
        <v>1</v>
      </c>
      <c r="L3062">
        <v>0</v>
      </c>
      <c r="M3062" t="s">
        <v>122</v>
      </c>
    </row>
    <row r="3063" spans="1:13" hidden="1" x14ac:dyDescent="0.15">
      <c r="A3063" t="s">
        <v>9708</v>
      </c>
      <c r="B3063" t="s">
        <v>4871</v>
      </c>
      <c r="C3063" t="s">
        <v>504</v>
      </c>
      <c r="D3063" t="s">
        <v>9709</v>
      </c>
      <c r="E3063">
        <v>191</v>
      </c>
      <c r="F3063" t="str">
        <f>HYPERLINK("https://github.com/tanrabad/survey/issues/37", "show")</f>
        <v>show</v>
      </c>
      <c r="G3063" t="str">
        <f>HYPERLINK("https://github.com/tanrabad/survey", "show")</f>
        <v>show</v>
      </c>
      <c r="H3063" t="str">
        <f>HYPERLINK("https://github.com/tanrabad/survey/releases", "show")</f>
        <v>show</v>
      </c>
      <c r="I3063">
        <v>1</v>
      </c>
      <c r="J3063">
        <v>0</v>
      </c>
      <c r="K3063">
        <v>0</v>
      </c>
      <c r="L3063">
        <v>0</v>
      </c>
      <c r="M3063" t="s">
        <v>17</v>
      </c>
    </row>
    <row r="3064" spans="1:13" hidden="1" x14ac:dyDescent="0.15">
      <c r="A3064" t="s">
        <v>9710</v>
      </c>
      <c r="B3064" t="s">
        <v>9711</v>
      </c>
      <c r="C3064" t="s">
        <v>9712</v>
      </c>
      <c r="D3064" t="s">
        <v>9709</v>
      </c>
      <c r="E3064">
        <v>0</v>
      </c>
      <c r="F3064" t="str">
        <f>HYPERLINK("https://github.com/aurelhubert/ahbottomnavigation/issues/277", "show")</f>
        <v>show</v>
      </c>
      <c r="G3064" t="str">
        <f>HYPERLINK("https://github.com/aurelhubert/ahbottomnavigation", "show")</f>
        <v>show</v>
      </c>
      <c r="H3064" t="str">
        <f>HYPERLINK("https://github.com/aurelhubert/ahbottomnavigation/releases", "show")</f>
        <v>show</v>
      </c>
      <c r="I3064">
        <v>0</v>
      </c>
      <c r="J3064">
        <v>0</v>
      </c>
      <c r="K3064">
        <v>0</v>
      </c>
      <c r="L3064">
        <v>0</v>
      </c>
      <c r="M3064" t="s">
        <v>43</v>
      </c>
    </row>
    <row r="3065" spans="1:13" hidden="1" x14ac:dyDescent="0.15">
      <c r="A3065" t="s">
        <v>9713</v>
      </c>
      <c r="B3065" t="s">
        <v>9714</v>
      </c>
      <c r="C3065" t="s">
        <v>9714</v>
      </c>
      <c r="D3065" t="s">
        <v>9715</v>
      </c>
      <c r="E3065">
        <v>0</v>
      </c>
      <c r="F3065" t="str">
        <f>HYPERLINK("https://github.com/thiagoprochnow/carteiradeativos/issues/133", "show")</f>
        <v>show</v>
      </c>
      <c r="G3065" t="str">
        <f>HYPERLINK("https://github.com/thiagoprochnow/carteiradeativos", "show")</f>
        <v>show</v>
      </c>
      <c r="H3065" t="str">
        <f>HYPERLINK("https://github.com/thiagoprochnow/carteiradeativos/releases", "show")</f>
        <v>show</v>
      </c>
      <c r="I3065">
        <v>1</v>
      </c>
      <c r="J3065">
        <v>0</v>
      </c>
      <c r="K3065">
        <v>1</v>
      </c>
      <c r="L3065">
        <v>0</v>
      </c>
      <c r="M3065" t="s">
        <v>64</v>
      </c>
    </row>
    <row r="3066" spans="1:13" hidden="1" x14ac:dyDescent="0.15">
      <c r="A3066" t="s">
        <v>9716</v>
      </c>
      <c r="B3066" t="s">
        <v>9717</v>
      </c>
      <c r="C3066" t="s">
        <v>9718</v>
      </c>
      <c r="D3066" t="s">
        <v>9715</v>
      </c>
      <c r="E3066">
        <v>370</v>
      </c>
      <c r="F3066" t="str">
        <f>HYPERLINK("https://github.com/NeXT-Workshops/mindroid/issues/65", "show")</f>
        <v>show</v>
      </c>
      <c r="G3066" t="str">
        <f>HYPERLINK("https://github.com/NeXT-Workshops/mindroid", "show")</f>
        <v>show</v>
      </c>
      <c r="H3066" t="str">
        <f>HYPERLINK("https://github.com/NeXT-Workshops/mindroid/releases", "show")</f>
        <v>show</v>
      </c>
      <c r="I3066">
        <v>1</v>
      </c>
      <c r="J3066">
        <v>0</v>
      </c>
      <c r="K3066">
        <v>0</v>
      </c>
      <c r="L3066">
        <v>0</v>
      </c>
      <c r="M3066" t="s">
        <v>17</v>
      </c>
    </row>
    <row r="3067" spans="1:13" hidden="1" x14ac:dyDescent="0.15">
      <c r="A3067" t="s">
        <v>9719</v>
      </c>
      <c r="B3067" t="s">
        <v>9720</v>
      </c>
      <c r="C3067" t="s">
        <v>9721</v>
      </c>
      <c r="D3067" t="s">
        <v>9715</v>
      </c>
      <c r="E3067">
        <v>370</v>
      </c>
      <c r="F3067" t="str">
        <f>HYPERLINK("https://github.com/NeXT-Workshops/mindroid/issues/62", "show")</f>
        <v>show</v>
      </c>
      <c r="G3067" t="str">
        <f>HYPERLINK("https://github.com/NeXT-Workshops/mindroid", "show")</f>
        <v>show</v>
      </c>
      <c r="H3067" t="str">
        <f>HYPERLINK("https://github.com/NeXT-Workshops/mindroid/releases", "show")</f>
        <v>show</v>
      </c>
      <c r="I3067">
        <v>1</v>
      </c>
      <c r="J3067">
        <v>0</v>
      </c>
      <c r="K3067">
        <v>0</v>
      </c>
      <c r="L3067">
        <v>0</v>
      </c>
      <c r="M3067" t="s">
        <v>17</v>
      </c>
    </row>
    <row r="3068" spans="1:13" hidden="1" x14ac:dyDescent="0.15">
      <c r="A3068" t="s">
        <v>9722</v>
      </c>
      <c r="B3068" t="s">
        <v>9723</v>
      </c>
      <c r="D3068" t="s">
        <v>9715</v>
      </c>
      <c r="E3068">
        <v>62</v>
      </c>
      <c r="F3068" t="str">
        <f>HYPERLINK("https://github.com/Intelehealth/Android-Mobile-Client/issues/339", "show")</f>
        <v>show</v>
      </c>
      <c r="G3068" t="str">
        <f>HYPERLINK("https://github.com/Intelehealth/Android-Mobile-Client", "show")</f>
        <v>show</v>
      </c>
      <c r="H3068" t="str">
        <f>HYPERLINK("https://github.com/Intelehealth/Android-Mobile-Client/releases", "show")</f>
        <v>show</v>
      </c>
      <c r="I3068">
        <v>1</v>
      </c>
      <c r="J3068">
        <v>0</v>
      </c>
      <c r="K3068">
        <v>0</v>
      </c>
      <c r="L3068">
        <v>0</v>
      </c>
      <c r="M3068" t="s">
        <v>17</v>
      </c>
    </row>
    <row r="3069" spans="1:13" hidden="1" x14ac:dyDescent="0.15">
      <c r="A3069" t="s">
        <v>9724</v>
      </c>
      <c r="B3069" t="s">
        <v>9725</v>
      </c>
      <c r="C3069" t="s">
        <v>9726</v>
      </c>
      <c r="D3069" t="s">
        <v>9727</v>
      </c>
      <c r="E3069">
        <v>1</v>
      </c>
      <c r="F3069" t="str">
        <f>HYPERLINK("https://github.com/osmdroid/osmdroid/issues/680", "show")</f>
        <v>show</v>
      </c>
      <c r="G3069" t="str">
        <f>HYPERLINK("https://github.com/osmdroid/osmdroid", "show")</f>
        <v>show</v>
      </c>
      <c r="H3069" t="str">
        <f>HYPERLINK("https://github.com/osmdroid/osmdroid/releases", "show")</f>
        <v>show</v>
      </c>
      <c r="I3069">
        <v>0</v>
      </c>
      <c r="J3069">
        <v>0</v>
      </c>
      <c r="K3069">
        <v>1</v>
      </c>
      <c r="L3069">
        <v>0</v>
      </c>
      <c r="M3069" t="s">
        <v>122</v>
      </c>
    </row>
    <row r="3070" spans="1:13" hidden="1" x14ac:dyDescent="0.15">
      <c r="A3070" t="s">
        <v>9728</v>
      </c>
      <c r="B3070" t="s">
        <v>9729</v>
      </c>
      <c r="C3070" t="s">
        <v>9730</v>
      </c>
      <c r="D3070" t="s">
        <v>9731</v>
      </c>
      <c r="E3070">
        <v>2</v>
      </c>
      <c r="F3070" t="str">
        <f>HYPERLINK("https://github.com/k9mail/k-9/issues/2708", "show")</f>
        <v>show</v>
      </c>
      <c r="G3070" t="str">
        <f>HYPERLINK("https://github.com/k9mail/k-9", "show")</f>
        <v>show</v>
      </c>
      <c r="H3070" t="str">
        <f>HYPERLINK("https://github.com/k9mail/k-9/releases", "show")</f>
        <v>show</v>
      </c>
      <c r="I3070">
        <v>1</v>
      </c>
      <c r="J3070">
        <v>1</v>
      </c>
      <c r="K3070">
        <v>0</v>
      </c>
      <c r="L3070">
        <v>1</v>
      </c>
      <c r="M3070" t="s">
        <v>1894</v>
      </c>
    </row>
    <row r="3071" spans="1:13" hidden="1" x14ac:dyDescent="0.15">
      <c r="A3071" t="s">
        <v>9732</v>
      </c>
      <c r="B3071" t="s">
        <v>9733</v>
      </c>
      <c r="C3071" t="s">
        <v>9734</v>
      </c>
      <c r="D3071" t="s">
        <v>9735</v>
      </c>
      <c r="E3071">
        <v>63</v>
      </c>
      <c r="F3071" t="str">
        <f>HYPERLINK("https://github.com/zom/Zom-Android-XMPP/issues/293", "show")</f>
        <v>show</v>
      </c>
      <c r="G3071" t="str">
        <f>HYPERLINK("https://github.com/zom/Zom-Android-XMPP", "show")</f>
        <v>show</v>
      </c>
      <c r="H3071" t="str">
        <f>HYPERLINK("https://github.com/zom/Zom-Android-XMPP/releases", "show")</f>
        <v>show</v>
      </c>
      <c r="I3071">
        <v>0</v>
      </c>
      <c r="J3071">
        <v>0</v>
      </c>
      <c r="K3071">
        <v>0</v>
      </c>
      <c r="L3071">
        <v>0</v>
      </c>
      <c r="M3071" t="s">
        <v>43</v>
      </c>
    </row>
    <row r="3072" spans="1:13" x14ac:dyDescent="0.15">
      <c r="A3072" t="s">
        <v>9736</v>
      </c>
      <c r="B3072" t="s">
        <v>9737</v>
      </c>
      <c r="C3072" t="s">
        <v>9738</v>
      </c>
      <c r="D3072" t="s">
        <v>9735</v>
      </c>
      <c r="E3072">
        <v>14</v>
      </c>
      <c r="F3072" t="str">
        <f>HYPERLINK("https://github.com/sockeqwe/mosby/issues/271", "show")</f>
        <v>show</v>
      </c>
      <c r="G3072" t="str">
        <f>HYPERLINK("https://github.com/sockeqwe/mosby", "show")</f>
        <v>show</v>
      </c>
      <c r="H3072" t="str">
        <f>HYPERLINK("https://github.com/sockeqwe/mosby/releases", "show")</f>
        <v>show</v>
      </c>
      <c r="I3072">
        <v>0</v>
      </c>
      <c r="J3072">
        <v>1</v>
      </c>
      <c r="K3072">
        <v>0</v>
      </c>
      <c r="L3072">
        <v>0</v>
      </c>
      <c r="M3072" t="s">
        <v>139</v>
      </c>
    </row>
    <row r="3073" spans="1:13" hidden="1" x14ac:dyDescent="0.15">
      <c r="A3073" t="s">
        <v>9739</v>
      </c>
      <c r="B3073" t="s">
        <v>9740</v>
      </c>
      <c r="D3073" t="s">
        <v>9735</v>
      </c>
      <c r="E3073">
        <v>7</v>
      </c>
      <c r="F3073" t="str">
        <f>HYPERLINK("https://github.com/vector-im/riot-android/issues/1523", "show")</f>
        <v>show</v>
      </c>
      <c r="G3073" t="str">
        <f>HYPERLINK("https://github.com/vector-im/riot-android", "show")</f>
        <v>show</v>
      </c>
      <c r="H3073" t="str">
        <f>HYPERLINK("https://github.com/vector-im/riot-android/releases", "show")</f>
        <v>show</v>
      </c>
      <c r="I3073">
        <v>1</v>
      </c>
      <c r="J3073">
        <v>0</v>
      </c>
      <c r="K3073">
        <v>0</v>
      </c>
      <c r="L3073">
        <v>0</v>
      </c>
      <c r="M3073" t="s">
        <v>17</v>
      </c>
    </row>
    <row r="3074" spans="1:13" hidden="1" x14ac:dyDescent="0.15">
      <c r="A3074" t="s">
        <v>9741</v>
      </c>
      <c r="B3074" t="s">
        <v>9742</v>
      </c>
      <c r="C3074" t="s">
        <v>9743</v>
      </c>
      <c r="D3074" t="s">
        <v>9735</v>
      </c>
      <c r="E3074">
        <v>318</v>
      </c>
      <c r="F3074" t="str">
        <f>HYPERLINK("https://github.com/permissions-dispatcher/PermissionsDispatcher/issues/356", "show")</f>
        <v>show</v>
      </c>
      <c r="G3074" t="str">
        <f>HYPERLINK("https://github.com/permissions-dispatcher/PermissionsDispatcher", "show")</f>
        <v>show</v>
      </c>
      <c r="H3074" t="str">
        <f>HYPERLINK("https://github.com/permissions-dispatcher/PermissionsDispatcher/releases", "show")</f>
        <v>show</v>
      </c>
      <c r="I3074">
        <v>1</v>
      </c>
      <c r="J3074">
        <v>0</v>
      </c>
      <c r="K3074">
        <v>0</v>
      </c>
      <c r="L3074">
        <v>0</v>
      </c>
      <c r="M3074" t="s">
        <v>17</v>
      </c>
    </row>
    <row r="3075" spans="1:13" hidden="1" x14ac:dyDescent="0.15">
      <c r="A3075" t="s">
        <v>9744</v>
      </c>
      <c r="B3075" t="s">
        <v>9745</v>
      </c>
      <c r="C3075" t="s">
        <v>9746</v>
      </c>
      <c r="D3075" t="s">
        <v>9747</v>
      </c>
      <c r="E3075">
        <v>104</v>
      </c>
      <c r="F3075" t="str">
        <f>HYPERLINK("https://github.com/ankidroid/Anki-Android/issues/4691", "show")</f>
        <v>show</v>
      </c>
      <c r="G3075" t="str">
        <f>HYPERLINK("https://github.com/ankidroid/Anki-Android", "show")</f>
        <v>show</v>
      </c>
      <c r="H3075" t="str">
        <f>HYPERLINK("https://github.com/ankidroid/Anki-Android/releases", "show")</f>
        <v>show</v>
      </c>
      <c r="I3075">
        <v>1</v>
      </c>
      <c r="J3075">
        <v>1</v>
      </c>
      <c r="K3075">
        <v>0</v>
      </c>
      <c r="L3075">
        <v>0</v>
      </c>
      <c r="M3075" t="s">
        <v>48</v>
      </c>
    </row>
    <row r="3076" spans="1:13" hidden="1" x14ac:dyDescent="0.15">
      <c r="A3076" t="s">
        <v>9748</v>
      </c>
      <c r="B3076" t="s">
        <v>9749</v>
      </c>
      <c r="C3076" t="s">
        <v>9750</v>
      </c>
      <c r="D3076" t="s">
        <v>9747</v>
      </c>
      <c r="E3076">
        <v>3</v>
      </c>
      <c r="F3076" t="str">
        <f>HYPERLINK("https://github.com/vector-im/riot-android/issues/1541", "show")</f>
        <v>show</v>
      </c>
      <c r="G3076" t="str">
        <f>HYPERLINK("https://github.com/vector-im/riot-android", "show")</f>
        <v>show</v>
      </c>
      <c r="H3076" t="str">
        <f>HYPERLINK("https://github.com/vector-im/riot-android/releases", "show")</f>
        <v>show</v>
      </c>
      <c r="I3076">
        <v>1</v>
      </c>
      <c r="J3076">
        <v>0</v>
      </c>
      <c r="K3076">
        <v>0</v>
      </c>
      <c r="L3076">
        <v>0</v>
      </c>
      <c r="M3076" t="s">
        <v>17</v>
      </c>
    </row>
    <row r="3077" spans="1:13" hidden="1" x14ac:dyDescent="0.15">
      <c r="A3077" t="s">
        <v>9751</v>
      </c>
      <c r="B3077" t="s">
        <v>9752</v>
      </c>
      <c r="C3077" t="s">
        <v>9753</v>
      </c>
      <c r="D3077" t="s">
        <v>9747</v>
      </c>
      <c r="E3077">
        <v>6</v>
      </c>
      <c r="F3077" t="str">
        <f>HYPERLINK("https://github.com/google/ExoPlayer/issues/3215", "show")</f>
        <v>show</v>
      </c>
      <c r="G3077" t="str">
        <f>HYPERLINK("https://github.com/google/ExoPlayer", "show")</f>
        <v>show</v>
      </c>
      <c r="H3077" t="str">
        <f>HYPERLINK("https://github.com/google/ExoPlayer/releases", "show")</f>
        <v>show</v>
      </c>
      <c r="I3077">
        <v>1</v>
      </c>
      <c r="J3077">
        <v>1</v>
      </c>
      <c r="K3077">
        <v>0</v>
      </c>
      <c r="L3077">
        <v>1</v>
      </c>
      <c r="M3077" t="s">
        <v>1894</v>
      </c>
    </row>
    <row r="3078" spans="1:13" hidden="1" x14ac:dyDescent="0.15">
      <c r="A3078" t="s">
        <v>9754</v>
      </c>
      <c r="B3078" t="s">
        <v>9755</v>
      </c>
      <c r="C3078" t="s">
        <v>9756</v>
      </c>
      <c r="D3078" t="s">
        <v>9757</v>
      </c>
      <c r="E3078">
        <v>510</v>
      </c>
      <c r="F3078" t="str">
        <f>HYPERLINK("https://github.com/ccrama/Slide/issues/2521", "show")</f>
        <v>show</v>
      </c>
      <c r="G3078" t="str">
        <f>HYPERLINK("https://github.com/ccrama/Slide", "show")</f>
        <v>show</v>
      </c>
      <c r="H3078" t="str">
        <f>HYPERLINK("https://github.com/ccrama/Slide/releases", "show")</f>
        <v>show</v>
      </c>
      <c r="I3078">
        <v>1</v>
      </c>
      <c r="J3078">
        <v>0</v>
      </c>
      <c r="K3078">
        <v>0</v>
      </c>
      <c r="L3078">
        <v>0</v>
      </c>
      <c r="M3078" t="s">
        <v>17</v>
      </c>
    </row>
    <row r="3079" spans="1:13" hidden="1" x14ac:dyDescent="0.15">
      <c r="A3079" t="s">
        <v>9758</v>
      </c>
      <c r="B3079" t="s">
        <v>9759</v>
      </c>
      <c r="C3079" t="s">
        <v>9760</v>
      </c>
      <c r="D3079" t="s">
        <v>9761</v>
      </c>
      <c r="E3079">
        <v>7</v>
      </c>
      <c r="F3079" t="str">
        <f>HYPERLINK("https://github.com/DoubleSymmetry/react-native-track-player/issues/35", "show")</f>
        <v>show</v>
      </c>
      <c r="G3079" t="str">
        <f>HYPERLINK("https://github.com/DoubleSymmetry/react-native-track-player", "show")</f>
        <v>show</v>
      </c>
      <c r="H3079" t="str">
        <f>HYPERLINK("https://github.com/DoubleSymmetry/react-native-track-player/releases", "show")</f>
        <v>show</v>
      </c>
      <c r="I3079">
        <v>1</v>
      </c>
      <c r="J3079">
        <v>0</v>
      </c>
      <c r="K3079">
        <v>0</v>
      </c>
      <c r="L3079">
        <v>0</v>
      </c>
      <c r="M3079" t="s">
        <v>17</v>
      </c>
    </row>
    <row r="3080" spans="1:13" hidden="1" x14ac:dyDescent="0.15">
      <c r="A3080" t="s">
        <v>9762</v>
      </c>
      <c r="B3080" t="s">
        <v>9763</v>
      </c>
      <c r="C3080" t="s">
        <v>9764</v>
      </c>
      <c r="D3080" t="s">
        <v>9761</v>
      </c>
      <c r="E3080">
        <v>12</v>
      </c>
      <c r="F3080" t="str">
        <f>HYPERLINK("https://github.com/nextcloud/android/issues/1469", "show")</f>
        <v>show</v>
      </c>
      <c r="G3080" t="str">
        <f>HYPERLINK("https://github.com/nextcloud/android", "show")</f>
        <v>show</v>
      </c>
      <c r="H3080" t="str">
        <f>HYPERLINK("https://github.com/nextcloud/android/releases", "show")</f>
        <v>show</v>
      </c>
      <c r="I3080">
        <v>1</v>
      </c>
      <c r="J3080">
        <v>1</v>
      </c>
      <c r="K3080">
        <v>0</v>
      </c>
      <c r="L3080">
        <v>0</v>
      </c>
      <c r="M3080" t="s">
        <v>48</v>
      </c>
    </row>
    <row r="3081" spans="1:13" hidden="1" x14ac:dyDescent="0.15">
      <c r="A3081" t="s">
        <v>9765</v>
      </c>
      <c r="B3081" t="s">
        <v>4871</v>
      </c>
      <c r="C3081" t="s">
        <v>504</v>
      </c>
      <c r="D3081" t="s">
        <v>9761</v>
      </c>
      <c r="E3081">
        <v>183</v>
      </c>
      <c r="F3081" t="str">
        <f>HYPERLINK("https://github.com/tanrabad/survey/issues/38", "show")</f>
        <v>show</v>
      </c>
      <c r="G3081" t="str">
        <f>HYPERLINK("https://github.com/tanrabad/survey", "show")</f>
        <v>show</v>
      </c>
      <c r="H3081" t="str">
        <f>HYPERLINK("https://github.com/tanrabad/survey/releases", "show")</f>
        <v>show</v>
      </c>
      <c r="I3081">
        <v>1</v>
      </c>
      <c r="J3081">
        <v>0</v>
      </c>
      <c r="K3081">
        <v>0</v>
      </c>
      <c r="L3081">
        <v>0</v>
      </c>
      <c r="M3081" t="s">
        <v>17</v>
      </c>
    </row>
    <row r="3082" spans="1:13" hidden="1" x14ac:dyDescent="0.15">
      <c r="A3082" t="s">
        <v>9766</v>
      </c>
      <c r="B3082" t="s">
        <v>9767</v>
      </c>
      <c r="C3082" t="s">
        <v>504</v>
      </c>
      <c r="D3082" t="s">
        <v>9768</v>
      </c>
      <c r="E3082">
        <v>474</v>
      </c>
      <c r="F3082" t="str">
        <f>HYPERLINK("https://github.com/niclabs/adkintunmobile-androidclient/issues/180", "show")</f>
        <v>show</v>
      </c>
      <c r="G3082" t="str">
        <f>HYPERLINK("https://github.com/niclabs/adkintunmobile-androidclient", "show")</f>
        <v>show</v>
      </c>
      <c r="H3082" t="str">
        <f>HYPERLINK("https://github.com/niclabs/adkintunmobile-androidclient/releases", "show")</f>
        <v>show</v>
      </c>
      <c r="I3082">
        <v>1</v>
      </c>
      <c r="J3082">
        <v>0</v>
      </c>
      <c r="K3082">
        <v>0</v>
      </c>
      <c r="L3082">
        <v>0</v>
      </c>
      <c r="M3082" t="s">
        <v>17</v>
      </c>
    </row>
    <row r="3083" spans="1:13" hidden="1" x14ac:dyDescent="0.15">
      <c r="A3083" t="s">
        <v>9769</v>
      </c>
      <c r="B3083" t="s">
        <v>9770</v>
      </c>
      <c r="C3083" t="s">
        <v>9771</v>
      </c>
      <c r="D3083" t="s">
        <v>9768</v>
      </c>
      <c r="E3083">
        <v>5</v>
      </c>
      <c r="F3083" t="str">
        <f>HYPERLINK("https://github.com/EnventureEnterprises/EnventureAndroid-MVP/issues/4", "show")</f>
        <v>show</v>
      </c>
      <c r="G3083" t="str">
        <f>HYPERLINK("https://github.com/EnventureEnterprises/EnventureAndroid-MVP", "show")</f>
        <v>show</v>
      </c>
      <c r="H3083" t="str">
        <f>HYPERLINK("https://github.com/EnventureEnterprises/EnventureAndroid-MVP/releases", "show")</f>
        <v>show</v>
      </c>
      <c r="I3083">
        <v>0</v>
      </c>
      <c r="J3083">
        <v>0</v>
      </c>
      <c r="K3083">
        <v>0</v>
      </c>
      <c r="L3083">
        <v>0</v>
      </c>
      <c r="M3083" t="s">
        <v>43</v>
      </c>
    </row>
    <row r="3084" spans="1:13" hidden="1" x14ac:dyDescent="0.15">
      <c r="A3084" t="s">
        <v>9772</v>
      </c>
      <c r="B3084" t="s">
        <v>9773</v>
      </c>
      <c r="C3084" t="s">
        <v>9774</v>
      </c>
      <c r="D3084" t="s">
        <v>9768</v>
      </c>
      <c r="E3084">
        <v>3</v>
      </c>
      <c r="F3084" t="str">
        <f>HYPERLINK("https://github.com/nickthegroot/UnityPlanner/issues/28", "show")</f>
        <v>show</v>
      </c>
      <c r="G3084" t="str">
        <f>HYPERLINK("https://github.com/nickthegroot/UnityPlanner", "show")</f>
        <v>show</v>
      </c>
      <c r="H3084" t="str">
        <f>HYPERLINK("https://github.com/nickthegroot/UnityPlanner/releases", "show")</f>
        <v>show</v>
      </c>
      <c r="I3084">
        <v>0</v>
      </c>
      <c r="J3084">
        <v>0</v>
      </c>
      <c r="K3084">
        <v>1</v>
      </c>
      <c r="L3084">
        <v>0</v>
      </c>
      <c r="M3084" t="s">
        <v>122</v>
      </c>
    </row>
    <row r="3085" spans="1:13" hidden="1" x14ac:dyDescent="0.15">
      <c r="A3085" t="s">
        <v>9775</v>
      </c>
      <c r="B3085" t="s">
        <v>9776</v>
      </c>
      <c r="C3085" t="s">
        <v>9777</v>
      </c>
      <c r="D3085" t="s">
        <v>9768</v>
      </c>
      <c r="E3085">
        <v>1</v>
      </c>
      <c r="F3085" t="str">
        <f>HYPERLINK("https://github.com/jruesga/PhotoPhase/issues/32", "show")</f>
        <v>show</v>
      </c>
      <c r="G3085" t="str">
        <f>HYPERLINK("https://github.com/jruesga/PhotoPhase", "show")</f>
        <v>show</v>
      </c>
      <c r="H3085" t="str">
        <f>HYPERLINK("https://github.com/jruesga/PhotoPhase/releases", "show")</f>
        <v>show</v>
      </c>
      <c r="I3085">
        <v>1</v>
      </c>
      <c r="J3085">
        <v>0</v>
      </c>
      <c r="K3085">
        <v>1</v>
      </c>
      <c r="L3085">
        <v>0</v>
      </c>
      <c r="M3085" t="s">
        <v>64</v>
      </c>
    </row>
    <row r="3086" spans="1:13" hidden="1" x14ac:dyDescent="0.15">
      <c r="A3086" t="s">
        <v>9778</v>
      </c>
      <c r="B3086" t="s">
        <v>9779</v>
      </c>
      <c r="C3086" t="s">
        <v>9780</v>
      </c>
      <c r="D3086" t="s">
        <v>9781</v>
      </c>
      <c r="E3086">
        <v>528</v>
      </c>
      <c r="F3086" t="str">
        <f>HYPERLINK("https://github.com/aricneto/TwistyTimer/issues/101", "show")</f>
        <v>show</v>
      </c>
      <c r="G3086" t="str">
        <f>HYPERLINK("https://github.com/aricneto/TwistyTimer", "show")</f>
        <v>show</v>
      </c>
      <c r="H3086" t="str">
        <f>HYPERLINK("https://github.com/aricneto/TwistyTimer/releases", "show")</f>
        <v>show</v>
      </c>
      <c r="I3086">
        <v>0</v>
      </c>
      <c r="J3086">
        <v>0</v>
      </c>
      <c r="K3086">
        <v>0</v>
      </c>
      <c r="L3086">
        <v>0</v>
      </c>
      <c r="M3086" t="s">
        <v>43</v>
      </c>
    </row>
    <row r="3087" spans="1:13" hidden="1" x14ac:dyDescent="0.15">
      <c r="A3087" t="s">
        <v>9782</v>
      </c>
      <c r="B3087" t="s">
        <v>9783</v>
      </c>
      <c r="C3087" t="s">
        <v>9784</v>
      </c>
      <c r="D3087" t="s">
        <v>9781</v>
      </c>
      <c r="E3087">
        <v>3</v>
      </c>
      <c r="F3087" t="str">
        <f>HYPERLINK("https://github.com/walkap/X-android/issues/24", "show")</f>
        <v>show</v>
      </c>
      <c r="G3087" t="str">
        <f>HYPERLINK("https://github.com/walkap/X-android", "show")</f>
        <v>show</v>
      </c>
      <c r="H3087" t="str">
        <f>HYPERLINK("https://github.com/walkap/X-android/releases", "show")</f>
        <v>show</v>
      </c>
      <c r="I3087">
        <v>1</v>
      </c>
      <c r="J3087">
        <v>0</v>
      </c>
      <c r="K3087">
        <v>0</v>
      </c>
      <c r="L3087">
        <v>0</v>
      </c>
      <c r="M3087" t="s">
        <v>17</v>
      </c>
    </row>
    <row r="3088" spans="1:13" hidden="1" x14ac:dyDescent="0.15">
      <c r="A3088" t="s">
        <v>9785</v>
      </c>
      <c r="B3088" t="s">
        <v>9786</v>
      </c>
      <c r="C3088" t="s">
        <v>9787</v>
      </c>
      <c r="D3088" t="s">
        <v>9781</v>
      </c>
      <c r="E3088">
        <v>9</v>
      </c>
      <c r="F3088" t="str">
        <f>HYPERLINK("https://github.com/stefan-niedermann/nextcloud-notes/issues/252", "show")</f>
        <v>show</v>
      </c>
      <c r="G3088" t="str">
        <f>HYPERLINK("https://github.com/stefan-niedermann/nextcloud-notes", "show")</f>
        <v>show</v>
      </c>
      <c r="H3088" t="str">
        <f>HYPERLINK("https://github.com/stefan-niedermann/nextcloud-notes/releases", "show")</f>
        <v>show</v>
      </c>
      <c r="I3088">
        <v>1</v>
      </c>
      <c r="J3088">
        <v>0</v>
      </c>
      <c r="K3088">
        <v>0</v>
      </c>
      <c r="L3088">
        <v>0</v>
      </c>
      <c r="M3088" t="s">
        <v>17</v>
      </c>
    </row>
    <row r="3089" spans="1:13" hidden="1" x14ac:dyDescent="0.15">
      <c r="A3089" t="s">
        <v>9788</v>
      </c>
      <c r="B3089" t="s">
        <v>9789</v>
      </c>
      <c r="C3089" t="s">
        <v>9790</v>
      </c>
      <c r="D3089" t="s">
        <v>9791</v>
      </c>
      <c r="E3089">
        <v>3</v>
      </c>
      <c r="F3089" t="str">
        <f>HYPERLINK("https://github.com/33mhz/robin/issues/23", "show")</f>
        <v>show</v>
      </c>
      <c r="G3089" t="str">
        <f>HYPERLINK("https://github.com/33mhz/robin", "show")</f>
        <v>show</v>
      </c>
      <c r="H3089" t="str">
        <f>HYPERLINK("https://github.com/33mhz/robin/releases", "show")</f>
        <v>show</v>
      </c>
      <c r="I3089">
        <v>1</v>
      </c>
      <c r="J3089">
        <v>0</v>
      </c>
      <c r="K3089">
        <v>0</v>
      </c>
      <c r="L3089">
        <v>0</v>
      </c>
      <c r="M3089" t="s">
        <v>17</v>
      </c>
    </row>
    <row r="3090" spans="1:13" hidden="1" x14ac:dyDescent="0.15">
      <c r="A3090" t="s">
        <v>9792</v>
      </c>
      <c r="B3090" t="s">
        <v>9793</v>
      </c>
      <c r="C3090" t="s">
        <v>9794</v>
      </c>
      <c r="D3090" t="s">
        <v>9791</v>
      </c>
      <c r="E3090">
        <v>72</v>
      </c>
      <c r="F3090" t="str">
        <f>HYPERLINK("https://github.com/commons-app/apps-android-commons/issues/861", "show")</f>
        <v>show</v>
      </c>
      <c r="G3090" t="str">
        <f>HYPERLINK("https://github.com/commons-app/apps-android-commons", "show")</f>
        <v>show</v>
      </c>
      <c r="H3090" t="str">
        <f>HYPERLINK("https://github.com/commons-app/apps-android-commons/releases", "show")</f>
        <v>show</v>
      </c>
      <c r="I3090">
        <v>1</v>
      </c>
      <c r="J3090">
        <v>0</v>
      </c>
      <c r="K3090">
        <v>1</v>
      </c>
      <c r="L3090">
        <v>0</v>
      </c>
      <c r="M3090" t="s">
        <v>64</v>
      </c>
    </row>
    <row r="3091" spans="1:13" hidden="1" x14ac:dyDescent="0.15">
      <c r="A3091" t="s">
        <v>9795</v>
      </c>
      <c r="B3091" t="s">
        <v>9796</v>
      </c>
      <c r="D3091" t="s">
        <v>9797</v>
      </c>
      <c r="E3091">
        <v>0</v>
      </c>
      <c r="F3091" t="str">
        <f>HYPERLINK("https://github.com/danimahardhika/wallpaperboard/issues/63", "show")</f>
        <v>show</v>
      </c>
      <c r="G3091" t="str">
        <f>HYPERLINK("https://github.com/danimahardhika/wallpaperboard", "show")</f>
        <v>show</v>
      </c>
      <c r="H3091" t="str">
        <f>HYPERLINK("https://github.com/danimahardhika/wallpaperboard/releases", "show")</f>
        <v>show</v>
      </c>
      <c r="I3091">
        <v>1</v>
      </c>
      <c r="J3091">
        <v>0</v>
      </c>
      <c r="K3091">
        <v>1</v>
      </c>
      <c r="L3091">
        <v>0</v>
      </c>
      <c r="M3091" t="s">
        <v>64</v>
      </c>
    </row>
    <row r="3092" spans="1:13" hidden="1" x14ac:dyDescent="0.15">
      <c r="A3092" t="s">
        <v>9798</v>
      </c>
      <c r="B3092" t="s">
        <v>9799</v>
      </c>
      <c r="C3092" t="s">
        <v>9800</v>
      </c>
      <c r="D3092" t="s">
        <v>9797</v>
      </c>
      <c r="E3092">
        <v>2</v>
      </c>
      <c r="F3092" t="str">
        <f>HYPERLINK("https://github.com/bumptech/glide/issues/2326", "show")</f>
        <v>show</v>
      </c>
      <c r="G3092" t="str">
        <f>HYPERLINK("https://github.com/bumptech/glide", "show")</f>
        <v>show</v>
      </c>
      <c r="H3092" t="str">
        <f>HYPERLINK("https://github.com/bumptech/glide/releases", "show")</f>
        <v>show</v>
      </c>
      <c r="I3092">
        <v>1</v>
      </c>
      <c r="J3092">
        <v>0</v>
      </c>
      <c r="K3092">
        <v>1</v>
      </c>
      <c r="L3092">
        <v>0</v>
      </c>
      <c r="M3092" t="s">
        <v>64</v>
      </c>
    </row>
    <row r="3093" spans="1:13" hidden="1" x14ac:dyDescent="0.15">
      <c r="A3093" t="s">
        <v>9801</v>
      </c>
      <c r="B3093" t="s">
        <v>9802</v>
      </c>
      <c r="C3093" t="s">
        <v>9803</v>
      </c>
      <c r="D3093" t="s">
        <v>9797</v>
      </c>
      <c r="E3093">
        <v>453</v>
      </c>
      <c r="F3093" t="str">
        <f>HYPERLINK("https://github.com/hyb1996/Auto.js/issues/233", "show")</f>
        <v>show</v>
      </c>
      <c r="G3093" t="str">
        <f>HYPERLINK("https://github.com/hyb1996/Auto.js", "show")</f>
        <v>show</v>
      </c>
      <c r="H3093" t="str">
        <f>HYPERLINK("https://github.com/hyb1996/Auto.js/releases", "show")</f>
        <v>show</v>
      </c>
      <c r="I3093">
        <v>0</v>
      </c>
      <c r="J3093">
        <v>0</v>
      </c>
      <c r="K3093">
        <v>1</v>
      </c>
      <c r="L3093">
        <v>0</v>
      </c>
      <c r="M3093" t="s">
        <v>122</v>
      </c>
    </row>
    <row r="3094" spans="1:13" hidden="1" x14ac:dyDescent="0.15">
      <c r="A3094" t="s">
        <v>9804</v>
      </c>
      <c r="B3094" t="s">
        <v>9805</v>
      </c>
      <c r="D3094" t="s">
        <v>9797</v>
      </c>
      <c r="E3094">
        <v>25</v>
      </c>
      <c r="F3094" t="str">
        <f>HYPERLINK("https://github.com/vector-im/riot-android/issues/1557", "show")</f>
        <v>show</v>
      </c>
      <c r="G3094" t="str">
        <f>HYPERLINK("https://github.com/vector-im/riot-android", "show")</f>
        <v>show</v>
      </c>
      <c r="H3094" t="str">
        <f>HYPERLINK("https://github.com/vector-im/riot-android/releases", "show")</f>
        <v>show</v>
      </c>
      <c r="I3094">
        <v>1</v>
      </c>
      <c r="J3094">
        <v>0</v>
      </c>
      <c r="K3094">
        <v>0</v>
      </c>
      <c r="L3094">
        <v>0</v>
      </c>
      <c r="M3094" t="s">
        <v>17</v>
      </c>
    </row>
    <row r="3095" spans="1:13" hidden="1" x14ac:dyDescent="0.15">
      <c r="A3095" t="s">
        <v>9806</v>
      </c>
      <c r="B3095" t="s">
        <v>9807</v>
      </c>
      <c r="C3095" t="s">
        <v>9808</v>
      </c>
      <c r="D3095" t="s">
        <v>9809</v>
      </c>
      <c r="E3095">
        <v>1</v>
      </c>
      <c r="F3095" t="str">
        <f>HYPERLINK("https://github.com/walkap/X-android/issues/27", "show")</f>
        <v>show</v>
      </c>
      <c r="G3095" t="str">
        <f>HYPERLINK("https://github.com/walkap/X-android", "show")</f>
        <v>show</v>
      </c>
      <c r="H3095" t="str">
        <f>HYPERLINK("https://github.com/walkap/X-android/releases", "show")</f>
        <v>show</v>
      </c>
      <c r="I3095">
        <v>1</v>
      </c>
      <c r="J3095">
        <v>0</v>
      </c>
      <c r="K3095">
        <v>0</v>
      </c>
      <c r="L3095">
        <v>0</v>
      </c>
      <c r="M3095" t="s">
        <v>17</v>
      </c>
    </row>
    <row r="3096" spans="1:13" hidden="1" x14ac:dyDescent="0.15">
      <c r="A3096" t="s">
        <v>9810</v>
      </c>
      <c r="B3096" t="s">
        <v>9811</v>
      </c>
      <c r="D3096" t="s">
        <v>9809</v>
      </c>
      <c r="E3096">
        <v>1</v>
      </c>
      <c r="F3096" t="str">
        <f>HYPERLINK("https://github.com/d4rken/reddit-android-appstore/issues/146", "show")</f>
        <v>show</v>
      </c>
      <c r="G3096" t="str">
        <f>HYPERLINK("https://github.com/d4rken/reddit-android-appstore", "show")</f>
        <v>show</v>
      </c>
      <c r="H3096" t="str">
        <f>HYPERLINK("https://github.com/d4rken/reddit-android-appstore/releases", "show")</f>
        <v>show</v>
      </c>
      <c r="I3096">
        <v>1</v>
      </c>
      <c r="J3096">
        <v>0</v>
      </c>
      <c r="K3096">
        <v>0</v>
      </c>
      <c r="L3096">
        <v>0</v>
      </c>
      <c r="M3096" t="s">
        <v>17</v>
      </c>
    </row>
    <row r="3097" spans="1:13" hidden="1" x14ac:dyDescent="0.15">
      <c r="A3097" t="s">
        <v>9812</v>
      </c>
      <c r="B3097" t="s">
        <v>9813</v>
      </c>
      <c r="C3097" t="s">
        <v>9814</v>
      </c>
      <c r="D3097" t="s">
        <v>9815</v>
      </c>
      <c r="E3097">
        <v>1</v>
      </c>
      <c r="F3097" t="str">
        <f>HYPERLINK("https://github.com/kontalk/androidclient/issues/1063", "show")</f>
        <v>show</v>
      </c>
      <c r="G3097" t="str">
        <f>HYPERLINK("https://github.com/kontalk/androidclient", "show")</f>
        <v>show</v>
      </c>
      <c r="H3097" t="str">
        <f>HYPERLINK("https://github.com/kontalk/androidclient/releases", "show")</f>
        <v>show</v>
      </c>
      <c r="I3097">
        <v>0</v>
      </c>
      <c r="J3097">
        <v>1</v>
      </c>
      <c r="K3097">
        <v>1</v>
      </c>
      <c r="L3097">
        <v>1</v>
      </c>
      <c r="M3097" t="s">
        <v>427</v>
      </c>
    </row>
    <row r="3098" spans="1:13" hidden="1" x14ac:dyDescent="0.15">
      <c r="A3098" t="s">
        <v>9816</v>
      </c>
      <c r="B3098" t="s">
        <v>9817</v>
      </c>
      <c r="C3098" t="s">
        <v>9818</v>
      </c>
      <c r="D3098" t="s">
        <v>9815</v>
      </c>
      <c r="E3098">
        <v>1</v>
      </c>
      <c r="F3098" t="str">
        <f>HYPERLINK("https://github.com/getodk/collect/issues/1424", "show")</f>
        <v>show</v>
      </c>
      <c r="G3098" t="str">
        <f>HYPERLINK("https://github.com/getodk/collect", "show")</f>
        <v>show</v>
      </c>
      <c r="H3098" t="str">
        <f>HYPERLINK("https://github.com/getodk/collect/releases", "show")</f>
        <v>show</v>
      </c>
      <c r="I3098">
        <v>1</v>
      </c>
      <c r="J3098">
        <v>0</v>
      </c>
      <c r="K3098">
        <v>1</v>
      </c>
      <c r="L3098">
        <v>0</v>
      </c>
      <c r="M3098" t="s">
        <v>64</v>
      </c>
    </row>
    <row r="3099" spans="1:13" hidden="1" x14ac:dyDescent="0.15">
      <c r="A3099" t="s">
        <v>9819</v>
      </c>
      <c r="B3099" t="s">
        <v>9820</v>
      </c>
      <c r="C3099" t="s">
        <v>9821</v>
      </c>
      <c r="D3099" t="s">
        <v>9822</v>
      </c>
      <c r="E3099">
        <v>9</v>
      </c>
      <c r="F3099" t="str">
        <f>HYPERLINK("https://github.com/inaturalist/iNaturalistAndroid/issues/403", "show")</f>
        <v>show</v>
      </c>
      <c r="G3099" t="str">
        <f>HYPERLINK("https://github.com/inaturalist/iNaturalistAndroid", "show")</f>
        <v>show</v>
      </c>
      <c r="H3099" t="str">
        <f>HYPERLINK("https://github.com/inaturalist/iNaturalistAndroid/releases", "show")</f>
        <v>show</v>
      </c>
      <c r="I3099">
        <v>1</v>
      </c>
      <c r="J3099">
        <v>1</v>
      </c>
      <c r="K3099">
        <v>0</v>
      </c>
      <c r="L3099">
        <v>0</v>
      </c>
      <c r="M3099" t="s">
        <v>48</v>
      </c>
    </row>
    <row r="3100" spans="1:13" hidden="1" x14ac:dyDescent="0.15">
      <c r="A3100" t="s">
        <v>9823</v>
      </c>
      <c r="B3100" t="s">
        <v>9824</v>
      </c>
      <c r="C3100" t="s">
        <v>9825</v>
      </c>
      <c r="D3100" t="s">
        <v>9822</v>
      </c>
      <c r="E3100">
        <v>0</v>
      </c>
      <c r="F3100" t="str">
        <f>HYPERLINK("https://github.com/kontalk/androidclient/issues/1064", "show")</f>
        <v>show</v>
      </c>
      <c r="G3100" t="str">
        <f>HYPERLINK("https://github.com/kontalk/androidclient", "show")</f>
        <v>show</v>
      </c>
      <c r="H3100" t="str">
        <f>HYPERLINK("https://github.com/kontalk/androidclient/releases", "show")</f>
        <v>show</v>
      </c>
      <c r="I3100">
        <v>1</v>
      </c>
      <c r="J3100">
        <v>0</v>
      </c>
      <c r="K3100">
        <v>1</v>
      </c>
      <c r="L3100">
        <v>0</v>
      </c>
      <c r="M3100" t="s">
        <v>64</v>
      </c>
    </row>
    <row r="3101" spans="1:13" hidden="1" x14ac:dyDescent="0.15">
      <c r="A3101" t="s">
        <v>9826</v>
      </c>
      <c r="B3101" t="s">
        <v>9827</v>
      </c>
      <c r="C3101" t="s">
        <v>9828</v>
      </c>
      <c r="D3101" t="s">
        <v>9822</v>
      </c>
      <c r="E3101">
        <v>1</v>
      </c>
      <c r="F3101" t="str">
        <f>HYPERLINK("https://github.com/itachi1706/SingBuses/issues/90", "show")</f>
        <v>show</v>
      </c>
      <c r="G3101" t="str">
        <f>HYPERLINK("https://github.com/itachi1706/SingBuses", "show")</f>
        <v>show</v>
      </c>
      <c r="H3101" t="str">
        <f>HYPERLINK("https://github.com/itachi1706/SingBuses/releases", "show")</f>
        <v>show</v>
      </c>
      <c r="I3101">
        <v>1</v>
      </c>
      <c r="J3101">
        <v>0</v>
      </c>
      <c r="K3101">
        <v>0</v>
      </c>
      <c r="L3101">
        <v>0</v>
      </c>
      <c r="M3101" t="s">
        <v>17</v>
      </c>
    </row>
    <row r="3102" spans="1:13" hidden="1" x14ac:dyDescent="0.15">
      <c r="A3102" t="s">
        <v>9829</v>
      </c>
      <c r="B3102" t="s">
        <v>9830</v>
      </c>
      <c r="C3102" t="s">
        <v>9831</v>
      </c>
      <c r="D3102" t="s">
        <v>9822</v>
      </c>
      <c r="E3102">
        <v>3</v>
      </c>
      <c r="F3102" t="str">
        <f>HYPERLINK("https://github.com/divvun/giellakbd-android/issues/3", "show")</f>
        <v>show</v>
      </c>
      <c r="G3102" t="str">
        <f>HYPERLINK("https://github.com/divvun/giellakbd-android", "show")</f>
        <v>show</v>
      </c>
      <c r="H3102" t="str">
        <f>HYPERLINK("https://github.com/divvun/giellakbd-android/releases", "show")</f>
        <v>show</v>
      </c>
      <c r="I3102">
        <v>1</v>
      </c>
      <c r="J3102">
        <v>0</v>
      </c>
      <c r="K3102">
        <v>0</v>
      </c>
      <c r="L3102">
        <v>0</v>
      </c>
      <c r="M3102" t="s">
        <v>17</v>
      </c>
    </row>
    <row r="3103" spans="1:13" hidden="1" x14ac:dyDescent="0.15">
      <c r="A3103" t="s">
        <v>9832</v>
      </c>
      <c r="B3103" t="s">
        <v>9833</v>
      </c>
      <c r="C3103" t="s">
        <v>9834</v>
      </c>
      <c r="D3103" t="s">
        <v>9822</v>
      </c>
      <c r="E3103">
        <v>2</v>
      </c>
      <c r="F3103" t="str">
        <f>HYPERLINK("https://github.com/Gear61/Food-Diary/issues/22", "show")</f>
        <v>show</v>
      </c>
      <c r="G3103" t="str">
        <f>HYPERLINK("https://github.com/Gear61/Food-Diary", "show")</f>
        <v>show</v>
      </c>
      <c r="H3103" t="str">
        <f>HYPERLINK("https://github.com/Gear61/Food-Diary/releases", "show")</f>
        <v>show</v>
      </c>
      <c r="I3103">
        <v>1</v>
      </c>
      <c r="J3103">
        <v>0</v>
      </c>
      <c r="K3103">
        <v>0</v>
      </c>
      <c r="L3103">
        <v>0</v>
      </c>
      <c r="M3103" t="s">
        <v>17</v>
      </c>
    </row>
    <row r="3104" spans="1:13" hidden="1" x14ac:dyDescent="0.15">
      <c r="A3104" t="s">
        <v>9835</v>
      </c>
      <c r="B3104" t="s">
        <v>9836</v>
      </c>
      <c r="C3104" t="s">
        <v>9837</v>
      </c>
      <c r="D3104" t="s">
        <v>9838</v>
      </c>
      <c r="E3104">
        <v>1</v>
      </c>
      <c r="F3104" t="str">
        <f>HYPERLINK("https://github.com/NineWorlds/serenity-android/issues/365", "show")</f>
        <v>show</v>
      </c>
      <c r="G3104" t="str">
        <f>HYPERLINK("https://github.com/NineWorlds/serenity-android", "show")</f>
        <v>show</v>
      </c>
      <c r="H3104" t="str">
        <f>HYPERLINK("https://github.com/NineWorlds/serenity-android/releases", "show")</f>
        <v>show</v>
      </c>
      <c r="I3104">
        <v>1</v>
      </c>
      <c r="J3104">
        <v>0</v>
      </c>
      <c r="K3104">
        <v>0</v>
      </c>
      <c r="L3104">
        <v>0</v>
      </c>
      <c r="M3104" t="s">
        <v>17</v>
      </c>
    </row>
    <row r="3105" spans="1:13" hidden="1" x14ac:dyDescent="0.15">
      <c r="A3105" t="s">
        <v>9839</v>
      </c>
      <c r="B3105" t="s">
        <v>9840</v>
      </c>
      <c r="C3105" t="s">
        <v>9841</v>
      </c>
      <c r="D3105" t="s">
        <v>9838</v>
      </c>
      <c r="E3105">
        <v>128</v>
      </c>
      <c r="F3105" t="str">
        <f>HYPERLINK("https://github.com/OpenLauncherTeam/openlauncher/issues/231", "show")</f>
        <v>show</v>
      </c>
      <c r="G3105" t="str">
        <f>HYPERLINK("https://github.com/OpenLauncherTeam/openlauncher", "show")</f>
        <v>show</v>
      </c>
      <c r="H3105" t="str">
        <f>HYPERLINK("https://github.com/OpenLauncherTeam/openlauncher/releases", "show")</f>
        <v>show</v>
      </c>
      <c r="I3105">
        <v>1</v>
      </c>
      <c r="J3105">
        <v>0</v>
      </c>
      <c r="K3105">
        <v>0</v>
      </c>
      <c r="L3105">
        <v>0</v>
      </c>
      <c r="M3105" t="s">
        <v>17</v>
      </c>
    </row>
    <row r="3106" spans="1:13" hidden="1" x14ac:dyDescent="0.15">
      <c r="A3106" t="s">
        <v>9842</v>
      </c>
      <c r="B3106" t="s">
        <v>9843</v>
      </c>
      <c r="C3106" t="s">
        <v>9844</v>
      </c>
      <c r="D3106" t="s">
        <v>9838</v>
      </c>
      <c r="E3106">
        <v>270</v>
      </c>
      <c r="F3106" t="str">
        <f>HYPERLINK("https://github.com/vector-im/riot-android/issues/1580", "show")</f>
        <v>show</v>
      </c>
      <c r="G3106" t="str">
        <f>HYPERLINK("https://github.com/vector-im/riot-android", "show")</f>
        <v>show</v>
      </c>
      <c r="H3106" t="str">
        <f>HYPERLINK("https://github.com/vector-im/riot-android/releases", "show")</f>
        <v>show</v>
      </c>
      <c r="I3106">
        <v>1</v>
      </c>
      <c r="J3106">
        <v>0</v>
      </c>
      <c r="K3106">
        <v>0</v>
      </c>
      <c r="L3106">
        <v>0</v>
      </c>
      <c r="M3106" t="s">
        <v>17</v>
      </c>
    </row>
    <row r="3107" spans="1:13" hidden="1" x14ac:dyDescent="0.15">
      <c r="A3107" t="s">
        <v>9845</v>
      </c>
      <c r="B3107" t="s">
        <v>9846</v>
      </c>
      <c r="C3107" t="s">
        <v>9847</v>
      </c>
      <c r="D3107" t="s">
        <v>9848</v>
      </c>
      <c r="E3107">
        <v>1</v>
      </c>
      <c r="F3107" t="str">
        <f>HYPERLINK("https://github.com/DoubleSymmetry/react-native-track-player/issues/39", "show")</f>
        <v>show</v>
      </c>
      <c r="G3107" t="str">
        <f>HYPERLINK("https://github.com/DoubleSymmetry/react-native-track-player", "show")</f>
        <v>show</v>
      </c>
      <c r="H3107" t="str">
        <f>HYPERLINK("https://github.com/DoubleSymmetry/react-native-track-player/releases", "show")</f>
        <v>show</v>
      </c>
      <c r="I3107">
        <v>1</v>
      </c>
      <c r="J3107">
        <v>0</v>
      </c>
      <c r="K3107">
        <v>1</v>
      </c>
      <c r="L3107">
        <v>0</v>
      </c>
      <c r="M3107" t="s">
        <v>64</v>
      </c>
    </row>
    <row r="3108" spans="1:13" x14ac:dyDescent="0.15">
      <c r="A3108" t="s">
        <v>9849</v>
      </c>
      <c r="B3108" t="s">
        <v>9850</v>
      </c>
      <c r="C3108" t="s">
        <v>9851</v>
      </c>
      <c r="D3108" t="s">
        <v>9848</v>
      </c>
      <c r="E3108">
        <v>69</v>
      </c>
      <c r="F3108" t="str">
        <f>HYPERLINK("https://github.com/Devsoc-BPGC/ARD/issues/157", "show")</f>
        <v>show</v>
      </c>
      <c r="G3108" t="str">
        <f>HYPERLINK("https://github.com/Devsoc-BPGC/ARD", "show")</f>
        <v>show</v>
      </c>
      <c r="H3108" t="str">
        <f>HYPERLINK("https://github.com/Devsoc-BPGC/ARD/releases", "show")</f>
        <v>show</v>
      </c>
      <c r="I3108">
        <v>0</v>
      </c>
      <c r="J3108">
        <v>1</v>
      </c>
      <c r="K3108">
        <v>0</v>
      </c>
      <c r="L3108">
        <v>0</v>
      </c>
      <c r="M3108" t="s">
        <v>139</v>
      </c>
    </row>
    <row r="3109" spans="1:13" hidden="1" x14ac:dyDescent="0.15">
      <c r="A3109" t="s">
        <v>9852</v>
      </c>
      <c r="B3109" t="s">
        <v>9853</v>
      </c>
      <c r="C3109" t="s">
        <v>9854</v>
      </c>
      <c r="D3109" t="s">
        <v>9855</v>
      </c>
      <c r="E3109">
        <v>21</v>
      </c>
      <c r="F3109" t="str">
        <f>HYPERLINK("https://github.com/kabouzeid/Phonograph/issues/288", "show")</f>
        <v>show</v>
      </c>
      <c r="G3109" t="str">
        <f>HYPERLINK("https://github.com/kabouzeid/Phonograph", "show")</f>
        <v>show</v>
      </c>
      <c r="H3109" t="str">
        <f>HYPERLINK("https://github.com/kabouzeid/Phonograph/releases", "show")</f>
        <v>show</v>
      </c>
      <c r="I3109">
        <v>1</v>
      </c>
      <c r="J3109">
        <v>0</v>
      </c>
      <c r="K3109">
        <v>0</v>
      </c>
      <c r="L3109">
        <v>0</v>
      </c>
      <c r="M3109" t="s">
        <v>17</v>
      </c>
    </row>
    <row r="3110" spans="1:13" hidden="1" x14ac:dyDescent="0.15">
      <c r="A3110" t="s">
        <v>9856</v>
      </c>
      <c r="B3110" t="s">
        <v>9857</v>
      </c>
      <c r="C3110" t="s">
        <v>9858</v>
      </c>
      <c r="D3110" t="s">
        <v>9855</v>
      </c>
      <c r="E3110">
        <v>3</v>
      </c>
      <c r="F3110" t="str">
        <f>HYPERLINK("https://github.com/fossasia/phimpme-android/issues/1102", "show")</f>
        <v>show</v>
      </c>
      <c r="G3110" t="str">
        <f>HYPERLINK("https://github.com/fossasia/phimpme-android", "show")</f>
        <v>show</v>
      </c>
      <c r="H3110" t="str">
        <f>HYPERLINK("https://github.com/fossasia/phimpme-android/releases", "show")</f>
        <v>show</v>
      </c>
      <c r="I3110">
        <v>1</v>
      </c>
      <c r="J3110">
        <v>1</v>
      </c>
      <c r="K3110">
        <v>0</v>
      </c>
      <c r="L3110">
        <v>0</v>
      </c>
      <c r="M3110" t="s">
        <v>48</v>
      </c>
    </row>
    <row r="3111" spans="1:13" hidden="1" x14ac:dyDescent="0.15">
      <c r="A3111" t="s">
        <v>9859</v>
      </c>
      <c r="B3111" t="s">
        <v>9860</v>
      </c>
      <c r="C3111" t="s">
        <v>9861</v>
      </c>
      <c r="D3111" t="s">
        <v>9862</v>
      </c>
      <c r="E3111">
        <v>620</v>
      </c>
      <c r="F3111" t="str">
        <f>HYPERLINK("https://github.com/nextcloud/android/issues/1531", "show")</f>
        <v>show</v>
      </c>
      <c r="G3111" t="str">
        <f>HYPERLINK("https://github.com/nextcloud/android", "show")</f>
        <v>show</v>
      </c>
      <c r="H3111" t="str">
        <f>HYPERLINK("https://github.com/nextcloud/android/releases", "show")</f>
        <v>show</v>
      </c>
      <c r="I3111">
        <v>1</v>
      </c>
      <c r="J3111">
        <v>1</v>
      </c>
      <c r="K3111">
        <v>0</v>
      </c>
      <c r="L3111">
        <v>0</v>
      </c>
      <c r="M3111" t="s">
        <v>48</v>
      </c>
    </row>
    <row r="3112" spans="1:13" hidden="1" x14ac:dyDescent="0.15">
      <c r="A3112" t="s">
        <v>9863</v>
      </c>
      <c r="B3112" t="s">
        <v>9864</v>
      </c>
      <c r="C3112" t="s">
        <v>9865</v>
      </c>
      <c r="D3112" t="s">
        <v>9862</v>
      </c>
      <c r="E3112">
        <v>1</v>
      </c>
      <c r="F3112" t="str">
        <f>HYPERLINK("https://github.com/dimagi/commcare-android/issues/1817", "show")</f>
        <v>show</v>
      </c>
      <c r="G3112" t="str">
        <f>HYPERLINK("https://github.com/dimagi/commcare-android", "show")</f>
        <v>show</v>
      </c>
      <c r="H3112" t="str">
        <f>HYPERLINK("https://github.com/dimagi/commcare-android/releases", "show")</f>
        <v>show</v>
      </c>
      <c r="I3112">
        <v>1</v>
      </c>
      <c r="J3112">
        <v>0</v>
      </c>
      <c r="K3112">
        <v>0</v>
      </c>
      <c r="L3112">
        <v>0</v>
      </c>
      <c r="M3112" t="s">
        <v>17</v>
      </c>
    </row>
    <row r="3113" spans="1:13" hidden="1" x14ac:dyDescent="0.15">
      <c r="A3113" t="s">
        <v>9866</v>
      </c>
      <c r="B3113" t="s">
        <v>9867</v>
      </c>
      <c r="C3113" t="s">
        <v>9865</v>
      </c>
      <c r="D3113" t="s">
        <v>9862</v>
      </c>
      <c r="E3113">
        <v>0</v>
      </c>
      <c r="F3113" t="str">
        <f>HYPERLINK("https://github.com/dimagi/commcare-android/issues/1816", "show")</f>
        <v>show</v>
      </c>
      <c r="G3113" t="str">
        <f>HYPERLINK("https://github.com/dimagi/commcare-android", "show")</f>
        <v>show</v>
      </c>
      <c r="H3113" t="str">
        <f>HYPERLINK("https://github.com/dimagi/commcare-android/releases", "show")</f>
        <v>show</v>
      </c>
      <c r="I3113">
        <v>1</v>
      </c>
      <c r="J3113">
        <v>0</v>
      </c>
      <c r="K3113">
        <v>0</v>
      </c>
      <c r="L3113">
        <v>0</v>
      </c>
      <c r="M3113" t="s">
        <v>17</v>
      </c>
    </row>
    <row r="3114" spans="1:13" hidden="1" x14ac:dyDescent="0.15">
      <c r="A3114" t="s">
        <v>9868</v>
      </c>
      <c r="B3114" t="s">
        <v>9869</v>
      </c>
      <c r="C3114" t="s">
        <v>9870</v>
      </c>
      <c r="D3114" t="s">
        <v>9862</v>
      </c>
      <c r="E3114">
        <v>160</v>
      </c>
      <c r="F3114" t="str">
        <f>HYPERLINK("https://github.com/square/okhttp/issues/3597", "show")</f>
        <v>show</v>
      </c>
      <c r="G3114" t="str">
        <f>HYPERLINK("https://github.com/square/okhttp", "show")</f>
        <v>show</v>
      </c>
      <c r="H3114" t="str">
        <f>HYPERLINK("https://github.com/square/okhttp/releases", "show")</f>
        <v>show</v>
      </c>
      <c r="I3114">
        <v>1</v>
      </c>
      <c r="J3114">
        <v>0</v>
      </c>
      <c r="K3114">
        <v>0</v>
      </c>
      <c r="L3114">
        <v>0</v>
      </c>
      <c r="M3114" t="s">
        <v>17</v>
      </c>
    </row>
    <row r="3115" spans="1:13" hidden="1" x14ac:dyDescent="0.15">
      <c r="A3115" t="s">
        <v>9871</v>
      </c>
      <c r="B3115" t="s">
        <v>9872</v>
      </c>
      <c r="C3115" t="s">
        <v>504</v>
      </c>
      <c r="D3115" t="s">
        <v>9862</v>
      </c>
      <c r="E3115">
        <v>972</v>
      </c>
      <c r="F3115" t="str">
        <f>HYPERLINK("https://github.com/BaseballCardTracker/bbct-android/issues/422", "show")</f>
        <v>show</v>
      </c>
      <c r="G3115" t="str">
        <f>HYPERLINK("https://github.com/BaseballCardTracker/bbct-android", "show")</f>
        <v>show</v>
      </c>
      <c r="H3115" t="str">
        <f>HYPERLINK("https://github.com/BaseballCardTracker/bbct-android/releases", "show")</f>
        <v>show</v>
      </c>
      <c r="I3115">
        <v>1</v>
      </c>
      <c r="J3115">
        <v>0</v>
      </c>
      <c r="K3115">
        <v>0</v>
      </c>
      <c r="L3115">
        <v>0</v>
      </c>
      <c r="M3115" t="s">
        <v>17</v>
      </c>
    </row>
    <row r="3116" spans="1:13" hidden="1" x14ac:dyDescent="0.15">
      <c r="A3116" t="s">
        <v>9873</v>
      </c>
      <c r="B3116" t="s">
        <v>9874</v>
      </c>
      <c r="C3116" t="s">
        <v>9875</v>
      </c>
      <c r="D3116" t="s">
        <v>9876</v>
      </c>
      <c r="E3116">
        <v>394</v>
      </c>
      <c r="F3116" t="str">
        <f>HYPERLINK("https://github.com/nextcloud/android/issues/1544", "show")</f>
        <v>show</v>
      </c>
      <c r="G3116" t="str">
        <f>HYPERLINK("https://github.com/nextcloud/android", "show")</f>
        <v>show</v>
      </c>
      <c r="H3116" t="str">
        <f>HYPERLINK("https://github.com/nextcloud/android/releases", "show")</f>
        <v>show</v>
      </c>
      <c r="I3116">
        <v>1</v>
      </c>
      <c r="J3116">
        <v>1</v>
      </c>
      <c r="K3116">
        <v>1</v>
      </c>
      <c r="L3116">
        <v>0</v>
      </c>
      <c r="M3116" t="s">
        <v>59</v>
      </c>
    </row>
    <row r="3117" spans="1:13" hidden="1" x14ac:dyDescent="0.15">
      <c r="A3117" t="s">
        <v>9877</v>
      </c>
      <c r="B3117" t="s">
        <v>9878</v>
      </c>
      <c r="C3117" t="s">
        <v>9879</v>
      </c>
      <c r="D3117" t="s">
        <v>9876</v>
      </c>
      <c r="E3117">
        <v>0</v>
      </c>
      <c r="F3117" t="str">
        <f>HYPERLINK("https://github.com/ForstaLabs/relay/issues/168", "show")</f>
        <v>show</v>
      </c>
      <c r="G3117" t="str">
        <f>HYPERLINK("https://github.com/ForstaLabs/relay", "show")</f>
        <v>show</v>
      </c>
      <c r="H3117" t="str">
        <f>HYPERLINK("https://github.com/ForstaLabs/relay/releases", "show")</f>
        <v>show</v>
      </c>
      <c r="I3117">
        <v>1</v>
      </c>
      <c r="J3117">
        <v>1</v>
      </c>
      <c r="K3117">
        <v>0</v>
      </c>
      <c r="L3117">
        <v>0</v>
      </c>
      <c r="M3117" t="s">
        <v>48</v>
      </c>
    </row>
    <row r="3118" spans="1:13" hidden="1" x14ac:dyDescent="0.15">
      <c r="A3118" t="s">
        <v>9880</v>
      </c>
      <c r="B3118" t="s">
        <v>9881</v>
      </c>
      <c r="D3118" t="s">
        <v>9876</v>
      </c>
      <c r="E3118">
        <v>1</v>
      </c>
      <c r="F3118" t="str">
        <f>HYPERLINK("https://github.com/EyeSeeTea/pictureapp/issues/1437", "show")</f>
        <v>show</v>
      </c>
      <c r="G3118" t="str">
        <f>HYPERLINK("https://github.com/EyeSeeTea/pictureapp", "show")</f>
        <v>show</v>
      </c>
      <c r="H3118" t="str">
        <f>HYPERLINK("https://github.com/EyeSeeTea/pictureapp/releases", "show")</f>
        <v>show</v>
      </c>
      <c r="I3118">
        <v>1</v>
      </c>
      <c r="J3118">
        <v>0</v>
      </c>
      <c r="K3118">
        <v>0</v>
      </c>
      <c r="L3118">
        <v>0</v>
      </c>
      <c r="M3118" t="s">
        <v>17</v>
      </c>
    </row>
    <row r="3119" spans="1:13" hidden="1" x14ac:dyDescent="0.15">
      <c r="A3119" t="s">
        <v>9882</v>
      </c>
      <c r="B3119" t="s">
        <v>9883</v>
      </c>
      <c r="C3119" t="s">
        <v>9884</v>
      </c>
      <c r="D3119" t="s">
        <v>9876</v>
      </c>
      <c r="E3119">
        <v>17</v>
      </c>
      <c r="F3119" t="str">
        <f>HYPERLINK("https://github.com/wdullaer/MaterialDateTimePicker/issues/404", "show")</f>
        <v>show</v>
      </c>
      <c r="G3119" t="str">
        <f>HYPERLINK("https://github.com/wdullaer/MaterialDateTimePicker", "show")</f>
        <v>show</v>
      </c>
      <c r="H3119" t="str">
        <f>HYPERLINK("https://github.com/wdullaer/MaterialDateTimePicker/releases", "show")</f>
        <v>show</v>
      </c>
      <c r="I3119">
        <v>1</v>
      </c>
      <c r="J3119">
        <v>0</v>
      </c>
      <c r="K3119">
        <v>1</v>
      </c>
      <c r="L3119">
        <v>0</v>
      </c>
      <c r="M3119" t="s">
        <v>64</v>
      </c>
    </row>
    <row r="3120" spans="1:13" hidden="1" x14ac:dyDescent="0.15">
      <c r="A3120" t="s">
        <v>9885</v>
      </c>
      <c r="B3120" t="s">
        <v>9886</v>
      </c>
      <c r="C3120" t="s">
        <v>9887</v>
      </c>
      <c r="D3120" t="s">
        <v>9888</v>
      </c>
      <c r="E3120">
        <v>393</v>
      </c>
      <c r="F3120" t="str">
        <f>HYPERLINK("https://github.com/nextcloud/android/issues/1549", "show")</f>
        <v>show</v>
      </c>
      <c r="G3120" t="str">
        <f>HYPERLINK("https://github.com/nextcloud/android", "show")</f>
        <v>show</v>
      </c>
      <c r="H3120" t="str">
        <f>HYPERLINK("https://github.com/nextcloud/android/releases", "show")</f>
        <v>show</v>
      </c>
      <c r="I3120">
        <v>0</v>
      </c>
      <c r="J3120">
        <v>0</v>
      </c>
      <c r="K3120">
        <v>0</v>
      </c>
      <c r="L3120">
        <v>0</v>
      </c>
      <c r="M3120" t="s">
        <v>43</v>
      </c>
    </row>
    <row r="3121" spans="1:13" hidden="1" x14ac:dyDescent="0.15">
      <c r="A3121" t="s">
        <v>9889</v>
      </c>
      <c r="B3121" t="s">
        <v>9890</v>
      </c>
      <c r="C3121" t="s">
        <v>9891</v>
      </c>
      <c r="D3121" t="s">
        <v>9888</v>
      </c>
      <c r="E3121">
        <v>0</v>
      </c>
      <c r="F3121" t="str">
        <f>HYPERLINK("https://github.com/wiglenet/wigle-wifi-wardriving/issues/175", "show")</f>
        <v>show</v>
      </c>
      <c r="G3121" t="str">
        <f>HYPERLINK("https://github.com/wiglenet/wigle-wifi-wardriving", "show")</f>
        <v>show</v>
      </c>
      <c r="H3121" t="str">
        <f>HYPERLINK("https://github.com/wiglenet/wigle-wifi-wardriving/releases", "show")</f>
        <v>show</v>
      </c>
      <c r="I3121">
        <v>0</v>
      </c>
      <c r="J3121">
        <v>0</v>
      </c>
      <c r="K3121">
        <v>0</v>
      </c>
      <c r="L3121">
        <v>0</v>
      </c>
      <c r="M3121" t="s">
        <v>43</v>
      </c>
    </row>
    <row r="3122" spans="1:13" hidden="1" x14ac:dyDescent="0.15">
      <c r="A3122" t="s">
        <v>9892</v>
      </c>
      <c r="B3122" t="s">
        <v>9893</v>
      </c>
      <c r="C3122" t="s">
        <v>9894</v>
      </c>
      <c r="D3122" t="s">
        <v>9888</v>
      </c>
      <c r="E3122">
        <v>103</v>
      </c>
      <c r="F3122" t="str">
        <f>HYPERLINK("https://github.com/moneymanagerex/android-money-manager-ex/issues/1145", "show")</f>
        <v>show</v>
      </c>
      <c r="G3122" t="str">
        <f>HYPERLINK("https://github.com/moneymanagerex/android-money-manager-ex", "show")</f>
        <v>show</v>
      </c>
      <c r="H3122" t="str">
        <f>HYPERLINK("https://github.com/moneymanagerex/android-money-manager-ex/releases", "show")</f>
        <v>show</v>
      </c>
      <c r="I3122">
        <v>1</v>
      </c>
      <c r="J3122">
        <v>0</v>
      </c>
      <c r="K3122">
        <v>1</v>
      </c>
      <c r="L3122">
        <v>0</v>
      </c>
      <c r="M3122" t="s">
        <v>64</v>
      </c>
    </row>
    <row r="3123" spans="1:13" hidden="1" x14ac:dyDescent="0.15">
      <c r="A3123" t="s">
        <v>9895</v>
      </c>
      <c r="B3123" t="s">
        <v>9896</v>
      </c>
      <c r="D3123" t="s">
        <v>9888</v>
      </c>
      <c r="E3123">
        <v>4</v>
      </c>
      <c r="F3123" t="str">
        <f>HYPERLINK("https://github.com/OpenLauncherTeam/openlauncher/issues/235", "show")</f>
        <v>show</v>
      </c>
      <c r="G3123" t="str">
        <f>HYPERLINK("https://github.com/OpenLauncherTeam/openlauncher", "show")</f>
        <v>show</v>
      </c>
      <c r="H3123" t="str">
        <f>HYPERLINK("https://github.com/OpenLauncherTeam/openlauncher/releases", "show")</f>
        <v>show</v>
      </c>
      <c r="I3123">
        <v>1</v>
      </c>
      <c r="J3123">
        <v>0</v>
      </c>
      <c r="K3123">
        <v>1</v>
      </c>
      <c r="L3123">
        <v>0</v>
      </c>
      <c r="M3123" t="s">
        <v>64</v>
      </c>
    </row>
    <row r="3124" spans="1:13" hidden="1" x14ac:dyDescent="0.15">
      <c r="A3124" t="s">
        <v>9897</v>
      </c>
      <c r="B3124" t="s">
        <v>9898</v>
      </c>
      <c r="C3124" t="s">
        <v>9899</v>
      </c>
      <c r="D3124" t="s">
        <v>9888</v>
      </c>
      <c r="E3124">
        <v>47</v>
      </c>
      <c r="F3124" t="str">
        <f>HYPERLINK("https://github.com/dji-sdk/Mobile-SDK-Android/issues/164", "show")</f>
        <v>show</v>
      </c>
      <c r="G3124" t="str">
        <f>HYPERLINK("https://github.com/dji-sdk/Mobile-SDK-Android", "show")</f>
        <v>show</v>
      </c>
      <c r="H3124" t="str">
        <f>HYPERLINK("https://github.com/dji-sdk/Mobile-SDK-Android/releases", "show")</f>
        <v>show</v>
      </c>
      <c r="I3124">
        <v>1</v>
      </c>
      <c r="J3124">
        <v>0</v>
      </c>
      <c r="K3124">
        <v>1</v>
      </c>
      <c r="L3124">
        <v>0</v>
      </c>
      <c r="M3124" t="s">
        <v>64</v>
      </c>
    </row>
    <row r="3125" spans="1:13" hidden="1" x14ac:dyDescent="0.15">
      <c r="A3125" t="s">
        <v>9900</v>
      </c>
      <c r="B3125" t="s">
        <v>9901</v>
      </c>
      <c r="C3125" t="s">
        <v>9902</v>
      </c>
      <c r="D3125" t="s">
        <v>9903</v>
      </c>
      <c r="E3125">
        <v>7</v>
      </c>
      <c r="F3125" t="str">
        <f>HYPERLINK("https://github.com/Onelio/ConnectU/issues/11", "show")</f>
        <v>show</v>
      </c>
      <c r="G3125" t="str">
        <f>HYPERLINK("https://github.com/Onelio/ConnectU", "show")</f>
        <v>show</v>
      </c>
      <c r="H3125" t="str">
        <f>HYPERLINK("https://github.com/Onelio/ConnectU/releases", "show")</f>
        <v>show</v>
      </c>
      <c r="I3125">
        <v>0</v>
      </c>
      <c r="J3125">
        <v>0</v>
      </c>
      <c r="K3125">
        <v>0</v>
      </c>
      <c r="L3125">
        <v>0</v>
      </c>
      <c r="M3125" t="s">
        <v>43</v>
      </c>
    </row>
    <row r="3126" spans="1:13" hidden="1" x14ac:dyDescent="0.15">
      <c r="A3126" t="s">
        <v>9904</v>
      </c>
      <c r="B3126" t="s">
        <v>9905</v>
      </c>
      <c r="C3126" t="s">
        <v>9906</v>
      </c>
      <c r="D3126" t="s">
        <v>9903</v>
      </c>
      <c r="E3126">
        <v>130</v>
      </c>
      <c r="F3126" t="str">
        <f>HYPERLINK("https://github.com/DeveloperCielo/LIO-SDK-Sample-Integracao-Local/issues/15", "show")</f>
        <v>show</v>
      </c>
      <c r="G3126" t="str">
        <f>HYPERLINK("https://github.com/DeveloperCielo/LIO-SDK-Sample-Integracao-Local", "show")</f>
        <v>show</v>
      </c>
      <c r="H3126" t="str">
        <f>HYPERLINK("https://github.com/DeveloperCielo/LIO-SDK-Sample-Integracao-Local/releases", "show")</f>
        <v>show</v>
      </c>
      <c r="I3126">
        <v>0</v>
      </c>
      <c r="J3126">
        <v>0</v>
      </c>
      <c r="K3126">
        <v>0</v>
      </c>
      <c r="L3126">
        <v>1</v>
      </c>
      <c r="M3126" t="s">
        <v>581</v>
      </c>
    </row>
    <row r="3127" spans="1:13" hidden="1" x14ac:dyDescent="0.15">
      <c r="A3127" t="s">
        <v>9907</v>
      </c>
      <c r="B3127" t="s">
        <v>9908</v>
      </c>
      <c r="C3127" t="s">
        <v>9909</v>
      </c>
      <c r="D3127" t="s">
        <v>9903</v>
      </c>
      <c r="E3127">
        <v>40</v>
      </c>
      <c r="F3127" t="str">
        <f>HYPERLINK("https://github.com/getodk/collect/issues/1472", "show")</f>
        <v>show</v>
      </c>
      <c r="G3127" t="str">
        <f>HYPERLINK("https://github.com/getodk/collect", "show")</f>
        <v>show</v>
      </c>
      <c r="H3127" t="str">
        <f>HYPERLINK("https://github.com/getodk/collect/releases", "show")</f>
        <v>show</v>
      </c>
      <c r="I3127">
        <v>0</v>
      </c>
      <c r="J3127">
        <v>0</v>
      </c>
      <c r="K3127">
        <v>0</v>
      </c>
      <c r="L3127">
        <v>0</v>
      </c>
      <c r="M3127" t="s">
        <v>43</v>
      </c>
    </row>
    <row r="3128" spans="1:13" hidden="1" x14ac:dyDescent="0.15">
      <c r="A3128" t="s">
        <v>9910</v>
      </c>
      <c r="B3128" t="s">
        <v>9911</v>
      </c>
      <c r="D3128" t="s">
        <v>9903</v>
      </c>
      <c r="E3128">
        <v>5</v>
      </c>
      <c r="F3128" t="str">
        <f>HYPERLINK("https://github.com/zom/Zom-Android-XMPP/issues/322", "show")</f>
        <v>show</v>
      </c>
      <c r="G3128" t="str">
        <f>HYPERLINK("https://github.com/zom/Zom-Android-XMPP", "show")</f>
        <v>show</v>
      </c>
      <c r="H3128" t="str">
        <f>HYPERLINK("https://github.com/zom/Zom-Android-XMPP/releases", "show")</f>
        <v>show</v>
      </c>
      <c r="I3128">
        <v>1</v>
      </c>
      <c r="J3128">
        <v>0</v>
      </c>
      <c r="K3128">
        <v>0</v>
      </c>
      <c r="L3128">
        <v>0</v>
      </c>
      <c r="M3128" t="s">
        <v>17</v>
      </c>
    </row>
    <row r="3129" spans="1:13" hidden="1" x14ac:dyDescent="0.15">
      <c r="A3129" t="s">
        <v>9912</v>
      </c>
      <c r="B3129" t="s">
        <v>9913</v>
      </c>
      <c r="D3129" t="s">
        <v>9903</v>
      </c>
      <c r="E3129">
        <v>0</v>
      </c>
      <c r="F3129" t="str">
        <f>HYPERLINK("https://github.com/opensensorhub/osh-android/issues/9", "show")</f>
        <v>show</v>
      </c>
      <c r="G3129" t="str">
        <f>HYPERLINK("https://github.com/opensensorhub/osh-android", "show")</f>
        <v>show</v>
      </c>
      <c r="H3129" t="str">
        <f>HYPERLINK("https://github.com/opensensorhub/osh-android/releases", "show")</f>
        <v>show</v>
      </c>
      <c r="I3129">
        <v>1</v>
      </c>
      <c r="J3129">
        <v>0</v>
      </c>
      <c r="K3129">
        <v>0</v>
      </c>
      <c r="L3129">
        <v>0</v>
      </c>
      <c r="M3129" t="s">
        <v>17</v>
      </c>
    </row>
    <row r="3130" spans="1:13" hidden="1" x14ac:dyDescent="0.15">
      <c r="A3130" t="s">
        <v>9914</v>
      </c>
      <c r="B3130" t="s">
        <v>9915</v>
      </c>
      <c r="C3130" t="s">
        <v>9916</v>
      </c>
      <c r="D3130" t="s">
        <v>9903</v>
      </c>
      <c r="E3130">
        <v>214</v>
      </c>
      <c r="F3130" t="str">
        <f>HYPERLINK("https://github.com/WallPanel-Project/wallpanel-android/issues/39", "show")</f>
        <v>show</v>
      </c>
      <c r="G3130" t="str">
        <f>HYPERLINK("https://github.com/WallPanel-Project/wallpanel-android", "show")</f>
        <v>show</v>
      </c>
      <c r="H3130" t="str">
        <f>HYPERLINK("https://github.com/WallPanel-Project/wallpanel-android/releases", "show")</f>
        <v>show</v>
      </c>
      <c r="I3130">
        <v>1</v>
      </c>
      <c r="J3130">
        <v>0</v>
      </c>
      <c r="K3130">
        <v>0</v>
      </c>
      <c r="L3130">
        <v>0</v>
      </c>
      <c r="M3130" t="s">
        <v>17</v>
      </c>
    </row>
    <row r="3131" spans="1:13" hidden="1" x14ac:dyDescent="0.15">
      <c r="A3131" t="s">
        <v>9917</v>
      </c>
      <c r="B3131" t="s">
        <v>9918</v>
      </c>
      <c r="C3131" t="s">
        <v>9919</v>
      </c>
      <c r="D3131" t="s">
        <v>9920</v>
      </c>
      <c r="E3131">
        <v>8</v>
      </c>
      <c r="F3131" t="str">
        <f>HYPERLINK("https://github.com/stefan-niedermann/nextcloud-notes/issues/267", "show")</f>
        <v>show</v>
      </c>
      <c r="G3131" t="str">
        <f>HYPERLINK("https://github.com/stefan-niedermann/nextcloud-notes", "show")</f>
        <v>show</v>
      </c>
      <c r="H3131" t="str">
        <f>HYPERLINK("https://github.com/stefan-niedermann/nextcloud-notes/releases", "show")</f>
        <v>show</v>
      </c>
      <c r="I3131">
        <v>1</v>
      </c>
      <c r="J3131">
        <v>0</v>
      </c>
      <c r="K3131">
        <v>0</v>
      </c>
      <c r="L3131">
        <v>0</v>
      </c>
      <c r="M3131" t="s">
        <v>17</v>
      </c>
    </row>
    <row r="3132" spans="1:13" hidden="1" x14ac:dyDescent="0.15">
      <c r="A3132" t="s">
        <v>9921</v>
      </c>
      <c r="B3132" t="s">
        <v>9922</v>
      </c>
      <c r="D3132" t="s">
        <v>9920</v>
      </c>
      <c r="E3132">
        <v>2</v>
      </c>
      <c r="F3132" t="str">
        <f>HYPERLINK("https://github.com/eneim/toro/issues/256", "show")</f>
        <v>show</v>
      </c>
      <c r="G3132" t="str">
        <f>HYPERLINK("https://github.com/eneim/toro", "show")</f>
        <v>show</v>
      </c>
      <c r="H3132" t="str">
        <f>HYPERLINK("https://github.com/eneim/toro/releases", "show")</f>
        <v>show</v>
      </c>
      <c r="I3132">
        <v>1</v>
      </c>
      <c r="J3132">
        <v>0</v>
      </c>
      <c r="K3132">
        <v>0</v>
      </c>
      <c r="L3132">
        <v>0</v>
      </c>
      <c r="M3132" t="s">
        <v>17</v>
      </c>
    </row>
    <row r="3133" spans="1:13" hidden="1" x14ac:dyDescent="0.15">
      <c r="A3133" t="s">
        <v>9923</v>
      </c>
      <c r="B3133" t="s">
        <v>9924</v>
      </c>
      <c r="C3133" t="s">
        <v>9925</v>
      </c>
      <c r="D3133" t="s">
        <v>9920</v>
      </c>
      <c r="E3133">
        <v>280</v>
      </c>
      <c r="F3133" t="str">
        <f>HYPERLINK("https://github.com/dxsdyhm/GwellDemo/issues/60", "show")</f>
        <v>show</v>
      </c>
      <c r="G3133" t="str">
        <f>HYPERLINK("https://github.com/dxsdyhm/GwellDemo", "show")</f>
        <v>show</v>
      </c>
      <c r="H3133" t="str">
        <f>HYPERLINK("https://github.com/dxsdyhm/GwellDemo/releases", "show")</f>
        <v>show</v>
      </c>
      <c r="I3133">
        <v>0</v>
      </c>
      <c r="J3133">
        <v>0</v>
      </c>
      <c r="K3133">
        <v>0</v>
      </c>
      <c r="L3133">
        <v>0</v>
      </c>
      <c r="M3133" t="s">
        <v>43</v>
      </c>
    </row>
    <row r="3134" spans="1:13" hidden="1" x14ac:dyDescent="0.15">
      <c r="A3134" t="s">
        <v>9926</v>
      </c>
      <c r="B3134" t="s">
        <v>9927</v>
      </c>
      <c r="C3134" t="s">
        <v>9928</v>
      </c>
      <c r="D3134" t="s">
        <v>9929</v>
      </c>
      <c r="E3134">
        <v>8</v>
      </c>
      <c r="F3134" t="str">
        <f>HYPERLINK("https://github.com/ForstaLabs/relay/issues/174", "show")</f>
        <v>show</v>
      </c>
      <c r="G3134" t="str">
        <f>HYPERLINK("https://github.com/ForstaLabs/relay", "show")</f>
        <v>show</v>
      </c>
      <c r="H3134" t="str">
        <f>HYPERLINK("https://github.com/ForstaLabs/relay/releases", "show")</f>
        <v>show</v>
      </c>
      <c r="I3134">
        <v>1</v>
      </c>
      <c r="J3134">
        <v>1</v>
      </c>
      <c r="K3134">
        <v>0</v>
      </c>
      <c r="L3134">
        <v>0</v>
      </c>
      <c r="M3134" t="s">
        <v>48</v>
      </c>
    </row>
    <row r="3135" spans="1:13" hidden="1" x14ac:dyDescent="0.15">
      <c r="A3135" t="s">
        <v>9930</v>
      </c>
      <c r="B3135" t="s">
        <v>9931</v>
      </c>
      <c r="C3135" t="s">
        <v>9932</v>
      </c>
      <c r="D3135" t="s">
        <v>9929</v>
      </c>
      <c r="E3135">
        <v>370</v>
      </c>
      <c r="F3135" t="str">
        <f>HYPERLINK("https://github.com/jMonkeyEngine/jmonkeyengine/issues/740", "show")</f>
        <v>show</v>
      </c>
      <c r="G3135" t="str">
        <f>HYPERLINK("https://github.com/jMonkeyEngine/jmonkeyengine", "show")</f>
        <v>show</v>
      </c>
      <c r="H3135" t="str">
        <f>HYPERLINK("https://github.com/jMonkeyEngine/jmonkeyengine/releases", "show")</f>
        <v>show</v>
      </c>
      <c r="I3135">
        <v>0</v>
      </c>
      <c r="J3135">
        <v>0</v>
      </c>
      <c r="K3135">
        <v>0</v>
      </c>
      <c r="L3135">
        <v>0</v>
      </c>
      <c r="M3135" t="s">
        <v>43</v>
      </c>
    </row>
    <row r="3136" spans="1:13" hidden="1" x14ac:dyDescent="0.15">
      <c r="A3136" t="s">
        <v>9933</v>
      </c>
      <c r="B3136" t="s">
        <v>9934</v>
      </c>
      <c r="C3136" t="s">
        <v>9935</v>
      </c>
      <c r="D3136" t="s">
        <v>9936</v>
      </c>
      <c r="E3136">
        <v>0</v>
      </c>
      <c r="F3136" t="str">
        <f>HYPERLINK("https://github.com/piskula/FuelUp/issues/75", "show")</f>
        <v>show</v>
      </c>
      <c r="G3136" t="str">
        <f>HYPERLINK("https://github.com/piskula/FuelUp", "show")</f>
        <v>show</v>
      </c>
      <c r="H3136" t="str">
        <f>HYPERLINK("https://github.com/piskula/FuelUp/releases", "show")</f>
        <v>show</v>
      </c>
      <c r="I3136">
        <v>1</v>
      </c>
      <c r="J3136">
        <v>0</v>
      </c>
      <c r="K3136">
        <v>1</v>
      </c>
      <c r="L3136">
        <v>0</v>
      </c>
      <c r="M3136" t="s">
        <v>64</v>
      </c>
    </row>
    <row r="3137" spans="1:13" hidden="1" x14ac:dyDescent="0.15">
      <c r="A3137" t="s">
        <v>9937</v>
      </c>
      <c r="B3137" t="s">
        <v>9938</v>
      </c>
      <c r="C3137" t="s">
        <v>9939</v>
      </c>
      <c r="D3137" t="s">
        <v>9936</v>
      </c>
      <c r="E3137">
        <v>7</v>
      </c>
      <c r="F3137" t="str">
        <f>HYPERLINK("https://github.com/schedjoules/android-public-calendars-sdk/issues/13", "show")</f>
        <v>show</v>
      </c>
      <c r="G3137" t="str">
        <f>HYPERLINK("https://github.com/schedjoules/android-public-calendars-sdk", "show")</f>
        <v>show</v>
      </c>
      <c r="H3137" t="str">
        <f>HYPERLINK("https://github.com/schedjoules/android-public-calendars-sdk/releases", "show")</f>
        <v>show</v>
      </c>
      <c r="I3137">
        <v>1</v>
      </c>
      <c r="J3137">
        <v>0</v>
      </c>
      <c r="K3137">
        <v>0</v>
      </c>
      <c r="L3137">
        <v>0</v>
      </c>
      <c r="M3137" t="s">
        <v>17</v>
      </c>
    </row>
    <row r="3138" spans="1:13" hidden="1" x14ac:dyDescent="0.15">
      <c r="A3138" t="s">
        <v>9940</v>
      </c>
      <c r="B3138" t="s">
        <v>9941</v>
      </c>
      <c r="C3138" t="s">
        <v>9942</v>
      </c>
      <c r="D3138" t="s">
        <v>9936</v>
      </c>
      <c r="E3138">
        <v>1</v>
      </c>
      <c r="F3138" t="str">
        <f>HYPERLINK("https://github.com/Qihoo360/RePlugin/issues/359", "show")</f>
        <v>show</v>
      </c>
      <c r="G3138" t="str">
        <f>HYPERLINK("https://github.com/Qihoo360/RePlugin", "show")</f>
        <v>show</v>
      </c>
      <c r="H3138" t="str">
        <f>HYPERLINK("https://github.com/Qihoo360/RePlugin/releases", "show")</f>
        <v>show</v>
      </c>
      <c r="I3138">
        <v>0</v>
      </c>
      <c r="J3138">
        <v>0</v>
      </c>
      <c r="K3138">
        <v>0</v>
      </c>
      <c r="L3138">
        <v>0</v>
      </c>
      <c r="M3138" t="s">
        <v>43</v>
      </c>
    </row>
    <row r="3139" spans="1:13" hidden="1" x14ac:dyDescent="0.15">
      <c r="A3139" t="s">
        <v>9943</v>
      </c>
      <c r="B3139" t="s">
        <v>9944</v>
      </c>
      <c r="C3139" t="s">
        <v>9945</v>
      </c>
      <c r="D3139" t="s">
        <v>9946</v>
      </c>
      <c r="E3139">
        <v>348</v>
      </c>
      <c r="F3139" t="str">
        <f>HYPERLINK("https://github.com/airmap/AirMapSDK-Android/issues/2", "show")</f>
        <v>show</v>
      </c>
      <c r="G3139" t="str">
        <f>HYPERLINK("https://github.com/airmap/AirMapSDK-Android", "show")</f>
        <v>show</v>
      </c>
      <c r="H3139" t="str">
        <f>HYPERLINK("https://github.com/airmap/AirMapSDK-Android/releases", "show")</f>
        <v>show</v>
      </c>
      <c r="I3139">
        <v>0</v>
      </c>
      <c r="J3139">
        <v>0</v>
      </c>
      <c r="K3139">
        <v>1</v>
      </c>
      <c r="L3139">
        <v>0</v>
      </c>
      <c r="M3139" t="s">
        <v>122</v>
      </c>
    </row>
    <row r="3140" spans="1:13" hidden="1" x14ac:dyDescent="0.15">
      <c r="A3140" t="s">
        <v>9947</v>
      </c>
      <c r="B3140" t="s">
        <v>9948</v>
      </c>
      <c r="C3140" t="s">
        <v>9949</v>
      </c>
      <c r="D3140" t="s">
        <v>9950</v>
      </c>
      <c r="E3140">
        <v>790</v>
      </c>
      <c r="F3140" t="str">
        <f>HYPERLINK("https://github.com/andreynovikov/trekarta/issues/45", "show")</f>
        <v>show</v>
      </c>
      <c r="G3140" t="str">
        <f>HYPERLINK("https://github.com/andreynovikov/trekarta", "show")</f>
        <v>show</v>
      </c>
      <c r="H3140" t="str">
        <f>HYPERLINK("https://github.com/andreynovikov/trekarta/releases", "show")</f>
        <v>show</v>
      </c>
      <c r="I3140">
        <v>1</v>
      </c>
      <c r="J3140">
        <v>0</v>
      </c>
      <c r="K3140">
        <v>1</v>
      </c>
      <c r="L3140">
        <v>0</v>
      </c>
      <c r="M3140" t="s">
        <v>64</v>
      </c>
    </row>
    <row r="3141" spans="1:13" hidden="1" x14ac:dyDescent="0.15">
      <c r="A3141" t="s">
        <v>9951</v>
      </c>
      <c r="B3141" t="s">
        <v>9952</v>
      </c>
      <c r="C3141" t="s">
        <v>9953</v>
      </c>
      <c r="D3141" t="s">
        <v>9954</v>
      </c>
      <c r="E3141">
        <v>561</v>
      </c>
      <c r="F3141" t="str">
        <f>HYPERLINK("https://github.com/LawnchairLauncher/lawnchair/issues/736", "show")</f>
        <v>show</v>
      </c>
      <c r="G3141" t="str">
        <f>HYPERLINK("https://github.com/LawnchairLauncher/lawnchair", "show")</f>
        <v>show</v>
      </c>
      <c r="H3141" t="str">
        <f>HYPERLINK("https://github.com/LawnchairLauncher/lawnchair/releases", "show")</f>
        <v>show</v>
      </c>
      <c r="I3141">
        <v>1</v>
      </c>
      <c r="J3141">
        <v>1</v>
      </c>
      <c r="K3141">
        <v>0</v>
      </c>
      <c r="L3141">
        <v>0</v>
      </c>
      <c r="M3141" t="s">
        <v>48</v>
      </c>
    </row>
    <row r="3142" spans="1:13" hidden="1" x14ac:dyDescent="0.15">
      <c r="A3142" t="s">
        <v>9955</v>
      </c>
      <c r="B3142" t="s">
        <v>9956</v>
      </c>
      <c r="C3142" t="s">
        <v>9957</v>
      </c>
      <c r="D3142" t="s">
        <v>9954</v>
      </c>
      <c r="E3142">
        <v>608</v>
      </c>
      <c r="F3142" t="str">
        <f>HYPERLINK("https://github.com/nextcloud/android/issues/1583", "show")</f>
        <v>show</v>
      </c>
      <c r="G3142" t="str">
        <f>HYPERLINK("https://github.com/nextcloud/android", "show")</f>
        <v>show</v>
      </c>
      <c r="H3142" t="str">
        <f>HYPERLINK("https://github.com/nextcloud/android/releases", "show")</f>
        <v>show</v>
      </c>
      <c r="I3142">
        <v>1</v>
      </c>
      <c r="J3142">
        <v>0</v>
      </c>
      <c r="K3142">
        <v>0</v>
      </c>
      <c r="L3142">
        <v>0</v>
      </c>
      <c r="M3142" t="s">
        <v>17</v>
      </c>
    </row>
    <row r="3143" spans="1:13" hidden="1" x14ac:dyDescent="0.15">
      <c r="A3143" t="s">
        <v>9958</v>
      </c>
      <c r="B3143" t="s">
        <v>9959</v>
      </c>
      <c r="C3143" t="s">
        <v>9960</v>
      </c>
      <c r="D3143" t="s">
        <v>9961</v>
      </c>
      <c r="E3143">
        <v>0</v>
      </c>
      <c r="F3143" t="str">
        <f>HYPERLINK("https://github.com/kontalk/androidclient/issues/1070", "show")</f>
        <v>show</v>
      </c>
      <c r="G3143" t="str">
        <f>HYPERLINK("https://github.com/kontalk/androidclient", "show")</f>
        <v>show</v>
      </c>
      <c r="H3143" t="str">
        <f>HYPERLINK("https://github.com/kontalk/androidclient/releases", "show")</f>
        <v>show</v>
      </c>
      <c r="I3143">
        <v>0</v>
      </c>
      <c r="J3143">
        <v>0</v>
      </c>
      <c r="K3143">
        <v>1</v>
      </c>
      <c r="L3143">
        <v>0</v>
      </c>
      <c r="M3143" t="s">
        <v>122</v>
      </c>
    </row>
    <row r="3144" spans="1:13" hidden="1" x14ac:dyDescent="0.15">
      <c r="A3144" t="s">
        <v>9962</v>
      </c>
      <c r="B3144" t="s">
        <v>9963</v>
      </c>
      <c r="C3144" t="s">
        <v>9964</v>
      </c>
      <c r="D3144" t="s">
        <v>9961</v>
      </c>
      <c r="E3144">
        <v>8</v>
      </c>
      <c r="F3144" t="str">
        <f>HYPERLINK("https://github.com/mo3rfan/syncplayer/issues/4", "show")</f>
        <v>show</v>
      </c>
      <c r="G3144" t="str">
        <f>HYPERLINK("https://github.com/mo3rfan/syncplayer", "show")</f>
        <v>show</v>
      </c>
      <c r="H3144" t="str">
        <f>HYPERLINK("https://github.com/mo3rfan/syncplayer/releases", "show")</f>
        <v>show</v>
      </c>
      <c r="I3144">
        <v>1</v>
      </c>
      <c r="J3144">
        <v>1</v>
      </c>
      <c r="K3144">
        <v>0</v>
      </c>
      <c r="L3144">
        <v>0</v>
      </c>
      <c r="M3144" t="s">
        <v>48</v>
      </c>
    </row>
    <row r="3145" spans="1:13" hidden="1" x14ac:dyDescent="0.15">
      <c r="A3145" t="s">
        <v>9965</v>
      </c>
      <c r="B3145" t="s">
        <v>9966</v>
      </c>
      <c r="C3145" t="s">
        <v>9967</v>
      </c>
      <c r="D3145" t="s">
        <v>9968</v>
      </c>
      <c r="E3145">
        <v>4</v>
      </c>
      <c r="F3145" t="str">
        <f>HYPERLINK("https://github.com/OneBusAway/onebusaway-android/issues/807", "show")</f>
        <v>show</v>
      </c>
      <c r="G3145" t="str">
        <f>HYPERLINK("https://github.com/OneBusAway/onebusaway-android", "show")</f>
        <v>show</v>
      </c>
      <c r="H3145" t="str">
        <f>HYPERLINK("https://github.com/OneBusAway/onebusaway-android/releases", "show")</f>
        <v>show</v>
      </c>
      <c r="I3145">
        <v>1</v>
      </c>
      <c r="J3145">
        <v>1</v>
      </c>
      <c r="K3145">
        <v>1</v>
      </c>
      <c r="L3145">
        <v>0</v>
      </c>
      <c r="M3145" t="s">
        <v>59</v>
      </c>
    </row>
    <row r="3146" spans="1:13" hidden="1" x14ac:dyDescent="0.15">
      <c r="A3146" t="s">
        <v>9969</v>
      </c>
      <c r="B3146" t="s">
        <v>9970</v>
      </c>
      <c r="C3146" t="s">
        <v>9971</v>
      </c>
      <c r="D3146" t="s">
        <v>9968</v>
      </c>
      <c r="E3146">
        <v>2</v>
      </c>
      <c r="F3146" t="str">
        <f>HYPERLINK("https://github.com/dgets/MinTone/issues/1", "show")</f>
        <v>show</v>
      </c>
      <c r="G3146" t="str">
        <f>HYPERLINK("https://github.com/dgets/MinTone", "show")</f>
        <v>show</v>
      </c>
      <c r="H3146" t="str">
        <f>HYPERLINK("https://github.com/dgets/MinTone/releases", "show")</f>
        <v>show</v>
      </c>
      <c r="I3146">
        <v>1</v>
      </c>
      <c r="J3146">
        <v>0</v>
      </c>
      <c r="K3146">
        <v>0</v>
      </c>
      <c r="L3146">
        <v>0</v>
      </c>
      <c r="M3146" t="s">
        <v>17</v>
      </c>
    </row>
    <row r="3147" spans="1:13" hidden="1" x14ac:dyDescent="0.15">
      <c r="A3147" t="s">
        <v>9972</v>
      </c>
      <c r="B3147" t="s">
        <v>9973</v>
      </c>
      <c r="C3147" t="s">
        <v>9974</v>
      </c>
      <c r="D3147" t="s">
        <v>9968</v>
      </c>
      <c r="E3147">
        <v>121</v>
      </c>
      <c r="F3147" t="str">
        <f>HYPERLINK("https://github.com/TeamNewPipe/NewPipe/issues/737", "show")</f>
        <v>show</v>
      </c>
      <c r="G3147" t="str">
        <f>HYPERLINK("https://github.com/TeamNewPipe/NewPipe", "show")</f>
        <v>show</v>
      </c>
      <c r="H3147" t="str">
        <f>HYPERLINK("https://github.com/TeamNewPipe/NewPipe/releases", "show")</f>
        <v>show</v>
      </c>
      <c r="I3147">
        <v>1</v>
      </c>
      <c r="J3147">
        <v>1</v>
      </c>
      <c r="K3147">
        <v>1</v>
      </c>
      <c r="L3147">
        <v>0</v>
      </c>
      <c r="M3147" t="s">
        <v>59</v>
      </c>
    </row>
    <row r="3148" spans="1:13" hidden="1" x14ac:dyDescent="0.15">
      <c r="A3148" t="s">
        <v>9975</v>
      </c>
      <c r="B3148" t="s">
        <v>9976</v>
      </c>
      <c r="C3148" t="s">
        <v>9977</v>
      </c>
      <c r="D3148" t="s">
        <v>9968</v>
      </c>
      <c r="E3148">
        <v>0</v>
      </c>
      <c r="F3148" t="str">
        <f>HYPERLINK("https://github.com/vector-im/riot-android/issues/1618", "show")</f>
        <v>show</v>
      </c>
      <c r="G3148" t="str">
        <f>HYPERLINK("https://github.com/vector-im/riot-android", "show")</f>
        <v>show</v>
      </c>
      <c r="H3148" t="str">
        <f>HYPERLINK("https://github.com/vector-im/riot-android/releases", "show")</f>
        <v>show</v>
      </c>
      <c r="I3148">
        <v>0</v>
      </c>
      <c r="J3148">
        <v>0</v>
      </c>
      <c r="K3148">
        <v>0</v>
      </c>
      <c r="L3148">
        <v>0</v>
      </c>
      <c r="M3148" t="s">
        <v>43</v>
      </c>
    </row>
    <row r="3149" spans="1:13" hidden="1" x14ac:dyDescent="0.15">
      <c r="A3149" t="s">
        <v>9978</v>
      </c>
      <c r="B3149" t="s">
        <v>9979</v>
      </c>
      <c r="D3149" t="s">
        <v>9980</v>
      </c>
      <c r="E3149">
        <v>1</v>
      </c>
      <c r="F3149" t="str">
        <f>HYPERLINK("https://github.com/thiagoprochnow/carteiradeativos/issues/145", "show")</f>
        <v>show</v>
      </c>
      <c r="G3149" t="str">
        <f>HYPERLINK("https://github.com/thiagoprochnow/carteiradeativos", "show")</f>
        <v>show</v>
      </c>
      <c r="H3149" t="str">
        <f>HYPERLINK("https://github.com/thiagoprochnow/carteiradeativos/releases", "show")</f>
        <v>show</v>
      </c>
      <c r="I3149">
        <v>1</v>
      </c>
      <c r="J3149">
        <v>0</v>
      </c>
      <c r="K3149">
        <v>0</v>
      </c>
      <c r="L3149">
        <v>0</v>
      </c>
      <c r="M3149" t="s">
        <v>17</v>
      </c>
    </row>
    <row r="3150" spans="1:13" hidden="1" x14ac:dyDescent="0.15">
      <c r="A3150" t="s">
        <v>9981</v>
      </c>
      <c r="B3150" t="s">
        <v>9982</v>
      </c>
      <c r="D3150" t="s">
        <v>9980</v>
      </c>
      <c r="E3150">
        <v>0</v>
      </c>
      <c r="F3150" t="str">
        <f>HYPERLINK("https://github.com/thiagoprochnow/carteiradeativos/issues/144", "show")</f>
        <v>show</v>
      </c>
      <c r="G3150" t="str">
        <f>HYPERLINK("https://github.com/thiagoprochnow/carteiradeativos", "show")</f>
        <v>show</v>
      </c>
      <c r="H3150" t="str">
        <f>HYPERLINK("https://github.com/thiagoprochnow/carteiradeativos/releases", "show")</f>
        <v>show</v>
      </c>
      <c r="I3150">
        <v>0</v>
      </c>
      <c r="J3150">
        <v>0</v>
      </c>
      <c r="K3150">
        <v>1</v>
      </c>
      <c r="L3150">
        <v>0</v>
      </c>
      <c r="M3150" t="s">
        <v>122</v>
      </c>
    </row>
    <row r="3151" spans="1:13" hidden="1" x14ac:dyDescent="0.15">
      <c r="A3151" t="s">
        <v>9983</v>
      </c>
      <c r="B3151" t="s">
        <v>9984</v>
      </c>
      <c r="C3151" t="s">
        <v>9985</v>
      </c>
      <c r="D3151" t="s">
        <v>9980</v>
      </c>
      <c r="E3151">
        <v>1</v>
      </c>
      <c r="F3151" t="str">
        <f>HYPERLINK("https://github.com/bumptech/glide/issues/2434", "show")</f>
        <v>show</v>
      </c>
      <c r="G3151" t="str">
        <f>HYPERLINK("https://github.com/bumptech/glide", "show")</f>
        <v>show</v>
      </c>
      <c r="H3151" t="str">
        <f>HYPERLINK("https://github.com/bumptech/glide/releases", "show")</f>
        <v>show</v>
      </c>
      <c r="I3151">
        <v>0</v>
      </c>
      <c r="J3151">
        <v>0</v>
      </c>
      <c r="K3151">
        <v>1</v>
      </c>
      <c r="L3151">
        <v>0</v>
      </c>
      <c r="M3151" t="s">
        <v>122</v>
      </c>
    </row>
    <row r="3152" spans="1:13" hidden="1" x14ac:dyDescent="0.15">
      <c r="A3152" t="s">
        <v>9986</v>
      </c>
      <c r="B3152" t="s">
        <v>9987</v>
      </c>
      <c r="C3152" t="s">
        <v>9988</v>
      </c>
      <c r="D3152" t="s">
        <v>9980</v>
      </c>
      <c r="E3152">
        <v>515</v>
      </c>
      <c r="F3152" t="str">
        <f>HYPERLINK("https://github.com/fabian7593/MagicalCamera/issues/28", "show")</f>
        <v>show</v>
      </c>
      <c r="G3152" t="str">
        <f>HYPERLINK("https://github.com/fabian7593/MagicalCamera", "show")</f>
        <v>show</v>
      </c>
      <c r="H3152" t="str">
        <f>HYPERLINK("https://github.com/fabian7593/MagicalCamera/releases", "show")</f>
        <v>show</v>
      </c>
      <c r="I3152">
        <v>0</v>
      </c>
      <c r="J3152">
        <v>1</v>
      </c>
      <c r="K3152">
        <v>1</v>
      </c>
      <c r="L3152">
        <v>0</v>
      </c>
      <c r="M3152" t="s">
        <v>699</v>
      </c>
    </row>
    <row r="3153" spans="1:13" hidden="1" x14ac:dyDescent="0.15">
      <c r="A3153" t="s">
        <v>9989</v>
      </c>
      <c r="B3153" t="s">
        <v>9990</v>
      </c>
      <c r="C3153" t="s">
        <v>9991</v>
      </c>
      <c r="D3153" t="s">
        <v>9980</v>
      </c>
      <c r="E3153">
        <v>1</v>
      </c>
      <c r="F3153" t="str">
        <f>HYPERLINK("https://github.com/8enet/AppOpsX/issues/17", "show")</f>
        <v>show</v>
      </c>
      <c r="G3153" t="str">
        <f>HYPERLINK("https://github.com/8enet/AppOpsX", "show")</f>
        <v>show</v>
      </c>
      <c r="H3153" t="str">
        <f>HYPERLINK("https://github.com/8enet/AppOpsX/releases", "show")</f>
        <v>show</v>
      </c>
      <c r="I3153">
        <v>0</v>
      </c>
      <c r="J3153">
        <v>0</v>
      </c>
      <c r="K3153">
        <v>1</v>
      </c>
      <c r="L3153">
        <v>0</v>
      </c>
      <c r="M3153" t="s">
        <v>122</v>
      </c>
    </row>
    <row r="3154" spans="1:13" hidden="1" x14ac:dyDescent="0.15">
      <c r="A3154" t="s">
        <v>9992</v>
      </c>
      <c r="B3154" t="s">
        <v>9993</v>
      </c>
      <c r="C3154" t="s">
        <v>9994</v>
      </c>
      <c r="D3154" t="s">
        <v>9980</v>
      </c>
      <c r="E3154">
        <v>347</v>
      </c>
      <c r="F3154" t="str">
        <f>HYPERLINK("https://github.com/the3deers/android-3D-model-viewer/issues/24", "show")</f>
        <v>show</v>
      </c>
      <c r="G3154" t="str">
        <f>HYPERLINK("https://github.com/the3deers/android-3D-model-viewer", "show")</f>
        <v>show</v>
      </c>
      <c r="H3154" t="str">
        <f>HYPERLINK("https://github.com/the3deers/android-3D-model-viewer/releases", "show")</f>
        <v>show</v>
      </c>
      <c r="I3154">
        <v>0</v>
      </c>
      <c r="J3154">
        <v>0</v>
      </c>
      <c r="K3154">
        <v>0</v>
      </c>
      <c r="L3154">
        <v>0</v>
      </c>
      <c r="M3154" t="s">
        <v>43</v>
      </c>
    </row>
    <row r="3155" spans="1:13" hidden="1" x14ac:dyDescent="0.15">
      <c r="A3155" t="s">
        <v>9995</v>
      </c>
      <c r="B3155" t="s">
        <v>9996</v>
      </c>
      <c r="C3155" t="s">
        <v>9997</v>
      </c>
      <c r="D3155" t="s">
        <v>9998</v>
      </c>
      <c r="E3155">
        <v>54</v>
      </c>
      <c r="F3155" t="str">
        <f>HYPERLINK("https://github.com/geopaparazzi/geopaparazzi/issues/415", "show")</f>
        <v>show</v>
      </c>
      <c r="G3155" t="str">
        <f>HYPERLINK("https://github.com/geopaparazzi/geopaparazzi", "show")</f>
        <v>show</v>
      </c>
      <c r="H3155" t="str">
        <f>HYPERLINK("https://github.com/geopaparazzi/geopaparazzi/releases", "show")</f>
        <v>show</v>
      </c>
      <c r="I3155">
        <v>0</v>
      </c>
      <c r="J3155">
        <v>0</v>
      </c>
      <c r="K3155">
        <v>0</v>
      </c>
      <c r="L3155">
        <v>0</v>
      </c>
      <c r="M3155" t="s">
        <v>43</v>
      </c>
    </row>
    <row r="3156" spans="1:13" hidden="1" x14ac:dyDescent="0.15">
      <c r="A3156" t="s">
        <v>9999</v>
      </c>
      <c r="B3156" t="s">
        <v>10000</v>
      </c>
      <c r="C3156" t="s">
        <v>10001</v>
      </c>
      <c r="D3156" t="s">
        <v>9998</v>
      </c>
      <c r="E3156">
        <v>19</v>
      </c>
      <c r="F3156" t="str">
        <f>HYPERLINK("https://github.com/TeamNewPipe/NewPipe/issues/744", "show")</f>
        <v>show</v>
      </c>
      <c r="G3156" t="str">
        <f>HYPERLINK("https://github.com/TeamNewPipe/NewPipe", "show")</f>
        <v>show</v>
      </c>
      <c r="H3156" t="str">
        <f>HYPERLINK("https://github.com/TeamNewPipe/NewPipe/releases", "show")</f>
        <v>show</v>
      </c>
      <c r="I3156">
        <v>1</v>
      </c>
      <c r="J3156">
        <v>0</v>
      </c>
      <c r="K3156">
        <v>0</v>
      </c>
      <c r="L3156">
        <v>0</v>
      </c>
      <c r="M3156" t="s">
        <v>17</v>
      </c>
    </row>
    <row r="3157" spans="1:13" hidden="1" x14ac:dyDescent="0.15">
      <c r="A3157" t="s">
        <v>10002</v>
      </c>
      <c r="B3157" t="s">
        <v>10003</v>
      </c>
      <c r="C3157" t="s">
        <v>10004</v>
      </c>
      <c r="D3157" t="s">
        <v>10005</v>
      </c>
      <c r="E3157">
        <v>10</v>
      </c>
      <c r="F3157" t="str">
        <f>HYPERLINK("https://github.com/antest1/kcanotify/issues/21", "show")</f>
        <v>show</v>
      </c>
      <c r="G3157" t="str">
        <f>HYPERLINK("https://github.com/antest1/kcanotify", "show")</f>
        <v>show</v>
      </c>
      <c r="H3157" t="str">
        <f>HYPERLINK("https://github.com/antest1/kcanotify/releases", "show")</f>
        <v>show</v>
      </c>
      <c r="I3157">
        <v>1</v>
      </c>
      <c r="J3157">
        <v>0</v>
      </c>
      <c r="K3157">
        <v>0</v>
      </c>
      <c r="L3157">
        <v>0</v>
      </c>
      <c r="M3157" t="s">
        <v>17</v>
      </c>
    </row>
    <row r="3158" spans="1:13" hidden="1" x14ac:dyDescent="0.15">
      <c r="A3158" t="s">
        <v>10006</v>
      </c>
      <c r="B3158" t="s">
        <v>10007</v>
      </c>
      <c r="C3158" t="s">
        <v>10008</v>
      </c>
      <c r="D3158" t="s">
        <v>10005</v>
      </c>
      <c r="E3158">
        <v>10</v>
      </c>
      <c r="F3158" t="str">
        <f>HYPERLINK("https://github.com/nextcloud/android/issues/1601", "show")</f>
        <v>show</v>
      </c>
      <c r="G3158" t="str">
        <f>HYPERLINK("https://github.com/nextcloud/android", "show")</f>
        <v>show</v>
      </c>
      <c r="H3158" t="str">
        <f>HYPERLINK("https://github.com/nextcloud/android/releases", "show")</f>
        <v>show</v>
      </c>
      <c r="I3158">
        <v>1</v>
      </c>
      <c r="J3158">
        <v>0</v>
      </c>
      <c r="K3158">
        <v>0</v>
      </c>
      <c r="L3158">
        <v>0</v>
      </c>
      <c r="M3158" t="s">
        <v>17</v>
      </c>
    </row>
    <row r="3159" spans="1:13" hidden="1" x14ac:dyDescent="0.15">
      <c r="A3159" t="s">
        <v>10009</v>
      </c>
      <c r="B3159" t="s">
        <v>10010</v>
      </c>
      <c r="C3159" t="s">
        <v>10011</v>
      </c>
      <c r="D3159" t="s">
        <v>10012</v>
      </c>
      <c r="E3159">
        <v>0</v>
      </c>
      <c r="F3159" t="str">
        <f>HYPERLINK("https://github.com/OneBusAway/onebusaway-android/issues/810", "show")</f>
        <v>show</v>
      </c>
      <c r="G3159" t="str">
        <f>HYPERLINK("https://github.com/OneBusAway/onebusaway-android", "show")</f>
        <v>show</v>
      </c>
      <c r="H3159" t="str">
        <f>HYPERLINK("https://github.com/OneBusAway/onebusaway-android/releases", "show")</f>
        <v>show</v>
      </c>
      <c r="I3159">
        <v>0</v>
      </c>
      <c r="J3159">
        <v>1</v>
      </c>
      <c r="K3159">
        <v>1</v>
      </c>
      <c r="L3159">
        <v>0</v>
      </c>
      <c r="M3159" t="s">
        <v>699</v>
      </c>
    </row>
    <row r="3160" spans="1:13" hidden="1" x14ac:dyDescent="0.15">
      <c r="A3160" t="s">
        <v>10013</v>
      </c>
      <c r="B3160" t="s">
        <v>10014</v>
      </c>
      <c r="C3160" t="s">
        <v>10015</v>
      </c>
      <c r="D3160" t="s">
        <v>10012</v>
      </c>
      <c r="E3160">
        <v>0</v>
      </c>
      <c r="F3160" t="str">
        <f>HYPERLINK("https://github.com/OneBusAway/onebusaway-android/issues/809", "show")</f>
        <v>show</v>
      </c>
      <c r="G3160" t="str">
        <f>HYPERLINK("https://github.com/OneBusAway/onebusaway-android", "show")</f>
        <v>show</v>
      </c>
      <c r="H3160" t="str">
        <f>HYPERLINK("https://github.com/OneBusAway/onebusaway-android/releases", "show")</f>
        <v>show</v>
      </c>
      <c r="I3160">
        <v>1</v>
      </c>
      <c r="J3160">
        <v>0</v>
      </c>
      <c r="K3160">
        <v>1</v>
      </c>
      <c r="L3160">
        <v>0</v>
      </c>
      <c r="M3160" t="s">
        <v>64</v>
      </c>
    </row>
    <row r="3161" spans="1:13" hidden="1" x14ac:dyDescent="0.15">
      <c r="A3161" t="s">
        <v>10016</v>
      </c>
      <c r="B3161" t="s">
        <v>10017</v>
      </c>
      <c r="C3161" t="s">
        <v>10018</v>
      </c>
      <c r="D3161" t="s">
        <v>10012</v>
      </c>
      <c r="E3161">
        <v>1</v>
      </c>
      <c r="F3161" t="str">
        <f>HYPERLINK("https://github.com/MCMrARM/revolution-irc/issues/3", "show")</f>
        <v>show</v>
      </c>
      <c r="G3161" t="str">
        <f>HYPERLINK("https://github.com/MCMrARM/revolution-irc", "show")</f>
        <v>show</v>
      </c>
      <c r="H3161" t="str">
        <f>HYPERLINK("https://github.com/MCMrARM/revolution-irc/releases", "show")</f>
        <v>show</v>
      </c>
      <c r="I3161">
        <v>1</v>
      </c>
      <c r="J3161">
        <v>0</v>
      </c>
      <c r="K3161">
        <v>0</v>
      </c>
      <c r="L3161">
        <v>0</v>
      </c>
      <c r="M3161" t="s">
        <v>17</v>
      </c>
    </row>
    <row r="3162" spans="1:13" hidden="1" x14ac:dyDescent="0.15">
      <c r="A3162" t="s">
        <v>10019</v>
      </c>
      <c r="B3162" t="s">
        <v>10020</v>
      </c>
      <c r="C3162" t="s">
        <v>10021</v>
      </c>
      <c r="D3162" t="s">
        <v>10012</v>
      </c>
      <c r="E3162">
        <v>22</v>
      </c>
      <c r="F3162" t="str">
        <f>HYPERLINK("https://github.com/TeamWalrus/Walrus/issues/11", "show")</f>
        <v>show</v>
      </c>
      <c r="G3162" t="str">
        <f>HYPERLINK("https://github.com/TeamWalrus/Walrus", "show")</f>
        <v>show</v>
      </c>
      <c r="H3162" t="str">
        <f>HYPERLINK("https://github.com/TeamWalrus/Walrus/releases", "show")</f>
        <v>show</v>
      </c>
      <c r="I3162">
        <v>1</v>
      </c>
      <c r="J3162">
        <v>0</v>
      </c>
      <c r="K3162">
        <v>0</v>
      </c>
      <c r="L3162">
        <v>0</v>
      </c>
      <c r="M3162" t="s">
        <v>17</v>
      </c>
    </row>
    <row r="3163" spans="1:13" hidden="1" x14ac:dyDescent="0.15">
      <c r="A3163" t="s">
        <v>10022</v>
      </c>
      <c r="B3163" t="s">
        <v>10023</v>
      </c>
      <c r="C3163" t="s">
        <v>10024</v>
      </c>
      <c r="D3163" t="s">
        <v>10012</v>
      </c>
      <c r="E3163">
        <v>1</v>
      </c>
      <c r="F3163" t="str">
        <f>HYPERLINK("https://github.com/TeamWalrus/Walrus/issues/2", "show")</f>
        <v>show</v>
      </c>
      <c r="G3163" t="str">
        <f>HYPERLINK("https://github.com/TeamWalrus/Walrus", "show")</f>
        <v>show</v>
      </c>
      <c r="H3163" t="str">
        <f>HYPERLINK("https://github.com/TeamWalrus/Walrus/releases", "show")</f>
        <v>show</v>
      </c>
      <c r="I3163">
        <v>0</v>
      </c>
      <c r="J3163">
        <v>0</v>
      </c>
      <c r="K3163">
        <v>0</v>
      </c>
      <c r="L3163">
        <v>0</v>
      </c>
      <c r="M3163" t="s">
        <v>43</v>
      </c>
    </row>
    <row r="3164" spans="1:13" hidden="1" x14ac:dyDescent="0.15">
      <c r="A3164" t="s">
        <v>10025</v>
      </c>
      <c r="B3164" t="s">
        <v>10026</v>
      </c>
      <c r="C3164" t="s">
        <v>504</v>
      </c>
      <c r="D3164" t="s">
        <v>10027</v>
      </c>
      <c r="E3164">
        <v>953</v>
      </c>
      <c r="F3164" t="str">
        <f>HYPERLINK("https://github.com/BaseballCardTracker/bbct-android/issues/423", "show")</f>
        <v>show</v>
      </c>
      <c r="G3164" t="str">
        <f>HYPERLINK("https://github.com/BaseballCardTracker/bbct-android", "show")</f>
        <v>show</v>
      </c>
      <c r="H3164" t="str">
        <f>HYPERLINK("https://github.com/BaseballCardTracker/bbct-android/releases", "show")</f>
        <v>show</v>
      </c>
      <c r="I3164">
        <v>1</v>
      </c>
      <c r="J3164">
        <v>0</v>
      </c>
      <c r="K3164">
        <v>0</v>
      </c>
      <c r="L3164">
        <v>0</v>
      </c>
      <c r="M3164" t="s">
        <v>17</v>
      </c>
    </row>
    <row r="3165" spans="1:13" hidden="1" x14ac:dyDescent="0.15">
      <c r="A3165" t="s">
        <v>10028</v>
      </c>
      <c r="B3165" t="s">
        <v>10029</v>
      </c>
      <c r="C3165" t="s">
        <v>10030</v>
      </c>
      <c r="D3165" t="s">
        <v>10027</v>
      </c>
      <c r="E3165">
        <v>0</v>
      </c>
      <c r="F3165" t="str">
        <f>HYPERLINK("https://github.com/dgets/MinTone/issues/11", "show")</f>
        <v>show</v>
      </c>
      <c r="G3165" t="str">
        <f>HYPERLINK("https://github.com/dgets/MinTone", "show")</f>
        <v>show</v>
      </c>
      <c r="H3165" t="str">
        <f>HYPERLINK("https://github.com/dgets/MinTone/releases", "show")</f>
        <v>show</v>
      </c>
      <c r="I3165">
        <v>1</v>
      </c>
      <c r="J3165">
        <v>0</v>
      </c>
      <c r="K3165">
        <v>0</v>
      </c>
      <c r="L3165">
        <v>0</v>
      </c>
      <c r="M3165" t="s">
        <v>17</v>
      </c>
    </row>
    <row r="3166" spans="1:13" hidden="1" x14ac:dyDescent="0.15">
      <c r="A3166" t="s">
        <v>10031</v>
      </c>
      <c r="B3166" t="s">
        <v>10032</v>
      </c>
      <c r="C3166" t="s">
        <v>10033</v>
      </c>
      <c r="D3166" t="s">
        <v>10034</v>
      </c>
      <c r="E3166">
        <v>0</v>
      </c>
      <c r="F3166" t="str">
        <f>HYPERLINK("https://github.com/kabouzeid/Phonograph/issues/304", "show")</f>
        <v>show</v>
      </c>
      <c r="G3166" t="str">
        <f>HYPERLINK("https://github.com/kabouzeid/Phonograph", "show")</f>
        <v>show</v>
      </c>
      <c r="H3166" t="str">
        <f>HYPERLINK("https://github.com/kabouzeid/Phonograph/releases", "show")</f>
        <v>show</v>
      </c>
      <c r="I3166">
        <v>1</v>
      </c>
      <c r="J3166">
        <v>0</v>
      </c>
      <c r="K3166">
        <v>0</v>
      </c>
      <c r="L3166">
        <v>0</v>
      </c>
      <c r="M3166" t="s">
        <v>17</v>
      </c>
    </row>
    <row r="3167" spans="1:13" hidden="1" x14ac:dyDescent="0.15">
      <c r="A3167" t="s">
        <v>10035</v>
      </c>
      <c r="B3167" t="s">
        <v>10036</v>
      </c>
      <c r="C3167" t="s">
        <v>10037</v>
      </c>
      <c r="D3167" t="s">
        <v>10034</v>
      </c>
      <c r="E3167">
        <v>7</v>
      </c>
      <c r="F3167" t="str">
        <f>HYPERLINK("https://github.com/mkjensen/tv/issues/2", "show")</f>
        <v>show</v>
      </c>
      <c r="G3167" t="str">
        <f>HYPERLINK("https://github.com/mkjensen/tv", "show")</f>
        <v>show</v>
      </c>
      <c r="H3167" t="str">
        <f>HYPERLINK("https://github.com/mkjensen/tv/releases", "show")</f>
        <v>show</v>
      </c>
      <c r="I3167">
        <v>1</v>
      </c>
      <c r="J3167">
        <v>0</v>
      </c>
      <c r="K3167">
        <v>0</v>
      </c>
      <c r="L3167">
        <v>0</v>
      </c>
      <c r="M3167" t="s">
        <v>17</v>
      </c>
    </row>
    <row r="3168" spans="1:13" hidden="1" x14ac:dyDescent="0.15">
      <c r="A3168" t="s">
        <v>10038</v>
      </c>
      <c r="B3168" t="s">
        <v>10039</v>
      </c>
      <c r="C3168" t="s">
        <v>10040</v>
      </c>
      <c r="D3168" t="s">
        <v>10034</v>
      </c>
      <c r="E3168">
        <v>0</v>
      </c>
      <c r="F3168" t="str">
        <f>HYPERLINK("https://github.com/st1hy/Red-Calorie/issues/32", "show")</f>
        <v>show</v>
      </c>
      <c r="G3168" t="str">
        <f>HYPERLINK("https://github.com/st1hy/Red-Calorie", "show")</f>
        <v>show</v>
      </c>
      <c r="H3168" t="str">
        <f>HYPERLINK("https://github.com/st1hy/Red-Calorie/releases", "show")</f>
        <v>show</v>
      </c>
      <c r="I3168">
        <v>1</v>
      </c>
      <c r="J3168">
        <v>1</v>
      </c>
      <c r="K3168">
        <v>1</v>
      </c>
      <c r="L3168">
        <v>0</v>
      </c>
      <c r="M3168" t="s">
        <v>59</v>
      </c>
    </row>
    <row r="3169" spans="1:13" hidden="1" x14ac:dyDescent="0.15">
      <c r="A3169" t="s">
        <v>10041</v>
      </c>
      <c r="B3169" t="s">
        <v>10042</v>
      </c>
      <c r="C3169" t="s">
        <v>10043</v>
      </c>
      <c r="D3169" t="s">
        <v>10034</v>
      </c>
      <c r="E3169">
        <v>0</v>
      </c>
      <c r="F3169" t="str">
        <f>HYPERLINK("https://github.com/dgets/MinTone/issues/15", "show")</f>
        <v>show</v>
      </c>
      <c r="G3169" t="str">
        <f>HYPERLINK("https://github.com/dgets/MinTone", "show")</f>
        <v>show</v>
      </c>
      <c r="H3169" t="str">
        <f>HYPERLINK("https://github.com/dgets/MinTone/releases", "show")</f>
        <v>show</v>
      </c>
      <c r="I3169">
        <v>1</v>
      </c>
      <c r="J3169">
        <v>0</v>
      </c>
      <c r="K3169">
        <v>0</v>
      </c>
      <c r="L3169">
        <v>0</v>
      </c>
      <c r="M3169" t="s">
        <v>17</v>
      </c>
    </row>
    <row r="3170" spans="1:13" hidden="1" x14ac:dyDescent="0.15">
      <c r="A3170" t="s">
        <v>10044</v>
      </c>
      <c r="B3170" t="s">
        <v>10045</v>
      </c>
      <c r="C3170" t="s">
        <v>10046</v>
      </c>
      <c r="D3170" t="s">
        <v>10047</v>
      </c>
      <c r="E3170">
        <v>9</v>
      </c>
      <c r="F3170" t="str">
        <f>HYPERLINK("https://github.com/zom/Zom-Android-XMPP/issues/342", "show")</f>
        <v>show</v>
      </c>
      <c r="G3170" t="str">
        <f>HYPERLINK("https://github.com/zom/Zom-Android-XMPP", "show")</f>
        <v>show</v>
      </c>
      <c r="H3170" t="str">
        <f>HYPERLINK("https://github.com/zom/Zom-Android-XMPP/releases", "show")</f>
        <v>show</v>
      </c>
      <c r="I3170">
        <v>1</v>
      </c>
      <c r="J3170">
        <v>0</v>
      </c>
      <c r="K3170">
        <v>0</v>
      </c>
      <c r="L3170">
        <v>0</v>
      </c>
      <c r="M3170" t="s">
        <v>17</v>
      </c>
    </row>
    <row r="3171" spans="1:13" hidden="1" x14ac:dyDescent="0.15">
      <c r="A3171" t="s">
        <v>10048</v>
      </c>
      <c r="B3171" t="s">
        <v>10049</v>
      </c>
      <c r="C3171" t="s">
        <v>10050</v>
      </c>
      <c r="D3171" t="s">
        <v>10047</v>
      </c>
      <c r="E3171">
        <v>1154</v>
      </c>
      <c r="F3171" t="str">
        <f>HYPERLINK("https://github.com/iBotPeaches/Apktool/issues/1632", "show")</f>
        <v>show</v>
      </c>
      <c r="G3171" t="str">
        <f>HYPERLINK("https://github.com/iBotPeaches/Apktool", "show")</f>
        <v>show</v>
      </c>
      <c r="H3171" t="str">
        <f>HYPERLINK("https://github.com/iBotPeaches/Apktool/releases", "show")</f>
        <v>show</v>
      </c>
      <c r="I3171">
        <v>1</v>
      </c>
      <c r="J3171">
        <v>1</v>
      </c>
      <c r="K3171">
        <v>1</v>
      </c>
      <c r="L3171">
        <v>0</v>
      </c>
      <c r="M3171" t="s">
        <v>59</v>
      </c>
    </row>
    <row r="3172" spans="1:13" hidden="1" x14ac:dyDescent="0.15">
      <c r="A3172" t="s">
        <v>10051</v>
      </c>
      <c r="B3172" t="s">
        <v>10052</v>
      </c>
      <c r="C3172" t="s">
        <v>10053</v>
      </c>
      <c r="D3172" t="s">
        <v>10047</v>
      </c>
      <c r="E3172">
        <v>0</v>
      </c>
      <c r="F3172" t="str">
        <f>HYPERLINK("https://github.com/dimagi/commcare-android/issues/1842", "show")</f>
        <v>show</v>
      </c>
      <c r="G3172" t="str">
        <f>HYPERLINK("https://github.com/dimagi/commcare-android", "show")</f>
        <v>show</v>
      </c>
      <c r="H3172" t="str">
        <f>HYPERLINK("https://github.com/dimagi/commcare-android/releases", "show")</f>
        <v>show</v>
      </c>
      <c r="I3172">
        <v>1</v>
      </c>
      <c r="J3172">
        <v>0</v>
      </c>
      <c r="K3172">
        <v>0</v>
      </c>
      <c r="L3172">
        <v>0</v>
      </c>
      <c r="M3172" t="s">
        <v>17</v>
      </c>
    </row>
    <row r="3173" spans="1:13" hidden="1" x14ac:dyDescent="0.15">
      <c r="A3173" t="s">
        <v>10054</v>
      </c>
      <c r="B3173" t="s">
        <v>10055</v>
      </c>
      <c r="C3173" t="s">
        <v>10056</v>
      </c>
      <c r="D3173" t="s">
        <v>10057</v>
      </c>
      <c r="E3173">
        <v>0</v>
      </c>
      <c r="F3173" t="str">
        <f>HYPERLINK("https://github.com/dimagi/commcare-android/issues/1845", "show")</f>
        <v>show</v>
      </c>
      <c r="G3173" t="str">
        <f>HYPERLINK("https://github.com/dimagi/commcare-android", "show")</f>
        <v>show</v>
      </c>
      <c r="H3173" t="str">
        <f>HYPERLINK("https://github.com/dimagi/commcare-android/releases", "show")</f>
        <v>show</v>
      </c>
      <c r="I3173">
        <v>1</v>
      </c>
      <c r="J3173">
        <v>0</v>
      </c>
      <c r="K3173">
        <v>0</v>
      </c>
      <c r="L3173">
        <v>0</v>
      </c>
      <c r="M3173" t="s">
        <v>17</v>
      </c>
    </row>
    <row r="3174" spans="1:13" hidden="1" x14ac:dyDescent="0.15">
      <c r="A3174" t="s">
        <v>10058</v>
      </c>
      <c r="B3174" t="s">
        <v>10059</v>
      </c>
      <c r="C3174" t="s">
        <v>10060</v>
      </c>
      <c r="D3174" t="s">
        <v>10057</v>
      </c>
      <c r="E3174">
        <v>50</v>
      </c>
      <c r="F3174" t="str">
        <f>HYPERLINK("https://github.com/philipphecht/react-native-doc-viewer/issues/49", "show")</f>
        <v>show</v>
      </c>
      <c r="G3174" t="str">
        <f>HYPERLINK("https://github.com/philipphecht/react-native-doc-viewer", "show")</f>
        <v>show</v>
      </c>
      <c r="H3174" t="str">
        <f>HYPERLINK("https://github.com/philipphecht/react-native-doc-viewer/releases", "show")</f>
        <v>show</v>
      </c>
      <c r="I3174">
        <v>0</v>
      </c>
      <c r="J3174">
        <v>0</v>
      </c>
      <c r="K3174">
        <v>0</v>
      </c>
      <c r="L3174">
        <v>0</v>
      </c>
      <c r="M3174" t="s">
        <v>43</v>
      </c>
    </row>
    <row r="3175" spans="1:13" hidden="1" x14ac:dyDescent="0.15">
      <c r="A3175" t="s">
        <v>10061</v>
      </c>
      <c r="B3175" t="s">
        <v>10062</v>
      </c>
      <c r="C3175" t="s">
        <v>10063</v>
      </c>
      <c r="D3175" t="s">
        <v>10057</v>
      </c>
      <c r="E3175">
        <v>57</v>
      </c>
      <c r="F3175" t="str">
        <f>HYPERLINK("https://github.com/requery/requery/issues/693", "show")</f>
        <v>show</v>
      </c>
      <c r="G3175" t="str">
        <f>HYPERLINK("https://github.com/requery/requery", "show")</f>
        <v>show</v>
      </c>
      <c r="H3175" t="str">
        <f>HYPERLINK("https://github.com/requery/requery/releases", "show")</f>
        <v>show</v>
      </c>
      <c r="I3175">
        <v>0</v>
      </c>
      <c r="J3175">
        <v>0</v>
      </c>
      <c r="K3175">
        <v>1</v>
      </c>
      <c r="L3175">
        <v>0</v>
      </c>
      <c r="M3175" t="s">
        <v>122</v>
      </c>
    </row>
    <row r="3176" spans="1:13" hidden="1" x14ac:dyDescent="0.15">
      <c r="A3176" t="s">
        <v>10064</v>
      </c>
      <c r="B3176" t="s">
        <v>10065</v>
      </c>
      <c r="C3176" t="s">
        <v>10066</v>
      </c>
      <c r="D3176" t="s">
        <v>10057</v>
      </c>
      <c r="E3176">
        <v>11</v>
      </c>
      <c r="F3176" t="str">
        <f>HYPERLINK("https://github.com/twilio/voice-quickstart-android/issues/99", "show")</f>
        <v>show</v>
      </c>
      <c r="G3176" t="str">
        <f>HYPERLINK("https://github.com/twilio/voice-quickstart-android", "show")</f>
        <v>show</v>
      </c>
      <c r="H3176" t="str">
        <f>HYPERLINK("https://github.com/twilio/voice-quickstart-android/releases", "show")</f>
        <v>show</v>
      </c>
      <c r="I3176">
        <v>0</v>
      </c>
      <c r="J3176">
        <v>1</v>
      </c>
      <c r="K3176">
        <v>1</v>
      </c>
      <c r="L3176">
        <v>0</v>
      </c>
      <c r="M3176" t="s">
        <v>699</v>
      </c>
    </row>
    <row r="3177" spans="1:13" hidden="1" x14ac:dyDescent="0.15">
      <c r="A3177" t="s">
        <v>10067</v>
      </c>
      <c r="B3177" t="s">
        <v>10068</v>
      </c>
      <c r="C3177" t="s">
        <v>10069</v>
      </c>
      <c r="D3177" t="s">
        <v>10070</v>
      </c>
      <c r="E3177">
        <v>48</v>
      </c>
      <c r="F3177" t="str">
        <f>HYPERLINK("https://github.com/mkulesh/microMathematics/issues/35", "show")</f>
        <v>show</v>
      </c>
      <c r="G3177" t="str">
        <f>HYPERLINK("https://github.com/mkulesh/microMathematics", "show")</f>
        <v>show</v>
      </c>
      <c r="H3177" t="str">
        <f>HYPERLINK("https://github.com/mkulesh/microMathematics/releases", "show")</f>
        <v>show</v>
      </c>
      <c r="I3177">
        <v>0</v>
      </c>
      <c r="J3177">
        <v>0</v>
      </c>
      <c r="K3177">
        <v>1</v>
      </c>
      <c r="L3177">
        <v>0</v>
      </c>
      <c r="M3177" t="s">
        <v>122</v>
      </c>
    </row>
    <row r="3178" spans="1:13" hidden="1" x14ac:dyDescent="0.15">
      <c r="A3178" t="s">
        <v>10071</v>
      </c>
      <c r="B3178" t="s">
        <v>10072</v>
      </c>
      <c r="C3178" t="s">
        <v>10073</v>
      </c>
      <c r="D3178" t="s">
        <v>10070</v>
      </c>
      <c r="E3178">
        <v>1</v>
      </c>
      <c r="F3178" t="str">
        <f>HYPERLINK("https://github.com/RafalManka/ScrollCalendar/issues/1", "show")</f>
        <v>show</v>
      </c>
      <c r="G3178" t="str">
        <f>HYPERLINK("https://github.com/RafalManka/ScrollCalendar", "show")</f>
        <v>show</v>
      </c>
      <c r="H3178" t="str">
        <f>HYPERLINK("https://github.com/RafalManka/ScrollCalendar/releases", "show")</f>
        <v>show</v>
      </c>
      <c r="I3178">
        <v>1</v>
      </c>
      <c r="J3178">
        <v>0</v>
      </c>
      <c r="K3178">
        <v>0</v>
      </c>
      <c r="L3178">
        <v>0</v>
      </c>
      <c r="M3178" t="s">
        <v>17</v>
      </c>
    </row>
    <row r="3179" spans="1:13" hidden="1" x14ac:dyDescent="0.15">
      <c r="A3179" t="s">
        <v>10074</v>
      </c>
      <c r="B3179" t="s">
        <v>10075</v>
      </c>
      <c r="C3179" t="s">
        <v>10076</v>
      </c>
      <c r="D3179" t="s">
        <v>10070</v>
      </c>
      <c r="E3179">
        <v>1</v>
      </c>
      <c r="F3179" t="str">
        <f>HYPERLINK("https://github.com/requery/requery/issues/696", "show")</f>
        <v>show</v>
      </c>
      <c r="G3179" t="str">
        <f>HYPERLINK("https://github.com/requery/requery", "show")</f>
        <v>show</v>
      </c>
      <c r="H3179" t="str">
        <f>HYPERLINK("https://github.com/requery/requery/releases", "show")</f>
        <v>show</v>
      </c>
      <c r="I3179">
        <v>1</v>
      </c>
      <c r="J3179">
        <v>0</v>
      </c>
      <c r="K3179">
        <v>0</v>
      </c>
      <c r="L3179">
        <v>0</v>
      </c>
      <c r="M3179" t="s">
        <v>17</v>
      </c>
    </row>
    <row r="3180" spans="1:13" hidden="1" x14ac:dyDescent="0.15">
      <c r="A3180" t="s">
        <v>10077</v>
      </c>
      <c r="B3180" t="s">
        <v>10078</v>
      </c>
      <c r="D3180" t="s">
        <v>10070</v>
      </c>
      <c r="E3180">
        <v>0</v>
      </c>
      <c r="F3180" t="str">
        <f>HYPERLINK("https://github.com/hzi-braunschweig/SORMAS-Project/issues/353", "show")</f>
        <v>show</v>
      </c>
      <c r="G3180" t="str">
        <f>HYPERLINK("https://github.com/hzi-braunschweig/SORMAS-Project", "show")</f>
        <v>show</v>
      </c>
      <c r="H3180" t="str">
        <f>HYPERLINK("https://github.com/hzi-braunschweig/SORMAS-Project/releases", "show")</f>
        <v>show</v>
      </c>
      <c r="I3180">
        <v>0</v>
      </c>
      <c r="J3180">
        <v>0</v>
      </c>
      <c r="K3180">
        <v>0</v>
      </c>
      <c r="L3180">
        <v>0</v>
      </c>
      <c r="M3180" t="s">
        <v>43</v>
      </c>
    </row>
    <row r="3181" spans="1:13" hidden="1" x14ac:dyDescent="0.15">
      <c r="A3181" t="s">
        <v>10079</v>
      </c>
      <c r="B3181" t="s">
        <v>10080</v>
      </c>
      <c r="C3181" t="s">
        <v>504</v>
      </c>
      <c r="D3181" t="s">
        <v>10070</v>
      </c>
      <c r="E3181">
        <v>441</v>
      </c>
      <c r="F3181" t="str">
        <f>HYPERLINK("https://github.com/niclabs/adkintunmobile-androidclient/issues/181", "show")</f>
        <v>show</v>
      </c>
      <c r="G3181" t="str">
        <f>HYPERLINK("https://github.com/niclabs/adkintunmobile-androidclient", "show")</f>
        <v>show</v>
      </c>
      <c r="H3181" t="str">
        <f>HYPERLINK("https://github.com/niclabs/adkintunmobile-androidclient/releases", "show")</f>
        <v>show</v>
      </c>
      <c r="I3181">
        <v>1</v>
      </c>
      <c r="J3181">
        <v>0</v>
      </c>
      <c r="K3181">
        <v>0</v>
      </c>
      <c r="L3181">
        <v>0</v>
      </c>
      <c r="M3181" t="s">
        <v>17</v>
      </c>
    </row>
    <row r="3182" spans="1:13" hidden="1" x14ac:dyDescent="0.15">
      <c r="A3182" t="s">
        <v>10081</v>
      </c>
      <c r="B3182" t="s">
        <v>10082</v>
      </c>
      <c r="C3182" t="s">
        <v>10083</v>
      </c>
      <c r="D3182" t="s">
        <v>10084</v>
      </c>
      <c r="E3182">
        <v>0</v>
      </c>
      <c r="F3182" t="str">
        <f>HYPERLINK("https://github.com/vexelon-dot-net/currencybg.app/issues/86", "show")</f>
        <v>show</v>
      </c>
      <c r="G3182" t="str">
        <f>HYPERLINK("https://github.com/vexelon-dot-net/currencybg.app", "show")</f>
        <v>show</v>
      </c>
      <c r="H3182" t="str">
        <f>HYPERLINK("https://github.com/vexelon-dot-net/currencybg.app/releases", "show")</f>
        <v>show</v>
      </c>
      <c r="I3182">
        <v>0</v>
      </c>
      <c r="J3182">
        <v>0</v>
      </c>
      <c r="K3182">
        <v>1</v>
      </c>
      <c r="L3182">
        <v>0</v>
      </c>
      <c r="M3182" t="s">
        <v>122</v>
      </c>
    </row>
    <row r="3183" spans="1:13" hidden="1" x14ac:dyDescent="0.15">
      <c r="A3183" t="s">
        <v>10085</v>
      </c>
      <c r="B3183" t="s">
        <v>10086</v>
      </c>
      <c r="C3183" t="s">
        <v>10087</v>
      </c>
      <c r="D3183" t="s">
        <v>10084</v>
      </c>
      <c r="E3183">
        <v>131</v>
      </c>
      <c r="F3183" t="str">
        <f>HYPERLINK("https://github.com/SecUSo/privacy-friendly-weather/issues/51", "show")</f>
        <v>show</v>
      </c>
      <c r="G3183" t="str">
        <f>HYPERLINK("https://github.com/SecUSo/privacy-friendly-weather", "show")</f>
        <v>show</v>
      </c>
      <c r="H3183" t="str">
        <f>HYPERLINK("https://github.com/SecUSo/privacy-friendly-weather/releases", "show")</f>
        <v>show</v>
      </c>
      <c r="I3183">
        <v>1</v>
      </c>
      <c r="J3183">
        <v>0</v>
      </c>
      <c r="K3183">
        <v>0</v>
      </c>
      <c r="L3183">
        <v>0</v>
      </c>
      <c r="M3183" t="s">
        <v>17</v>
      </c>
    </row>
    <row r="3184" spans="1:13" hidden="1" x14ac:dyDescent="0.15">
      <c r="A3184" t="s">
        <v>10088</v>
      </c>
      <c r="B3184" t="s">
        <v>10089</v>
      </c>
      <c r="C3184" t="s">
        <v>10090</v>
      </c>
      <c r="D3184" t="s">
        <v>10084</v>
      </c>
      <c r="E3184">
        <v>1</v>
      </c>
      <c r="F3184" t="str">
        <f>HYPERLINK("https://github.com/NYRDS/remixed-dungeon/issues/22", "show")</f>
        <v>show</v>
      </c>
      <c r="G3184" t="str">
        <f>HYPERLINK("https://github.com/NYRDS/remixed-dungeon", "show")</f>
        <v>show</v>
      </c>
      <c r="H3184" t="str">
        <f>HYPERLINK("https://github.com/NYRDS/remixed-dungeon/releases", "show")</f>
        <v>show</v>
      </c>
      <c r="I3184">
        <v>1</v>
      </c>
      <c r="J3184">
        <v>0</v>
      </c>
      <c r="K3184">
        <v>1</v>
      </c>
      <c r="L3184">
        <v>0</v>
      </c>
      <c r="M3184" t="s">
        <v>64</v>
      </c>
    </row>
    <row r="3185" spans="1:13" x14ac:dyDescent="0.15">
      <c r="A3185" t="s">
        <v>10091</v>
      </c>
      <c r="B3185" t="s">
        <v>10092</v>
      </c>
      <c r="C3185" t="s">
        <v>10093</v>
      </c>
      <c r="D3185" t="s">
        <v>10084</v>
      </c>
      <c r="E3185">
        <v>133</v>
      </c>
      <c r="F3185" t="str">
        <f>HYPERLINK("https://github.com/jawg/osm-contributor/issues/136", "show")</f>
        <v>show</v>
      </c>
      <c r="G3185" t="str">
        <f>HYPERLINK("https://github.com/jawg/osm-contributor", "show")</f>
        <v>show</v>
      </c>
      <c r="H3185" t="str">
        <f>HYPERLINK("https://github.com/jawg/osm-contributor/releases", "show")</f>
        <v>show</v>
      </c>
      <c r="I3185">
        <v>0</v>
      </c>
      <c r="J3185">
        <v>1</v>
      </c>
      <c r="K3185">
        <v>0</v>
      </c>
      <c r="L3185">
        <v>0</v>
      </c>
      <c r="M3185" t="s">
        <v>139</v>
      </c>
    </row>
    <row r="3186" spans="1:13" hidden="1" x14ac:dyDescent="0.15">
      <c r="A3186" t="s">
        <v>10094</v>
      </c>
      <c r="B3186" t="s">
        <v>10095</v>
      </c>
      <c r="D3186" t="s">
        <v>10084</v>
      </c>
      <c r="E3186">
        <v>0</v>
      </c>
      <c r="F3186" t="str">
        <f>HYPERLINK("https://github.com/danimahardhika/wallpaperboard/issues/91", "show")</f>
        <v>show</v>
      </c>
      <c r="G3186" t="str">
        <f>HYPERLINK("https://github.com/danimahardhika/wallpaperboard", "show")</f>
        <v>show</v>
      </c>
      <c r="H3186" t="str">
        <f>HYPERLINK("https://github.com/danimahardhika/wallpaperboard/releases", "show")</f>
        <v>show</v>
      </c>
      <c r="I3186">
        <v>1</v>
      </c>
      <c r="J3186">
        <v>0</v>
      </c>
      <c r="K3186">
        <v>1</v>
      </c>
      <c r="L3186">
        <v>0</v>
      </c>
      <c r="M3186" t="s">
        <v>64</v>
      </c>
    </row>
    <row r="3187" spans="1:13" hidden="1" x14ac:dyDescent="0.15">
      <c r="A3187" t="s">
        <v>10096</v>
      </c>
      <c r="B3187" t="s">
        <v>10097</v>
      </c>
      <c r="C3187" t="s">
        <v>10098</v>
      </c>
      <c r="D3187" t="s">
        <v>10099</v>
      </c>
      <c r="E3187">
        <v>18</v>
      </c>
      <c r="F3187" t="str">
        <f>HYPERLINK("https://github.com/nitrite/nitrite-java/issues/29", "show")</f>
        <v>show</v>
      </c>
      <c r="G3187" t="str">
        <f>HYPERLINK("https://github.com/nitrite/nitrite-java", "show")</f>
        <v>show</v>
      </c>
      <c r="H3187" t="str">
        <f>HYPERLINK("https://github.com/nitrite/nitrite-java/releases", "show")</f>
        <v>show</v>
      </c>
      <c r="I3187">
        <v>1</v>
      </c>
      <c r="J3187">
        <v>0</v>
      </c>
      <c r="K3187">
        <v>1</v>
      </c>
      <c r="L3187">
        <v>0</v>
      </c>
      <c r="M3187" t="s">
        <v>64</v>
      </c>
    </row>
    <row r="3188" spans="1:13" hidden="1" x14ac:dyDescent="0.15">
      <c r="A3188" t="s">
        <v>10100</v>
      </c>
      <c r="B3188" t="s">
        <v>10101</v>
      </c>
      <c r="C3188" t="s">
        <v>10102</v>
      </c>
      <c r="D3188" t="s">
        <v>10099</v>
      </c>
      <c r="E3188">
        <v>568</v>
      </c>
      <c r="F3188" t="str">
        <f>HYPERLINK("https://github.com/OpenLauncherTeam/openlauncher/issues/260", "show")</f>
        <v>show</v>
      </c>
      <c r="G3188" t="str">
        <f>HYPERLINK("https://github.com/OpenLauncherTeam/openlauncher", "show")</f>
        <v>show</v>
      </c>
      <c r="H3188" t="str">
        <f>HYPERLINK("https://github.com/OpenLauncherTeam/openlauncher/releases", "show")</f>
        <v>show</v>
      </c>
      <c r="I3188">
        <v>1</v>
      </c>
      <c r="J3188">
        <v>0</v>
      </c>
      <c r="K3188">
        <v>1</v>
      </c>
      <c r="L3188">
        <v>0</v>
      </c>
      <c r="M3188" t="s">
        <v>64</v>
      </c>
    </row>
    <row r="3189" spans="1:13" hidden="1" x14ac:dyDescent="0.15">
      <c r="A3189" t="s">
        <v>10103</v>
      </c>
      <c r="B3189" t="s">
        <v>10104</v>
      </c>
      <c r="C3189" t="s">
        <v>10105</v>
      </c>
      <c r="D3189" t="s">
        <v>10106</v>
      </c>
      <c r="E3189">
        <v>266</v>
      </c>
      <c r="F3189" t="str">
        <f>HYPERLINK("https://github.com/PhilippC/keepass2android/issues/33", "show")</f>
        <v>show</v>
      </c>
      <c r="G3189" t="str">
        <f>HYPERLINK("https://github.com/PhilippC/keepass2android", "show")</f>
        <v>show</v>
      </c>
      <c r="H3189" t="str">
        <f>HYPERLINK("https://github.com/PhilippC/keepass2android/releases", "show")</f>
        <v>show</v>
      </c>
      <c r="I3189">
        <v>1</v>
      </c>
      <c r="J3189">
        <v>0</v>
      </c>
      <c r="K3189">
        <v>0</v>
      </c>
      <c r="L3189">
        <v>0</v>
      </c>
      <c r="M3189" t="s">
        <v>17</v>
      </c>
    </row>
    <row r="3190" spans="1:13" hidden="1" x14ac:dyDescent="0.15">
      <c r="A3190" t="s">
        <v>10107</v>
      </c>
      <c r="B3190" t="s">
        <v>10108</v>
      </c>
      <c r="C3190" t="s">
        <v>10109</v>
      </c>
      <c r="D3190" t="s">
        <v>10106</v>
      </c>
      <c r="E3190">
        <v>563</v>
      </c>
      <c r="F3190" t="str">
        <f>HYPERLINK("https://github.com/cgeo/cgeo/issues/6751", "show")</f>
        <v>show</v>
      </c>
      <c r="G3190" t="str">
        <f>HYPERLINK("https://github.com/cgeo/cgeo", "show")</f>
        <v>show</v>
      </c>
      <c r="H3190" t="str">
        <f>HYPERLINK("https://github.com/cgeo/cgeo/releases", "show")</f>
        <v>show</v>
      </c>
      <c r="I3190">
        <v>1</v>
      </c>
      <c r="J3190">
        <v>0</v>
      </c>
      <c r="K3190">
        <v>0</v>
      </c>
      <c r="L3190">
        <v>1</v>
      </c>
      <c r="M3190" t="s">
        <v>29</v>
      </c>
    </row>
    <row r="3191" spans="1:13" hidden="1" x14ac:dyDescent="0.15">
      <c r="A3191" t="s">
        <v>10110</v>
      </c>
      <c r="B3191" t="s">
        <v>10111</v>
      </c>
      <c r="C3191" t="s">
        <v>10112</v>
      </c>
      <c r="D3191" t="s">
        <v>10113</v>
      </c>
      <c r="E3191">
        <v>2</v>
      </c>
      <c r="F3191" t="str">
        <f>HYPERLINK("https://github.com/syncthing/syncthing-android/issues/963", "show")</f>
        <v>show</v>
      </c>
      <c r="G3191" t="str">
        <f>HYPERLINK("https://github.com/syncthing/syncthing-android", "show")</f>
        <v>show</v>
      </c>
      <c r="H3191" t="str">
        <f>HYPERLINK("https://github.com/syncthing/syncthing-android/releases", "show")</f>
        <v>show</v>
      </c>
      <c r="I3191">
        <v>1</v>
      </c>
      <c r="J3191">
        <v>0</v>
      </c>
      <c r="K3191">
        <v>0</v>
      </c>
      <c r="L3191">
        <v>0</v>
      </c>
      <c r="M3191" t="s">
        <v>17</v>
      </c>
    </row>
    <row r="3192" spans="1:13" hidden="1" x14ac:dyDescent="0.15">
      <c r="A3192" t="s">
        <v>10114</v>
      </c>
      <c r="B3192" t="s">
        <v>10115</v>
      </c>
      <c r="C3192" t="s">
        <v>10116</v>
      </c>
      <c r="D3192" t="s">
        <v>10113</v>
      </c>
      <c r="E3192">
        <v>68</v>
      </c>
      <c r="F3192" t="str">
        <f>HYPERLINK("https://github.com/Pritom14/Password-Storage/issues/14", "show")</f>
        <v>show</v>
      </c>
      <c r="G3192" t="str">
        <f>HYPERLINK("https://github.com/Pritom14/Password-Storage", "show")</f>
        <v>show</v>
      </c>
      <c r="H3192" t="str">
        <f>HYPERLINK("https://github.com/Pritom14/Password-Storage/releases", "show")</f>
        <v>show</v>
      </c>
      <c r="I3192">
        <v>0</v>
      </c>
      <c r="J3192">
        <v>0</v>
      </c>
      <c r="K3192">
        <v>0</v>
      </c>
      <c r="L3192">
        <v>0</v>
      </c>
      <c r="M3192" t="s">
        <v>43</v>
      </c>
    </row>
    <row r="3193" spans="1:13" hidden="1" x14ac:dyDescent="0.15">
      <c r="A3193" t="s">
        <v>10117</v>
      </c>
      <c r="B3193" t="s">
        <v>10118</v>
      </c>
      <c r="C3193" t="s">
        <v>10119</v>
      </c>
      <c r="D3193" t="s">
        <v>10113</v>
      </c>
      <c r="E3193">
        <v>11</v>
      </c>
      <c r="F3193" t="str">
        <f>HYPERLINK("https://github.com/nextcloud/news-android/issues/583", "show")</f>
        <v>show</v>
      </c>
      <c r="G3193" t="str">
        <f>HYPERLINK("https://github.com/nextcloud/news-android", "show")</f>
        <v>show</v>
      </c>
      <c r="H3193" t="str">
        <f>HYPERLINK("https://github.com/nextcloud/news-android/releases", "show")</f>
        <v>show</v>
      </c>
      <c r="I3193">
        <v>1</v>
      </c>
      <c r="J3193">
        <v>0</v>
      </c>
      <c r="K3193">
        <v>0</v>
      </c>
      <c r="L3193">
        <v>0</v>
      </c>
      <c r="M3193" t="s">
        <v>17</v>
      </c>
    </row>
    <row r="3194" spans="1:13" hidden="1" x14ac:dyDescent="0.15">
      <c r="A3194" t="s">
        <v>10120</v>
      </c>
      <c r="B3194" t="s">
        <v>10121</v>
      </c>
      <c r="C3194" t="s">
        <v>10122</v>
      </c>
      <c r="D3194" t="s">
        <v>10123</v>
      </c>
      <c r="E3194">
        <v>0</v>
      </c>
      <c r="F3194" t="str">
        <f>HYPERLINK("https://github.com/danimahardhika/wallpaperboard/issues/92", "show")</f>
        <v>show</v>
      </c>
      <c r="G3194" t="str">
        <f>HYPERLINK("https://github.com/danimahardhika/wallpaperboard", "show")</f>
        <v>show</v>
      </c>
      <c r="H3194" t="str">
        <f>HYPERLINK("https://github.com/danimahardhika/wallpaperboard/releases", "show")</f>
        <v>show</v>
      </c>
      <c r="I3194">
        <v>1</v>
      </c>
      <c r="J3194">
        <v>0</v>
      </c>
      <c r="K3194">
        <v>1</v>
      </c>
      <c r="L3194">
        <v>0</v>
      </c>
      <c r="M3194" t="s">
        <v>64</v>
      </c>
    </row>
    <row r="3195" spans="1:13" hidden="1" x14ac:dyDescent="0.15">
      <c r="A3195" t="s">
        <v>10124</v>
      </c>
      <c r="B3195" t="s">
        <v>6772</v>
      </c>
      <c r="D3195" t="s">
        <v>10123</v>
      </c>
      <c r="E3195">
        <v>106</v>
      </c>
      <c r="F3195" t="str">
        <f>HYPERLINK("https://github.com/7LPdWcaW/GrowTracker-Android/issues/57", "show")</f>
        <v>show</v>
      </c>
      <c r="G3195" t="str">
        <f>HYPERLINK("https://github.com/7LPdWcaW/GrowTracker-Android", "show")</f>
        <v>show</v>
      </c>
      <c r="H3195" t="str">
        <f>HYPERLINK("https://github.com/7LPdWcaW/GrowTracker-Android/releases", "show")</f>
        <v>show</v>
      </c>
      <c r="I3195">
        <v>1</v>
      </c>
      <c r="J3195">
        <v>0</v>
      </c>
      <c r="K3195">
        <v>0</v>
      </c>
      <c r="L3195">
        <v>0</v>
      </c>
      <c r="M3195" t="s">
        <v>17</v>
      </c>
    </row>
    <row r="3196" spans="1:13" hidden="1" x14ac:dyDescent="0.15">
      <c r="A3196" t="s">
        <v>10125</v>
      </c>
      <c r="B3196" t="s">
        <v>10126</v>
      </c>
      <c r="D3196" t="s">
        <v>10123</v>
      </c>
      <c r="E3196">
        <v>3</v>
      </c>
      <c r="F3196" t="str">
        <f>HYPERLINK("https://github.com/vector-im/riot-android/issues/1651", "show")</f>
        <v>show</v>
      </c>
      <c r="G3196" t="str">
        <f>HYPERLINK("https://github.com/vector-im/riot-android", "show")</f>
        <v>show</v>
      </c>
      <c r="H3196" t="str">
        <f>HYPERLINK("https://github.com/vector-im/riot-android/releases", "show")</f>
        <v>show</v>
      </c>
      <c r="I3196">
        <v>1</v>
      </c>
      <c r="J3196">
        <v>0</v>
      </c>
      <c r="K3196">
        <v>0</v>
      </c>
      <c r="L3196">
        <v>0</v>
      </c>
      <c r="M3196" t="s">
        <v>17</v>
      </c>
    </row>
    <row r="3197" spans="1:13" hidden="1" x14ac:dyDescent="0.15">
      <c r="A3197" t="s">
        <v>10127</v>
      </c>
      <c r="B3197" t="s">
        <v>10128</v>
      </c>
      <c r="C3197" t="s">
        <v>10129</v>
      </c>
      <c r="D3197" t="s">
        <v>10123</v>
      </c>
      <c r="E3197">
        <v>112</v>
      </c>
      <c r="F3197" t="str">
        <f>HYPERLINK("https://github.com/Sapnethedreams/Sapne/issues/11", "show")</f>
        <v>show</v>
      </c>
      <c r="G3197" t="str">
        <f>HYPERLINK("https://github.com/Sapnethedreams/Sapne", "show")</f>
        <v>show</v>
      </c>
      <c r="H3197" t="str">
        <f>HYPERLINK("https://github.com/Sapnethedreams/Sapne/releases", "show")</f>
        <v>show</v>
      </c>
      <c r="I3197">
        <v>0</v>
      </c>
      <c r="J3197">
        <v>0</v>
      </c>
      <c r="K3197">
        <v>0</v>
      </c>
      <c r="L3197">
        <v>1</v>
      </c>
      <c r="M3197" t="s">
        <v>581</v>
      </c>
    </row>
    <row r="3198" spans="1:13" x14ac:dyDescent="0.15">
      <c r="A3198" t="s">
        <v>10130</v>
      </c>
      <c r="B3198" t="s">
        <v>10131</v>
      </c>
      <c r="C3198" t="s">
        <v>10132</v>
      </c>
      <c r="D3198" t="s">
        <v>10133</v>
      </c>
      <c r="E3198">
        <v>101</v>
      </c>
      <c r="F3198" t="str">
        <f>HYPERLINK("https://github.com/zom/Zom-Android-XMPP/issues/353", "show")</f>
        <v>show</v>
      </c>
      <c r="G3198" t="str">
        <f>HYPERLINK("https://github.com/zom/Zom-Android-XMPP", "show")</f>
        <v>show</v>
      </c>
      <c r="H3198" t="str">
        <f>HYPERLINK("https://github.com/zom/Zom-Android-XMPP/releases", "show")</f>
        <v>show</v>
      </c>
      <c r="I3198">
        <v>0</v>
      </c>
      <c r="J3198">
        <v>1</v>
      </c>
      <c r="K3198">
        <v>0</v>
      </c>
      <c r="L3198">
        <v>0</v>
      </c>
      <c r="M3198" t="s">
        <v>139</v>
      </c>
    </row>
    <row r="3199" spans="1:13" hidden="1" x14ac:dyDescent="0.15">
      <c r="A3199" t="s">
        <v>10134</v>
      </c>
      <c r="B3199" t="s">
        <v>10135</v>
      </c>
      <c r="C3199" t="s">
        <v>10136</v>
      </c>
      <c r="D3199" t="s">
        <v>10133</v>
      </c>
      <c r="E3199">
        <v>9</v>
      </c>
      <c r="F3199" t="str">
        <f>HYPERLINK("https://github.com/google/ExoPlayer/issues/3334", "show")</f>
        <v>show</v>
      </c>
      <c r="G3199" t="str">
        <f>HYPERLINK("https://github.com/google/ExoPlayer", "show")</f>
        <v>show</v>
      </c>
      <c r="H3199" t="str">
        <f>HYPERLINK("https://github.com/google/ExoPlayer/releases", "show")</f>
        <v>show</v>
      </c>
      <c r="I3199">
        <v>0</v>
      </c>
      <c r="J3199">
        <v>1</v>
      </c>
      <c r="K3199">
        <v>1</v>
      </c>
      <c r="L3199">
        <v>0</v>
      </c>
      <c r="M3199" t="s">
        <v>699</v>
      </c>
    </row>
    <row r="3200" spans="1:13" hidden="1" x14ac:dyDescent="0.15">
      <c r="A3200" t="s">
        <v>10137</v>
      </c>
      <c r="B3200" t="s">
        <v>10138</v>
      </c>
      <c r="C3200" t="s">
        <v>10139</v>
      </c>
      <c r="D3200" t="s">
        <v>10133</v>
      </c>
      <c r="E3200">
        <v>20</v>
      </c>
      <c r="F3200" t="str">
        <f>HYPERLINK("https://github.com/rovo89/XposedInstaller/issues/385", "show")</f>
        <v>show</v>
      </c>
      <c r="G3200" t="str">
        <f>HYPERLINK("https://github.com/rovo89/XposedInstaller", "show")</f>
        <v>show</v>
      </c>
      <c r="H3200" t="str">
        <f>HYPERLINK("https://github.com/rovo89/XposedInstaller/releases", "show")</f>
        <v>show</v>
      </c>
      <c r="I3200">
        <v>1</v>
      </c>
      <c r="J3200">
        <v>0</v>
      </c>
      <c r="K3200">
        <v>1</v>
      </c>
      <c r="L3200">
        <v>0</v>
      </c>
      <c r="M3200" t="s">
        <v>64</v>
      </c>
    </row>
    <row r="3201" spans="1:13" hidden="1" x14ac:dyDescent="0.15">
      <c r="A3201" t="s">
        <v>10140</v>
      </c>
      <c r="B3201" t="s">
        <v>10141</v>
      </c>
      <c r="C3201" t="s">
        <v>10142</v>
      </c>
      <c r="D3201" t="s">
        <v>10133</v>
      </c>
      <c r="E3201">
        <v>178</v>
      </c>
      <c r="F3201" t="str">
        <f>HYPERLINK("https://github.com/LawnchairLauncher/lawnchair/issues/817", "show")</f>
        <v>show</v>
      </c>
      <c r="G3201" t="str">
        <f>HYPERLINK("https://github.com/LawnchairLauncher/lawnchair", "show")</f>
        <v>show</v>
      </c>
      <c r="H3201" t="str">
        <f>HYPERLINK("https://github.com/LawnchairLauncher/lawnchair/releases", "show")</f>
        <v>show</v>
      </c>
      <c r="I3201">
        <v>0</v>
      </c>
      <c r="J3201">
        <v>0</v>
      </c>
      <c r="K3201">
        <v>1</v>
      </c>
      <c r="L3201">
        <v>0</v>
      </c>
      <c r="M3201" t="s">
        <v>122</v>
      </c>
    </row>
    <row r="3202" spans="1:13" hidden="1" x14ac:dyDescent="0.15">
      <c r="A3202" t="s">
        <v>10143</v>
      </c>
      <c r="B3202" t="s">
        <v>10144</v>
      </c>
      <c r="C3202" t="s">
        <v>10145</v>
      </c>
      <c r="D3202" t="s">
        <v>10146</v>
      </c>
      <c r="E3202">
        <v>9</v>
      </c>
      <c r="F3202" t="str">
        <f>HYPERLINK("https://github.com/twilio/video-quickstart-android/issues/180", "show")</f>
        <v>show</v>
      </c>
      <c r="G3202" t="str">
        <f>HYPERLINK("https://github.com/twilio/video-quickstart-android", "show")</f>
        <v>show</v>
      </c>
      <c r="H3202" t="str">
        <f>HYPERLINK("https://github.com/twilio/video-quickstart-android/releases", "show")</f>
        <v>show</v>
      </c>
      <c r="I3202">
        <v>1</v>
      </c>
      <c r="J3202">
        <v>0</v>
      </c>
      <c r="K3202">
        <v>0</v>
      </c>
      <c r="L3202">
        <v>0</v>
      </c>
      <c r="M3202" t="s">
        <v>17</v>
      </c>
    </row>
    <row r="3203" spans="1:13" hidden="1" x14ac:dyDescent="0.15">
      <c r="A3203" t="s">
        <v>10147</v>
      </c>
      <c r="B3203" t="s">
        <v>10148</v>
      </c>
      <c r="C3203" t="s">
        <v>10149</v>
      </c>
      <c r="D3203" t="s">
        <v>10146</v>
      </c>
      <c r="E3203">
        <v>59</v>
      </c>
      <c r="F3203" t="str">
        <f>HYPERLINK("https://github.com/mvysny/aedict/issues/805", "show")</f>
        <v>show</v>
      </c>
      <c r="G3203" t="str">
        <f>HYPERLINK("https://github.com/mvysny/aedict", "show")</f>
        <v>show</v>
      </c>
      <c r="H3203" t="str">
        <f>HYPERLINK("https://github.com/mvysny/aedict/releases", "show")</f>
        <v>show</v>
      </c>
      <c r="I3203">
        <v>1</v>
      </c>
      <c r="J3203">
        <v>0</v>
      </c>
      <c r="K3203">
        <v>0</v>
      </c>
      <c r="L3203">
        <v>0</v>
      </c>
      <c r="M3203" t="s">
        <v>17</v>
      </c>
    </row>
    <row r="3204" spans="1:13" hidden="1" x14ac:dyDescent="0.15">
      <c r="A3204" t="s">
        <v>10150</v>
      </c>
      <c r="B3204" t="s">
        <v>10151</v>
      </c>
      <c r="D3204" t="s">
        <v>10146</v>
      </c>
      <c r="E3204">
        <v>0</v>
      </c>
      <c r="F3204" t="str">
        <f>HYPERLINK("https://github.com/kontalk/androidclient/issues/1076", "show")</f>
        <v>show</v>
      </c>
      <c r="G3204" t="str">
        <f>HYPERLINK("https://github.com/kontalk/androidclient", "show")</f>
        <v>show</v>
      </c>
      <c r="H3204" t="str">
        <f>HYPERLINK("https://github.com/kontalk/androidclient/releases", "show")</f>
        <v>show</v>
      </c>
      <c r="I3204">
        <v>0</v>
      </c>
      <c r="J3204">
        <v>0</v>
      </c>
      <c r="K3204">
        <v>1</v>
      </c>
      <c r="L3204">
        <v>0</v>
      </c>
      <c r="M3204" t="s">
        <v>122</v>
      </c>
    </row>
    <row r="3205" spans="1:13" hidden="1" x14ac:dyDescent="0.15">
      <c r="A3205" t="s">
        <v>10152</v>
      </c>
      <c r="B3205" t="s">
        <v>10153</v>
      </c>
      <c r="C3205" t="s">
        <v>10154</v>
      </c>
      <c r="D3205" t="s">
        <v>10146</v>
      </c>
      <c r="E3205">
        <v>1</v>
      </c>
      <c r="F3205" t="str">
        <f>HYPERLINK("https://github.com/SecUSo/privacy-friendly-netmonitor/issues/44", "show")</f>
        <v>show</v>
      </c>
      <c r="G3205" t="str">
        <f>HYPERLINK("https://github.com/SecUSo/privacy-friendly-netmonitor", "show")</f>
        <v>show</v>
      </c>
      <c r="H3205" t="str">
        <f>HYPERLINK("https://github.com/SecUSo/privacy-friendly-netmonitor/releases", "show")</f>
        <v>show</v>
      </c>
      <c r="I3205">
        <v>0</v>
      </c>
      <c r="J3205">
        <v>0</v>
      </c>
      <c r="K3205">
        <v>1</v>
      </c>
      <c r="L3205">
        <v>0</v>
      </c>
      <c r="M3205" t="s">
        <v>122</v>
      </c>
    </row>
    <row r="3206" spans="1:13" hidden="1" x14ac:dyDescent="0.15">
      <c r="A3206" t="s">
        <v>10155</v>
      </c>
      <c r="B3206" t="s">
        <v>10156</v>
      </c>
      <c r="C3206" t="s">
        <v>10157</v>
      </c>
      <c r="D3206" t="s">
        <v>10158</v>
      </c>
      <c r="E3206">
        <v>11</v>
      </c>
      <c r="F3206" t="str">
        <f>HYPERLINK("https://github.com/zom/Zom-Android-XMPP/issues/357", "show")</f>
        <v>show</v>
      </c>
      <c r="G3206" t="str">
        <f>HYPERLINK("https://github.com/zom/Zom-Android-XMPP", "show")</f>
        <v>show</v>
      </c>
      <c r="H3206" t="str">
        <f>HYPERLINK("https://github.com/zom/Zom-Android-XMPP/releases", "show")</f>
        <v>show</v>
      </c>
      <c r="I3206">
        <v>1</v>
      </c>
      <c r="J3206">
        <v>0</v>
      </c>
      <c r="K3206">
        <v>0</v>
      </c>
      <c r="L3206">
        <v>0</v>
      </c>
      <c r="M3206" t="s">
        <v>17</v>
      </c>
    </row>
    <row r="3207" spans="1:13" hidden="1" x14ac:dyDescent="0.15">
      <c r="A3207" t="s">
        <v>10159</v>
      </c>
      <c r="B3207" t="s">
        <v>10160</v>
      </c>
      <c r="C3207" t="s">
        <v>10161</v>
      </c>
      <c r="D3207" t="s">
        <v>10158</v>
      </c>
      <c r="E3207">
        <v>5</v>
      </c>
      <c r="F3207" t="str">
        <f>HYPERLINK("https://github.com/zom/Zom-Android-XMPP/issues/356", "show")</f>
        <v>show</v>
      </c>
      <c r="G3207" t="str">
        <f>HYPERLINK("https://github.com/zom/Zom-Android-XMPP", "show")</f>
        <v>show</v>
      </c>
      <c r="H3207" t="str">
        <f>HYPERLINK("https://github.com/zom/Zom-Android-XMPP/releases", "show")</f>
        <v>show</v>
      </c>
      <c r="I3207">
        <v>0</v>
      </c>
      <c r="J3207">
        <v>0</v>
      </c>
      <c r="K3207">
        <v>0</v>
      </c>
      <c r="L3207">
        <v>0</v>
      </c>
      <c r="M3207" t="s">
        <v>43</v>
      </c>
    </row>
    <row r="3208" spans="1:13" hidden="1" x14ac:dyDescent="0.15">
      <c r="A3208" t="s">
        <v>10162</v>
      </c>
      <c r="B3208" t="s">
        <v>10163</v>
      </c>
      <c r="C3208" t="s">
        <v>10164</v>
      </c>
      <c r="D3208" t="s">
        <v>10158</v>
      </c>
      <c r="E3208">
        <v>61</v>
      </c>
      <c r="F3208" t="str">
        <f>HYPERLINK("https://github.com/guolindev/LitePal/issues/300", "show")</f>
        <v>show</v>
      </c>
      <c r="G3208" t="str">
        <f>HYPERLINK("https://github.com/guolindev/LitePal", "show")</f>
        <v>show</v>
      </c>
      <c r="H3208" t="str">
        <f>HYPERLINK("https://github.com/guolindev/LitePal/releases", "show")</f>
        <v>show</v>
      </c>
      <c r="I3208">
        <v>0</v>
      </c>
      <c r="J3208">
        <v>0</v>
      </c>
      <c r="K3208">
        <v>1</v>
      </c>
      <c r="L3208">
        <v>0</v>
      </c>
      <c r="M3208" t="s">
        <v>122</v>
      </c>
    </row>
    <row r="3209" spans="1:13" hidden="1" x14ac:dyDescent="0.15">
      <c r="A3209" t="s">
        <v>10165</v>
      </c>
      <c r="B3209" t="s">
        <v>10166</v>
      </c>
      <c r="C3209" t="s">
        <v>10167</v>
      </c>
      <c r="D3209" t="s">
        <v>10158</v>
      </c>
      <c r="E3209">
        <v>23</v>
      </c>
      <c r="F3209" t="str">
        <f>HYPERLINK("https://github.com/mapbox/mapbox-plugins-android/issues/135", "show")</f>
        <v>show</v>
      </c>
      <c r="G3209" t="str">
        <f>HYPERLINK("https://github.com/mapbox/mapbox-plugins-android", "show")</f>
        <v>show</v>
      </c>
      <c r="H3209" t="str">
        <f>HYPERLINK("https://github.com/mapbox/mapbox-plugins-android/releases", "show")</f>
        <v>show</v>
      </c>
      <c r="I3209">
        <v>1</v>
      </c>
      <c r="J3209">
        <v>0</v>
      </c>
      <c r="K3209">
        <v>0</v>
      </c>
      <c r="L3209">
        <v>0</v>
      </c>
      <c r="M3209" t="s">
        <v>17</v>
      </c>
    </row>
    <row r="3210" spans="1:13" hidden="1" x14ac:dyDescent="0.15">
      <c r="A3210" t="s">
        <v>10168</v>
      </c>
      <c r="B3210" t="s">
        <v>10169</v>
      </c>
      <c r="C3210" t="s">
        <v>10170</v>
      </c>
      <c r="D3210" t="s">
        <v>10158</v>
      </c>
      <c r="E3210">
        <v>4</v>
      </c>
      <c r="F3210" t="str">
        <f>HYPERLINK("https://github.com/veritrans/veritrans-android/issues/429", "show")</f>
        <v>show</v>
      </c>
      <c r="G3210" t="str">
        <f>HYPERLINK("https://github.com/veritrans/veritrans-android", "show")</f>
        <v>show</v>
      </c>
      <c r="H3210" t="str">
        <f>HYPERLINK("https://github.com/veritrans/veritrans-android/releases", "show")</f>
        <v>show</v>
      </c>
      <c r="I3210">
        <v>1</v>
      </c>
      <c r="J3210">
        <v>0</v>
      </c>
      <c r="K3210">
        <v>0</v>
      </c>
      <c r="L3210">
        <v>0</v>
      </c>
      <c r="M3210" t="s">
        <v>17</v>
      </c>
    </row>
    <row r="3211" spans="1:13" hidden="1" x14ac:dyDescent="0.15">
      <c r="A3211" t="s">
        <v>10171</v>
      </c>
      <c r="B3211" t="s">
        <v>10172</v>
      </c>
      <c r="C3211" t="s">
        <v>10173</v>
      </c>
      <c r="D3211" t="s">
        <v>10158</v>
      </c>
      <c r="E3211">
        <v>11</v>
      </c>
      <c r="F3211" t="str">
        <f>HYPERLINK("https://github.com/mkeresztes/AndiCar/issues/15", "show")</f>
        <v>show</v>
      </c>
      <c r="G3211" t="str">
        <f>HYPERLINK("https://github.com/mkeresztes/AndiCar", "show")</f>
        <v>show</v>
      </c>
      <c r="H3211" t="str">
        <f>HYPERLINK("https://github.com/mkeresztes/AndiCar/releases", "show")</f>
        <v>show</v>
      </c>
      <c r="I3211">
        <v>0</v>
      </c>
      <c r="J3211">
        <v>0</v>
      </c>
      <c r="K3211">
        <v>1</v>
      </c>
      <c r="L3211">
        <v>0</v>
      </c>
      <c r="M3211" t="s">
        <v>122</v>
      </c>
    </row>
    <row r="3212" spans="1:13" hidden="1" x14ac:dyDescent="0.15">
      <c r="A3212" t="s">
        <v>10174</v>
      </c>
      <c r="B3212" t="s">
        <v>10175</v>
      </c>
      <c r="C3212" t="s">
        <v>10176</v>
      </c>
      <c r="D3212" t="s">
        <v>10158</v>
      </c>
      <c r="E3212">
        <v>10</v>
      </c>
      <c r="F3212" t="str">
        <f>HYPERLINK("https://github.com/google/blockly-android/issues/678", "show")</f>
        <v>show</v>
      </c>
      <c r="G3212" t="str">
        <f>HYPERLINK("https://github.com/google/blockly-android", "show")</f>
        <v>show</v>
      </c>
      <c r="H3212" t="str">
        <f>HYPERLINK("https://github.com/google/blockly-android/releases", "show")</f>
        <v>show</v>
      </c>
      <c r="I3212">
        <v>1</v>
      </c>
      <c r="J3212">
        <v>1</v>
      </c>
      <c r="K3212">
        <v>1</v>
      </c>
      <c r="L3212">
        <v>0</v>
      </c>
      <c r="M3212" t="s">
        <v>59</v>
      </c>
    </row>
    <row r="3213" spans="1:13" hidden="1" x14ac:dyDescent="0.15">
      <c r="A3213" t="s">
        <v>10177</v>
      </c>
      <c r="B3213" t="s">
        <v>10178</v>
      </c>
      <c r="C3213" t="s">
        <v>10179</v>
      </c>
      <c r="D3213" t="s">
        <v>10180</v>
      </c>
      <c r="E3213">
        <v>0</v>
      </c>
      <c r="F3213" t="str">
        <f>HYPERLINK("https://github.com/novoda/no-player/issues/96", "show")</f>
        <v>show</v>
      </c>
      <c r="G3213" t="str">
        <f>HYPERLINK("https://github.com/novoda/no-player", "show")</f>
        <v>show</v>
      </c>
      <c r="H3213" t="str">
        <f>HYPERLINK("https://github.com/novoda/no-player/releases", "show")</f>
        <v>show</v>
      </c>
      <c r="I3213">
        <v>1</v>
      </c>
      <c r="J3213">
        <v>1</v>
      </c>
      <c r="K3213">
        <v>0</v>
      </c>
      <c r="L3213">
        <v>1</v>
      </c>
      <c r="M3213" t="s">
        <v>1894</v>
      </c>
    </row>
    <row r="3214" spans="1:13" hidden="1" x14ac:dyDescent="0.15">
      <c r="A3214" t="s">
        <v>10181</v>
      </c>
      <c r="B3214" t="s">
        <v>10182</v>
      </c>
      <c r="C3214" t="s">
        <v>10183</v>
      </c>
      <c r="D3214" t="s">
        <v>10180</v>
      </c>
      <c r="E3214">
        <v>397</v>
      </c>
      <c r="F3214" t="str">
        <f>HYPERLINK("https://github.com/osmdroid/osmdroid/issues/736", "show")</f>
        <v>show</v>
      </c>
      <c r="G3214" t="str">
        <f>HYPERLINK("https://github.com/osmdroid/osmdroid", "show")</f>
        <v>show</v>
      </c>
      <c r="H3214" t="str">
        <f>HYPERLINK("https://github.com/osmdroid/osmdroid/releases", "show")</f>
        <v>show</v>
      </c>
      <c r="I3214">
        <v>1</v>
      </c>
      <c r="J3214">
        <v>1</v>
      </c>
      <c r="K3214">
        <v>1</v>
      </c>
      <c r="L3214">
        <v>0</v>
      </c>
      <c r="M3214" t="s">
        <v>59</v>
      </c>
    </row>
    <row r="3215" spans="1:13" hidden="1" x14ac:dyDescent="0.15">
      <c r="A3215" t="s">
        <v>10184</v>
      </c>
      <c r="B3215" t="s">
        <v>10185</v>
      </c>
      <c r="C3215" t="s">
        <v>10186</v>
      </c>
      <c r="D3215" t="s">
        <v>10180</v>
      </c>
      <c r="E3215">
        <v>13</v>
      </c>
      <c r="F3215" t="str">
        <f>HYPERLINK("https://github.com/timusus/Shuttle/issues/202", "show")</f>
        <v>show</v>
      </c>
      <c r="G3215" t="str">
        <f>HYPERLINK("https://github.com/timusus/Shuttle", "show")</f>
        <v>show</v>
      </c>
      <c r="H3215" t="str">
        <f>HYPERLINK("https://github.com/timusus/Shuttle/releases", "show")</f>
        <v>show</v>
      </c>
      <c r="I3215">
        <v>1</v>
      </c>
      <c r="J3215">
        <v>1</v>
      </c>
      <c r="K3215">
        <v>1</v>
      </c>
      <c r="L3215">
        <v>0</v>
      </c>
      <c r="M3215" t="s">
        <v>59</v>
      </c>
    </row>
    <row r="3216" spans="1:13" hidden="1" x14ac:dyDescent="0.15">
      <c r="A3216" t="s">
        <v>10187</v>
      </c>
      <c r="B3216" t="s">
        <v>10188</v>
      </c>
      <c r="C3216" t="s">
        <v>10189</v>
      </c>
      <c r="D3216" t="s">
        <v>10190</v>
      </c>
      <c r="E3216">
        <v>0</v>
      </c>
      <c r="F3216" t="str">
        <f>HYPERLINK("https://github.com/dgets/MinTone/issues/22", "show")</f>
        <v>show</v>
      </c>
      <c r="G3216" t="str">
        <f>HYPERLINK("https://github.com/dgets/MinTone", "show")</f>
        <v>show</v>
      </c>
      <c r="H3216" t="str">
        <f>HYPERLINK("https://github.com/dgets/MinTone/releases", "show")</f>
        <v>show</v>
      </c>
      <c r="I3216">
        <v>1</v>
      </c>
      <c r="J3216">
        <v>0</v>
      </c>
      <c r="K3216">
        <v>0</v>
      </c>
      <c r="L3216">
        <v>0</v>
      </c>
      <c r="M3216" t="s">
        <v>17</v>
      </c>
    </row>
    <row r="3217" spans="1:13" hidden="1" x14ac:dyDescent="0.15">
      <c r="A3217" t="s">
        <v>10191</v>
      </c>
      <c r="B3217" t="s">
        <v>10192</v>
      </c>
      <c r="C3217" t="s">
        <v>10193</v>
      </c>
      <c r="D3217" t="s">
        <v>10190</v>
      </c>
      <c r="E3217">
        <v>8</v>
      </c>
      <c r="F3217" t="str">
        <f>HYPERLINK("https://github.com/google/google-authenticator-android/issues/70", "show")</f>
        <v>show</v>
      </c>
      <c r="G3217" t="str">
        <f>HYPERLINK("https://github.com/google/google-authenticator-android", "show")</f>
        <v>show</v>
      </c>
      <c r="H3217" t="str">
        <f>HYPERLINK("https://github.com/google/google-authenticator-android/releases", "show")</f>
        <v>show</v>
      </c>
      <c r="I3217">
        <v>1</v>
      </c>
      <c r="J3217">
        <v>0</v>
      </c>
      <c r="K3217">
        <v>0</v>
      </c>
      <c r="L3217">
        <v>0</v>
      </c>
      <c r="M3217" t="s">
        <v>17</v>
      </c>
    </row>
    <row r="3218" spans="1:13" hidden="1" x14ac:dyDescent="0.15">
      <c r="A3218" t="s">
        <v>10194</v>
      </c>
      <c r="B3218" t="s">
        <v>10195</v>
      </c>
      <c r="D3218" t="s">
        <v>10190</v>
      </c>
      <c r="E3218">
        <v>0</v>
      </c>
      <c r="F3218" t="str">
        <f>HYPERLINK("https://github.com/julian-klode/dns66/issues/206", "show")</f>
        <v>show</v>
      </c>
      <c r="G3218" t="str">
        <f>HYPERLINK("https://github.com/julian-klode/dns66", "show")</f>
        <v>show</v>
      </c>
      <c r="H3218" t="str">
        <f>HYPERLINK("https://github.com/julian-klode/dns66/releases", "show")</f>
        <v>show</v>
      </c>
      <c r="I3218">
        <v>1</v>
      </c>
      <c r="J3218">
        <v>0</v>
      </c>
      <c r="K3218">
        <v>0</v>
      </c>
      <c r="L3218">
        <v>0</v>
      </c>
      <c r="M3218" t="s">
        <v>17</v>
      </c>
    </row>
    <row r="3219" spans="1:13" hidden="1" x14ac:dyDescent="0.15">
      <c r="A3219" t="s">
        <v>10196</v>
      </c>
      <c r="B3219" t="s">
        <v>10197</v>
      </c>
      <c r="C3219" t="s">
        <v>10198</v>
      </c>
      <c r="D3219" t="s">
        <v>10199</v>
      </c>
      <c r="E3219">
        <v>210</v>
      </c>
      <c r="F3219" t="str">
        <f>HYPERLINK("https://github.com/Etar-Group/Etar-Calendar/issues/259", "show")</f>
        <v>show</v>
      </c>
      <c r="G3219" t="str">
        <f>HYPERLINK("https://github.com/Etar-Group/Etar-Calendar", "show")</f>
        <v>show</v>
      </c>
      <c r="H3219" t="str">
        <f>HYPERLINK("https://github.com/Etar-Group/Etar-Calendar/releases", "show")</f>
        <v>show</v>
      </c>
      <c r="I3219">
        <v>1</v>
      </c>
      <c r="J3219">
        <v>0</v>
      </c>
      <c r="K3219">
        <v>1</v>
      </c>
      <c r="L3219">
        <v>0</v>
      </c>
      <c r="M3219" t="s">
        <v>64</v>
      </c>
    </row>
    <row r="3220" spans="1:13" hidden="1" x14ac:dyDescent="0.15">
      <c r="A3220" t="s">
        <v>10200</v>
      </c>
      <c r="B3220" t="s">
        <v>10201</v>
      </c>
      <c r="C3220" t="s">
        <v>10202</v>
      </c>
      <c r="D3220" t="s">
        <v>10203</v>
      </c>
      <c r="E3220">
        <v>2</v>
      </c>
      <c r="F3220" t="str">
        <f>HYPERLINK("https://github.com/cgeo/cgeo/issues/6781", "show")</f>
        <v>show</v>
      </c>
      <c r="G3220" t="str">
        <f>HYPERLINK("https://github.com/cgeo/cgeo", "show")</f>
        <v>show</v>
      </c>
      <c r="H3220" t="str">
        <f>HYPERLINK("https://github.com/cgeo/cgeo/releases", "show")</f>
        <v>show</v>
      </c>
      <c r="I3220">
        <v>1</v>
      </c>
      <c r="J3220">
        <v>0</v>
      </c>
      <c r="K3220">
        <v>1</v>
      </c>
      <c r="L3220">
        <v>0</v>
      </c>
      <c r="M3220" t="s">
        <v>64</v>
      </c>
    </row>
    <row r="3221" spans="1:13" hidden="1" x14ac:dyDescent="0.15">
      <c r="A3221" t="s">
        <v>10204</v>
      </c>
      <c r="B3221" t="s">
        <v>10205</v>
      </c>
      <c r="C3221" t="s">
        <v>10206</v>
      </c>
      <c r="D3221" t="s">
        <v>10203</v>
      </c>
      <c r="E3221">
        <v>7</v>
      </c>
      <c r="F3221" t="str">
        <f>HYPERLINK("https://github.com/zom/Zom-Android-XMPP/issues/364", "show")</f>
        <v>show</v>
      </c>
      <c r="G3221" t="str">
        <f>HYPERLINK("https://github.com/zom/Zom-Android-XMPP", "show")</f>
        <v>show</v>
      </c>
      <c r="H3221" t="str">
        <f>HYPERLINK("https://github.com/zom/Zom-Android-XMPP/releases", "show")</f>
        <v>show</v>
      </c>
      <c r="I3221">
        <v>1</v>
      </c>
      <c r="J3221">
        <v>0</v>
      </c>
      <c r="K3221">
        <v>0</v>
      </c>
      <c r="L3221">
        <v>0</v>
      </c>
      <c r="M3221" t="s">
        <v>17</v>
      </c>
    </row>
    <row r="3222" spans="1:13" hidden="1" x14ac:dyDescent="0.15">
      <c r="A3222" t="s">
        <v>10207</v>
      </c>
      <c r="B3222" t="s">
        <v>10208</v>
      </c>
      <c r="C3222" t="s">
        <v>10209</v>
      </c>
      <c r="D3222" t="s">
        <v>10203</v>
      </c>
      <c r="E3222">
        <v>1</v>
      </c>
      <c r="F3222" t="str">
        <f>HYPERLINK("https://github.com/zom/Zom-Android-XMPP/issues/362", "show")</f>
        <v>show</v>
      </c>
      <c r="G3222" t="str">
        <f>HYPERLINK("https://github.com/zom/Zom-Android-XMPP", "show")</f>
        <v>show</v>
      </c>
      <c r="H3222" t="str">
        <f>HYPERLINK("https://github.com/zom/Zom-Android-XMPP/releases", "show")</f>
        <v>show</v>
      </c>
      <c r="I3222">
        <v>1</v>
      </c>
      <c r="J3222">
        <v>0</v>
      </c>
      <c r="K3222">
        <v>0</v>
      </c>
      <c r="L3222">
        <v>1</v>
      </c>
      <c r="M3222" t="s">
        <v>29</v>
      </c>
    </row>
    <row r="3223" spans="1:13" hidden="1" x14ac:dyDescent="0.15">
      <c r="A3223" t="s">
        <v>10210</v>
      </c>
      <c r="B3223" t="s">
        <v>10211</v>
      </c>
      <c r="C3223" t="s">
        <v>10212</v>
      </c>
      <c r="D3223" t="s">
        <v>10203</v>
      </c>
      <c r="E3223">
        <v>51</v>
      </c>
      <c r="F3223" t="str">
        <f>HYPERLINK("https://github.com/PhilippC/keepass2android/issues/50", "show")</f>
        <v>show</v>
      </c>
      <c r="G3223" t="str">
        <f>HYPERLINK("https://github.com/PhilippC/keepass2android", "show")</f>
        <v>show</v>
      </c>
      <c r="H3223" t="str">
        <f>HYPERLINK("https://github.com/PhilippC/keepass2android/releases", "show")</f>
        <v>show</v>
      </c>
      <c r="I3223">
        <v>1</v>
      </c>
      <c r="J3223">
        <v>0</v>
      </c>
      <c r="K3223">
        <v>0</v>
      </c>
      <c r="L3223">
        <v>0</v>
      </c>
      <c r="M3223" t="s">
        <v>17</v>
      </c>
    </row>
    <row r="3224" spans="1:13" hidden="1" x14ac:dyDescent="0.15">
      <c r="A3224" t="s">
        <v>10213</v>
      </c>
      <c r="B3224" t="s">
        <v>10214</v>
      </c>
      <c r="C3224" t="s">
        <v>10215</v>
      </c>
      <c r="D3224" t="s">
        <v>10203</v>
      </c>
      <c r="E3224">
        <v>53</v>
      </c>
      <c r="F3224" t="str">
        <f>HYPERLINK("https://github.com/akaita/RxJava2Debug/issues/2", "show")</f>
        <v>show</v>
      </c>
      <c r="G3224" t="str">
        <f>HYPERLINK("https://github.com/akaita/RxJava2Debug", "show")</f>
        <v>show</v>
      </c>
      <c r="H3224" t="str">
        <f>HYPERLINK("https://github.com/akaita/RxJava2Debug/releases", "show")</f>
        <v>show</v>
      </c>
      <c r="I3224">
        <v>1</v>
      </c>
      <c r="J3224">
        <v>0</v>
      </c>
      <c r="K3224">
        <v>0</v>
      </c>
      <c r="L3224">
        <v>0</v>
      </c>
      <c r="M3224" t="s">
        <v>17</v>
      </c>
    </row>
    <row r="3225" spans="1:13" hidden="1" x14ac:dyDescent="0.15">
      <c r="A3225" t="s">
        <v>10216</v>
      </c>
      <c r="B3225" t="s">
        <v>10217</v>
      </c>
      <c r="D3225" t="s">
        <v>10203</v>
      </c>
      <c r="E3225">
        <v>1</v>
      </c>
      <c r="F3225" t="str">
        <f>HYPERLINK("https://github.com/nishantkp/BookList/issues/1", "show")</f>
        <v>show</v>
      </c>
      <c r="G3225" t="str">
        <f>HYPERLINK("https://github.com/nishantkp/BookList", "show")</f>
        <v>show</v>
      </c>
      <c r="H3225" t="str">
        <f>HYPERLINK("https://github.com/nishantkp/BookList/releases", "show")</f>
        <v>show</v>
      </c>
      <c r="I3225">
        <v>1</v>
      </c>
      <c r="J3225">
        <v>0</v>
      </c>
      <c r="K3225">
        <v>0</v>
      </c>
      <c r="L3225">
        <v>0</v>
      </c>
      <c r="M3225" t="s">
        <v>17</v>
      </c>
    </row>
    <row r="3226" spans="1:13" hidden="1" x14ac:dyDescent="0.15">
      <c r="A3226" t="s">
        <v>10218</v>
      </c>
      <c r="B3226" t="s">
        <v>10219</v>
      </c>
      <c r="C3226" t="s">
        <v>10220</v>
      </c>
      <c r="D3226" t="s">
        <v>10203</v>
      </c>
      <c r="E3226">
        <v>10</v>
      </c>
      <c r="F3226" t="str">
        <f>HYPERLINK("https://github.com/cgeo/cgeo/issues/6776", "show")</f>
        <v>show</v>
      </c>
      <c r="G3226" t="str">
        <f>HYPERLINK("https://github.com/cgeo/cgeo", "show")</f>
        <v>show</v>
      </c>
      <c r="H3226" t="str">
        <f>HYPERLINK("https://github.com/cgeo/cgeo/releases", "show")</f>
        <v>show</v>
      </c>
      <c r="I3226">
        <v>1</v>
      </c>
      <c r="J3226">
        <v>0</v>
      </c>
      <c r="K3226">
        <v>0</v>
      </c>
      <c r="L3226">
        <v>0</v>
      </c>
      <c r="M3226" t="s">
        <v>17</v>
      </c>
    </row>
    <row r="3227" spans="1:13" hidden="1" x14ac:dyDescent="0.15">
      <c r="A3227" t="s">
        <v>10221</v>
      </c>
      <c r="B3227" t="s">
        <v>10222</v>
      </c>
      <c r="C3227" t="s">
        <v>504</v>
      </c>
      <c r="D3227" t="s">
        <v>10223</v>
      </c>
      <c r="E3227">
        <v>428</v>
      </c>
      <c r="F3227" t="str">
        <f>HYPERLINK("https://github.com/niclabs/adkintunmobile-androidclient/issues/183", "show")</f>
        <v>show</v>
      </c>
      <c r="G3227" t="str">
        <f>HYPERLINK("https://github.com/niclabs/adkintunmobile-androidclient", "show")</f>
        <v>show</v>
      </c>
      <c r="H3227" t="str">
        <f>HYPERLINK("https://github.com/niclabs/adkintunmobile-androidclient/releases", "show")</f>
        <v>show</v>
      </c>
      <c r="I3227">
        <v>1</v>
      </c>
      <c r="J3227">
        <v>0</v>
      </c>
      <c r="K3227">
        <v>0</v>
      </c>
      <c r="L3227">
        <v>0</v>
      </c>
      <c r="M3227" t="s">
        <v>17</v>
      </c>
    </row>
    <row r="3228" spans="1:13" hidden="1" x14ac:dyDescent="0.15">
      <c r="A3228" t="s">
        <v>10224</v>
      </c>
      <c r="B3228" t="s">
        <v>10225</v>
      </c>
      <c r="C3228" t="s">
        <v>504</v>
      </c>
      <c r="D3228" t="s">
        <v>10223</v>
      </c>
      <c r="E3228">
        <v>428</v>
      </c>
      <c r="F3228" t="str">
        <f>HYPERLINK("https://github.com/niclabs/adkintunmobile-androidclient/issues/182", "show")</f>
        <v>show</v>
      </c>
      <c r="G3228" t="str">
        <f>HYPERLINK("https://github.com/niclabs/adkintunmobile-androidclient", "show")</f>
        <v>show</v>
      </c>
      <c r="H3228" t="str">
        <f>HYPERLINK("https://github.com/niclabs/adkintunmobile-androidclient/releases", "show")</f>
        <v>show</v>
      </c>
      <c r="I3228">
        <v>1</v>
      </c>
      <c r="J3228">
        <v>0</v>
      </c>
      <c r="K3228">
        <v>0</v>
      </c>
      <c r="L3228">
        <v>0</v>
      </c>
      <c r="M3228" t="s">
        <v>17</v>
      </c>
    </row>
    <row r="3229" spans="1:13" hidden="1" x14ac:dyDescent="0.15">
      <c r="A3229" t="s">
        <v>10226</v>
      </c>
      <c r="B3229" t="s">
        <v>10227</v>
      </c>
      <c r="C3229" t="s">
        <v>10228</v>
      </c>
      <c r="D3229" t="s">
        <v>10223</v>
      </c>
      <c r="E3229">
        <v>23</v>
      </c>
      <c r="F3229" t="str">
        <f>HYPERLINK("https://github.com/nextcloud/android/issues/1678", "show")</f>
        <v>show</v>
      </c>
      <c r="G3229" t="str">
        <f>HYPERLINK("https://github.com/nextcloud/android", "show")</f>
        <v>show</v>
      </c>
      <c r="H3229" t="str">
        <f>HYPERLINK("https://github.com/nextcloud/android/releases", "show")</f>
        <v>show</v>
      </c>
      <c r="I3229">
        <v>1</v>
      </c>
      <c r="J3229">
        <v>0</v>
      </c>
      <c r="K3229">
        <v>0</v>
      </c>
      <c r="L3229">
        <v>0</v>
      </c>
      <c r="M3229" t="s">
        <v>17</v>
      </c>
    </row>
    <row r="3230" spans="1:13" hidden="1" x14ac:dyDescent="0.15">
      <c r="A3230" t="s">
        <v>10229</v>
      </c>
      <c r="B3230" t="s">
        <v>10230</v>
      </c>
      <c r="C3230" t="s">
        <v>10231</v>
      </c>
      <c r="D3230" t="s">
        <v>10223</v>
      </c>
      <c r="E3230">
        <v>15</v>
      </c>
      <c r="F3230" t="str">
        <f>HYPERLINK("https://github.com/google/ExoPlayer/issues/3362", "show")</f>
        <v>show</v>
      </c>
      <c r="G3230" t="str">
        <f>HYPERLINK("https://github.com/google/ExoPlayer", "show")</f>
        <v>show</v>
      </c>
      <c r="H3230" t="str">
        <f>HYPERLINK("https://github.com/google/ExoPlayer/releases", "show")</f>
        <v>show</v>
      </c>
      <c r="I3230">
        <v>0</v>
      </c>
      <c r="J3230">
        <v>0</v>
      </c>
      <c r="K3230">
        <v>1</v>
      </c>
      <c r="L3230">
        <v>0</v>
      </c>
      <c r="M3230" t="s">
        <v>122</v>
      </c>
    </row>
    <row r="3231" spans="1:13" hidden="1" x14ac:dyDescent="0.15">
      <c r="A3231" t="s">
        <v>10232</v>
      </c>
      <c r="B3231" t="s">
        <v>10233</v>
      </c>
      <c r="C3231" t="s">
        <v>10234</v>
      </c>
      <c r="D3231" t="s">
        <v>10235</v>
      </c>
      <c r="E3231">
        <v>8</v>
      </c>
      <c r="F3231" t="str">
        <f>HYPERLINK("https://github.com/cgeo/cgeo/issues/6783", "show")</f>
        <v>show</v>
      </c>
      <c r="G3231" t="str">
        <f>HYPERLINK("https://github.com/cgeo/cgeo", "show")</f>
        <v>show</v>
      </c>
      <c r="H3231" t="str">
        <f>HYPERLINK("https://github.com/cgeo/cgeo/releases", "show")</f>
        <v>show</v>
      </c>
      <c r="I3231">
        <v>1</v>
      </c>
      <c r="J3231">
        <v>0</v>
      </c>
      <c r="K3231">
        <v>0</v>
      </c>
      <c r="L3231">
        <v>0</v>
      </c>
      <c r="M3231" t="s">
        <v>17</v>
      </c>
    </row>
    <row r="3232" spans="1:13" hidden="1" x14ac:dyDescent="0.15">
      <c r="A3232" t="s">
        <v>10236</v>
      </c>
      <c r="B3232" t="s">
        <v>10237</v>
      </c>
      <c r="C3232" t="s">
        <v>10238</v>
      </c>
      <c r="D3232" t="s">
        <v>10235</v>
      </c>
      <c r="E3232">
        <v>1</v>
      </c>
      <c r="F3232" t="str">
        <f>HYPERLINK("https://github.com/syncthing/syncthing-android/issues/972", "show")</f>
        <v>show</v>
      </c>
      <c r="G3232" t="str">
        <f>HYPERLINK("https://github.com/syncthing/syncthing-android", "show")</f>
        <v>show</v>
      </c>
      <c r="H3232" t="str">
        <f>HYPERLINK("https://github.com/syncthing/syncthing-android/releases", "show")</f>
        <v>show</v>
      </c>
      <c r="I3232">
        <v>1</v>
      </c>
      <c r="J3232">
        <v>0</v>
      </c>
      <c r="K3232">
        <v>0</v>
      </c>
      <c r="L3232">
        <v>0</v>
      </c>
      <c r="M3232" t="s">
        <v>17</v>
      </c>
    </row>
    <row r="3233" spans="1:13" hidden="1" x14ac:dyDescent="0.15">
      <c r="A3233" t="s">
        <v>10239</v>
      </c>
      <c r="B3233" t="s">
        <v>10240</v>
      </c>
      <c r="C3233" t="s">
        <v>10241</v>
      </c>
      <c r="D3233" t="s">
        <v>10235</v>
      </c>
      <c r="E3233">
        <v>1</v>
      </c>
      <c r="F3233" t="str">
        <f>HYPERLINK("https://github.com/Pritom14/Profile-Changer/issues/11", "show")</f>
        <v>show</v>
      </c>
      <c r="G3233" t="str">
        <f>HYPERLINK("https://github.com/Pritom14/Profile-Changer", "show")</f>
        <v>show</v>
      </c>
      <c r="H3233" t="str">
        <f>HYPERLINK("https://github.com/Pritom14/Profile-Changer/releases", "show")</f>
        <v>show</v>
      </c>
      <c r="I3233">
        <v>1</v>
      </c>
      <c r="J3233">
        <v>0</v>
      </c>
      <c r="K3233">
        <v>0</v>
      </c>
      <c r="L3233">
        <v>0</v>
      </c>
      <c r="M3233" t="s">
        <v>17</v>
      </c>
    </row>
    <row r="3234" spans="1:13" hidden="1" x14ac:dyDescent="0.15">
      <c r="A3234" t="s">
        <v>10242</v>
      </c>
      <c r="B3234" t="s">
        <v>10243</v>
      </c>
      <c r="C3234" t="s">
        <v>10244</v>
      </c>
      <c r="D3234" t="s">
        <v>10235</v>
      </c>
      <c r="E3234">
        <v>14</v>
      </c>
      <c r="F3234" t="str">
        <f>HYPERLINK("https://github.com/k9mail/k-9/issues/2846", "show")</f>
        <v>show</v>
      </c>
      <c r="G3234" t="str">
        <f>HYPERLINK("https://github.com/k9mail/k-9", "show")</f>
        <v>show</v>
      </c>
      <c r="H3234" t="str">
        <f>HYPERLINK("https://github.com/k9mail/k-9/releases", "show")</f>
        <v>show</v>
      </c>
      <c r="I3234">
        <v>1</v>
      </c>
      <c r="J3234">
        <v>0</v>
      </c>
      <c r="K3234">
        <v>1</v>
      </c>
      <c r="L3234">
        <v>0</v>
      </c>
      <c r="M3234" t="s">
        <v>64</v>
      </c>
    </row>
    <row r="3235" spans="1:13" hidden="1" x14ac:dyDescent="0.15">
      <c r="A3235" t="s">
        <v>10245</v>
      </c>
      <c r="B3235" t="s">
        <v>10246</v>
      </c>
      <c r="C3235" t="s">
        <v>10247</v>
      </c>
      <c r="D3235" t="s">
        <v>10248</v>
      </c>
      <c r="E3235">
        <v>6</v>
      </c>
      <c r="F3235" t="str">
        <f>HYPERLINK("https://github.com/dgets/CPURecord/issues/2", "show")</f>
        <v>show</v>
      </c>
      <c r="G3235" t="str">
        <f>HYPERLINK("https://github.com/dgets/CPURecord", "show")</f>
        <v>show</v>
      </c>
      <c r="H3235" t="str">
        <f>HYPERLINK("https://github.com/dgets/CPURecord/releases", "show")</f>
        <v>show</v>
      </c>
      <c r="I3235">
        <v>1</v>
      </c>
      <c r="J3235">
        <v>0</v>
      </c>
      <c r="K3235">
        <v>0</v>
      </c>
      <c r="L3235">
        <v>0</v>
      </c>
      <c r="M3235" t="s">
        <v>17</v>
      </c>
    </row>
    <row r="3236" spans="1:13" hidden="1" x14ac:dyDescent="0.15">
      <c r="A3236" t="s">
        <v>10249</v>
      </c>
      <c r="B3236" t="s">
        <v>10250</v>
      </c>
      <c r="D3236" t="s">
        <v>10251</v>
      </c>
      <c r="E3236">
        <v>6</v>
      </c>
      <c r="F3236" t="str">
        <f>HYPERLINK("https://github.com/taekwonjoe01/sweepersd/issues/54", "show")</f>
        <v>show</v>
      </c>
      <c r="G3236" t="str">
        <f>HYPERLINK("https://github.com/taekwonjoe01/sweepersd", "show")</f>
        <v>show</v>
      </c>
      <c r="H3236" t="str">
        <f>HYPERLINK("https://github.com/taekwonjoe01/sweepersd/releases", "show")</f>
        <v>show</v>
      </c>
      <c r="I3236">
        <v>1</v>
      </c>
      <c r="J3236">
        <v>0</v>
      </c>
      <c r="K3236">
        <v>0</v>
      </c>
      <c r="L3236">
        <v>0</v>
      </c>
      <c r="M3236" t="s">
        <v>17</v>
      </c>
    </row>
    <row r="3237" spans="1:13" hidden="1" x14ac:dyDescent="0.15">
      <c r="A3237" t="s">
        <v>10252</v>
      </c>
      <c r="B3237" t="s">
        <v>10253</v>
      </c>
      <c r="D3237" t="s">
        <v>10251</v>
      </c>
      <c r="E3237">
        <v>36</v>
      </c>
      <c r="F3237" t="str">
        <f>HYPERLINK("https://github.com/michael-rapp/ChromeLikeTabSwitcher/issues/7", "show")</f>
        <v>show</v>
      </c>
      <c r="G3237" t="str">
        <f>HYPERLINK("https://github.com/michael-rapp/ChromeLikeTabSwitcher", "show")</f>
        <v>show</v>
      </c>
      <c r="H3237" t="str">
        <f>HYPERLINK("https://github.com/michael-rapp/ChromeLikeTabSwitcher/releases", "show")</f>
        <v>show</v>
      </c>
      <c r="I3237">
        <v>0</v>
      </c>
      <c r="J3237">
        <v>0</v>
      </c>
      <c r="K3237">
        <v>1</v>
      </c>
      <c r="L3237">
        <v>0</v>
      </c>
      <c r="M3237" t="s">
        <v>122</v>
      </c>
    </row>
    <row r="3238" spans="1:13" hidden="1" x14ac:dyDescent="0.15">
      <c r="A3238" t="s">
        <v>10254</v>
      </c>
      <c r="B3238" t="s">
        <v>10255</v>
      </c>
      <c r="C3238" t="s">
        <v>10256</v>
      </c>
      <c r="D3238" t="s">
        <v>10257</v>
      </c>
      <c r="E3238">
        <v>149</v>
      </c>
      <c r="F3238" t="str">
        <f>HYPERLINK("https://github.com/mycelium-com/wallet-android/issues/411", "show")</f>
        <v>show</v>
      </c>
      <c r="G3238" t="str">
        <f>HYPERLINK("https://github.com/mycelium-com/wallet-android", "show")</f>
        <v>show</v>
      </c>
      <c r="H3238" t="str">
        <f>HYPERLINK("https://github.com/mycelium-com/wallet-android/releases", "show")</f>
        <v>show</v>
      </c>
      <c r="I3238">
        <v>1</v>
      </c>
      <c r="J3238">
        <v>0</v>
      </c>
      <c r="K3238">
        <v>1</v>
      </c>
      <c r="L3238">
        <v>0</v>
      </c>
      <c r="M3238" t="s">
        <v>64</v>
      </c>
    </row>
    <row r="3239" spans="1:13" hidden="1" x14ac:dyDescent="0.15">
      <c r="A3239" t="s">
        <v>10258</v>
      </c>
      <c r="B3239" t="s">
        <v>10259</v>
      </c>
      <c r="D3239" t="s">
        <v>10257</v>
      </c>
      <c r="E3239">
        <v>2</v>
      </c>
      <c r="F3239" t="str">
        <f>HYPERLINK("https://github.com/SudoCode755/SudoHide/issues/4", "show")</f>
        <v>show</v>
      </c>
      <c r="G3239" t="str">
        <f>HYPERLINK("https://github.com/SudoCode755/SudoHide", "show")</f>
        <v>show</v>
      </c>
      <c r="H3239" t="str">
        <f>HYPERLINK("https://github.com/SudoCode755/SudoHide/releases", "show")</f>
        <v>show</v>
      </c>
      <c r="I3239">
        <v>0</v>
      </c>
      <c r="J3239">
        <v>0</v>
      </c>
      <c r="K3239">
        <v>0</v>
      </c>
      <c r="L3239">
        <v>0</v>
      </c>
      <c r="M3239" t="s">
        <v>43</v>
      </c>
    </row>
    <row r="3240" spans="1:13" hidden="1" x14ac:dyDescent="0.15">
      <c r="A3240" t="s">
        <v>10260</v>
      </c>
      <c r="B3240" t="s">
        <v>10261</v>
      </c>
      <c r="C3240" t="s">
        <v>10262</v>
      </c>
      <c r="D3240" t="s">
        <v>10257</v>
      </c>
      <c r="E3240">
        <v>28</v>
      </c>
      <c r="F3240" t="str">
        <f>HYPERLINK("https://github.com/HenriDellal/emerald/issues/11", "show")</f>
        <v>show</v>
      </c>
      <c r="G3240" t="str">
        <f>HYPERLINK("https://github.com/HenriDellal/emerald", "show")</f>
        <v>show</v>
      </c>
      <c r="H3240" t="str">
        <f>HYPERLINK("https://github.com/HenriDellal/emerald/releases", "show")</f>
        <v>show</v>
      </c>
      <c r="I3240">
        <v>0</v>
      </c>
      <c r="J3240">
        <v>0</v>
      </c>
      <c r="K3240">
        <v>0</v>
      </c>
      <c r="L3240">
        <v>0</v>
      </c>
      <c r="M3240" t="s">
        <v>43</v>
      </c>
    </row>
    <row r="3241" spans="1:13" hidden="1" x14ac:dyDescent="0.15">
      <c r="A3241" t="s">
        <v>10263</v>
      </c>
      <c r="B3241" t="s">
        <v>10264</v>
      </c>
      <c r="C3241" t="s">
        <v>10265</v>
      </c>
      <c r="D3241" t="s">
        <v>10266</v>
      </c>
      <c r="E3241">
        <v>0</v>
      </c>
      <c r="F3241" t="str">
        <f>HYPERLINK("https://github.com/MCMrARM/revolution-irc/issues/16", "show")</f>
        <v>show</v>
      </c>
      <c r="G3241" t="str">
        <f>HYPERLINK("https://github.com/MCMrARM/revolution-irc", "show")</f>
        <v>show</v>
      </c>
      <c r="H3241" t="str">
        <f>HYPERLINK("https://github.com/MCMrARM/revolution-irc/releases", "show")</f>
        <v>show</v>
      </c>
      <c r="I3241">
        <v>0</v>
      </c>
      <c r="J3241">
        <v>0</v>
      </c>
      <c r="K3241">
        <v>0</v>
      </c>
      <c r="L3241">
        <v>0</v>
      </c>
      <c r="M3241" t="s">
        <v>43</v>
      </c>
    </row>
    <row r="3242" spans="1:13" hidden="1" x14ac:dyDescent="0.15">
      <c r="A3242" t="s">
        <v>10267</v>
      </c>
      <c r="B3242" t="s">
        <v>10268</v>
      </c>
      <c r="C3242" t="s">
        <v>10269</v>
      </c>
      <c r="D3242" t="s">
        <v>10266</v>
      </c>
      <c r="E3242">
        <v>30</v>
      </c>
      <c r="F3242" t="str">
        <f>HYPERLINK("https://github.com/MCMrARM/revolution-irc/issues/15", "show")</f>
        <v>show</v>
      </c>
      <c r="G3242" t="str">
        <f>HYPERLINK("https://github.com/MCMrARM/revolution-irc", "show")</f>
        <v>show</v>
      </c>
      <c r="H3242" t="str">
        <f>HYPERLINK("https://github.com/MCMrARM/revolution-irc/releases", "show")</f>
        <v>show</v>
      </c>
      <c r="I3242">
        <v>1</v>
      </c>
      <c r="J3242">
        <v>0</v>
      </c>
      <c r="K3242">
        <v>0</v>
      </c>
      <c r="L3242">
        <v>0</v>
      </c>
      <c r="M3242" t="s">
        <v>17</v>
      </c>
    </row>
    <row r="3243" spans="1:13" hidden="1" x14ac:dyDescent="0.15">
      <c r="A3243" t="s">
        <v>10270</v>
      </c>
      <c r="B3243" t="s">
        <v>10271</v>
      </c>
      <c r="C3243" t="s">
        <v>10272</v>
      </c>
      <c r="D3243" t="s">
        <v>10273</v>
      </c>
      <c r="E3243">
        <v>9</v>
      </c>
      <c r="F3243" t="str">
        <f>HYPERLINK("https://github.com/gsantner/dandelion/issues/173", "show")</f>
        <v>show</v>
      </c>
      <c r="G3243" t="str">
        <f>HYPERLINK("https://github.com/gsantner/dandelion", "show")</f>
        <v>show</v>
      </c>
      <c r="H3243" t="str">
        <f>HYPERLINK("https://github.com/gsantner/dandelion/releases", "show")</f>
        <v>show</v>
      </c>
      <c r="I3243">
        <v>1</v>
      </c>
      <c r="J3243">
        <v>1</v>
      </c>
      <c r="K3243">
        <v>1</v>
      </c>
      <c r="L3243">
        <v>0</v>
      </c>
      <c r="M3243" t="s">
        <v>59</v>
      </c>
    </row>
    <row r="3244" spans="1:13" hidden="1" x14ac:dyDescent="0.15">
      <c r="A3244" t="s">
        <v>10274</v>
      </c>
      <c r="B3244" t="s">
        <v>10275</v>
      </c>
      <c r="C3244" t="s">
        <v>10276</v>
      </c>
      <c r="D3244" t="s">
        <v>10273</v>
      </c>
      <c r="E3244">
        <v>120</v>
      </c>
      <c r="F3244" t="str">
        <f>HYPERLINK("https://github.com/getodk/collect/issues/1552", "show")</f>
        <v>show</v>
      </c>
      <c r="G3244" t="str">
        <f>HYPERLINK("https://github.com/getodk/collect", "show")</f>
        <v>show</v>
      </c>
      <c r="H3244" t="str">
        <f>HYPERLINK("https://github.com/getodk/collect/releases", "show")</f>
        <v>show</v>
      </c>
      <c r="I3244">
        <v>0</v>
      </c>
      <c r="J3244">
        <v>0</v>
      </c>
      <c r="K3244">
        <v>0</v>
      </c>
      <c r="L3244">
        <v>0</v>
      </c>
      <c r="M3244" t="s">
        <v>43</v>
      </c>
    </row>
    <row r="3245" spans="1:13" hidden="1" x14ac:dyDescent="0.15">
      <c r="A3245" t="s">
        <v>10277</v>
      </c>
      <c r="B3245" t="s">
        <v>10278</v>
      </c>
      <c r="C3245" t="s">
        <v>10279</v>
      </c>
      <c r="D3245" t="s">
        <v>10280</v>
      </c>
      <c r="E3245">
        <v>72</v>
      </c>
      <c r="F3245" t="str">
        <f>HYPERLINK("https://github.com/taekwonjoe01/sweepersd/issues/74", "show")</f>
        <v>show</v>
      </c>
      <c r="G3245" t="str">
        <f>HYPERLINK("https://github.com/taekwonjoe01/sweepersd", "show")</f>
        <v>show</v>
      </c>
      <c r="H3245" t="str">
        <f>HYPERLINK("https://github.com/taekwonjoe01/sweepersd/releases", "show")</f>
        <v>show</v>
      </c>
      <c r="I3245">
        <v>1</v>
      </c>
      <c r="J3245">
        <v>0</v>
      </c>
      <c r="K3245">
        <v>0</v>
      </c>
      <c r="L3245">
        <v>0</v>
      </c>
      <c r="M3245" t="s">
        <v>17</v>
      </c>
    </row>
    <row r="3246" spans="1:13" hidden="1" x14ac:dyDescent="0.15">
      <c r="A3246" t="s">
        <v>10281</v>
      </c>
      <c r="B3246" t="s">
        <v>10282</v>
      </c>
      <c r="C3246" t="s">
        <v>10283</v>
      </c>
      <c r="D3246" t="s">
        <v>10280</v>
      </c>
      <c r="E3246">
        <v>0</v>
      </c>
      <c r="F3246" t="str">
        <f>HYPERLINK("https://github.com/syncthing/syncthing-android/issues/978", "show")</f>
        <v>show</v>
      </c>
      <c r="G3246" t="str">
        <f>HYPERLINK("https://github.com/syncthing/syncthing-android", "show")</f>
        <v>show</v>
      </c>
      <c r="H3246" t="str">
        <f>HYPERLINK("https://github.com/syncthing/syncthing-android/releases", "show")</f>
        <v>show</v>
      </c>
      <c r="I3246">
        <v>1</v>
      </c>
      <c r="J3246">
        <v>0</v>
      </c>
      <c r="K3246">
        <v>0</v>
      </c>
      <c r="L3246">
        <v>0</v>
      </c>
      <c r="M3246" t="s">
        <v>17</v>
      </c>
    </row>
    <row r="3247" spans="1:13" hidden="1" x14ac:dyDescent="0.15">
      <c r="A3247" t="s">
        <v>10284</v>
      </c>
      <c r="B3247" t="s">
        <v>10285</v>
      </c>
      <c r="C3247" t="s">
        <v>10286</v>
      </c>
      <c r="D3247" t="s">
        <v>10280</v>
      </c>
      <c r="E3247">
        <v>0</v>
      </c>
      <c r="F3247" t="str">
        <f>HYPERLINK("https://github.com/EmergentOrganization/cell-rpg/issues/124", "show")</f>
        <v>show</v>
      </c>
      <c r="G3247" t="str">
        <f>HYPERLINK("https://github.com/EmergentOrganization/cell-rpg", "show")</f>
        <v>show</v>
      </c>
      <c r="H3247" t="str">
        <f>HYPERLINK("https://github.com/EmergentOrganization/cell-rpg/releases", "show")</f>
        <v>show</v>
      </c>
      <c r="I3247">
        <v>0</v>
      </c>
      <c r="J3247">
        <v>0</v>
      </c>
      <c r="K3247">
        <v>1</v>
      </c>
      <c r="L3247">
        <v>0</v>
      </c>
      <c r="M3247" t="s">
        <v>122</v>
      </c>
    </row>
    <row r="3248" spans="1:13" hidden="1" x14ac:dyDescent="0.15">
      <c r="A3248" t="s">
        <v>10287</v>
      </c>
      <c r="B3248" t="s">
        <v>10288</v>
      </c>
      <c r="C3248" t="s">
        <v>10289</v>
      </c>
      <c r="D3248" t="s">
        <v>10290</v>
      </c>
      <c r="E3248">
        <v>7</v>
      </c>
      <c r="F3248" t="str">
        <f>HYPERLINK("https://github.com/google/ExoPlayer/issues/3396", "show")</f>
        <v>show</v>
      </c>
      <c r="G3248" t="str">
        <f>HYPERLINK("https://github.com/google/ExoPlayer", "show")</f>
        <v>show</v>
      </c>
      <c r="H3248" t="str">
        <f>HYPERLINK("https://github.com/google/ExoPlayer/releases", "show")</f>
        <v>show</v>
      </c>
      <c r="I3248">
        <v>1</v>
      </c>
      <c r="J3248">
        <v>0</v>
      </c>
      <c r="K3248">
        <v>1</v>
      </c>
      <c r="L3248">
        <v>0</v>
      </c>
      <c r="M3248" t="s">
        <v>64</v>
      </c>
    </row>
    <row r="3249" spans="1:13" hidden="1" x14ac:dyDescent="0.15">
      <c r="A3249" t="s">
        <v>10291</v>
      </c>
      <c r="B3249" t="s">
        <v>10292</v>
      </c>
      <c r="C3249" t="s">
        <v>10293</v>
      </c>
      <c r="D3249" t="s">
        <v>10290</v>
      </c>
      <c r="E3249">
        <v>8</v>
      </c>
      <c r="F3249" t="str">
        <f>HYPERLINK("https://github.com/requery/sqlite-android/issues/49", "show")</f>
        <v>show</v>
      </c>
      <c r="G3249" t="str">
        <f>HYPERLINK("https://github.com/requery/sqlite-android", "show")</f>
        <v>show</v>
      </c>
      <c r="H3249" t="str">
        <f>HYPERLINK("https://github.com/requery/sqlite-android/releases", "show")</f>
        <v>show</v>
      </c>
      <c r="I3249">
        <v>1</v>
      </c>
      <c r="J3249">
        <v>0</v>
      </c>
      <c r="K3249">
        <v>0</v>
      </c>
      <c r="L3249">
        <v>0</v>
      </c>
      <c r="M3249" t="s">
        <v>17</v>
      </c>
    </row>
    <row r="3250" spans="1:13" hidden="1" x14ac:dyDescent="0.15">
      <c r="A3250" t="s">
        <v>10294</v>
      </c>
      <c r="B3250" t="s">
        <v>10295</v>
      </c>
      <c r="C3250" t="s">
        <v>10296</v>
      </c>
      <c r="D3250" t="s">
        <v>10290</v>
      </c>
      <c r="E3250">
        <v>0</v>
      </c>
      <c r="F3250" t="str">
        <f>HYPERLINK("https://github.com/google/blockly-android/issues/681", "show")</f>
        <v>show</v>
      </c>
      <c r="G3250" t="str">
        <f>HYPERLINK("https://github.com/google/blockly-android", "show")</f>
        <v>show</v>
      </c>
      <c r="H3250" t="str">
        <f>HYPERLINK("https://github.com/google/blockly-android/releases", "show")</f>
        <v>show</v>
      </c>
      <c r="I3250">
        <v>0</v>
      </c>
      <c r="J3250">
        <v>0</v>
      </c>
      <c r="K3250">
        <v>1</v>
      </c>
      <c r="L3250">
        <v>0</v>
      </c>
      <c r="M3250" t="s">
        <v>122</v>
      </c>
    </row>
    <row r="3251" spans="1:13" hidden="1" x14ac:dyDescent="0.15">
      <c r="A3251" t="s">
        <v>10297</v>
      </c>
      <c r="B3251" t="s">
        <v>10298</v>
      </c>
      <c r="C3251" t="s">
        <v>10299</v>
      </c>
      <c r="D3251" t="s">
        <v>10290</v>
      </c>
      <c r="E3251">
        <v>21</v>
      </c>
      <c r="F3251" t="str">
        <f>HYPERLINK("https://github.com/andremion/Louvre/issues/16", "show")</f>
        <v>show</v>
      </c>
      <c r="G3251" t="str">
        <f>HYPERLINK("https://github.com/andremion/Louvre", "show")</f>
        <v>show</v>
      </c>
      <c r="H3251" t="str">
        <f>HYPERLINK("https://github.com/andremion/Louvre/releases", "show")</f>
        <v>show</v>
      </c>
      <c r="I3251">
        <v>1</v>
      </c>
      <c r="J3251">
        <v>0</v>
      </c>
      <c r="K3251">
        <v>0</v>
      </c>
      <c r="L3251">
        <v>0</v>
      </c>
      <c r="M3251" t="s">
        <v>17</v>
      </c>
    </row>
    <row r="3252" spans="1:13" hidden="1" x14ac:dyDescent="0.15">
      <c r="A3252" t="s">
        <v>10300</v>
      </c>
      <c r="B3252" t="s">
        <v>10301</v>
      </c>
      <c r="C3252" t="s">
        <v>504</v>
      </c>
      <c r="D3252" t="s">
        <v>10290</v>
      </c>
      <c r="E3252">
        <v>128</v>
      </c>
      <c r="F3252" t="str">
        <f>HYPERLINK("https://github.com/tanrabad/survey/issues/39", "show")</f>
        <v>show</v>
      </c>
      <c r="G3252" t="str">
        <f>HYPERLINK("https://github.com/tanrabad/survey", "show")</f>
        <v>show</v>
      </c>
      <c r="H3252" t="str">
        <f>HYPERLINK("https://github.com/tanrabad/survey/releases", "show")</f>
        <v>show</v>
      </c>
      <c r="I3252">
        <v>1</v>
      </c>
      <c r="J3252">
        <v>0</v>
      </c>
      <c r="K3252">
        <v>0</v>
      </c>
      <c r="L3252">
        <v>0</v>
      </c>
      <c r="M3252" t="s">
        <v>17</v>
      </c>
    </row>
    <row r="3253" spans="1:13" hidden="1" x14ac:dyDescent="0.15">
      <c r="A3253" t="s">
        <v>10302</v>
      </c>
      <c r="B3253" t="s">
        <v>10303</v>
      </c>
      <c r="C3253" t="s">
        <v>10304</v>
      </c>
      <c r="D3253" t="s">
        <v>10305</v>
      </c>
      <c r="E3253">
        <v>208</v>
      </c>
      <c r="F3253" t="str">
        <f>HYPERLINK("https://github.com/OneBusAway/onebusaway-android/issues/813", "show")</f>
        <v>show</v>
      </c>
      <c r="G3253" t="str">
        <f>HYPERLINK("https://github.com/OneBusAway/onebusaway-android", "show")</f>
        <v>show</v>
      </c>
      <c r="H3253" t="str">
        <f>HYPERLINK("https://github.com/OneBusAway/onebusaway-android/releases", "show")</f>
        <v>show</v>
      </c>
      <c r="I3253">
        <v>1</v>
      </c>
      <c r="J3253">
        <v>0</v>
      </c>
      <c r="K3253">
        <v>1</v>
      </c>
      <c r="L3253">
        <v>0</v>
      </c>
      <c r="M3253" t="s">
        <v>64</v>
      </c>
    </row>
    <row r="3254" spans="1:13" hidden="1" x14ac:dyDescent="0.15">
      <c r="A3254" t="s">
        <v>10306</v>
      </c>
      <c r="B3254" t="s">
        <v>10307</v>
      </c>
      <c r="C3254" t="s">
        <v>10308</v>
      </c>
      <c r="D3254" t="s">
        <v>10305</v>
      </c>
      <c r="E3254">
        <v>208</v>
      </c>
      <c r="F3254" t="str">
        <f>HYPERLINK("https://github.com/OneBusAway/onebusaway-android/issues/812", "show")</f>
        <v>show</v>
      </c>
      <c r="G3254" t="str">
        <f>HYPERLINK("https://github.com/OneBusAway/onebusaway-android", "show")</f>
        <v>show</v>
      </c>
      <c r="H3254" t="str">
        <f>HYPERLINK("https://github.com/OneBusAway/onebusaway-android/releases", "show")</f>
        <v>show</v>
      </c>
      <c r="I3254">
        <v>0</v>
      </c>
      <c r="J3254">
        <v>0</v>
      </c>
      <c r="K3254">
        <v>1</v>
      </c>
      <c r="L3254">
        <v>0</v>
      </c>
      <c r="M3254" t="s">
        <v>122</v>
      </c>
    </row>
    <row r="3255" spans="1:13" hidden="1" x14ac:dyDescent="0.15">
      <c r="A3255" t="s">
        <v>10309</v>
      </c>
      <c r="B3255" t="s">
        <v>10310</v>
      </c>
      <c r="D3255" t="s">
        <v>10305</v>
      </c>
      <c r="E3255">
        <v>1</v>
      </c>
      <c r="F3255" t="str">
        <f>HYPERLINK("https://github.com/Intelehealth/Android-Mobile-Client/issues/353", "show")</f>
        <v>show</v>
      </c>
      <c r="G3255" t="str">
        <f>HYPERLINK("https://github.com/Intelehealth/Android-Mobile-Client", "show")</f>
        <v>show</v>
      </c>
      <c r="H3255" t="str">
        <f>HYPERLINK("https://github.com/Intelehealth/Android-Mobile-Client/releases", "show")</f>
        <v>show</v>
      </c>
      <c r="I3255">
        <v>1</v>
      </c>
      <c r="J3255">
        <v>0</v>
      </c>
      <c r="K3255">
        <v>0</v>
      </c>
      <c r="L3255">
        <v>0</v>
      </c>
      <c r="M3255" t="s">
        <v>17</v>
      </c>
    </row>
    <row r="3256" spans="1:13" hidden="1" x14ac:dyDescent="0.15">
      <c r="A3256" t="s">
        <v>10311</v>
      </c>
      <c r="B3256" t="s">
        <v>10312</v>
      </c>
      <c r="C3256" t="s">
        <v>10313</v>
      </c>
      <c r="D3256" t="s">
        <v>10305</v>
      </c>
      <c r="E3256">
        <v>8</v>
      </c>
      <c r="F3256" t="str">
        <f>HYPERLINK("https://github.com/MrStahlfelge/gdx-gamesvcs/issues/16", "show")</f>
        <v>show</v>
      </c>
      <c r="G3256" t="str">
        <f>HYPERLINK("https://github.com/MrStahlfelge/gdx-gamesvcs", "show")</f>
        <v>show</v>
      </c>
      <c r="H3256" t="str">
        <f>HYPERLINK("https://github.com/MrStahlfelge/gdx-gamesvcs/releases", "show")</f>
        <v>show</v>
      </c>
      <c r="I3256">
        <v>1</v>
      </c>
      <c r="J3256">
        <v>0</v>
      </c>
      <c r="K3256">
        <v>0</v>
      </c>
      <c r="L3256">
        <v>0</v>
      </c>
      <c r="M3256" t="s">
        <v>17</v>
      </c>
    </row>
    <row r="3257" spans="1:13" hidden="1" x14ac:dyDescent="0.15">
      <c r="A3257" t="s">
        <v>10314</v>
      </c>
      <c r="B3257" t="s">
        <v>10315</v>
      </c>
      <c r="C3257" t="s">
        <v>10316</v>
      </c>
      <c r="D3257" t="s">
        <v>10317</v>
      </c>
      <c r="E3257">
        <v>0</v>
      </c>
      <c r="F3257" t="str">
        <f>HYPERLINK("https://github.com/EzequielAdrianM/Camera2Vision/issues/8", "show")</f>
        <v>show</v>
      </c>
      <c r="G3257" t="str">
        <f>HYPERLINK("https://github.com/EzequielAdrianM/Camera2Vision", "show")</f>
        <v>show</v>
      </c>
      <c r="H3257" t="str">
        <f>HYPERLINK("https://github.com/EzequielAdrianM/Camera2Vision/releases", "show")</f>
        <v>show</v>
      </c>
      <c r="I3257">
        <v>0</v>
      </c>
      <c r="J3257">
        <v>0</v>
      </c>
      <c r="K3257">
        <v>0</v>
      </c>
      <c r="L3257">
        <v>0</v>
      </c>
      <c r="M3257" t="s">
        <v>43</v>
      </c>
    </row>
    <row r="3258" spans="1:13" hidden="1" x14ac:dyDescent="0.15">
      <c r="A3258" t="s">
        <v>10318</v>
      </c>
      <c r="B3258" t="s">
        <v>10319</v>
      </c>
      <c r="C3258" t="s">
        <v>10320</v>
      </c>
      <c r="D3258" t="s">
        <v>10317</v>
      </c>
      <c r="E3258">
        <v>2</v>
      </c>
      <c r="F3258" t="str">
        <f>HYPERLINK("https://github.com/zeevy/grblcontroller/issues/4", "show")</f>
        <v>show</v>
      </c>
      <c r="G3258" t="str">
        <f>HYPERLINK("https://github.com/zeevy/grblcontroller", "show")</f>
        <v>show</v>
      </c>
      <c r="H3258" t="str">
        <f>HYPERLINK("https://github.com/zeevy/grblcontroller/releases", "show")</f>
        <v>show</v>
      </c>
      <c r="I3258">
        <v>0</v>
      </c>
      <c r="J3258">
        <v>0</v>
      </c>
      <c r="K3258">
        <v>0</v>
      </c>
      <c r="L3258">
        <v>0</v>
      </c>
      <c r="M3258" t="s">
        <v>43</v>
      </c>
    </row>
    <row r="3259" spans="1:13" hidden="1" x14ac:dyDescent="0.15">
      <c r="A3259" t="s">
        <v>10321</v>
      </c>
      <c r="B3259" t="s">
        <v>10322</v>
      </c>
      <c r="D3259" t="s">
        <v>10323</v>
      </c>
      <c r="E3259">
        <v>1</v>
      </c>
      <c r="F3259" t="str">
        <f>HYPERLINK("https://github.com/danimahardhika/wallpaperboard/issues/101", "show")</f>
        <v>show</v>
      </c>
      <c r="G3259" t="str">
        <f>HYPERLINK("https://github.com/danimahardhika/wallpaperboard", "show")</f>
        <v>show</v>
      </c>
      <c r="H3259" t="str">
        <f>HYPERLINK("https://github.com/danimahardhika/wallpaperboard/releases", "show")</f>
        <v>show</v>
      </c>
      <c r="I3259">
        <v>1</v>
      </c>
      <c r="J3259">
        <v>0</v>
      </c>
      <c r="K3259">
        <v>1</v>
      </c>
      <c r="L3259">
        <v>0</v>
      </c>
      <c r="M3259" t="s">
        <v>64</v>
      </c>
    </row>
    <row r="3260" spans="1:13" hidden="1" x14ac:dyDescent="0.15">
      <c r="A3260" t="s">
        <v>10324</v>
      </c>
      <c r="B3260" t="s">
        <v>6772</v>
      </c>
      <c r="D3260" t="s">
        <v>10323</v>
      </c>
      <c r="E3260">
        <v>86</v>
      </c>
      <c r="F3260" t="str">
        <f>HYPERLINK("https://github.com/7LPdWcaW/GrowTracker-Android/issues/58", "show")</f>
        <v>show</v>
      </c>
      <c r="G3260" t="str">
        <f>HYPERLINK("https://github.com/7LPdWcaW/GrowTracker-Android", "show")</f>
        <v>show</v>
      </c>
      <c r="H3260" t="str">
        <f>HYPERLINK("https://github.com/7LPdWcaW/GrowTracker-Android/releases", "show")</f>
        <v>show</v>
      </c>
      <c r="I3260">
        <v>1</v>
      </c>
      <c r="J3260">
        <v>0</v>
      </c>
      <c r="K3260">
        <v>0</v>
      </c>
      <c r="L3260">
        <v>0</v>
      </c>
      <c r="M3260" t="s">
        <v>17</v>
      </c>
    </row>
    <row r="3261" spans="1:13" hidden="1" x14ac:dyDescent="0.15">
      <c r="A3261" t="s">
        <v>10325</v>
      </c>
      <c r="B3261" t="s">
        <v>10326</v>
      </c>
      <c r="C3261" t="s">
        <v>10327</v>
      </c>
      <c r="D3261" t="s">
        <v>10328</v>
      </c>
      <c r="E3261">
        <v>0</v>
      </c>
      <c r="F3261" t="str">
        <f>HYPERLINK("https://github.com/thiagoprochnow/carteiradeativos/issues/152", "show")</f>
        <v>show</v>
      </c>
      <c r="G3261" t="str">
        <f>HYPERLINK("https://github.com/thiagoprochnow/carteiradeativos", "show")</f>
        <v>show</v>
      </c>
      <c r="H3261" t="str">
        <f>HYPERLINK("https://github.com/thiagoprochnow/carteiradeativos/releases", "show")</f>
        <v>show</v>
      </c>
      <c r="I3261">
        <v>1</v>
      </c>
      <c r="J3261">
        <v>0</v>
      </c>
      <c r="K3261">
        <v>0</v>
      </c>
      <c r="L3261">
        <v>0</v>
      </c>
      <c r="M3261" t="s">
        <v>17</v>
      </c>
    </row>
    <row r="3262" spans="1:13" hidden="1" x14ac:dyDescent="0.15">
      <c r="A3262" t="s">
        <v>10329</v>
      </c>
      <c r="B3262" t="s">
        <v>10330</v>
      </c>
      <c r="C3262" t="s">
        <v>10331</v>
      </c>
      <c r="D3262" t="s">
        <v>10328</v>
      </c>
      <c r="E3262">
        <v>3</v>
      </c>
      <c r="F3262" t="str">
        <f>HYPERLINK("https://github.com/Pattonville-Robotics/2867/issues/7", "show")</f>
        <v>show</v>
      </c>
      <c r="G3262" t="str">
        <f>HYPERLINK("https://github.com/Pattonville-Robotics/2867", "show")</f>
        <v>show</v>
      </c>
      <c r="H3262" t="str">
        <f>HYPERLINK("https://github.com/Pattonville-Robotics/2867/releases", "show")</f>
        <v>show</v>
      </c>
      <c r="I3262">
        <v>0</v>
      </c>
      <c r="J3262">
        <v>0</v>
      </c>
      <c r="K3262">
        <v>0</v>
      </c>
      <c r="L3262">
        <v>0</v>
      </c>
      <c r="M3262" t="s">
        <v>43</v>
      </c>
    </row>
    <row r="3263" spans="1:13" hidden="1" x14ac:dyDescent="0.15">
      <c r="A3263" t="s">
        <v>10332</v>
      </c>
      <c r="B3263" t="s">
        <v>10333</v>
      </c>
      <c r="C3263" t="s">
        <v>10334</v>
      </c>
      <c r="D3263" t="s">
        <v>10328</v>
      </c>
      <c r="E3263">
        <v>13</v>
      </c>
      <c r="F3263" t="str">
        <f>HYPERLINK("https://github.com/Z3r0byte/Magis/issues/69", "show")</f>
        <v>show</v>
      </c>
      <c r="G3263" t="str">
        <f>HYPERLINK("https://github.com/Z3r0byte/Magis", "show")</f>
        <v>show</v>
      </c>
      <c r="H3263" t="str">
        <f>HYPERLINK("https://github.com/Z3r0byte/Magis/releases", "show")</f>
        <v>show</v>
      </c>
      <c r="I3263">
        <v>1</v>
      </c>
      <c r="J3263">
        <v>0</v>
      </c>
      <c r="K3263">
        <v>0</v>
      </c>
      <c r="L3263">
        <v>0</v>
      </c>
      <c r="M3263" t="s">
        <v>17</v>
      </c>
    </row>
    <row r="3264" spans="1:13" hidden="1" x14ac:dyDescent="0.15">
      <c r="A3264" t="s">
        <v>10335</v>
      </c>
      <c r="B3264" t="s">
        <v>10336</v>
      </c>
      <c r="C3264" t="s">
        <v>10337</v>
      </c>
      <c r="D3264" t="s">
        <v>10338</v>
      </c>
      <c r="E3264">
        <v>227</v>
      </c>
      <c r="F3264" t="str">
        <f>HYPERLINK("https://github.com/nextcloud/android/issues/1730", "show")</f>
        <v>show</v>
      </c>
      <c r="G3264" t="str">
        <f>HYPERLINK("https://github.com/nextcloud/android", "show")</f>
        <v>show</v>
      </c>
      <c r="H3264" t="str">
        <f>HYPERLINK("https://github.com/nextcloud/android/releases", "show")</f>
        <v>show</v>
      </c>
      <c r="I3264">
        <v>1</v>
      </c>
      <c r="J3264">
        <v>1</v>
      </c>
      <c r="K3264">
        <v>0</v>
      </c>
      <c r="L3264">
        <v>0</v>
      </c>
      <c r="M3264" t="s">
        <v>48</v>
      </c>
    </row>
    <row r="3265" spans="1:13" hidden="1" x14ac:dyDescent="0.15">
      <c r="A3265" t="s">
        <v>10339</v>
      </c>
      <c r="B3265" t="s">
        <v>10340</v>
      </c>
      <c r="C3265" t="s">
        <v>10341</v>
      </c>
      <c r="D3265" t="s">
        <v>10338</v>
      </c>
      <c r="E3265">
        <v>1125</v>
      </c>
      <c r="F3265" t="str">
        <f>HYPERLINK("https://github.com/iBotPeaches/Apktool/issues/1649", "show")</f>
        <v>show</v>
      </c>
      <c r="G3265" t="str">
        <f>HYPERLINK("https://github.com/iBotPeaches/Apktool", "show")</f>
        <v>show</v>
      </c>
      <c r="H3265" t="str">
        <f>HYPERLINK("https://github.com/iBotPeaches/Apktool/releases", "show")</f>
        <v>show</v>
      </c>
      <c r="I3265">
        <v>1</v>
      </c>
      <c r="J3265">
        <v>1</v>
      </c>
      <c r="K3265">
        <v>0</v>
      </c>
      <c r="L3265">
        <v>0</v>
      </c>
      <c r="M3265" t="s">
        <v>48</v>
      </c>
    </row>
    <row r="3266" spans="1:13" hidden="1" x14ac:dyDescent="0.15">
      <c r="A3266" t="s">
        <v>10342</v>
      </c>
      <c r="B3266" t="s">
        <v>10343</v>
      </c>
      <c r="C3266" t="s">
        <v>10344</v>
      </c>
      <c r="D3266" t="s">
        <v>10338</v>
      </c>
      <c r="E3266">
        <v>1</v>
      </c>
      <c r="F3266" t="str">
        <f>HYPERLINK("https://github.com/dimagi/commcare-android/issues/1872", "show")</f>
        <v>show</v>
      </c>
      <c r="G3266" t="str">
        <f>HYPERLINK("https://github.com/dimagi/commcare-android", "show")</f>
        <v>show</v>
      </c>
      <c r="H3266" t="str">
        <f>HYPERLINK("https://github.com/dimagi/commcare-android/releases", "show")</f>
        <v>show</v>
      </c>
      <c r="I3266">
        <v>1</v>
      </c>
      <c r="J3266">
        <v>0</v>
      </c>
      <c r="K3266">
        <v>0</v>
      </c>
      <c r="L3266">
        <v>0</v>
      </c>
      <c r="M3266" t="s">
        <v>17</v>
      </c>
    </row>
    <row r="3267" spans="1:13" hidden="1" x14ac:dyDescent="0.15">
      <c r="A3267" t="s">
        <v>10345</v>
      </c>
      <c r="B3267" t="s">
        <v>10346</v>
      </c>
      <c r="C3267" t="s">
        <v>10347</v>
      </c>
      <c r="D3267" t="s">
        <v>10338</v>
      </c>
      <c r="E3267">
        <v>16</v>
      </c>
      <c r="F3267" t="str">
        <f>HYPERLINK("https://github.com/nextcloud/android/issues/1728", "show")</f>
        <v>show</v>
      </c>
      <c r="G3267" t="str">
        <f>HYPERLINK("https://github.com/nextcloud/android", "show")</f>
        <v>show</v>
      </c>
      <c r="H3267" t="str">
        <f>HYPERLINK("https://github.com/nextcloud/android/releases", "show")</f>
        <v>show</v>
      </c>
      <c r="I3267">
        <v>1</v>
      </c>
      <c r="J3267">
        <v>1</v>
      </c>
      <c r="K3267">
        <v>1</v>
      </c>
      <c r="L3267">
        <v>0</v>
      </c>
      <c r="M3267" t="s">
        <v>59</v>
      </c>
    </row>
    <row r="3268" spans="1:13" hidden="1" x14ac:dyDescent="0.15">
      <c r="A3268" t="s">
        <v>10348</v>
      </c>
      <c r="B3268" t="s">
        <v>10349</v>
      </c>
      <c r="C3268" t="s">
        <v>10350</v>
      </c>
      <c r="D3268" t="s">
        <v>10338</v>
      </c>
      <c r="E3268">
        <v>13</v>
      </c>
      <c r="F3268" t="str">
        <f>HYPERLINK("https://github.com/qualaroo/android-sdk/issues/2", "show")</f>
        <v>show</v>
      </c>
      <c r="G3268" t="str">
        <f>HYPERLINK("https://github.com/qualaroo/android-sdk", "show")</f>
        <v>show</v>
      </c>
      <c r="H3268" t="str">
        <f>HYPERLINK("https://github.com/qualaroo/android-sdk/releases", "show")</f>
        <v>show</v>
      </c>
      <c r="I3268">
        <v>0</v>
      </c>
      <c r="J3268">
        <v>0</v>
      </c>
      <c r="K3268">
        <v>1</v>
      </c>
      <c r="L3268">
        <v>0</v>
      </c>
      <c r="M3268" t="s">
        <v>122</v>
      </c>
    </row>
    <row r="3269" spans="1:13" hidden="1" x14ac:dyDescent="0.15">
      <c r="A3269" t="s">
        <v>10351</v>
      </c>
      <c r="B3269" t="s">
        <v>10352</v>
      </c>
      <c r="C3269" t="s">
        <v>10353</v>
      </c>
      <c r="D3269" t="s">
        <v>10354</v>
      </c>
      <c r="E3269">
        <v>3</v>
      </c>
      <c r="F3269" t="str">
        <f>HYPERLINK("https://github.com/eduvpn/android/issues/112", "show")</f>
        <v>show</v>
      </c>
      <c r="G3269" t="str">
        <f>HYPERLINK("https://github.com/eduvpn/android", "show")</f>
        <v>show</v>
      </c>
      <c r="H3269" t="str">
        <f>HYPERLINK("https://github.com/eduvpn/android/releases", "show")</f>
        <v>show</v>
      </c>
      <c r="I3269">
        <v>1</v>
      </c>
      <c r="J3269">
        <v>0</v>
      </c>
      <c r="K3269">
        <v>0</v>
      </c>
      <c r="L3269">
        <v>0</v>
      </c>
      <c r="M3269" t="s">
        <v>17</v>
      </c>
    </row>
    <row r="3270" spans="1:13" hidden="1" x14ac:dyDescent="0.15">
      <c r="A3270" t="s">
        <v>10355</v>
      </c>
      <c r="B3270" t="s">
        <v>10356</v>
      </c>
      <c r="C3270" t="s">
        <v>10357</v>
      </c>
      <c r="D3270" t="s">
        <v>10354</v>
      </c>
      <c r="E3270">
        <v>5</v>
      </c>
      <c r="F3270" t="str">
        <f>HYPERLINK("https://github.com/bumptech/glide/issues/2548", "show")</f>
        <v>show</v>
      </c>
      <c r="G3270" t="str">
        <f>HYPERLINK("https://github.com/bumptech/glide", "show")</f>
        <v>show</v>
      </c>
      <c r="H3270" t="str">
        <f>HYPERLINK("https://github.com/bumptech/glide/releases", "show")</f>
        <v>show</v>
      </c>
      <c r="I3270">
        <v>1</v>
      </c>
      <c r="J3270">
        <v>0</v>
      </c>
      <c r="K3270">
        <v>0</v>
      </c>
      <c r="L3270">
        <v>0</v>
      </c>
      <c r="M3270" t="s">
        <v>17</v>
      </c>
    </row>
    <row r="3271" spans="1:13" hidden="1" x14ac:dyDescent="0.15">
      <c r="A3271" t="s">
        <v>10358</v>
      </c>
      <c r="B3271" t="s">
        <v>10359</v>
      </c>
      <c r="C3271" t="s">
        <v>10360</v>
      </c>
      <c r="D3271" t="s">
        <v>10354</v>
      </c>
      <c r="E3271">
        <v>0</v>
      </c>
      <c r="F3271" t="str">
        <f>HYPERLINK("https://github.com/jumaallan/andela-crypto-app/issues/2", "show")</f>
        <v>show</v>
      </c>
      <c r="G3271" t="str">
        <f>HYPERLINK("https://github.com/jumaallan/andela-crypto-app", "show")</f>
        <v>show</v>
      </c>
      <c r="H3271" t="str">
        <f>HYPERLINK("https://github.com/jumaallan/andela-crypto-app/releases", "show")</f>
        <v>show</v>
      </c>
      <c r="I3271">
        <v>1</v>
      </c>
      <c r="J3271">
        <v>0</v>
      </c>
      <c r="K3271">
        <v>0</v>
      </c>
      <c r="L3271">
        <v>0</v>
      </c>
      <c r="M3271" t="s">
        <v>17</v>
      </c>
    </row>
    <row r="3272" spans="1:13" x14ac:dyDescent="0.15">
      <c r="A3272" t="s">
        <v>10361</v>
      </c>
      <c r="B3272" t="s">
        <v>10362</v>
      </c>
      <c r="C3272" t="s">
        <v>10363</v>
      </c>
      <c r="D3272" t="s">
        <v>10354</v>
      </c>
      <c r="E3272">
        <v>2</v>
      </c>
      <c r="F3272" t="str">
        <f>HYPERLINK("https://github.com/moneymanagerex/android-money-manager-ex/issues/1153", "show")</f>
        <v>show</v>
      </c>
      <c r="G3272" t="str">
        <f>HYPERLINK("https://github.com/moneymanagerex/android-money-manager-ex", "show")</f>
        <v>show</v>
      </c>
      <c r="H3272" t="str">
        <f>HYPERLINK("https://github.com/moneymanagerex/android-money-manager-ex/releases", "show")</f>
        <v>show</v>
      </c>
      <c r="I3272">
        <v>0</v>
      </c>
      <c r="J3272">
        <v>1</v>
      </c>
      <c r="K3272">
        <v>0</v>
      </c>
      <c r="L3272">
        <v>0</v>
      </c>
      <c r="M3272" t="s">
        <v>139</v>
      </c>
    </row>
    <row r="3273" spans="1:13" hidden="1" x14ac:dyDescent="0.15">
      <c r="A3273" t="s">
        <v>10364</v>
      </c>
      <c r="B3273" t="s">
        <v>10365</v>
      </c>
      <c r="C3273" t="s">
        <v>10366</v>
      </c>
      <c r="D3273" t="s">
        <v>10367</v>
      </c>
      <c r="E3273">
        <v>0</v>
      </c>
      <c r="F3273" t="str">
        <f>HYPERLINK("https://github.com/flyve-mdm/android-mdm-agent/issues/174", "show")</f>
        <v>show</v>
      </c>
      <c r="G3273" t="str">
        <f>HYPERLINK("https://github.com/flyve-mdm/android-mdm-agent", "show")</f>
        <v>show</v>
      </c>
      <c r="H3273" t="str">
        <f>HYPERLINK("https://github.com/flyve-mdm/android-mdm-agent/releases", "show")</f>
        <v>show</v>
      </c>
      <c r="I3273">
        <v>1</v>
      </c>
      <c r="J3273">
        <v>1</v>
      </c>
      <c r="K3273">
        <v>0</v>
      </c>
      <c r="L3273">
        <v>0</v>
      </c>
      <c r="M3273" t="s">
        <v>48</v>
      </c>
    </row>
    <row r="3274" spans="1:13" hidden="1" x14ac:dyDescent="0.15">
      <c r="A3274" t="s">
        <v>10368</v>
      </c>
      <c r="B3274" t="s">
        <v>10369</v>
      </c>
      <c r="C3274" t="s">
        <v>10370</v>
      </c>
      <c r="D3274" t="s">
        <v>10367</v>
      </c>
      <c r="E3274">
        <v>4</v>
      </c>
      <c r="F3274" t="str">
        <f>HYPERLINK("https://github.com/vic797/prowebview/issues/2", "show")</f>
        <v>show</v>
      </c>
      <c r="G3274" t="str">
        <f>HYPERLINK("https://github.com/vic797/prowebview", "show")</f>
        <v>show</v>
      </c>
      <c r="H3274" t="str">
        <f>HYPERLINK("https://github.com/vic797/prowebview/releases", "show")</f>
        <v>show</v>
      </c>
      <c r="I3274">
        <v>0</v>
      </c>
      <c r="J3274">
        <v>0</v>
      </c>
      <c r="K3274">
        <v>0</v>
      </c>
      <c r="L3274">
        <v>0</v>
      </c>
      <c r="M3274" t="s">
        <v>43</v>
      </c>
    </row>
    <row r="3275" spans="1:13" hidden="1" x14ac:dyDescent="0.15">
      <c r="A3275" t="s">
        <v>10371</v>
      </c>
      <c r="B3275" t="s">
        <v>10372</v>
      </c>
      <c r="C3275" t="s">
        <v>10373</v>
      </c>
      <c r="D3275" t="s">
        <v>10367</v>
      </c>
      <c r="E3275">
        <v>42</v>
      </c>
      <c r="F3275" t="str">
        <f>HYPERLINK("https://github.com/chat-sdk/chat-sdk-android/issues/172", "show")</f>
        <v>show</v>
      </c>
      <c r="G3275" t="str">
        <f>HYPERLINK("https://github.com/chat-sdk/chat-sdk-android", "show")</f>
        <v>show</v>
      </c>
      <c r="H3275" t="str">
        <f>HYPERLINK("https://github.com/chat-sdk/chat-sdk-android/releases", "show")</f>
        <v>show</v>
      </c>
      <c r="I3275">
        <v>1</v>
      </c>
      <c r="J3275">
        <v>1</v>
      </c>
      <c r="K3275">
        <v>0</v>
      </c>
      <c r="L3275">
        <v>0</v>
      </c>
      <c r="M3275" t="s">
        <v>48</v>
      </c>
    </row>
    <row r="3276" spans="1:13" hidden="1" x14ac:dyDescent="0.15">
      <c r="A3276" t="s">
        <v>10374</v>
      </c>
      <c r="B3276" t="s">
        <v>10375</v>
      </c>
      <c r="D3276" t="s">
        <v>10367</v>
      </c>
      <c r="E3276">
        <v>2</v>
      </c>
      <c r="F3276" t="str">
        <f>HYPERLINK("https://github.com/Gear61/Around-Me/issues/28", "show")</f>
        <v>show</v>
      </c>
      <c r="G3276" t="str">
        <f>HYPERLINK("https://github.com/Gear61/Around-Me", "show")</f>
        <v>show</v>
      </c>
      <c r="H3276" t="str">
        <f>HYPERLINK("https://github.com/Gear61/Around-Me/releases", "show")</f>
        <v>show</v>
      </c>
      <c r="I3276">
        <v>1</v>
      </c>
      <c r="J3276">
        <v>0</v>
      </c>
      <c r="K3276">
        <v>0</v>
      </c>
      <c r="L3276">
        <v>0</v>
      </c>
      <c r="M3276" t="s">
        <v>17</v>
      </c>
    </row>
    <row r="3277" spans="1:13" hidden="1" x14ac:dyDescent="0.15">
      <c r="A3277" t="s">
        <v>10376</v>
      </c>
      <c r="B3277" t="s">
        <v>10377</v>
      </c>
      <c r="D3277" t="s">
        <v>10367</v>
      </c>
      <c r="E3277">
        <v>2</v>
      </c>
      <c r="F3277" t="str">
        <f>HYPERLINK("https://github.com/mapbox/mapbox-plugins-android/issues/146", "show")</f>
        <v>show</v>
      </c>
      <c r="G3277" t="str">
        <f>HYPERLINK("https://github.com/mapbox/mapbox-plugins-android", "show")</f>
        <v>show</v>
      </c>
      <c r="H3277" t="str">
        <f>HYPERLINK("https://github.com/mapbox/mapbox-plugins-android/releases", "show")</f>
        <v>show</v>
      </c>
      <c r="I3277">
        <v>1</v>
      </c>
      <c r="J3277">
        <v>0</v>
      </c>
      <c r="K3277">
        <v>0</v>
      </c>
      <c r="L3277">
        <v>0</v>
      </c>
      <c r="M3277" t="s">
        <v>17</v>
      </c>
    </row>
    <row r="3278" spans="1:13" hidden="1" x14ac:dyDescent="0.15">
      <c r="A3278" t="s">
        <v>10378</v>
      </c>
      <c r="B3278" t="s">
        <v>10379</v>
      </c>
      <c r="C3278" t="s">
        <v>10380</v>
      </c>
      <c r="D3278" t="s">
        <v>10381</v>
      </c>
      <c r="E3278">
        <v>11</v>
      </c>
      <c r="F3278" t="str">
        <f>HYPERLINK("https://github.com/nextcloud/android/issues/1744", "show")</f>
        <v>show</v>
      </c>
      <c r="G3278" t="str">
        <f>HYPERLINK("https://github.com/nextcloud/android", "show")</f>
        <v>show</v>
      </c>
      <c r="H3278" t="str">
        <f>HYPERLINK("https://github.com/nextcloud/android/releases", "show")</f>
        <v>show</v>
      </c>
      <c r="I3278">
        <v>0</v>
      </c>
      <c r="J3278">
        <v>0</v>
      </c>
      <c r="K3278">
        <v>1</v>
      </c>
      <c r="L3278">
        <v>0</v>
      </c>
      <c r="M3278" t="s">
        <v>122</v>
      </c>
    </row>
    <row r="3279" spans="1:13" hidden="1" x14ac:dyDescent="0.15">
      <c r="A3279" t="s">
        <v>10382</v>
      </c>
      <c r="B3279" t="s">
        <v>10383</v>
      </c>
      <c r="C3279" t="s">
        <v>10384</v>
      </c>
      <c r="D3279" t="s">
        <v>10381</v>
      </c>
      <c r="E3279">
        <v>24</v>
      </c>
      <c r="F3279" t="str">
        <f>HYPERLINK("https://github.com/MCMrARM/revolution-irc/issues/22", "show")</f>
        <v>show</v>
      </c>
      <c r="G3279" t="str">
        <f>HYPERLINK("https://github.com/MCMrARM/revolution-irc", "show")</f>
        <v>show</v>
      </c>
      <c r="H3279" t="str">
        <f>HYPERLINK("https://github.com/MCMrARM/revolution-irc/releases", "show")</f>
        <v>show</v>
      </c>
      <c r="I3279">
        <v>1</v>
      </c>
      <c r="J3279">
        <v>0</v>
      </c>
      <c r="K3279">
        <v>0</v>
      </c>
      <c r="L3279">
        <v>0</v>
      </c>
      <c r="M3279" t="s">
        <v>17</v>
      </c>
    </row>
    <row r="3280" spans="1:13" hidden="1" x14ac:dyDescent="0.15">
      <c r="A3280" t="s">
        <v>10385</v>
      </c>
      <c r="B3280" t="s">
        <v>10386</v>
      </c>
      <c r="C3280" t="s">
        <v>10387</v>
      </c>
      <c r="D3280" t="s">
        <v>10381</v>
      </c>
      <c r="E3280">
        <v>3</v>
      </c>
      <c r="F3280" t="str">
        <f>HYPERLINK("https://github.com/getodk/collect/issues/1593", "show")</f>
        <v>show</v>
      </c>
      <c r="G3280" t="str">
        <f>HYPERLINK("https://github.com/getodk/collect", "show")</f>
        <v>show</v>
      </c>
      <c r="H3280" t="str">
        <f>HYPERLINK("https://github.com/getodk/collect/releases", "show")</f>
        <v>show</v>
      </c>
      <c r="I3280">
        <v>0</v>
      </c>
      <c r="J3280">
        <v>0</v>
      </c>
      <c r="K3280">
        <v>1</v>
      </c>
      <c r="L3280">
        <v>0</v>
      </c>
      <c r="M3280" t="s">
        <v>122</v>
      </c>
    </row>
    <row r="3281" spans="1:13" hidden="1" x14ac:dyDescent="0.15">
      <c r="A3281" t="s">
        <v>10388</v>
      </c>
      <c r="B3281" t="s">
        <v>10389</v>
      </c>
      <c r="C3281" t="s">
        <v>10390</v>
      </c>
      <c r="D3281" t="s">
        <v>10381</v>
      </c>
      <c r="E3281">
        <v>15</v>
      </c>
      <c r="F3281" t="str">
        <f>HYPERLINK("https://github.com/bumptech/glide/issues/2555", "show")</f>
        <v>show</v>
      </c>
      <c r="G3281" t="str">
        <f>HYPERLINK("https://github.com/bumptech/glide", "show")</f>
        <v>show</v>
      </c>
      <c r="H3281" t="str">
        <f>HYPERLINK("https://github.com/bumptech/glide/releases", "show")</f>
        <v>show</v>
      </c>
      <c r="I3281">
        <v>1</v>
      </c>
      <c r="J3281">
        <v>0</v>
      </c>
      <c r="K3281">
        <v>1</v>
      </c>
      <c r="L3281">
        <v>0</v>
      </c>
      <c r="M3281" t="s">
        <v>64</v>
      </c>
    </row>
    <row r="3282" spans="1:13" hidden="1" x14ac:dyDescent="0.15">
      <c r="A3282" t="s">
        <v>10391</v>
      </c>
      <c r="B3282" t="s">
        <v>10392</v>
      </c>
      <c r="C3282" t="s">
        <v>10393</v>
      </c>
      <c r="D3282" t="s">
        <v>10394</v>
      </c>
      <c r="E3282">
        <v>13</v>
      </c>
      <c r="F3282" t="str">
        <f>HYPERLINK("https://github.com/bumptech/glide/issues/2562", "show")</f>
        <v>show</v>
      </c>
      <c r="G3282" t="str">
        <f>HYPERLINK("https://github.com/bumptech/glide", "show")</f>
        <v>show</v>
      </c>
      <c r="H3282" t="str">
        <f>HYPERLINK("https://github.com/bumptech/glide/releases", "show")</f>
        <v>show</v>
      </c>
      <c r="I3282">
        <v>0</v>
      </c>
      <c r="J3282">
        <v>0</v>
      </c>
      <c r="K3282">
        <v>1</v>
      </c>
      <c r="L3282">
        <v>0</v>
      </c>
      <c r="M3282" t="s">
        <v>122</v>
      </c>
    </row>
    <row r="3283" spans="1:13" hidden="1" x14ac:dyDescent="0.15">
      <c r="A3283" t="s">
        <v>10395</v>
      </c>
      <c r="B3283" t="s">
        <v>10396</v>
      </c>
      <c r="C3283" t="s">
        <v>10397</v>
      </c>
      <c r="D3283" t="s">
        <v>10394</v>
      </c>
      <c r="E3283">
        <v>147</v>
      </c>
      <c r="F3283" t="str">
        <f>HYPERLINK("https://github.com/amirzaidi/Launcher3/issues/282", "show")</f>
        <v>show</v>
      </c>
      <c r="G3283" t="str">
        <f>HYPERLINK("https://github.com/amirzaidi/Launcher3", "show")</f>
        <v>show</v>
      </c>
      <c r="H3283" t="str">
        <f>HYPERLINK("https://github.com/amirzaidi/Launcher3/releases", "show")</f>
        <v>show</v>
      </c>
      <c r="I3283">
        <v>1</v>
      </c>
      <c r="J3283">
        <v>1</v>
      </c>
      <c r="K3283">
        <v>0</v>
      </c>
      <c r="L3283">
        <v>0</v>
      </c>
      <c r="M3283" t="s">
        <v>48</v>
      </c>
    </row>
    <row r="3284" spans="1:13" hidden="1" x14ac:dyDescent="0.15">
      <c r="A3284" t="s">
        <v>10398</v>
      </c>
      <c r="B3284" t="s">
        <v>10399</v>
      </c>
      <c r="C3284" t="s">
        <v>504</v>
      </c>
      <c r="D3284" t="s">
        <v>10400</v>
      </c>
      <c r="E3284">
        <v>409</v>
      </c>
      <c r="F3284" t="str">
        <f>HYPERLINK("https://github.com/niclabs/adkintunmobile-androidclient/issues/184", "show")</f>
        <v>show</v>
      </c>
      <c r="G3284" t="str">
        <f>HYPERLINK("https://github.com/niclabs/adkintunmobile-androidclient", "show")</f>
        <v>show</v>
      </c>
      <c r="H3284" t="str">
        <f>HYPERLINK("https://github.com/niclabs/adkintunmobile-androidclient/releases", "show")</f>
        <v>show</v>
      </c>
      <c r="I3284">
        <v>1</v>
      </c>
      <c r="J3284">
        <v>0</v>
      </c>
      <c r="K3284">
        <v>0</v>
      </c>
      <c r="L3284">
        <v>0</v>
      </c>
      <c r="M3284" t="s">
        <v>17</v>
      </c>
    </row>
    <row r="3285" spans="1:13" hidden="1" x14ac:dyDescent="0.15">
      <c r="A3285" t="s">
        <v>10401</v>
      </c>
      <c r="B3285" t="s">
        <v>10402</v>
      </c>
      <c r="C3285" t="s">
        <v>10403</v>
      </c>
      <c r="D3285" t="s">
        <v>10400</v>
      </c>
      <c r="E3285">
        <v>1</v>
      </c>
      <c r="F3285" t="str">
        <f>HYPERLINK("https://github.com/dimagi/commcare-android/issues/1878", "show")</f>
        <v>show</v>
      </c>
      <c r="G3285" t="str">
        <f>HYPERLINK("https://github.com/dimagi/commcare-android", "show")</f>
        <v>show</v>
      </c>
      <c r="H3285" t="str">
        <f>HYPERLINK("https://github.com/dimagi/commcare-android/releases", "show")</f>
        <v>show</v>
      </c>
      <c r="I3285">
        <v>0</v>
      </c>
      <c r="J3285">
        <v>0</v>
      </c>
      <c r="K3285">
        <v>1</v>
      </c>
      <c r="L3285">
        <v>0</v>
      </c>
      <c r="M3285" t="s">
        <v>122</v>
      </c>
    </row>
    <row r="3286" spans="1:13" hidden="1" x14ac:dyDescent="0.15">
      <c r="A3286" t="s">
        <v>10404</v>
      </c>
      <c r="B3286" t="s">
        <v>10405</v>
      </c>
      <c r="D3286" t="s">
        <v>10400</v>
      </c>
      <c r="E3286">
        <v>7</v>
      </c>
      <c r="F3286" t="str">
        <f>HYPERLINK("https://github.com/danimahardhika/wallpaperboard/issues/106", "show")</f>
        <v>show</v>
      </c>
      <c r="G3286" t="str">
        <f>HYPERLINK("https://github.com/danimahardhika/wallpaperboard", "show")</f>
        <v>show</v>
      </c>
      <c r="H3286" t="str">
        <f>HYPERLINK("https://github.com/danimahardhika/wallpaperboard/releases", "show")</f>
        <v>show</v>
      </c>
      <c r="I3286">
        <v>1</v>
      </c>
      <c r="J3286">
        <v>0</v>
      </c>
      <c r="K3286">
        <v>1</v>
      </c>
      <c r="L3286">
        <v>0</v>
      </c>
      <c r="M3286" t="s">
        <v>64</v>
      </c>
    </row>
    <row r="3287" spans="1:13" hidden="1" x14ac:dyDescent="0.15">
      <c r="A3287" t="s">
        <v>10406</v>
      </c>
      <c r="B3287" t="s">
        <v>10407</v>
      </c>
      <c r="C3287" t="s">
        <v>10408</v>
      </c>
      <c r="D3287" t="s">
        <v>10400</v>
      </c>
      <c r="E3287">
        <v>22</v>
      </c>
      <c r="F3287" t="str">
        <f>HYPERLINK("https://github.com/stefan-niedermann/nextcloud-notes/issues/293", "show")</f>
        <v>show</v>
      </c>
      <c r="G3287" t="str">
        <f>HYPERLINK("https://github.com/stefan-niedermann/nextcloud-notes", "show")</f>
        <v>show</v>
      </c>
      <c r="H3287" t="str">
        <f>HYPERLINK("https://github.com/stefan-niedermann/nextcloud-notes/releases", "show")</f>
        <v>show</v>
      </c>
      <c r="I3287">
        <v>1</v>
      </c>
      <c r="J3287">
        <v>1</v>
      </c>
      <c r="K3287">
        <v>0</v>
      </c>
      <c r="L3287">
        <v>0</v>
      </c>
      <c r="M3287" t="s">
        <v>48</v>
      </c>
    </row>
    <row r="3288" spans="1:13" hidden="1" x14ac:dyDescent="0.15">
      <c r="A3288" t="s">
        <v>10409</v>
      </c>
      <c r="B3288" t="s">
        <v>10410</v>
      </c>
      <c r="D3288" t="s">
        <v>10400</v>
      </c>
      <c r="E3288">
        <v>0</v>
      </c>
      <c r="F3288" t="str">
        <f>HYPERLINK("https://github.com/chRyNaN/Android-Guitar-Tuner/issues/38", "show")</f>
        <v>show</v>
      </c>
      <c r="G3288" t="str">
        <f>HYPERLINK("https://github.com/chRyNaN/Android-Guitar-Tuner", "show")</f>
        <v>show</v>
      </c>
      <c r="H3288" t="str">
        <f>HYPERLINK("https://github.com/chRyNaN/Android-Guitar-Tuner/releases", "show")</f>
        <v>show</v>
      </c>
      <c r="I3288">
        <v>1</v>
      </c>
      <c r="J3288">
        <v>0</v>
      </c>
      <c r="K3288">
        <v>0</v>
      </c>
      <c r="L3288">
        <v>0</v>
      </c>
      <c r="M3288" t="s">
        <v>17</v>
      </c>
    </row>
    <row r="3289" spans="1:13" hidden="1" x14ac:dyDescent="0.15">
      <c r="A3289" t="s">
        <v>10411</v>
      </c>
      <c r="B3289" t="s">
        <v>10412</v>
      </c>
      <c r="C3289" t="s">
        <v>10413</v>
      </c>
      <c r="D3289" t="s">
        <v>10414</v>
      </c>
      <c r="E3289">
        <v>3</v>
      </c>
      <c r="F3289" t="str">
        <f>HYPERLINK("https://github.com/mit-cml/appinventor-extensions/issues/6", "show")</f>
        <v>show</v>
      </c>
      <c r="G3289" t="str">
        <f>HYPERLINK("https://github.com/mit-cml/appinventor-extensions", "show")</f>
        <v>show</v>
      </c>
      <c r="H3289" t="str">
        <f>HYPERLINK("https://github.com/mit-cml/appinventor-extensions/releases", "show")</f>
        <v>show</v>
      </c>
      <c r="I3289">
        <v>1</v>
      </c>
      <c r="J3289">
        <v>0</v>
      </c>
      <c r="K3289">
        <v>0</v>
      </c>
      <c r="L3289">
        <v>0</v>
      </c>
      <c r="M3289" t="s">
        <v>17</v>
      </c>
    </row>
    <row r="3290" spans="1:13" hidden="1" x14ac:dyDescent="0.15">
      <c r="A3290" t="s">
        <v>10415</v>
      </c>
      <c r="B3290" t="s">
        <v>10416</v>
      </c>
      <c r="C3290" t="s">
        <v>10417</v>
      </c>
      <c r="D3290" t="s">
        <v>10414</v>
      </c>
      <c r="E3290">
        <v>398</v>
      </c>
      <c r="F3290" t="str">
        <f>HYPERLINK("https://github.com/yuyakaido/CardStackView/issues/41", "show")</f>
        <v>show</v>
      </c>
      <c r="G3290" t="str">
        <f>HYPERLINK("https://github.com/yuyakaido/CardStackView", "show")</f>
        <v>show</v>
      </c>
      <c r="H3290" t="str">
        <f>HYPERLINK("https://github.com/yuyakaido/CardStackView/releases", "show")</f>
        <v>show</v>
      </c>
      <c r="I3290">
        <v>0</v>
      </c>
      <c r="J3290">
        <v>0</v>
      </c>
      <c r="K3290">
        <v>0</v>
      </c>
      <c r="L3290">
        <v>0</v>
      </c>
      <c r="M3290" t="s">
        <v>43</v>
      </c>
    </row>
    <row r="3291" spans="1:13" hidden="1" x14ac:dyDescent="0.15">
      <c r="A3291" t="s">
        <v>10418</v>
      </c>
      <c r="B3291" t="s">
        <v>10419</v>
      </c>
      <c r="C3291" t="s">
        <v>10420</v>
      </c>
      <c r="D3291" t="s">
        <v>10414</v>
      </c>
      <c r="E3291">
        <v>0</v>
      </c>
      <c r="F3291" t="str">
        <f>HYPERLINK("https://github.com/flyve-mdm/android-mdm-agent/issues/177", "show")</f>
        <v>show</v>
      </c>
      <c r="G3291" t="str">
        <f>HYPERLINK("https://github.com/flyve-mdm/android-mdm-agent", "show")</f>
        <v>show</v>
      </c>
      <c r="H3291" t="str">
        <f>HYPERLINK("https://github.com/flyve-mdm/android-mdm-agent/releases", "show")</f>
        <v>show</v>
      </c>
      <c r="I3291">
        <v>1</v>
      </c>
      <c r="J3291">
        <v>1</v>
      </c>
      <c r="K3291">
        <v>0</v>
      </c>
      <c r="L3291">
        <v>0</v>
      </c>
      <c r="M3291" t="s">
        <v>48</v>
      </c>
    </row>
    <row r="3292" spans="1:13" hidden="1" x14ac:dyDescent="0.15">
      <c r="A3292" t="s">
        <v>10421</v>
      </c>
      <c r="B3292" t="s">
        <v>10422</v>
      </c>
      <c r="C3292" t="s">
        <v>10423</v>
      </c>
      <c r="D3292" t="s">
        <v>10414</v>
      </c>
      <c r="E3292">
        <v>54</v>
      </c>
      <c r="F3292" t="str">
        <f>HYPERLINK("https://github.com/square/okhttp/issues/3675", "show")</f>
        <v>show</v>
      </c>
      <c r="G3292" t="str">
        <f>HYPERLINK("https://github.com/square/okhttp", "show")</f>
        <v>show</v>
      </c>
      <c r="H3292" t="str">
        <f>HYPERLINK("https://github.com/square/okhttp/releases", "show")</f>
        <v>show</v>
      </c>
      <c r="I3292">
        <v>1</v>
      </c>
      <c r="J3292">
        <v>0</v>
      </c>
      <c r="K3292">
        <v>1</v>
      </c>
      <c r="L3292">
        <v>0</v>
      </c>
      <c r="M3292" t="s">
        <v>64</v>
      </c>
    </row>
    <row r="3293" spans="1:13" hidden="1" x14ac:dyDescent="0.15">
      <c r="A3293" t="s">
        <v>10424</v>
      </c>
      <c r="B3293" t="s">
        <v>10425</v>
      </c>
      <c r="C3293" t="s">
        <v>10426</v>
      </c>
      <c r="D3293" t="s">
        <v>10414</v>
      </c>
      <c r="E3293">
        <v>1</v>
      </c>
      <c r="F3293" t="str">
        <f>HYPERLINK("https://github.com/moneymanagerex/android-money-manager-ex/issues/1159", "show")</f>
        <v>show</v>
      </c>
      <c r="G3293" t="str">
        <f>HYPERLINK("https://github.com/moneymanagerex/android-money-manager-ex", "show")</f>
        <v>show</v>
      </c>
      <c r="H3293" t="str">
        <f>HYPERLINK("https://github.com/moneymanagerex/android-money-manager-ex/releases", "show")</f>
        <v>show</v>
      </c>
      <c r="I3293">
        <v>0</v>
      </c>
      <c r="J3293">
        <v>0</v>
      </c>
      <c r="K3293">
        <v>0</v>
      </c>
      <c r="L3293">
        <v>0</v>
      </c>
      <c r="M3293" t="s">
        <v>43</v>
      </c>
    </row>
    <row r="3294" spans="1:13" hidden="1" x14ac:dyDescent="0.15">
      <c r="A3294" t="s">
        <v>10427</v>
      </c>
      <c r="B3294" t="s">
        <v>10428</v>
      </c>
      <c r="D3294" t="s">
        <v>10414</v>
      </c>
      <c r="E3294">
        <v>2</v>
      </c>
      <c r="F3294" t="str">
        <f>HYPERLINK("https://github.com/vector-im/riot-android/issues/1731", "show")</f>
        <v>show</v>
      </c>
      <c r="G3294" t="str">
        <f>HYPERLINK("https://github.com/vector-im/riot-android", "show")</f>
        <v>show</v>
      </c>
      <c r="H3294" t="str">
        <f>HYPERLINK("https://github.com/vector-im/riot-android/releases", "show")</f>
        <v>show</v>
      </c>
      <c r="I3294">
        <v>0</v>
      </c>
      <c r="J3294">
        <v>0</v>
      </c>
      <c r="K3294">
        <v>0</v>
      </c>
      <c r="L3294">
        <v>0</v>
      </c>
      <c r="M3294" t="s">
        <v>43</v>
      </c>
    </row>
    <row r="3295" spans="1:13" hidden="1" x14ac:dyDescent="0.15">
      <c r="A3295" t="s">
        <v>10429</v>
      </c>
      <c r="B3295" t="s">
        <v>10430</v>
      </c>
      <c r="C3295" t="s">
        <v>10431</v>
      </c>
      <c r="D3295" t="s">
        <v>10414</v>
      </c>
      <c r="E3295">
        <v>0</v>
      </c>
      <c r="F3295" t="str">
        <f>HYPERLINK("https://github.com/vector-im/riot-android/issues/1725", "show")</f>
        <v>show</v>
      </c>
      <c r="G3295" t="str">
        <f>HYPERLINK("https://github.com/vector-im/riot-android", "show")</f>
        <v>show</v>
      </c>
      <c r="H3295" t="str">
        <f>HYPERLINK("https://github.com/vector-im/riot-android/releases", "show")</f>
        <v>show</v>
      </c>
      <c r="I3295">
        <v>1</v>
      </c>
      <c r="J3295">
        <v>0</v>
      </c>
      <c r="K3295">
        <v>0</v>
      </c>
      <c r="L3295">
        <v>0</v>
      </c>
      <c r="M3295" t="s">
        <v>17</v>
      </c>
    </row>
    <row r="3296" spans="1:13" hidden="1" x14ac:dyDescent="0.15">
      <c r="A3296" t="s">
        <v>10432</v>
      </c>
      <c r="B3296" t="s">
        <v>10433</v>
      </c>
      <c r="C3296" t="s">
        <v>10434</v>
      </c>
      <c r="D3296" t="s">
        <v>10435</v>
      </c>
      <c r="E3296">
        <v>0</v>
      </c>
      <c r="F3296" t="str">
        <f>HYPERLINK("https://github.com/moneymanagerex/android-money-manager-ex/issues/1160", "show")</f>
        <v>show</v>
      </c>
      <c r="G3296" t="str">
        <f>HYPERLINK("https://github.com/moneymanagerex/android-money-manager-ex", "show")</f>
        <v>show</v>
      </c>
      <c r="H3296" t="str">
        <f>HYPERLINK("https://github.com/moneymanagerex/android-money-manager-ex/releases", "show")</f>
        <v>show</v>
      </c>
      <c r="I3296">
        <v>1</v>
      </c>
      <c r="J3296">
        <v>0</v>
      </c>
      <c r="K3296">
        <v>0</v>
      </c>
      <c r="L3296">
        <v>0</v>
      </c>
      <c r="M3296" t="s">
        <v>17</v>
      </c>
    </row>
    <row r="3297" spans="1:13" hidden="1" x14ac:dyDescent="0.15">
      <c r="A3297" t="s">
        <v>10436</v>
      </c>
      <c r="B3297" t="s">
        <v>10437</v>
      </c>
      <c r="C3297" t="s">
        <v>10438</v>
      </c>
      <c r="D3297" t="s">
        <v>10435</v>
      </c>
      <c r="E3297">
        <v>23</v>
      </c>
      <c r="F3297" t="str">
        <f>HYPERLINK("https://github.com/15calebsmith/Help-From-Above/issues/8", "show")</f>
        <v>show</v>
      </c>
      <c r="G3297" t="str">
        <f>HYPERLINK("https://github.com/15calebsmith/Help-From-Above", "show")</f>
        <v>show</v>
      </c>
      <c r="H3297" t="str">
        <f>HYPERLINK("https://github.com/15calebsmith/Help-From-Above/releases", "show")</f>
        <v>show</v>
      </c>
      <c r="I3297">
        <v>1</v>
      </c>
      <c r="J3297">
        <v>0</v>
      </c>
      <c r="K3297">
        <v>0</v>
      </c>
      <c r="L3297">
        <v>0</v>
      </c>
      <c r="M3297" t="s">
        <v>17</v>
      </c>
    </row>
    <row r="3298" spans="1:13" hidden="1" x14ac:dyDescent="0.15">
      <c r="A3298" t="s">
        <v>10439</v>
      </c>
      <c r="B3298" t="s">
        <v>10440</v>
      </c>
      <c r="D3298" t="s">
        <v>10435</v>
      </c>
      <c r="E3298">
        <v>1</v>
      </c>
      <c r="F3298" t="str">
        <f>HYPERLINK("https://github.com/hzi-braunschweig/SORMAS-Project/issues/381", "show")</f>
        <v>show</v>
      </c>
      <c r="G3298" t="str">
        <f>HYPERLINK("https://github.com/hzi-braunschweig/SORMAS-Project", "show")</f>
        <v>show</v>
      </c>
      <c r="H3298" t="str">
        <f>HYPERLINK("https://github.com/hzi-braunschweig/SORMAS-Project/releases", "show")</f>
        <v>show</v>
      </c>
      <c r="I3298">
        <v>0</v>
      </c>
      <c r="J3298">
        <v>0</v>
      </c>
      <c r="K3298">
        <v>0</v>
      </c>
      <c r="L3298">
        <v>0</v>
      </c>
      <c r="M3298" t="s">
        <v>43</v>
      </c>
    </row>
    <row r="3299" spans="1:13" hidden="1" x14ac:dyDescent="0.15">
      <c r="A3299" t="s">
        <v>10441</v>
      </c>
      <c r="B3299" t="s">
        <v>10442</v>
      </c>
      <c r="C3299" t="s">
        <v>10443</v>
      </c>
      <c r="D3299" t="s">
        <v>10435</v>
      </c>
      <c r="E3299">
        <v>20</v>
      </c>
      <c r="F3299" t="str">
        <f>HYPERLINK("https://github.com/bumptech/glide/issues/2574", "show")</f>
        <v>show</v>
      </c>
      <c r="G3299" t="str">
        <f>HYPERLINK("https://github.com/bumptech/glide", "show")</f>
        <v>show</v>
      </c>
      <c r="H3299" t="str">
        <f>HYPERLINK("https://github.com/bumptech/glide/releases", "show")</f>
        <v>show</v>
      </c>
      <c r="I3299">
        <v>1</v>
      </c>
      <c r="J3299">
        <v>0</v>
      </c>
      <c r="K3299">
        <v>1</v>
      </c>
      <c r="L3299">
        <v>0</v>
      </c>
      <c r="M3299" t="s">
        <v>64</v>
      </c>
    </row>
    <row r="3300" spans="1:13" hidden="1" x14ac:dyDescent="0.15">
      <c r="A3300" t="s">
        <v>10444</v>
      </c>
      <c r="B3300" t="s">
        <v>10445</v>
      </c>
      <c r="C3300" t="s">
        <v>10446</v>
      </c>
      <c r="D3300" t="s">
        <v>10447</v>
      </c>
      <c r="E3300">
        <v>2</v>
      </c>
      <c r="F3300" t="str">
        <f>HYPERLINK("https://github.com/koen20/School/issues/2", "show")</f>
        <v>show</v>
      </c>
      <c r="G3300" t="str">
        <f>HYPERLINK("https://github.com/koen20/School", "show")</f>
        <v>show</v>
      </c>
      <c r="H3300" t="str">
        <f>HYPERLINK("https://github.com/koen20/School/releases", "show")</f>
        <v>show</v>
      </c>
      <c r="I3300">
        <v>0</v>
      </c>
      <c r="J3300">
        <v>0</v>
      </c>
      <c r="K3300">
        <v>1</v>
      </c>
      <c r="L3300">
        <v>0</v>
      </c>
      <c r="M3300" t="s">
        <v>122</v>
      </c>
    </row>
    <row r="3301" spans="1:13" hidden="1" x14ac:dyDescent="0.15">
      <c r="A3301" t="s">
        <v>10448</v>
      </c>
      <c r="B3301" t="s">
        <v>10449</v>
      </c>
      <c r="C3301" t="s">
        <v>10450</v>
      </c>
      <c r="D3301" t="s">
        <v>10447</v>
      </c>
      <c r="E3301">
        <v>592</v>
      </c>
      <c r="F3301" t="str">
        <f>HYPERLINK("https://github.com/TeamNewPipe/NewPipe/issues/824", "show")</f>
        <v>show</v>
      </c>
      <c r="G3301" t="str">
        <f>HYPERLINK("https://github.com/TeamNewPipe/NewPipe", "show")</f>
        <v>show</v>
      </c>
      <c r="H3301" t="str">
        <f>HYPERLINK("https://github.com/TeamNewPipe/NewPipe/releases", "show")</f>
        <v>show</v>
      </c>
      <c r="I3301">
        <v>0</v>
      </c>
      <c r="J3301">
        <v>0</v>
      </c>
      <c r="K3301">
        <v>0</v>
      </c>
      <c r="L3301">
        <v>0</v>
      </c>
      <c r="M3301" t="s">
        <v>43</v>
      </c>
    </row>
    <row r="3302" spans="1:13" hidden="1" x14ac:dyDescent="0.15">
      <c r="A3302" t="s">
        <v>10451</v>
      </c>
      <c r="B3302" t="s">
        <v>10452</v>
      </c>
      <c r="C3302" t="s">
        <v>10453</v>
      </c>
      <c r="D3302" t="s">
        <v>10447</v>
      </c>
      <c r="E3302">
        <v>428</v>
      </c>
      <c r="F3302" t="str">
        <f>HYPERLINK("https://github.com/Cleveroad/AdaptiveTableLayout/issues/19", "show")</f>
        <v>show</v>
      </c>
      <c r="G3302" t="str">
        <f>HYPERLINK("https://github.com/Cleveroad/AdaptiveTableLayout", "show")</f>
        <v>show</v>
      </c>
      <c r="H3302" t="str">
        <f>HYPERLINK("https://github.com/Cleveroad/AdaptiveTableLayout/releases", "show")</f>
        <v>show</v>
      </c>
      <c r="I3302">
        <v>0</v>
      </c>
      <c r="J3302">
        <v>0</v>
      </c>
      <c r="K3302">
        <v>0</v>
      </c>
      <c r="L3302">
        <v>0</v>
      </c>
      <c r="M3302" t="s">
        <v>43</v>
      </c>
    </row>
    <row r="3303" spans="1:13" hidden="1" x14ac:dyDescent="0.15">
      <c r="A3303" t="s">
        <v>10454</v>
      </c>
      <c r="B3303" t="s">
        <v>10455</v>
      </c>
      <c r="C3303" t="s">
        <v>10456</v>
      </c>
      <c r="D3303" t="s">
        <v>10457</v>
      </c>
      <c r="E3303">
        <v>0</v>
      </c>
      <c r="F3303" t="str">
        <f>HYPERLINK("https://github.com/dimagi/commcare-android/issues/1881", "show")</f>
        <v>show</v>
      </c>
      <c r="G3303" t="str">
        <f>HYPERLINK("https://github.com/dimagi/commcare-android", "show")</f>
        <v>show</v>
      </c>
      <c r="H3303" t="str">
        <f>HYPERLINK("https://github.com/dimagi/commcare-android/releases", "show")</f>
        <v>show</v>
      </c>
      <c r="I3303">
        <v>0</v>
      </c>
      <c r="J3303">
        <v>0</v>
      </c>
      <c r="K3303">
        <v>0</v>
      </c>
      <c r="L3303">
        <v>0</v>
      </c>
      <c r="M3303" t="s">
        <v>43</v>
      </c>
    </row>
    <row r="3304" spans="1:13" hidden="1" x14ac:dyDescent="0.15">
      <c r="A3304" t="s">
        <v>10458</v>
      </c>
      <c r="B3304" t="s">
        <v>10459</v>
      </c>
      <c r="C3304" t="s">
        <v>10460</v>
      </c>
      <c r="D3304" t="s">
        <v>10457</v>
      </c>
      <c r="E3304">
        <v>3</v>
      </c>
      <c r="F3304" t="str">
        <f>HYPERLINK("https://github.com/TeamNewPipe/NewPipe/issues/827", "show")</f>
        <v>show</v>
      </c>
      <c r="G3304" t="str">
        <f>HYPERLINK("https://github.com/TeamNewPipe/NewPipe", "show")</f>
        <v>show</v>
      </c>
      <c r="H3304" t="str">
        <f>HYPERLINK("https://github.com/TeamNewPipe/NewPipe/releases", "show")</f>
        <v>show</v>
      </c>
      <c r="I3304">
        <v>1</v>
      </c>
      <c r="J3304">
        <v>1</v>
      </c>
      <c r="K3304">
        <v>0</v>
      </c>
      <c r="L3304">
        <v>0</v>
      </c>
      <c r="M3304" t="s">
        <v>48</v>
      </c>
    </row>
    <row r="3305" spans="1:13" x14ac:dyDescent="0.15">
      <c r="A3305" t="s">
        <v>10461</v>
      </c>
      <c r="B3305" t="s">
        <v>10462</v>
      </c>
      <c r="C3305" t="s">
        <v>10463</v>
      </c>
      <c r="D3305" t="s">
        <v>10457</v>
      </c>
      <c r="E3305">
        <v>4</v>
      </c>
      <c r="F3305" t="str">
        <f>HYPERLINK("https://github.com/andOTP/andOTP/issues/60", "show")</f>
        <v>show</v>
      </c>
      <c r="G3305" t="str">
        <f>HYPERLINK("https://github.com/andOTP/andOTP", "show")</f>
        <v>show</v>
      </c>
      <c r="H3305" t="str">
        <f>HYPERLINK("https://github.com/andOTP/andOTP/releases", "show")</f>
        <v>show</v>
      </c>
      <c r="I3305">
        <v>0</v>
      </c>
      <c r="J3305">
        <v>1</v>
      </c>
      <c r="K3305">
        <v>0</v>
      </c>
      <c r="L3305">
        <v>0</v>
      </c>
      <c r="M3305" t="s">
        <v>139</v>
      </c>
    </row>
    <row r="3306" spans="1:13" hidden="1" x14ac:dyDescent="0.15">
      <c r="A3306" t="s">
        <v>10464</v>
      </c>
      <c r="B3306" t="s">
        <v>10465</v>
      </c>
      <c r="C3306" t="s">
        <v>10466</v>
      </c>
      <c r="D3306" t="s">
        <v>10467</v>
      </c>
      <c r="E3306">
        <v>560</v>
      </c>
      <c r="F3306" t="str">
        <f>HYPERLINK("https://github.com/nextcloud/android/issues/1770", "show")</f>
        <v>show</v>
      </c>
      <c r="G3306" t="str">
        <f>HYPERLINK("https://github.com/nextcloud/android", "show")</f>
        <v>show</v>
      </c>
      <c r="H3306" t="str">
        <f>HYPERLINK("https://github.com/nextcloud/android/releases", "show")</f>
        <v>show</v>
      </c>
      <c r="I3306">
        <v>0</v>
      </c>
      <c r="J3306">
        <v>0</v>
      </c>
      <c r="K3306">
        <v>0</v>
      </c>
      <c r="L3306">
        <v>0</v>
      </c>
      <c r="M3306" t="s">
        <v>43</v>
      </c>
    </row>
    <row r="3307" spans="1:13" hidden="1" x14ac:dyDescent="0.15">
      <c r="A3307" t="s">
        <v>10468</v>
      </c>
      <c r="B3307" t="s">
        <v>10469</v>
      </c>
      <c r="C3307" t="s">
        <v>10470</v>
      </c>
      <c r="D3307" t="s">
        <v>10467</v>
      </c>
      <c r="E3307">
        <v>0</v>
      </c>
      <c r="F3307" t="str">
        <f>HYPERLINK("https://github.com/OCSInventory-NG/AndroidAgent/issues/22", "show")</f>
        <v>show</v>
      </c>
      <c r="G3307" t="str">
        <f>HYPERLINK("https://github.com/OCSInventory-NG/AndroidAgent", "show")</f>
        <v>show</v>
      </c>
      <c r="H3307" t="str">
        <f>HYPERLINK("https://github.com/OCSInventory-NG/AndroidAgent/releases", "show")</f>
        <v>show</v>
      </c>
      <c r="I3307">
        <v>1</v>
      </c>
      <c r="J3307">
        <v>0</v>
      </c>
      <c r="K3307">
        <v>0</v>
      </c>
      <c r="L3307">
        <v>0</v>
      </c>
      <c r="M3307" t="s">
        <v>17</v>
      </c>
    </row>
    <row r="3308" spans="1:13" hidden="1" x14ac:dyDescent="0.15">
      <c r="A3308" t="s">
        <v>10471</v>
      </c>
      <c r="B3308" t="s">
        <v>10472</v>
      </c>
      <c r="C3308" t="s">
        <v>10473</v>
      </c>
      <c r="D3308" t="s">
        <v>10474</v>
      </c>
      <c r="E3308">
        <v>0</v>
      </c>
      <c r="F3308" t="str">
        <f>HYPERLINK("https://github.com/CMPUT301F17T29/HabitUp/issues/84", "show")</f>
        <v>show</v>
      </c>
      <c r="G3308" t="str">
        <f>HYPERLINK("https://github.com/CMPUT301F17T29/HabitUp", "show")</f>
        <v>show</v>
      </c>
      <c r="H3308" t="str">
        <f>HYPERLINK("https://github.com/CMPUT301F17T29/HabitUp/releases", "show")</f>
        <v>show</v>
      </c>
      <c r="I3308">
        <v>1</v>
      </c>
      <c r="J3308">
        <v>0</v>
      </c>
      <c r="K3308">
        <v>0</v>
      </c>
      <c r="L3308">
        <v>0</v>
      </c>
      <c r="M3308" t="s">
        <v>17</v>
      </c>
    </row>
    <row r="3309" spans="1:13" hidden="1" x14ac:dyDescent="0.15">
      <c r="A3309" t="s">
        <v>10475</v>
      </c>
      <c r="B3309" t="s">
        <v>10476</v>
      </c>
      <c r="C3309" t="s">
        <v>10477</v>
      </c>
      <c r="D3309" t="s">
        <v>10478</v>
      </c>
      <c r="E3309">
        <v>0</v>
      </c>
      <c r="F3309" t="str">
        <f>HYPERLINK("https://github.com/CMPUT301F17T02/BAARD/issues/33", "show")</f>
        <v>show</v>
      </c>
      <c r="G3309" t="str">
        <f>HYPERLINK("https://github.com/CMPUT301F17T02/BAARD", "show")</f>
        <v>show</v>
      </c>
      <c r="H3309" t="str">
        <f>HYPERLINK("https://github.com/CMPUT301F17T02/BAARD/releases", "show")</f>
        <v>show</v>
      </c>
      <c r="I3309">
        <v>1</v>
      </c>
      <c r="J3309">
        <v>0</v>
      </c>
      <c r="K3309">
        <v>0</v>
      </c>
      <c r="L3309">
        <v>0</v>
      </c>
      <c r="M3309" t="s">
        <v>17</v>
      </c>
    </row>
    <row r="3310" spans="1:13" hidden="1" x14ac:dyDescent="0.15">
      <c r="A3310" t="s">
        <v>10479</v>
      </c>
      <c r="B3310" t="s">
        <v>10480</v>
      </c>
      <c r="C3310" t="s">
        <v>10481</v>
      </c>
      <c r="D3310" t="s">
        <v>10478</v>
      </c>
      <c r="E3310">
        <v>11</v>
      </c>
      <c r="F3310" t="str">
        <f>HYPERLINK("https://github.com/CMPUT301F17T29/HabitUp/issues/111", "show")</f>
        <v>show</v>
      </c>
      <c r="G3310" t="str">
        <f>HYPERLINK("https://github.com/CMPUT301F17T29/HabitUp", "show")</f>
        <v>show</v>
      </c>
      <c r="H3310" t="str">
        <f>HYPERLINK("https://github.com/CMPUT301F17T29/HabitUp/releases", "show")</f>
        <v>show</v>
      </c>
      <c r="I3310">
        <v>1</v>
      </c>
      <c r="J3310">
        <v>1</v>
      </c>
      <c r="K3310">
        <v>0</v>
      </c>
      <c r="L3310">
        <v>0</v>
      </c>
      <c r="M3310" t="s">
        <v>48</v>
      </c>
    </row>
    <row r="3311" spans="1:13" hidden="1" x14ac:dyDescent="0.15">
      <c r="A3311" t="s">
        <v>10482</v>
      </c>
      <c r="B3311" t="s">
        <v>10121</v>
      </c>
      <c r="C3311" t="s">
        <v>10483</v>
      </c>
      <c r="D3311" t="s">
        <v>10478</v>
      </c>
      <c r="E3311">
        <v>0</v>
      </c>
      <c r="F3311" t="str">
        <f>HYPERLINK("https://github.com/danimahardhika/wallpaperboard/issues/109", "show")</f>
        <v>show</v>
      </c>
      <c r="G3311" t="str">
        <f>HYPERLINK("https://github.com/danimahardhika/wallpaperboard", "show")</f>
        <v>show</v>
      </c>
      <c r="H3311" t="str">
        <f>HYPERLINK("https://github.com/danimahardhika/wallpaperboard/releases", "show")</f>
        <v>show</v>
      </c>
      <c r="I3311">
        <v>1</v>
      </c>
      <c r="J3311">
        <v>0</v>
      </c>
      <c r="K3311">
        <v>1</v>
      </c>
      <c r="L3311">
        <v>0</v>
      </c>
      <c r="M3311" t="s">
        <v>64</v>
      </c>
    </row>
    <row r="3312" spans="1:13" hidden="1" x14ac:dyDescent="0.15">
      <c r="A3312" t="s">
        <v>10484</v>
      </c>
      <c r="B3312" t="s">
        <v>10485</v>
      </c>
      <c r="C3312" t="s">
        <v>10486</v>
      </c>
      <c r="D3312" t="s">
        <v>10487</v>
      </c>
      <c r="E3312">
        <v>1</v>
      </c>
      <c r="F3312" t="str">
        <f>HYPERLINK("https://github.com/novoda/download-manager/issues/250", "show")</f>
        <v>show</v>
      </c>
      <c r="G3312" t="str">
        <f>HYPERLINK("https://github.com/novoda/download-manager", "show")</f>
        <v>show</v>
      </c>
      <c r="H3312" t="str">
        <f>HYPERLINK("https://github.com/novoda/download-manager/releases", "show")</f>
        <v>show</v>
      </c>
      <c r="I3312">
        <v>1</v>
      </c>
      <c r="J3312">
        <v>0</v>
      </c>
      <c r="K3312">
        <v>0</v>
      </c>
      <c r="L3312">
        <v>0</v>
      </c>
      <c r="M3312" t="s">
        <v>17</v>
      </c>
    </row>
    <row r="3313" spans="1:13" hidden="1" x14ac:dyDescent="0.15">
      <c r="A3313" t="s">
        <v>10488</v>
      </c>
      <c r="B3313" t="s">
        <v>4871</v>
      </c>
      <c r="C3313" t="s">
        <v>504</v>
      </c>
      <c r="D3313" t="s">
        <v>10487</v>
      </c>
      <c r="E3313">
        <v>109</v>
      </c>
      <c r="F3313" t="str">
        <f>HYPERLINK("https://github.com/tanrabad/survey/issues/41", "show")</f>
        <v>show</v>
      </c>
      <c r="G3313" t="str">
        <f>HYPERLINK("https://github.com/tanrabad/survey", "show")</f>
        <v>show</v>
      </c>
      <c r="H3313" t="str">
        <f>HYPERLINK("https://github.com/tanrabad/survey/releases", "show")</f>
        <v>show</v>
      </c>
      <c r="I3313">
        <v>1</v>
      </c>
      <c r="J3313">
        <v>0</v>
      </c>
      <c r="K3313">
        <v>0</v>
      </c>
      <c r="L3313">
        <v>0</v>
      </c>
      <c r="M3313" t="s">
        <v>17</v>
      </c>
    </row>
    <row r="3314" spans="1:13" hidden="1" x14ac:dyDescent="0.15">
      <c r="A3314" t="s">
        <v>10489</v>
      </c>
      <c r="B3314" t="s">
        <v>10490</v>
      </c>
      <c r="C3314" t="s">
        <v>10491</v>
      </c>
      <c r="D3314" t="s">
        <v>10492</v>
      </c>
      <c r="E3314">
        <v>16</v>
      </c>
      <c r="F3314" t="str">
        <f>HYPERLINK("https://github.com/dimagi/commcare-android/issues/1887", "show")</f>
        <v>show</v>
      </c>
      <c r="G3314" t="str">
        <f>HYPERLINK("https://github.com/dimagi/commcare-android", "show")</f>
        <v>show</v>
      </c>
      <c r="H3314" t="str">
        <f>HYPERLINK("https://github.com/dimagi/commcare-android/releases", "show")</f>
        <v>show</v>
      </c>
      <c r="I3314">
        <v>0</v>
      </c>
      <c r="J3314">
        <v>0</v>
      </c>
      <c r="K3314">
        <v>0</v>
      </c>
      <c r="L3314">
        <v>0</v>
      </c>
      <c r="M3314" t="s">
        <v>43</v>
      </c>
    </row>
    <row r="3315" spans="1:13" x14ac:dyDescent="0.15">
      <c r="A3315" t="s">
        <v>10493</v>
      </c>
      <c r="B3315" t="s">
        <v>10494</v>
      </c>
      <c r="C3315" t="s">
        <v>10495</v>
      </c>
      <c r="D3315" t="s">
        <v>10492</v>
      </c>
      <c r="E3315">
        <v>143</v>
      </c>
      <c r="F3315" t="str">
        <f>HYPERLINK("https://github.com/LonamiWebs/Stringlate/issues/161", "show")</f>
        <v>show</v>
      </c>
      <c r="G3315" t="str">
        <f>HYPERLINK("https://github.com/LonamiWebs/Stringlate", "show")</f>
        <v>show</v>
      </c>
      <c r="H3315" t="str">
        <f>HYPERLINK("https://github.com/LonamiWebs/Stringlate/releases", "show")</f>
        <v>show</v>
      </c>
      <c r="I3315">
        <v>0</v>
      </c>
      <c r="J3315">
        <v>1</v>
      </c>
      <c r="K3315">
        <v>0</v>
      </c>
      <c r="L3315">
        <v>0</v>
      </c>
      <c r="M3315" t="s">
        <v>139</v>
      </c>
    </row>
    <row r="3316" spans="1:13" hidden="1" x14ac:dyDescent="0.15">
      <c r="A3316" t="s">
        <v>10496</v>
      </c>
      <c r="B3316" t="s">
        <v>10497</v>
      </c>
      <c r="D3316" t="s">
        <v>10492</v>
      </c>
      <c r="E3316">
        <v>0</v>
      </c>
      <c r="F3316" t="str">
        <f>HYPERLINK("https://github.com/leancloud/android-sdk-all/issues/105", "show")</f>
        <v>show</v>
      </c>
      <c r="G3316" t="str">
        <f>HYPERLINK("https://github.com/leancloud/android-sdk-all", "show")</f>
        <v>show</v>
      </c>
      <c r="H3316" t="str">
        <f>HYPERLINK("https://github.com/leancloud/android-sdk-all/releases", "show")</f>
        <v>show</v>
      </c>
      <c r="I3316">
        <v>0</v>
      </c>
      <c r="J3316">
        <v>0</v>
      </c>
      <c r="K3316">
        <v>0</v>
      </c>
      <c r="L3316">
        <v>0</v>
      </c>
      <c r="M3316" t="s">
        <v>43</v>
      </c>
    </row>
    <row r="3317" spans="1:13" hidden="1" x14ac:dyDescent="0.15">
      <c r="A3317" t="s">
        <v>10498</v>
      </c>
      <c r="B3317" t="s">
        <v>4871</v>
      </c>
      <c r="C3317" t="s">
        <v>504</v>
      </c>
      <c r="D3317" t="s">
        <v>10492</v>
      </c>
      <c r="E3317">
        <v>108</v>
      </c>
      <c r="F3317" t="str">
        <f>HYPERLINK("https://github.com/tanrabad/survey/issues/42", "show")</f>
        <v>show</v>
      </c>
      <c r="G3317" t="str">
        <f>HYPERLINK("https://github.com/tanrabad/survey", "show")</f>
        <v>show</v>
      </c>
      <c r="H3317" t="str">
        <f>HYPERLINK("https://github.com/tanrabad/survey/releases", "show")</f>
        <v>show</v>
      </c>
      <c r="I3317">
        <v>1</v>
      </c>
      <c r="J3317">
        <v>0</v>
      </c>
      <c r="K3317">
        <v>0</v>
      </c>
      <c r="L3317">
        <v>0</v>
      </c>
      <c r="M3317" t="s">
        <v>17</v>
      </c>
    </row>
    <row r="3318" spans="1:13" hidden="1" x14ac:dyDescent="0.15">
      <c r="A3318" t="s">
        <v>10499</v>
      </c>
      <c r="B3318" t="s">
        <v>10500</v>
      </c>
      <c r="C3318" t="s">
        <v>10501</v>
      </c>
      <c r="D3318" t="s">
        <v>10502</v>
      </c>
      <c r="E3318">
        <v>1</v>
      </c>
      <c r="F3318" t="str">
        <f>HYPERLINK("https://github.com/Del-S/WearFingerprint/issues/5", "show")</f>
        <v>show</v>
      </c>
      <c r="G3318" t="str">
        <f>HYPERLINK("https://github.com/Del-S/WearFingerprint", "show")</f>
        <v>show</v>
      </c>
      <c r="H3318" t="str">
        <f>HYPERLINK("https://github.com/Del-S/WearFingerprint/releases", "show")</f>
        <v>show</v>
      </c>
      <c r="I3318">
        <v>1</v>
      </c>
      <c r="J3318">
        <v>0</v>
      </c>
      <c r="K3318">
        <v>0</v>
      </c>
      <c r="L3318">
        <v>0</v>
      </c>
      <c r="M3318" t="s">
        <v>17</v>
      </c>
    </row>
    <row r="3319" spans="1:13" hidden="1" x14ac:dyDescent="0.15">
      <c r="A3319" t="s">
        <v>10503</v>
      </c>
      <c r="B3319" t="s">
        <v>6920</v>
      </c>
      <c r="C3319" t="s">
        <v>10504</v>
      </c>
      <c r="D3319" t="s">
        <v>10502</v>
      </c>
      <c r="E3319">
        <v>2</v>
      </c>
      <c r="F3319" t="str">
        <f>HYPERLINK("https://github.com/Meisterschueler/ogn-viewer-android/issues/3", "show")</f>
        <v>show</v>
      </c>
      <c r="G3319" t="str">
        <f>HYPERLINK("https://github.com/Meisterschueler/ogn-viewer-android", "show")</f>
        <v>show</v>
      </c>
      <c r="H3319" t="str">
        <f>HYPERLINK("https://github.com/Meisterschueler/ogn-viewer-android/releases", "show")</f>
        <v>show</v>
      </c>
      <c r="I3319">
        <v>1</v>
      </c>
      <c r="J3319">
        <v>0</v>
      </c>
      <c r="K3319">
        <v>0</v>
      </c>
      <c r="L3319">
        <v>0</v>
      </c>
      <c r="M3319" t="s">
        <v>17</v>
      </c>
    </row>
    <row r="3320" spans="1:13" hidden="1" x14ac:dyDescent="0.15">
      <c r="A3320" t="s">
        <v>10505</v>
      </c>
      <c r="B3320" t="s">
        <v>10506</v>
      </c>
      <c r="C3320" t="s">
        <v>10507</v>
      </c>
      <c r="D3320" t="s">
        <v>10502</v>
      </c>
      <c r="E3320">
        <v>21</v>
      </c>
      <c r="F3320" t="str">
        <f>HYPERLINK("https://github.com/alhazmy13/MediaPicker/issues/39", "show")</f>
        <v>show</v>
      </c>
      <c r="G3320" t="str">
        <f>HYPERLINK("https://github.com/alhazmy13/MediaPicker", "show")</f>
        <v>show</v>
      </c>
      <c r="H3320" t="str">
        <f>HYPERLINK("https://github.com/alhazmy13/MediaPicker/releases", "show")</f>
        <v>show</v>
      </c>
      <c r="I3320">
        <v>1</v>
      </c>
      <c r="J3320">
        <v>0</v>
      </c>
      <c r="K3320">
        <v>1</v>
      </c>
      <c r="L3320">
        <v>0</v>
      </c>
      <c r="M3320" t="s">
        <v>64</v>
      </c>
    </row>
    <row r="3321" spans="1:13" hidden="1" x14ac:dyDescent="0.15">
      <c r="A3321" t="s">
        <v>10508</v>
      </c>
      <c r="B3321" t="s">
        <v>10509</v>
      </c>
      <c r="C3321" t="s">
        <v>10510</v>
      </c>
      <c r="D3321" t="s">
        <v>10511</v>
      </c>
      <c r="E3321">
        <v>20</v>
      </c>
      <c r="F3321" t="str">
        <f>HYPERLINK("https://github.com/dimagi/commcare-android/issues/1888", "show")</f>
        <v>show</v>
      </c>
      <c r="G3321" t="str">
        <f>HYPERLINK("https://github.com/dimagi/commcare-android", "show")</f>
        <v>show</v>
      </c>
      <c r="H3321" t="str">
        <f>HYPERLINK("https://github.com/dimagi/commcare-android/releases", "show")</f>
        <v>show</v>
      </c>
      <c r="I3321">
        <v>1</v>
      </c>
      <c r="J3321">
        <v>0</v>
      </c>
      <c r="K3321">
        <v>0</v>
      </c>
      <c r="L3321">
        <v>0</v>
      </c>
      <c r="M3321" t="s">
        <v>17</v>
      </c>
    </row>
    <row r="3322" spans="1:13" hidden="1" x14ac:dyDescent="0.15">
      <c r="A3322" t="s">
        <v>10512</v>
      </c>
      <c r="B3322" t="s">
        <v>10513</v>
      </c>
      <c r="C3322" t="s">
        <v>10514</v>
      </c>
      <c r="D3322" t="s">
        <v>10515</v>
      </c>
      <c r="E3322">
        <v>1004</v>
      </c>
      <c r="F3322" t="str">
        <f>HYPERLINK("https://github.com/commons-app/apps-android-commons/issues/966", "show")</f>
        <v>show</v>
      </c>
      <c r="G3322" t="str">
        <f>HYPERLINK("https://github.com/commons-app/apps-android-commons", "show")</f>
        <v>show</v>
      </c>
      <c r="H3322" t="str">
        <f>HYPERLINK("https://github.com/commons-app/apps-android-commons/releases", "show")</f>
        <v>show</v>
      </c>
      <c r="I3322">
        <v>1</v>
      </c>
      <c r="J3322">
        <v>0</v>
      </c>
      <c r="K3322">
        <v>1</v>
      </c>
      <c r="L3322">
        <v>0</v>
      </c>
      <c r="M3322" t="s">
        <v>64</v>
      </c>
    </row>
    <row r="3323" spans="1:13" hidden="1" x14ac:dyDescent="0.15">
      <c r="A3323" t="s">
        <v>10516</v>
      </c>
      <c r="B3323" t="s">
        <v>10517</v>
      </c>
      <c r="C3323" t="s">
        <v>10518</v>
      </c>
      <c r="D3323" t="s">
        <v>10519</v>
      </c>
      <c r="E3323">
        <v>3</v>
      </c>
      <c r="F3323" t="str">
        <f>HYPERLINK("https://github.com/ramack/ActivityDiary/issues/41", "show")</f>
        <v>show</v>
      </c>
      <c r="G3323" t="str">
        <f>HYPERLINK("https://github.com/ramack/ActivityDiary", "show")</f>
        <v>show</v>
      </c>
      <c r="H3323" t="str">
        <f>HYPERLINK("https://github.com/ramack/ActivityDiary/releases", "show")</f>
        <v>show</v>
      </c>
      <c r="I3323">
        <v>1</v>
      </c>
      <c r="J3323">
        <v>0</v>
      </c>
      <c r="K3323">
        <v>0</v>
      </c>
      <c r="L3323">
        <v>0</v>
      </c>
      <c r="M3323" t="s">
        <v>17</v>
      </c>
    </row>
    <row r="3324" spans="1:13" hidden="1" x14ac:dyDescent="0.15">
      <c r="A3324" t="s">
        <v>10520</v>
      </c>
      <c r="B3324" t="s">
        <v>10521</v>
      </c>
      <c r="C3324" t="s">
        <v>10522</v>
      </c>
      <c r="D3324" t="s">
        <v>10519</v>
      </c>
      <c r="E3324">
        <v>16</v>
      </c>
      <c r="F3324" t="str">
        <f>HYPERLINK("https://github.com/Leo-App/android/issues/14", "show")</f>
        <v>show</v>
      </c>
      <c r="G3324" t="str">
        <f>HYPERLINK("https://github.com/Leo-App/android", "show")</f>
        <v>show</v>
      </c>
      <c r="H3324" t="str">
        <f>HYPERLINK("https://github.com/Leo-App/android/releases", "show")</f>
        <v>show</v>
      </c>
      <c r="I3324">
        <v>0</v>
      </c>
      <c r="J3324">
        <v>0</v>
      </c>
      <c r="K3324">
        <v>0</v>
      </c>
      <c r="L3324">
        <v>0</v>
      </c>
      <c r="M3324" t="s">
        <v>43</v>
      </c>
    </row>
    <row r="3325" spans="1:13" hidden="1" x14ac:dyDescent="0.15">
      <c r="A3325" t="s">
        <v>10523</v>
      </c>
      <c r="B3325" t="s">
        <v>10524</v>
      </c>
      <c r="C3325" t="s">
        <v>10525</v>
      </c>
      <c r="D3325" t="s">
        <v>10519</v>
      </c>
      <c r="E3325">
        <v>0</v>
      </c>
      <c r="F3325" t="str">
        <f>HYPERLINK("https://github.com/mehtank/androminion/issues/494", "show")</f>
        <v>show</v>
      </c>
      <c r="G3325" t="str">
        <f>HYPERLINK("https://github.com/mehtank/androminion", "show")</f>
        <v>show</v>
      </c>
      <c r="H3325" t="str">
        <f>HYPERLINK("https://github.com/mehtank/androminion/releases", "show")</f>
        <v>show</v>
      </c>
      <c r="I3325">
        <v>1</v>
      </c>
      <c r="J3325">
        <v>0</v>
      </c>
      <c r="K3325">
        <v>0</v>
      </c>
      <c r="L3325">
        <v>0</v>
      </c>
      <c r="M3325" t="s">
        <v>17</v>
      </c>
    </row>
    <row r="3326" spans="1:13" hidden="1" x14ac:dyDescent="0.15">
      <c r="A3326" t="s">
        <v>10526</v>
      </c>
      <c r="B3326" t="s">
        <v>10527</v>
      </c>
      <c r="C3326" t="s">
        <v>504</v>
      </c>
      <c r="D3326" t="s">
        <v>10528</v>
      </c>
      <c r="E3326">
        <v>395</v>
      </c>
      <c r="F3326" t="str">
        <f>HYPERLINK("https://github.com/niclabs/adkintunmobile-androidclient/issues/185", "show")</f>
        <v>show</v>
      </c>
      <c r="G3326" t="str">
        <f>HYPERLINK("https://github.com/niclabs/adkintunmobile-androidclient", "show")</f>
        <v>show</v>
      </c>
      <c r="H3326" t="str">
        <f>HYPERLINK("https://github.com/niclabs/adkintunmobile-androidclient/releases", "show")</f>
        <v>show</v>
      </c>
      <c r="I3326">
        <v>1</v>
      </c>
      <c r="J3326">
        <v>0</v>
      </c>
      <c r="K3326">
        <v>0</v>
      </c>
      <c r="L3326">
        <v>0</v>
      </c>
      <c r="M3326" t="s">
        <v>17</v>
      </c>
    </row>
    <row r="3327" spans="1:13" hidden="1" x14ac:dyDescent="0.15">
      <c r="A3327" t="s">
        <v>10529</v>
      </c>
      <c r="B3327" t="s">
        <v>10530</v>
      </c>
      <c r="C3327" t="s">
        <v>10531</v>
      </c>
      <c r="D3327" t="s">
        <v>10528</v>
      </c>
      <c r="E3327">
        <v>21</v>
      </c>
      <c r="F3327" t="str">
        <f>HYPERLINK("https://github.com/vijai1996/screenrecorder/issues/32", "show")</f>
        <v>show</v>
      </c>
      <c r="G3327" t="str">
        <f>HYPERLINK("https://github.com/vijai1996/screenrecorder", "show")</f>
        <v>show</v>
      </c>
      <c r="H3327" t="str">
        <f>HYPERLINK("https://github.com/vijai1996/screenrecorder/releases", "show")</f>
        <v>show</v>
      </c>
      <c r="I3327">
        <v>1</v>
      </c>
      <c r="J3327">
        <v>0</v>
      </c>
      <c r="K3327">
        <v>0</v>
      </c>
      <c r="L3327">
        <v>0</v>
      </c>
      <c r="M3327" t="s">
        <v>17</v>
      </c>
    </row>
    <row r="3328" spans="1:13" hidden="1" x14ac:dyDescent="0.15">
      <c r="A3328" t="s">
        <v>10532</v>
      </c>
      <c r="B3328" t="s">
        <v>10533</v>
      </c>
      <c r="C3328" t="s">
        <v>10534</v>
      </c>
      <c r="D3328" t="s">
        <v>10535</v>
      </c>
      <c r="E3328">
        <v>1</v>
      </c>
      <c r="F3328" t="str">
        <f>HYPERLINK("https://github.com/dimagi/commcare-android/issues/1890", "show")</f>
        <v>show</v>
      </c>
      <c r="G3328" t="str">
        <f>HYPERLINK("https://github.com/dimagi/commcare-android", "show")</f>
        <v>show</v>
      </c>
      <c r="H3328" t="str">
        <f>HYPERLINK("https://github.com/dimagi/commcare-android/releases", "show")</f>
        <v>show</v>
      </c>
      <c r="I3328">
        <v>1</v>
      </c>
      <c r="J3328">
        <v>0</v>
      </c>
      <c r="K3328">
        <v>0</v>
      </c>
      <c r="L3328">
        <v>0</v>
      </c>
      <c r="M3328" t="s">
        <v>17</v>
      </c>
    </row>
    <row r="3329" spans="1:13" hidden="1" x14ac:dyDescent="0.15">
      <c r="A3329" t="s">
        <v>10536</v>
      </c>
      <c r="B3329" t="s">
        <v>10537</v>
      </c>
      <c r="C3329" t="s">
        <v>10538</v>
      </c>
      <c r="D3329" t="s">
        <v>10535</v>
      </c>
      <c r="E3329">
        <v>149</v>
      </c>
      <c r="F3329" t="str">
        <f>HYPERLINK("https://github.com/alhazmy13/MediaPicker/issues/40", "show")</f>
        <v>show</v>
      </c>
      <c r="G3329" t="str">
        <f>HYPERLINK("https://github.com/alhazmy13/MediaPicker", "show")</f>
        <v>show</v>
      </c>
      <c r="H3329" t="str">
        <f>HYPERLINK("https://github.com/alhazmy13/MediaPicker/releases", "show")</f>
        <v>show</v>
      </c>
      <c r="I3329">
        <v>1</v>
      </c>
      <c r="J3329">
        <v>0</v>
      </c>
      <c r="K3329">
        <v>1</v>
      </c>
      <c r="L3329">
        <v>0</v>
      </c>
      <c r="M3329" t="s">
        <v>64</v>
      </c>
    </row>
    <row r="3330" spans="1:13" hidden="1" x14ac:dyDescent="0.15">
      <c r="A3330" t="s">
        <v>10539</v>
      </c>
      <c r="B3330" t="s">
        <v>10540</v>
      </c>
      <c r="C3330" t="s">
        <v>10541</v>
      </c>
      <c r="D3330" t="s">
        <v>10535</v>
      </c>
      <c r="E3330">
        <v>56</v>
      </c>
      <c r="F3330" t="str">
        <f>HYPERLINK("https://github.com/nextcloud/android/issues/1800", "show")</f>
        <v>show</v>
      </c>
      <c r="G3330" t="str">
        <f>HYPERLINK("https://github.com/nextcloud/android", "show")</f>
        <v>show</v>
      </c>
      <c r="H3330" t="str">
        <f>HYPERLINK("https://github.com/nextcloud/android/releases", "show")</f>
        <v>show</v>
      </c>
      <c r="I3330">
        <v>1</v>
      </c>
      <c r="J3330">
        <v>0</v>
      </c>
      <c r="K3330">
        <v>0</v>
      </c>
      <c r="L3330">
        <v>0</v>
      </c>
      <c r="M3330" t="s">
        <v>17</v>
      </c>
    </row>
    <row r="3331" spans="1:13" hidden="1" x14ac:dyDescent="0.15">
      <c r="A3331" t="s">
        <v>10542</v>
      </c>
      <c r="B3331" t="s">
        <v>10543</v>
      </c>
      <c r="C3331" t="s">
        <v>10544</v>
      </c>
      <c r="D3331" t="s">
        <v>10535</v>
      </c>
      <c r="E3331">
        <v>46</v>
      </c>
      <c r="F3331" t="str">
        <f>HYPERLINK("https://github.com/michael-rapp/AndroidMaterialPreferences/issues/16", "show")</f>
        <v>show</v>
      </c>
      <c r="G3331" t="str">
        <f>HYPERLINK("https://github.com/michael-rapp/AndroidMaterialPreferences", "show")</f>
        <v>show</v>
      </c>
      <c r="H3331" t="str">
        <f>HYPERLINK("https://github.com/michael-rapp/AndroidMaterialPreferences/releases", "show")</f>
        <v>show</v>
      </c>
      <c r="I3331">
        <v>1</v>
      </c>
      <c r="J3331">
        <v>0</v>
      </c>
      <c r="K3331">
        <v>1</v>
      </c>
      <c r="L3331">
        <v>0</v>
      </c>
      <c r="M3331" t="s">
        <v>64</v>
      </c>
    </row>
    <row r="3332" spans="1:13" hidden="1" x14ac:dyDescent="0.15">
      <c r="A3332" t="s">
        <v>10545</v>
      </c>
      <c r="B3332" t="s">
        <v>10546</v>
      </c>
      <c r="C3332" t="s">
        <v>10547</v>
      </c>
      <c r="D3332" t="s">
        <v>10548</v>
      </c>
      <c r="E3332">
        <v>0</v>
      </c>
      <c r="F3332" t="str">
        <f>HYPERLINK("https://github.com/Sw24Softwares/StarkeVerben/issues/12", "show")</f>
        <v>show</v>
      </c>
      <c r="G3332" t="str">
        <f>HYPERLINK("https://github.com/Sw24Softwares/StarkeVerben", "show")</f>
        <v>show</v>
      </c>
      <c r="H3332" t="str">
        <f>HYPERLINK("https://github.com/Sw24Softwares/StarkeVerben/releases", "show")</f>
        <v>show</v>
      </c>
      <c r="I3332">
        <v>1</v>
      </c>
      <c r="J3332">
        <v>0</v>
      </c>
      <c r="K3332">
        <v>1</v>
      </c>
      <c r="L3332">
        <v>0</v>
      </c>
      <c r="M3332" t="s">
        <v>64</v>
      </c>
    </row>
    <row r="3333" spans="1:13" hidden="1" x14ac:dyDescent="0.15">
      <c r="A3333" t="s">
        <v>10549</v>
      </c>
      <c r="B3333" t="s">
        <v>10550</v>
      </c>
      <c r="D3333" t="s">
        <v>10551</v>
      </c>
      <c r="E3333">
        <v>0</v>
      </c>
      <c r="F3333" t="str">
        <f>HYPERLINK("https://github.com/elimu-ai/appstore/issues/125", "show")</f>
        <v>show</v>
      </c>
      <c r="G3333" t="str">
        <f>HYPERLINK("https://github.com/elimu-ai/appstore", "show")</f>
        <v>show</v>
      </c>
      <c r="H3333" t="str">
        <f>HYPERLINK("https://github.com/elimu-ai/appstore/releases", "show")</f>
        <v>show</v>
      </c>
      <c r="I3333">
        <v>1</v>
      </c>
      <c r="J3333">
        <v>0</v>
      </c>
      <c r="K3333">
        <v>0</v>
      </c>
      <c r="L3333">
        <v>0</v>
      </c>
      <c r="M3333" t="s">
        <v>17</v>
      </c>
    </row>
    <row r="3334" spans="1:13" hidden="1" x14ac:dyDescent="0.15">
      <c r="A3334" t="s">
        <v>10552</v>
      </c>
      <c r="B3334" t="s">
        <v>4871</v>
      </c>
      <c r="C3334" t="s">
        <v>504</v>
      </c>
      <c r="D3334" t="s">
        <v>10551</v>
      </c>
      <c r="E3334">
        <v>100</v>
      </c>
      <c r="F3334" t="str">
        <f>HYPERLINK("https://github.com/tanrabad/survey/issues/43", "show")</f>
        <v>show</v>
      </c>
      <c r="G3334" t="str">
        <f>HYPERLINK("https://github.com/tanrabad/survey", "show")</f>
        <v>show</v>
      </c>
      <c r="H3334" t="str">
        <f>HYPERLINK("https://github.com/tanrabad/survey/releases", "show")</f>
        <v>show</v>
      </c>
      <c r="I3334">
        <v>1</v>
      </c>
      <c r="J3334">
        <v>0</v>
      </c>
      <c r="K3334">
        <v>0</v>
      </c>
      <c r="L3334">
        <v>0</v>
      </c>
      <c r="M3334" t="s">
        <v>17</v>
      </c>
    </row>
    <row r="3335" spans="1:13" hidden="1" x14ac:dyDescent="0.15">
      <c r="A3335" t="s">
        <v>10553</v>
      </c>
      <c r="B3335" t="s">
        <v>10554</v>
      </c>
      <c r="C3335" t="s">
        <v>10555</v>
      </c>
      <c r="D3335" t="s">
        <v>10551</v>
      </c>
      <c r="E3335">
        <v>414</v>
      </c>
      <c r="F3335" t="str">
        <f>HYPERLINK("https://github.com/Cleveroad/AdaptiveTableLayout/issues/20", "show")</f>
        <v>show</v>
      </c>
      <c r="G3335" t="str">
        <f>HYPERLINK("https://github.com/Cleveroad/AdaptiveTableLayout", "show")</f>
        <v>show</v>
      </c>
      <c r="H3335" t="str">
        <f>HYPERLINK("https://github.com/Cleveroad/AdaptiveTableLayout/releases", "show")</f>
        <v>show</v>
      </c>
      <c r="I3335">
        <v>1</v>
      </c>
      <c r="J3335">
        <v>0</v>
      </c>
      <c r="K3335">
        <v>0</v>
      </c>
      <c r="L3335">
        <v>0</v>
      </c>
      <c r="M3335" t="s">
        <v>17</v>
      </c>
    </row>
    <row r="3336" spans="1:13" hidden="1" x14ac:dyDescent="0.15">
      <c r="A3336" t="s">
        <v>10556</v>
      </c>
      <c r="B3336" t="s">
        <v>10557</v>
      </c>
      <c r="D3336" t="s">
        <v>10558</v>
      </c>
      <c r="E3336">
        <v>0</v>
      </c>
      <c r="F3336" t="str">
        <f>HYPERLINK("https://github.com/CMPUT301F17T02/BAARD/issues/90", "show")</f>
        <v>show</v>
      </c>
      <c r="G3336" t="str">
        <f>HYPERLINK("https://github.com/CMPUT301F17T02/BAARD", "show")</f>
        <v>show</v>
      </c>
      <c r="H3336" t="str">
        <f>HYPERLINK("https://github.com/CMPUT301F17T02/BAARD/releases", "show")</f>
        <v>show</v>
      </c>
      <c r="I3336">
        <v>1</v>
      </c>
      <c r="J3336">
        <v>0</v>
      </c>
      <c r="K3336">
        <v>0</v>
      </c>
      <c r="L3336">
        <v>0</v>
      </c>
      <c r="M3336" t="s">
        <v>17</v>
      </c>
    </row>
    <row r="3337" spans="1:13" hidden="1" x14ac:dyDescent="0.15">
      <c r="A3337" t="s">
        <v>10559</v>
      </c>
      <c r="B3337" t="s">
        <v>10560</v>
      </c>
      <c r="C3337" t="s">
        <v>10561</v>
      </c>
      <c r="D3337" t="s">
        <v>10558</v>
      </c>
      <c r="E3337">
        <v>33</v>
      </c>
      <c r="F3337" t="str">
        <f>HYPERLINK("https://github.com/MCMrARM/revolution-irc/issues/43", "show")</f>
        <v>show</v>
      </c>
      <c r="G3337" t="str">
        <f>HYPERLINK("https://github.com/MCMrARM/revolution-irc", "show")</f>
        <v>show</v>
      </c>
      <c r="H3337" t="str">
        <f>HYPERLINK("https://github.com/MCMrARM/revolution-irc/releases", "show")</f>
        <v>show</v>
      </c>
      <c r="I3337">
        <v>1</v>
      </c>
      <c r="J3337">
        <v>0</v>
      </c>
      <c r="K3337">
        <v>1</v>
      </c>
      <c r="L3337">
        <v>0</v>
      </c>
      <c r="M3337" t="s">
        <v>64</v>
      </c>
    </row>
    <row r="3338" spans="1:13" hidden="1" x14ac:dyDescent="0.15">
      <c r="A3338" t="s">
        <v>10562</v>
      </c>
      <c r="B3338" t="s">
        <v>10563</v>
      </c>
      <c r="C3338" t="s">
        <v>504</v>
      </c>
      <c r="D3338" t="s">
        <v>10558</v>
      </c>
      <c r="E3338">
        <v>391</v>
      </c>
      <c r="F3338" t="str">
        <f>HYPERLINK("https://github.com/niclabs/adkintunmobile-androidclient/issues/186", "show")</f>
        <v>show</v>
      </c>
      <c r="G3338" t="str">
        <f>HYPERLINK("https://github.com/niclabs/adkintunmobile-androidclient", "show")</f>
        <v>show</v>
      </c>
      <c r="H3338" t="str">
        <f>HYPERLINK("https://github.com/niclabs/adkintunmobile-androidclient/releases", "show")</f>
        <v>show</v>
      </c>
      <c r="I3338">
        <v>1</v>
      </c>
      <c r="J3338">
        <v>0</v>
      </c>
      <c r="K3338">
        <v>0</v>
      </c>
      <c r="L3338">
        <v>0</v>
      </c>
      <c r="M3338" t="s">
        <v>17</v>
      </c>
    </row>
    <row r="3339" spans="1:13" hidden="1" x14ac:dyDescent="0.15">
      <c r="A3339" t="s">
        <v>10564</v>
      </c>
      <c r="B3339" t="s">
        <v>10565</v>
      </c>
      <c r="C3339" t="s">
        <v>10566</v>
      </c>
      <c r="D3339" t="s">
        <v>10558</v>
      </c>
      <c r="E3339">
        <v>905</v>
      </c>
      <c r="F3339" t="str">
        <f>HYPERLINK("https://github.com/ZieIony/Carbon/issues/326", "show")</f>
        <v>show</v>
      </c>
      <c r="G3339" t="str">
        <f>HYPERLINK("https://github.com/ZieIony/Carbon", "show")</f>
        <v>show</v>
      </c>
      <c r="H3339" t="str">
        <f>HYPERLINK("https://github.com/ZieIony/Carbon/releases", "show")</f>
        <v>show</v>
      </c>
      <c r="I3339">
        <v>1</v>
      </c>
      <c r="J3339">
        <v>0</v>
      </c>
      <c r="K3339">
        <v>1</v>
      </c>
      <c r="L3339">
        <v>0</v>
      </c>
      <c r="M3339" t="s">
        <v>64</v>
      </c>
    </row>
    <row r="3340" spans="1:13" hidden="1" x14ac:dyDescent="0.15">
      <c r="A3340" t="s">
        <v>10567</v>
      </c>
      <c r="B3340" t="s">
        <v>10568</v>
      </c>
      <c r="C3340" t="s">
        <v>10569</v>
      </c>
      <c r="D3340" t="s">
        <v>10570</v>
      </c>
      <c r="E3340">
        <v>59</v>
      </c>
      <c r="F3340" t="str">
        <f>HYPERLINK("https://github.com/PhilippC/keepass2android/issues/139", "show")</f>
        <v>show</v>
      </c>
      <c r="G3340" t="str">
        <f>HYPERLINK("https://github.com/PhilippC/keepass2android", "show")</f>
        <v>show</v>
      </c>
      <c r="H3340" t="str">
        <f>HYPERLINK("https://github.com/PhilippC/keepass2android/releases", "show")</f>
        <v>show</v>
      </c>
      <c r="I3340">
        <v>1</v>
      </c>
      <c r="J3340">
        <v>0</v>
      </c>
      <c r="K3340">
        <v>0</v>
      </c>
      <c r="L3340">
        <v>0</v>
      </c>
      <c r="M3340" t="s">
        <v>17</v>
      </c>
    </row>
    <row r="3341" spans="1:13" hidden="1" x14ac:dyDescent="0.15">
      <c r="A3341" t="s">
        <v>10571</v>
      </c>
      <c r="B3341" t="s">
        <v>10572</v>
      </c>
      <c r="C3341" t="s">
        <v>10573</v>
      </c>
      <c r="D3341" t="s">
        <v>10570</v>
      </c>
      <c r="E3341">
        <v>1</v>
      </c>
      <c r="F3341" t="str">
        <f>HYPERLINK("https://github.com/PhilippC/keepass2android/issues/138", "show")</f>
        <v>show</v>
      </c>
      <c r="G3341" t="str">
        <f>HYPERLINK("https://github.com/PhilippC/keepass2android", "show")</f>
        <v>show</v>
      </c>
      <c r="H3341" t="str">
        <f>HYPERLINK("https://github.com/PhilippC/keepass2android/releases", "show")</f>
        <v>show</v>
      </c>
      <c r="I3341">
        <v>0</v>
      </c>
      <c r="J3341">
        <v>0</v>
      </c>
      <c r="K3341">
        <v>0</v>
      </c>
      <c r="L3341">
        <v>0</v>
      </c>
      <c r="M3341" t="s">
        <v>43</v>
      </c>
    </row>
    <row r="3342" spans="1:13" hidden="1" x14ac:dyDescent="0.15">
      <c r="A3342" t="s">
        <v>10574</v>
      </c>
      <c r="B3342" t="s">
        <v>10575</v>
      </c>
      <c r="C3342" t="s">
        <v>10576</v>
      </c>
      <c r="D3342" t="s">
        <v>10570</v>
      </c>
      <c r="E3342">
        <v>0</v>
      </c>
      <c r="F3342" t="str">
        <f>HYPERLINK("https://github.com/SoftwareEngineeringDaily/SEDaily-Android/issues/76", "show")</f>
        <v>show</v>
      </c>
      <c r="G3342" t="str">
        <f>HYPERLINK("https://github.com/SoftwareEngineeringDaily/SEDaily-Android", "show")</f>
        <v>show</v>
      </c>
      <c r="H3342" t="str">
        <f>HYPERLINK("https://github.com/SoftwareEngineeringDaily/SEDaily-Android/releases", "show")</f>
        <v>show</v>
      </c>
      <c r="I3342">
        <v>1</v>
      </c>
      <c r="J3342">
        <v>0</v>
      </c>
      <c r="K3342">
        <v>0</v>
      </c>
      <c r="L3342">
        <v>1</v>
      </c>
      <c r="M3342" t="s">
        <v>29</v>
      </c>
    </row>
    <row r="3343" spans="1:13" hidden="1" x14ac:dyDescent="0.15">
      <c r="A3343" t="s">
        <v>10577</v>
      </c>
      <c r="B3343" t="s">
        <v>10578</v>
      </c>
      <c r="C3343" t="s">
        <v>10579</v>
      </c>
      <c r="D3343" t="s">
        <v>10580</v>
      </c>
      <c r="E3343">
        <v>5</v>
      </c>
      <c r="F3343" t="str">
        <f>HYPERLINK("https://github.com/CMPUT301F17T02/BAARD/issues/98", "show")</f>
        <v>show</v>
      </c>
      <c r="G3343" t="str">
        <f>HYPERLINK("https://github.com/CMPUT301F17T02/BAARD", "show")</f>
        <v>show</v>
      </c>
      <c r="H3343" t="str">
        <f>HYPERLINK("https://github.com/CMPUT301F17T02/BAARD/releases", "show")</f>
        <v>show</v>
      </c>
      <c r="I3343">
        <v>1</v>
      </c>
      <c r="J3343">
        <v>0</v>
      </c>
      <c r="K3343">
        <v>0</v>
      </c>
      <c r="L3343">
        <v>0</v>
      </c>
      <c r="M3343" t="s">
        <v>17</v>
      </c>
    </row>
    <row r="3344" spans="1:13" hidden="1" x14ac:dyDescent="0.15">
      <c r="A3344" t="s">
        <v>10581</v>
      </c>
      <c r="B3344" t="s">
        <v>10582</v>
      </c>
      <c r="C3344" t="s">
        <v>10583</v>
      </c>
      <c r="D3344" t="s">
        <v>10580</v>
      </c>
      <c r="E3344">
        <v>351</v>
      </c>
      <c r="F3344" t="str">
        <f>HYPERLINK("https://github.com/ccrama/Slide/issues/2596", "show")</f>
        <v>show</v>
      </c>
      <c r="G3344" t="str">
        <f>HYPERLINK("https://github.com/ccrama/Slide", "show")</f>
        <v>show</v>
      </c>
      <c r="H3344" t="str">
        <f>HYPERLINK("https://github.com/ccrama/Slide/releases", "show")</f>
        <v>show</v>
      </c>
      <c r="I3344">
        <v>1</v>
      </c>
      <c r="J3344">
        <v>0</v>
      </c>
      <c r="K3344">
        <v>0</v>
      </c>
      <c r="L3344">
        <v>0</v>
      </c>
      <c r="M3344" t="s">
        <v>17</v>
      </c>
    </row>
    <row r="3345" spans="1:13" hidden="1" x14ac:dyDescent="0.15">
      <c r="A3345" t="s">
        <v>10584</v>
      </c>
      <c r="B3345" t="s">
        <v>10585</v>
      </c>
      <c r="C3345" t="s">
        <v>10586</v>
      </c>
      <c r="D3345" t="s">
        <v>10587</v>
      </c>
      <c r="E3345">
        <v>7</v>
      </c>
      <c r="F3345" t="str">
        <f>HYPERLINK("https://github.com/commons-app/apps-android-commons/issues/986", "show")</f>
        <v>show</v>
      </c>
      <c r="G3345" t="str">
        <f>HYPERLINK("https://github.com/commons-app/apps-android-commons", "show")</f>
        <v>show</v>
      </c>
      <c r="H3345" t="str">
        <f>HYPERLINK("https://github.com/commons-app/apps-android-commons/releases", "show")</f>
        <v>show</v>
      </c>
      <c r="I3345">
        <v>0</v>
      </c>
      <c r="J3345">
        <v>0</v>
      </c>
      <c r="K3345">
        <v>0</v>
      </c>
      <c r="L3345">
        <v>0</v>
      </c>
      <c r="M3345" t="s">
        <v>43</v>
      </c>
    </row>
    <row r="3346" spans="1:13" hidden="1" x14ac:dyDescent="0.15">
      <c r="A3346" t="s">
        <v>10588</v>
      </c>
      <c r="B3346" t="s">
        <v>10589</v>
      </c>
      <c r="D3346" t="s">
        <v>10587</v>
      </c>
      <c r="E3346">
        <v>0</v>
      </c>
      <c r="F3346" t="str">
        <f>HYPERLINK("https://github.com/arunkumar9t2/rxSuggestions/issues/3", "show")</f>
        <v>show</v>
      </c>
      <c r="G3346" t="str">
        <f>HYPERLINK("https://github.com/arunkumar9t2/rxSuggestions", "show")</f>
        <v>show</v>
      </c>
      <c r="H3346" t="str">
        <f>HYPERLINK("https://github.com/arunkumar9t2/rxSuggestions/releases", "show")</f>
        <v>show</v>
      </c>
      <c r="I3346">
        <v>0</v>
      </c>
      <c r="J3346">
        <v>0</v>
      </c>
      <c r="K3346">
        <v>0</v>
      </c>
      <c r="L3346">
        <v>0</v>
      </c>
      <c r="M3346" t="s">
        <v>43</v>
      </c>
    </row>
    <row r="3347" spans="1:13" hidden="1" x14ac:dyDescent="0.15">
      <c r="A3347" t="s">
        <v>10590</v>
      </c>
      <c r="B3347" t="s">
        <v>10591</v>
      </c>
      <c r="C3347" t="s">
        <v>504</v>
      </c>
      <c r="D3347" t="s">
        <v>10592</v>
      </c>
      <c r="E3347">
        <v>94</v>
      </c>
      <c r="F3347" t="str">
        <f>HYPERLINK("https://github.com/tanrabad/survey/issues/44", "show")</f>
        <v>show</v>
      </c>
      <c r="G3347" t="str">
        <f>HYPERLINK("https://github.com/tanrabad/survey", "show")</f>
        <v>show</v>
      </c>
      <c r="H3347" t="str">
        <f>HYPERLINK("https://github.com/tanrabad/survey/releases", "show")</f>
        <v>show</v>
      </c>
      <c r="I3347">
        <v>1</v>
      </c>
      <c r="J3347">
        <v>0</v>
      </c>
      <c r="K3347">
        <v>0</v>
      </c>
      <c r="L3347">
        <v>0</v>
      </c>
      <c r="M3347" t="s">
        <v>17</v>
      </c>
    </row>
    <row r="3348" spans="1:13" hidden="1" x14ac:dyDescent="0.15">
      <c r="A3348" t="s">
        <v>10593</v>
      </c>
      <c r="B3348" t="s">
        <v>10594</v>
      </c>
      <c r="D3348" t="s">
        <v>10595</v>
      </c>
      <c r="E3348">
        <v>0</v>
      </c>
      <c r="F3348" t="str">
        <f>HYPERLINK("https://github.com/thiagoprochnow/carteiradeativos/issues/175", "show")</f>
        <v>show</v>
      </c>
      <c r="G3348" t="str">
        <f>HYPERLINK("https://github.com/thiagoprochnow/carteiradeativos", "show")</f>
        <v>show</v>
      </c>
      <c r="H3348" t="str">
        <f>HYPERLINK("https://github.com/thiagoprochnow/carteiradeativos/releases", "show")</f>
        <v>show</v>
      </c>
      <c r="I3348">
        <v>0</v>
      </c>
      <c r="J3348">
        <v>0</v>
      </c>
      <c r="K3348">
        <v>1</v>
      </c>
      <c r="L3348">
        <v>0</v>
      </c>
      <c r="M3348" t="s">
        <v>122</v>
      </c>
    </row>
    <row r="3349" spans="1:13" hidden="1" x14ac:dyDescent="0.15">
      <c r="A3349" t="s">
        <v>10596</v>
      </c>
      <c r="B3349" t="s">
        <v>10597</v>
      </c>
      <c r="C3349" t="s">
        <v>10598</v>
      </c>
      <c r="D3349" t="s">
        <v>10595</v>
      </c>
      <c r="E3349">
        <v>2</v>
      </c>
      <c r="F3349" t="str">
        <f>HYPERLINK("https://github.com/dimagi/commcare-android/issues/1901", "show")</f>
        <v>show</v>
      </c>
      <c r="G3349" t="str">
        <f>HYPERLINK("https://github.com/dimagi/commcare-android", "show")</f>
        <v>show</v>
      </c>
      <c r="H3349" t="str">
        <f>HYPERLINK("https://github.com/dimagi/commcare-android/releases", "show")</f>
        <v>show</v>
      </c>
      <c r="I3349">
        <v>1</v>
      </c>
      <c r="J3349">
        <v>0</v>
      </c>
      <c r="K3349">
        <v>0</v>
      </c>
      <c r="L3349">
        <v>0</v>
      </c>
      <c r="M3349" t="s">
        <v>17</v>
      </c>
    </row>
    <row r="3350" spans="1:13" hidden="1" x14ac:dyDescent="0.15">
      <c r="A3350" t="s">
        <v>10599</v>
      </c>
      <c r="B3350" t="s">
        <v>10600</v>
      </c>
      <c r="D3350" t="s">
        <v>10595</v>
      </c>
      <c r="E3350">
        <v>1</v>
      </c>
      <c r="F3350" t="str">
        <f>HYPERLINK("https://github.com/chat21/chat21-android-sdk/issues/6", "show")</f>
        <v>show</v>
      </c>
      <c r="G3350" t="str">
        <f>HYPERLINK("https://github.com/chat21/chat21-android-sdk", "show")</f>
        <v>show</v>
      </c>
      <c r="H3350" t="str">
        <f>HYPERLINK("https://github.com/chat21/chat21-android-sdk/releases", "show")</f>
        <v>show</v>
      </c>
      <c r="I3350">
        <v>1</v>
      </c>
      <c r="J3350">
        <v>0</v>
      </c>
      <c r="K3350">
        <v>0</v>
      </c>
      <c r="L3350">
        <v>0</v>
      </c>
      <c r="M3350" t="s">
        <v>17</v>
      </c>
    </row>
    <row r="3351" spans="1:13" hidden="1" x14ac:dyDescent="0.15">
      <c r="A3351" t="s">
        <v>10601</v>
      </c>
      <c r="B3351" t="s">
        <v>10602</v>
      </c>
      <c r="C3351" t="s">
        <v>10603</v>
      </c>
      <c r="D3351" t="s">
        <v>10595</v>
      </c>
      <c r="E3351">
        <v>2</v>
      </c>
      <c r="F3351" t="str">
        <f>HYPERLINK("https://github.com/dmfs/opentasks/issues/521", "show")</f>
        <v>show</v>
      </c>
      <c r="G3351" t="str">
        <f>HYPERLINK("https://github.com/dmfs/opentasks", "show")</f>
        <v>show</v>
      </c>
      <c r="H3351" t="str">
        <f>HYPERLINK("https://github.com/dmfs/opentasks/releases", "show")</f>
        <v>show</v>
      </c>
      <c r="I3351">
        <v>1</v>
      </c>
      <c r="J3351">
        <v>0</v>
      </c>
      <c r="K3351">
        <v>0</v>
      </c>
      <c r="L3351">
        <v>0</v>
      </c>
      <c r="M3351" t="s">
        <v>17</v>
      </c>
    </row>
    <row r="3352" spans="1:13" hidden="1" x14ac:dyDescent="0.15">
      <c r="A3352" t="s">
        <v>10604</v>
      </c>
      <c r="B3352" t="s">
        <v>10605</v>
      </c>
      <c r="C3352" t="s">
        <v>10606</v>
      </c>
      <c r="D3352" t="s">
        <v>10595</v>
      </c>
      <c r="E3352">
        <v>49</v>
      </c>
      <c r="F3352" t="str">
        <f>HYPERLINK("https://github.com/twilio/voice-quickstart-android/issues/116", "show")</f>
        <v>show</v>
      </c>
      <c r="G3352" t="str">
        <f>HYPERLINK("https://github.com/twilio/voice-quickstart-android", "show")</f>
        <v>show</v>
      </c>
      <c r="H3352" t="str">
        <f>HYPERLINK("https://github.com/twilio/voice-quickstart-android/releases", "show")</f>
        <v>show</v>
      </c>
      <c r="I3352">
        <v>1</v>
      </c>
      <c r="J3352">
        <v>0</v>
      </c>
      <c r="K3352">
        <v>0</v>
      </c>
      <c r="L3352">
        <v>0</v>
      </c>
      <c r="M3352" t="s">
        <v>17</v>
      </c>
    </row>
    <row r="3353" spans="1:13" hidden="1" x14ac:dyDescent="0.15">
      <c r="A3353" t="s">
        <v>10607</v>
      </c>
      <c r="B3353" t="s">
        <v>10608</v>
      </c>
      <c r="C3353" t="s">
        <v>10609</v>
      </c>
      <c r="D3353" t="s">
        <v>10595</v>
      </c>
      <c r="E3353">
        <v>1</v>
      </c>
      <c r="F3353" t="str">
        <f>HYPERLINK("https://github.com/ponewheel/android-ponewheel/issues/30", "show")</f>
        <v>show</v>
      </c>
      <c r="G3353" t="str">
        <f>HYPERLINK("https://github.com/ponewheel/android-ponewheel", "show")</f>
        <v>show</v>
      </c>
      <c r="H3353" t="str">
        <f>HYPERLINK("https://github.com/ponewheel/android-ponewheel/releases", "show")</f>
        <v>show</v>
      </c>
      <c r="I3353">
        <v>1</v>
      </c>
      <c r="J3353">
        <v>0</v>
      </c>
      <c r="K3353">
        <v>1</v>
      </c>
      <c r="L3353">
        <v>0</v>
      </c>
      <c r="M3353" t="s">
        <v>64</v>
      </c>
    </row>
    <row r="3354" spans="1:13" hidden="1" x14ac:dyDescent="0.15">
      <c r="A3354" t="s">
        <v>10610</v>
      </c>
      <c r="B3354" t="s">
        <v>10611</v>
      </c>
      <c r="C3354" t="s">
        <v>10612</v>
      </c>
      <c r="D3354" t="s">
        <v>10595</v>
      </c>
      <c r="E3354">
        <v>14</v>
      </c>
      <c r="F3354" t="str">
        <f>HYPERLINK("https://github.com/bpercy11/CalfTrackerRepo/issues/2", "show")</f>
        <v>show</v>
      </c>
      <c r="G3354" t="str">
        <f>HYPERLINK("https://github.com/bpercy11/CalfTrackerRepo", "show")</f>
        <v>show</v>
      </c>
      <c r="H3354" t="str">
        <f>HYPERLINK("https://github.com/bpercy11/CalfTrackerRepo/releases", "show")</f>
        <v>show</v>
      </c>
      <c r="I3354">
        <v>1</v>
      </c>
      <c r="J3354">
        <v>0</v>
      </c>
      <c r="K3354">
        <v>0</v>
      </c>
      <c r="L3354">
        <v>0</v>
      </c>
      <c r="M3354" t="s">
        <v>17</v>
      </c>
    </row>
    <row r="3355" spans="1:13" hidden="1" x14ac:dyDescent="0.15">
      <c r="A3355" t="s">
        <v>10613</v>
      </c>
      <c r="B3355" t="s">
        <v>10614</v>
      </c>
      <c r="C3355" t="s">
        <v>10615</v>
      </c>
      <c r="D3355" t="s">
        <v>10616</v>
      </c>
      <c r="E3355">
        <v>0</v>
      </c>
      <c r="F3355" t="str">
        <f>HYPERLINK("https://github.com/andOTP/andOTP/issues/76", "show")</f>
        <v>show</v>
      </c>
      <c r="G3355" t="str">
        <f>HYPERLINK("https://github.com/andOTP/andOTP", "show")</f>
        <v>show</v>
      </c>
      <c r="H3355" t="str">
        <f>HYPERLINK("https://github.com/andOTP/andOTP/releases", "show")</f>
        <v>show</v>
      </c>
      <c r="I3355">
        <v>1</v>
      </c>
      <c r="J3355">
        <v>0</v>
      </c>
      <c r="K3355">
        <v>0</v>
      </c>
      <c r="L3355">
        <v>0</v>
      </c>
      <c r="M3355" t="s">
        <v>17</v>
      </c>
    </row>
    <row r="3356" spans="1:13" hidden="1" x14ac:dyDescent="0.15">
      <c r="A3356" t="s">
        <v>10617</v>
      </c>
      <c r="B3356" t="s">
        <v>10618</v>
      </c>
      <c r="C3356" t="s">
        <v>10619</v>
      </c>
      <c r="D3356" t="s">
        <v>10616</v>
      </c>
      <c r="E3356">
        <v>0</v>
      </c>
      <c r="F3356" t="str">
        <f>HYPERLINK("https://github.com/netceteragroup/react-native-twitterkit/issues/19", "show")</f>
        <v>show</v>
      </c>
      <c r="G3356" t="str">
        <f>HYPERLINK("https://github.com/netceteragroup/react-native-twitterkit", "show")</f>
        <v>show</v>
      </c>
      <c r="H3356" t="str">
        <f>HYPERLINK("https://github.com/netceteragroup/react-native-twitterkit/releases", "show")</f>
        <v>show</v>
      </c>
      <c r="I3356">
        <v>1</v>
      </c>
      <c r="J3356">
        <v>0</v>
      </c>
      <c r="K3356">
        <v>0</v>
      </c>
      <c r="L3356">
        <v>0</v>
      </c>
      <c r="M3356" t="s">
        <v>17</v>
      </c>
    </row>
    <row r="3357" spans="1:13" hidden="1" x14ac:dyDescent="0.15">
      <c r="A3357" t="s">
        <v>10620</v>
      </c>
      <c r="B3357" t="s">
        <v>10621</v>
      </c>
      <c r="D3357" t="s">
        <v>10616</v>
      </c>
      <c r="E3357">
        <v>0</v>
      </c>
      <c r="F3357" t="str">
        <f>HYPERLINK("https://github.com/chat21/chat21-android-sdk/issues/7", "show")</f>
        <v>show</v>
      </c>
      <c r="G3357" t="str">
        <f>HYPERLINK("https://github.com/chat21/chat21-android-sdk", "show")</f>
        <v>show</v>
      </c>
      <c r="H3357" t="str">
        <f>HYPERLINK("https://github.com/chat21/chat21-android-sdk/releases", "show")</f>
        <v>show</v>
      </c>
      <c r="I3357">
        <v>1</v>
      </c>
      <c r="J3357">
        <v>0</v>
      </c>
      <c r="K3357">
        <v>0</v>
      </c>
      <c r="L3357">
        <v>0</v>
      </c>
      <c r="M3357" t="s">
        <v>17</v>
      </c>
    </row>
    <row r="3358" spans="1:13" hidden="1" x14ac:dyDescent="0.15">
      <c r="A3358" t="s">
        <v>10622</v>
      </c>
      <c r="B3358" t="s">
        <v>10623</v>
      </c>
      <c r="C3358" t="s">
        <v>10624</v>
      </c>
      <c r="D3358" t="s">
        <v>10616</v>
      </c>
      <c r="E3358">
        <v>79</v>
      </c>
      <c r="F3358" t="str">
        <f>HYPERLINK("https://github.com/Freeyourgadget/Gadgetbridge/issues/897", "show")</f>
        <v>show</v>
      </c>
      <c r="G3358" t="str">
        <f>HYPERLINK("https://github.com/Freeyourgadget/Gadgetbridge", "show")</f>
        <v>show</v>
      </c>
      <c r="H3358" t="str">
        <f>HYPERLINK("https://github.com/Freeyourgadget/Gadgetbridge/releases", "show")</f>
        <v>show</v>
      </c>
      <c r="I3358">
        <v>1</v>
      </c>
      <c r="J3358">
        <v>1</v>
      </c>
      <c r="K3358">
        <v>0</v>
      </c>
      <c r="L3358">
        <v>0</v>
      </c>
      <c r="M3358" t="s">
        <v>48</v>
      </c>
    </row>
    <row r="3359" spans="1:13" hidden="1" x14ac:dyDescent="0.15">
      <c r="A3359" t="s">
        <v>10625</v>
      </c>
      <c r="B3359" t="s">
        <v>10626</v>
      </c>
      <c r="C3359" t="s">
        <v>10627</v>
      </c>
      <c r="D3359" t="s">
        <v>10628</v>
      </c>
      <c r="E3359">
        <v>2</v>
      </c>
      <c r="F3359" t="str">
        <f>HYPERLINK("https://github.com/requery/requery/issues/731", "show")</f>
        <v>show</v>
      </c>
      <c r="G3359" t="str">
        <f>HYPERLINK("https://github.com/requery/requery", "show")</f>
        <v>show</v>
      </c>
      <c r="H3359" t="str">
        <f>HYPERLINK("https://github.com/requery/requery/releases", "show")</f>
        <v>show</v>
      </c>
      <c r="I3359">
        <v>1</v>
      </c>
      <c r="J3359">
        <v>0</v>
      </c>
      <c r="K3359">
        <v>0</v>
      </c>
      <c r="L3359">
        <v>0</v>
      </c>
      <c r="M3359" t="s">
        <v>17</v>
      </c>
    </row>
    <row r="3360" spans="1:13" hidden="1" x14ac:dyDescent="0.15">
      <c r="A3360" t="s">
        <v>10629</v>
      </c>
      <c r="B3360" t="s">
        <v>4871</v>
      </c>
      <c r="C3360" t="s">
        <v>504</v>
      </c>
      <c r="D3360" t="s">
        <v>10628</v>
      </c>
      <c r="E3360">
        <v>91</v>
      </c>
      <c r="F3360" t="str">
        <f>HYPERLINK("https://github.com/tanrabad/survey/issues/45", "show")</f>
        <v>show</v>
      </c>
      <c r="G3360" t="str">
        <f>HYPERLINK("https://github.com/tanrabad/survey", "show")</f>
        <v>show</v>
      </c>
      <c r="H3360" t="str">
        <f>HYPERLINK("https://github.com/tanrabad/survey/releases", "show")</f>
        <v>show</v>
      </c>
      <c r="I3360">
        <v>1</v>
      </c>
      <c r="J3360">
        <v>0</v>
      </c>
      <c r="K3360">
        <v>0</v>
      </c>
      <c r="L3360">
        <v>0</v>
      </c>
      <c r="M3360" t="s">
        <v>17</v>
      </c>
    </row>
    <row r="3361" spans="1:13" hidden="1" x14ac:dyDescent="0.15">
      <c r="A3361" t="s">
        <v>10630</v>
      </c>
      <c r="B3361" t="s">
        <v>10631</v>
      </c>
      <c r="C3361" t="s">
        <v>10632</v>
      </c>
      <c r="D3361" t="s">
        <v>10633</v>
      </c>
      <c r="E3361">
        <v>11</v>
      </c>
      <c r="F3361" t="str">
        <f>HYPERLINK("https://github.com/OpenLauncherTeam/openlauncher/issues/291", "show")</f>
        <v>show</v>
      </c>
      <c r="G3361" t="str">
        <f>HYPERLINK("https://github.com/OpenLauncherTeam/openlauncher", "show")</f>
        <v>show</v>
      </c>
      <c r="H3361" t="str">
        <f>HYPERLINK("https://github.com/OpenLauncherTeam/openlauncher/releases", "show")</f>
        <v>show</v>
      </c>
      <c r="I3361">
        <v>1</v>
      </c>
      <c r="J3361">
        <v>0</v>
      </c>
      <c r="K3361">
        <v>1</v>
      </c>
      <c r="L3361">
        <v>0</v>
      </c>
      <c r="M3361" t="s">
        <v>64</v>
      </c>
    </row>
    <row r="3362" spans="1:13" hidden="1" x14ac:dyDescent="0.15">
      <c r="A3362" t="s">
        <v>10634</v>
      </c>
      <c r="B3362" t="s">
        <v>10635</v>
      </c>
      <c r="C3362" t="s">
        <v>10636</v>
      </c>
      <c r="D3362" t="s">
        <v>10637</v>
      </c>
      <c r="E3362">
        <v>0</v>
      </c>
      <c r="F3362" t="str">
        <f>HYPERLINK("https://github.com/bumptech/glide/issues/2673", "show")</f>
        <v>show</v>
      </c>
      <c r="G3362" t="str">
        <f>HYPERLINK("https://github.com/bumptech/glide", "show")</f>
        <v>show</v>
      </c>
      <c r="H3362" t="str">
        <f>HYPERLINK("https://github.com/bumptech/glide/releases", "show")</f>
        <v>show</v>
      </c>
      <c r="I3362">
        <v>1</v>
      </c>
      <c r="J3362">
        <v>0</v>
      </c>
      <c r="K3362">
        <v>1</v>
      </c>
      <c r="L3362">
        <v>0</v>
      </c>
      <c r="M3362" t="s">
        <v>64</v>
      </c>
    </row>
    <row r="3363" spans="1:13" hidden="1" x14ac:dyDescent="0.15">
      <c r="A3363" t="s">
        <v>10638</v>
      </c>
      <c r="B3363" t="s">
        <v>10639</v>
      </c>
      <c r="D3363" t="s">
        <v>10637</v>
      </c>
      <c r="E3363">
        <v>0</v>
      </c>
      <c r="F3363" t="str">
        <f>HYPERLINK("https://github.com/danimahardhika/wallpaperboard/issues/117", "show")</f>
        <v>show</v>
      </c>
      <c r="G3363" t="str">
        <f>HYPERLINK("https://github.com/danimahardhika/wallpaperboard", "show")</f>
        <v>show</v>
      </c>
      <c r="H3363" t="str">
        <f>HYPERLINK("https://github.com/danimahardhika/wallpaperboard/releases", "show")</f>
        <v>show</v>
      </c>
      <c r="I3363">
        <v>1</v>
      </c>
      <c r="J3363">
        <v>0</v>
      </c>
      <c r="K3363">
        <v>1</v>
      </c>
      <c r="L3363">
        <v>0</v>
      </c>
      <c r="M3363" t="s">
        <v>64</v>
      </c>
    </row>
    <row r="3364" spans="1:13" hidden="1" x14ac:dyDescent="0.15">
      <c r="A3364" t="s">
        <v>10640</v>
      </c>
      <c r="B3364" t="s">
        <v>10641</v>
      </c>
      <c r="C3364" t="s">
        <v>10642</v>
      </c>
      <c r="D3364" t="s">
        <v>10637</v>
      </c>
      <c r="E3364">
        <v>303</v>
      </c>
      <c r="F3364" t="str">
        <f>HYPERLINK("https://github.com/jroal/a2dpvolume/issues/259", "show")</f>
        <v>show</v>
      </c>
      <c r="G3364" t="str">
        <f>HYPERLINK("https://github.com/jroal/a2dpvolume", "show")</f>
        <v>show</v>
      </c>
      <c r="H3364" t="str">
        <f>HYPERLINK("https://github.com/jroal/a2dpvolume/releases", "show")</f>
        <v>show</v>
      </c>
      <c r="I3364">
        <v>1</v>
      </c>
      <c r="J3364">
        <v>0</v>
      </c>
      <c r="K3364">
        <v>0</v>
      </c>
      <c r="L3364">
        <v>0</v>
      </c>
      <c r="M3364" t="s">
        <v>17</v>
      </c>
    </row>
    <row r="3365" spans="1:13" hidden="1" x14ac:dyDescent="0.15">
      <c r="A3365" t="s">
        <v>10643</v>
      </c>
      <c r="B3365" t="s">
        <v>10644</v>
      </c>
      <c r="C3365" t="s">
        <v>10645</v>
      </c>
      <c r="D3365" t="s">
        <v>10646</v>
      </c>
      <c r="E3365">
        <v>63</v>
      </c>
      <c r="F3365" t="str">
        <f>HYPERLINK("https://github.com/stefan-niedermann/nextcloud-notes/issues/303", "show")</f>
        <v>show</v>
      </c>
      <c r="G3365" t="str">
        <f>HYPERLINK("https://github.com/stefan-niedermann/nextcloud-notes", "show")</f>
        <v>show</v>
      </c>
      <c r="H3365" t="str">
        <f>HYPERLINK("https://github.com/stefan-niedermann/nextcloud-notes/releases", "show")</f>
        <v>show</v>
      </c>
      <c r="I3365">
        <v>1</v>
      </c>
      <c r="J3365">
        <v>0</v>
      </c>
      <c r="K3365">
        <v>1</v>
      </c>
      <c r="L3365">
        <v>0</v>
      </c>
      <c r="M3365" t="s">
        <v>64</v>
      </c>
    </row>
    <row r="3366" spans="1:13" hidden="1" x14ac:dyDescent="0.15">
      <c r="A3366" t="s">
        <v>10647</v>
      </c>
      <c r="B3366" t="s">
        <v>10648</v>
      </c>
      <c r="D3366" t="s">
        <v>10646</v>
      </c>
      <c r="E3366">
        <v>0</v>
      </c>
      <c r="F3366" t="str">
        <f>HYPERLINK("https://github.com/CMPUT301F17T21/StylePoints/issues/120", "show")</f>
        <v>show</v>
      </c>
      <c r="G3366" t="str">
        <f>HYPERLINK("https://github.com/CMPUT301F17T21/StylePoints", "show")</f>
        <v>show</v>
      </c>
      <c r="H3366" t="str">
        <f>HYPERLINK("https://github.com/CMPUT301F17T21/StylePoints/releases", "show")</f>
        <v>show</v>
      </c>
      <c r="I3366">
        <v>1</v>
      </c>
      <c r="J3366">
        <v>0</v>
      </c>
      <c r="K3366">
        <v>0</v>
      </c>
      <c r="L3366">
        <v>0</v>
      </c>
      <c r="M3366" t="s">
        <v>17</v>
      </c>
    </row>
    <row r="3367" spans="1:13" hidden="1" x14ac:dyDescent="0.15">
      <c r="A3367" t="s">
        <v>10649</v>
      </c>
      <c r="B3367" t="s">
        <v>10650</v>
      </c>
      <c r="D3367" t="s">
        <v>10646</v>
      </c>
      <c r="E3367">
        <v>0</v>
      </c>
      <c r="F3367" t="str">
        <f>HYPERLINK("https://github.com/CMPUT301F17T21/StylePoints/issues/119", "show")</f>
        <v>show</v>
      </c>
      <c r="G3367" t="str">
        <f>HYPERLINK("https://github.com/CMPUT301F17T21/StylePoints", "show")</f>
        <v>show</v>
      </c>
      <c r="H3367" t="str">
        <f>HYPERLINK("https://github.com/CMPUT301F17T21/StylePoints/releases", "show")</f>
        <v>show</v>
      </c>
      <c r="I3367">
        <v>0</v>
      </c>
      <c r="J3367">
        <v>0</v>
      </c>
      <c r="K3367">
        <v>0</v>
      </c>
      <c r="L3367">
        <v>0</v>
      </c>
      <c r="M3367" t="s">
        <v>43</v>
      </c>
    </row>
    <row r="3368" spans="1:13" hidden="1" x14ac:dyDescent="0.15">
      <c r="A3368" t="s">
        <v>10651</v>
      </c>
      <c r="B3368" t="s">
        <v>10652</v>
      </c>
      <c r="C3368" t="s">
        <v>10653</v>
      </c>
      <c r="D3368" t="s">
        <v>10646</v>
      </c>
      <c r="E3368">
        <v>0</v>
      </c>
      <c r="F3368" t="str">
        <f>HYPERLINK("https://github.com/CMPUT301F17T01/Bronzify/issues/90", "show")</f>
        <v>show</v>
      </c>
      <c r="G3368" t="str">
        <f>HYPERLINK("https://github.com/CMPUT301F17T01/Bronzify", "show")</f>
        <v>show</v>
      </c>
      <c r="H3368" t="str">
        <f>HYPERLINK("https://github.com/CMPUT301F17T01/Bronzify/releases", "show")</f>
        <v>show</v>
      </c>
      <c r="I3368">
        <v>0</v>
      </c>
      <c r="J3368">
        <v>0</v>
      </c>
      <c r="K3368">
        <v>0</v>
      </c>
      <c r="L3368">
        <v>0</v>
      </c>
      <c r="M3368" t="s">
        <v>43</v>
      </c>
    </row>
    <row r="3369" spans="1:13" hidden="1" x14ac:dyDescent="0.15">
      <c r="A3369" t="s">
        <v>10654</v>
      </c>
      <c r="B3369" t="s">
        <v>10655</v>
      </c>
      <c r="C3369" t="s">
        <v>10656</v>
      </c>
      <c r="D3369" t="s">
        <v>10646</v>
      </c>
      <c r="E3369">
        <v>10</v>
      </c>
      <c r="F3369" t="str">
        <f>HYPERLINK("https://github.com/commons-app/apps-android-commons/issues/998", "show")</f>
        <v>show</v>
      </c>
      <c r="G3369" t="str">
        <f>HYPERLINK("https://github.com/commons-app/apps-android-commons", "show")</f>
        <v>show</v>
      </c>
      <c r="H3369" t="str">
        <f>HYPERLINK("https://github.com/commons-app/apps-android-commons/releases", "show")</f>
        <v>show</v>
      </c>
      <c r="I3369">
        <v>1</v>
      </c>
      <c r="J3369">
        <v>0</v>
      </c>
      <c r="K3369">
        <v>0</v>
      </c>
      <c r="L3369">
        <v>0</v>
      </c>
      <c r="M3369" t="s">
        <v>17</v>
      </c>
    </row>
    <row r="3370" spans="1:13" hidden="1" x14ac:dyDescent="0.15">
      <c r="A3370" t="s">
        <v>10657</v>
      </c>
      <c r="B3370" t="s">
        <v>10658</v>
      </c>
      <c r="C3370" t="s">
        <v>10659</v>
      </c>
      <c r="D3370" t="s">
        <v>10646</v>
      </c>
      <c r="E3370">
        <v>33</v>
      </c>
      <c r="F3370" t="str">
        <f>HYPERLINK("https://github.com/ZeeRooo/MaterialFBook/issues/120", "show")</f>
        <v>show</v>
      </c>
      <c r="G3370" t="str">
        <f>HYPERLINK("https://github.com/ZeeRooo/MaterialFBook", "show")</f>
        <v>show</v>
      </c>
      <c r="H3370" t="str">
        <f>HYPERLINK("https://github.com/ZeeRooo/MaterialFBook/releases", "show")</f>
        <v>show</v>
      </c>
      <c r="I3370">
        <v>1</v>
      </c>
      <c r="J3370">
        <v>1</v>
      </c>
      <c r="K3370">
        <v>0</v>
      </c>
      <c r="L3370">
        <v>0</v>
      </c>
      <c r="M3370" t="s">
        <v>48</v>
      </c>
    </row>
    <row r="3371" spans="1:13" hidden="1" x14ac:dyDescent="0.15">
      <c r="A3371" t="s">
        <v>10660</v>
      </c>
      <c r="B3371" t="s">
        <v>10661</v>
      </c>
      <c r="C3371" t="s">
        <v>10662</v>
      </c>
      <c r="D3371" t="s">
        <v>10646</v>
      </c>
      <c r="E3371">
        <v>382</v>
      </c>
      <c r="F3371" t="str">
        <f>HYPERLINK("https://github.com/commons-app/apps-android-commons/issues/997", "show")</f>
        <v>show</v>
      </c>
      <c r="G3371" t="str">
        <f>HYPERLINK("https://github.com/commons-app/apps-android-commons", "show")</f>
        <v>show</v>
      </c>
      <c r="H3371" t="str">
        <f>HYPERLINK("https://github.com/commons-app/apps-android-commons/releases", "show")</f>
        <v>show</v>
      </c>
      <c r="I3371">
        <v>1</v>
      </c>
      <c r="J3371">
        <v>0</v>
      </c>
      <c r="K3371">
        <v>1</v>
      </c>
      <c r="L3371">
        <v>0</v>
      </c>
      <c r="M3371" t="s">
        <v>64</v>
      </c>
    </row>
    <row r="3372" spans="1:13" hidden="1" x14ac:dyDescent="0.15">
      <c r="A3372" t="s">
        <v>10663</v>
      </c>
      <c r="B3372" t="s">
        <v>10664</v>
      </c>
      <c r="C3372" t="s">
        <v>10665</v>
      </c>
      <c r="D3372" t="s">
        <v>10666</v>
      </c>
      <c r="E3372">
        <v>3</v>
      </c>
      <c r="F3372" t="str">
        <f>HYPERLINK("https://github.com/red5pro/streaming-android/issues/99", "show")</f>
        <v>show</v>
      </c>
      <c r="G3372" t="str">
        <f>HYPERLINK("https://github.com/red5pro/streaming-android", "show")</f>
        <v>show</v>
      </c>
      <c r="H3372" t="str">
        <f>HYPERLINK("https://github.com/red5pro/streaming-android/releases", "show")</f>
        <v>show</v>
      </c>
      <c r="I3372">
        <v>1</v>
      </c>
      <c r="J3372">
        <v>0</v>
      </c>
      <c r="K3372">
        <v>0</v>
      </c>
      <c r="L3372">
        <v>0</v>
      </c>
      <c r="M3372" t="s">
        <v>17</v>
      </c>
    </row>
    <row r="3373" spans="1:13" hidden="1" x14ac:dyDescent="0.15">
      <c r="A3373" t="s">
        <v>10667</v>
      </c>
      <c r="B3373" t="s">
        <v>10668</v>
      </c>
      <c r="C3373" t="s">
        <v>10669</v>
      </c>
      <c r="D3373" t="s">
        <v>10666</v>
      </c>
      <c r="E3373">
        <v>1018</v>
      </c>
      <c r="F3373" t="str">
        <f>HYPERLINK("https://github.com/facebook/buck/issues/1667", "show")</f>
        <v>show</v>
      </c>
      <c r="G3373" t="str">
        <f>HYPERLINK("https://github.com/facebook/buck", "show")</f>
        <v>show</v>
      </c>
      <c r="H3373" t="str">
        <f>HYPERLINK("https://github.com/facebook/buck/releases", "show")</f>
        <v>show</v>
      </c>
      <c r="I3373">
        <v>1</v>
      </c>
      <c r="J3373">
        <v>0</v>
      </c>
      <c r="K3373">
        <v>1</v>
      </c>
      <c r="L3373">
        <v>0</v>
      </c>
      <c r="M3373" t="s">
        <v>64</v>
      </c>
    </row>
    <row r="3374" spans="1:13" hidden="1" x14ac:dyDescent="0.15">
      <c r="A3374" t="s">
        <v>10670</v>
      </c>
      <c r="B3374" t="s">
        <v>10671</v>
      </c>
      <c r="D3374" t="s">
        <v>10666</v>
      </c>
      <c r="E3374">
        <v>4</v>
      </c>
      <c r="F3374" t="str">
        <f>HYPERLINK("https://github.com/Z3r0byte/Magistify/issues/58", "show")</f>
        <v>show</v>
      </c>
      <c r="G3374" t="str">
        <f>HYPERLINK("https://github.com/Z3r0byte/Magistify", "show")</f>
        <v>show</v>
      </c>
      <c r="H3374" t="str">
        <f>HYPERLINK("https://github.com/Z3r0byte/Magistify/releases", "show")</f>
        <v>show</v>
      </c>
      <c r="I3374">
        <v>1</v>
      </c>
      <c r="J3374">
        <v>0</v>
      </c>
      <c r="K3374">
        <v>0</v>
      </c>
      <c r="L3374">
        <v>0</v>
      </c>
      <c r="M3374" t="s">
        <v>17</v>
      </c>
    </row>
    <row r="3375" spans="1:13" hidden="1" x14ac:dyDescent="0.15">
      <c r="A3375" t="s">
        <v>10672</v>
      </c>
      <c r="B3375" t="s">
        <v>10673</v>
      </c>
      <c r="C3375" t="s">
        <v>10674</v>
      </c>
      <c r="D3375" t="s">
        <v>10666</v>
      </c>
      <c r="E3375">
        <v>499</v>
      </c>
      <c r="F3375" t="str">
        <f>HYPERLINK("https://github.com/react-native-camera/react-native-camera/issues/1023", "show")</f>
        <v>show</v>
      </c>
      <c r="G3375" t="str">
        <f>HYPERLINK("https://github.com/react-native-camera/react-native-camera", "show")</f>
        <v>show</v>
      </c>
      <c r="H3375" t="str">
        <f>HYPERLINK("https://github.com/react-native-camera/react-native-camera/releases", "show")</f>
        <v>show</v>
      </c>
      <c r="I3375">
        <v>1</v>
      </c>
      <c r="J3375">
        <v>0</v>
      </c>
      <c r="K3375">
        <v>1</v>
      </c>
      <c r="L3375">
        <v>0</v>
      </c>
      <c r="M3375" t="s">
        <v>64</v>
      </c>
    </row>
    <row r="3376" spans="1:13" hidden="1" x14ac:dyDescent="0.15">
      <c r="A3376" t="s">
        <v>10675</v>
      </c>
      <c r="B3376" t="s">
        <v>10676</v>
      </c>
      <c r="C3376" t="s">
        <v>10677</v>
      </c>
      <c r="D3376" t="s">
        <v>10666</v>
      </c>
      <c r="E3376">
        <v>83</v>
      </c>
      <c r="F3376" t="str">
        <f>HYPERLINK("https://github.com/google/ExoPlayer/issues/3552", "show")</f>
        <v>show</v>
      </c>
      <c r="G3376" t="str">
        <f>HYPERLINK("https://github.com/google/ExoPlayer", "show")</f>
        <v>show</v>
      </c>
      <c r="H3376" t="str">
        <f>HYPERLINK("https://github.com/google/ExoPlayer/releases", "show")</f>
        <v>show</v>
      </c>
      <c r="I3376">
        <v>1</v>
      </c>
      <c r="J3376">
        <v>0</v>
      </c>
      <c r="K3376">
        <v>1</v>
      </c>
      <c r="L3376">
        <v>0</v>
      </c>
      <c r="M3376" t="s">
        <v>64</v>
      </c>
    </row>
    <row r="3377" spans="1:13" hidden="1" x14ac:dyDescent="0.15">
      <c r="A3377" t="s">
        <v>10678</v>
      </c>
      <c r="B3377" t="s">
        <v>10679</v>
      </c>
      <c r="C3377" t="s">
        <v>504</v>
      </c>
      <c r="D3377" t="s">
        <v>10666</v>
      </c>
      <c r="E3377">
        <v>379</v>
      </c>
      <c r="F3377" t="str">
        <f>HYPERLINK("https://github.com/niclabs/adkintunmobile-androidclient/issues/187", "show")</f>
        <v>show</v>
      </c>
      <c r="G3377" t="str">
        <f>HYPERLINK("https://github.com/niclabs/adkintunmobile-androidclient", "show")</f>
        <v>show</v>
      </c>
      <c r="H3377" t="str">
        <f>HYPERLINK("https://github.com/niclabs/adkintunmobile-androidclient/releases", "show")</f>
        <v>show</v>
      </c>
      <c r="I3377">
        <v>1</v>
      </c>
      <c r="J3377">
        <v>0</v>
      </c>
      <c r="K3377">
        <v>0</v>
      </c>
      <c r="L3377">
        <v>0</v>
      </c>
      <c r="M3377" t="s">
        <v>17</v>
      </c>
    </row>
    <row r="3378" spans="1:13" hidden="1" x14ac:dyDescent="0.15">
      <c r="A3378" t="s">
        <v>10680</v>
      </c>
      <c r="B3378" t="s">
        <v>10681</v>
      </c>
      <c r="C3378" t="s">
        <v>10682</v>
      </c>
      <c r="D3378" t="s">
        <v>10666</v>
      </c>
      <c r="E3378">
        <v>31</v>
      </c>
      <c r="F3378" t="str">
        <f>HYPERLINK("https://github.com/scottwainstock/pbm-android/issues/174", "show")</f>
        <v>show</v>
      </c>
      <c r="G3378" t="str">
        <f>HYPERLINK("https://github.com/scottwainstock/pbm-android", "show")</f>
        <v>show</v>
      </c>
      <c r="H3378" t="str">
        <f>HYPERLINK("https://github.com/scottwainstock/pbm-android/releases", "show")</f>
        <v>show</v>
      </c>
      <c r="I3378">
        <v>1</v>
      </c>
      <c r="J3378">
        <v>0</v>
      </c>
      <c r="K3378">
        <v>0</v>
      </c>
      <c r="L3378">
        <v>0</v>
      </c>
      <c r="M3378" t="s">
        <v>17</v>
      </c>
    </row>
    <row r="3379" spans="1:13" hidden="1" x14ac:dyDescent="0.15">
      <c r="A3379" t="s">
        <v>10683</v>
      </c>
      <c r="B3379" t="s">
        <v>10684</v>
      </c>
      <c r="C3379" t="s">
        <v>10685</v>
      </c>
      <c r="D3379" t="s">
        <v>10686</v>
      </c>
      <c r="E3379">
        <v>13</v>
      </c>
      <c r="F3379" t="str">
        <f>HYPERLINK("https://github.com/xtonousou/SoundBoardX/issues/5", "show")</f>
        <v>show</v>
      </c>
      <c r="G3379" t="str">
        <f>HYPERLINK("https://github.com/xtonousou/SoundBoardX", "show")</f>
        <v>show</v>
      </c>
      <c r="H3379" t="str">
        <f>HYPERLINK("https://github.com/xtonousou/SoundBoardX/releases", "show")</f>
        <v>show</v>
      </c>
      <c r="I3379">
        <v>0</v>
      </c>
      <c r="J3379">
        <v>0</v>
      </c>
      <c r="K3379">
        <v>0</v>
      </c>
      <c r="L3379">
        <v>0</v>
      </c>
      <c r="M3379" t="s">
        <v>43</v>
      </c>
    </row>
    <row r="3380" spans="1:13" hidden="1" x14ac:dyDescent="0.15">
      <c r="A3380" t="s">
        <v>10687</v>
      </c>
      <c r="B3380" t="s">
        <v>10688</v>
      </c>
      <c r="C3380" t="s">
        <v>10689</v>
      </c>
      <c r="D3380" t="s">
        <v>10686</v>
      </c>
      <c r="E3380">
        <v>0</v>
      </c>
      <c r="F3380" t="str">
        <f>HYPERLINK("https://github.com/kontalk/androidclient/issues/1114", "show")</f>
        <v>show</v>
      </c>
      <c r="G3380" t="str">
        <f>HYPERLINK("https://github.com/kontalk/androidclient", "show")</f>
        <v>show</v>
      </c>
      <c r="H3380" t="str">
        <f>HYPERLINK("https://github.com/kontalk/androidclient/releases", "show")</f>
        <v>show</v>
      </c>
      <c r="I3380">
        <v>0</v>
      </c>
      <c r="J3380">
        <v>0</v>
      </c>
      <c r="K3380">
        <v>1</v>
      </c>
      <c r="L3380">
        <v>0</v>
      </c>
      <c r="M3380" t="s">
        <v>122</v>
      </c>
    </row>
    <row r="3381" spans="1:13" hidden="1" x14ac:dyDescent="0.15">
      <c r="A3381" t="s">
        <v>10690</v>
      </c>
      <c r="B3381" t="s">
        <v>10691</v>
      </c>
      <c r="D3381" t="s">
        <v>10686</v>
      </c>
      <c r="E3381">
        <v>52</v>
      </c>
      <c r="F3381" t="str">
        <f>HYPERLINK("https://github.com/fekracomputers/IslamicLibraryAndroid/issues/60", "show")</f>
        <v>show</v>
      </c>
      <c r="G3381" t="str">
        <f>HYPERLINK("https://github.com/fekracomputers/IslamicLibraryAndroid", "show")</f>
        <v>show</v>
      </c>
      <c r="H3381" t="str">
        <f>HYPERLINK("https://github.com/fekracomputers/IslamicLibraryAndroid/releases", "show")</f>
        <v>show</v>
      </c>
      <c r="I3381">
        <v>1</v>
      </c>
      <c r="J3381">
        <v>0</v>
      </c>
      <c r="K3381">
        <v>0</v>
      </c>
      <c r="L3381">
        <v>0</v>
      </c>
      <c r="M3381" t="s">
        <v>17</v>
      </c>
    </row>
    <row r="3382" spans="1:13" hidden="1" x14ac:dyDescent="0.15">
      <c r="A3382" t="s">
        <v>10692</v>
      </c>
      <c r="B3382" t="s">
        <v>10693</v>
      </c>
      <c r="C3382" t="s">
        <v>10694</v>
      </c>
      <c r="D3382" t="s">
        <v>10695</v>
      </c>
      <c r="E3382">
        <v>0</v>
      </c>
      <c r="F3382" t="str">
        <f>HYPERLINK("https://github.com/dragonrollers/thoughtbubble-app/issues/70", "show")</f>
        <v>show</v>
      </c>
      <c r="G3382" t="str">
        <f>HYPERLINK("https://github.com/dragonrollers/thoughtbubble-app", "show")</f>
        <v>show</v>
      </c>
      <c r="H3382" t="str">
        <f>HYPERLINK("https://github.com/dragonrollers/thoughtbubble-app/releases", "show")</f>
        <v>show</v>
      </c>
      <c r="I3382">
        <v>0</v>
      </c>
      <c r="J3382">
        <v>0</v>
      </c>
      <c r="K3382">
        <v>0</v>
      </c>
      <c r="L3382">
        <v>0</v>
      </c>
      <c r="M3382" t="s">
        <v>43</v>
      </c>
    </row>
    <row r="3383" spans="1:13" hidden="1" x14ac:dyDescent="0.15">
      <c r="A3383" t="s">
        <v>10696</v>
      </c>
      <c r="B3383" t="s">
        <v>10697</v>
      </c>
      <c r="C3383" t="s">
        <v>10698</v>
      </c>
      <c r="D3383" t="s">
        <v>10695</v>
      </c>
      <c r="E3383">
        <v>3</v>
      </c>
      <c r="F3383" t="str">
        <f>HYPERLINK("https://github.com/nextcloud/android/issues/1841", "show")</f>
        <v>show</v>
      </c>
      <c r="G3383" t="str">
        <f>HYPERLINK("https://github.com/nextcloud/android", "show")</f>
        <v>show</v>
      </c>
      <c r="H3383" t="str">
        <f>HYPERLINK("https://github.com/nextcloud/android/releases", "show")</f>
        <v>show</v>
      </c>
      <c r="I3383">
        <v>1</v>
      </c>
      <c r="J3383">
        <v>1</v>
      </c>
      <c r="K3383">
        <v>0</v>
      </c>
      <c r="L3383">
        <v>0</v>
      </c>
      <c r="M3383" t="s">
        <v>48</v>
      </c>
    </row>
    <row r="3384" spans="1:13" hidden="1" x14ac:dyDescent="0.15">
      <c r="A3384" t="s">
        <v>10699</v>
      </c>
      <c r="B3384" t="s">
        <v>10700</v>
      </c>
      <c r="C3384" t="s">
        <v>10701</v>
      </c>
      <c r="D3384" t="s">
        <v>10695</v>
      </c>
      <c r="E3384">
        <v>11</v>
      </c>
      <c r="F3384" t="str">
        <f>HYPERLINK("https://github.com/yorickvanzweeden/WalletKeepApp/issues/2", "show")</f>
        <v>show</v>
      </c>
      <c r="G3384" t="str">
        <f>HYPERLINK("https://github.com/yorickvanzweeden/WalletKeepApp", "show")</f>
        <v>show</v>
      </c>
      <c r="H3384" t="str">
        <f>HYPERLINK("https://github.com/yorickvanzweeden/WalletKeepApp/releases", "show")</f>
        <v>show</v>
      </c>
      <c r="I3384">
        <v>1</v>
      </c>
      <c r="J3384">
        <v>0</v>
      </c>
      <c r="K3384">
        <v>0</v>
      </c>
      <c r="L3384">
        <v>0</v>
      </c>
      <c r="M3384" t="s">
        <v>17</v>
      </c>
    </row>
    <row r="3385" spans="1:13" hidden="1" x14ac:dyDescent="0.15">
      <c r="A3385" t="s">
        <v>10702</v>
      </c>
      <c r="B3385" t="s">
        <v>10703</v>
      </c>
      <c r="C3385" t="s">
        <v>10704</v>
      </c>
      <c r="D3385" t="s">
        <v>10705</v>
      </c>
      <c r="E3385">
        <v>0</v>
      </c>
      <c r="F3385" t="str">
        <f>HYPERLINK("https://github.com/scottwainstock/pbm-android/issues/175", "show")</f>
        <v>show</v>
      </c>
      <c r="G3385" t="str">
        <f>HYPERLINK("https://github.com/scottwainstock/pbm-android", "show")</f>
        <v>show</v>
      </c>
      <c r="H3385" t="str">
        <f>HYPERLINK("https://github.com/scottwainstock/pbm-android/releases", "show")</f>
        <v>show</v>
      </c>
      <c r="I3385">
        <v>1</v>
      </c>
      <c r="J3385">
        <v>0</v>
      </c>
      <c r="K3385">
        <v>1</v>
      </c>
      <c r="L3385">
        <v>0</v>
      </c>
      <c r="M3385" t="s">
        <v>64</v>
      </c>
    </row>
    <row r="3386" spans="1:13" hidden="1" x14ac:dyDescent="0.15">
      <c r="A3386" t="s">
        <v>10706</v>
      </c>
      <c r="B3386" t="s">
        <v>10707</v>
      </c>
      <c r="C3386" t="s">
        <v>10708</v>
      </c>
      <c r="D3386" t="s">
        <v>10709</v>
      </c>
      <c r="E3386">
        <v>21</v>
      </c>
      <c r="F3386" t="str">
        <f>HYPERLINK("https://github.com/billthefarmer/scope/issues/16", "show")</f>
        <v>show</v>
      </c>
      <c r="G3386" t="str">
        <f>HYPERLINK("https://github.com/billthefarmer/scope", "show")</f>
        <v>show</v>
      </c>
      <c r="H3386" t="str">
        <f>HYPERLINK("https://github.com/billthefarmer/scope/releases", "show")</f>
        <v>show</v>
      </c>
      <c r="I3386">
        <v>1</v>
      </c>
      <c r="J3386">
        <v>0</v>
      </c>
      <c r="K3386">
        <v>0</v>
      </c>
      <c r="L3386">
        <v>0</v>
      </c>
      <c r="M3386" t="s">
        <v>17</v>
      </c>
    </row>
    <row r="3387" spans="1:13" hidden="1" x14ac:dyDescent="0.15">
      <c r="A3387" t="s">
        <v>10710</v>
      </c>
      <c r="B3387" t="s">
        <v>10711</v>
      </c>
      <c r="C3387" t="s">
        <v>10712</v>
      </c>
      <c r="D3387" t="s">
        <v>10709</v>
      </c>
      <c r="E3387">
        <v>0</v>
      </c>
      <c r="F3387" t="str">
        <f>HYPERLINK("https://github.com/ramack/ActivityDiary/issues/60", "show")</f>
        <v>show</v>
      </c>
      <c r="G3387" t="str">
        <f>HYPERLINK("https://github.com/ramack/ActivityDiary", "show")</f>
        <v>show</v>
      </c>
      <c r="H3387" t="str">
        <f>HYPERLINK("https://github.com/ramack/ActivityDiary/releases", "show")</f>
        <v>show</v>
      </c>
      <c r="I3387">
        <v>1</v>
      </c>
      <c r="J3387">
        <v>1</v>
      </c>
      <c r="K3387">
        <v>1</v>
      </c>
      <c r="L3387">
        <v>0</v>
      </c>
      <c r="M3387" t="s">
        <v>59</v>
      </c>
    </row>
    <row r="3388" spans="1:13" hidden="1" x14ac:dyDescent="0.15">
      <c r="A3388" t="s">
        <v>10713</v>
      </c>
      <c r="B3388" t="s">
        <v>10714</v>
      </c>
      <c r="C3388" t="s">
        <v>10715</v>
      </c>
      <c r="D3388" t="s">
        <v>10716</v>
      </c>
      <c r="E3388">
        <v>6</v>
      </c>
      <c r="F3388" t="str">
        <f>HYPERLINK("https://github.com/moneymanagerex/android-money-manager-ex/issues/1178", "show")</f>
        <v>show</v>
      </c>
      <c r="G3388" t="str">
        <f>HYPERLINK("https://github.com/moneymanagerex/android-money-manager-ex", "show")</f>
        <v>show</v>
      </c>
      <c r="H3388" t="str">
        <f>HYPERLINK("https://github.com/moneymanagerex/android-money-manager-ex/releases", "show")</f>
        <v>show</v>
      </c>
      <c r="I3388">
        <v>1</v>
      </c>
      <c r="J3388">
        <v>0</v>
      </c>
      <c r="K3388">
        <v>0</v>
      </c>
      <c r="L3388">
        <v>0</v>
      </c>
      <c r="M3388" t="s">
        <v>17</v>
      </c>
    </row>
    <row r="3389" spans="1:13" hidden="1" x14ac:dyDescent="0.15">
      <c r="A3389" t="s">
        <v>10717</v>
      </c>
      <c r="B3389" t="s">
        <v>10718</v>
      </c>
      <c r="D3389" t="s">
        <v>10716</v>
      </c>
      <c r="E3389">
        <v>0</v>
      </c>
      <c r="F3389" t="str">
        <f>HYPERLINK("https://github.com/AhiruSoftwareCompany/alcoholtestapp/issues/38", "show")</f>
        <v>show</v>
      </c>
      <c r="G3389" t="str">
        <f>HYPERLINK("https://github.com/AhiruSoftwareCompany/alcoholtestapp", "show")</f>
        <v>show</v>
      </c>
      <c r="H3389" t="str">
        <f>HYPERLINK("https://github.com/AhiruSoftwareCompany/alcoholtestapp/releases", "show")</f>
        <v>show</v>
      </c>
      <c r="I3389">
        <v>1</v>
      </c>
      <c r="J3389">
        <v>0</v>
      </c>
      <c r="K3389">
        <v>0</v>
      </c>
      <c r="L3389">
        <v>0</v>
      </c>
      <c r="M3389" t="s">
        <v>17</v>
      </c>
    </row>
    <row r="3390" spans="1:13" hidden="1" x14ac:dyDescent="0.15">
      <c r="A3390" t="s">
        <v>10719</v>
      </c>
      <c r="B3390" t="s">
        <v>10720</v>
      </c>
      <c r="C3390" t="s">
        <v>10721</v>
      </c>
      <c r="D3390" t="s">
        <v>10716</v>
      </c>
      <c r="E3390">
        <v>1</v>
      </c>
      <c r="F3390" t="str">
        <f>HYPERLINK("https://github.com/nextcloud/android/issues/1848", "show")</f>
        <v>show</v>
      </c>
      <c r="G3390" t="str">
        <f>HYPERLINK("https://github.com/nextcloud/android", "show")</f>
        <v>show</v>
      </c>
      <c r="H3390" t="str">
        <f>HYPERLINK("https://github.com/nextcloud/android/releases", "show")</f>
        <v>show</v>
      </c>
      <c r="I3390">
        <v>1</v>
      </c>
      <c r="J3390">
        <v>1</v>
      </c>
      <c r="K3390">
        <v>1</v>
      </c>
      <c r="L3390">
        <v>0</v>
      </c>
      <c r="M3390" t="s">
        <v>59</v>
      </c>
    </row>
    <row r="3391" spans="1:13" hidden="1" x14ac:dyDescent="0.15">
      <c r="A3391" t="s">
        <v>10722</v>
      </c>
      <c r="B3391" t="s">
        <v>10723</v>
      </c>
      <c r="C3391" t="s">
        <v>10724</v>
      </c>
      <c r="D3391" t="s">
        <v>10716</v>
      </c>
      <c r="E3391">
        <v>0</v>
      </c>
      <c r="F3391" t="str">
        <f>HYPERLINK("https://github.com/TeamCaffeine/HotSwap/issues/91", "show")</f>
        <v>show</v>
      </c>
      <c r="G3391" t="str">
        <f>HYPERLINK("https://github.com/TeamCaffeine/HotSwap", "show")</f>
        <v>show</v>
      </c>
      <c r="H3391" t="str">
        <f>HYPERLINK("https://github.com/TeamCaffeine/HotSwap/releases", "show")</f>
        <v>show</v>
      </c>
      <c r="I3391">
        <v>1</v>
      </c>
      <c r="J3391">
        <v>1</v>
      </c>
      <c r="K3391">
        <v>0</v>
      </c>
      <c r="L3391">
        <v>0</v>
      </c>
      <c r="M3391" t="s">
        <v>48</v>
      </c>
    </row>
    <row r="3392" spans="1:13" hidden="1" x14ac:dyDescent="0.15">
      <c r="A3392" t="s">
        <v>10725</v>
      </c>
      <c r="B3392" t="s">
        <v>10726</v>
      </c>
      <c r="C3392" t="s">
        <v>10727</v>
      </c>
      <c r="D3392" t="s">
        <v>10728</v>
      </c>
      <c r="E3392">
        <v>86</v>
      </c>
      <c r="F3392" t="str">
        <f>HYPERLINK("https://github.com/simonpoole/OpeningHoursFragment/issues/21", "show")</f>
        <v>show</v>
      </c>
      <c r="G3392" t="str">
        <f>HYPERLINK("https://github.com/simonpoole/OpeningHoursFragment", "show")</f>
        <v>show</v>
      </c>
      <c r="H3392" t="str">
        <f>HYPERLINK("https://github.com/simonpoole/OpeningHoursFragment/releases", "show")</f>
        <v>show</v>
      </c>
      <c r="I3392">
        <v>1</v>
      </c>
      <c r="J3392">
        <v>1</v>
      </c>
      <c r="K3392">
        <v>0</v>
      </c>
      <c r="L3392">
        <v>0</v>
      </c>
      <c r="M3392" t="s">
        <v>48</v>
      </c>
    </row>
    <row r="3393" spans="1:13" hidden="1" x14ac:dyDescent="0.15">
      <c r="A3393" t="s">
        <v>10729</v>
      </c>
      <c r="B3393" t="s">
        <v>7028</v>
      </c>
      <c r="C3393" t="s">
        <v>10730</v>
      </c>
      <c r="D3393" t="s">
        <v>10728</v>
      </c>
      <c r="E3393">
        <v>416</v>
      </c>
      <c r="F3393" t="str">
        <f>HYPERLINK("https://github.com/dmfs/opentasks/issues/575", "show")</f>
        <v>show</v>
      </c>
      <c r="G3393" t="str">
        <f>HYPERLINK("https://github.com/dmfs/opentasks", "show")</f>
        <v>show</v>
      </c>
      <c r="H3393" t="str">
        <f>HYPERLINK("https://github.com/dmfs/opentasks/releases", "show")</f>
        <v>show</v>
      </c>
      <c r="I3393">
        <v>1</v>
      </c>
      <c r="J3393">
        <v>0</v>
      </c>
      <c r="K3393">
        <v>1</v>
      </c>
      <c r="L3393">
        <v>0</v>
      </c>
      <c r="M3393" t="s">
        <v>64</v>
      </c>
    </row>
    <row r="3394" spans="1:13" hidden="1" x14ac:dyDescent="0.15">
      <c r="A3394" t="s">
        <v>10731</v>
      </c>
      <c r="B3394" t="s">
        <v>10732</v>
      </c>
      <c r="C3394" t="s">
        <v>10733</v>
      </c>
      <c r="D3394" t="s">
        <v>10728</v>
      </c>
      <c r="E3394">
        <v>68</v>
      </c>
      <c r="F3394" t="str">
        <f>HYPERLINK("https://github.com/square/okhttp/issues/3719", "show")</f>
        <v>show</v>
      </c>
      <c r="G3394" t="str">
        <f>HYPERLINK("https://github.com/square/okhttp", "show")</f>
        <v>show</v>
      </c>
      <c r="H3394" t="str">
        <f>HYPERLINK("https://github.com/square/okhttp/releases", "show")</f>
        <v>show</v>
      </c>
      <c r="I3394">
        <v>0</v>
      </c>
      <c r="J3394">
        <v>0</v>
      </c>
      <c r="K3394">
        <v>1</v>
      </c>
      <c r="L3394">
        <v>0</v>
      </c>
      <c r="M3394" t="s">
        <v>122</v>
      </c>
    </row>
    <row r="3395" spans="1:13" hidden="1" x14ac:dyDescent="0.15">
      <c r="A3395" t="s">
        <v>10734</v>
      </c>
      <c r="B3395" t="s">
        <v>10735</v>
      </c>
      <c r="C3395" t="s">
        <v>10736</v>
      </c>
      <c r="D3395" t="s">
        <v>10737</v>
      </c>
      <c r="E3395">
        <v>607</v>
      </c>
      <c r="F3395" t="str">
        <f>HYPERLINK("https://github.com/lisawray/groupie/issues/135", "show")</f>
        <v>show</v>
      </c>
      <c r="G3395" t="str">
        <f>HYPERLINK("https://github.com/lisawray/groupie", "show")</f>
        <v>show</v>
      </c>
      <c r="H3395" t="str">
        <f>HYPERLINK("https://github.com/lisawray/groupie/releases", "show")</f>
        <v>show</v>
      </c>
      <c r="I3395">
        <v>1</v>
      </c>
      <c r="J3395">
        <v>0</v>
      </c>
      <c r="K3395">
        <v>0</v>
      </c>
      <c r="L3395">
        <v>0</v>
      </c>
      <c r="M3395" t="s">
        <v>17</v>
      </c>
    </row>
    <row r="3396" spans="1:13" hidden="1" x14ac:dyDescent="0.15">
      <c r="A3396" t="s">
        <v>10738</v>
      </c>
      <c r="B3396" t="s">
        <v>10739</v>
      </c>
      <c r="C3396" t="s">
        <v>504</v>
      </c>
      <c r="D3396" t="s">
        <v>10740</v>
      </c>
      <c r="E3396">
        <v>370</v>
      </c>
      <c r="F3396" t="str">
        <f>HYPERLINK("https://github.com/niclabs/adkintunmobile-androidclient/issues/188", "show")</f>
        <v>show</v>
      </c>
      <c r="G3396" t="str">
        <f>HYPERLINK("https://github.com/niclabs/adkintunmobile-androidclient", "show")</f>
        <v>show</v>
      </c>
      <c r="H3396" t="str">
        <f>HYPERLINK("https://github.com/niclabs/adkintunmobile-androidclient/releases", "show")</f>
        <v>show</v>
      </c>
      <c r="I3396">
        <v>1</v>
      </c>
      <c r="J3396">
        <v>0</v>
      </c>
      <c r="K3396">
        <v>0</v>
      </c>
      <c r="L3396">
        <v>0</v>
      </c>
      <c r="M3396" t="s">
        <v>17</v>
      </c>
    </row>
    <row r="3397" spans="1:13" hidden="1" x14ac:dyDescent="0.15">
      <c r="A3397" t="s">
        <v>10741</v>
      </c>
      <c r="B3397" t="s">
        <v>10742</v>
      </c>
      <c r="C3397" t="s">
        <v>10743</v>
      </c>
      <c r="D3397" t="s">
        <v>10740</v>
      </c>
      <c r="E3397">
        <v>1</v>
      </c>
      <c r="F3397" t="str">
        <f>HYPERLINK("https://github.com/kabouzeid/Phonograph/issues/372", "show")</f>
        <v>show</v>
      </c>
      <c r="G3397" t="str">
        <f>HYPERLINK("https://github.com/kabouzeid/Phonograph", "show")</f>
        <v>show</v>
      </c>
      <c r="H3397" t="str">
        <f>HYPERLINK("https://github.com/kabouzeid/Phonograph/releases", "show")</f>
        <v>show</v>
      </c>
      <c r="I3397">
        <v>1</v>
      </c>
      <c r="J3397">
        <v>0</v>
      </c>
      <c r="K3397">
        <v>0</v>
      </c>
      <c r="L3397">
        <v>0</v>
      </c>
      <c r="M3397" t="s">
        <v>17</v>
      </c>
    </row>
    <row r="3398" spans="1:13" hidden="1" x14ac:dyDescent="0.15">
      <c r="A3398" t="s">
        <v>10744</v>
      </c>
      <c r="B3398" t="s">
        <v>10745</v>
      </c>
      <c r="C3398" t="s">
        <v>10746</v>
      </c>
      <c r="D3398" t="s">
        <v>10740</v>
      </c>
      <c r="E3398">
        <v>497</v>
      </c>
      <c r="F3398" t="str">
        <f>HYPERLINK("https://github.com/Swrve/swrve-android-sdk/issues/271", "show")</f>
        <v>show</v>
      </c>
      <c r="G3398" t="str">
        <f>HYPERLINK("https://github.com/Swrve/swrve-android-sdk", "show")</f>
        <v>show</v>
      </c>
      <c r="H3398" t="str">
        <f>HYPERLINK("https://github.com/Swrve/swrve-android-sdk/releases", "show")</f>
        <v>show</v>
      </c>
      <c r="I3398">
        <v>1</v>
      </c>
      <c r="J3398">
        <v>0</v>
      </c>
      <c r="K3398">
        <v>0</v>
      </c>
      <c r="L3398">
        <v>0</v>
      </c>
      <c r="M3398" t="s">
        <v>17</v>
      </c>
    </row>
    <row r="3399" spans="1:13" hidden="1" x14ac:dyDescent="0.15">
      <c r="A3399" t="s">
        <v>10747</v>
      </c>
      <c r="B3399" t="s">
        <v>10748</v>
      </c>
      <c r="C3399" t="s">
        <v>10749</v>
      </c>
      <c r="D3399" t="s">
        <v>10740</v>
      </c>
      <c r="E3399">
        <v>0</v>
      </c>
      <c r="F3399" t="str">
        <f>HYPERLINK("https://github.com/ZeeRooo/MaterialFBook/issues/121", "show")</f>
        <v>show</v>
      </c>
      <c r="G3399" t="str">
        <f>HYPERLINK("https://github.com/ZeeRooo/MaterialFBook", "show")</f>
        <v>show</v>
      </c>
      <c r="H3399" t="str">
        <f>HYPERLINK("https://github.com/ZeeRooo/MaterialFBook/releases", "show")</f>
        <v>show</v>
      </c>
      <c r="I3399">
        <v>1</v>
      </c>
      <c r="J3399">
        <v>0</v>
      </c>
      <c r="K3399">
        <v>0</v>
      </c>
      <c r="L3399">
        <v>0</v>
      </c>
      <c r="M3399" t="s">
        <v>17</v>
      </c>
    </row>
    <row r="3400" spans="1:13" hidden="1" x14ac:dyDescent="0.15">
      <c r="A3400" t="s">
        <v>10750</v>
      </c>
      <c r="B3400" t="s">
        <v>10751</v>
      </c>
      <c r="C3400" t="s">
        <v>10752</v>
      </c>
      <c r="D3400" t="s">
        <v>10753</v>
      </c>
      <c r="E3400">
        <v>0</v>
      </c>
      <c r="F3400" t="str">
        <f>HYPERLINK("https://github.com/Zhuinden/realm-book-example/issues/12", "show")</f>
        <v>show</v>
      </c>
      <c r="G3400" t="str">
        <f>HYPERLINK("https://github.com/Zhuinden/realm-book-example", "show")</f>
        <v>show</v>
      </c>
      <c r="H3400" t="str">
        <f>HYPERLINK("https://github.com/Zhuinden/realm-book-example/releases", "show")</f>
        <v>show</v>
      </c>
      <c r="I3400">
        <v>0</v>
      </c>
      <c r="J3400">
        <v>0</v>
      </c>
      <c r="K3400">
        <v>0</v>
      </c>
      <c r="L3400">
        <v>1</v>
      </c>
      <c r="M3400" t="s">
        <v>581</v>
      </c>
    </row>
    <row r="3401" spans="1:13" hidden="1" x14ac:dyDescent="0.15">
      <c r="A3401" t="s">
        <v>10754</v>
      </c>
      <c r="B3401" t="s">
        <v>10755</v>
      </c>
      <c r="C3401" t="s">
        <v>10756</v>
      </c>
      <c r="D3401" t="s">
        <v>10753</v>
      </c>
      <c r="E3401">
        <v>1</v>
      </c>
      <c r="F3401" t="str">
        <f>HYPERLINK("https://github.com/WyrnCael/JotDownThatMovie/issues/1", "show")</f>
        <v>show</v>
      </c>
      <c r="G3401" t="str">
        <f>HYPERLINK("https://github.com/WyrnCael/JotDownThatMovie", "show")</f>
        <v>show</v>
      </c>
      <c r="H3401" t="str">
        <f>HYPERLINK("https://github.com/WyrnCael/JotDownThatMovie/releases", "show")</f>
        <v>show</v>
      </c>
      <c r="I3401">
        <v>1</v>
      </c>
      <c r="J3401">
        <v>0</v>
      </c>
      <c r="K3401">
        <v>0</v>
      </c>
      <c r="L3401">
        <v>0</v>
      </c>
      <c r="M3401" t="s">
        <v>17</v>
      </c>
    </row>
    <row r="3402" spans="1:13" hidden="1" x14ac:dyDescent="0.15">
      <c r="A3402" t="s">
        <v>10757</v>
      </c>
      <c r="B3402" t="s">
        <v>10758</v>
      </c>
      <c r="C3402" t="s">
        <v>10759</v>
      </c>
      <c r="D3402" t="s">
        <v>10760</v>
      </c>
      <c r="E3402">
        <v>23</v>
      </c>
      <c r="F3402" t="str">
        <f>HYPERLINK("https://github.com/k9mail/k-9/issues/2973", "show")</f>
        <v>show</v>
      </c>
      <c r="G3402" t="str">
        <f>HYPERLINK("https://github.com/k9mail/k-9", "show")</f>
        <v>show</v>
      </c>
      <c r="H3402" t="str">
        <f>HYPERLINK("https://github.com/k9mail/k-9/releases", "show")</f>
        <v>show</v>
      </c>
      <c r="I3402">
        <v>1</v>
      </c>
      <c r="J3402">
        <v>1</v>
      </c>
      <c r="K3402">
        <v>0</v>
      </c>
      <c r="L3402">
        <v>0</v>
      </c>
      <c r="M3402" t="s">
        <v>48</v>
      </c>
    </row>
    <row r="3403" spans="1:13" hidden="1" x14ac:dyDescent="0.15">
      <c r="A3403" t="s">
        <v>10761</v>
      </c>
      <c r="B3403" t="s">
        <v>10762</v>
      </c>
      <c r="D3403" t="s">
        <v>10760</v>
      </c>
      <c r="E3403">
        <v>8</v>
      </c>
      <c r="F3403" t="str">
        <f>HYPERLINK("https://github.com/divya21raj/UniPool/issues/42", "show")</f>
        <v>show</v>
      </c>
      <c r="G3403" t="str">
        <f>HYPERLINK("https://github.com/divya21raj/UniPool", "show")</f>
        <v>show</v>
      </c>
      <c r="H3403" t="str">
        <f>HYPERLINK("https://github.com/divya21raj/UniPool/releases", "show")</f>
        <v>show</v>
      </c>
      <c r="I3403">
        <v>1</v>
      </c>
      <c r="J3403">
        <v>0</v>
      </c>
      <c r="K3403">
        <v>0</v>
      </c>
      <c r="L3403">
        <v>0</v>
      </c>
      <c r="M3403" t="s">
        <v>17</v>
      </c>
    </row>
    <row r="3404" spans="1:13" hidden="1" x14ac:dyDescent="0.15">
      <c r="A3404" t="s">
        <v>10763</v>
      </c>
      <c r="B3404" t="s">
        <v>10764</v>
      </c>
      <c r="C3404" t="s">
        <v>10765</v>
      </c>
      <c r="D3404" t="s">
        <v>10766</v>
      </c>
      <c r="E3404">
        <v>36</v>
      </c>
      <c r="F3404" t="str">
        <f>HYPERLINK("https://github.com/processing/processing-android/issues/417", "show")</f>
        <v>show</v>
      </c>
      <c r="G3404" t="str">
        <f>HYPERLINK("https://github.com/processing/processing-android", "show")</f>
        <v>show</v>
      </c>
      <c r="H3404" t="str">
        <f>HYPERLINK("https://github.com/processing/processing-android/releases", "show")</f>
        <v>show</v>
      </c>
      <c r="I3404">
        <v>0</v>
      </c>
      <c r="J3404">
        <v>0</v>
      </c>
      <c r="K3404">
        <v>1</v>
      </c>
      <c r="L3404">
        <v>0</v>
      </c>
      <c r="M3404" t="s">
        <v>122</v>
      </c>
    </row>
    <row r="3405" spans="1:13" hidden="1" x14ac:dyDescent="0.15">
      <c r="A3405" t="s">
        <v>10767</v>
      </c>
      <c r="B3405" t="s">
        <v>10768</v>
      </c>
      <c r="C3405" t="s">
        <v>10769</v>
      </c>
      <c r="D3405" t="s">
        <v>10766</v>
      </c>
      <c r="E3405">
        <v>3</v>
      </c>
      <c r="F3405" t="str">
        <f>HYPERLINK("https://github.com/Blankeer/MDWechat/issues/1", "show")</f>
        <v>show</v>
      </c>
      <c r="G3405" t="str">
        <f>HYPERLINK("https://github.com/Blankeer/MDWechat", "show")</f>
        <v>show</v>
      </c>
      <c r="H3405" t="str">
        <f>HYPERLINK("https://github.com/Blankeer/MDWechat/releases", "show")</f>
        <v>show</v>
      </c>
      <c r="I3405">
        <v>0</v>
      </c>
      <c r="J3405">
        <v>0</v>
      </c>
      <c r="K3405">
        <v>0</v>
      </c>
      <c r="L3405">
        <v>0</v>
      </c>
      <c r="M3405" t="s">
        <v>43</v>
      </c>
    </row>
    <row r="3406" spans="1:13" hidden="1" x14ac:dyDescent="0.15">
      <c r="A3406" t="s">
        <v>10770</v>
      </c>
      <c r="B3406" t="s">
        <v>10771</v>
      </c>
      <c r="C3406" t="s">
        <v>10772</v>
      </c>
      <c r="D3406" t="s">
        <v>10773</v>
      </c>
      <c r="E3406">
        <v>419</v>
      </c>
      <c r="F3406" t="str">
        <f>HYPERLINK("https://github.com/popeen/Booksonic-App/issues/69", "show")</f>
        <v>show</v>
      </c>
      <c r="G3406" t="str">
        <f>HYPERLINK("https://github.com/popeen/Booksonic-App", "show")</f>
        <v>show</v>
      </c>
      <c r="H3406" t="str">
        <f>HYPERLINK("https://github.com/popeen/Booksonic-App/releases", "show")</f>
        <v>show</v>
      </c>
      <c r="I3406">
        <v>1</v>
      </c>
      <c r="J3406">
        <v>0</v>
      </c>
      <c r="K3406">
        <v>0</v>
      </c>
      <c r="L3406">
        <v>0</v>
      </c>
      <c r="M3406" t="s">
        <v>17</v>
      </c>
    </row>
    <row r="3407" spans="1:13" hidden="1" x14ac:dyDescent="0.15">
      <c r="A3407" t="s">
        <v>10774</v>
      </c>
      <c r="B3407" t="s">
        <v>10775</v>
      </c>
      <c r="C3407" t="s">
        <v>10776</v>
      </c>
      <c r="D3407" t="s">
        <v>10773</v>
      </c>
      <c r="E3407">
        <v>1</v>
      </c>
      <c r="F3407" t="str">
        <f>HYPERLINK("https://github.com/fr3ts0n/AndrOBD/issues/43", "show")</f>
        <v>show</v>
      </c>
      <c r="G3407" t="str">
        <f>HYPERLINK("https://github.com/fr3ts0n/AndrOBD", "show")</f>
        <v>show</v>
      </c>
      <c r="H3407" t="str">
        <f>HYPERLINK("https://github.com/fr3ts0n/AndrOBD/releases", "show")</f>
        <v>show</v>
      </c>
      <c r="I3407">
        <v>1</v>
      </c>
      <c r="J3407">
        <v>0</v>
      </c>
      <c r="K3407">
        <v>0</v>
      </c>
      <c r="L3407">
        <v>0</v>
      </c>
      <c r="M3407" t="s">
        <v>17</v>
      </c>
    </row>
    <row r="3408" spans="1:13" hidden="1" x14ac:dyDescent="0.15">
      <c r="A3408" t="s">
        <v>10777</v>
      </c>
      <c r="B3408" t="s">
        <v>10778</v>
      </c>
      <c r="C3408" t="s">
        <v>10779</v>
      </c>
      <c r="D3408" t="s">
        <v>10773</v>
      </c>
      <c r="E3408">
        <v>0</v>
      </c>
      <c r="F3408" t="str">
        <f>HYPERLINK("https://github.com/novoda/download-manager/issues/274", "show")</f>
        <v>show</v>
      </c>
      <c r="G3408" t="str">
        <f>HYPERLINK("https://github.com/novoda/download-manager", "show")</f>
        <v>show</v>
      </c>
      <c r="H3408" t="str">
        <f>HYPERLINK("https://github.com/novoda/download-manager/releases", "show")</f>
        <v>show</v>
      </c>
      <c r="I3408">
        <v>0</v>
      </c>
      <c r="J3408">
        <v>0</v>
      </c>
      <c r="K3408">
        <v>0</v>
      </c>
      <c r="L3408">
        <v>0</v>
      </c>
      <c r="M3408" t="s">
        <v>43</v>
      </c>
    </row>
    <row r="3409" spans="1:13" hidden="1" x14ac:dyDescent="0.15">
      <c r="A3409" t="s">
        <v>10780</v>
      </c>
      <c r="B3409" t="s">
        <v>4871</v>
      </c>
      <c r="C3409" t="s">
        <v>504</v>
      </c>
      <c r="D3409" t="s">
        <v>10773</v>
      </c>
      <c r="E3409">
        <v>73</v>
      </c>
      <c r="F3409" t="str">
        <f>HYPERLINK("https://github.com/tanrabad/survey/issues/49", "show")</f>
        <v>show</v>
      </c>
      <c r="G3409" t="str">
        <f>HYPERLINK("https://github.com/tanrabad/survey", "show")</f>
        <v>show</v>
      </c>
      <c r="H3409" t="str">
        <f>HYPERLINK("https://github.com/tanrabad/survey/releases", "show")</f>
        <v>show</v>
      </c>
      <c r="I3409">
        <v>1</v>
      </c>
      <c r="J3409">
        <v>0</v>
      </c>
      <c r="K3409">
        <v>0</v>
      </c>
      <c r="L3409">
        <v>0</v>
      </c>
      <c r="M3409" t="s">
        <v>17</v>
      </c>
    </row>
    <row r="3410" spans="1:13" hidden="1" x14ac:dyDescent="0.15">
      <c r="A3410" t="s">
        <v>10781</v>
      </c>
      <c r="B3410" t="s">
        <v>4871</v>
      </c>
      <c r="C3410" t="s">
        <v>504</v>
      </c>
      <c r="D3410" t="s">
        <v>10773</v>
      </c>
      <c r="E3410">
        <v>73</v>
      </c>
      <c r="F3410" t="str">
        <f>HYPERLINK("https://github.com/tanrabad/survey/issues/48", "show")</f>
        <v>show</v>
      </c>
      <c r="G3410" t="str">
        <f>HYPERLINK("https://github.com/tanrabad/survey", "show")</f>
        <v>show</v>
      </c>
      <c r="H3410" t="str">
        <f>HYPERLINK("https://github.com/tanrabad/survey/releases", "show")</f>
        <v>show</v>
      </c>
      <c r="I3410">
        <v>1</v>
      </c>
      <c r="J3410">
        <v>0</v>
      </c>
      <c r="K3410">
        <v>0</v>
      </c>
      <c r="L3410">
        <v>0</v>
      </c>
      <c r="M3410" t="s">
        <v>17</v>
      </c>
    </row>
    <row r="3411" spans="1:13" hidden="1" x14ac:dyDescent="0.15">
      <c r="A3411" t="s">
        <v>10782</v>
      </c>
      <c r="B3411" t="s">
        <v>4871</v>
      </c>
      <c r="C3411" t="s">
        <v>504</v>
      </c>
      <c r="D3411" t="s">
        <v>10773</v>
      </c>
      <c r="E3411">
        <v>73</v>
      </c>
      <c r="F3411" t="str">
        <f>HYPERLINK("https://github.com/tanrabad/survey/issues/47", "show")</f>
        <v>show</v>
      </c>
      <c r="G3411" t="str">
        <f>HYPERLINK("https://github.com/tanrabad/survey", "show")</f>
        <v>show</v>
      </c>
      <c r="H3411" t="str">
        <f>HYPERLINK("https://github.com/tanrabad/survey/releases", "show")</f>
        <v>show</v>
      </c>
      <c r="I3411">
        <v>1</v>
      </c>
      <c r="J3411">
        <v>0</v>
      </c>
      <c r="K3411">
        <v>0</v>
      </c>
      <c r="L3411">
        <v>0</v>
      </c>
      <c r="M3411" t="s">
        <v>17</v>
      </c>
    </row>
    <row r="3412" spans="1:13" hidden="1" x14ac:dyDescent="0.15">
      <c r="A3412" t="s">
        <v>10783</v>
      </c>
      <c r="B3412" t="s">
        <v>4871</v>
      </c>
      <c r="C3412" t="s">
        <v>504</v>
      </c>
      <c r="D3412" t="s">
        <v>10773</v>
      </c>
      <c r="E3412">
        <v>73</v>
      </c>
      <c r="F3412" t="str">
        <f>HYPERLINK("https://github.com/tanrabad/survey/issues/46", "show")</f>
        <v>show</v>
      </c>
      <c r="G3412" t="str">
        <f>HYPERLINK("https://github.com/tanrabad/survey", "show")</f>
        <v>show</v>
      </c>
      <c r="H3412" t="str">
        <f>HYPERLINK("https://github.com/tanrabad/survey/releases", "show")</f>
        <v>show</v>
      </c>
      <c r="I3412">
        <v>1</v>
      </c>
      <c r="J3412">
        <v>0</v>
      </c>
      <c r="K3412">
        <v>0</v>
      </c>
      <c r="L3412">
        <v>0</v>
      </c>
      <c r="M3412" t="s">
        <v>17</v>
      </c>
    </row>
    <row r="3413" spans="1:13" hidden="1" x14ac:dyDescent="0.15">
      <c r="A3413" t="s">
        <v>10784</v>
      </c>
      <c r="B3413" t="s">
        <v>10785</v>
      </c>
      <c r="C3413" t="s">
        <v>10786</v>
      </c>
      <c r="D3413" t="s">
        <v>10787</v>
      </c>
      <c r="E3413">
        <v>1</v>
      </c>
      <c r="F3413" t="str">
        <f>HYPERLINK("https://github.com/jruesga/rview/issues/57", "show")</f>
        <v>show</v>
      </c>
      <c r="G3413" t="str">
        <f>HYPERLINK("https://github.com/jruesga/rview", "show")</f>
        <v>show</v>
      </c>
      <c r="H3413" t="str">
        <f>HYPERLINK("https://github.com/jruesga/rview/releases", "show")</f>
        <v>show</v>
      </c>
      <c r="I3413">
        <v>1</v>
      </c>
      <c r="J3413">
        <v>0</v>
      </c>
      <c r="K3413">
        <v>0</v>
      </c>
      <c r="L3413">
        <v>0</v>
      </c>
      <c r="M3413" t="s">
        <v>17</v>
      </c>
    </row>
    <row r="3414" spans="1:13" hidden="1" x14ac:dyDescent="0.15">
      <c r="A3414" t="s">
        <v>10788</v>
      </c>
      <c r="B3414" t="s">
        <v>10789</v>
      </c>
      <c r="D3414" t="s">
        <v>10787</v>
      </c>
      <c r="E3414">
        <v>139</v>
      </c>
      <c r="F3414" t="str">
        <f>HYPERLINK("https://github.com/mdg-iitr/calling-text/issues/3", "show")</f>
        <v>show</v>
      </c>
      <c r="G3414" t="str">
        <f>HYPERLINK("https://github.com/mdg-iitr/calling-text", "show")</f>
        <v>show</v>
      </c>
      <c r="H3414" t="str">
        <f>HYPERLINK("https://github.com/mdg-iitr/calling-text/releases", "show")</f>
        <v>show</v>
      </c>
      <c r="I3414">
        <v>1</v>
      </c>
      <c r="J3414">
        <v>0</v>
      </c>
      <c r="K3414">
        <v>0</v>
      </c>
      <c r="L3414">
        <v>0</v>
      </c>
      <c r="M3414" t="s">
        <v>17</v>
      </c>
    </row>
    <row r="3415" spans="1:13" hidden="1" x14ac:dyDescent="0.15">
      <c r="A3415" t="s">
        <v>10790</v>
      </c>
      <c r="B3415" t="s">
        <v>10791</v>
      </c>
      <c r="C3415" t="s">
        <v>10792</v>
      </c>
      <c r="D3415" t="s">
        <v>10787</v>
      </c>
      <c r="E3415">
        <v>119</v>
      </c>
      <c r="F3415" t="str">
        <f>HYPERLINK("https://github.com/alhazmy13/MediaPicker/issues/49", "show")</f>
        <v>show</v>
      </c>
      <c r="G3415" t="str">
        <f>HYPERLINK("https://github.com/alhazmy13/MediaPicker", "show")</f>
        <v>show</v>
      </c>
      <c r="H3415" t="str">
        <f>HYPERLINK("https://github.com/alhazmy13/MediaPicker/releases", "show")</f>
        <v>show</v>
      </c>
      <c r="I3415">
        <v>1</v>
      </c>
      <c r="J3415">
        <v>0</v>
      </c>
      <c r="K3415">
        <v>0</v>
      </c>
      <c r="L3415">
        <v>0</v>
      </c>
      <c r="M3415" t="s">
        <v>17</v>
      </c>
    </row>
    <row r="3416" spans="1:13" hidden="1" x14ac:dyDescent="0.15">
      <c r="A3416" t="s">
        <v>10793</v>
      </c>
      <c r="B3416" t="s">
        <v>10794</v>
      </c>
      <c r="C3416" t="s">
        <v>10795</v>
      </c>
      <c r="D3416" t="s">
        <v>10796</v>
      </c>
      <c r="E3416">
        <v>117</v>
      </c>
      <c r="F3416" t="str">
        <f>HYPERLINK("https://github.com/alhazmy13/MediaPicker/issues/51", "show")</f>
        <v>show</v>
      </c>
      <c r="G3416" t="str">
        <f>HYPERLINK("https://github.com/alhazmy13/MediaPicker", "show")</f>
        <v>show</v>
      </c>
      <c r="H3416" t="str">
        <f>HYPERLINK("https://github.com/alhazmy13/MediaPicker/releases", "show")</f>
        <v>show</v>
      </c>
      <c r="I3416">
        <v>0</v>
      </c>
      <c r="J3416">
        <v>0</v>
      </c>
      <c r="K3416">
        <v>0</v>
      </c>
      <c r="L3416">
        <v>1</v>
      </c>
      <c r="M3416" t="s">
        <v>581</v>
      </c>
    </row>
    <row r="3417" spans="1:13" hidden="1" x14ac:dyDescent="0.15">
      <c r="A3417" t="s">
        <v>10797</v>
      </c>
      <c r="B3417" t="s">
        <v>10798</v>
      </c>
      <c r="C3417" t="s">
        <v>10799</v>
      </c>
      <c r="D3417" t="s">
        <v>10796</v>
      </c>
      <c r="E3417">
        <v>67</v>
      </c>
      <c r="F3417" t="str">
        <f>HYPERLINK("https://github.com/moneymanagerex/android-money-manager-ex/issues/1186", "show")</f>
        <v>show</v>
      </c>
      <c r="G3417" t="str">
        <f>HYPERLINK("https://github.com/moneymanagerex/android-money-manager-ex", "show")</f>
        <v>show</v>
      </c>
      <c r="H3417" t="str">
        <f>HYPERLINK("https://github.com/moneymanagerex/android-money-manager-ex/releases", "show")</f>
        <v>show</v>
      </c>
      <c r="I3417">
        <v>1</v>
      </c>
      <c r="J3417">
        <v>0</v>
      </c>
      <c r="K3417">
        <v>0</v>
      </c>
      <c r="L3417">
        <v>0</v>
      </c>
      <c r="M3417" t="s">
        <v>17</v>
      </c>
    </row>
    <row r="3418" spans="1:13" hidden="1" x14ac:dyDescent="0.15">
      <c r="A3418" t="s">
        <v>10800</v>
      </c>
      <c r="B3418" t="s">
        <v>10801</v>
      </c>
      <c r="C3418" t="s">
        <v>10802</v>
      </c>
      <c r="D3418" t="s">
        <v>10796</v>
      </c>
      <c r="E3418">
        <v>6</v>
      </c>
      <c r="F3418" t="str">
        <f>HYPERLINK("https://github.com/BaristaVentures/android-debug-artist/issues/60", "show")</f>
        <v>show</v>
      </c>
      <c r="G3418" t="str">
        <f>HYPERLINK("https://github.com/BaristaVentures/android-debug-artist", "show")</f>
        <v>show</v>
      </c>
      <c r="H3418" t="str">
        <f>HYPERLINK("https://github.com/BaristaVentures/android-debug-artist/releases", "show")</f>
        <v>show</v>
      </c>
      <c r="I3418">
        <v>0</v>
      </c>
      <c r="J3418">
        <v>0</v>
      </c>
      <c r="K3418">
        <v>0</v>
      </c>
      <c r="L3418">
        <v>0</v>
      </c>
      <c r="M3418" t="s">
        <v>43</v>
      </c>
    </row>
    <row r="3419" spans="1:13" hidden="1" x14ac:dyDescent="0.15">
      <c r="A3419" t="s">
        <v>10803</v>
      </c>
      <c r="B3419" t="s">
        <v>10804</v>
      </c>
      <c r="C3419" t="s">
        <v>10805</v>
      </c>
      <c r="D3419" t="s">
        <v>10796</v>
      </c>
      <c r="E3419">
        <v>53</v>
      </c>
      <c r="F3419" t="str">
        <f>HYPERLINK("https://github.com/dariuszseweryn/RxAndroidBle/issues/342", "show")</f>
        <v>show</v>
      </c>
      <c r="G3419" t="str">
        <f>HYPERLINK("https://github.com/dariuszseweryn/RxAndroidBle", "show")</f>
        <v>show</v>
      </c>
      <c r="H3419" t="str">
        <f>HYPERLINK("https://github.com/dariuszseweryn/RxAndroidBle/releases", "show")</f>
        <v>show</v>
      </c>
      <c r="I3419">
        <v>1</v>
      </c>
      <c r="J3419">
        <v>0</v>
      </c>
      <c r="K3419">
        <v>1</v>
      </c>
      <c r="L3419">
        <v>0</v>
      </c>
      <c r="M3419" t="s">
        <v>64</v>
      </c>
    </row>
    <row r="3420" spans="1:13" hidden="1" x14ac:dyDescent="0.15">
      <c r="A3420" t="s">
        <v>10806</v>
      </c>
      <c r="B3420" t="s">
        <v>10807</v>
      </c>
      <c r="C3420" t="s">
        <v>504</v>
      </c>
      <c r="D3420" t="s">
        <v>10796</v>
      </c>
      <c r="E3420">
        <v>71</v>
      </c>
      <c r="F3420" t="str">
        <f>HYPERLINK("https://github.com/tanrabad/survey/issues/50", "show")</f>
        <v>show</v>
      </c>
      <c r="G3420" t="str">
        <f>HYPERLINK("https://github.com/tanrabad/survey", "show")</f>
        <v>show</v>
      </c>
      <c r="H3420" t="str">
        <f>HYPERLINK("https://github.com/tanrabad/survey/releases", "show")</f>
        <v>show</v>
      </c>
      <c r="I3420">
        <v>1</v>
      </c>
      <c r="J3420">
        <v>0</v>
      </c>
      <c r="K3420">
        <v>0</v>
      </c>
      <c r="L3420">
        <v>0</v>
      </c>
      <c r="M3420" t="s">
        <v>17</v>
      </c>
    </row>
    <row r="3421" spans="1:13" hidden="1" x14ac:dyDescent="0.15">
      <c r="A3421" t="s">
        <v>10808</v>
      </c>
      <c r="B3421" t="s">
        <v>10809</v>
      </c>
      <c r="C3421" t="s">
        <v>10810</v>
      </c>
      <c r="D3421" t="s">
        <v>10811</v>
      </c>
      <c r="E3421">
        <v>12</v>
      </c>
      <c r="F3421" t="str">
        <f>HYPERLINK("https://github.com/mycelium-com/wallet-android/issues/441", "show")</f>
        <v>show</v>
      </c>
      <c r="G3421" t="str">
        <f>HYPERLINK("https://github.com/mycelium-com/wallet-android", "show")</f>
        <v>show</v>
      </c>
      <c r="H3421" t="str">
        <f>HYPERLINK("https://github.com/mycelium-com/wallet-android/releases", "show")</f>
        <v>show</v>
      </c>
      <c r="I3421">
        <v>1</v>
      </c>
      <c r="J3421">
        <v>0</v>
      </c>
      <c r="K3421">
        <v>1</v>
      </c>
      <c r="L3421">
        <v>0</v>
      </c>
      <c r="M3421" t="s">
        <v>64</v>
      </c>
    </row>
    <row r="3422" spans="1:13" hidden="1" x14ac:dyDescent="0.15">
      <c r="A3422" t="s">
        <v>10812</v>
      </c>
      <c r="B3422" t="s">
        <v>10813</v>
      </c>
      <c r="C3422" t="s">
        <v>10814</v>
      </c>
      <c r="D3422" t="s">
        <v>10811</v>
      </c>
      <c r="E3422">
        <v>2</v>
      </c>
      <c r="F3422" t="str">
        <f>HYPERLINK("https://github.com/kyroschow/MinigameMarathon/issues/61", "show")</f>
        <v>show</v>
      </c>
      <c r="G3422" t="str">
        <f>HYPERLINK("https://github.com/kyroschow/MinigameMarathon", "show")</f>
        <v>show</v>
      </c>
      <c r="H3422" t="str">
        <f>HYPERLINK("https://github.com/kyroschow/MinigameMarathon/releases", "show")</f>
        <v>show</v>
      </c>
      <c r="I3422">
        <v>1</v>
      </c>
      <c r="J3422">
        <v>0</v>
      </c>
      <c r="K3422">
        <v>0</v>
      </c>
      <c r="L3422">
        <v>0</v>
      </c>
      <c r="M3422" t="s">
        <v>17</v>
      </c>
    </row>
    <row r="3423" spans="1:13" hidden="1" x14ac:dyDescent="0.15">
      <c r="A3423" t="s">
        <v>10815</v>
      </c>
      <c r="B3423" t="s">
        <v>10816</v>
      </c>
      <c r="C3423" t="s">
        <v>10817</v>
      </c>
      <c r="D3423" t="s">
        <v>10811</v>
      </c>
      <c r="E3423">
        <v>0</v>
      </c>
      <c r="F3423" t="str">
        <f>HYPERLINK("https://github.com/mapbox/mapbox-plugins-android/issues/223", "show")</f>
        <v>show</v>
      </c>
      <c r="G3423" t="str">
        <f>HYPERLINK("https://github.com/mapbox/mapbox-plugins-android", "show")</f>
        <v>show</v>
      </c>
      <c r="H3423" t="str">
        <f>HYPERLINK("https://github.com/mapbox/mapbox-plugins-android/releases", "show")</f>
        <v>show</v>
      </c>
      <c r="I3423">
        <v>0</v>
      </c>
      <c r="J3423">
        <v>0</v>
      </c>
      <c r="K3423">
        <v>0</v>
      </c>
      <c r="L3423">
        <v>0</v>
      </c>
      <c r="M3423" t="s">
        <v>43</v>
      </c>
    </row>
    <row r="3424" spans="1:13" hidden="1" x14ac:dyDescent="0.15">
      <c r="A3424" t="s">
        <v>10818</v>
      </c>
      <c r="B3424" t="s">
        <v>10819</v>
      </c>
      <c r="C3424" t="s">
        <v>10820</v>
      </c>
      <c r="D3424" t="s">
        <v>10811</v>
      </c>
      <c r="E3424">
        <v>0</v>
      </c>
      <c r="F3424" t="str">
        <f>HYPERLINK("https://github.com/kyroschow/MinigameMarathon/issues/59", "show")</f>
        <v>show</v>
      </c>
      <c r="G3424" t="str">
        <f>HYPERLINK("https://github.com/kyroschow/MinigameMarathon", "show")</f>
        <v>show</v>
      </c>
      <c r="H3424" t="str">
        <f>HYPERLINK("https://github.com/kyroschow/MinigameMarathon/releases", "show")</f>
        <v>show</v>
      </c>
      <c r="I3424">
        <v>1</v>
      </c>
      <c r="J3424">
        <v>1</v>
      </c>
      <c r="K3424">
        <v>0</v>
      </c>
      <c r="L3424">
        <v>0</v>
      </c>
      <c r="M3424" t="s">
        <v>48</v>
      </c>
    </row>
    <row r="3425" spans="1:13" hidden="1" x14ac:dyDescent="0.15">
      <c r="A3425" t="s">
        <v>10821</v>
      </c>
      <c r="B3425" t="s">
        <v>10822</v>
      </c>
      <c r="C3425" t="s">
        <v>10823</v>
      </c>
      <c r="D3425" t="s">
        <v>10811</v>
      </c>
      <c r="E3425">
        <v>12</v>
      </c>
      <c r="F3425" t="str">
        <f>HYPERLINK("https://github.com/Freeyourgadget/Gadgetbridge/issues/916", "show")</f>
        <v>show</v>
      </c>
      <c r="G3425" t="str">
        <f>HYPERLINK("https://github.com/Freeyourgadget/Gadgetbridge", "show")</f>
        <v>show</v>
      </c>
      <c r="H3425" t="str">
        <f>HYPERLINK("https://github.com/Freeyourgadget/Gadgetbridge/releases", "show")</f>
        <v>show</v>
      </c>
      <c r="I3425">
        <v>0</v>
      </c>
      <c r="J3425">
        <v>0</v>
      </c>
      <c r="K3425">
        <v>0</v>
      </c>
      <c r="L3425">
        <v>0</v>
      </c>
      <c r="M3425" t="s">
        <v>43</v>
      </c>
    </row>
    <row r="3426" spans="1:13" hidden="1" x14ac:dyDescent="0.15">
      <c r="A3426" t="s">
        <v>10824</v>
      </c>
      <c r="B3426" t="s">
        <v>10825</v>
      </c>
      <c r="C3426" t="s">
        <v>10826</v>
      </c>
      <c r="D3426" t="s">
        <v>10827</v>
      </c>
      <c r="E3426">
        <v>25</v>
      </c>
      <c r="F3426" t="str">
        <f>HYPERLINK("https://github.com/guardianproject/haven/issues/90", "show")</f>
        <v>show</v>
      </c>
      <c r="G3426" t="str">
        <f>HYPERLINK("https://github.com/guardianproject/haven", "show")</f>
        <v>show</v>
      </c>
      <c r="H3426" t="str">
        <f>HYPERLINK("https://github.com/guardianproject/haven/releases", "show")</f>
        <v>show</v>
      </c>
      <c r="I3426">
        <v>1</v>
      </c>
      <c r="J3426">
        <v>0</v>
      </c>
      <c r="K3426">
        <v>1</v>
      </c>
      <c r="L3426">
        <v>0</v>
      </c>
      <c r="M3426" t="s">
        <v>64</v>
      </c>
    </row>
    <row r="3427" spans="1:13" hidden="1" x14ac:dyDescent="0.15">
      <c r="A3427" t="s">
        <v>10828</v>
      </c>
      <c r="B3427" t="s">
        <v>10829</v>
      </c>
      <c r="C3427" t="s">
        <v>10830</v>
      </c>
      <c r="D3427" t="s">
        <v>10827</v>
      </c>
      <c r="E3427">
        <v>20</v>
      </c>
      <c r="F3427" t="str">
        <f>HYPERLINK("https://github.com/guardianproject/haven/issues/84", "show")</f>
        <v>show</v>
      </c>
      <c r="G3427" t="str">
        <f>HYPERLINK("https://github.com/guardianproject/haven", "show")</f>
        <v>show</v>
      </c>
      <c r="H3427" t="str">
        <f>HYPERLINK("https://github.com/guardianproject/haven/releases", "show")</f>
        <v>show</v>
      </c>
      <c r="I3427">
        <v>1</v>
      </c>
      <c r="J3427">
        <v>0</v>
      </c>
      <c r="K3427">
        <v>0</v>
      </c>
      <c r="L3427">
        <v>0</v>
      </c>
      <c r="M3427" t="s">
        <v>17</v>
      </c>
    </row>
    <row r="3428" spans="1:13" hidden="1" x14ac:dyDescent="0.15">
      <c r="A3428" t="s">
        <v>10831</v>
      </c>
      <c r="B3428" t="s">
        <v>10832</v>
      </c>
      <c r="C3428" t="s">
        <v>10833</v>
      </c>
      <c r="D3428" t="s">
        <v>10834</v>
      </c>
      <c r="E3428">
        <v>301</v>
      </c>
      <c r="F3428" t="str">
        <f>HYPERLINK("https://github.com/DoubleSymmetry/react-native-track-player/issues/100", "show")</f>
        <v>show</v>
      </c>
      <c r="G3428" t="str">
        <f>HYPERLINK("https://github.com/DoubleSymmetry/react-native-track-player", "show")</f>
        <v>show</v>
      </c>
      <c r="H3428" t="str">
        <f>HYPERLINK("https://github.com/DoubleSymmetry/react-native-track-player/releases", "show")</f>
        <v>show</v>
      </c>
      <c r="I3428">
        <v>0</v>
      </c>
      <c r="J3428">
        <v>1</v>
      </c>
      <c r="K3428">
        <v>1</v>
      </c>
      <c r="L3428">
        <v>0</v>
      </c>
      <c r="M3428" t="s">
        <v>699</v>
      </c>
    </row>
    <row r="3429" spans="1:13" hidden="1" x14ac:dyDescent="0.15">
      <c r="A3429" t="s">
        <v>10835</v>
      </c>
      <c r="B3429" t="s">
        <v>10836</v>
      </c>
      <c r="C3429" t="s">
        <v>10837</v>
      </c>
      <c r="D3429" t="s">
        <v>10834</v>
      </c>
      <c r="E3429">
        <v>24</v>
      </c>
      <c r="F3429" t="str">
        <f>HYPERLINK("https://github.com/guardianproject/haven/issues/105", "show")</f>
        <v>show</v>
      </c>
      <c r="G3429" t="str">
        <f>HYPERLINK("https://github.com/guardianproject/haven", "show")</f>
        <v>show</v>
      </c>
      <c r="H3429" t="str">
        <f>HYPERLINK("https://github.com/guardianproject/haven/releases", "show")</f>
        <v>show</v>
      </c>
      <c r="I3429">
        <v>1</v>
      </c>
      <c r="J3429">
        <v>0</v>
      </c>
      <c r="K3429">
        <v>0</v>
      </c>
      <c r="L3429">
        <v>0</v>
      </c>
      <c r="M3429" t="s">
        <v>17</v>
      </c>
    </row>
    <row r="3430" spans="1:13" hidden="1" x14ac:dyDescent="0.15">
      <c r="A3430" t="s">
        <v>10838</v>
      </c>
      <c r="B3430" t="s">
        <v>10839</v>
      </c>
      <c r="C3430" t="s">
        <v>10840</v>
      </c>
      <c r="D3430" t="s">
        <v>10841</v>
      </c>
      <c r="E3430">
        <v>8</v>
      </c>
      <c r="F3430" t="str">
        <f>HYPERLINK("https://github.com/google/ExoPlayer/issues/3645", "show")</f>
        <v>show</v>
      </c>
      <c r="G3430" t="str">
        <f>HYPERLINK("https://github.com/google/ExoPlayer", "show")</f>
        <v>show</v>
      </c>
      <c r="H3430" t="str">
        <f>HYPERLINK("https://github.com/google/ExoPlayer/releases", "show")</f>
        <v>show</v>
      </c>
      <c r="I3430">
        <v>1</v>
      </c>
      <c r="J3430">
        <v>0</v>
      </c>
      <c r="K3430">
        <v>1</v>
      </c>
      <c r="L3430">
        <v>0</v>
      </c>
      <c r="M3430" t="s">
        <v>64</v>
      </c>
    </row>
    <row r="3431" spans="1:13" hidden="1" x14ac:dyDescent="0.15">
      <c r="A3431" t="s">
        <v>10842</v>
      </c>
      <c r="B3431" t="s">
        <v>10843</v>
      </c>
      <c r="C3431" t="s">
        <v>10844</v>
      </c>
      <c r="D3431" t="s">
        <v>10841</v>
      </c>
      <c r="E3431">
        <v>430</v>
      </c>
      <c r="F3431" t="str">
        <f>HYPERLINK("https://github.com/k9mail/k-9/issues/2990", "show")</f>
        <v>show</v>
      </c>
      <c r="G3431" t="str">
        <f>HYPERLINK("https://github.com/k9mail/k-9", "show")</f>
        <v>show</v>
      </c>
      <c r="H3431" t="str">
        <f>HYPERLINK("https://github.com/k9mail/k-9/releases", "show")</f>
        <v>show</v>
      </c>
      <c r="I3431">
        <v>1</v>
      </c>
      <c r="J3431">
        <v>1</v>
      </c>
      <c r="K3431">
        <v>0</v>
      </c>
      <c r="L3431">
        <v>0</v>
      </c>
      <c r="M3431" t="s">
        <v>48</v>
      </c>
    </row>
    <row r="3432" spans="1:13" hidden="1" x14ac:dyDescent="0.15">
      <c r="A3432" t="s">
        <v>10845</v>
      </c>
      <c r="B3432" t="s">
        <v>10846</v>
      </c>
      <c r="C3432" t="s">
        <v>10847</v>
      </c>
      <c r="D3432" t="s">
        <v>10841</v>
      </c>
      <c r="E3432">
        <v>11</v>
      </c>
      <c r="F3432" t="str">
        <f>HYPERLINK("https://github.com/rollbar/rollbar-react-native/issues/8", "show")</f>
        <v>show</v>
      </c>
      <c r="G3432" t="str">
        <f>HYPERLINK("https://github.com/rollbar/rollbar-react-native", "show")</f>
        <v>show</v>
      </c>
      <c r="H3432" t="str">
        <f>HYPERLINK("https://github.com/rollbar/rollbar-react-native/releases", "show")</f>
        <v>show</v>
      </c>
      <c r="I3432">
        <v>1</v>
      </c>
      <c r="J3432">
        <v>1</v>
      </c>
      <c r="K3432">
        <v>0</v>
      </c>
      <c r="L3432">
        <v>1</v>
      </c>
      <c r="M3432" t="s">
        <v>1894</v>
      </c>
    </row>
    <row r="3433" spans="1:13" hidden="1" x14ac:dyDescent="0.15">
      <c r="A3433" t="s">
        <v>10848</v>
      </c>
      <c r="B3433" t="s">
        <v>10849</v>
      </c>
      <c r="C3433" t="s">
        <v>10850</v>
      </c>
      <c r="D3433" t="s">
        <v>10841</v>
      </c>
      <c r="E3433">
        <v>1</v>
      </c>
      <c r="F3433" t="str">
        <f>HYPERLINK("https://github.com/Gear61/Food-Diary/issues/72", "show")</f>
        <v>show</v>
      </c>
      <c r="G3433" t="str">
        <f>HYPERLINK("https://github.com/Gear61/Food-Diary", "show")</f>
        <v>show</v>
      </c>
      <c r="H3433" t="str">
        <f>HYPERLINK("https://github.com/Gear61/Food-Diary/releases", "show")</f>
        <v>show</v>
      </c>
      <c r="I3433">
        <v>1</v>
      </c>
      <c r="J3433">
        <v>0</v>
      </c>
      <c r="K3433">
        <v>0</v>
      </c>
      <c r="L3433">
        <v>0</v>
      </c>
      <c r="M3433" t="s">
        <v>17</v>
      </c>
    </row>
    <row r="3434" spans="1:13" hidden="1" x14ac:dyDescent="0.15">
      <c r="A3434" t="s">
        <v>10851</v>
      </c>
      <c r="B3434" t="s">
        <v>10852</v>
      </c>
      <c r="D3434" t="s">
        <v>10841</v>
      </c>
      <c r="E3434">
        <v>0</v>
      </c>
      <c r="F3434" t="str">
        <f>HYPERLINK("https://github.com/danimahardhika/wallpaperboard/issues/121", "show")</f>
        <v>show</v>
      </c>
      <c r="G3434" t="str">
        <f>HYPERLINK("https://github.com/danimahardhika/wallpaperboard", "show")</f>
        <v>show</v>
      </c>
      <c r="H3434" t="str">
        <f>HYPERLINK("https://github.com/danimahardhika/wallpaperboard/releases", "show")</f>
        <v>show</v>
      </c>
      <c r="I3434">
        <v>1</v>
      </c>
      <c r="J3434">
        <v>0</v>
      </c>
      <c r="K3434">
        <v>1</v>
      </c>
      <c r="L3434">
        <v>0</v>
      </c>
      <c r="M3434" t="s">
        <v>64</v>
      </c>
    </row>
    <row r="3435" spans="1:13" hidden="1" x14ac:dyDescent="0.15">
      <c r="A3435" t="s">
        <v>10853</v>
      </c>
      <c r="B3435" t="s">
        <v>10854</v>
      </c>
      <c r="D3435" t="s">
        <v>10841</v>
      </c>
      <c r="E3435">
        <v>0</v>
      </c>
      <c r="F3435" t="str">
        <f>HYPERLINK("https://github.com/danimahardhika/wallpaperboard/issues/120", "show")</f>
        <v>show</v>
      </c>
      <c r="G3435" t="str">
        <f>HYPERLINK("https://github.com/danimahardhika/wallpaperboard", "show")</f>
        <v>show</v>
      </c>
      <c r="H3435" t="str">
        <f>HYPERLINK("https://github.com/danimahardhika/wallpaperboard/releases", "show")</f>
        <v>show</v>
      </c>
      <c r="I3435">
        <v>1</v>
      </c>
      <c r="J3435">
        <v>0</v>
      </c>
      <c r="K3435">
        <v>1</v>
      </c>
      <c r="L3435">
        <v>0</v>
      </c>
      <c r="M3435" t="s">
        <v>64</v>
      </c>
    </row>
    <row r="3436" spans="1:13" hidden="1" x14ac:dyDescent="0.15">
      <c r="A3436" t="s">
        <v>10855</v>
      </c>
      <c r="B3436" t="s">
        <v>10856</v>
      </c>
      <c r="C3436" t="s">
        <v>10857</v>
      </c>
      <c r="D3436" t="s">
        <v>10858</v>
      </c>
      <c r="E3436">
        <v>1</v>
      </c>
      <c r="F3436" t="str">
        <f>HYPERLINK("https://github.com/bumptech/glide/issues/2767", "show")</f>
        <v>show</v>
      </c>
      <c r="G3436" t="str">
        <f>HYPERLINK("https://github.com/bumptech/glide", "show")</f>
        <v>show</v>
      </c>
      <c r="H3436" t="str">
        <f>HYPERLINK("https://github.com/bumptech/glide/releases", "show")</f>
        <v>show</v>
      </c>
      <c r="I3436">
        <v>1</v>
      </c>
      <c r="J3436">
        <v>0</v>
      </c>
      <c r="K3436">
        <v>1</v>
      </c>
      <c r="L3436">
        <v>0</v>
      </c>
      <c r="M3436" t="s">
        <v>64</v>
      </c>
    </row>
    <row r="3437" spans="1:13" hidden="1" x14ac:dyDescent="0.15">
      <c r="A3437" t="s">
        <v>10859</v>
      </c>
      <c r="B3437" t="s">
        <v>10860</v>
      </c>
      <c r="C3437" t="s">
        <v>10861</v>
      </c>
      <c r="D3437" t="s">
        <v>10862</v>
      </c>
      <c r="E3437">
        <v>1401</v>
      </c>
      <c r="F3437" t="str">
        <f>HYPERLINK("https://github.com/microg/GmsCore/issues/463", "show")</f>
        <v>show</v>
      </c>
      <c r="G3437" t="str">
        <f>HYPERLINK("https://github.com/microg/GmsCore", "show")</f>
        <v>show</v>
      </c>
      <c r="H3437" t="str">
        <f>HYPERLINK("https://github.com/microg/GmsCore/releases", "show")</f>
        <v>show</v>
      </c>
      <c r="I3437">
        <v>1</v>
      </c>
      <c r="J3437">
        <v>0</v>
      </c>
      <c r="K3437">
        <v>0</v>
      </c>
      <c r="L3437">
        <v>0</v>
      </c>
      <c r="M3437" t="s">
        <v>17</v>
      </c>
    </row>
    <row r="3438" spans="1:13" hidden="1" x14ac:dyDescent="0.15">
      <c r="A3438" t="s">
        <v>10863</v>
      </c>
      <c r="B3438" t="s">
        <v>10864</v>
      </c>
      <c r="C3438" t="s">
        <v>504</v>
      </c>
      <c r="D3438" t="s">
        <v>10865</v>
      </c>
      <c r="E3438">
        <v>354</v>
      </c>
      <c r="F3438" t="str">
        <f>HYPERLINK("https://github.com/niclabs/adkintunmobile-androidclient/issues/189", "show")</f>
        <v>show</v>
      </c>
      <c r="G3438" t="str">
        <f>HYPERLINK("https://github.com/niclabs/adkintunmobile-androidclient", "show")</f>
        <v>show</v>
      </c>
      <c r="H3438" t="str">
        <f>HYPERLINK("https://github.com/niclabs/adkintunmobile-androidclient/releases", "show")</f>
        <v>show</v>
      </c>
      <c r="I3438">
        <v>1</v>
      </c>
      <c r="J3438">
        <v>0</v>
      </c>
      <c r="K3438">
        <v>0</v>
      </c>
      <c r="L3438">
        <v>0</v>
      </c>
      <c r="M3438" t="s">
        <v>17</v>
      </c>
    </row>
    <row r="3439" spans="1:13" hidden="1" x14ac:dyDescent="0.15">
      <c r="A3439" t="s">
        <v>10866</v>
      </c>
      <c r="B3439" t="s">
        <v>10867</v>
      </c>
      <c r="C3439" t="s">
        <v>10868</v>
      </c>
      <c r="D3439" t="s">
        <v>10865</v>
      </c>
      <c r="E3439">
        <v>903</v>
      </c>
      <c r="F3439" t="str">
        <f>HYPERLINK("https://github.com/victordiaz/PHONK/issues/1", "show")</f>
        <v>show</v>
      </c>
      <c r="G3439" t="str">
        <f>HYPERLINK("https://github.com/victordiaz/PHONK", "show")</f>
        <v>show</v>
      </c>
      <c r="H3439" t="str">
        <f>HYPERLINK("https://github.com/victordiaz/PHONK/releases", "show")</f>
        <v>show</v>
      </c>
      <c r="I3439">
        <v>1</v>
      </c>
      <c r="J3439">
        <v>0</v>
      </c>
      <c r="K3439">
        <v>0</v>
      </c>
      <c r="L3439">
        <v>0</v>
      </c>
      <c r="M3439" t="s">
        <v>17</v>
      </c>
    </row>
    <row r="3440" spans="1:13" hidden="1" x14ac:dyDescent="0.15">
      <c r="A3440" t="s">
        <v>10869</v>
      </c>
      <c r="B3440" t="s">
        <v>10870</v>
      </c>
      <c r="C3440" t="s">
        <v>10871</v>
      </c>
      <c r="D3440" t="s">
        <v>10872</v>
      </c>
      <c r="E3440">
        <v>16</v>
      </c>
      <c r="F3440" t="str">
        <f>HYPERLINK("https://github.com/commons-app/apps-android-commons/issues/1036", "show")</f>
        <v>show</v>
      </c>
      <c r="G3440" t="str">
        <f>HYPERLINK("https://github.com/commons-app/apps-android-commons", "show")</f>
        <v>show</v>
      </c>
      <c r="H3440" t="str">
        <f>HYPERLINK("https://github.com/commons-app/apps-android-commons/releases", "show")</f>
        <v>show</v>
      </c>
      <c r="I3440">
        <v>1</v>
      </c>
      <c r="J3440">
        <v>0</v>
      </c>
      <c r="K3440">
        <v>1</v>
      </c>
      <c r="L3440">
        <v>0</v>
      </c>
      <c r="M3440" t="s">
        <v>64</v>
      </c>
    </row>
    <row r="3441" spans="1:13" hidden="1" x14ac:dyDescent="0.15">
      <c r="A3441" t="s">
        <v>10873</v>
      </c>
      <c r="B3441" t="s">
        <v>10874</v>
      </c>
      <c r="C3441" t="s">
        <v>10875</v>
      </c>
      <c r="D3441" t="s">
        <v>10876</v>
      </c>
      <c r="E3441">
        <v>0</v>
      </c>
      <c r="F3441" t="str">
        <f>HYPERLINK("https://github.com/mtotschnig/MyExpenses/issues/960", "show")</f>
        <v>show</v>
      </c>
      <c r="G3441" t="str">
        <f>HYPERLINK("https://github.com/mtotschnig/MyExpenses", "show")</f>
        <v>show</v>
      </c>
      <c r="H3441" t="str">
        <f>HYPERLINK("https://github.com/mtotschnig/MyExpenses/releases", "show")</f>
        <v>show</v>
      </c>
      <c r="I3441">
        <v>1</v>
      </c>
      <c r="J3441">
        <v>0</v>
      </c>
      <c r="K3441">
        <v>0</v>
      </c>
      <c r="L3441">
        <v>0</v>
      </c>
      <c r="M3441" t="s">
        <v>17</v>
      </c>
    </row>
    <row r="3442" spans="1:13" hidden="1" x14ac:dyDescent="0.15">
      <c r="A3442" t="s">
        <v>10877</v>
      </c>
      <c r="B3442" t="s">
        <v>10878</v>
      </c>
      <c r="C3442" t="s">
        <v>10879</v>
      </c>
      <c r="D3442" t="s">
        <v>10880</v>
      </c>
      <c r="E3442">
        <v>1</v>
      </c>
      <c r="F3442" t="str">
        <f>HYPERLINK("https://github.com/PojavLauncherTeam/PojavLauncher/issues/3115", "show")</f>
        <v>show</v>
      </c>
      <c r="G3442" t="str">
        <f>HYPERLINK("https://github.com/PojavLauncherTeam/PojavLauncher", "show")</f>
        <v>show</v>
      </c>
      <c r="H3442" t="str">
        <f>HYPERLINK("https://github.com/PojavLauncherTeam/PojavLauncher/releases", "show")</f>
        <v>show</v>
      </c>
      <c r="I3442">
        <v>0</v>
      </c>
      <c r="J3442">
        <v>0</v>
      </c>
      <c r="K3442">
        <v>0</v>
      </c>
      <c r="L3442">
        <v>0</v>
      </c>
      <c r="M3442" t="s">
        <v>43</v>
      </c>
    </row>
    <row r="3443" spans="1:13" hidden="1" x14ac:dyDescent="0.15">
      <c r="A3443" t="s">
        <v>10881</v>
      </c>
      <c r="B3443" t="s">
        <v>10882</v>
      </c>
      <c r="C3443" t="s">
        <v>10883</v>
      </c>
      <c r="D3443" t="s">
        <v>10884</v>
      </c>
      <c r="E3443">
        <v>1</v>
      </c>
      <c r="F3443" t="str">
        <f>HYPERLINK("https://github.com/PojavLauncherTeam/PojavLauncher/issues/3114", "show")</f>
        <v>show</v>
      </c>
      <c r="G3443" t="str">
        <f>HYPERLINK("https://github.com/PojavLauncherTeam/PojavLauncher", "show")</f>
        <v>show</v>
      </c>
      <c r="H3443" t="str">
        <f>HYPERLINK("https://github.com/PojavLauncherTeam/PojavLauncher/releases", "show")</f>
        <v>show</v>
      </c>
      <c r="I3443">
        <v>1</v>
      </c>
      <c r="J3443">
        <v>1</v>
      </c>
      <c r="K3443">
        <v>0</v>
      </c>
      <c r="L3443">
        <v>0</v>
      </c>
      <c r="M3443" t="s">
        <v>48</v>
      </c>
    </row>
    <row r="3444" spans="1:13" hidden="1" x14ac:dyDescent="0.15">
      <c r="A3444" t="s">
        <v>10885</v>
      </c>
      <c r="B3444" t="s">
        <v>10886</v>
      </c>
      <c r="C3444" t="s">
        <v>10887</v>
      </c>
      <c r="D3444" t="s">
        <v>10884</v>
      </c>
      <c r="E3444">
        <v>0</v>
      </c>
      <c r="F3444" t="str">
        <f>HYPERLINK("https://github.com/mollyim/mollyim-android/issues/103", "show")</f>
        <v>show</v>
      </c>
      <c r="G3444" t="str">
        <f>HYPERLINK("https://github.com/mollyim/mollyim-android", "show")</f>
        <v>show</v>
      </c>
      <c r="H3444" t="str">
        <f>HYPERLINK("https://github.com/mollyim/mollyim-android/releases", "show")</f>
        <v>show</v>
      </c>
      <c r="I3444">
        <v>1</v>
      </c>
      <c r="J3444">
        <v>0</v>
      </c>
      <c r="K3444">
        <v>0</v>
      </c>
      <c r="L3444">
        <v>0</v>
      </c>
      <c r="M3444" t="s">
        <v>17</v>
      </c>
    </row>
    <row r="3445" spans="1:13" hidden="1" x14ac:dyDescent="0.15">
      <c r="A3445" t="s">
        <v>10888</v>
      </c>
      <c r="B3445" t="s">
        <v>10889</v>
      </c>
      <c r="C3445" t="s">
        <v>10890</v>
      </c>
      <c r="D3445" t="s">
        <v>10884</v>
      </c>
      <c r="E3445">
        <v>1</v>
      </c>
      <c r="F3445" t="str">
        <f>HYPERLINK("https://github.com/leandrosimoes/react-native-android-notification-listener/issues/42", "show")</f>
        <v>show</v>
      </c>
      <c r="G3445" t="str">
        <f>HYPERLINK("https://github.com/leandrosimoes/react-native-android-notification-listener", "show")</f>
        <v>show</v>
      </c>
      <c r="H3445" t="str">
        <f>HYPERLINK("https://github.com/leandrosimoes/react-native-android-notification-listener/releases", "show")</f>
        <v>show</v>
      </c>
      <c r="I3445">
        <v>1</v>
      </c>
      <c r="J3445">
        <v>1</v>
      </c>
      <c r="K3445">
        <v>0</v>
      </c>
      <c r="L3445">
        <v>0</v>
      </c>
      <c r="M3445" t="s">
        <v>48</v>
      </c>
    </row>
    <row r="3446" spans="1:13" hidden="1" x14ac:dyDescent="0.15">
      <c r="A3446" t="s">
        <v>10891</v>
      </c>
      <c r="B3446" t="s">
        <v>10892</v>
      </c>
      <c r="C3446" t="s">
        <v>10893</v>
      </c>
      <c r="D3446" t="s">
        <v>10884</v>
      </c>
      <c r="E3446">
        <v>0</v>
      </c>
      <c r="F3446" t="str">
        <f>HYPERLINK("https://github.com/doublesymmetry/react-native-track-player/issues/1484", "show")</f>
        <v>show</v>
      </c>
      <c r="G3446" t="str">
        <f>HYPERLINK("https://github.com/doublesymmetry/react-native-track-player", "show")</f>
        <v>show</v>
      </c>
      <c r="H3446" t="str">
        <f>HYPERLINK("https://github.com/doublesymmetry/react-native-track-player/releases", "show")</f>
        <v>show</v>
      </c>
      <c r="I3446">
        <v>1</v>
      </c>
      <c r="J3446">
        <v>0</v>
      </c>
      <c r="K3446">
        <v>1</v>
      </c>
      <c r="L3446">
        <v>0</v>
      </c>
      <c r="M3446" t="s">
        <v>64</v>
      </c>
    </row>
    <row r="3447" spans="1:13" hidden="1" x14ac:dyDescent="0.15">
      <c r="A3447" t="s">
        <v>10894</v>
      </c>
      <c r="B3447" t="s">
        <v>10895</v>
      </c>
      <c r="C3447" t="s">
        <v>10896</v>
      </c>
      <c r="D3447" t="s">
        <v>10897</v>
      </c>
      <c r="E3447">
        <v>1</v>
      </c>
      <c r="F3447" t="str">
        <f>HYPERLINK("https://github.com/TeamNewPipe/NewPipe/issues/8270", "show")</f>
        <v>show</v>
      </c>
      <c r="G3447" t="str">
        <f>HYPERLINK("https://github.com/TeamNewPipe/NewPipe", "show")</f>
        <v>show</v>
      </c>
      <c r="H3447" t="str">
        <f>HYPERLINK("https://github.com/TeamNewPipe/NewPipe/releases", "show")</f>
        <v>show</v>
      </c>
      <c r="I3447">
        <v>0</v>
      </c>
      <c r="J3447">
        <v>1</v>
      </c>
      <c r="K3447">
        <v>1</v>
      </c>
      <c r="L3447">
        <v>0</v>
      </c>
      <c r="M3447" t="s">
        <v>699</v>
      </c>
    </row>
    <row r="3448" spans="1:13" hidden="1" x14ac:dyDescent="0.15">
      <c r="A3448" t="s">
        <v>10898</v>
      </c>
      <c r="B3448" t="s">
        <v>10899</v>
      </c>
      <c r="C3448" t="s">
        <v>10900</v>
      </c>
      <c r="D3448" t="s">
        <v>10897</v>
      </c>
      <c r="E3448">
        <v>1</v>
      </c>
      <c r="F3448" t="str">
        <f>HYPERLINK("https://github.com/Zhuinden/simple-stack/issues/256", "show")</f>
        <v>show</v>
      </c>
      <c r="G3448" t="str">
        <f>HYPERLINK("https://github.com/Zhuinden/simple-stack", "show")</f>
        <v>show</v>
      </c>
      <c r="H3448" t="str">
        <f>HYPERLINK("https://github.com/Zhuinden/simple-stack/releases", "show")</f>
        <v>show</v>
      </c>
      <c r="I3448">
        <v>1</v>
      </c>
      <c r="J3448">
        <v>0</v>
      </c>
      <c r="K3448">
        <v>1</v>
      </c>
      <c r="L3448">
        <v>0</v>
      </c>
      <c r="M3448" t="s">
        <v>64</v>
      </c>
    </row>
    <row r="3449" spans="1:13" hidden="1" x14ac:dyDescent="0.15">
      <c r="A3449" t="s">
        <v>10901</v>
      </c>
      <c r="B3449" t="s">
        <v>10902</v>
      </c>
      <c r="C3449" t="s">
        <v>10903</v>
      </c>
      <c r="D3449" t="s">
        <v>10904</v>
      </c>
      <c r="E3449">
        <v>0</v>
      </c>
      <c r="F3449" t="str">
        <f>HYPERLINK("https://github.com/Anuken/Mindustry/issues/6721", "show")</f>
        <v>show</v>
      </c>
      <c r="G3449" t="str">
        <f>HYPERLINK("https://github.com/Anuken/Mindustry", "show")</f>
        <v>show</v>
      </c>
      <c r="H3449" t="str">
        <f>HYPERLINK("https://github.com/Anuken/Mindustry/releases", "show")</f>
        <v>show</v>
      </c>
      <c r="I3449">
        <v>1</v>
      </c>
      <c r="J3449">
        <v>1</v>
      </c>
      <c r="K3449">
        <v>0</v>
      </c>
      <c r="L3449">
        <v>0</v>
      </c>
      <c r="M3449" t="s">
        <v>48</v>
      </c>
    </row>
    <row r="3450" spans="1:13" hidden="1" x14ac:dyDescent="0.15">
      <c r="A3450" t="s">
        <v>10905</v>
      </c>
      <c r="B3450" t="s">
        <v>10906</v>
      </c>
      <c r="C3450" t="s">
        <v>10907</v>
      </c>
      <c r="D3450" t="s">
        <v>10908</v>
      </c>
      <c r="E3450">
        <v>1</v>
      </c>
      <c r="F3450" t="str">
        <f>HYPERLINK("https://github.com/TeamNewPipe/NewPipe/issues/8244", "show")</f>
        <v>show</v>
      </c>
      <c r="G3450" t="str">
        <f>HYPERLINK("https://github.com/TeamNewPipe/NewPipe", "show")</f>
        <v>show</v>
      </c>
      <c r="H3450" t="str">
        <f>HYPERLINK("https://github.com/TeamNewPipe/NewPipe/releases", "show")</f>
        <v>show</v>
      </c>
      <c r="I3450">
        <v>1</v>
      </c>
      <c r="J3450">
        <v>1</v>
      </c>
      <c r="K3450">
        <v>0</v>
      </c>
      <c r="L3450">
        <v>0</v>
      </c>
      <c r="M3450" t="s">
        <v>48</v>
      </c>
    </row>
    <row r="3451" spans="1:13" hidden="1" x14ac:dyDescent="0.15">
      <c r="A3451" t="s">
        <v>10909</v>
      </c>
      <c r="B3451" t="s">
        <v>10910</v>
      </c>
      <c r="C3451" t="s">
        <v>10911</v>
      </c>
      <c r="D3451" t="s">
        <v>10908</v>
      </c>
      <c r="E3451">
        <v>0</v>
      </c>
      <c r="F3451" t="str">
        <f>HYPERLINK("https://github.com/PojavLauncherTeam/PojavLauncher/issues/3097", "show")</f>
        <v>show</v>
      </c>
      <c r="G3451" t="str">
        <f>HYPERLINK("https://github.com/PojavLauncherTeam/PojavLauncher", "show")</f>
        <v>show</v>
      </c>
      <c r="H3451" t="str">
        <f>HYPERLINK("https://github.com/PojavLauncherTeam/PojavLauncher/releases", "show")</f>
        <v>show</v>
      </c>
      <c r="I3451">
        <v>0</v>
      </c>
      <c r="J3451">
        <v>0</v>
      </c>
      <c r="K3451">
        <v>0</v>
      </c>
      <c r="L3451">
        <v>0</v>
      </c>
      <c r="M3451" t="s">
        <v>43</v>
      </c>
    </row>
    <row r="3452" spans="1:13" hidden="1" x14ac:dyDescent="0.15">
      <c r="A3452" t="s">
        <v>10912</v>
      </c>
      <c r="B3452" t="s">
        <v>10913</v>
      </c>
      <c r="C3452" t="s">
        <v>10914</v>
      </c>
      <c r="D3452" t="s">
        <v>10908</v>
      </c>
      <c r="E3452">
        <v>0</v>
      </c>
      <c r="F3452" t="str">
        <f>HYPERLINK("https://github.com/PojavLauncherTeam/PojavLauncher/issues/3096", "show")</f>
        <v>show</v>
      </c>
      <c r="G3452" t="str">
        <f>HYPERLINK("https://github.com/PojavLauncherTeam/PojavLauncher", "show")</f>
        <v>show</v>
      </c>
      <c r="H3452" t="str">
        <f>HYPERLINK("https://github.com/PojavLauncherTeam/PojavLauncher/releases", "show")</f>
        <v>show</v>
      </c>
      <c r="I3452">
        <v>1</v>
      </c>
      <c r="J3452">
        <v>0</v>
      </c>
      <c r="K3452">
        <v>0</v>
      </c>
      <c r="L3452">
        <v>0</v>
      </c>
      <c r="M3452" t="s">
        <v>17</v>
      </c>
    </row>
    <row r="3453" spans="1:13" hidden="1" x14ac:dyDescent="0.15">
      <c r="A3453" t="s">
        <v>10915</v>
      </c>
      <c r="B3453" t="s">
        <v>10916</v>
      </c>
      <c r="C3453" t="s">
        <v>10917</v>
      </c>
      <c r="D3453" t="s">
        <v>10918</v>
      </c>
      <c r="E3453">
        <v>0</v>
      </c>
      <c r="F3453" t="str">
        <f>HYPERLINK("https://github.com/patzly/grocy-android/issues/518", "show")</f>
        <v>show</v>
      </c>
      <c r="G3453" t="str">
        <f>HYPERLINK("https://github.com/patzly/grocy-android", "show")</f>
        <v>show</v>
      </c>
      <c r="H3453" t="str">
        <f>HYPERLINK("https://github.com/patzly/grocy-android/releases", "show")</f>
        <v>show</v>
      </c>
      <c r="I3453">
        <v>1</v>
      </c>
      <c r="J3453">
        <v>1</v>
      </c>
      <c r="K3453">
        <v>1</v>
      </c>
      <c r="L3453">
        <v>0</v>
      </c>
      <c r="M3453" t="s">
        <v>59</v>
      </c>
    </row>
    <row r="3454" spans="1:13" hidden="1" x14ac:dyDescent="0.15">
      <c r="A3454" t="s">
        <v>10919</v>
      </c>
      <c r="B3454" t="s">
        <v>10920</v>
      </c>
      <c r="C3454" t="s">
        <v>10921</v>
      </c>
      <c r="D3454" t="s">
        <v>10918</v>
      </c>
      <c r="E3454">
        <v>6</v>
      </c>
      <c r="F3454" t="str">
        <f>HYPERLINK("https://github.com/Woosmap/geofencing-android-sdk/issues/78", "show")</f>
        <v>show</v>
      </c>
      <c r="G3454" t="str">
        <f>HYPERLINK("https://github.com/Woosmap/geofencing-android-sdk", "show")</f>
        <v>show</v>
      </c>
      <c r="H3454" t="str">
        <f>HYPERLINK("https://github.com/Woosmap/geofencing-android-sdk/releases", "show")</f>
        <v>show</v>
      </c>
      <c r="I3454">
        <v>1</v>
      </c>
      <c r="J3454">
        <v>0</v>
      </c>
      <c r="K3454">
        <v>0</v>
      </c>
      <c r="L3454">
        <v>0</v>
      </c>
      <c r="M3454" t="s">
        <v>17</v>
      </c>
    </row>
    <row r="3455" spans="1:13" hidden="1" x14ac:dyDescent="0.15">
      <c r="A3455" t="s">
        <v>10922</v>
      </c>
      <c r="B3455" t="s">
        <v>10923</v>
      </c>
      <c r="C3455" t="s">
        <v>10924</v>
      </c>
      <c r="D3455" t="s">
        <v>10918</v>
      </c>
      <c r="E3455">
        <v>0</v>
      </c>
      <c r="F3455" t="str">
        <f>HYPERLINK("https://github.com/bttv-android/bttv/issues/447", "show")</f>
        <v>show</v>
      </c>
      <c r="G3455" t="str">
        <f>HYPERLINK("https://github.com/bttv-android/bttv", "show")</f>
        <v>show</v>
      </c>
      <c r="H3455" t="str">
        <f>HYPERLINK("https://github.com/bttv-android/bttv/releases", "show")</f>
        <v>show</v>
      </c>
      <c r="I3455">
        <v>1</v>
      </c>
      <c r="J3455">
        <v>0</v>
      </c>
      <c r="K3455">
        <v>0</v>
      </c>
      <c r="L3455">
        <v>0</v>
      </c>
      <c r="M3455" t="s">
        <v>17</v>
      </c>
    </row>
    <row r="3456" spans="1:13" hidden="1" x14ac:dyDescent="0.15">
      <c r="A3456" t="s">
        <v>10925</v>
      </c>
      <c r="B3456" t="s">
        <v>10926</v>
      </c>
      <c r="C3456" t="s">
        <v>10927</v>
      </c>
      <c r="D3456" t="s">
        <v>10918</v>
      </c>
      <c r="E3456">
        <v>7</v>
      </c>
      <c r="F3456" t="str">
        <f>HYPERLINK("https://github.com/PojavLauncherTeam/PojavLauncher/issues/3093", "show")</f>
        <v>show</v>
      </c>
      <c r="G3456" t="str">
        <f>HYPERLINK("https://github.com/PojavLauncherTeam/PojavLauncher", "show")</f>
        <v>show</v>
      </c>
      <c r="H3456" t="str">
        <f>HYPERLINK("https://github.com/PojavLauncherTeam/PojavLauncher/releases", "show")</f>
        <v>show</v>
      </c>
      <c r="I3456">
        <v>0</v>
      </c>
      <c r="J3456">
        <v>1</v>
      </c>
      <c r="K3456">
        <v>1</v>
      </c>
      <c r="L3456">
        <v>0</v>
      </c>
      <c r="M3456" t="s">
        <v>699</v>
      </c>
    </row>
    <row r="3457" spans="1:13" hidden="1" x14ac:dyDescent="0.15">
      <c r="A3457" t="s">
        <v>10928</v>
      </c>
      <c r="B3457" t="s">
        <v>10929</v>
      </c>
      <c r="C3457" t="s">
        <v>10930</v>
      </c>
      <c r="D3457" t="s">
        <v>10918</v>
      </c>
      <c r="E3457">
        <v>6</v>
      </c>
      <c r="F3457" t="str">
        <f>HYPERLINK("https://github.com/itsaky/AndroidIDE/issues/161", "show")</f>
        <v>show</v>
      </c>
      <c r="G3457" t="str">
        <f>HYPERLINK("https://github.com/itsaky/AndroidIDE", "show")</f>
        <v>show</v>
      </c>
      <c r="H3457" t="str">
        <f>HYPERLINK("https://github.com/itsaky/AndroidIDE/releases", "show")</f>
        <v>show</v>
      </c>
      <c r="I3457">
        <v>1</v>
      </c>
      <c r="J3457">
        <v>0</v>
      </c>
      <c r="K3457">
        <v>1</v>
      </c>
      <c r="L3457">
        <v>0</v>
      </c>
      <c r="M3457" t="s">
        <v>64</v>
      </c>
    </row>
    <row r="3458" spans="1:13" hidden="1" x14ac:dyDescent="0.15">
      <c r="A3458" t="s">
        <v>10931</v>
      </c>
      <c r="B3458" t="s">
        <v>10932</v>
      </c>
      <c r="C3458" t="s">
        <v>10933</v>
      </c>
      <c r="D3458" t="s">
        <v>10918</v>
      </c>
      <c r="E3458">
        <v>1</v>
      </c>
      <c r="F3458" t="str">
        <f>HYPERLINK("https://github.com/doublesymmetry/react-native-track-player/issues/1475", "show")</f>
        <v>show</v>
      </c>
      <c r="G3458" t="str">
        <f>HYPERLINK("https://github.com/doublesymmetry/react-native-track-player", "show")</f>
        <v>show</v>
      </c>
      <c r="H3458" t="str">
        <f>HYPERLINK("https://github.com/doublesymmetry/react-native-track-player/releases", "show")</f>
        <v>show</v>
      </c>
      <c r="I3458">
        <v>1</v>
      </c>
      <c r="J3458">
        <v>1</v>
      </c>
      <c r="K3458">
        <v>1</v>
      </c>
      <c r="L3458">
        <v>0</v>
      </c>
      <c r="M3458" t="s">
        <v>59</v>
      </c>
    </row>
    <row r="3459" spans="1:13" hidden="1" x14ac:dyDescent="0.15">
      <c r="A3459" t="s">
        <v>10934</v>
      </c>
      <c r="B3459" t="s">
        <v>10935</v>
      </c>
      <c r="C3459" t="s">
        <v>10936</v>
      </c>
      <c r="D3459" t="s">
        <v>10937</v>
      </c>
      <c r="E3459">
        <v>6</v>
      </c>
      <c r="F3459" t="str">
        <f>HYPERLINK("https://github.com/mercadopago/px-android/issues/2710", "show")</f>
        <v>show</v>
      </c>
      <c r="G3459" t="str">
        <f>HYPERLINK("https://github.com/mercadopago/px-android", "show")</f>
        <v>show</v>
      </c>
      <c r="H3459" t="str">
        <f>HYPERLINK("https://github.com/mercadopago/px-android/releases", "show")</f>
        <v>show</v>
      </c>
      <c r="I3459">
        <v>1</v>
      </c>
      <c r="J3459">
        <v>1</v>
      </c>
      <c r="K3459">
        <v>0</v>
      </c>
      <c r="L3459">
        <v>0</v>
      </c>
      <c r="M3459" t="s">
        <v>48</v>
      </c>
    </row>
    <row r="3460" spans="1:13" hidden="1" x14ac:dyDescent="0.15">
      <c r="A3460" t="s">
        <v>10938</v>
      </c>
      <c r="B3460" t="s">
        <v>10939</v>
      </c>
      <c r="C3460" t="s">
        <v>10940</v>
      </c>
      <c r="D3460" t="s">
        <v>10937</v>
      </c>
      <c r="E3460">
        <v>8</v>
      </c>
      <c r="F3460" t="str">
        <f>HYPERLINK("https://github.com/itsaky/AndroidIDE/issues/160", "show")</f>
        <v>show</v>
      </c>
      <c r="G3460" t="str">
        <f>HYPERLINK("https://github.com/itsaky/AndroidIDE", "show")</f>
        <v>show</v>
      </c>
      <c r="H3460" t="str">
        <f>HYPERLINK("https://github.com/itsaky/AndroidIDE/releases", "show")</f>
        <v>show</v>
      </c>
      <c r="I3460">
        <v>0</v>
      </c>
      <c r="J3460">
        <v>1</v>
      </c>
      <c r="K3460">
        <v>1</v>
      </c>
      <c r="L3460">
        <v>0</v>
      </c>
      <c r="M3460" t="s">
        <v>699</v>
      </c>
    </row>
    <row r="3461" spans="1:13" hidden="1" x14ac:dyDescent="0.15">
      <c r="A3461" t="s">
        <v>10941</v>
      </c>
      <c r="B3461" t="s">
        <v>10942</v>
      </c>
      <c r="C3461" t="s">
        <v>10943</v>
      </c>
      <c r="D3461" t="s">
        <v>10937</v>
      </c>
      <c r="E3461">
        <v>0</v>
      </c>
      <c r="F3461" t="str">
        <f>HYPERLINK("https://github.com/doublesymmetry/react-native-track-player/issues/1474", "show")</f>
        <v>show</v>
      </c>
      <c r="G3461" t="str">
        <f>HYPERLINK("https://github.com/doublesymmetry/react-native-track-player", "show")</f>
        <v>show</v>
      </c>
      <c r="H3461" t="str">
        <f>HYPERLINK("https://github.com/doublesymmetry/react-native-track-player/releases", "show")</f>
        <v>show</v>
      </c>
      <c r="I3461">
        <v>1</v>
      </c>
      <c r="J3461">
        <v>0</v>
      </c>
      <c r="K3461">
        <v>1</v>
      </c>
      <c r="L3461">
        <v>0</v>
      </c>
      <c r="M3461" t="s">
        <v>64</v>
      </c>
    </row>
    <row r="3462" spans="1:13" hidden="1" x14ac:dyDescent="0.15">
      <c r="A3462" t="s">
        <v>10944</v>
      </c>
      <c r="B3462" t="s">
        <v>10945</v>
      </c>
      <c r="C3462" t="s">
        <v>10946</v>
      </c>
      <c r="D3462" t="s">
        <v>10947</v>
      </c>
      <c r="E3462">
        <v>1</v>
      </c>
      <c r="F3462" t="str">
        <f>HYPERLINK("https://github.com/PojavLauncherTeam/PojavLauncher/issues/3084", "show")</f>
        <v>show</v>
      </c>
      <c r="G3462" t="str">
        <f>HYPERLINK("https://github.com/PojavLauncherTeam/PojavLauncher", "show")</f>
        <v>show</v>
      </c>
      <c r="H3462" t="str">
        <f>HYPERLINK("https://github.com/PojavLauncherTeam/PojavLauncher/releases", "show")</f>
        <v>show</v>
      </c>
      <c r="I3462">
        <v>0</v>
      </c>
      <c r="J3462">
        <v>0</v>
      </c>
      <c r="K3462">
        <v>1</v>
      </c>
      <c r="L3462">
        <v>0</v>
      </c>
      <c r="M3462" t="s">
        <v>122</v>
      </c>
    </row>
    <row r="3463" spans="1:13" hidden="1" x14ac:dyDescent="0.15">
      <c r="A3463" t="s">
        <v>10948</v>
      </c>
      <c r="B3463" t="s">
        <v>10949</v>
      </c>
      <c r="C3463" t="s">
        <v>10950</v>
      </c>
      <c r="D3463" t="s">
        <v>10947</v>
      </c>
      <c r="E3463">
        <v>4</v>
      </c>
      <c r="F3463" t="str">
        <f>HYPERLINK("https://github.com/jellyfin/jellyfin-androidtv/issues/1621", "show")</f>
        <v>show</v>
      </c>
      <c r="G3463" t="str">
        <f>HYPERLINK("https://github.com/jellyfin/jellyfin-androidtv", "show")</f>
        <v>show</v>
      </c>
      <c r="H3463" t="str">
        <f>HYPERLINK("https://github.com/jellyfin/jellyfin-androidtv/releases", "show")</f>
        <v>show</v>
      </c>
      <c r="I3463">
        <v>1</v>
      </c>
      <c r="J3463">
        <v>1</v>
      </c>
      <c r="K3463">
        <v>0</v>
      </c>
      <c r="L3463">
        <v>0</v>
      </c>
      <c r="M3463" t="s">
        <v>48</v>
      </c>
    </row>
    <row r="3464" spans="1:13" hidden="1" x14ac:dyDescent="0.15">
      <c r="A3464" t="s">
        <v>10951</v>
      </c>
      <c r="B3464" t="s">
        <v>10952</v>
      </c>
      <c r="C3464" t="s">
        <v>10953</v>
      </c>
      <c r="D3464" t="s">
        <v>10947</v>
      </c>
      <c r="E3464">
        <v>1</v>
      </c>
      <c r="F3464" t="str">
        <f>HYPERLINK("https://github.com/PojavLauncherTeam/PojavLauncher/issues/3082", "show")</f>
        <v>show</v>
      </c>
      <c r="G3464" t="str">
        <f>HYPERLINK("https://github.com/PojavLauncherTeam/PojavLauncher", "show")</f>
        <v>show</v>
      </c>
      <c r="H3464" t="str">
        <f>HYPERLINK("https://github.com/PojavLauncherTeam/PojavLauncher/releases", "show")</f>
        <v>show</v>
      </c>
      <c r="I3464">
        <v>0</v>
      </c>
      <c r="J3464">
        <v>0</v>
      </c>
      <c r="K3464">
        <v>0</v>
      </c>
      <c r="L3464">
        <v>0</v>
      </c>
      <c r="M3464" t="s">
        <v>43</v>
      </c>
    </row>
    <row r="3465" spans="1:13" hidden="1" x14ac:dyDescent="0.15">
      <c r="A3465" t="s">
        <v>10954</v>
      </c>
      <c r="B3465" t="s">
        <v>10955</v>
      </c>
      <c r="C3465" t="s">
        <v>10956</v>
      </c>
      <c r="D3465" t="s">
        <v>10957</v>
      </c>
      <c r="E3465">
        <v>0</v>
      </c>
      <c r="F3465" t="str">
        <f>HYPERLINK("https://github.com/PojavLauncherTeam/PojavLauncher/issues/3079", "show")</f>
        <v>show</v>
      </c>
      <c r="G3465" t="str">
        <f>HYPERLINK("https://github.com/PojavLauncherTeam/PojavLauncher", "show")</f>
        <v>show</v>
      </c>
      <c r="H3465" t="str">
        <f>HYPERLINK("https://github.com/PojavLauncherTeam/PojavLauncher/releases", "show")</f>
        <v>show</v>
      </c>
      <c r="I3465">
        <v>1</v>
      </c>
      <c r="J3465">
        <v>0</v>
      </c>
      <c r="K3465">
        <v>0</v>
      </c>
      <c r="L3465">
        <v>0</v>
      </c>
      <c r="M3465" t="s">
        <v>17</v>
      </c>
    </row>
    <row r="3466" spans="1:13" hidden="1" x14ac:dyDescent="0.15">
      <c r="A3466" t="s">
        <v>10958</v>
      </c>
      <c r="B3466" t="s">
        <v>10959</v>
      </c>
      <c r="C3466" t="s">
        <v>10960</v>
      </c>
      <c r="D3466" t="s">
        <v>10957</v>
      </c>
      <c r="E3466">
        <v>0</v>
      </c>
      <c r="F3466" t="str">
        <f>HYPERLINK("https://github.com/lisawray/groupie/issues/426", "show")</f>
        <v>show</v>
      </c>
      <c r="G3466" t="str">
        <f>HYPERLINK("https://github.com/lisawray/groupie", "show")</f>
        <v>show</v>
      </c>
      <c r="H3466" t="str">
        <f>HYPERLINK("https://github.com/lisawray/groupie/releases", "show")</f>
        <v>show</v>
      </c>
      <c r="I3466">
        <v>0</v>
      </c>
      <c r="J3466">
        <v>0</v>
      </c>
      <c r="K3466">
        <v>0</v>
      </c>
      <c r="L3466">
        <v>0</v>
      </c>
      <c r="M3466" t="s">
        <v>43</v>
      </c>
    </row>
    <row r="3467" spans="1:13" hidden="1" x14ac:dyDescent="0.15">
      <c r="A3467" t="s">
        <v>10961</v>
      </c>
      <c r="B3467" t="s">
        <v>10962</v>
      </c>
      <c r="C3467" t="s">
        <v>10963</v>
      </c>
      <c r="D3467" t="s">
        <v>10957</v>
      </c>
      <c r="E3467">
        <v>1</v>
      </c>
      <c r="F3467" t="str">
        <f>HYPERLINK("https://github.com/getsentry/sentry-java/issues/1985", "show")</f>
        <v>show</v>
      </c>
      <c r="G3467" t="str">
        <f>HYPERLINK("https://github.com/getsentry/sentry-java", "show")</f>
        <v>show</v>
      </c>
      <c r="H3467" t="str">
        <f>HYPERLINK("https://github.com/getsentry/sentry-java/releases", "show")</f>
        <v>show</v>
      </c>
      <c r="I3467">
        <v>1</v>
      </c>
      <c r="J3467">
        <v>0</v>
      </c>
      <c r="K3467">
        <v>0</v>
      </c>
      <c r="L3467">
        <v>0</v>
      </c>
      <c r="M3467" t="s">
        <v>17</v>
      </c>
    </row>
    <row r="3468" spans="1:13" hidden="1" x14ac:dyDescent="0.15">
      <c r="A3468" t="s">
        <v>10964</v>
      </c>
      <c r="B3468" t="s">
        <v>10965</v>
      </c>
      <c r="C3468" t="s">
        <v>10966</v>
      </c>
      <c r="D3468" t="s">
        <v>10967</v>
      </c>
      <c r="E3468">
        <v>0</v>
      </c>
      <c r="F3468" t="str">
        <f>HYPERLINK("https://github.com/k9mail/k-9/issues/6009", "show")</f>
        <v>show</v>
      </c>
      <c r="G3468" t="str">
        <f>HYPERLINK("https://github.com/k9mail/k-9", "show")</f>
        <v>show</v>
      </c>
      <c r="H3468" t="str">
        <f>HYPERLINK("https://github.com/k9mail/k-9/releases", "show")</f>
        <v>show</v>
      </c>
      <c r="I3468">
        <v>1</v>
      </c>
      <c r="J3468">
        <v>0</v>
      </c>
      <c r="K3468">
        <v>1</v>
      </c>
      <c r="L3468">
        <v>0</v>
      </c>
      <c r="M3468" t="s">
        <v>64</v>
      </c>
    </row>
    <row r="3469" spans="1:13" hidden="1" x14ac:dyDescent="0.15">
      <c r="A3469" t="s">
        <v>10968</v>
      </c>
      <c r="B3469" t="s">
        <v>10969</v>
      </c>
      <c r="C3469" t="s">
        <v>10970</v>
      </c>
      <c r="D3469" t="s">
        <v>10967</v>
      </c>
      <c r="E3469">
        <v>12</v>
      </c>
      <c r="F3469" t="str">
        <f>HYPERLINK("https://github.com/PojavLauncherTeam/PojavLauncher/issues/3073", "show")</f>
        <v>show</v>
      </c>
      <c r="G3469" t="str">
        <f>HYPERLINK("https://github.com/PojavLauncherTeam/PojavLauncher", "show")</f>
        <v>show</v>
      </c>
      <c r="H3469" t="str">
        <f>HYPERLINK("https://github.com/PojavLauncherTeam/PojavLauncher/releases", "show")</f>
        <v>show</v>
      </c>
      <c r="I3469">
        <v>1</v>
      </c>
      <c r="J3469">
        <v>1</v>
      </c>
      <c r="K3469">
        <v>0</v>
      </c>
      <c r="L3469">
        <v>0</v>
      </c>
      <c r="M3469" t="s">
        <v>48</v>
      </c>
    </row>
    <row r="3470" spans="1:13" x14ac:dyDescent="0.15">
      <c r="A3470" t="s">
        <v>10971</v>
      </c>
      <c r="B3470" t="s">
        <v>10972</v>
      </c>
      <c r="C3470" t="s">
        <v>10973</v>
      </c>
      <c r="D3470" t="s">
        <v>10974</v>
      </c>
      <c r="E3470">
        <v>0</v>
      </c>
      <c r="F3470" t="str">
        <f>HYPERLINK("https://github.com/PojavLauncherTeam/PojavLauncher/issues/3059", "show")</f>
        <v>show</v>
      </c>
      <c r="G3470" t="str">
        <f>HYPERLINK("https://github.com/PojavLauncherTeam/PojavLauncher", "show")</f>
        <v>show</v>
      </c>
      <c r="H3470" t="str">
        <f>HYPERLINK("https://github.com/PojavLauncherTeam/PojavLauncher/releases", "show")</f>
        <v>show</v>
      </c>
      <c r="I3470">
        <v>0</v>
      </c>
      <c r="J3470">
        <v>1</v>
      </c>
      <c r="K3470">
        <v>0</v>
      </c>
      <c r="L3470">
        <v>0</v>
      </c>
      <c r="M3470" t="s">
        <v>139</v>
      </c>
    </row>
    <row r="3471" spans="1:13" hidden="1" x14ac:dyDescent="0.15">
      <c r="A3471" t="s">
        <v>10975</v>
      </c>
      <c r="B3471" t="s">
        <v>10882</v>
      </c>
      <c r="C3471" t="s">
        <v>10976</v>
      </c>
      <c r="D3471" t="s">
        <v>10974</v>
      </c>
      <c r="E3471">
        <v>3</v>
      </c>
      <c r="F3471" t="str">
        <f>HYPERLINK("https://github.com/PojavLauncherTeam/PojavLauncher/issues/3052", "show")</f>
        <v>show</v>
      </c>
      <c r="G3471" t="str">
        <f>HYPERLINK("https://github.com/PojavLauncherTeam/PojavLauncher", "show")</f>
        <v>show</v>
      </c>
      <c r="H3471" t="str">
        <f>HYPERLINK("https://github.com/PojavLauncherTeam/PojavLauncher/releases", "show")</f>
        <v>show</v>
      </c>
      <c r="I3471">
        <v>1</v>
      </c>
      <c r="J3471">
        <v>1</v>
      </c>
      <c r="K3471">
        <v>0</v>
      </c>
      <c r="L3471">
        <v>0</v>
      </c>
      <c r="M3471" t="s">
        <v>48</v>
      </c>
    </row>
    <row r="3472" spans="1:13" hidden="1" x14ac:dyDescent="0.15">
      <c r="A3472" t="s">
        <v>10977</v>
      </c>
      <c r="B3472" t="s">
        <v>10978</v>
      </c>
      <c r="C3472" t="s">
        <v>10979</v>
      </c>
      <c r="D3472" t="s">
        <v>10974</v>
      </c>
      <c r="E3472">
        <v>9</v>
      </c>
      <c r="F3472" t="str">
        <f>HYPERLINK("https://github.com/PojavLauncherTeam/PojavLauncher/issues/3051", "show")</f>
        <v>show</v>
      </c>
      <c r="G3472" t="str">
        <f>HYPERLINK("https://github.com/PojavLauncherTeam/PojavLauncher", "show")</f>
        <v>show</v>
      </c>
      <c r="H3472" t="str">
        <f>HYPERLINK("https://github.com/PojavLauncherTeam/PojavLauncher/releases", "show")</f>
        <v>show</v>
      </c>
      <c r="I3472">
        <v>1</v>
      </c>
      <c r="J3472">
        <v>1</v>
      </c>
      <c r="K3472">
        <v>0</v>
      </c>
      <c r="L3472">
        <v>0</v>
      </c>
      <c r="M3472" t="s">
        <v>48</v>
      </c>
    </row>
    <row r="3473" spans="1:13" hidden="1" x14ac:dyDescent="0.15">
      <c r="A3473" t="s">
        <v>10980</v>
      </c>
      <c r="B3473" t="s">
        <v>10981</v>
      </c>
      <c r="C3473" t="s">
        <v>10982</v>
      </c>
      <c r="D3473" t="s">
        <v>10983</v>
      </c>
      <c r="E3473">
        <v>5</v>
      </c>
      <c r="F3473" t="str">
        <f>HYPERLINK("https://github.com/okta/okta-oidc-android/issues/310", "show")</f>
        <v>show</v>
      </c>
      <c r="G3473" t="str">
        <f>HYPERLINK("https://github.com/okta/okta-oidc-android", "show")</f>
        <v>show</v>
      </c>
      <c r="H3473" t="str">
        <f>HYPERLINK("https://github.com/okta/okta-oidc-android/releases", "show")</f>
        <v>show</v>
      </c>
      <c r="I3473">
        <v>1</v>
      </c>
      <c r="J3473">
        <v>0</v>
      </c>
      <c r="K3473">
        <v>1</v>
      </c>
      <c r="L3473">
        <v>0</v>
      </c>
      <c r="M3473" t="s">
        <v>64</v>
      </c>
    </row>
    <row r="3474" spans="1:13" hidden="1" x14ac:dyDescent="0.15">
      <c r="A3474" t="s">
        <v>10984</v>
      </c>
      <c r="B3474" t="s">
        <v>10985</v>
      </c>
      <c r="C3474" t="s">
        <v>10986</v>
      </c>
      <c r="D3474" t="s">
        <v>10983</v>
      </c>
      <c r="E3474">
        <v>3</v>
      </c>
      <c r="F3474" t="str">
        <f>HYPERLINK("https://github.com/falzonv/discreet-launcher/issues/205", "show")</f>
        <v>show</v>
      </c>
      <c r="G3474" t="str">
        <f>HYPERLINK("https://github.com/falzonv/discreet-launcher", "show")</f>
        <v>show</v>
      </c>
      <c r="H3474" t="str">
        <f>HYPERLINK("https://github.com/falzonv/discreet-launcher/releases", "show")</f>
        <v>show</v>
      </c>
      <c r="I3474">
        <v>1</v>
      </c>
      <c r="J3474">
        <v>0</v>
      </c>
      <c r="K3474">
        <v>0</v>
      </c>
      <c r="L3474">
        <v>0</v>
      </c>
      <c r="M3474" t="s">
        <v>17</v>
      </c>
    </row>
    <row r="3475" spans="1:13" hidden="1" x14ac:dyDescent="0.15">
      <c r="A3475" t="s">
        <v>10987</v>
      </c>
      <c r="B3475" t="s">
        <v>10988</v>
      </c>
      <c r="C3475" t="s">
        <v>10989</v>
      </c>
      <c r="D3475" t="s">
        <v>10983</v>
      </c>
      <c r="E3475">
        <v>12</v>
      </c>
      <c r="F3475" t="str">
        <f>HYPERLINK("https://github.com/nextcloud/talk-android/issues/1908", "show")</f>
        <v>show</v>
      </c>
      <c r="G3475" t="str">
        <f>HYPERLINK("https://github.com/nextcloud/talk-android", "show")</f>
        <v>show</v>
      </c>
      <c r="H3475" t="str">
        <f>HYPERLINK("https://github.com/nextcloud/talk-android/releases", "show")</f>
        <v>show</v>
      </c>
      <c r="I3475">
        <v>1</v>
      </c>
      <c r="J3475">
        <v>1</v>
      </c>
      <c r="K3475">
        <v>1</v>
      </c>
      <c r="L3475">
        <v>0</v>
      </c>
      <c r="M3475" t="s">
        <v>59</v>
      </c>
    </row>
    <row r="3476" spans="1:13" hidden="1" x14ac:dyDescent="0.15">
      <c r="A3476" t="s">
        <v>10990</v>
      </c>
      <c r="B3476" t="s">
        <v>10991</v>
      </c>
      <c r="C3476" t="s">
        <v>10992</v>
      </c>
      <c r="D3476" t="s">
        <v>10983</v>
      </c>
      <c r="E3476">
        <v>0</v>
      </c>
      <c r="F3476" t="str">
        <f>HYPERLINK("https://github.com/ASE-Projekte-WS-2021/ase-ws-21-konferenzassistent/issues/213", "show")</f>
        <v>show</v>
      </c>
      <c r="G3476" t="str">
        <f>HYPERLINK("https://github.com/ASE-Projekte-WS-2021/ase-ws-21-konferenzassistent", "show")</f>
        <v>show</v>
      </c>
      <c r="H3476" t="str">
        <f>HYPERLINK("https://github.com/ASE-Projekte-WS-2021/ase-ws-21-konferenzassistent/releases", "show")</f>
        <v>show</v>
      </c>
      <c r="I3476">
        <v>0</v>
      </c>
      <c r="J3476">
        <v>0</v>
      </c>
      <c r="K3476">
        <v>0</v>
      </c>
      <c r="L3476">
        <v>0</v>
      </c>
      <c r="M3476" t="s">
        <v>43</v>
      </c>
    </row>
    <row r="3477" spans="1:13" hidden="1" x14ac:dyDescent="0.15">
      <c r="A3477" t="s">
        <v>10993</v>
      </c>
      <c r="B3477" t="s">
        <v>10994</v>
      </c>
      <c r="C3477" t="s">
        <v>10995</v>
      </c>
      <c r="D3477" t="s">
        <v>10996</v>
      </c>
      <c r="E3477">
        <v>0</v>
      </c>
      <c r="F3477" t="str">
        <f>HYPERLINK("https://github.com/Aliucord/Aliucord/issues/236", "show")</f>
        <v>show</v>
      </c>
      <c r="G3477" t="str">
        <f>HYPERLINK("https://github.com/Aliucord/Aliucord", "show")</f>
        <v>show</v>
      </c>
      <c r="H3477" t="str">
        <f>HYPERLINK("https://github.com/Aliucord/Aliucord/releases", "show")</f>
        <v>show</v>
      </c>
      <c r="I3477">
        <v>1</v>
      </c>
      <c r="J3477">
        <v>0</v>
      </c>
      <c r="K3477">
        <v>0</v>
      </c>
      <c r="L3477">
        <v>0</v>
      </c>
      <c r="M3477" t="s">
        <v>17</v>
      </c>
    </row>
    <row r="3478" spans="1:13" hidden="1" x14ac:dyDescent="0.15">
      <c r="A3478" t="s">
        <v>10997</v>
      </c>
      <c r="B3478" t="s">
        <v>10998</v>
      </c>
      <c r="C3478" t="s">
        <v>10999</v>
      </c>
      <c r="D3478" t="s">
        <v>10996</v>
      </c>
      <c r="E3478">
        <v>0</v>
      </c>
      <c r="F3478" t="str">
        <f>HYPERLINK("https://github.com/Anuken/Mindustry/issues/6700", "show")</f>
        <v>show</v>
      </c>
      <c r="G3478" t="str">
        <f>HYPERLINK("https://github.com/Anuken/Mindustry", "show")</f>
        <v>show</v>
      </c>
      <c r="H3478" t="str">
        <f>HYPERLINK("https://github.com/Anuken/Mindustry/releases", "show")</f>
        <v>show</v>
      </c>
      <c r="I3478">
        <v>0</v>
      </c>
      <c r="J3478">
        <v>0</v>
      </c>
      <c r="K3478">
        <v>0</v>
      </c>
      <c r="L3478">
        <v>0</v>
      </c>
      <c r="M3478" t="s">
        <v>43</v>
      </c>
    </row>
    <row r="3479" spans="1:13" hidden="1" x14ac:dyDescent="0.15">
      <c r="A3479" t="s">
        <v>11000</v>
      </c>
      <c r="B3479" t="s">
        <v>11001</v>
      </c>
      <c r="C3479" t="s">
        <v>11002</v>
      </c>
      <c r="D3479" t="s">
        <v>10996</v>
      </c>
      <c r="E3479">
        <v>0</v>
      </c>
      <c r="F3479" t="str">
        <f>HYPERLINK("https://github.com/HBiSoft/HBRecorder/issues/112", "show")</f>
        <v>show</v>
      </c>
      <c r="G3479" t="str">
        <f>HYPERLINK("https://github.com/HBiSoft/HBRecorder", "show")</f>
        <v>show</v>
      </c>
      <c r="H3479" t="str">
        <f>HYPERLINK("https://github.com/HBiSoft/HBRecorder/releases", "show")</f>
        <v>show</v>
      </c>
      <c r="I3479">
        <v>0</v>
      </c>
      <c r="J3479">
        <v>0</v>
      </c>
      <c r="K3479">
        <v>1</v>
      </c>
      <c r="L3479">
        <v>0</v>
      </c>
      <c r="M3479" t="s">
        <v>122</v>
      </c>
    </row>
    <row r="3480" spans="1:13" hidden="1" x14ac:dyDescent="0.15">
      <c r="A3480" t="s">
        <v>11003</v>
      </c>
      <c r="B3480" t="s">
        <v>11004</v>
      </c>
      <c r="C3480" t="s">
        <v>11005</v>
      </c>
      <c r="D3480" t="s">
        <v>10996</v>
      </c>
      <c r="E3480">
        <v>1</v>
      </c>
      <c r="F3480" t="str">
        <f>HYPERLINK("https://github.com/NordicSemiconductor/Android-nRF-Mesh-Library/issues/495", "show")</f>
        <v>show</v>
      </c>
      <c r="G3480" t="str">
        <f>HYPERLINK("https://github.com/NordicSemiconductor/Android-nRF-Mesh-Library", "show")</f>
        <v>show</v>
      </c>
      <c r="H3480" t="str">
        <f>HYPERLINK("https://github.com/NordicSemiconductor/Android-nRF-Mesh-Library/releases", "show")</f>
        <v>show</v>
      </c>
      <c r="I3480">
        <v>1</v>
      </c>
      <c r="J3480">
        <v>0</v>
      </c>
      <c r="K3480">
        <v>0</v>
      </c>
      <c r="L3480">
        <v>0</v>
      </c>
      <c r="M3480" t="s">
        <v>17</v>
      </c>
    </row>
    <row r="3481" spans="1:13" hidden="1" x14ac:dyDescent="0.15">
      <c r="A3481" t="s">
        <v>11006</v>
      </c>
      <c r="B3481" t="s">
        <v>11007</v>
      </c>
      <c r="C3481" t="s">
        <v>11008</v>
      </c>
      <c r="D3481" t="s">
        <v>10996</v>
      </c>
      <c r="E3481">
        <v>8</v>
      </c>
      <c r="F3481" t="str">
        <f>HYPERLINK("https://github.com/Azure/azure-iot-sdk-java/issues/1518", "show")</f>
        <v>show</v>
      </c>
      <c r="G3481" t="str">
        <f>HYPERLINK("https://github.com/Azure/azure-iot-sdk-java", "show")</f>
        <v>show</v>
      </c>
      <c r="H3481" t="str">
        <f>HYPERLINK("https://github.com/Azure/azure-iot-sdk-java/releases", "show")</f>
        <v>show</v>
      </c>
      <c r="I3481">
        <v>0</v>
      </c>
      <c r="J3481">
        <v>0</v>
      </c>
      <c r="K3481">
        <v>1</v>
      </c>
      <c r="L3481">
        <v>0</v>
      </c>
      <c r="M3481" t="s">
        <v>122</v>
      </c>
    </row>
    <row r="3482" spans="1:13" hidden="1" x14ac:dyDescent="0.15">
      <c r="A3482" t="s">
        <v>11009</v>
      </c>
      <c r="B3482" t="s">
        <v>11010</v>
      </c>
      <c r="C3482" t="s">
        <v>11011</v>
      </c>
      <c r="D3482" t="s">
        <v>10996</v>
      </c>
      <c r="E3482">
        <v>2</v>
      </c>
      <c r="F3482" t="str">
        <f>HYPERLINK("https://github.com/hzi-braunschweig/SORMAS-Project/issues/8712", "show")</f>
        <v>show</v>
      </c>
      <c r="G3482" t="str">
        <f>HYPERLINK("https://github.com/hzi-braunschweig/SORMAS-Project", "show")</f>
        <v>show</v>
      </c>
      <c r="H3482" t="str">
        <f>HYPERLINK("https://github.com/hzi-braunschweig/SORMAS-Project/releases", "show")</f>
        <v>show</v>
      </c>
      <c r="I3482">
        <v>0</v>
      </c>
      <c r="J3482">
        <v>0</v>
      </c>
      <c r="K3482">
        <v>0</v>
      </c>
      <c r="L3482">
        <v>0</v>
      </c>
      <c r="M3482" t="s">
        <v>43</v>
      </c>
    </row>
    <row r="3483" spans="1:13" hidden="1" x14ac:dyDescent="0.15">
      <c r="A3483" t="s">
        <v>11012</v>
      </c>
      <c r="B3483" t="s">
        <v>11013</v>
      </c>
      <c r="C3483" t="s">
        <v>11014</v>
      </c>
      <c r="D3483" t="s">
        <v>11015</v>
      </c>
      <c r="E3483">
        <v>2</v>
      </c>
      <c r="F3483" t="str">
        <f>HYPERLINK("https://github.com/mercadopago/px-android/issues/2696", "show")</f>
        <v>show</v>
      </c>
      <c r="G3483" t="str">
        <f>HYPERLINK("https://github.com/mercadopago/px-android", "show")</f>
        <v>show</v>
      </c>
      <c r="H3483" t="str">
        <f>HYPERLINK("https://github.com/mercadopago/px-android/releases", "show")</f>
        <v>show</v>
      </c>
      <c r="I3483">
        <v>1</v>
      </c>
      <c r="J3483">
        <v>1</v>
      </c>
      <c r="K3483">
        <v>0</v>
      </c>
      <c r="L3483">
        <v>1</v>
      </c>
      <c r="M3483" t="s">
        <v>1894</v>
      </c>
    </row>
    <row r="3484" spans="1:13" hidden="1" x14ac:dyDescent="0.15">
      <c r="A3484" t="s">
        <v>11016</v>
      </c>
      <c r="B3484" t="s">
        <v>11017</v>
      </c>
      <c r="C3484" t="s">
        <v>11018</v>
      </c>
      <c r="D3484" t="s">
        <v>11015</v>
      </c>
      <c r="E3484">
        <v>0</v>
      </c>
      <c r="F3484" t="str">
        <f>HYPERLINK("https://github.com/ASE-Projekte-WS-2021/ase-ws-21-course-matcher/issues/284", "show")</f>
        <v>show</v>
      </c>
      <c r="G3484" t="str">
        <f>HYPERLINK("https://github.com/ASE-Projekte-WS-2021/ase-ws-21-course-matcher", "show")</f>
        <v>show</v>
      </c>
      <c r="H3484" t="str">
        <f>HYPERLINK("https://github.com/ASE-Projekte-WS-2021/ase-ws-21-course-matcher/releases", "show")</f>
        <v>show</v>
      </c>
      <c r="I3484">
        <v>1</v>
      </c>
      <c r="J3484">
        <v>0</v>
      </c>
      <c r="K3484">
        <v>0</v>
      </c>
      <c r="L3484">
        <v>0</v>
      </c>
      <c r="M3484" t="s">
        <v>17</v>
      </c>
    </row>
    <row r="3485" spans="1:13" hidden="1" x14ac:dyDescent="0.15">
      <c r="A3485" t="s">
        <v>11019</v>
      </c>
      <c r="B3485" t="s">
        <v>11020</v>
      </c>
      <c r="C3485" t="s">
        <v>11021</v>
      </c>
      <c r="D3485" t="s">
        <v>11015</v>
      </c>
      <c r="E3485">
        <v>0</v>
      </c>
      <c r="F3485" t="str">
        <f>HYPERLINK("https://github.com/k9mail/k-9/issues/5999", "show")</f>
        <v>show</v>
      </c>
      <c r="G3485" t="str">
        <f>HYPERLINK("https://github.com/k9mail/k-9", "show")</f>
        <v>show</v>
      </c>
      <c r="H3485" t="str">
        <f>HYPERLINK("https://github.com/k9mail/k-9/releases", "show")</f>
        <v>show</v>
      </c>
      <c r="I3485">
        <v>1</v>
      </c>
      <c r="J3485">
        <v>1</v>
      </c>
      <c r="K3485">
        <v>0</v>
      </c>
      <c r="L3485">
        <v>0</v>
      </c>
      <c r="M3485" t="s">
        <v>48</v>
      </c>
    </row>
    <row r="3486" spans="1:13" hidden="1" x14ac:dyDescent="0.15">
      <c r="A3486" t="s">
        <v>11022</v>
      </c>
      <c r="B3486" t="s">
        <v>11023</v>
      </c>
      <c r="C3486" t="s">
        <v>11024</v>
      </c>
      <c r="D3486" t="s">
        <v>11015</v>
      </c>
      <c r="E3486">
        <v>0</v>
      </c>
      <c r="F3486" t="str">
        <f>HYPERLINK("https://github.com/ASE-Projekte-WS-2021/ase-ws-21-course-matcher/issues/283", "show")</f>
        <v>show</v>
      </c>
      <c r="G3486" t="str">
        <f>HYPERLINK("https://github.com/ASE-Projekte-WS-2021/ase-ws-21-course-matcher", "show")</f>
        <v>show</v>
      </c>
      <c r="H3486" t="str">
        <f>HYPERLINK("https://github.com/ASE-Projekte-WS-2021/ase-ws-21-course-matcher/releases", "show")</f>
        <v>show</v>
      </c>
      <c r="I3486">
        <v>1</v>
      </c>
      <c r="J3486">
        <v>0</v>
      </c>
      <c r="K3486">
        <v>0</v>
      </c>
      <c r="L3486">
        <v>0</v>
      </c>
      <c r="M3486" t="s">
        <v>17</v>
      </c>
    </row>
    <row r="3487" spans="1:13" hidden="1" x14ac:dyDescent="0.15">
      <c r="A3487" t="s">
        <v>11025</v>
      </c>
      <c r="B3487" t="s">
        <v>11026</v>
      </c>
      <c r="C3487" t="s">
        <v>11027</v>
      </c>
      <c r="D3487" t="s">
        <v>11028</v>
      </c>
      <c r="E3487">
        <v>0</v>
      </c>
      <c r="F3487" t="str">
        <f>HYPERLINK("https://github.com/ankidroid/Anki-Android/issues/10698", "show")</f>
        <v>show</v>
      </c>
      <c r="G3487" t="str">
        <f>HYPERLINK("https://github.com/ankidroid/Anki-Android", "show")</f>
        <v>show</v>
      </c>
      <c r="H3487" t="str">
        <f>HYPERLINK("https://github.com/ankidroid/Anki-Android/releases", "show")</f>
        <v>show</v>
      </c>
      <c r="I3487">
        <v>0</v>
      </c>
      <c r="J3487">
        <v>0</v>
      </c>
      <c r="K3487">
        <v>1</v>
      </c>
      <c r="L3487">
        <v>0</v>
      </c>
      <c r="M3487" t="s">
        <v>122</v>
      </c>
    </row>
    <row r="3488" spans="1:13" hidden="1" x14ac:dyDescent="0.15">
      <c r="A3488" t="s">
        <v>11029</v>
      </c>
      <c r="B3488" t="s">
        <v>11030</v>
      </c>
      <c r="C3488" t="s">
        <v>11031</v>
      </c>
      <c r="D3488" t="s">
        <v>11028</v>
      </c>
      <c r="E3488">
        <v>20</v>
      </c>
      <c r="F3488" t="str">
        <f>HYPERLINK("https://github.com/OpenTracksApp/OpenTracks/issues/1167", "show")</f>
        <v>show</v>
      </c>
      <c r="G3488" t="str">
        <f>HYPERLINK("https://github.com/OpenTracksApp/OpenTracks", "show")</f>
        <v>show</v>
      </c>
      <c r="H3488" t="str">
        <f>HYPERLINK("https://github.com/OpenTracksApp/OpenTracks/releases", "show")</f>
        <v>show</v>
      </c>
      <c r="I3488">
        <v>1</v>
      </c>
      <c r="J3488">
        <v>0</v>
      </c>
      <c r="K3488">
        <v>0</v>
      </c>
      <c r="L3488">
        <v>0</v>
      </c>
      <c r="M3488" t="s">
        <v>17</v>
      </c>
    </row>
    <row r="3489" spans="1:13" hidden="1" x14ac:dyDescent="0.15">
      <c r="A3489" t="s">
        <v>11032</v>
      </c>
      <c r="B3489" t="s">
        <v>11033</v>
      </c>
      <c r="C3489" t="s">
        <v>11034</v>
      </c>
      <c r="D3489" t="s">
        <v>11028</v>
      </c>
      <c r="E3489">
        <v>0</v>
      </c>
      <c r="F3489" t="str">
        <f>HYPERLINK("https://github.com/jellyfin/jellyfin-androidtv/issues/1598", "show")</f>
        <v>show</v>
      </c>
      <c r="G3489" t="str">
        <f>HYPERLINK("https://github.com/jellyfin/jellyfin-androidtv", "show")</f>
        <v>show</v>
      </c>
      <c r="H3489" t="str">
        <f>HYPERLINK("https://github.com/jellyfin/jellyfin-androidtv/releases", "show")</f>
        <v>show</v>
      </c>
      <c r="I3489">
        <v>1</v>
      </c>
      <c r="J3489">
        <v>1</v>
      </c>
      <c r="K3489">
        <v>1</v>
      </c>
      <c r="L3489">
        <v>0</v>
      </c>
      <c r="M3489" t="s">
        <v>59</v>
      </c>
    </row>
    <row r="3490" spans="1:13" x14ac:dyDescent="0.15">
      <c r="A3490" t="s">
        <v>11035</v>
      </c>
      <c r="B3490" t="s">
        <v>11036</v>
      </c>
      <c r="C3490" t="s">
        <v>11037</v>
      </c>
      <c r="D3490" t="s">
        <v>11038</v>
      </c>
      <c r="E3490">
        <v>0</v>
      </c>
      <c r="F3490" t="str">
        <f>HYPERLINK("https://github.com/Anuken/Mindustry/issues/6692", "show")</f>
        <v>show</v>
      </c>
      <c r="G3490" t="str">
        <f>HYPERLINK("https://github.com/Anuken/Mindustry", "show")</f>
        <v>show</v>
      </c>
      <c r="H3490" t="str">
        <f>HYPERLINK("https://github.com/Anuken/Mindustry/releases", "show")</f>
        <v>show</v>
      </c>
      <c r="I3490">
        <v>0</v>
      </c>
      <c r="J3490">
        <v>1</v>
      </c>
      <c r="K3490">
        <v>0</v>
      </c>
      <c r="L3490">
        <v>0</v>
      </c>
      <c r="M3490" t="s">
        <v>139</v>
      </c>
    </row>
    <row r="3491" spans="1:13" hidden="1" x14ac:dyDescent="0.15">
      <c r="A3491" t="s">
        <v>11039</v>
      </c>
      <c r="B3491" t="s">
        <v>11040</v>
      </c>
      <c r="C3491" t="s">
        <v>11041</v>
      </c>
      <c r="D3491" t="s">
        <v>11038</v>
      </c>
      <c r="E3491">
        <v>0</v>
      </c>
      <c r="F3491" t="str">
        <f>HYPERLINK("https://github.com/Anuken/Mindustry/issues/6691", "show")</f>
        <v>show</v>
      </c>
      <c r="G3491" t="str">
        <f>HYPERLINK("https://github.com/Anuken/Mindustry", "show")</f>
        <v>show</v>
      </c>
      <c r="H3491" t="str">
        <f>HYPERLINK("https://github.com/Anuken/Mindustry/releases", "show")</f>
        <v>show</v>
      </c>
      <c r="I3491">
        <v>1</v>
      </c>
      <c r="J3491">
        <v>1</v>
      </c>
      <c r="K3491">
        <v>0</v>
      </c>
      <c r="L3491">
        <v>0</v>
      </c>
      <c r="M3491" t="s">
        <v>48</v>
      </c>
    </row>
    <row r="3492" spans="1:13" hidden="1" x14ac:dyDescent="0.15">
      <c r="A3492" t="s">
        <v>11042</v>
      </c>
      <c r="B3492" t="s">
        <v>11043</v>
      </c>
      <c r="C3492" t="s">
        <v>11044</v>
      </c>
      <c r="D3492" t="s">
        <v>11045</v>
      </c>
      <c r="E3492">
        <v>0</v>
      </c>
      <c r="F3492" t="str">
        <f>HYPERLINK("https://github.com/Anuken/Mindustry/issues/6687", "show")</f>
        <v>show</v>
      </c>
      <c r="G3492" t="str">
        <f>HYPERLINK("https://github.com/Anuken/Mindustry", "show")</f>
        <v>show</v>
      </c>
      <c r="H3492" t="str">
        <f>HYPERLINK("https://github.com/Anuken/Mindustry/releases", "show")</f>
        <v>show</v>
      </c>
      <c r="I3492">
        <v>0</v>
      </c>
      <c r="J3492">
        <v>0</v>
      </c>
      <c r="K3492">
        <v>0</v>
      </c>
      <c r="L3492">
        <v>1</v>
      </c>
      <c r="M3492" t="s">
        <v>581</v>
      </c>
    </row>
    <row r="3493" spans="1:13" hidden="1" x14ac:dyDescent="0.15">
      <c r="A3493" t="s">
        <v>11046</v>
      </c>
      <c r="B3493" t="s">
        <v>11047</v>
      </c>
      <c r="C3493" t="s">
        <v>11048</v>
      </c>
      <c r="D3493" t="s">
        <v>11045</v>
      </c>
      <c r="E3493">
        <v>2</v>
      </c>
      <c r="F3493" t="str">
        <f>HYPERLINK("https://github.com/ASE-Projekte-WS-2021/ase-ws-21-konferenzassistent/issues/189", "show")</f>
        <v>show</v>
      </c>
      <c r="G3493" t="str">
        <f>HYPERLINK("https://github.com/ASE-Projekte-WS-2021/ase-ws-21-konferenzassistent", "show")</f>
        <v>show</v>
      </c>
      <c r="H3493" t="str">
        <f>HYPERLINK("https://github.com/ASE-Projekte-WS-2021/ase-ws-21-konferenzassistent/releases", "show")</f>
        <v>show</v>
      </c>
      <c r="I3493">
        <v>0</v>
      </c>
      <c r="J3493">
        <v>0</v>
      </c>
      <c r="K3493">
        <v>0</v>
      </c>
      <c r="L3493">
        <v>0</v>
      </c>
      <c r="M3493" t="s">
        <v>43</v>
      </c>
    </row>
    <row r="3494" spans="1:13" hidden="1" x14ac:dyDescent="0.15">
      <c r="A3494" t="s">
        <v>11049</v>
      </c>
      <c r="B3494" t="s">
        <v>11050</v>
      </c>
      <c r="C3494" t="s">
        <v>11051</v>
      </c>
      <c r="D3494" t="s">
        <v>11052</v>
      </c>
      <c r="E3494">
        <v>1</v>
      </c>
      <c r="F3494" t="str">
        <f>HYPERLINK("https://github.com/dedis/popstellar/issues/912", "show")</f>
        <v>show</v>
      </c>
      <c r="G3494" t="str">
        <f>HYPERLINK("https://github.com/dedis/popstellar", "show")</f>
        <v>show</v>
      </c>
      <c r="H3494" t="str">
        <f>HYPERLINK("https://github.com/dedis/popstellar/releases", "show")</f>
        <v>show</v>
      </c>
      <c r="I3494">
        <v>1</v>
      </c>
      <c r="J3494">
        <v>1</v>
      </c>
      <c r="K3494">
        <v>0</v>
      </c>
      <c r="L3494">
        <v>0</v>
      </c>
      <c r="M3494" t="s">
        <v>48</v>
      </c>
    </row>
    <row r="3495" spans="1:13" hidden="1" x14ac:dyDescent="0.15">
      <c r="A3495" t="s">
        <v>11053</v>
      </c>
      <c r="B3495" t="s">
        <v>11054</v>
      </c>
      <c r="C3495" t="s">
        <v>11055</v>
      </c>
      <c r="D3495" t="s">
        <v>11052</v>
      </c>
      <c r="E3495">
        <v>20</v>
      </c>
      <c r="F3495" t="str">
        <f>HYPERLINK("https://github.com/nextcloud/talk-android/issues/1893", "show")</f>
        <v>show</v>
      </c>
      <c r="G3495" t="str">
        <f>HYPERLINK("https://github.com/nextcloud/talk-android", "show")</f>
        <v>show</v>
      </c>
      <c r="H3495" t="str">
        <f>HYPERLINK("https://github.com/nextcloud/talk-android/releases", "show")</f>
        <v>show</v>
      </c>
      <c r="I3495">
        <v>1</v>
      </c>
      <c r="J3495">
        <v>1</v>
      </c>
      <c r="K3495">
        <v>0</v>
      </c>
      <c r="L3495">
        <v>0</v>
      </c>
      <c r="M3495" t="s">
        <v>48</v>
      </c>
    </row>
    <row r="3496" spans="1:13" hidden="1" x14ac:dyDescent="0.15">
      <c r="A3496" t="s">
        <v>11056</v>
      </c>
      <c r="B3496" t="s">
        <v>11057</v>
      </c>
      <c r="C3496" t="s">
        <v>11058</v>
      </c>
      <c r="D3496" t="s">
        <v>11052</v>
      </c>
      <c r="E3496">
        <v>1</v>
      </c>
      <c r="F3496" t="str">
        <f>HYPERLINK("https://github.com/MuntashirAkon/AppManager/issues/718", "show")</f>
        <v>show</v>
      </c>
      <c r="G3496" t="str">
        <f>HYPERLINK("https://github.com/MuntashirAkon/AppManager", "show")</f>
        <v>show</v>
      </c>
      <c r="H3496" t="str">
        <f>HYPERLINK("https://github.com/MuntashirAkon/AppManager/releases", "show")</f>
        <v>show</v>
      </c>
      <c r="I3496">
        <v>0</v>
      </c>
      <c r="J3496">
        <v>0</v>
      </c>
      <c r="K3496">
        <v>0</v>
      </c>
      <c r="L3496">
        <v>0</v>
      </c>
      <c r="M3496" t="s">
        <v>43</v>
      </c>
    </row>
    <row r="3497" spans="1:13" hidden="1" x14ac:dyDescent="0.15">
      <c r="A3497" t="s">
        <v>11059</v>
      </c>
      <c r="B3497" t="s">
        <v>11060</v>
      </c>
      <c r="C3497" t="s">
        <v>11061</v>
      </c>
      <c r="D3497" t="s">
        <v>11062</v>
      </c>
      <c r="E3497">
        <v>4</v>
      </c>
      <c r="F3497" t="str">
        <f>HYPERLINK("https://github.com/PojavLauncherTeam/PojavLauncher/issues/3001", "show")</f>
        <v>show</v>
      </c>
      <c r="G3497" t="str">
        <f>HYPERLINK("https://github.com/PojavLauncherTeam/PojavLauncher", "show")</f>
        <v>show</v>
      </c>
      <c r="H3497" t="str">
        <f>HYPERLINK("https://github.com/PojavLauncherTeam/PojavLauncher/releases", "show")</f>
        <v>show</v>
      </c>
      <c r="I3497">
        <v>1</v>
      </c>
      <c r="J3497">
        <v>1</v>
      </c>
      <c r="K3497">
        <v>0</v>
      </c>
      <c r="L3497">
        <v>0</v>
      </c>
      <c r="M3497" t="s">
        <v>48</v>
      </c>
    </row>
    <row r="3498" spans="1:13" hidden="1" x14ac:dyDescent="0.15">
      <c r="A3498" t="s">
        <v>11063</v>
      </c>
      <c r="B3498" t="s">
        <v>11064</v>
      </c>
      <c r="C3498" t="s">
        <v>11065</v>
      </c>
      <c r="D3498" t="s">
        <v>11062</v>
      </c>
      <c r="E3498">
        <v>9</v>
      </c>
      <c r="F3498" t="str">
        <f>HYPERLINK("https://github.com/smartdevicelink/sdl_java_suite/issues/1800", "show")</f>
        <v>show</v>
      </c>
      <c r="G3498" t="str">
        <f>HYPERLINK("https://github.com/smartdevicelink/sdl_java_suite", "show")</f>
        <v>show</v>
      </c>
      <c r="H3498" t="str">
        <f>HYPERLINK("https://github.com/smartdevicelink/sdl_java_suite/releases", "show")</f>
        <v>show</v>
      </c>
      <c r="I3498">
        <v>1</v>
      </c>
      <c r="J3498">
        <v>0</v>
      </c>
      <c r="K3498">
        <v>0</v>
      </c>
      <c r="L3498">
        <v>0</v>
      </c>
      <c r="M3498" t="s">
        <v>17</v>
      </c>
    </row>
    <row r="3499" spans="1:13" hidden="1" x14ac:dyDescent="0.15">
      <c r="A3499" t="s">
        <v>11066</v>
      </c>
      <c r="B3499" t="s">
        <v>11067</v>
      </c>
      <c r="C3499" t="s">
        <v>11068</v>
      </c>
      <c r="D3499" t="s">
        <v>11062</v>
      </c>
      <c r="E3499">
        <v>1</v>
      </c>
      <c r="F3499" t="str">
        <f>HYPERLINK("https://github.com/nextcloud/android/issues/10028", "show")</f>
        <v>show</v>
      </c>
      <c r="G3499" t="str">
        <f>HYPERLINK("https://github.com/nextcloud/android", "show")</f>
        <v>show</v>
      </c>
      <c r="H3499" t="str">
        <f>HYPERLINK("https://github.com/nextcloud/android/releases", "show")</f>
        <v>show</v>
      </c>
      <c r="I3499">
        <v>1</v>
      </c>
      <c r="J3499">
        <v>0</v>
      </c>
      <c r="K3499">
        <v>1</v>
      </c>
      <c r="L3499">
        <v>1</v>
      </c>
      <c r="M3499" t="s">
        <v>1259</v>
      </c>
    </row>
    <row r="3500" spans="1:13" hidden="1" x14ac:dyDescent="0.15">
      <c r="A3500" t="s">
        <v>11069</v>
      </c>
      <c r="B3500" t="s">
        <v>11070</v>
      </c>
      <c r="C3500" t="s">
        <v>11071</v>
      </c>
      <c r="D3500" t="s">
        <v>11062</v>
      </c>
      <c r="E3500">
        <v>1</v>
      </c>
      <c r="F3500" t="str">
        <f>HYPERLINK("https://github.com/khpylon/MachEWidget/issues/11", "show")</f>
        <v>show</v>
      </c>
      <c r="G3500" t="str">
        <f>HYPERLINK("https://github.com/khpylon/MachEWidget", "show")</f>
        <v>show</v>
      </c>
      <c r="H3500" t="str">
        <f>HYPERLINK("https://github.com/khpylon/MachEWidget/releases", "show")</f>
        <v>show</v>
      </c>
      <c r="I3500">
        <v>1</v>
      </c>
      <c r="J3500">
        <v>1</v>
      </c>
      <c r="K3500">
        <v>0</v>
      </c>
      <c r="L3500">
        <v>1</v>
      </c>
      <c r="M3500" t="s">
        <v>1894</v>
      </c>
    </row>
    <row r="3501" spans="1:13" hidden="1" x14ac:dyDescent="0.15">
      <c r="A3501" t="s">
        <v>11072</v>
      </c>
      <c r="B3501" t="s">
        <v>11073</v>
      </c>
      <c r="C3501" t="s">
        <v>11074</v>
      </c>
      <c r="D3501" t="s">
        <v>11062</v>
      </c>
      <c r="E3501">
        <v>10</v>
      </c>
      <c r="F3501" t="str">
        <f>HYPERLINK("https://github.com/k9mail/k-9/issues/5991", "show")</f>
        <v>show</v>
      </c>
      <c r="G3501" t="str">
        <f>HYPERLINK("https://github.com/k9mail/k-9", "show")</f>
        <v>show</v>
      </c>
      <c r="H3501" t="str">
        <f>HYPERLINK("https://github.com/k9mail/k-9/releases", "show")</f>
        <v>show</v>
      </c>
      <c r="I3501">
        <v>1</v>
      </c>
      <c r="J3501">
        <v>1</v>
      </c>
      <c r="K3501">
        <v>0</v>
      </c>
      <c r="L3501">
        <v>0</v>
      </c>
      <c r="M3501" t="s">
        <v>48</v>
      </c>
    </row>
    <row r="3502" spans="1:13" hidden="1" x14ac:dyDescent="0.15">
      <c r="A3502" t="s">
        <v>11075</v>
      </c>
      <c r="B3502" t="s">
        <v>11076</v>
      </c>
      <c r="C3502" t="s">
        <v>11077</v>
      </c>
      <c r="D3502" t="s">
        <v>11078</v>
      </c>
      <c r="E3502">
        <v>4</v>
      </c>
      <c r="F3502" t="str">
        <f>HYPERLINK("https://github.com/ASE-Projekte-WS-2021/ase-ws-21-unser-horsaal/issues/239", "show")</f>
        <v>show</v>
      </c>
      <c r="G3502" t="str">
        <f>HYPERLINK("https://github.com/ASE-Projekte-WS-2021/ase-ws-21-unser-horsaal", "show")</f>
        <v>show</v>
      </c>
      <c r="H3502" t="str">
        <f>HYPERLINK("https://github.com/ASE-Projekte-WS-2021/ase-ws-21-unser-horsaal/releases", "show")</f>
        <v>show</v>
      </c>
      <c r="I3502">
        <v>0</v>
      </c>
      <c r="J3502">
        <v>0</v>
      </c>
      <c r="K3502">
        <v>0</v>
      </c>
      <c r="L3502">
        <v>0</v>
      </c>
      <c r="M3502" t="s">
        <v>43</v>
      </c>
    </row>
    <row r="3503" spans="1:13" hidden="1" x14ac:dyDescent="0.15">
      <c r="A3503" t="s">
        <v>11079</v>
      </c>
      <c r="B3503" t="s">
        <v>11080</v>
      </c>
      <c r="C3503" t="s">
        <v>11081</v>
      </c>
      <c r="D3503" t="s">
        <v>11078</v>
      </c>
      <c r="E3503">
        <v>10</v>
      </c>
      <c r="F3503" t="str">
        <f>HYPERLINK("https://github.com/Fox2Code/FoxMagiskModuleManager/issues/108", "show")</f>
        <v>show</v>
      </c>
      <c r="G3503" t="str">
        <f>HYPERLINK("https://github.com/Fox2Code/FoxMagiskModuleManager", "show")</f>
        <v>show</v>
      </c>
      <c r="H3503" t="str">
        <f>HYPERLINK("https://github.com/Fox2Code/FoxMagiskModuleManager/releases", "show")</f>
        <v>show</v>
      </c>
      <c r="I3503">
        <v>1</v>
      </c>
      <c r="J3503">
        <v>1</v>
      </c>
      <c r="K3503">
        <v>0</v>
      </c>
      <c r="L3503">
        <v>0</v>
      </c>
      <c r="M3503" t="s">
        <v>48</v>
      </c>
    </row>
    <row r="3504" spans="1:13" hidden="1" x14ac:dyDescent="0.15">
      <c r="A3504" t="s">
        <v>11082</v>
      </c>
      <c r="B3504" t="s">
        <v>11083</v>
      </c>
      <c r="C3504" t="s">
        <v>11084</v>
      </c>
      <c r="D3504" t="s">
        <v>11078</v>
      </c>
      <c r="E3504">
        <v>10</v>
      </c>
      <c r="F3504" t="str">
        <f>HYPERLINK("https://github.com/PojavLauncherTeam/PojavLauncher/issues/2998", "show")</f>
        <v>show</v>
      </c>
      <c r="G3504" t="str">
        <f>HYPERLINK("https://github.com/PojavLauncherTeam/PojavLauncher", "show")</f>
        <v>show</v>
      </c>
      <c r="H3504" t="str">
        <f>HYPERLINK("https://github.com/PojavLauncherTeam/PojavLauncher/releases", "show")</f>
        <v>show</v>
      </c>
      <c r="I3504">
        <v>1</v>
      </c>
      <c r="J3504">
        <v>0</v>
      </c>
      <c r="K3504">
        <v>1</v>
      </c>
      <c r="L3504">
        <v>0</v>
      </c>
      <c r="M3504" t="s">
        <v>64</v>
      </c>
    </row>
    <row r="3505" spans="1:13" hidden="1" x14ac:dyDescent="0.15">
      <c r="A3505" t="s">
        <v>11085</v>
      </c>
      <c r="B3505" t="s">
        <v>11086</v>
      </c>
      <c r="C3505" t="s">
        <v>11087</v>
      </c>
      <c r="D3505" t="s">
        <v>11078</v>
      </c>
      <c r="E3505">
        <v>0</v>
      </c>
      <c r="F3505" t="str">
        <f>HYPERLINK("https://github.com/PojavLauncherTeam/PojavLauncher/issues/2997", "show")</f>
        <v>show</v>
      </c>
      <c r="G3505" t="str">
        <f>HYPERLINK("https://github.com/PojavLauncherTeam/PojavLauncher", "show")</f>
        <v>show</v>
      </c>
      <c r="H3505" t="str">
        <f>HYPERLINK("https://github.com/PojavLauncherTeam/PojavLauncher/releases", "show")</f>
        <v>show</v>
      </c>
      <c r="I3505">
        <v>1</v>
      </c>
      <c r="J3505">
        <v>1</v>
      </c>
      <c r="K3505">
        <v>1</v>
      </c>
      <c r="L3505">
        <v>0</v>
      </c>
      <c r="M3505" t="s">
        <v>59</v>
      </c>
    </row>
    <row r="3506" spans="1:13" hidden="1" x14ac:dyDescent="0.15">
      <c r="A3506" t="s">
        <v>11088</v>
      </c>
      <c r="B3506" t="s">
        <v>11089</v>
      </c>
      <c r="C3506" t="s">
        <v>11090</v>
      </c>
      <c r="D3506" t="s">
        <v>11078</v>
      </c>
      <c r="E3506">
        <v>1</v>
      </c>
      <c r="F3506" t="str">
        <f>HYPERLINK("https://github.com/getActivity/GsonFactory/issues/18", "show")</f>
        <v>show</v>
      </c>
      <c r="G3506" t="str">
        <f>HYPERLINK("https://github.com/getActivity/GsonFactory", "show")</f>
        <v>show</v>
      </c>
      <c r="H3506" t="str">
        <f>HYPERLINK("https://github.com/getActivity/GsonFactory/releases", "show")</f>
        <v>show</v>
      </c>
      <c r="I3506">
        <v>0</v>
      </c>
      <c r="J3506">
        <v>0</v>
      </c>
      <c r="K3506">
        <v>1</v>
      </c>
      <c r="L3506">
        <v>0</v>
      </c>
      <c r="M3506" t="s">
        <v>122</v>
      </c>
    </row>
    <row r="3507" spans="1:13" hidden="1" x14ac:dyDescent="0.15">
      <c r="A3507" t="s">
        <v>11091</v>
      </c>
      <c r="B3507" t="s">
        <v>11092</v>
      </c>
      <c r="C3507" t="s">
        <v>11093</v>
      </c>
      <c r="D3507" t="s">
        <v>11078</v>
      </c>
      <c r="E3507">
        <v>3</v>
      </c>
      <c r="F3507" t="str">
        <f>HYPERLINK("https://github.com/PojavLauncherTeam/PojavLauncher/issues/2995", "show")</f>
        <v>show</v>
      </c>
      <c r="G3507" t="str">
        <f>HYPERLINK("https://github.com/PojavLauncherTeam/PojavLauncher", "show")</f>
        <v>show</v>
      </c>
      <c r="H3507" t="str">
        <f>HYPERLINK("https://github.com/PojavLauncherTeam/PojavLauncher/releases", "show")</f>
        <v>show</v>
      </c>
      <c r="I3507">
        <v>1</v>
      </c>
      <c r="J3507">
        <v>0</v>
      </c>
      <c r="K3507">
        <v>0</v>
      </c>
      <c r="L3507">
        <v>0</v>
      </c>
      <c r="M3507" t="s">
        <v>17</v>
      </c>
    </row>
    <row r="3508" spans="1:13" hidden="1" x14ac:dyDescent="0.15">
      <c r="A3508" t="s">
        <v>11094</v>
      </c>
      <c r="B3508" t="s">
        <v>11095</v>
      </c>
      <c r="C3508" t="s">
        <v>11096</v>
      </c>
      <c r="D3508" t="s">
        <v>11097</v>
      </c>
      <c r="E3508">
        <v>2</v>
      </c>
      <c r="F3508" t="str">
        <f>HYPERLINK("https://github.com/mercadopago/px-android/issues/2690", "show")</f>
        <v>show</v>
      </c>
      <c r="G3508" t="str">
        <f>HYPERLINK("https://github.com/mercadopago/px-android", "show")</f>
        <v>show</v>
      </c>
      <c r="H3508" t="str">
        <f>HYPERLINK("https://github.com/mercadopago/px-android/releases", "show")</f>
        <v>show</v>
      </c>
      <c r="I3508">
        <v>0</v>
      </c>
      <c r="J3508">
        <v>0</v>
      </c>
      <c r="K3508">
        <v>0</v>
      </c>
      <c r="L3508">
        <v>0</v>
      </c>
      <c r="M3508" t="s">
        <v>43</v>
      </c>
    </row>
    <row r="3509" spans="1:13" hidden="1" x14ac:dyDescent="0.15">
      <c r="A3509" t="s">
        <v>11098</v>
      </c>
      <c r="B3509" t="s">
        <v>11099</v>
      </c>
      <c r="D3509" t="s">
        <v>11097</v>
      </c>
      <c r="E3509">
        <v>1</v>
      </c>
      <c r="F3509" t="str">
        <f>HYPERLINK("https://github.com/cal-itp/graas/issues/191", "show")</f>
        <v>show</v>
      </c>
      <c r="G3509" t="str">
        <f>HYPERLINK("https://github.com/cal-itp/graas", "show")</f>
        <v>show</v>
      </c>
      <c r="H3509" t="str">
        <f>HYPERLINK("https://github.com/cal-itp/graas/releases", "show")</f>
        <v>show</v>
      </c>
      <c r="I3509">
        <v>0</v>
      </c>
      <c r="J3509">
        <v>0</v>
      </c>
      <c r="K3509">
        <v>0</v>
      </c>
      <c r="L3509">
        <v>0</v>
      </c>
      <c r="M3509" t="s">
        <v>43</v>
      </c>
    </row>
    <row r="3510" spans="1:13" hidden="1" x14ac:dyDescent="0.15">
      <c r="A3510" t="s">
        <v>11100</v>
      </c>
      <c r="B3510" t="s">
        <v>11101</v>
      </c>
      <c r="C3510" t="s">
        <v>11102</v>
      </c>
      <c r="D3510" t="s">
        <v>11103</v>
      </c>
      <c r="E3510">
        <v>0</v>
      </c>
      <c r="F3510" t="str">
        <f>HYPERLINK("https://github.com/PojavLauncherTeam/PojavLauncher/issues/2988", "show")</f>
        <v>show</v>
      </c>
      <c r="G3510" t="str">
        <f>HYPERLINK("https://github.com/PojavLauncherTeam/PojavLauncher", "show")</f>
        <v>show</v>
      </c>
      <c r="H3510" t="str">
        <f>HYPERLINK("https://github.com/PojavLauncherTeam/PojavLauncher/releases", "show")</f>
        <v>show</v>
      </c>
      <c r="I3510">
        <v>1</v>
      </c>
      <c r="J3510">
        <v>0</v>
      </c>
      <c r="K3510">
        <v>0</v>
      </c>
      <c r="L3510">
        <v>0</v>
      </c>
      <c r="M3510" t="s">
        <v>17</v>
      </c>
    </row>
    <row r="3511" spans="1:13" hidden="1" x14ac:dyDescent="0.15">
      <c r="A3511" t="s">
        <v>11104</v>
      </c>
      <c r="B3511" t="s">
        <v>11105</v>
      </c>
      <c r="C3511" t="s">
        <v>11106</v>
      </c>
      <c r="D3511" t="s">
        <v>11103</v>
      </c>
      <c r="E3511">
        <v>0</v>
      </c>
      <c r="F3511" t="str">
        <f>HYPERLINK("https://github.com/Aliucord/Aliucord/issues/229", "show")</f>
        <v>show</v>
      </c>
      <c r="G3511" t="str">
        <f>HYPERLINK("https://github.com/Aliucord/Aliucord", "show")</f>
        <v>show</v>
      </c>
      <c r="H3511" t="str">
        <f>HYPERLINK("https://github.com/Aliucord/Aliucord/releases", "show")</f>
        <v>show</v>
      </c>
      <c r="I3511">
        <v>1</v>
      </c>
      <c r="J3511">
        <v>1</v>
      </c>
      <c r="K3511">
        <v>0</v>
      </c>
      <c r="L3511">
        <v>0</v>
      </c>
      <c r="M3511" t="s">
        <v>48</v>
      </c>
    </row>
    <row r="3512" spans="1:13" hidden="1" x14ac:dyDescent="0.15">
      <c r="A3512" t="s">
        <v>11107</v>
      </c>
      <c r="B3512" t="s">
        <v>11108</v>
      </c>
      <c r="C3512" t="s">
        <v>11109</v>
      </c>
      <c r="D3512" t="s">
        <v>11110</v>
      </c>
      <c r="E3512">
        <v>6</v>
      </c>
      <c r="F3512" t="str">
        <f>HYPERLINK("https://github.com/PojavLauncherTeam/PojavLauncher/issues/2976", "show")</f>
        <v>show</v>
      </c>
      <c r="G3512" t="str">
        <f>HYPERLINK("https://github.com/PojavLauncherTeam/PojavLauncher", "show")</f>
        <v>show</v>
      </c>
      <c r="H3512" t="str">
        <f>HYPERLINK("https://github.com/PojavLauncherTeam/PojavLauncher/releases", "show")</f>
        <v>show</v>
      </c>
      <c r="I3512">
        <v>1</v>
      </c>
      <c r="J3512">
        <v>0</v>
      </c>
      <c r="K3512">
        <v>0</v>
      </c>
      <c r="L3512">
        <v>0</v>
      </c>
      <c r="M3512" t="s">
        <v>17</v>
      </c>
    </row>
    <row r="3513" spans="1:13" hidden="1" x14ac:dyDescent="0.15">
      <c r="A3513" t="s">
        <v>11111</v>
      </c>
      <c r="B3513" t="s">
        <v>11112</v>
      </c>
      <c r="C3513" t="s">
        <v>11113</v>
      </c>
      <c r="D3513" t="s">
        <v>11114</v>
      </c>
      <c r="E3513">
        <v>13</v>
      </c>
      <c r="F3513" t="str">
        <f>HYPERLINK("https://github.com/bytedance/AabResGuard/issues/79", "show")</f>
        <v>show</v>
      </c>
      <c r="G3513" t="str">
        <f>HYPERLINK("https://github.com/bytedance/AabResGuard", "show")</f>
        <v>show</v>
      </c>
      <c r="H3513" t="str">
        <f>HYPERLINK("https://github.com/bytedance/AabResGuard/releases", "show")</f>
        <v>show</v>
      </c>
      <c r="I3513">
        <v>0</v>
      </c>
      <c r="J3513">
        <v>0</v>
      </c>
      <c r="K3513">
        <v>0</v>
      </c>
      <c r="L3513">
        <v>0</v>
      </c>
      <c r="M3513" t="s">
        <v>43</v>
      </c>
    </row>
    <row r="3514" spans="1:13" x14ac:dyDescent="0.15">
      <c r="A3514" t="s">
        <v>11115</v>
      </c>
      <c r="B3514" t="s">
        <v>11116</v>
      </c>
      <c r="C3514" t="s">
        <v>11117</v>
      </c>
      <c r="D3514" t="s">
        <v>11114</v>
      </c>
      <c r="E3514">
        <v>0</v>
      </c>
      <c r="F3514" t="str">
        <f>HYPERLINK("https://github.com/Anuken/Mindustry/issues/6665", "show")</f>
        <v>show</v>
      </c>
      <c r="G3514" t="str">
        <f>HYPERLINK("https://github.com/Anuken/Mindustry", "show")</f>
        <v>show</v>
      </c>
      <c r="H3514" t="str">
        <f>HYPERLINK("https://github.com/Anuken/Mindustry/releases", "show")</f>
        <v>show</v>
      </c>
      <c r="I3514">
        <v>0</v>
      </c>
      <c r="J3514">
        <v>1</v>
      </c>
      <c r="K3514">
        <v>0</v>
      </c>
      <c r="L3514">
        <v>0</v>
      </c>
      <c r="M3514" t="s">
        <v>139</v>
      </c>
    </row>
    <row r="3515" spans="1:13" hidden="1" x14ac:dyDescent="0.15">
      <c r="A3515" t="s">
        <v>11118</v>
      </c>
      <c r="B3515" t="s">
        <v>11119</v>
      </c>
      <c r="C3515" t="s">
        <v>11120</v>
      </c>
      <c r="D3515" t="s">
        <v>11121</v>
      </c>
      <c r="E3515">
        <v>2</v>
      </c>
      <c r="F3515" t="str">
        <f>HYPERLINK("https://github.com/PojavLauncherTeam/PojavLauncher/issues/2972", "show")</f>
        <v>show</v>
      </c>
      <c r="G3515" t="str">
        <f>HYPERLINK("https://github.com/PojavLauncherTeam/PojavLauncher", "show")</f>
        <v>show</v>
      </c>
      <c r="H3515" t="str">
        <f>HYPERLINK("https://github.com/PojavLauncherTeam/PojavLauncher/releases", "show")</f>
        <v>show</v>
      </c>
      <c r="I3515">
        <v>1</v>
      </c>
      <c r="J3515">
        <v>1</v>
      </c>
      <c r="K3515">
        <v>1</v>
      </c>
      <c r="L3515">
        <v>0</v>
      </c>
      <c r="M3515" t="s">
        <v>59</v>
      </c>
    </row>
    <row r="3516" spans="1:13" hidden="1" x14ac:dyDescent="0.15">
      <c r="A3516" t="s">
        <v>11122</v>
      </c>
      <c r="B3516" t="s">
        <v>11123</v>
      </c>
      <c r="C3516" t="s">
        <v>11124</v>
      </c>
      <c r="D3516" t="s">
        <v>11121</v>
      </c>
      <c r="E3516">
        <v>5</v>
      </c>
      <c r="F3516" t="str">
        <f>HYPERLINK("https://github.com/mercadopago/px-android/issues/2686", "show")</f>
        <v>show</v>
      </c>
      <c r="G3516" t="str">
        <f>HYPERLINK("https://github.com/mercadopago/px-android", "show")</f>
        <v>show</v>
      </c>
      <c r="H3516" t="str">
        <f>HYPERLINK("https://github.com/mercadopago/px-android/releases", "show")</f>
        <v>show</v>
      </c>
      <c r="I3516">
        <v>1</v>
      </c>
      <c r="J3516">
        <v>1</v>
      </c>
      <c r="K3516">
        <v>0</v>
      </c>
      <c r="L3516">
        <v>0</v>
      </c>
      <c r="M3516" t="s">
        <v>48</v>
      </c>
    </row>
    <row r="3517" spans="1:13" hidden="1" x14ac:dyDescent="0.15">
      <c r="A3517" t="s">
        <v>11125</v>
      </c>
      <c r="B3517" t="s">
        <v>11126</v>
      </c>
      <c r="C3517" t="s">
        <v>11127</v>
      </c>
      <c r="D3517" t="s">
        <v>11121</v>
      </c>
      <c r="E3517">
        <v>2</v>
      </c>
      <c r="F3517" t="str">
        <f>HYPERLINK("https://github.com/cohenadair/anglers-log/issues/649", "show")</f>
        <v>show</v>
      </c>
      <c r="G3517" t="str">
        <f>HYPERLINK("https://github.com/cohenadair/anglers-log", "show")</f>
        <v>show</v>
      </c>
      <c r="H3517" t="str">
        <f>HYPERLINK("https://github.com/cohenadair/anglers-log/releases", "show")</f>
        <v>show</v>
      </c>
      <c r="I3517">
        <v>1</v>
      </c>
      <c r="J3517">
        <v>1</v>
      </c>
      <c r="K3517">
        <v>0</v>
      </c>
      <c r="L3517">
        <v>0</v>
      </c>
      <c r="M3517" t="s">
        <v>48</v>
      </c>
    </row>
    <row r="3518" spans="1:13" hidden="1" x14ac:dyDescent="0.15">
      <c r="A3518" t="s">
        <v>11128</v>
      </c>
      <c r="B3518" t="s">
        <v>11129</v>
      </c>
      <c r="C3518" t="s">
        <v>11130</v>
      </c>
      <c r="D3518" t="s">
        <v>11121</v>
      </c>
      <c r="E3518">
        <v>2</v>
      </c>
      <c r="F3518" t="str">
        <f>HYPERLINK("https://github.com/PojavLauncherTeam/PojavLauncher/issues/2967", "show")</f>
        <v>show</v>
      </c>
      <c r="G3518" t="str">
        <f>HYPERLINK("https://github.com/PojavLauncherTeam/PojavLauncher", "show")</f>
        <v>show</v>
      </c>
      <c r="H3518" t="str">
        <f>HYPERLINK("https://github.com/PojavLauncherTeam/PojavLauncher/releases", "show")</f>
        <v>show</v>
      </c>
      <c r="I3518">
        <v>0</v>
      </c>
      <c r="J3518">
        <v>0</v>
      </c>
      <c r="K3518">
        <v>0</v>
      </c>
      <c r="L3518">
        <v>0</v>
      </c>
      <c r="M3518" t="s">
        <v>43</v>
      </c>
    </row>
    <row r="3519" spans="1:13" hidden="1" x14ac:dyDescent="0.15">
      <c r="A3519" t="s">
        <v>11131</v>
      </c>
      <c r="B3519" t="s">
        <v>11132</v>
      </c>
      <c r="C3519" t="s">
        <v>11133</v>
      </c>
      <c r="D3519" t="s">
        <v>11121</v>
      </c>
      <c r="E3519">
        <v>0</v>
      </c>
      <c r="F3519" t="str">
        <f>HYPERLINK("https://github.com/jellyfin/jellyfin-androidtv/issues/1560", "show")</f>
        <v>show</v>
      </c>
      <c r="G3519" t="str">
        <f>HYPERLINK("https://github.com/jellyfin/jellyfin-androidtv", "show")</f>
        <v>show</v>
      </c>
      <c r="H3519" t="str">
        <f>HYPERLINK("https://github.com/jellyfin/jellyfin-androidtv/releases", "show")</f>
        <v>show</v>
      </c>
      <c r="I3519">
        <v>1</v>
      </c>
      <c r="J3519">
        <v>0</v>
      </c>
      <c r="K3519">
        <v>0</v>
      </c>
      <c r="L3519">
        <v>0</v>
      </c>
      <c r="M3519" t="s">
        <v>17</v>
      </c>
    </row>
    <row r="3520" spans="1:13" hidden="1" x14ac:dyDescent="0.15">
      <c r="A3520" t="s">
        <v>11134</v>
      </c>
      <c r="B3520" t="s">
        <v>11135</v>
      </c>
      <c r="C3520" t="s">
        <v>11136</v>
      </c>
      <c r="D3520" t="s">
        <v>11121</v>
      </c>
      <c r="E3520">
        <v>1</v>
      </c>
      <c r="F3520" t="str">
        <f>HYPERLINK("https://github.com/commons-app/apps-android-commons/issues/4919", "show")</f>
        <v>show</v>
      </c>
      <c r="G3520" t="str">
        <f>HYPERLINK("https://github.com/commons-app/apps-android-commons", "show")</f>
        <v>show</v>
      </c>
      <c r="H3520" t="str">
        <f>HYPERLINK("https://github.com/commons-app/apps-android-commons/releases", "show")</f>
        <v>show</v>
      </c>
      <c r="I3520">
        <v>1</v>
      </c>
      <c r="J3520">
        <v>0</v>
      </c>
      <c r="K3520">
        <v>0</v>
      </c>
      <c r="L3520">
        <v>0</v>
      </c>
      <c r="M3520" t="s">
        <v>17</v>
      </c>
    </row>
    <row r="3521" spans="1:13" hidden="1" x14ac:dyDescent="0.15">
      <c r="A3521" t="s">
        <v>11137</v>
      </c>
      <c r="B3521" t="s">
        <v>11138</v>
      </c>
      <c r="D3521" t="s">
        <v>11139</v>
      </c>
      <c r="E3521">
        <v>1</v>
      </c>
      <c r="F3521" t="str">
        <f>HYPERLINK("https://github.com/ASE-Projekte-WS-2021/ase-ws-21-konferenzassistent/issues/168", "show")</f>
        <v>show</v>
      </c>
      <c r="G3521" t="str">
        <f>HYPERLINK("https://github.com/ASE-Projekte-WS-2021/ase-ws-21-konferenzassistent", "show")</f>
        <v>show</v>
      </c>
      <c r="H3521" t="str">
        <f>HYPERLINK("https://github.com/ASE-Projekte-WS-2021/ase-ws-21-konferenzassistent/releases", "show")</f>
        <v>show</v>
      </c>
      <c r="I3521">
        <v>1</v>
      </c>
      <c r="J3521">
        <v>0</v>
      </c>
      <c r="K3521">
        <v>0</v>
      </c>
      <c r="L3521">
        <v>0</v>
      </c>
      <c r="M3521" t="s">
        <v>17</v>
      </c>
    </row>
    <row r="3522" spans="1:13" hidden="1" x14ac:dyDescent="0.15">
      <c r="A3522" t="s">
        <v>11140</v>
      </c>
      <c r="B3522" t="s">
        <v>11141</v>
      </c>
      <c r="C3522" t="s">
        <v>11142</v>
      </c>
      <c r="D3522" t="s">
        <v>11143</v>
      </c>
      <c r="E3522">
        <v>1</v>
      </c>
      <c r="F3522" t="str">
        <f>HYPERLINK("https://github.com/mercadopago/px-android/issues/2683", "show")</f>
        <v>show</v>
      </c>
      <c r="G3522" t="str">
        <f>HYPERLINK("https://github.com/mercadopago/px-android", "show")</f>
        <v>show</v>
      </c>
      <c r="H3522" t="str">
        <f>HYPERLINK("https://github.com/mercadopago/px-android/releases", "show")</f>
        <v>show</v>
      </c>
      <c r="I3522">
        <v>1</v>
      </c>
      <c r="J3522">
        <v>1</v>
      </c>
      <c r="K3522">
        <v>0</v>
      </c>
      <c r="L3522">
        <v>0</v>
      </c>
      <c r="M3522" t="s">
        <v>48</v>
      </c>
    </row>
    <row r="3523" spans="1:13" hidden="1" x14ac:dyDescent="0.15">
      <c r="A3523" t="s">
        <v>11144</v>
      </c>
      <c r="B3523" t="s">
        <v>11145</v>
      </c>
      <c r="C3523" t="s">
        <v>11146</v>
      </c>
      <c r="D3523" t="s">
        <v>11143</v>
      </c>
      <c r="E3523">
        <v>1</v>
      </c>
      <c r="F3523" t="str">
        <f>HYPERLINK("https://github.com/mercadopago/px-android/issues/2682", "show")</f>
        <v>show</v>
      </c>
      <c r="G3523" t="str">
        <f>HYPERLINK("https://github.com/mercadopago/px-android", "show")</f>
        <v>show</v>
      </c>
      <c r="H3523" t="str">
        <f>HYPERLINK("https://github.com/mercadopago/px-android/releases", "show")</f>
        <v>show</v>
      </c>
      <c r="I3523">
        <v>1</v>
      </c>
      <c r="J3523">
        <v>1</v>
      </c>
      <c r="K3523">
        <v>0</v>
      </c>
      <c r="L3523">
        <v>1</v>
      </c>
      <c r="M3523" t="s">
        <v>1894</v>
      </c>
    </row>
    <row r="3524" spans="1:13" hidden="1" x14ac:dyDescent="0.15">
      <c r="A3524" t="s">
        <v>11147</v>
      </c>
      <c r="B3524" t="s">
        <v>11148</v>
      </c>
      <c r="C3524" t="s">
        <v>11149</v>
      </c>
      <c r="D3524" t="s">
        <v>11143</v>
      </c>
      <c r="E3524">
        <v>14</v>
      </c>
      <c r="F3524" t="str">
        <f>HYPERLINK("https://github.com/deltachat/deltachat-android/issues/2242", "show")</f>
        <v>show</v>
      </c>
      <c r="G3524" t="str">
        <f>HYPERLINK("https://github.com/deltachat/deltachat-android", "show")</f>
        <v>show</v>
      </c>
      <c r="H3524" t="str">
        <f>HYPERLINK("https://github.com/deltachat/deltachat-android/releases", "show")</f>
        <v>show</v>
      </c>
      <c r="I3524">
        <v>0</v>
      </c>
      <c r="J3524">
        <v>0</v>
      </c>
      <c r="K3524">
        <v>0</v>
      </c>
      <c r="L3524">
        <v>0</v>
      </c>
      <c r="M3524" t="s">
        <v>43</v>
      </c>
    </row>
    <row r="3525" spans="1:13" hidden="1" x14ac:dyDescent="0.15">
      <c r="A3525" t="s">
        <v>11150</v>
      </c>
      <c r="B3525" t="s">
        <v>11151</v>
      </c>
      <c r="C3525" t="s">
        <v>11152</v>
      </c>
      <c r="D3525" t="s">
        <v>11153</v>
      </c>
      <c r="E3525">
        <v>1</v>
      </c>
      <c r="F3525" t="str">
        <f>HYPERLINK("https://github.com/Jelmer1887/OnlyFarms/issues/31", "show")</f>
        <v>show</v>
      </c>
      <c r="G3525" t="str">
        <f>HYPERLINK("https://github.com/Jelmer1887/OnlyFarms", "show")</f>
        <v>show</v>
      </c>
      <c r="H3525" t="str">
        <f>HYPERLINK("https://github.com/Jelmer1887/OnlyFarms/releases", "show")</f>
        <v>show</v>
      </c>
      <c r="I3525">
        <v>1</v>
      </c>
      <c r="J3525">
        <v>1</v>
      </c>
      <c r="K3525">
        <v>1</v>
      </c>
      <c r="L3525">
        <v>0</v>
      </c>
      <c r="M3525" t="s">
        <v>59</v>
      </c>
    </row>
    <row r="3526" spans="1:13" hidden="1" x14ac:dyDescent="0.15">
      <c r="A3526" t="s">
        <v>11154</v>
      </c>
      <c r="B3526" t="s">
        <v>11155</v>
      </c>
      <c r="C3526" t="s">
        <v>11156</v>
      </c>
      <c r="D3526" t="s">
        <v>11153</v>
      </c>
      <c r="E3526">
        <v>1</v>
      </c>
      <c r="F3526" t="str">
        <f>HYPERLINK("https://github.com/ASE-Projekte-WS-2021/ase-ws-21-course-matcher/issues/219", "show")</f>
        <v>show</v>
      </c>
      <c r="G3526" t="str">
        <f>HYPERLINK("https://github.com/ASE-Projekte-WS-2021/ase-ws-21-course-matcher", "show")</f>
        <v>show</v>
      </c>
      <c r="H3526" t="str">
        <f>HYPERLINK("https://github.com/ASE-Projekte-WS-2021/ase-ws-21-course-matcher/releases", "show")</f>
        <v>show</v>
      </c>
      <c r="I3526">
        <v>1</v>
      </c>
      <c r="J3526">
        <v>0</v>
      </c>
      <c r="K3526">
        <v>0</v>
      </c>
      <c r="L3526">
        <v>0</v>
      </c>
      <c r="M3526" t="s">
        <v>17</v>
      </c>
    </row>
    <row r="3527" spans="1:13" hidden="1" x14ac:dyDescent="0.15">
      <c r="A3527" t="s">
        <v>11157</v>
      </c>
      <c r="B3527" t="s">
        <v>11158</v>
      </c>
      <c r="C3527" t="s">
        <v>11159</v>
      </c>
      <c r="D3527" t="s">
        <v>11153</v>
      </c>
      <c r="E3527">
        <v>1</v>
      </c>
      <c r="F3527" t="str">
        <f>HYPERLINK("https://github.com/PojavLauncherTeam/PojavLauncher/issues/2949", "show")</f>
        <v>show</v>
      </c>
      <c r="G3527" t="str">
        <f>HYPERLINK("https://github.com/PojavLauncherTeam/PojavLauncher", "show")</f>
        <v>show</v>
      </c>
      <c r="H3527" t="str">
        <f>HYPERLINK("https://github.com/PojavLauncherTeam/PojavLauncher/releases", "show")</f>
        <v>show</v>
      </c>
      <c r="I3527">
        <v>1</v>
      </c>
      <c r="J3527">
        <v>1</v>
      </c>
      <c r="K3527">
        <v>0</v>
      </c>
      <c r="L3527">
        <v>0</v>
      </c>
      <c r="M3527" t="s">
        <v>48</v>
      </c>
    </row>
    <row r="3528" spans="1:13" hidden="1" x14ac:dyDescent="0.15">
      <c r="A3528" t="s">
        <v>11160</v>
      </c>
      <c r="B3528" t="s">
        <v>11161</v>
      </c>
      <c r="C3528" t="s">
        <v>11162</v>
      </c>
      <c r="D3528" t="s">
        <v>11163</v>
      </c>
      <c r="E3528">
        <v>1</v>
      </c>
      <c r="F3528" t="str">
        <f>HYPERLINK("https://github.com/cohenadair/anglers-log/issues/640", "show")</f>
        <v>show</v>
      </c>
      <c r="G3528" t="str">
        <f>HYPERLINK("https://github.com/cohenadair/anglers-log", "show")</f>
        <v>show</v>
      </c>
      <c r="H3528" t="str">
        <f>HYPERLINK("https://github.com/cohenadair/anglers-log/releases", "show")</f>
        <v>show</v>
      </c>
      <c r="I3528">
        <v>1</v>
      </c>
      <c r="J3528">
        <v>1</v>
      </c>
      <c r="K3528">
        <v>0</v>
      </c>
      <c r="L3528">
        <v>0</v>
      </c>
      <c r="M3528" t="s">
        <v>48</v>
      </c>
    </row>
    <row r="3529" spans="1:13" hidden="1" x14ac:dyDescent="0.15">
      <c r="A3529" t="s">
        <v>11164</v>
      </c>
      <c r="B3529" t="s">
        <v>11165</v>
      </c>
      <c r="C3529" t="s">
        <v>11166</v>
      </c>
      <c r="D3529" t="s">
        <v>11163</v>
      </c>
      <c r="E3529">
        <v>0</v>
      </c>
      <c r="F3529" t="str">
        <f>HYPERLINK("https://github.com/ASE-Projekte-WS-2021/ase-ws-21-konferenzassistent/issues/151", "show")</f>
        <v>show</v>
      </c>
      <c r="G3529" t="str">
        <f>HYPERLINK("https://github.com/ASE-Projekte-WS-2021/ase-ws-21-konferenzassistent", "show")</f>
        <v>show</v>
      </c>
      <c r="H3529" t="str">
        <f>HYPERLINK("https://github.com/ASE-Projekte-WS-2021/ase-ws-21-konferenzassistent/releases", "show")</f>
        <v>show</v>
      </c>
      <c r="I3529">
        <v>0</v>
      </c>
      <c r="J3529">
        <v>0</v>
      </c>
      <c r="K3529">
        <v>0</v>
      </c>
      <c r="L3529">
        <v>0</v>
      </c>
      <c r="M3529" t="s">
        <v>43</v>
      </c>
    </row>
    <row r="3530" spans="1:13" hidden="1" x14ac:dyDescent="0.15">
      <c r="A3530" t="s">
        <v>11167</v>
      </c>
      <c r="B3530" t="s">
        <v>11168</v>
      </c>
      <c r="C3530" t="s">
        <v>10930</v>
      </c>
      <c r="D3530" t="s">
        <v>11163</v>
      </c>
      <c r="E3530">
        <v>1</v>
      </c>
      <c r="F3530" t="str">
        <f>HYPERLINK("https://github.com/itsaky/AndroidIDE/issues/134", "show")</f>
        <v>show</v>
      </c>
      <c r="G3530" t="str">
        <f>HYPERLINK("https://github.com/itsaky/AndroidIDE", "show")</f>
        <v>show</v>
      </c>
      <c r="H3530" t="str">
        <f>HYPERLINK("https://github.com/itsaky/AndroidIDE/releases", "show")</f>
        <v>show</v>
      </c>
      <c r="I3530">
        <v>0</v>
      </c>
      <c r="J3530">
        <v>0</v>
      </c>
      <c r="K3530">
        <v>1</v>
      </c>
      <c r="L3530">
        <v>0</v>
      </c>
      <c r="M3530" t="s">
        <v>122</v>
      </c>
    </row>
    <row r="3531" spans="1:13" hidden="1" x14ac:dyDescent="0.15">
      <c r="A3531" t="s">
        <v>11169</v>
      </c>
      <c r="B3531" t="s">
        <v>11170</v>
      </c>
      <c r="D3531" t="s">
        <v>11163</v>
      </c>
      <c r="E3531">
        <v>0</v>
      </c>
      <c r="F3531" t="str">
        <f>HYPERLINK("https://github.com/ASE-Projekte-WS-2021/ase-ws-21-konferenzassistent/issues/138", "show")</f>
        <v>show</v>
      </c>
      <c r="G3531" t="str">
        <f>HYPERLINK("https://github.com/ASE-Projekte-WS-2021/ase-ws-21-konferenzassistent", "show")</f>
        <v>show</v>
      </c>
      <c r="H3531" t="str">
        <f>HYPERLINK("https://github.com/ASE-Projekte-WS-2021/ase-ws-21-konferenzassistent/releases", "show")</f>
        <v>show</v>
      </c>
      <c r="I3531">
        <v>0</v>
      </c>
      <c r="J3531">
        <v>0</v>
      </c>
      <c r="K3531">
        <v>1</v>
      </c>
      <c r="L3531">
        <v>1</v>
      </c>
      <c r="M3531" t="s">
        <v>351</v>
      </c>
    </row>
    <row r="3532" spans="1:13" hidden="1" x14ac:dyDescent="0.15">
      <c r="A3532" t="s">
        <v>11171</v>
      </c>
      <c r="B3532" t="s">
        <v>11172</v>
      </c>
      <c r="C3532" t="s">
        <v>11173</v>
      </c>
      <c r="D3532" t="s">
        <v>11163</v>
      </c>
      <c r="E3532">
        <v>0</v>
      </c>
      <c r="F3532" t="str">
        <f>HYPERLINK("https://github.com/nextcloud/android/issues/9990", "show")</f>
        <v>show</v>
      </c>
      <c r="G3532" t="str">
        <f>HYPERLINK("https://github.com/nextcloud/android", "show")</f>
        <v>show</v>
      </c>
      <c r="H3532" t="str">
        <f>HYPERLINK("https://github.com/nextcloud/android/releases", "show")</f>
        <v>show</v>
      </c>
      <c r="I3532">
        <v>0</v>
      </c>
      <c r="J3532">
        <v>0</v>
      </c>
      <c r="K3532">
        <v>1</v>
      </c>
      <c r="L3532">
        <v>0</v>
      </c>
      <c r="M3532" t="s">
        <v>122</v>
      </c>
    </row>
    <row r="3533" spans="1:13" hidden="1" x14ac:dyDescent="0.15">
      <c r="A3533" t="s">
        <v>11174</v>
      </c>
      <c r="B3533" t="s">
        <v>11175</v>
      </c>
      <c r="C3533" t="s">
        <v>11176</v>
      </c>
      <c r="D3533" t="s">
        <v>11177</v>
      </c>
      <c r="E3533">
        <v>2</v>
      </c>
      <c r="F3533" t="str">
        <f>HYPERLINK("https://github.com/PojavLauncherTeam/PojavLauncher/issues/2934", "show")</f>
        <v>show</v>
      </c>
      <c r="G3533" t="str">
        <f>HYPERLINK("https://github.com/PojavLauncherTeam/PojavLauncher", "show")</f>
        <v>show</v>
      </c>
      <c r="H3533" t="str">
        <f>HYPERLINK("https://github.com/PojavLauncherTeam/PojavLauncher/releases", "show")</f>
        <v>show</v>
      </c>
      <c r="I3533">
        <v>1</v>
      </c>
      <c r="J3533">
        <v>0</v>
      </c>
      <c r="K3533">
        <v>0</v>
      </c>
      <c r="L3533">
        <v>0</v>
      </c>
      <c r="M3533" t="s">
        <v>17</v>
      </c>
    </row>
    <row r="3534" spans="1:13" hidden="1" x14ac:dyDescent="0.15">
      <c r="A3534" t="s">
        <v>11178</v>
      </c>
      <c r="B3534" t="s">
        <v>11179</v>
      </c>
      <c r="C3534" t="s">
        <v>11180</v>
      </c>
      <c r="D3534" t="s">
        <v>11177</v>
      </c>
      <c r="E3534">
        <v>0</v>
      </c>
      <c r="F3534" t="str">
        <f>HYPERLINK("https://github.com/ankidroid/Anki-Android/issues/10584", "show")</f>
        <v>show</v>
      </c>
      <c r="G3534" t="str">
        <f>HYPERLINK("https://github.com/ankidroid/Anki-Android", "show")</f>
        <v>show</v>
      </c>
      <c r="H3534" t="str">
        <f>HYPERLINK("https://github.com/ankidroid/Anki-Android/releases", "show")</f>
        <v>show</v>
      </c>
      <c r="I3534">
        <v>1</v>
      </c>
      <c r="J3534">
        <v>1</v>
      </c>
      <c r="K3534">
        <v>0</v>
      </c>
      <c r="L3534">
        <v>1</v>
      </c>
      <c r="M3534" t="s">
        <v>1894</v>
      </c>
    </row>
    <row r="3535" spans="1:13" hidden="1" x14ac:dyDescent="0.15">
      <c r="A3535" t="s">
        <v>11181</v>
      </c>
      <c r="B3535" t="s">
        <v>11182</v>
      </c>
      <c r="C3535" t="s">
        <v>11183</v>
      </c>
      <c r="D3535" t="s">
        <v>11184</v>
      </c>
      <c r="E3535">
        <v>10</v>
      </c>
      <c r="F3535" t="str">
        <f>HYPERLINK("https://github.com/androidx/constraintlayout/issues/546", "show")</f>
        <v>show</v>
      </c>
      <c r="G3535" t="str">
        <f>HYPERLINK("https://github.com/androidx/constraintlayout", "show")</f>
        <v>show</v>
      </c>
      <c r="H3535" t="str">
        <f>HYPERLINK("https://github.com/androidx/constraintlayout/releases", "show")</f>
        <v>show</v>
      </c>
      <c r="I3535">
        <v>1</v>
      </c>
      <c r="J3535">
        <v>0</v>
      </c>
      <c r="K3535">
        <v>1</v>
      </c>
      <c r="L3535">
        <v>0</v>
      </c>
      <c r="M3535" t="s">
        <v>64</v>
      </c>
    </row>
    <row r="3536" spans="1:13" hidden="1" x14ac:dyDescent="0.15">
      <c r="A3536" t="s">
        <v>11185</v>
      </c>
      <c r="B3536" t="s">
        <v>11186</v>
      </c>
      <c r="C3536" t="s">
        <v>11187</v>
      </c>
      <c r="D3536" t="s">
        <v>11184</v>
      </c>
      <c r="E3536">
        <v>1</v>
      </c>
      <c r="F3536" t="str">
        <f>HYPERLINK("https://github.com/Rosemoe/sora-editor/issues/158", "show")</f>
        <v>show</v>
      </c>
      <c r="G3536" t="str">
        <f>HYPERLINK("https://github.com/Rosemoe/sora-editor", "show")</f>
        <v>show</v>
      </c>
      <c r="H3536" t="str">
        <f>HYPERLINK("https://github.com/Rosemoe/sora-editor/releases", "show")</f>
        <v>show</v>
      </c>
      <c r="I3536">
        <v>0</v>
      </c>
      <c r="J3536">
        <v>0</v>
      </c>
      <c r="K3536">
        <v>1</v>
      </c>
      <c r="L3536">
        <v>0</v>
      </c>
      <c r="M3536" t="s">
        <v>122</v>
      </c>
    </row>
    <row r="3537" spans="1:13" hidden="1" x14ac:dyDescent="0.15">
      <c r="A3537" t="s">
        <v>11188</v>
      </c>
      <c r="B3537" t="s">
        <v>11189</v>
      </c>
      <c r="C3537" t="s">
        <v>11190</v>
      </c>
      <c r="D3537" t="s">
        <v>11191</v>
      </c>
      <c r="E3537">
        <v>0</v>
      </c>
      <c r="F3537" t="str">
        <f>HYPERLINK("https://github.com/Anuken/Mindustry/issues/6645", "show")</f>
        <v>show</v>
      </c>
      <c r="G3537" t="str">
        <f>HYPERLINK("https://github.com/Anuken/Mindustry", "show")</f>
        <v>show</v>
      </c>
      <c r="H3537" t="str">
        <f>HYPERLINK("https://github.com/Anuken/Mindustry/releases", "show")</f>
        <v>show</v>
      </c>
      <c r="I3537">
        <v>1</v>
      </c>
      <c r="J3537">
        <v>1</v>
      </c>
      <c r="K3537">
        <v>0</v>
      </c>
      <c r="L3537">
        <v>0</v>
      </c>
      <c r="M3537" t="s">
        <v>48</v>
      </c>
    </row>
    <row r="3538" spans="1:13" hidden="1" x14ac:dyDescent="0.15">
      <c r="A3538" t="s">
        <v>11192</v>
      </c>
      <c r="B3538" t="s">
        <v>11193</v>
      </c>
      <c r="C3538" t="s">
        <v>11194</v>
      </c>
      <c r="D3538" t="s">
        <v>11191</v>
      </c>
      <c r="E3538">
        <v>32</v>
      </c>
      <c r="F3538" t="str">
        <f>HYPERLINK("https://github.com/Rapsssito/react-native-tcp-socket/issues/145", "show")</f>
        <v>show</v>
      </c>
      <c r="G3538" t="str">
        <f>HYPERLINK("https://github.com/Rapsssito/react-native-tcp-socket", "show")</f>
        <v>show</v>
      </c>
      <c r="H3538" t="str">
        <f>HYPERLINK("https://github.com/Rapsssito/react-native-tcp-socket/releases", "show")</f>
        <v>show</v>
      </c>
      <c r="I3538">
        <v>0</v>
      </c>
      <c r="J3538">
        <v>0</v>
      </c>
      <c r="K3538">
        <v>1</v>
      </c>
      <c r="L3538">
        <v>0</v>
      </c>
      <c r="M3538" t="s">
        <v>122</v>
      </c>
    </row>
    <row r="3539" spans="1:13" hidden="1" x14ac:dyDescent="0.15">
      <c r="A3539" t="s">
        <v>11195</v>
      </c>
      <c r="B3539" t="s">
        <v>11196</v>
      </c>
      <c r="C3539" t="s">
        <v>11197</v>
      </c>
      <c r="D3539" t="s">
        <v>11191</v>
      </c>
      <c r="E3539">
        <v>8</v>
      </c>
      <c r="F3539" t="str">
        <f>HYPERLINK("https://github.com/dedis/popstellar/issues/881", "show")</f>
        <v>show</v>
      </c>
      <c r="G3539" t="str">
        <f>HYPERLINK("https://github.com/dedis/popstellar", "show")</f>
        <v>show</v>
      </c>
      <c r="H3539" t="str">
        <f>HYPERLINK("https://github.com/dedis/popstellar/releases", "show")</f>
        <v>show</v>
      </c>
      <c r="I3539">
        <v>1</v>
      </c>
      <c r="J3539">
        <v>1</v>
      </c>
      <c r="K3539">
        <v>0</v>
      </c>
      <c r="L3539">
        <v>0</v>
      </c>
      <c r="M3539" t="s">
        <v>48</v>
      </c>
    </row>
    <row r="3540" spans="1:13" hidden="1" x14ac:dyDescent="0.15">
      <c r="A3540" t="s">
        <v>11198</v>
      </c>
      <c r="B3540" t="s">
        <v>11199</v>
      </c>
      <c r="C3540" t="s">
        <v>11200</v>
      </c>
      <c r="D3540" t="s">
        <v>11191</v>
      </c>
      <c r="E3540">
        <v>3</v>
      </c>
      <c r="F3540" t="str">
        <f>HYPERLINK("https://github.com/TeamNewPipe/NewPipe/issues/8060", "show")</f>
        <v>show</v>
      </c>
      <c r="G3540" t="str">
        <f>HYPERLINK("https://github.com/TeamNewPipe/NewPipe", "show")</f>
        <v>show</v>
      </c>
      <c r="H3540" t="str">
        <f>HYPERLINK("https://github.com/TeamNewPipe/NewPipe/releases", "show")</f>
        <v>show</v>
      </c>
      <c r="I3540">
        <v>0</v>
      </c>
      <c r="J3540">
        <v>1</v>
      </c>
      <c r="K3540">
        <v>1</v>
      </c>
      <c r="L3540">
        <v>0</v>
      </c>
      <c r="M3540" t="s">
        <v>699</v>
      </c>
    </row>
    <row r="3541" spans="1:13" hidden="1" x14ac:dyDescent="0.15">
      <c r="A3541" t="s">
        <v>11201</v>
      </c>
      <c r="B3541" t="s">
        <v>11202</v>
      </c>
      <c r="C3541" t="s">
        <v>11203</v>
      </c>
      <c r="D3541" t="s">
        <v>11191</v>
      </c>
      <c r="E3541">
        <v>3</v>
      </c>
      <c r="F3541" t="str">
        <f>HYPERLINK("https://github.com/itsaky/AndroidIDE/issues/126", "show")</f>
        <v>show</v>
      </c>
      <c r="G3541" t="str">
        <f>HYPERLINK("https://github.com/itsaky/AndroidIDE", "show")</f>
        <v>show</v>
      </c>
      <c r="H3541" t="str">
        <f>HYPERLINK("https://github.com/itsaky/AndroidIDE/releases", "show")</f>
        <v>show</v>
      </c>
      <c r="I3541">
        <v>0</v>
      </c>
      <c r="J3541">
        <v>0</v>
      </c>
      <c r="K3541">
        <v>1</v>
      </c>
      <c r="L3541">
        <v>0</v>
      </c>
      <c r="M3541" t="s">
        <v>122</v>
      </c>
    </row>
    <row r="3542" spans="1:13" hidden="1" x14ac:dyDescent="0.15">
      <c r="A3542" t="s">
        <v>11204</v>
      </c>
      <c r="B3542" t="s">
        <v>11205</v>
      </c>
      <c r="C3542" t="s">
        <v>11206</v>
      </c>
      <c r="D3542" t="s">
        <v>11207</v>
      </c>
      <c r="E3542">
        <v>0</v>
      </c>
      <c r="F3542" t="str">
        <f>HYPERLINK("https://github.com/TeamNewPipe/NewPipe/issues/8054", "show")</f>
        <v>show</v>
      </c>
      <c r="G3542" t="str">
        <f>HYPERLINK("https://github.com/TeamNewPipe/NewPipe", "show")</f>
        <v>show</v>
      </c>
      <c r="H3542" t="str">
        <f>HYPERLINK("https://github.com/TeamNewPipe/NewPipe/releases", "show")</f>
        <v>show</v>
      </c>
      <c r="I3542">
        <v>0</v>
      </c>
      <c r="J3542">
        <v>1</v>
      </c>
      <c r="K3542">
        <v>1</v>
      </c>
      <c r="L3542">
        <v>0</v>
      </c>
      <c r="M3542" t="s">
        <v>699</v>
      </c>
    </row>
    <row r="3543" spans="1:13" hidden="1" x14ac:dyDescent="0.15">
      <c r="A3543" t="s">
        <v>11208</v>
      </c>
      <c r="B3543" t="s">
        <v>11209</v>
      </c>
      <c r="C3543" t="s">
        <v>10930</v>
      </c>
      <c r="D3543" t="s">
        <v>11207</v>
      </c>
      <c r="E3543">
        <v>13</v>
      </c>
      <c r="F3543" t="str">
        <f>HYPERLINK("https://github.com/itsaky/AndroidIDE/issues/124", "show")</f>
        <v>show</v>
      </c>
      <c r="G3543" t="str">
        <f>HYPERLINK("https://github.com/itsaky/AndroidIDE", "show")</f>
        <v>show</v>
      </c>
      <c r="H3543" t="str">
        <f>HYPERLINK("https://github.com/itsaky/AndroidIDE/releases", "show")</f>
        <v>show</v>
      </c>
      <c r="I3543">
        <v>0</v>
      </c>
      <c r="J3543">
        <v>0</v>
      </c>
      <c r="K3543">
        <v>1</v>
      </c>
      <c r="L3543">
        <v>0</v>
      </c>
      <c r="M3543" t="s">
        <v>122</v>
      </c>
    </row>
    <row r="3544" spans="1:13" hidden="1" x14ac:dyDescent="0.15">
      <c r="A3544" t="s">
        <v>11210</v>
      </c>
      <c r="B3544" t="s">
        <v>11211</v>
      </c>
      <c r="C3544" t="s">
        <v>11212</v>
      </c>
      <c r="D3544" t="s">
        <v>11207</v>
      </c>
      <c r="E3544">
        <v>2</v>
      </c>
      <c r="F3544" t="str">
        <f>HYPERLINK("https://github.com/Azure/azure-iot-sdk-java/issues/1492", "show")</f>
        <v>show</v>
      </c>
      <c r="G3544" t="str">
        <f>HYPERLINK("https://github.com/Azure/azure-iot-sdk-java", "show")</f>
        <v>show</v>
      </c>
      <c r="H3544" t="str">
        <f>HYPERLINK("https://github.com/Azure/azure-iot-sdk-java/releases", "show")</f>
        <v>show</v>
      </c>
      <c r="I3544">
        <v>0</v>
      </c>
      <c r="J3544">
        <v>0</v>
      </c>
      <c r="K3544">
        <v>1</v>
      </c>
      <c r="L3544">
        <v>0</v>
      </c>
      <c r="M3544" t="s">
        <v>122</v>
      </c>
    </row>
    <row r="3545" spans="1:13" hidden="1" x14ac:dyDescent="0.15">
      <c r="A3545" t="s">
        <v>11213</v>
      </c>
      <c r="B3545" t="s">
        <v>11214</v>
      </c>
      <c r="C3545" t="s">
        <v>11215</v>
      </c>
      <c r="D3545" t="s">
        <v>11207</v>
      </c>
      <c r="E3545">
        <v>6</v>
      </c>
      <c r="F3545" t="str">
        <f>HYPERLINK("https://github.com/ankidroid/Anki-Android/issues/10545", "show")</f>
        <v>show</v>
      </c>
      <c r="G3545" t="str">
        <f>HYPERLINK("https://github.com/ankidroid/Anki-Android", "show")</f>
        <v>show</v>
      </c>
      <c r="H3545" t="str">
        <f>HYPERLINK("https://github.com/ankidroid/Anki-Android/releases", "show")</f>
        <v>show</v>
      </c>
      <c r="I3545">
        <v>1</v>
      </c>
      <c r="J3545">
        <v>1</v>
      </c>
      <c r="K3545">
        <v>0</v>
      </c>
      <c r="L3545">
        <v>0</v>
      </c>
      <c r="M3545" t="s">
        <v>48</v>
      </c>
    </row>
    <row r="3546" spans="1:13" hidden="1" x14ac:dyDescent="0.15">
      <c r="A3546" t="s">
        <v>11216</v>
      </c>
      <c r="B3546" t="s">
        <v>11217</v>
      </c>
      <c r="C3546" t="s">
        <v>11218</v>
      </c>
      <c r="D3546" t="s">
        <v>11219</v>
      </c>
      <c r="E3546">
        <v>0</v>
      </c>
      <c r="F3546" t="str">
        <f>HYPERLINK("https://github.com/androidx/media/issues/54", "show")</f>
        <v>show</v>
      </c>
      <c r="G3546" t="str">
        <f>HYPERLINK("https://github.com/androidx/media", "show")</f>
        <v>show</v>
      </c>
      <c r="H3546" t="str">
        <f>HYPERLINK("https://github.com/androidx/media/releases", "show")</f>
        <v>show</v>
      </c>
      <c r="I3546">
        <v>1</v>
      </c>
      <c r="J3546">
        <v>0</v>
      </c>
      <c r="K3546">
        <v>1</v>
      </c>
      <c r="L3546">
        <v>0</v>
      </c>
      <c r="M3546" t="s">
        <v>64</v>
      </c>
    </row>
    <row r="3547" spans="1:13" hidden="1" x14ac:dyDescent="0.15">
      <c r="A3547" t="s">
        <v>11220</v>
      </c>
      <c r="B3547" t="s">
        <v>11221</v>
      </c>
      <c r="C3547" t="s">
        <v>11222</v>
      </c>
      <c r="D3547" t="s">
        <v>11219</v>
      </c>
      <c r="E3547">
        <v>0</v>
      </c>
      <c r="F3547" t="str">
        <f>HYPERLINK("https://github.com/CMPUT301W22T02/explQRer/issues/67", "show")</f>
        <v>show</v>
      </c>
      <c r="G3547" t="str">
        <f>HYPERLINK("https://github.com/CMPUT301W22T02/explQRer", "show")</f>
        <v>show</v>
      </c>
      <c r="H3547" t="str">
        <f>HYPERLINK("https://github.com/CMPUT301W22T02/explQRer/releases", "show")</f>
        <v>show</v>
      </c>
      <c r="I3547">
        <v>1</v>
      </c>
      <c r="J3547">
        <v>0</v>
      </c>
      <c r="K3547">
        <v>0</v>
      </c>
      <c r="L3547">
        <v>0</v>
      </c>
      <c r="M3547" t="s">
        <v>17</v>
      </c>
    </row>
    <row r="3548" spans="1:13" hidden="1" x14ac:dyDescent="0.15">
      <c r="A3548" t="s">
        <v>11223</v>
      </c>
      <c r="B3548" t="s">
        <v>11224</v>
      </c>
      <c r="C3548" t="s">
        <v>11225</v>
      </c>
      <c r="D3548" t="s">
        <v>11219</v>
      </c>
      <c r="E3548">
        <v>1</v>
      </c>
      <c r="F3548" t="str">
        <f>HYPERLINK("https://github.com/jellyfin/jellyfin-androidtv/issues/1526", "show")</f>
        <v>show</v>
      </c>
      <c r="G3548" t="str">
        <f>HYPERLINK("https://github.com/jellyfin/jellyfin-androidtv", "show")</f>
        <v>show</v>
      </c>
      <c r="H3548" t="str">
        <f>HYPERLINK("https://github.com/jellyfin/jellyfin-androidtv/releases", "show")</f>
        <v>show</v>
      </c>
      <c r="I3548">
        <v>0</v>
      </c>
      <c r="J3548">
        <v>0</v>
      </c>
      <c r="K3548">
        <v>0</v>
      </c>
      <c r="L3548">
        <v>0</v>
      </c>
      <c r="M3548" t="s">
        <v>43</v>
      </c>
    </row>
    <row r="3549" spans="1:13" hidden="1" x14ac:dyDescent="0.15">
      <c r="A3549" t="s">
        <v>11226</v>
      </c>
      <c r="B3549" t="s">
        <v>11227</v>
      </c>
      <c r="C3549" t="s">
        <v>11228</v>
      </c>
      <c r="D3549" t="s">
        <v>11219</v>
      </c>
      <c r="E3549">
        <v>0</v>
      </c>
      <c r="F3549" t="str">
        <f>HYPERLINK("https://github.com/CMPUT301W22T02/explQRer/issues/66", "show")</f>
        <v>show</v>
      </c>
      <c r="G3549" t="str">
        <f>HYPERLINK("https://github.com/CMPUT301W22T02/explQRer", "show")</f>
        <v>show</v>
      </c>
      <c r="H3549" t="str">
        <f>HYPERLINK("https://github.com/CMPUT301W22T02/explQRer/releases", "show")</f>
        <v>show</v>
      </c>
      <c r="I3549">
        <v>1</v>
      </c>
      <c r="J3549">
        <v>0</v>
      </c>
      <c r="K3549">
        <v>0</v>
      </c>
      <c r="L3549">
        <v>0</v>
      </c>
      <c r="M3549" t="s">
        <v>17</v>
      </c>
    </row>
    <row r="3550" spans="1:13" hidden="1" x14ac:dyDescent="0.15">
      <c r="A3550" t="s">
        <v>11229</v>
      </c>
      <c r="B3550" t="s">
        <v>11230</v>
      </c>
      <c r="C3550" t="s">
        <v>11231</v>
      </c>
      <c r="D3550" t="s">
        <v>11219</v>
      </c>
      <c r="E3550">
        <v>0</v>
      </c>
      <c r="F3550" t="str">
        <f>HYPERLINK("https://github.com/TeamNewPipe/NewPipe/issues/8040", "show")</f>
        <v>show</v>
      </c>
      <c r="G3550" t="str">
        <f>HYPERLINK("https://github.com/TeamNewPipe/NewPipe", "show")</f>
        <v>show</v>
      </c>
      <c r="H3550" t="str">
        <f>HYPERLINK("https://github.com/TeamNewPipe/NewPipe/releases", "show")</f>
        <v>show</v>
      </c>
      <c r="I3550">
        <v>0</v>
      </c>
      <c r="J3550">
        <v>1</v>
      </c>
      <c r="K3550">
        <v>1</v>
      </c>
      <c r="L3550">
        <v>0</v>
      </c>
      <c r="M3550" t="s">
        <v>699</v>
      </c>
    </row>
    <row r="3551" spans="1:13" hidden="1" x14ac:dyDescent="0.15">
      <c r="A3551" t="s">
        <v>11232</v>
      </c>
      <c r="B3551" t="s">
        <v>11233</v>
      </c>
      <c r="C3551" t="s">
        <v>11234</v>
      </c>
      <c r="D3551" t="s">
        <v>11235</v>
      </c>
      <c r="E3551">
        <v>1</v>
      </c>
      <c r="F3551" t="str">
        <f>HYPERLINK("https://github.com/CMPUT301W22T02/explQRer/issues/65", "show")</f>
        <v>show</v>
      </c>
      <c r="G3551" t="str">
        <f>HYPERLINK("https://github.com/CMPUT301W22T02/explQRer", "show")</f>
        <v>show</v>
      </c>
      <c r="H3551" t="str">
        <f>HYPERLINK("https://github.com/CMPUT301W22T02/explQRer/releases", "show")</f>
        <v>show</v>
      </c>
      <c r="I3551">
        <v>1</v>
      </c>
      <c r="J3551">
        <v>0</v>
      </c>
      <c r="K3551">
        <v>0</v>
      </c>
      <c r="L3551">
        <v>0</v>
      </c>
      <c r="M3551" t="s">
        <v>17</v>
      </c>
    </row>
    <row r="3552" spans="1:13" hidden="1" x14ac:dyDescent="0.15">
      <c r="A3552" t="s">
        <v>11236</v>
      </c>
      <c r="B3552" t="s">
        <v>11237</v>
      </c>
      <c r="D3552" t="s">
        <v>11235</v>
      </c>
      <c r="E3552">
        <v>11</v>
      </c>
      <c r="F3552" t="str">
        <f>HYPERLINK("https://github.com/mI-PIV/app/issues/271", "show")</f>
        <v>show</v>
      </c>
      <c r="G3552" t="str">
        <f>HYPERLINK("https://github.com/mI-PIV/app", "show")</f>
        <v>show</v>
      </c>
      <c r="H3552" t="str">
        <f>HYPERLINK("https://github.com/mI-PIV/app/releases", "show")</f>
        <v>show</v>
      </c>
      <c r="I3552">
        <v>1</v>
      </c>
      <c r="J3552">
        <v>0</v>
      </c>
      <c r="K3552">
        <v>0</v>
      </c>
      <c r="L3552">
        <v>0</v>
      </c>
      <c r="M3552" t="s">
        <v>17</v>
      </c>
    </row>
    <row r="3553" spans="1:13" hidden="1" x14ac:dyDescent="0.15">
      <c r="A3553" t="s">
        <v>11238</v>
      </c>
      <c r="B3553" t="s">
        <v>11239</v>
      </c>
      <c r="C3553" t="s">
        <v>11240</v>
      </c>
      <c r="D3553" t="s">
        <v>11235</v>
      </c>
      <c r="E3553">
        <v>33</v>
      </c>
      <c r="F3553" t="str">
        <f>HYPERLINK("https://github.com/SkyTubeTeam/SkyTube/issues/1033", "show")</f>
        <v>show</v>
      </c>
      <c r="G3553" t="str">
        <f>HYPERLINK("https://github.com/SkyTubeTeam/SkyTube", "show")</f>
        <v>show</v>
      </c>
      <c r="H3553" t="str">
        <f>HYPERLINK("https://github.com/SkyTubeTeam/SkyTube/releases", "show")</f>
        <v>show</v>
      </c>
      <c r="I3553">
        <v>1</v>
      </c>
      <c r="J3553">
        <v>0</v>
      </c>
      <c r="K3553">
        <v>0</v>
      </c>
      <c r="L3553">
        <v>0</v>
      </c>
      <c r="M3553" t="s">
        <v>17</v>
      </c>
    </row>
    <row r="3554" spans="1:13" hidden="1" x14ac:dyDescent="0.15">
      <c r="A3554" t="s">
        <v>11241</v>
      </c>
      <c r="B3554" t="s">
        <v>11242</v>
      </c>
      <c r="C3554" t="s">
        <v>11243</v>
      </c>
      <c r="D3554" t="s">
        <v>11235</v>
      </c>
      <c r="E3554">
        <v>0</v>
      </c>
      <c r="F3554" t="str">
        <f>HYPERLINK("https://github.com/MuntashirAkon/AppManager/issues/705", "show")</f>
        <v>show</v>
      </c>
      <c r="G3554" t="str">
        <f>HYPERLINK("https://github.com/MuntashirAkon/AppManager", "show")</f>
        <v>show</v>
      </c>
      <c r="H3554" t="str">
        <f>HYPERLINK("https://github.com/MuntashirAkon/AppManager/releases", "show")</f>
        <v>show</v>
      </c>
      <c r="I3554">
        <v>0</v>
      </c>
      <c r="J3554">
        <v>1</v>
      </c>
      <c r="K3554">
        <v>1</v>
      </c>
      <c r="L3554">
        <v>0</v>
      </c>
      <c r="M3554" t="s">
        <v>699</v>
      </c>
    </row>
    <row r="3555" spans="1:13" hidden="1" x14ac:dyDescent="0.15">
      <c r="A3555" t="s">
        <v>11244</v>
      </c>
      <c r="B3555" t="s">
        <v>11245</v>
      </c>
      <c r="C3555" t="s">
        <v>11246</v>
      </c>
      <c r="D3555" t="s">
        <v>11235</v>
      </c>
      <c r="E3555">
        <v>41</v>
      </c>
      <c r="F3555" t="str">
        <f>HYPERLINK("https://github.com/OpenTracksApp/OpenTracks/issues/1156", "show")</f>
        <v>show</v>
      </c>
      <c r="G3555" t="str">
        <f>HYPERLINK("https://github.com/OpenTracksApp/OpenTracks", "show")</f>
        <v>show</v>
      </c>
      <c r="H3555" t="str">
        <f>HYPERLINK("https://github.com/OpenTracksApp/OpenTracks/releases", "show")</f>
        <v>show</v>
      </c>
      <c r="I3555">
        <v>1</v>
      </c>
      <c r="J3555">
        <v>1</v>
      </c>
      <c r="K3555">
        <v>0</v>
      </c>
      <c r="L3555">
        <v>0</v>
      </c>
      <c r="M3555" t="s">
        <v>48</v>
      </c>
    </row>
    <row r="3556" spans="1:13" hidden="1" x14ac:dyDescent="0.15">
      <c r="A3556" t="s">
        <v>11247</v>
      </c>
      <c r="B3556" t="s">
        <v>11248</v>
      </c>
      <c r="C3556" t="s">
        <v>11249</v>
      </c>
      <c r="D3556" t="s">
        <v>11235</v>
      </c>
      <c r="E3556">
        <v>0</v>
      </c>
      <c r="F3556" t="str">
        <f>HYPERLINK("https://github.com/PojavLauncherTeam/PojavLauncher/issues/2896", "show")</f>
        <v>show</v>
      </c>
      <c r="G3556" t="str">
        <f>HYPERLINK("https://github.com/PojavLauncherTeam/PojavLauncher", "show")</f>
        <v>show</v>
      </c>
      <c r="H3556" t="str">
        <f>HYPERLINK("https://github.com/PojavLauncherTeam/PojavLauncher/releases", "show")</f>
        <v>show</v>
      </c>
      <c r="I3556">
        <v>1</v>
      </c>
      <c r="J3556">
        <v>1</v>
      </c>
      <c r="K3556">
        <v>1</v>
      </c>
      <c r="L3556">
        <v>0</v>
      </c>
      <c r="M3556" t="s">
        <v>59</v>
      </c>
    </row>
    <row r="3557" spans="1:13" hidden="1" x14ac:dyDescent="0.15">
      <c r="A3557" t="s">
        <v>11250</v>
      </c>
      <c r="B3557" t="s">
        <v>11251</v>
      </c>
      <c r="C3557" t="s">
        <v>11252</v>
      </c>
      <c r="D3557" t="s">
        <v>11235</v>
      </c>
      <c r="E3557">
        <v>0</v>
      </c>
      <c r="F3557" t="str">
        <f>HYPERLINK("https://github.com/PojavLauncherTeam/PojavLauncher/issues/2895", "show")</f>
        <v>show</v>
      </c>
      <c r="G3557" t="str">
        <f>HYPERLINK("https://github.com/PojavLauncherTeam/PojavLauncher", "show")</f>
        <v>show</v>
      </c>
      <c r="H3557" t="str">
        <f>HYPERLINK("https://github.com/PojavLauncherTeam/PojavLauncher/releases", "show")</f>
        <v>show</v>
      </c>
      <c r="I3557">
        <v>1</v>
      </c>
      <c r="J3557">
        <v>1</v>
      </c>
      <c r="K3557">
        <v>0</v>
      </c>
      <c r="L3557">
        <v>1</v>
      </c>
      <c r="M3557" t="s">
        <v>1894</v>
      </c>
    </row>
    <row r="3558" spans="1:13" hidden="1" x14ac:dyDescent="0.15">
      <c r="A3558" t="s">
        <v>11253</v>
      </c>
      <c r="B3558" t="s">
        <v>11254</v>
      </c>
      <c r="C3558" t="s">
        <v>11255</v>
      </c>
      <c r="D3558" t="s">
        <v>11235</v>
      </c>
      <c r="E3558">
        <v>1</v>
      </c>
      <c r="F3558" t="str">
        <f>HYPERLINK("https://github.com/nextcloud/android/issues/9962", "show")</f>
        <v>show</v>
      </c>
      <c r="G3558" t="str">
        <f>HYPERLINK("https://github.com/nextcloud/android", "show")</f>
        <v>show</v>
      </c>
      <c r="H3558" t="str">
        <f>HYPERLINK("https://github.com/nextcloud/android/releases", "show")</f>
        <v>show</v>
      </c>
      <c r="I3558">
        <v>0</v>
      </c>
      <c r="J3558">
        <v>0</v>
      </c>
      <c r="K3558">
        <v>1</v>
      </c>
      <c r="L3558">
        <v>0</v>
      </c>
      <c r="M3558" t="s">
        <v>122</v>
      </c>
    </row>
    <row r="3559" spans="1:13" hidden="1" x14ac:dyDescent="0.15">
      <c r="A3559" t="s">
        <v>11256</v>
      </c>
      <c r="B3559" t="s">
        <v>11257</v>
      </c>
      <c r="C3559" t="s">
        <v>11258</v>
      </c>
      <c r="D3559" t="s">
        <v>11259</v>
      </c>
      <c r="E3559">
        <v>11</v>
      </c>
      <c r="F3559" t="str">
        <f>HYPERLINK("https://github.com/OpenSeizureDetector/Android_Pebble_SD/issues/48", "show")</f>
        <v>show</v>
      </c>
      <c r="G3559" t="str">
        <f>HYPERLINK("https://github.com/OpenSeizureDetector/Android_Pebble_SD", "show")</f>
        <v>show</v>
      </c>
      <c r="H3559" t="str">
        <f>HYPERLINK("https://github.com/OpenSeizureDetector/Android_Pebble_SD/releases", "show")</f>
        <v>show</v>
      </c>
      <c r="I3559">
        <v>1</v>
      </c>
      <c r="J3559">
        <v>0</v>
      </c>
      <c r="K3559">
        <v>0</v>
      </c>
      <c r="L3559">
        <v>0</v>
      </c>
      <c r="M3559" t="s">
        <v>17</v>
      </c>
    </row>
    <row r="3560" spans="1:13" hidden="1" x14ac:dyDescent="0.15">
      <c r="A3560" t="s">
        <v>11260</v>
      </c>
      <c r="B3560" t="s">
        <v>11261</v>
      </c>
      <c r="C3560" t="s">
        <v>11262</v>
      </c>
      <c r="D3560" t="s">
        <v>11259</v>
      </c>
      <c r="E3560">
        <v>1</v>
      </c>
      <c r="F3560" t="str">
        <f>HYPERLINK("https://github.com/TeamNewPipe/NewPipe/issues/8028", "show")</f>
        <v>show</v>
      </c>
      <c r="G3560" t="str">
        <f>HYPERLINK("https://github.com/TeamNewPipe/NewPipe", "show")</f>
        <v>show</v>
      </c>
      <c r="H3560" t="str">
        <f>HYPERLINK("https://github.com/TeamNewPipe/NewPipe/releases", "show")</f>
        <v>show</v>
      </c>
      <c r="I3560">
        <v>1</v>
      </c>
      <c r="J3560">
        <v>0</v>
      </c>
      <c r="K3560">
        <v>1</v>
      </c>
      <c r="L3560">
        <v>0</v>
      </c>
      <c r="M3560" t="s">
        <v>64</v>
      </c>
    </row>
    <row r="3561" spans="1:13" hidden="1" x14ac:dyDescent="0.15">
      <c r="A3561" t="s">
        <v>11263</v>
      </c>
      <c r="B3561" t="s">
        <v>11264</v>
      </c>
      <c r="C3561" t="s">
        <v>11265</v>
      </c>
      <c r="D3561" t="s">
        <v>11259</v>
      </c>
      <c r="E3561">
        <v>36</v>
      </c>
      <c r="F3561" t="str">
        <f>HYPERLINK("https://github.com/nextcloud/android/issues/9961", "show")</f>
        <v>show</v>
      </c>
      <c r="G3561" t="str">
        <f>HYPERLINK("https://github.com/nextcloud/android", "show")</f>
        <v>show</v>
      </c>
      <c r="H3561" t="str">
        <f>HYPERLINK("https://github.com/nextcloud/android/releases", "show")</f>
        <v>show</v>
      </c>
      <c r="I3561">
        <v>1</v>
      </c>
      <c r="J3561">
        <v>1</v>
      </c>
      <c r="K3561">
        <v>1</v>
      </c>
      <c r="L3561">
        <v>0</v>
      </c>
      <c r="M3561" t="s">
        <v>59</v>
      </c>
    </row>
    <row r="3562" spans="1:13" hidden="1" x14ac:dyDescent="0.15">
      <c r="A3562" t="s">
        <v>11266</v>
      </c>
      <c r="B3562" t="s">
        <v>11267</v>
      </c>
      <c r="C3562" t="s">
        <v>11268</v>
      </c>
      <c r="D3562" t="s">
        <v>11259</v>
      </c>
      <c r="E3562">
        <v>1</v>
      </c>
      <c r="F3562" t="str">
        <f>HYPERLINK("https://github.com/MuntashirAkon/AppManager/issues/702", "show")</f>
        <v>show</v>
      </c>
      <c r="G3562" t="str">
        <f>HYPERLINK("https://github.com/MuntashirAkon/AppManager", "show")</f>
        <v>show</v>
      </c>
      <c r="H3562" t="str">
        <f>HYPERLINK("https://github.com/MuntashirAkon/AppManager/releases", "show")</f>
        <v>show</v>
      </c>
      <c r="I3562">
        <v>0</v>
      </c>
      <c r="J3562">
        <v>0</v>
      </c>
      <c r="K3562">
        <v>1</v>
      </c>
      <c r="L3562">
        <v>0</v>
      </c>
      <c r="M3562" t="s">
        <v>122</v>
      </c>
    </row>
    <row r="3563" spans="1:13" hidden="1" x14ac:dyDescent="0.15">
      <c r="A3563" t="s">
        <v>11269</v>
      </c>
      <c r="B3563" t="s">
        <v>11270</v>
      </c>
      <c r="C3563" t="s">
        <v>11271</v>
      </c>
      <c r="D3563" t="s">
        <v>11259</v>
      </c>
      <c r="E3563">
        <v>0</v>
      </c>
      <c r="F3563" t="str">
        <f>HYPERLINK("https://github.com/ASE-Projekte-WS-2021/ase-ws-21-konferenzassistent/issues/60", "show")</f>
        <v>show</v>
      </c>
      <c r="G3563" t="str">
        <f>HYPERLINK("https://github.com/ASE-Projekte-WS-2021/ase-ws-21-konferenzassistent", "show")</f>
        <v>show</v>
      </c>
      <c r="H3563" t="str">
        <f>HYPERLINK("https://github.com/ASE-Projekte-WS-2021/ase-ws-21-konferenzassistent/releases", "show")</f>
        <v>show</v>
      </c>
      <c r="I3563">
        <v>1</v>
      </c>
      <c r="J3563">
        <v>0</v>
      </c>
      <c r="K3563">
        <v>0</v>
      </c>
      <c r="L3563">
        <v>0</v>
      </c>
      <c r="M3563" t="s">
        <v>17</v>
      </c>
    </row>
    <row r="3564" spans="1:13" hidden="1" x14ac:dyDescent="0.15">
      <c r="A3564" t="s">
        <v>11272</v>
      </c>
      <c r="B3564" t="s">
        <v>11273</v>
      </c>
      <c r="C3564" t="s">
        <v>11274</v>
      </c>
      <c r="D3564" t="s">
        <v>11259</v>
      </c>
      <c r="E3564">
        <v>0</v>
      </c>
      <c r="F3564" t="str">
        <f>HYPERLINK("https://github.com/google/ExoPlayer/issues/10060", "show")</f>
        <v>show</v>
      </c>
      <c r="G3564" t="str">
        <f>HYPERLINK("https://github.com/google/ExoPlayer", "show")</f>
        <v>show</v>
      </c>
      <c r="H3564" t="str">
        <f>HYPERLINK("https://github.com/google/ExoPlayer/releases", "show")</f>
        <v>show</v>
      </c>
      <c r="I3564">
        <v>1</v>
      </c>
      <c r="J3564">
        <v>0</v>
      </c>
      <c r="K3564">
        <v>0</v>
      </c>
      <c r="L3564">
        <v>0</v>
      </c>
      <c r="M3564" t="s">
        <v>17</v>
      </c>
    </row>
    <row r="3565" spans="1:13" hidden="1" x14ac:dyDescent="0.15">
      <c r="A3565" t="s">
        <v>11275</v>
      </c>
      <c r="B3565" t="s">
        <v>11276</v>
      </c>
      <c r="C3565" t="s">
        <v>11277</v>
      </c>
      <c r="D3565" t="s">
        <v>11278</v>
      </c>
      <c r="E3565">
        <v>4</v>
      </c>
      <c r="F3565" t="str">
        <f>HYPERLINK("https://github.com/xManager-v2/xManager-Spotify/issues/76", "show")</f>
        <v>show</v>
      </c>
      <c r="G3565" t="str">
        <f>HYPERLINK("https://github.com/xManager-v2/xManager-Spotify", "show")</f>
        <v>show</v>
      </c>
      <c r="H3565" t="str">
        <f>HYPERLINK("https://github.com/xManager-v2/xManager-Spotify/releases", "show")</f>
        <v>show</v>
      </c>
      <c r="I3565">
        <v>1</v>
      </c>
      <c r="J3565">
        <v>0</v>
      </c>
      <c r="K3565">
        <v>0</v>
      </c>
      <c r="L3565">
        <v>1</v>
      </c>
      <c r="M3565" t="s">
        <v>29</v>
      </c>
    </row>
    <row r="3566" spans="1:13" hidden="1" x14ac:dyDescent="0.15">
      <c r="A3566" t="s">
        <v>11279</v>
      </c>
      <c r="B3566" t="s">
        <v>11280</v>
      </c>
      <c r="C3566" t="s">
        <v>11281</v>
      </c>
      <c r="D3566" t="s">
        <v>11278</v>
      </c>
      <c r="E3566">
        <v>14</v>
      </c>
      <c r="F3566" t="str">
        <f>HYPERLINK("https://github.com/PojavLauncherTeam/PojavLauncher/issues/2883", "show")</f>
        <v>show</v>
      </c>
      <c r="G3566" t="str">
        <f>HYPERLINK("https://github.com/PojavLauncherTeam/PojavLauncher", "show")</f>
        <v>show</v>
      </c>
      <c r="H3566" t="str">
        <f>HYPERLINK("https://github.com/PojavLauncherTeam/PojavLauncher/releases", "show")</f>
        <v>show</v>
      </c>
      <c r="I3566">
        <v>1</v>
      </c>
      <c r="J3566">
        <v>0</v>
      </c>
      <c r="K3566">
        <v>1</v>
      </c>
      <c r="L3566">
        <v>0</v>
      </c>
      <c r="M3566" t="s">
        <v>64</v>
      </c>
    </row>
    <row r="3567" spans="1:13" hidden="1" x14ac:dyDescent="0.15">
      <c r="A3567" t="s">
        <v>11282</v>
      </c>
      <c r="B3567" t="s">
        <v>11283</v>
      </c>
      <c r="C3567" t="s">
        <v>11284</v>
      </c>
      <c r="D3567" t="s">
        <v>11285</v>
      </c>
      <c r="E3567">
        <v>1</v>
      </c>
      <c r="F3567" t="str">
        <f>HYPERLINK("https://github.com/PojavLauncherTeam/PojavLauncher/issues/2882", "show")</f>
        <v>show</v>
      </c>
      <c r="G3567" t="str">
        <f>HYPERLINK("https://github.com/PojavLauncherTeam/PojavLauncher", "show")</f>
        <v>show</v>
      </c>
      <c r="H3567" t="str">
        <f>HYPERLINK("https://github.com/PojavLauncherTeam/PojavLauncher/releases", "show")</f>
        <v>show</v>
      </c>
      <c r="I3567">
        <v>1</v>
      </c>
      <c r="J3567">
        <v>1</v>
      </c>
      <c r="K3567">
        <v>0</v>
      </c>
      <c r="L3567">
        <v>0</v>
      </c>
      <c r="M3567" t="s">
        <v>48</v>
      </c>
    </row>
    <row r="3568" spans="1:13" hidden="1" x14ac:dyDescent="0.15">
      <c r="A3568" t="s">
        <v>11286</v>
      </c>
      <c r="B3568" t="s">
        <v>11287</v>
      </c>
      <c r="C3568" t="s">
        <v>10930</v>
      </c>
      <c r="D3568" t="s">
        <v>11285</v>
      </c>
      <c r="E3568">
        <v>2</v>
      </c>
      <c r="F3568" t="str">
        <f>HYPERLINK("https://github.com/itsaky/AndroidIDE/issues/117", "show")</f>
        <v>show</v>
      </c>
      <c r="G3568" t="str">
        <f>HYPERLINK("https://github.com/itsaky/AndroidIDE", "show")</f>
        <v>show</v>
      </c>
      <c r="H3568" t="str">
        <f>HYPERLINK("https://github.com/itsaky/AndroidIDE/releases", "show")</f>
        <v>show</v>
      </c>
      <c r="I3568">
        <v>0</v>
      </c>
      <c r="J3568">
        <v>0</v>
      </c>
      <c r="K3568">
        <v>1</v>
      </c>
      <c r="L3568">
        <v>0</v>
      </c>
      <c r="M3568" t="s">
        <v>122</v>
      </c>
    </row>
    <row r="3569" spans="1:13" hidden="1" x14ac:dyDescent="0.15">
      <c r="A3569" t="s">
        <v>11288</v>
      </c>
      <c r="B3569" t="s">
        <v>11289</v>
      </c>
      <c r="C3569" t="s">
        <v>11290</v>
      </c>
      <c r="D3569" t="s">
        <v>11285</v>
      </c>
      <c r="E3569">
        <v>4</v>
      </c>
      <c r="F3569" t="str">
        <f>HYPERLINK("https://github.com/nextcloud/talk-android/issues/1870", "show")</f>
        <v>show</v>
      </c>
      <c r="G3569" t="str">
        <f>HYPERLINK("https://github.com/nextcloud/talk-android", "show")</f>
        <v>show</v>
      </c>
      <c r="H3569" t="str">
        <f>HYPERLINK("https://github.com/nextcloud/talk-android/releases", "show")</f>
        <v>show</v>
      </c>
      <c r="I3569">
        <v>1</v>
      </c>
      <c r="J3569">
        <v>0</v>
      </c>
      <c r="K3569">
        <v>0</v>
      </c>
      <c r="L3569">
        <v>0</v>
      </c>
      <c r="M3569" t="s">
        <v>17</v>
      </c>
    </row>
    <row r="3570" spans="1:13" hidden="1" x14ac:dyDescent="0.15">
      <c r="A3570" t="s">
        <v>11291</v>
      </c>
      <c r="B3570" t="s">
        <v>11292</v>
      </c>
      <c r="C3570" t="s">
        <v>11293</v>
      </c>
      <c r="D3570" t="s">
        <v>11285</v>
      </c>
      <c r="E3570">
        <v>4</v>
      </c>
      <c r="F3570" t="str">
        <f>HYPERLINK("https://github.com/nextcloud/talk-android/issues/1869", "show")</f>
        <v>show</v>
      </c>
      <c r="G3570" t="str">
        <f>HYPERLINK("https://github.com/nextcloud/talk-android", "show")</f>
        <v>show</v>
      </c>
      <c r="H3570" t="str">
        <f>HYPERLINK("https://github.com/nextcloud/talk-android/releases", "show")</f>
        <v>show</v>
      </c>
      <c r="I3570">
        <v>1</v>
      </c>
      <c r="J3570">
        <v>1</v>
      </c>
      <c r="K3570">
        <v>1</v>
      </c>
      <c r="L3570">
        <v>0</v>
      </c>
      <c r="M3570" t="s">
        <v>59</v>
      </c>
    </row>
    <row r="3571" spans="1:13" hidden="1" x14ac:dyDescent="0.15">
      <c r="A3571" t="s">
        <v>11294</v>
      </c>
      <c r="B3571" t="s">
        <v>11295</v>
      </c>
      <c r="C3571" t="s">
        <v>11296</v>
      </c>
      <c r="D3571" t="s">
        <v>11285</v>
      </c>
      <c r="E3571">
        <v>8</v>
      </c>
      <c r="F3571" t="str">
        <f>HYPERLINK("https://github.com/doublesymmetry/react-native-track-player/issues/1433", "show")</f>
        <v>show</v>
      </c>
      <c r="G3571" t="str">
        <f>HYPERLINK("https://github.com/doublesymmetry/react-native-track-player", "show")</f>
        <v>show</v>
      </c>
      <c r="H3571" t="str">
        <f>HYPERLINK("https://github.com/doublesymmetry/react-native-track-player/releases", "show")</f>
        <v>show</v>
      </c>
      <c r="I3571">
        <v>1</v>
      </c>
      <c r="J3571">
        <v>1</v>
      </c>
      <c r="K3571">
        <v>0</v>
      </c>
      <c r="L3571">
        <v>0</v>
      </c>
      <c r="M3571" t="s">
        <v>48</v>
      </c>
    </row>
    <row r="3572" spans="1:13" hidden="1" x14ac:dyDescent="0.15">
      <c r="A3572" t="s">
        <v>11297</v>
      </c>
      <c r="B3572" t="s">
        <v>11298</v>
      </c>
      <c r="C3572" t="s">
        <v>11299</v>
      </c>
      <c r="D3572" t="s">
        <v>11285</v>
      </c>
      <c r="E3572">
        <v>35</v>
      </c>
      <c r="F3572" t="str">
        <f>HYPERLINK("https://github.com/hzi-braunschweig/SORMAS-Project/issues/8339", "show")</f>
        <v>show</v>
      </c>
      <c r="G3572" t="str">
        <f>HYPERLINK("https://github.com/hzi-braunschweig/SORMAS-Project", "show")</f>
        <v>show</v>
      </c>
      <c r="H3572" t="str">
        <f>HYPERLINK("https://github.com/hzi-braunschweig/SORMAS-Project/releases", "show")</f>
        <v>show</v>
      </c>
      <c r="I3572">
        <v>1</v>
      </c>
      <c r="J3572">
        <v>1</v>
      </c>
      <c r="K3572">
        <v>0</v>
      </c>
      <c r="L3572">
        <v>0</v>
      </c>
      <c r="M3572" t="s">
        <v>48</v>
      </c>
    </row>
    <row r="3573" spans="1:13" hidden="1" x14ac:dyDescent="0.15">
      <c r="A3573" t="s">
        <v>11300</v>
      </c>
      <c r="B3573" t="s">
        <v>11301</v>
      </c>
      <c r="C3573" t="s">
        <v>11302</v>
      </c>
      <c r="D3573" t="s">
        <v>11303</v>
      </c>
      <c r="E3573">
        <v>0</v>
      </c>
      <c r="F3573" t="str">
        <f>HYPERLINK("https://github.com/cgeo/cgeo/issues/12846", "show")</f>
        <v>show</v>
      </c>
      <c r="G3573" t="str">
        <f>HYPERLINK("https://github.com/cgeo/cgeo", "show")</f>
        <v>show</v>
      </c>
      <c r="H3573" t="str">
        <f>HYPERLINK("https://github.com/cgeo/cgeo/releases", "show")</f>
        <v>show</v>
      </c>
      <c r="I3573">
        <v>1</v>
      </c>
      <c r="J3573">
        <v>0</v>
      </c>
      <c r="K3573">
        <v>1</v>
      </c>
      <c r="L3573">
        <v>0</v>
      </c>
      <c r="M3573" t="s">
        <v>64</v>
      </c>
    </row>
    <row r="3574" spans="1:13" hidden="1" x14ac:dyDescent="0.15">
      <c r="A3574" t="s">
        <v>11304</v>
      </c>
      <c r="B3574" t="s">
        <v>11305</v>
      </c>
      <c r="C3574" t="s">
        <v>11306</v>
      </c>
      <c r="D3574" t="s">
        <v>11303</v>
      </c>
      <c r="E3574">
        <v>0</v>
      </c>
      <c r="F3574" t="str">
        <f>HYPERLINK("https://github.com/cgeo/cgeo/issues/12845", "show")</f>
        <v>show</v>
      </c>
      <c r="G3574" t="str">
        <f>HYPERLINK("https://github.com/cgeo/cgeo", "show")</f>
        <v>show</v>
      </c>
      <c r="H3574" t="str">
        <f>HYPERLINK("https://github.com/cgeo/cgeo/releases", "show")</f>
        <v>show</v>
      </c>
      <c r="I3574">
        <v>1</v>
      </c>
      <c r="J3574">
        <v>1</v>
      </c>
      <c r="K3574">
        <v>1</v>
      </c>
      <c r="L3574">
        <v>0</v>
      </c>
      <c r="M3574" t="s">
        <v>59</v>
      </c>
    </row>
    <row r="3575" spans="1:13" hidden="1" x14ac:dyDescent="0.15">
      <c r="A3575" t="s">
        <v>11307</v>
      </c>
      <c r="B3575" t="s">
        <v>11308</v>
      </c>
      <c r="D3575" t="s">
        <v>11309</v>
      </c>
      <c r="E3575">
        <v>1</v>
      </c>
      <c r="F3575" t="str">
        <f>HYPERLINK("https://github.com/Zhuinden/simple-stack/issues/254", "show")</f>
        <v>show</v>
      </c>
      <c r="G3575" t="str">
        <f>HYPERLINK("https://github.com/Zhuinden/simple-stack", "show")</f>
        <v>show</v>
      </c>
      <c r="H3575" t="str">
        <f>HYPERLINK("https://github.com/Zhuinden/simple-stack/releases", "show")</f>
        <v>show</v>
      </c>
      <c r="I3575">
        <v>0</v>
      </c>
      <c r="J3575">
        <v>0</v>
      </c>
      <c r="K3575">
        <v>1</v>
      </c>
      <c r="L3575">
        <v>0</v>
      </c>
      <c r="M3575" t="s">
        <v>122</v>
      </c>
    </row>
    <row r="3576" spans="1:13" hidden="1" x14ac:dyDescent="0.15">
      <c r="A3576" t="s">
        <v>11310</v>
      </c>
      <c r="B3576" t="s">
        <v>11311</v>
      </c>
      <c r="C3576" t="s">
        <v>11312</v>
      </c>
      <c r="D3576" t="s">
        <v>11309</v>
      </c>
      <c r="E3576">
        <v>1</v>
      </c>
      <c r="F3576" t="str">
        <f>HYPERLINK("https://github.com/Zhuinden/simple-stack/issues/253", "show")</f>
        <v>show</v>
      </c>
      <c r="G3576" t="str">
        <f>HYPERLINK("https://github.com/Zhuinden/simple-stack", "show")</f>
        <v>show</v>
      </c>
      <c r="H3576" t="str">
        <f>HYPERLINK("https://github.com/Zhuinden/simple-stack/releases", "show")</f>
        <v>show</v>
      </c>
      <c r="I3576">
        <v>0</v>
      </c>
      <c r="J3576">
        <v>0</v>
      </c>
      <c r="K3576">
        <v>1</v>
      </c>
      <c r="L3576">
        <v>0</v>
      </c>
      <c r="M3576" t="s">
        <v>122</v>
      </c>
    </row>
    <row r="3577" spans="1:13" hidden="1" x14ac:dyDescent="0.15">
      <c r="A3577" t="s">
        <v>11313</v>
      </c>
      <c r="B3577" t="s">
        <v>11314</v>
      </c>
      <c r="C3577" t="s">
        <v>11315</v>
      </c>
      <c r="D3577" t="s">
        <v>11309</v>
      </c>
      <c r="E3577">
        <v>0</v>
      </c>
      <c r="F3577" t="str">
        <f>HYPERLINK("https://github.com/Anuken/Mindustry/issues/6633", "show")</f>
        <v>show</v>
      </c>
      <c r="G3577" t="str">
        <f>HYPERLINK("https://github.com/Anuken/Mindustry", "show")</f>
        <v>show</v>
      </c>
      <c r="H3577" t="str">
        <f>HYPERLINK("https://github.com/Anuken/Mindustry/releases", "show")</f>
        <v>show</v>
      </c>
      <c r="I3577">
        <v>0</v>
      </c>
      <c r="J3577">
        <v>0</v>
      </c>
      <c r="K3577">
        <v>0</v>
      </c>
      <c r="L3577">
        <v>0</v>
      </c>
      <c r="M3577" t="s">
        <v>43</v>
      </c>
    </row>
    <row r="3578" spans="1:13" hidden="1" x14ac:dyDescent="0.15">
      <c r="A3578" t="s">
        <v>11316</v>
      </c>
      <c r="B3578" t="s">
        <v>11317</v>
      </c>
      <c r="C3578" t="s">
        <v>11318</v>
      </c>
      <c r="D3578" t="s">
        <v>11309</v>
      </c>
      <c r="E3578">
        <v>0</v>
      </c>
      <c r="F3578" t="str">
        <f>HYPERLINK("https://github.com/PojavLauncherTeam/PojavLauncher/issues/2870", "show")</f>
        <v>show</v>
      </c>
      <c r="G3578" t="str">
        <f>HYPERLINK("https://github.com/PojavLauncherTeam/PojavLauncher", "show")</f>
        <v>show</v>
      </c>
      <c r="H3578" t="str">
        <f>HYPERLINK("https://github.com/PojavLauncherTeam/PojavLauncher/releases", "show")</f>
        <v>show</v>
      </c>
      <c r="I3578">
        <v>0</v>
      </c>
      <c r="J3578">
        <v>0</v>
      </c>
      <c r="K3578">
        <v>0</v>
      </c>
      <c r="L3578">
        <v>0</v>
      </c>
      <c r="M3578" t="s">
        <v>43</v>
      </c>
    </row>
    <row r="3579" spans="1:13" hidden="1" x14ac:dyDescent="0.15">
      <c r="A3579" t="s">
        <v>11319</v>
      </c>
      <c r="B3579" t="s">
        <v>11320</v>
      </c>
      <c r="C3579" t="s">
        <v>11321</v>
      </c>
      <c r="D3579" t="s">
        <v>11309</v>
      </c>
      <c r="E3579">
        <v>0</v>
      </c>
      <c r="F3579" t="str">
        <f>HYPERLINK("https://github.com/Anuken/Mindustry/issues/6629", "show")</f>
        <v>show</v>
      </c>
      <c r="G3579" t="str">
        <f>HYPERLINK("https://github.com/Anuken/Mindustry", "show")</f>
        <v>show</v>
      </c>
      <c r="H3579" t="str">
        <f>HYPERLINK("https://github.com/Anuken/Mindustry/releases", "show")</f>
        <v>show</v>
      </c>
      <c r="I3579">
        <v>1</v>
      </c>
      <c r="J3579">
        <v>1</v>
      </c>
      <c r="K3579">
        <v>0</v>
      </c>
      <c r="L3579">
        <v>0</v>
      </c>
      <c r="M3579" t="s">
        <v>48</v>
      </c>
    </row>
    <row r="3580" spans="1:13" hidden="1" x14ac:dyDescent="0.15">
      <c r="A3580" t="s">
        <v>11322</v>
      </c>
      <c r="B3580" t="s">
        <v>11323</v>
      </c>
      <c r="C3580" t="s">
        <v>11324</v>
      </c>
      <c r="D3580" t="s">
        <v>11309</v>
      </c>
      <c r="E3580">
        <v>9</v>
      </c>
      <c r="F3580" t="str">
        <f>HYPERLINK("https://github.com/czlucius/code-scanner/issues/41", "show")</f>
        <v>show</v>
      </c>
      <c r="G3580" t="str">
        <f>HYPERLINK("https://github.com/czlucius/code-scanner", "show")</f>
        <v>show</v>
      </c>
      <c r="H3580" t="str">
        <f>HYPERLINK("https://github.com/czlucius/code-scanner/releases", "show")</f>
        <v>show</v>
      </c>
      <c r="I3580">
        <v>1</v>
      </c>
      <c r="J3580">
        <v>1</v>
      </c>
      <c r="K3580">
        <v>1</v>
      </c>
      <c r="L3580">
        <v>0</v>
      </c>
      <c r="M3580" t="s">
        <v>59</v>
      </c>
    </row>
    <row r="3581" spans="1:13" hidden="1" x14ac:dyDescent="0.15">
      <c r="A3581" t="s">
        <v>11325</v>
      </c>
      <c r="B3581" t="s">
        <v>11326</v>
      </c>
      <c r="C3581" t="s">
        <v>11327</v>
      </c>
      <c r="D3581" t="s">
        <v>11328</v>
      </c>
      <c r="E3581">
        <v>0</v>
      </c>
      <c r="F3581" t="str">
        <f>HYPERLINK("https://github.com/MuntashirAkon/AppManager/issues/697", "show")</f>
        <v>show</v>
      </c>
      <c r="G3581" t="str">
        <f>HYPERLINK("https://github.com/MuntashirAkon/AppManager", "show")</f>
        <v>show</v>
      </c>
      <c r="H3581" t="str">
        <f>HYPERLINK("https://github.com/MuntashirAkon/AppManager/releases", "show")</f>
        <v>show</v>
      </c>
      <c r="I3581">
        <v>0</v>
      </c>
      <c r="J3581">
        <v>0</v>
      </c>
      <c r="K3581">
        <v>1</v>
      </c>
      <c r="L3581">
        <v>0</v>
      </c>
      <c r="M3581" t="s">
        <v>122</v>
      </c>
    </row>
    <row r="3582" spans="1:13" hidden="1" x14ac:dyDescent="0.15">
      <c r="A3582" t="s">
        <v>11329</v>
      </c>
      <c r="B3582" t="s">
        <v>11330</v>
      </c>
      <c r="C3582" t="s">
        <v>11331</v>
      </c>
      <c r="D3582" t="s">
        <v>11332</v>
      </c>
      <c r="E3582">
        <v>16</v>
      </c>
      <c r="F3582" t="str">
        <f>HYPERLINK("https://github.com/Appboy/appboy-android-sdk/issues/218", "show")</f>
        <v>show</v>
      </c>
      <c r="G3582" t="str">
        <f>HYPERLINK("https://github.com/Appboy/appboy-android-sdk", "show")</f>
        <v>show</v>
      </c>
      <c r="H3582" t="str">
        <f>HYPERLINK("https://github.com/Appboy/appboy-android-sdk/releases", "show")</f>
        <v>show</v>
      </c>
      <c r="I3582">
        <v>1</v>
      </c>
      <c r="J3582">
        <v>0</v>
      </c>
      <c r="K3582">
        <v>0</v>
      </c>
      <c r="L3582">
        <v>0</v>
      </c>
      <c r="M3582" t="s">
        <v>17</v>
      </c>
    </row>
    <row r="3583" spans="1:13" hidden="1" x14ac:dyDescent="0.15">
      <c r="A3583" t="s">
        <v>11333</v>
      </c>
      <c r="B3583" t="s">
        <v>11334</v>
      </c>
      <c r="C3583" t="s">
        <v>11335</v>
      </c>
      <c r="D3583" t="s">
        <v>11332</v>
      </c>
      <c r="E3583">
        <v>0</v>
      </c>
      <c r="F3583" t="str">
        <f>HYPERLINK("https://github.com/MuntashirAkon/AppManager/issues/694", "show")</f>
        <v>show</v>
      </c>
      <c r="G3583" t="str">
        <f>HYPERLINK("https://github.com/MuntashirAkon/AppManager", "show")</f>
        <v>show</v>
      </c>
      <c r="H3583" t="str">
        <f>HYPERLINK("https://github.com/MuntashirAkon/AppManager/releases", "show")</f>
        <v>show</v>
      </c>
      <c r="I3583">
        <v>1</v>
      </c>
      <c r="J3583">
        <v>1</v>
      </c>
      <c r="K3583">
        <v>0</v>
      </c>
      <c r="L3583">
        <v>0</v>
      </c>
      <c r="M3583" t="s">
        <v>48</v>
      </c>
    </row>
    <row r="3584" spans="1:13" hidden="1" x14ac:dyDescent="0.15">
      <c r="A3584" t="s">
        <v>11336</v>
      </c>
      <c r="B3584" t="s">
        <v>11337</v>
      </c>
      <c r="C3584" t="s">
        <v>11338</v>
      </c>
      <c r="D3584" t="s">
        <v>11332</v>
      </c>
      <c r="E3584">
        <v>9</v>
      </c>
      <c r="F3584" t="str">
        <f>HYPERLINK("https://github.com/forrestguice/SuntimesWidget/issues/567", "show")</f>
        <v>show</v>
      </c>
      <c r="G3584" t="str">
        <f>HYPERLINK("https://github.com/forrestguice/SuntimesWidget", "show")</f>
        <v>show</v>
      </c>
      <c r="H3584" t="str">
        <f>HYPERLINK("https://github.com/forrestguice/SuntimesWidget/releases", "show")</f>
        <v>show</v>
      </c>
      <c r="I3584">
        <v>1</v>
      </c>
      <c r="J3584">
        <v>0</v>
      </c>
      <c r="K3584">
        <v>1</v>
      </c>
      <c r="L3584">
        <v>0</v>
      </c>
      <c r="M3584" t="s">
        <v>64</v>
      </c>
    </row>
    <row r="3585" spans="1:13" hidden="1" x14ac:dyDescent="0.15">
      <c r="A3585" t="s">
        <v>11339</v>
      </c>
      <c r="B3585" t="s">
        <v>11340</v>
      </c>
      <c r="C3585" t="s">
        <v>11341</v>
      </c>
      <c r="D3585" t="s">
        <v>11342</v>
      </c>
      <c r="E3585">
        <v>1</v>
      </c>
      <c r="F3585" t="str">
        <f>HYPERLINK("https://github.com/PojavLauncherTeam/PojavLauncher/issues/2851", "show")</f>
        <v>show</v>
      </c>
      <c r="G3585" t="str">
        <f>HYPERLINK("https://github.com/PojavLauncherTeam/PojavLauncher", "show")</f>
        <v>show</v>
      </c>
      <c r="H3585" t="str">
        <f>HYPERLINK("https://github.com/PojavLauncherTeam/PojavLauncher/releases", "show")</f>
        <v>show</v>
      </c>
      <c r="I3585">
        <v>0</v>
      </c>
      <c r="J3585">
        <v>0</v>
      </c>
      <c r="K3585">
        <v>0</v>
      </c>
      <c r="L3585">
        <v>0</v>
      </c>
      <c r="M3585" t="s">
        <v>43</v>
      </c>
    </row>
    <row r="3586" spans="1:13" hidden="1" x14ac:dyDescent="0.15">
      <c r="A3586" t="s">
        <v>11343</v>
      </c>
      <c r="B3586" t="s">
        <v>11344</v>
      </c>
      <c r="C3586" t="s">
        <v>11345</v>
      </c>
      <c r="D3586" t="s">
        <v>11342</v>
      </c>
      <c r="E3586">
        <v>1</v>
      </c>
      <c r="F3586" t="str">
        <f>HYPERLINK("https://github.com/TeamNewPipe/NewPipe/issues/7992", "show")</f>
        <v>show</v>
      </c>
      <c r="G3586" t="str">
        <f>HYPERLINK("https://github.com/TeamNewPipe/NewPipe", "show")</f>
        <v>show</v>
      </c>
      <c r="H3586" t="str">
        <f>HYPERLINK("https://github.com/TeamNewPipe/NewPipe/releases", "show")</f>
        <v>show</v>
      </c>
      <c r="I3586">
        <v>1</v>
      </c>
      <c r="J3586">
        <v>1</v>
      </c>
      <c r="K3586">
        <v>0</v>
      </c>
      <c r="L3586">
        <v>0</v>
      </c>
      <c r="M3586" t="s">
        <v>48</v>
      </c>
    </row>
    <row r="3587" spans="1:13" hidden="1" x14ac:dyDescent="0.15">
      <c r="A3587" t="s">
        <v>11346</v>
      </c>
      <c r="B3587" t="s">
        <v>11347</v>
      </c>
      <c r="C3587" t="s">
        <v>11348</v>
      </c>
      <c r="D3587" t="s">
        <v>11342</v>
      </c>
      <c r="E3587">
        <v>2</v>
      </c>
      <c r="F3587" t="str">
        <f>HYPERLINK("https://github.com/ASE-Projekte-WS-2021/ase-ws-21-course-matcher/issues/159", "show")</f>
        <v>show</v>
      </c>
      <c r="G3587" t="str">
        <f>HYPERLINK("https://github.com/ASE-Projekte-WS-2021/ase-ws-21-course-matcher", "show")</f>
        <v>show</v>
      </c>
      <c r="H3587" t="str">
        <f>HYPERLINK("https://github.com/ASE-Projekte-WS-2021/ase-ws-21-course-matcher/releases", "show")</f>
        <v>show</v>
      </c>
      <c r="I3587">
        <v>0</v>
      </c>
      <c r="J3587">
        <v>0</v>
      </c>
      <c r="K3587">
        <v>0</v>
      </c>
      <c r="L3587">
        <v>0</v>
      </c>
      <c r="M3587" t="s">
        <v>43</v>
      </c>
    </row>
    <row r="3588" spans="1:13" hidden="1" x14ac:dyDescent="0.15">
      <c r="A3588" t="s">
        <v>11349</v>
      </c>
      <c r="B3588" t="s">
        <v>11350</v>
      </c>
      <c r="C3588" t="s">
        <v>11351</v>
      </c>
      <c r="D3588" t="s">
        <v>11342</v>
      </c>
      <c r="E3588">
        <v>0</v>
      </c>
      <c r="F3588" t="str">
        <f>HYPERLINK("https://github.com/OpenSeizureDetector/Android_Pebble_SD/issues/43", "show")</f>
        <v>show</v>
      </c>
      <c r="G3588" t="str">
        <f>HYPERLINK("https://github.com/OpenSeizureDetector/Android_Pebble_SD", "show")</f>
        <v>show</v>
      </c>
      <c r="H3588" t="str">
        <f>HYPERLINK("https://github.com/OpenSeizureDetector/Android_Pebble_SD/releases", "show")</f>
        <v>show</v>
      </c>
      <c r="I3588">
        <v>0</v>
      </c>
      <c r="J3588">
        <v>0</v>
      </c>
      <c r="K3588">
        <v>1</v>
      </c>
      <c r="L3588">
        <v>0</v>
      </c>
      <c r="M3588" t="s">
        <v>122</v>
      </c>
    </row>
    <row r="3589" spans="1:13" hidden="1" x14ac:dyDescent="0.15">
      <c r="A3589" t="s">
        <v>11352</v>
      </c>
      <c r="B3589" t="s">
        <v>11353</v>
      </c>
      <c r="C3589" t="s">
        <v>11354</v>
      </c>
      <c r="D3589" t="s">
        <v>11342</v>
      </c>
      <c r="E3589">
        <v>3</v>
      </c>
      <c r="F3589" t="str">
        <f>HYPERLINK("https://github.com/material-components/material-components-android/issues/2590", "show")</f>
        <v>show</v>
      </c>
      <c r="G3589" t="str">
        <f>HYPERLINK("https://github.com/material-components/material-components-android", "show")</f>
        <v>show</v>
      </c>
      <c r="H3589" t="str">
        <f>HYPERLINK("https://github.com/material-components/material-components-android/releases", "show")</f>
        <v>show</v>
      </c>
      <c r="I3589">
        <v>0</v>
      </c>
      <c r="J3589">
        <v>0</v>
      </c>
      <c r="K3589">
        <v>1</v>
      </c>
      <c r="L3589">
        <v>0</v>
      </c>
      <c r="M3589" t="s">
        <v>122</v>
      </c>
    </row>
    <row r="3590" spans="1:13" hidden="1" x14ac:dyDescent="0.15">
      <c r="A3590" t="s">
        <v>11355</v>
      </c>
      <c r="B3590" t="s">
        <v>11356</v>
      </c>
      <c r="C3590" t="s">
        <v>11357</v>
      </c>
      <c r="D3590" t="s">
        <v>11342</v>
      </c>
      <c r="E3590">
        <v>4</v>
      </c>
      <c r="F3590" t="str">
        <f>HYPERLINK("https://github.com/PojavLauncherTeam/PojavLauncher/issues/2848", "show")</f>
        <v>show</v>
      </c>
      <c r="G3590" t="str">
        <f>HYPERLINK("https://github.com/PojavLauncherTeam/PojavLauncher", "show")</f>
        <v>show</v>
      </c>
      <c r="H3590" t="str">
        <f>HYPERLINK("https://github.com/PojavLauncherTeam/PojavLauncher/releases", "show")</f>
        <v>show</v>
      </c>
      <c r="I3590">
        <v>1</v>
      </c>
      <c r="J3590">
        <v>1</v>
      </c>
      <c r="K3590">
        <v>0</v>
      </c>
      <c r="L3590">
        <v>0</v>
      </c>
      <c r="M3590" t="s">
        <v>48</v>
      </c>
    </row>
    <row r="3591" spans="1:13" hidden="1" x14ac:dyDescent="0.15">
      <c r="A3591" t="s">
        <v>11358</v>
      </c>
      <c r="B3591" t="s">
        <v>11359</v>
      </c>
      <c r="C3591" t="s">
        <v>11360</v>
      </c>
      <c r="D3591" t="s">
        <v>11342</v>
      </c>
      <c r="E3591">
        <v>0</v>
      </c>
      <c r="F3591" t="str">
        <f>HYPERLINK("https://github.com/Anuken/Mindustry/issues/6620", "show")</f>
        <v>show</v>
      </c>
      <c r="G3591" t="str">
        <f>HYPERLINK("https://github.com/Anuken/Mindustry", "show")</f>
        <v>show</v>
      </c>
      <c r="H3591" t="str">
        <f>HYPERLINK("https://github.com/Anuken/Mindustry/releases", "show")</f>
        <v>show</v>
      </c>
      <c r="I3591">
        <v>1</v>
      </c>
      <c r="J3591">
        <v>1</v>
      </c>
      <c r="K3591">
        <v>0</v>
      </c>
      <c r="L3591">
        <v>0</v>
      </c>
      <c r="M3591" t="s">
        <v>48</v>
      </c>
    </row>
    <row r="3592" spans="1:13" hidden="1" x14ac:dyDescent="0.15">
      <c r="A3592" t="s">
        <v>11361</v>
      </c>
      <c r="B3592" t="s">
        <v>11362</v>
      </c>
      <c r="C3592" t="s">
        <v>11363</v>
      </c>
      <c r="D3592" t="s">
        <v>11364</v>
      </c>
      <c r="E3592">
        <v>1</v>
      </c>
      <c r="F3592" t="str">
        <f>HYPERLINK("https://github.com/maityamit/Tracky-Track-your-goals-or-targets/issues/155", "show")</f>
        <v>show</v>
      </c>
      <c r="G3592" t="str">
        <f>HYPERLINK("https://github.com/maityamit/Tracky-Track-your-goals-or-targets", "show")</f>
        <v>show</v>
      </c>
      <c r="H3592" t="str">
        <f>HYPERLINK("https://github.com/maityamit/Tracky-Track-your-goals-or-targets/releases", "show")</f>
        <v>show</v>
      </c>
      <c r="I3592">
        <v>1</v>
      </c>
      <c r="J3592">
        <v>0</v>
      </c>
      <c r="K3592">
        <v>0</v>
      </c>
      <c r="L3592">
        <v>0</v>
      </c>
      <c r="M3592" t="s">
        <v>17</v>
      </c>
    </row>
    <row r="3593" spans="1:13" hidden="1" x14ac:dyDescent="0.15">
      <c r="A3593" t="s">
        <v>11365</v>
      </c>
      <c r="B3593" t="s">
        <v>11366</v>
      </c>
      <c r="C3593" t="s">
        <v>11367</v>
      </c>
      <c r="D3593" t="s">
        <v>11364</v>
      </c>
      <c r="E3593">
        <v>0</v>
      </c>
      <c r="F3593" t="str">
        <f>HYPERLINK("https://github.com/PojavLauncherTeam/PojavLauncher/issues/2843", "show")</f>
        <v>show</v>
      </c>
      <c r="G3593" t="str">
        <f>HYPERLINK("https://github.com/PojavLauncherTeam/PojavLauncher", "show")</f>
        <v>show</v>
      </c>
      <c r="H3593" t="str">
        <f>HYPERLINK("https://github.com/PojavLauncherTeam/PojavLauncher/releases", "show")</f>
        <v>show</v>
      </c>
      <c r="I3593">
        <v>1</v>
      </c>
      <c r="J3593">
        <v>0</v>
      </c>
      <c r="K3593">
        <v>0</v>
      </c>
      <c r="L3593">
        <v>1</v>
      </c>
      <c r="M3593" t="s">
        <v>29</v>
      </c>
    </row>
    <row r="3594" spans="1:13" hidden="1" x14ac:dyDescent="0.15">
      <c r="A3594" t="s">
        <v>11368</v>
      </c>
      <c r="B3594" t="s">
        <v>11369</v>
      </c>
      <c r="C3594" t="s">
        <v>11370</v>
      </c>
      <c r="D3594" t="s">
        <v>11364</v>
      </c>
      <c r="E3594">
        <v>0</v>
      </c>
      <c r="F3594" t="str">
        <f>HYPERLINK("https://github.com/PojavLauncherTeam/PojavLauncher/issues/2842", "show")</f>
        <v>show</v>
      </c>
      <c r="G3594" t="str">
        <f>HYPERLINK("https://github.com/PojavLauncherTeam/PojavLauncher", "show")</f>
        <v>show</v>
      </c>
      <c r="H3594" t="str">
        <f>HYPERLINK("https://github.com/PojavLauncherTeam/PojavLauncher/releases", "show")</f>
        <v>show</v>
      </c>
      <c r="I3594">
        <v>0</v>
      </c>
      <c r="J3594">
        <v>0</v>
      </c>
      <c r="K3594">
        <v>0</v>
      </c>
      <c r="L3594">
        <v>1</v>
      </c>
      <c r="M3594" t="s">
        <v>581</v>
      </c>
    </row>
    <row r="3595" spans="1:13" hidden="1" x14ac:dyDescent="0.15">
      <c r="A3595" t="s">
        <v>11371</v>
      </c>
      <c r="B3595" t="s">
        <v>11372</v>
      </c>
      <c r="C3595" t="s">
        <v>11373</v>
      </c>
      <c r="D3595" t="s">
        <v>11374</v>
      </c>
      <c r="E3595">
        <v>5</v>
      </c>
      <c r="F3595" t="str">
        <f>HYPERLINK("https://github.com/jellyfin/jellyfin-androidtv/issues/1488", "show")</f>
        <v>show</v>
      </c>
      <c r="G3595" t="str">
        <f>HYPERLINK("https://github.com/jellyfin/jellyfin-androidtv", "show")</f>
        <v>show</v>
      </c>
      <c r="H3595" t="str">
        <f>HYPERLINK("https://github.com/jellyfin/jellyfin-androidtv/releases", "show")</f>
        <v>show</v>
      </c>
      <c r="I3595">
        <v>1</v>
      </c>
      <c r="J3595">
        <v>1</v>
      </c>
      <c r="K3595">
        <v>0</v>
      </c>
      <c r="L3595">
        <v>0</v>
      </c>
      <c r="M3595" t="s">
        <v>48</v>
      </c>
    </row>
    <row r="3596" spans="1:13" hidden="1" x14ac:dyDescent="0.15">
      <c r="A3596" t="s">
        <v>11375</v>
      </c>
      <c r="B3596" t="s">
        <v>11376</v>
      </c>
      <c r="C3596" t="s">
        <v>11377</v>
      </c>
      <c r="D3596" t="s">
        <v>11374</v>
      </c>
      <c r="E3596">
        <v>1</v>
      </c>
      <c r="F3596" t="str">
        <f>HYPERLINK("https://github.com/mercadopago/px-android/issues/2667", "show")</f>
        <v>show</v>
      </c>
      <c r="G3596" t="str">
        <f>HYPERLINK("https://github.com/mercadopago/px-android", "show")</f>
        <v>show</v>
      </c>
      <c r="H3596" t="str">
        <f>HYPERLINK("https://github.com/mercadopago/px-android/releases", "show")</f>
        <v>show</v>
      </c>
      <c r="I3596">
        <v>1</v>
      </c>
      <c r="J3596">
        <v>1</v>
      </c>
      <c r="K3596">
        <v>0</v>
      </c>
      <c r="L3596">
        <v>0</v>
      </c>
      <c r="M3596" t="s">
        <v>48</v>
      </c>
    </row>
    <row r="3597" spans="1:13" hidden="1" x14ac:dyDescent="0.15">
      <c r="A3597" t="s">
        <v>11378</v>
      </c>
      <c r="B3597" t="s">
        <v>11379</v>
      </c>
      <c r="C3597" t="s">
        <v>11380</v>
      </c>
      <c r="D3597" t="s">
        <v>11374</v>
      </c>
      <c r="E3597">
        <v>0</v>
      </c>
      <c r="F3597" t="str">
        <f>HYPERLINK("https://github.com/MuntashirAkon/AppManager/issues/690", "show")</f>
        <v>show</v>
      </c>
      <c r="G3597" t="str">
        <f>HYPERLINK("https://github.com/MuntashirAkon/AppManager", "show")</f>
        <v>show</v>
      </c>
      <c r="H3597" t="str">
        <f>HYPERLINK("https://github.com/MuntashirAkon/AppManager/releases", "show")</f>
        <v>show</v>
      </c>
      <c r="I3597">
        <v>1</v>
      </c>
      <c r="J3597">
        <v>1</v>
      </c>
      <c r="K3597">
        <v>1</v>
      </c>
      <c r="L3597">
        <v>0</v>
      </c>
      <c r="M3597" t="s">
        <v>59</v>
      </c>
    </row>
    <row r="3598" spans="1:13" hidden="1" x14ac:dyDescent="0.15">
      <c r="A3598" t="s">
        <v>11381</v>
      </c>
      <c r="B3598" t="s">
        <v>11382</v>
      </c>
      <c r="C3598" t="s">
        <v>11383</v>
      </c>
      <c r="D3598" t="s">
        <v>11374</v>
      </c>
      <c r="E3598">
        <v>2</v>
      </c>
      <c r="F3598" t="str">
        <f>HYPERLINK("https://github.com/PojavLauncherTeam/PojavLauncher/issues/2837", "show")</f>
        <v>show</v>
      </c>
      <c r="G3598" t="str">
        <f>HYPERLINK("https://github.com/PojavLauncherTeam/PojavLauncher", "show")</f>
        <v>show</v>
      </c>
      <c r="H3598" t="str">
        <f>HYPERLINK("https://github.com/PojavLauncherTeam/PojavLauncher/releases", "show")</f>
        <v>show</v>
      </c>
      <c r="I3598">
        <v>1</v>
      </c>
      <c r="J3598">
        <v>0</v>
      </c>
      <c r="K3598">
        <v>1</v>
      </c>
      <c r="L3598">
        <v>0</v>
      </c>
      <c r="M3598" t="s">
        <v>64</v>
      </c>
    </row>
    <row r="3599" spans="1:13" hidden="1" x14ac:dyDescent="0.15">
      <c r="A3599" t="s">
        <v>11384</v>
      </c>
      <c r="B3599" t="s">
        <v>11385</v>
      </c>
      <c r="C3599" t="s">
        <v>11386</v>
      </c>
      <c r="D3599" t="s">
        <v>11374</v>
      </c>
      <c r="E3599">
        <v>0</v>
      </c>
      <c r="F3599" t="str">
        <f>HYPERLINK("https://github.com/Anuken/Mindustry/issues/6614", "show")</f>
        <v>show</v>
      </c>
      <c r="G3599" t="str">
        <f>HYPERLINK("https://github.com/Anuken/Mindustry", "show")</f>
        <v>show</v>
      </c>
      <c r="H3599" t="str">
        <f>HYPERLINK("https://github.com/Anuken/Mindustry/releases", "show")</f>
        <v>show</v>
      </c>
      <c r="I3599">
        <v>0</v>
      </c>
      <c r="J3599">
        <v>1</v>
      </c>
      <c r="K3599">
        <v>1</v>
      </c>
      <c r="L3599">
        <v>1</v>
      </c>
      <c r="M3599" t="s">
        <v>427</v>
      </c>
    </row>
    <row r="3600" spans="1:13" x14ac:dyDescent="0.15">
      <c r="A3600" t="s">
        <v>11387</v>
      </c>
      <c r="B3600" t="s">
        <v>11388</v>
      </c>
      <c r="C3600" t="s">
        <v>11389</v>
      </c>
      <c r="D3600" t="s">
        <v>11390</v>
      </c>
      <c r="E3600">
        <v>0</v>
      </c>
      <c r="F3600" t="str">
        <f>HYPERLINK("https://github.com/commons-app/apps-android-commons/issues/4878", "show")</f>
        <v>show</v>
      </c>
      <c r="G3600" t="str">
        <f>HYPERLINK("https://github.com/commons-app/apps-android-commons", "show")</f>
        <v>show</v>
      </c>
      <c r="H3600" t="str">
        <f>HYPERLINK("https://github.com/commons-app/apps-android-commons/releases", "show")</f>
        <v>show</v>
      </c>
      <c r="I3600">
        <v>0</v>
      </c>
      <c r="J3600">
        <v>1</v>
      </c>
      <c r="K3600">
        <v>0</v>
      </c>
      <c r="L3600">
        <v>0</v>
      </c>
      <c r="M3600" t="s">
        <v>139</v>
      </c>
    </row>
    <row r="3601" spans="1:13" hidden="1" x14ac:dyDescent="0.15">
      <c r="A3601" t="s">
        <v>11391</v>
      </c>
      <c r="B3601" t="s">
        <v>11392</v>
      </c>
      <c r="C3601" t="s">
        <v>11393</v>
      </c>
      <c r="D3601" t="s">
        <v>11390</v>
      </c>
      <c r="E3601">
        <v>23</v>
      </c>
      <c r="F3601" t="str">
        <f>HYPERLINK("https://github.com/TeamNewPipe/NewPipe/issues/7977", "show")</f>
        <v>show</v>
      </c>
      <c r="G3601" t="str">
        <f>HYPERLINK("https://github.com/TeamNewPipe/NewPipe", "show")</f>
        <v>show</v>
      </c>
      <c r="H3601" t="str">
        <f>HYPERLINK("https://github.com/TeamNewPipe/NewPipe/releases", "show")</f>
        <v>show</v>
      </c>
      <c r="I3601">
        <v>1</v>
      </c>
      <c r="J3601">
        <v>1</v>
      </c>
      <c r="K3601">
        <v>0</v>
      </c>
      <c r="L3601">
        <v>0</v>
      </c>
      <c r="M3601" t="s">
        <v>48</v>
      </c>
    </row>
    <row r="3602" spans="1:13" hidden="1" x14ac:dyDescent="0.15">
      <c r="A3602" t="s">
        <v>11394</v>
      </c>
      <c r="B3602" t="s">
        <v>11395</v>
      </c>
      <c r="C3602" t="s">
        <v>10930</v>
      </c>
      <c r="D3602" t="s">
        <v>11390</v>
      </c>
      <c r="E3602">
        <v>0</v>
      </c>
      <c r="F3602" t="str">
        <f>HYPERLINK("https://github.com/itsaky/AndroidIDE/issues/109", "show")</f>
        <v>show</v>
      </c>
      <c r="G3602" t="str">
        <f>HYPERLINK("https://github.com/itsaky/AndroidIDE", "show")</f>
        <v>show</v>
      </c>
      <c r="H3602" t="str">
        <f>HYPERLINK("https://github.com/itsaky/AndroidIDE/releases", "show")</f>
        <v>show</v>
      </c>
      <c r="I3602">
        <v>0</v>
      </c>
      <c r="J3602">
        <v>0</v>
      </c>
      <c r="K3602">
        <v>1</v>
      </c>
      <c r="L3602">
        <v>0</v>
      </c>
      <c r="M3602" t="s">
        <v>122</v>
      </c>
    </row>
    <row r="3603" spans="1:13" hidden="1" x14ac:dyDescent="0.15">
      <c r="A3603" t="s">
        <v>11396</v>
      </c>
      <c r="B3603" t="s">
        <v>11397</v>
      </c>
      <c r="C3603" t="s">
        <v>11398</v>
      </c>
      <c r="D3603" t="s">
        <v>11390</v>
      </c>
      <c r="E3603">
        <v>0</v>
      </c>
      <c r="F3603" t="str">
        <f>HYPERLINK("https://github.com/PojavLauncherTeam/PojavLauncher/issues/2832", "show")</f>
        <v>show</v>
      </c>
      <c r="G3603" t="str">
        <f>HYPERLINK("https://github.com/PojavLauncherTeam/PojavLauncher", "show")</f>
        <v>show</v>
      </c>
      <c r="H3603" t="str">
        <f>HYPERLINK("https://github.com/PojavLauncherTeam/PojavLauncher/releases", "show")</f>
        <v>show</v>
      </c>
      <c r="I3603">
        <v>1</v>
      </c>
      <c r="J3603">
        <v>0</v>
      </c>
      <c r="K3603">
        <v>1</v>
      </c>
      <c r="L3603">
        <v>1</v>
      </c>
      <c r="M3603" t="s">
        <v>1259</v>
      </c>
    </row>
    <row r="3604" spans="1:13" x14ac:dyDescent="0.15">
      <c r="A3604" t="s">
        <v>11399</v>
      </c>
      <c r="B3604" t="s">
        <v>11400</v>
      </c>
      <c r="C3604" t="s">
        <v>11401</v>
      </c>
      <c r="D3604" t="s">
        <v>11390</v>
      </c>
      <c r="E3604">
        <v>13</v>
      </c>
      <c r="F3604" t="str">
        <f>HYPERLINK("https://github.com/microsoft/accessibility-insights-for-android-service/issues/150", "show")</f>
        <v>show</v>
      </c>
      <c r="G3604" t="str">
        <f>HYPERLINK("https://github.com/microsoft/accessibility-insights-for-android-service", "show")</f>
        <v>show</v>
      </c>
      <c r="H3604" t="str">
        <f>HYPERLINK("https://github.com/microsoft/accessibility-insights-for-android-service/releases", "show")</f>
        <v>show</v>
      </c>
      <c r="I3604">
        <v>0</v>
      </c>
      <c r="J3604">
        <v>1</v>
      </c>
      <c r="K3604">
        <v>0</v>
      </c>
      <c r="L3604">
        <v>0</v>
      </c>
      <c r="M3604" t="s">
        <v>139</v>
      </c>
    </row>
    <row r="3605" spans="1:13" hidden="1" x14ac:dyDescent="0.15">
      <c r="A3605" t="s">
        <v>11402</v>
      </c>
      <c r="B3605" t="s">
        <v>11403</v>
      </c>
      <c r="C3605" t="s">
        <v>11404</v>
      </c>
      <c r="D3605" t="s">
        <v>11405</v>
      </c>
      <c r="E3605">
        <v>36</v>
      </c>
      <c r="F3605" t="str">
        <f>HYPERLINK("https://github.com/material-components/material-components-android/issues/2585", "show")</f>
        <v>show</v>
      </c>
      <c r="G3605" t="str">
        <f>HYPERLINK("https://github.com/material-components/material-components-android", "show")</f>
        <v>show</v>
      </c>
      <c r="H3605" t="str">
        <f>HYPERLINK("https://github.com/material-components/material-components-android/releases", "show")</f>
        <v>show</v>
      </c>
      <c r="I3605">
        <v>0</v>
      </c>
      <c r="J3605">
        <v>0</v>
      </c>
      <c r="K3605">
        <v>1</v>
      </c>
      <c r="L3605">
        <v>0</v>
      </c>
      <c r="M3605" t="s">
        <v>122</v>
      </c>
    </row>
    <row r="3606" spans="1:13" hidden="1" x14ac:dyDescent="0.15">
      <c r="A3606" t="s">
        <v>11406</v>
      </c>
      <c r="B3606" t="s">
        <v>11407</v>
      </c>
      <c r="C3606" t="s">
        <v>11408</v>
      </c>
      <c r="D3606" t="s">
        <v>11405</v>
      </c>
      <c r="E3606">
        <v>3</v>
      </c>
      <c r="F3606" t="str">
        <f>HYPERLINK("https://github.com/PojavLauncherTeam/PojavLauncher/issues/2825", "show")</f>
        <v>show</v>
      </c>
      <c r="G3606" t="str">
        <f>HYPERLINK("https://github.com/PojavLauncherTeam/PojavLauncher", "show")</f>
        <v>show</v>
      </c>
      <c r="H3606" t="str">
        <f>HYPERLINK("https://github.com/PojavLauncherTeam/PojavLauncher/releases", "show")</f>
        <v>show</v>
      </c>
      <c r="I3606">
        <v>1</v>
      </c>
      <c r="J3606">
        <v>0</v>
      </c>
      <c r="K3606">
        <v>0</v>
      </c>
      <c r="L3606">
        <v>0</v>
      </c>
      <c r="M3606" t="s">
        <v>17</v>
      </c>
    </row>
    <row r="3607" spans="1:13" hidden="1" x14ac:dyDescent="0.15">
      <c r="A3607" t="s">
        <v>11409</v>
      </c>
      <c r="B3607" t="s">
        <v>11410</v>
      </c>
      <c r="C3607" t="s">
        <v>11411</v>
      </c>
      <c r="D3607" t="s">
        <v>11412</v>
      </c>
      <c r="E3607">
        <v>9</v>
      </c>
      <c r="F3607" t="str">
        <f>HYPERLINK("https://github.com/trevin-j/PyQuiz-App/issues/18", "show")</f>
        <v>show</v>
      </c>
      <c r="G3607" t="str">
        <f>HYPERLINK("https://github.com/trevin-j/PyQuiz-App", "show")</f>
        <v>show</v>
      </c>
      <c r="H3607" t="str">
        <f>HYPERLINK("https://github.com/trevin-j/PyQuiz-App/releases", "show")</f>
        <v>show</v>
      </c>
      <c r="I3607">
        <v>0</v>
      </c>
      <c r="J3607">
        <v>0</v>
      </c>
      <c r="K3607">
        <v>0</v>
      </c>
      <c r="L3607">
        <v>0</v>
      </c>
      <c r="M3607" t="s">
        <v>43</v>
      </c>
    </row>
    <row r="3608" spans="1:13" hidden="1" x14ac:dyDescent="0.15">
      <c r="A3608" t="s">
        <v>11413</v>
      </c>
      <c r="B3608" t="s">
        <v>11414</v>
      </c>
      <c r="C3608" t="s">
        <v>11415</v>
      </c>
      <c r="D3608" t="s">
        <v>11412</v>
      </c>
      <c r="E3608">
        <v>1</v>
      </c>
      <c r="F3608" t="str">
        <f>HYPERLINK("https://github.com/MuntashirAkon/AppManager/issues/687", "show")</f>
        <v>show</v>
      </c>
      <c r="G3608" t="str">
        <f>HYPERLINK("https://github.com/MuntashirAkon/AppManager", "show")</f>
        <v>show</v>
      </c>
      <c r="H3608" t="str">
        <f>HYPERLINK("https://github.com/MuntashirAkon/AppManager/releases", "show")</f>
        <v>show</v>
      </c>
      <c r="I3608">
        <v>0</v>
      </c>
      <c r="J3608">
        <v>0</v>
      </c>
      <c r="K3608">
        <v>0</v>
      </c>
      <c r="L3608">
        <v>0</v>
      </c>
      <c r="M3608" t="s">
        <v>43</v>
      </c>
    </row>
    <row r="3609" spans="1:13" hidden="1" x14ac:dyDescent="0.15">
      <c r="A3609" t="s">
        <v>11416</v>
      </c>
      <c r="B3609" t="s">
        <v>11417</v>
      </c>
      <c r="C3609" t="s">
        <v>11418</v>
      </c>
      <c r="D3609" t="s">
        <v>11412</v>
      </c>
      <c r="E3609">
        <v>6</v>
      </c>
      <c r="F3609" t="str">
        <f>HYPERLINK("https://github.com/PojavLauncherTeam/PojavLauncher/issues/2819", "show")</f>
        <v>show</v>
      </c>
      <c r="G3609" t="str">
        <f>HYPERLINK("https://github.com/PojavLauncherTeam/PojavLauncher", "show")</f>
        <v>show</v>
      </c>
      <c r="H3609" t="str">
        <f>HYPERLINK("https://github.com/PojavLauncherTeam/PojavLauncher/releases", "show")</f>
        <v>show</v>
      </c>
      <c r="I3609">
        <v>1</v>
      </c>
      <c r="J3609">
        <v>1</v>
      </c>
      <c r="K3609">
        <v>0</v>
      </c>
      <c r="L3609">
        <v>1</v>
      </c>
      <c r="M3609" t="s">
        <v>1894</v>
      </c>
    </row>
    <row r="3610" spans="1:13" hidden="1" x14ac:dyDescent="0.15">
      <c r="A3610" t="s">
        <v>11419</v>
      </c>
      <c r="B3610" t="s">
        <v>11420</v>
      </c>
      <c r="C3610" t="s">
        <v>11421</v>
      </c>
      <c r="D3610" t="s">
        <v>11422</v>
      </c>
      <c r="E3610">
        <v>0</v>
      </c>
      <c r="F3610" t="str">
        <f>HYPERLINK("https://github.com/Anuken/Mindustry/issues/6605", "show")</f>
        <v>show</v>
      </c>
      <c r="G3610" t="str">
        <f>HYPERLINK("https://github.com/Anuken/Mindustry", "show")</f>
        <v>show</v>
      </c>
      <c r="H3610" t="str">
        <f>HYPERLINK("https://github.com/Anuken/Mindustry/releases", "show")</f>
        <v>show</v>
      </c>
      <c r="I3610">
        <v>1</v>
      </c>
      <c r="J3610">
        <v>0</v>
      </c>
      <c r="K3610">
        <v>0</v>
      </c>
      <c r="L3610">
        <v>0</v>
      </c>
      <c r="M3610" t="s">
        <v>17</v>
      </c>
    </row>
    <row r="3611" spans="1:13" hidden="1" x14ac:dyDescent="0.15">
      <c r="A3611" t="s">
        <v>11423</v>
      </c>
      <c r="B3611" t="s">
        <v>11424</v>
      </c>
      <c r="C3611" t="s">
        <v>11425</v>
      </c>
      <c r="D3611" t="s">
        <v>11426</v>
      </c>
      <c r="E3611">
        <v>0</v>
      </c>
      <c r="F3611" t="str">
        <f>HYPERLINK("https://github.com/PojavLauncherTeam/PojavLauncher/issues/2813", "show")</f>
        <v>show</v>
      </c>
      <c r="G3611" t="str">
        <f>HYPERLINK("https://github.com/PojavLauncherTeam/PojavLauncher", "show")</f>
        <v>show</v>
      </c>
      <c r="H3611" t="str">
        <f>HYPERLINK("https://github.com/PojavLauncherTeam/PojavLauncher/releases", "show")</f>
        <v>show</v>
      </c>
      <c r="I3611">
        <v>1</v>
      </c>
      <c r="J3611">
        <v>1</v>
      </c>
      <c r="K3611">
        <v>0</v>
      </c>
      <c r="L3611">
        <v>1</v>
      </c>
      <c r="M3611" t="s">
        <v>1894</v>
      </c>
    </row>
    <row r="3612" spans="1:13" hidden="1" x14ac:dyDescent="0.15">
      <c r="A3612" t="s">
        <v>11427</v>
      </c>
      <c r="B3612" t="s">
        <v>11428</v>
      </c>
      <c r="C3612" t="s">
        <v>11429</v>
      </c>
      <c r="D3612" t="s">
        <v>11426</v>
      </c>
      <c r="E3612">
        <v>0</v>
      </c>
      <c r="F3612" t="str">
        <f>HYPERLINK("https://github.com/PojavLauncherTeam/PojavLauncher/issues/2808", "show")</f>
        <v>show</v>
      </c>
      <c r="G3612" t="str">
        <f>HYPERLINK("https://github.com/PojavLauncherTeam/PojavLauncher", "show")</f>
        <v>show</v>
      </c>
      <c r="H3612" t="str">
        <f>HYPERLINK("https://github.com/PojavLauncherTeam/PojavLauncher/releases", "show")</f>
        <v>show</v>
      </c>
      <c r="I3612">
        <v>1</v>
      </c>
      <c r="J3612">
        <v>0</v>
      </c>
      <c r="K3612">
        <v>0</v>
      </c>
      <c r="L3612">
        <v>0</v>
      </c>
      <c r="M3612" t="s">
        <v>17</v>
      </c>
    </row>
    <row r="3613" spans="1:13" x14ac:dyDescent="0.15">
      <c r="A3613" t="s">
        <v>11430</v>
      </c>
      <c r="B3613" t="s">
        <v>11431</v>
      </c>
      <c r="C3613" t="s">
        <v>11432</v>
      </c>
      <c r="D3613" t="s">
        <v>11426</v>
      </c>
      <c r="E3613">
        <v>6</v>
      </c>
      <c r="F3613" t="str">
        <f>HYPERLINK("https://github.com/doublesymmetry/react-native-track-player/issues/1420", "show")</f>
        <v>show</v>
      </c>
      <c r="G3613" t="str">
        <f>HYPERLINK("https://github.com/doublesymmetry/react-native-track-player", "show")</f>
        <v>show</v>
      </c>
      <c r="H3613" t="str">
        <f>HYPERLINK("https://github.com/doublesymmetry/react-native-track-player/releases", "show")</f>
        <v>show</v>
      </c>
      <c r="I3613">
        <v>0</v>
      </c>
      <c r="J3613">
        <v>1</v>
      </c>
      <c r="K3613">
        <v>0</v>
      </c>
      <c r="L3613">
        <v>0</v>
      </c>
      <c r="M3613" t="s">
        <v>139</v>
      </c>
    </row>
    <row r="3614" spans="1:13" hidden="1" x14ac:dyDescent="0.15">
      <c r="A3614" t="s">
        <v>11433</v>
      </c>
      <c r="B3614" t="s">
        <v>11434</v>
      </c>
      <c r="C3614" t="s">
        <v>11435</v>
      </c>
      <c r="D3614" t="s">
        <v>11426</v>
      </c>
      <c r="E3614">
        <v>0</v>
      </c>
      <c r="F3614" t="str">
        <f>HYPERLINK("https://github.com/PojavLauncherTeam/PojavLauncher/issues/2807", "show")</f>
        <v>show</v>
      </c>
      <c r="G3614" t="str">
        <f>HYPERLINK("https://github.com/PojavLauncherTeam/PojavLauncher", "show")</f>
        <v>show</v>
      </c>
      <c r="H3614" t="str">
        <f>HYPERLINK("https://github.com/PojavLauncherTeam/PojavLauncher/releases", "show")</f>
        <v>show</v>
      </c>
      <c r="I3614">
        <v>1</v>
      </c>
      <c r="J3614">
        <v>1</v>
      </c>
      <c r="K3614">
        <v>0</v>
      </c>
      <c r="L3614">
        <v>1</v>
      </c>
      <c r="M3614" t="s">
        <v>1894</v>
      </c>
    </row>
    <row r="3615" spans="1:13" hidden="1" x14ac:dyDescent="0.15">
      <c r="A3615" t="s">
        <v>11436</v>
      </c>
      <c r="B3615" t="s">
        <v>11437</v>
      </c>
      <c r="C3615" t="s">
        <v>11438</v>
      </c>
      <c r="D3615" t="s">
        <v>11426</v>
      </c>
      <c r="E3615">
        <v>8</v>
      </c>
      <c r="F3615" t="str">
        <f>HYPERLINK("https://github.com/PojavLauncherTeam/PojavLauncher/issues/2805", "show")</f>
        <v>show</v>
      </c>
      <c r="G3615" t="str">
        <f>HYPERLINK("https://github.com/PojavLauncherTeam/PojavLauncher", "show")</f>
        <v>show</v>
      </c>
      <c r="H3615" t="str">
        <f>HYPERLINK("https://github.com/PojavLauncherTeam/PojavLauncher/releases", "show")</f>
        <v>show</v>
      </c>
      <c r="I3615">
        <v>1</v>
      </c>
      <c r="J3615">
        <v>0</v>
      </c>
      <c r="K3615">
        <v>0</v>
      </c>
      <c r="L3615">
        <v>0</v>
      </c>
      <c r="M3615" t="s">
        <v>17</v>
      </c>
    </row>
    <row r="3616" spans="1:13" hidden="1" x14ac:dyDescent="0.15">
      <c r="A3616" t="s">
        <v>11439</v>
      </c>
      <c r="B3616" t="s">
        <v>11440</v>
      </c>
      <c r="C3616" t="s">
        <v>11441</v>
      </c>
      <c r="D3616" t="s">
        <v>11442</v>
      </c>
      <c r="E3616">
        <v>0</v>
      </c>
      <c r="F3616" t="str">
        <f>HYPERLINK("https://github.com/PojavLauncherTeam/PojavLauncher/issues/2793", "show")</f>
        <v>show</v>
      </c>
      <c r="G3616" t="str">
        <f>HYPERLINK("https://github.com/PojavLauncherTeam/PojavLauncher", "show")</f>
        <v>show</v>
      </c>
      <c r="H3616" t="str">
        <f>HYPERLINK("https://github.com/PojavLauncherTeam/PojavLauncher/releases", "show")</f>
        <v>show</v>
      </c>
      <c r="I3616">
        <v>1</v>
      </c>
      <c r="J3616">
        <v>0</v>
      </c>
      <c r="K3616">
        <v>0</v>
      </c>
      <c r="L3616">
        <v>0</v>
      </c>
      <c r="M3616" t="s">
        <v>17</v>
      </c>
    </row>
    <row r="3617" spans="1:13" hidden="1" x14ac:dyDescent="0.15">
      <c r="A3617" t="s">
        <v>11443</v>
      </c>
      <c r="B3617" t="s">
        <v>11444</v>
      </c>
      <c r="C3617" t="s">
        <v>11445</v>
      </c>
      <c r="D3617" t="s">
        <v>11446</v>
      </c>
      <c r="E3617">
        <v>0</v>
      </c>
      <c r="F3617" t="str">
        <f>HYPERLINK("https://github.com/Anuken/Mindustry/issues/6600", "show")</f>
        <v>show</v>
      </c>
      <c r="G3617" t="str">
        <f>HYPERLINK("https://github.com/Anuken/Mindustry", "show")</f>
        <v>show</v>
      </c>
      <c r="H3617" t="str">
        <f>HYPERLINK("https://github.com/Anuken/Mindustry/releases", "show")</f>
        <v>show</v>
      </c>
      <c r="I3617">
        <v>1</v>
      </c>
      <c r="J3617">
        <v>1</v>
      </c>
      <c r="K3617">
        <v>0</v>
      </c>
      <c r="L3617">
        <v>0</v>
      </c>
      <c r="M3617" t="s">
        <v>48</v>
      </c>
    </row>
    <row r="3618" spans="1:13" hidden="1" x14ac:dyDescent="0.15">
      <c r="A3618" t="s">
        <v>11447</v>
      </c>
      <c r="B3618" t="s">
        <v>11448</v>
      </c>
      <c r="C3618" t="s">
        <v>11449</v>
      </c>
      <c r="D3618" t="s">
        <v>11446</v>
      </c>
      <c r="E3618">
        <v>5</v>
      </c>
      <c r="F3618" t="str">
        <f>HYPERLINK("https://github.com/cgeo/cgeo/issues/12803", "show")</f>
        <v>show</v>
      </c>
      <c r="G3618" t="str">
        <f>HYPERLINK("https://github.com/cgeo/cgeo", "show")</f>
        <v>show</v>
      </c>
      <c r="H3618" t="str">
        <f>HYPERLINK("https://github.com/cgeo/cgeo/releases", "show")</f>
        <v>show</v>
      </c>
      <c r="I3618">
        <v>1</v>
      </c>
      <c r="J3618">
        <v>1</v>
      </c>
      <c r="K3618">
        <v>1</v>
      </c>
      <c r="L3618">
        <v>0</v>
      </c>
      <c r="M3618" t="s">
        <v>59</v>
      </c>
    </row>
    <row r="3619" spans="1:13" hidden="1" x14ac:dyDescent="0.15">
      <c r="A3619" t="s">
        <v>11450</v>
      </c>
      <c r="B3619" t="s">
        <v>11451</v>
      </c>
      <c r="C3619" t="s">
        <v>11452</v>
      </c>
      <c r="D3619" t="s">
        <v>11446</v>
      </c>
      <c r="E3619">
        <v>0</v>
      </c>
      <c r="F3619" t="str">
        <f>HYPERLINK("https://github.com/Anuken/Mindustry/issues/6599", "show")</f>
        <v>show</v>
      </c>
      <c r="G3619" t="str">
        <f>HYPERLINK("https://github.com/Anuken/Mindustry", "show")</f>
        <v>show</v>
      </c>
      <c r="H3619" t="str">
        <f>HYPERLINK("https://github.com/Anuken/Mindustry/releases", "show")</f>
        <v>show</v>
      </c>
      <c r="I3619">
        <v>0</v>
      </c>
      <c r="J3619">
        <v>0</v>
      </c>
      <c r="K3619">
        <v>0</v>
      </c>
      <c r="L3619">
        <v>0</v>
      </c>
      <c r="M3619" t="s">
        <v>43</v>
      </c>
    </row>
    <row r="3620" spans="1:13" hidden="1" x14ac:dyDescent="0.15">
      <c r="A3620" t="s">
        <v>11453</v>
      </c>
      <c r="B3620" t="s">
        <v>11454</v>
      </c>
      <c r="C3620" t="s">
        <v>11455</v>
      </c>
      <c r="D3620" t="s">
        <v>11446</v>
      </c>
      <c r="E3620">
        <v>6</v>
      </c>
      <c r="F3620" t="str">
        <f>HYPERLINK("https://github.com/overlevelsesguiden/The10H-Android/issues/15", "show")</f>
        <v>show</v>
      </c>
      <c r="G3620" t="str">
        <f>HYPERLINK("https://github.com/overlevelsesguiden/The10H-Android", "show")</f>
        <v>show</v>
      </c>
      <c r="H3620" t="str">
        <f>HYPERLINK("https://github.com/overlevelsesguiden/The10H-Android/releases", "show")</f>
        <v>show</v>
      </c>
      <c r="I3620">
        <v>1</v>
      </c>
      <c r="J3620">
        <v>0</v>
      </c>
      <c r="K3620">
        <v>1</v>
      </c>
      <c r="L3620">
        <v>0</v>
      </c>
      <c r="M3620" t="s">
        <v>64</v>
      </c>
    </row>
    <row r="3621" spans="1:13" hidden="1" x14ac:dyDescent="0.15">
      <c r="A3621" t="s">
        <v>11456</v>
      </c>
      <c r="B3621" t="s">
        <v>11457</v>
      </c>
      <c r="C3621" t="s">
        <v>11458</v>
      </c>
      <c r="D3621" t="s">
        <v>11446</v>
      </c>
      <c r="E3621">
        <v>0</v>
      </c>
      <c r="F3621" t="str">
        <f>HYPERLINK("https://github.com/PojavLauncherTeam/PojavLauncher/issues/2780", "show")</f>
        <v>show</v>
      </c>
      <c r="G3621" t="str">
        <f>HYPERLINK("https://github.com/PojavLauncherTeam/PojavLauncher", "show")</f>
        <v>show</v>
      </c>
      <c r="H3621" t="str">
        <f>HYPERLINK("https://github.com/PojavLauncherTeam/PojavLauncher/releases", "show")</f>
        <v>show</v>
      </c>
      <c r="I3621">
        <v>0</v>
      </c>
      <c r="J3621">
        <v>1</v>
      </c>
      <c r="K3621">
        <v>1</v>
      </c>
      <c r="L3621">
        <v>0</v>
      </c>
      <c r="M3621" t="s">
        <v>699</v>
      </c>
    </row>
    <row r="3622" spans="1:13" hidden="1" x14ac:dyDescent="0.15">
      <c r="A3622" t="s">
        <v>11459</v>
      </c>
      <c r="B3622" t="s">
        <v>11460</v>
      </c>
      <c r="C3622" t="s">
        <v>11461</v>
      </c>
      <c r="D3622" t="s">
        <v>11462</v>
      </c>
      <c r="E3622">
        <v>1</v>
      </c>
      <c r="F3622" t="str">
        <f>HYPERLINK("https://github.com/Anuken/Mindustry/issues/6597", "show")</f>
        <v>show</v>
      </c>
      <c r="G3622" t="str">
        <f>HYPERLINK("https://github.com/Anuken/Mindustry", "show")</f>
        <v>show</v>
      </c>
      <c r="H3622" t="str">
        <f>HYPERLINK("https://github.com/Anuken/Mindustry/releases", "show")</f>
        <v>show</v>
      </c>
      <c r="I3622">
        <v>1</v>
      </c>
      <c r="J3622">
        <v>1</v>
      </c>
      <c r="K3622">
        <v>0</v>
      </c>
      <c r="L3622">
        <v>0</v>
      </c>
      <c r="M3622" t="s">
        <v>48</v>
      </c>
    </row>
    <row r="3623" spans="1:13" hidden="1" x14ac:dyDescent="0.15">
      <c r="A3623" t="s">
        <v>11463</v>
      </c>
      <c r="B3623" t="s">
        <v>11464</v>
      </c>
      <c r="C3623" t="s">
        <v>11465</v>
      </c>
      <c r="D3623" t="s">
        <v>11462</v>
      </c>
      <c r="E3623">
        <v>0</v>
      </c>
      <c r="F3623" t="str">
        <f>HYPERLINK("https://github.com/Aliucord/Aliucord/issues/220", "show")</f>
        <v>show</v>
      </c>
      <c r="G3623" t="str">
        <f>HYPERLINK("https://github.com/Aliucord/Aliucord", "show")</f>
        <v>show</v>
      </c>
      <c r="H3623" t="str">
        <f>HYPERLINK("https://github.com/Aliucord/Aliucord/releases", "show")</f>
        <v>show</v>
      </c>
      <c r="I3623">
        <v>1</v>
      </c>
      <c r="J3623">
        <v>1</v>
      </c>
      <c r="K3623">
        <v>0</v>
      </c>
      <c r="L3623">
        <v>1</v>
      </c>
      <c r="M3623" t="s">
        <v>1894</v>
      </c>
    </row>
    <row r="3624" spans="1:13" hidden="1" x14ac:dyDescent="0.15">
      <c r="A3624" t="s">
        <v>11466</v>
      </c>
      <c r="B3624" t="s">
        <v>11467</v>
      </c>
      <c r="C3624" t="s">
        <v>11468</v>
      </c>
      <c r="D3624" t="s">
        <v>11469</v>
      </c>
      <c r="E3624">
        <v>0</v>
      </c>
      <c r="F3624" t="str">
        <f>HYPERLINK("https://github.com/Anuken/Mindustry/issues/6594", "show")</f>
        <v>show</v>
      </c>
      <c r="G3624" t="str">
        <f>HYPERLINK("https://github.com/Anuken/Mindustry", "show")</f>
        <v>show</v>
      </c>
      <c r="H3624" t="str">
        <f>HYPERLINK("https://github.com/Anuken/Mindustry/releases", "show")</f>
        <v>show</v>
      </c>
      <c r="I3624">
        <v>1</v>
      </c>
      <c r="J3624">
        <v>1</v>
      </c>
      <c r="K3624">
        <v>0</v>
      </c>
      <c r="L3624">
        <v>0</v>
      </c>
      <c r="M3624" t="s">
        <v>48</v>
      </c>
    </row>
    <row r="3625" spans="1:13" hidden="1" x14ac:dyDescent="0.15">
      <c r="A3625" t="s">
        <v>11470</v>
      </c>
      <c r="B3625" t="s">
        <v>11471</v>
      </c>
      <c r="C3625" t="s">
        <v>11472</v>
      </c>
      <c r="D3625" t="s">
        <v>11469</v>
      </c>
      <c r="E3625">
        <v>60</v>
      </c>
      <c r="F3625" t="str">
        <f>HYPERLINK("https://github.com/Giua-app/Giua-App/issues/121", "show")</f>
        <v>show</v>
      </c>
      <c r="G3625" t="str">
        <f>HYPERLINK("https://github.com/Giua-app/Giua-App", "show")</f>
        <v>show</v>
      </c>
      <c r="H3625" t="str">
        <f>HYPERLINK("https://github.com/Giua-app/Giua-App/releases", "show")</f>
        <v>show</v>
      </c>
      <c r="I3625">
        <v>0</v>
      </c>
      <c r="J3625">
        <v>0</v>
      </c>
      <c r="K3625">
        <v>1</v>
      </c>
      <c r="L3625">
        <v>0</v>
      </c>
      <c r="M3625" t="s">
        <v>122</v>
      </c>
    </row>
    <row r="3626" spans="1:13" hidden="1" x14ac:dyDescent="0.15">
      <c r="A3626" t="s">
        <v>11473</v>
      </c>
      <c r="B3626" t="s">
        <v>11474</v>
      </c>
      <c r="C3626" t="s">
        <v>11475</v>
      </c>
      <c r="D3626" t="s">
        <v>11469</v>
      </c>
      <c r="E3626">
        <v>1</v>
      </c>
      <c r="F3626" t="str">
        <f>HYPERLINK("https://github.com/brodeurlv/fastnfitness/issues/252", "show")</f>
        <v>show</v>
      </c>
      <c r="G3626" t="str">
        <f>HYPERLINK("https://github.com/brodeurlv/fastnfitness", "show")</f>
        <v>show</v>
      </c>
      <c r="H3626" t="str">
        <f>HYPERLINK("https://github.com/brodeurlv/fastnfitness/releases", "show")</f>
        <v>show</v>
      </c>
      <c r="I3626">
        <v>1</v>
      </c>
      <c r="J3626">
        <v>1</v>
      </c>
      <c r="K3626">
        <v>1</v>
      </c>
      <c r="L3626">
        <v>0</v>
      </c>
      <c r="M3626" t="s">
        <v>59</v>
      </c>
    </row>
    <row r="3627" spans="1:13" x14ac:dyDescent="0.15">
      <c r="A3627" t="s">
        <v>11476</v>
      </c>
      <c r="B3627" t="s">
        <v>11477</v>
      </c>
      <c r="C3627" t="s">
        <v>11478</v>
      </c>
      <c r="D3627" t="s">
        <v>11469</v>
      </c>
      <c r="E3627">
        <v>2</v>
      </c>
      <c r="F3627" t="str">
        <f>HYPERLINK("https://github.com/TeamNewPipe/NewPipe/issues/7921", "show")</f>
        <v>show</v>
      </c>
      <c r="G3627" t="str">
        <f>HYPERLINK("https://github.com/TeamNewPipe/NewPipe", "show")</f>
        <v>show</v>
      </c>
      <c r="H3627" t="str">
        <f>HYPERLINK("https://github.com/TeamNewPipe/NewPipe/releases", "show")</f>
        <v>show</v>
      </c>
      <c r="I3627">
        <v>0</v>
      </c>
      <c r="J3627">
        <v>1</v>
      </c>
      <c r="K3627">
        <v>0</v>
      </c>
      <c r="L3627">
        <v>0</v>
      </c>
      <c r="M3627" t="s">
        <v>139</v>
      </c>
    </row>
    <row r="3628" spans="1:13" hidden="1" x14ac:dyDescent="0.15">
      <c r="A3628" t="s">
        <v>11479</v>
      </c>
      <c r="B3628" t="s">
        <v>11480</v>
      </c>
      <c r="C3628" t="s">
        <v>11481</v>
      </c>
      <c r="D3628" t="s">
        <v>11482</v>
      </c>
      <c r="E3628">
        <v>9</v>
      </c>
      <c r="F3628" t="str">
        <f>HYPERLINK("https://github.com/Udhayarajan/VidSnap/issues/7", "show")</f>
        <v>show</v>
      </c>
      <c r="G3628" t="str">
        <f>HYPERLINK("https://github.com/Udhayarajan/VidSnap", "show")</f>
        <v>show</v>
      </c>
      <c r="H3628" t="str">
        <f>HYPERLINK("https://github.com/Udhayarajan/VidSnap/releases", "show")</f>
        <v>show</v>
      </c>
      <c r="I3628">
        <v>0</v>
      </c>
      <c r="J3628">
        <v>0</v>
      </c>
      <c r="K3628">
        <v>0</v>
      </c>
      <c r="L3628">
        <v>0</v>
      </c>
      <c r="M3628" t="s">
        <v>43</v>
      </c>
    </row>
    <row r="3629" spans="1:13" hidden="1" x14ac:dyDescent="0.15">
      <c r="A3629" t="s">
        <v>11483</v>
      </c>
      <c r="B3629" t="s">
        <v>11484</v>
      </c>
      <c r="C3629" t="s">
        <v>11485</v>
      </c>
      <c r="D3629" t="s">
        <v>11486</v>
      </c>
      <c r="E3629">
        <v>2</v>
      </c>
      <c r="F3629" t="str">
        <f>HYPERLINK("https://github.com/PojavLauncherTeam/PojavLauncher/issues/2757", "show")</f>
        <v>show</v>
      </c>
      <c r="G3629" t="str">
        <f>HYPERLINK("https://github.com/PojavLauncherTeam/PojavLauncher", "show")</f>
        <v>show</v>
      </c>
      <c r="H3629" t="str">
        <f>HYPERLINK("https://github.com/PojavLauncherTeam/PojavLauncher/releases", "show")</f>
        <v>show</v>
      </c>
      <c r="I3629">
        <v>0</v>
      </c>
      <c r="J3629">
        <v>0</v>
      </c>
      <c r="K3629">
        <v>1</v>
      </c>
      <c r="L3629">
        <v>0</v>
      </c>
      <c r="M3629" t="s">
        <v>122</v>
      </c>
    </row>
    <row r="3630" spans="1:13" hidden="1" x14ac:dyDescent="0.15">
      <c r="A3630" t="s">
        <v>11487</v>
      </c>
      <c r="B3630" t="s">
        <v>11488</v>
      </c>
      <c r="C3630" t="s">
        <v>11489</v>
      </c>
      <c r="D3630" t="s">
        <v>11490</v>
      </c>
      <c r="E3630">
        <v>42</v>
      </c>
      <c r="F3630" t="str">
        <f>HYPERLINK("https://github.com/google/ExoPlayer/issues/9989", "show")</f>
        <v>show</v>
      </c>
      <c r="G3630" t="str">
        <f>HYPERLINK("https://github.com/google/ExoPlayer", "show")</f>
        <v>show</v>
      </c>
      <c r="H3630" t="str">
        <f>HYPERLINK("https://github.com/google/ExoPlayer/releases", "show")</f>
        <v>show</v>
      </c>
      <c r="I3630">
        <v>1</v>
      </c>
      <c r="J3630">
        <v>1</v>
      </c>
      <c r="K3630">
        <v>0</v>
      </c>
      <c r="L3630">
        <v>0</v>
      </c>
      <c r="M3630" t="s">
        <v>48</v>
      </c>
    </row>
    <row r="3631" spans="1:13" x14ac:dyDescent="0.15">
      <c r="A3631" t="s">
        <v>11491</v>
      </c>
      <c r="B3631" t="s">
        <v>11492</v>
      </c>
      <c r="C3631" t="s">
        <v>11493</v>
      </c>
      <c r="D3631" t="s">
        <v>11490</v>
      </c>
      <c r="E3631">
        <v>27</v>
      </c>
      <c r="F3631" t="str">
        <f>HYPERLINK("https://github.com/PojavLauncherTeam/PojavLauncher/issues/2753", "show")</f>
        <v>show</v>
      </c>
      <c r="G3631" t="str">
        <f>HYPERLINK("https://github.com/PojavLauncherTeam/PojavLauncher", "show")</f>
        <v>show</v>
      </c>
      <c r="H3631" t="str">
        <f>HYPERLINK("https://github.com/PojavLauncherTeam/PojavLauncher/releases", "show")</f>
        <v>show</v>
      </c>
      <c r="I3631">
        <v>0</v>
      </c>
      <c r="J3631">
        <v>1</v>
      </c>
      <c r="K3631">
        <v>0</v>
      </c>
      <c r="L3631">
        <v>0</v>
      </c>
      <c r="M3631" t="s">
        <v>139</v>
      </c>
    </row>
    <row r="3632" spans="1:13" x14ac:dyDescent="0.15">
      <c r="A3632" t="s">
        <v>11494</v>
      </c>
      <c r="B3632" t="s">
        <v>11495</v>
      </c>
      <c r="C3632" t="s">
        <v>11496</v>
      </c>
      <c r="D3632" t="s">
        <v>11490</v>
      </c>
      <c r="E3632">
        <v>0</v>
      </c>
      <c r="F3632" t="str">
        <f>HYPERLINK("https://github.com/Anuken/Mindustry/issues/6585", "show")</f>
        <v>show</v>
      </c>
      <c r="G3632" t="str">
        <f>HYPERLINK("https://github.com/Anuken/Mindustry", "show")</f>
        <v>show</v>
      </c>
      <c r="H3632" t="str">
        <f>HYPERLINK("https://github.com/Anuken/Mindustry/releases", "show")</f>
        <v>show</v>
      </c>
      <c r="I3632">
        <v>0</v>
      </c>
      <c r="J3632">
        <v>1</v>
      </c>
      <c r="K3632">
        <v>0</v>
      </c>
      <c r="L3632">
        <v>0</v>
      </c>
      <c r="M3632" t="s">
        <v>139</v>
      </c>
    </row>
    <row r="3633" spans="1:13" hidden="1" x14ac:dyDescent="0.15">
      <c r="A3633" t="s">
        <v>11497</v>
      </c>
      <c r="B3633" t="s">
        <v>11498</v>
      </c>
      <c r="C3633" t="s">
        <v>11499</v>
      </c>
      <c r="D3633" t="s">
        <v>11500</v>
      </c>
      <c r="E3633">
        <v>0</v>
      </c>
      <c r="F3633" t="str">
        <f>HYPERLINK("https://github.com/Aliucord/Aliucord/issues/217", "show")</f>
        <v>show</v>
      </c>
      <c r="G3633" t="str">
        <f>HYPERLINK("https://github.com/Aliucord/Aliucord", "show")</f>
        <v>show</v>
      </c>
      <c r="H3633" t="str">
        <f>HYPERLINK("https://github.com/Aliucord/Aliucord/releases", "show")</f>
        <v>show</v>
      </c>
      <c r="I3633">
        <v>1</v>
      </c>
      <c r="J3633">
        <v>1</v>
      </c>
      <c r="K3633">
        <v>0</v>
      </c>
      <c r="L3633">
        <v>0</v>
      </c>
      <c r="M3633" t="s">
        <v>48</v>
      </c>
    </row>
    <row r="3634" spans="1:13" hidden="1" x14ac:dyDescent="0.15">
      <c r="A3634" t="s">
        <v>11501</v>
      </c>
      <c r="B3634" t="s">
        <v>11502</v>
      </c>
      <c r="C3634" t="s">
        <v>11503</v>
      </c>
      <c r="D3634" t="s">
        <v>11500</v>
      </c>
      <c r="E3634">
        <v>3</v>
      </c>
      <c r="F3634" t="str">
        <f>HYPERLINK("https://github.com/jellyfin/jellyfin-androidtv/issues/1450", "show")</f>
        <v>show</v>
      </c>
      <c r="G3634" t="str">
        <f>HYPERLINK("https://github.com/jellyfin/jellyfin-androidtv", "show")</f>
        <v>show</v>
      </c>
      <c r="H3634" t="str">
        <f>HYPERLINK("https://github.com/jellyfin/jellyfin-androidtv/releases", "show")</f>
        <v>show</v>
      </c>
      <c r="I3634">
        <v>0</v>
      </c>
      <c r="J3634">
        <v>0</v>
      </c>
      <c r="K3634">
        <v>0</v>
      </c>
      <c r="L3634">
        <v>0</v>
      </c>
      <c r="M3634" t="s">
        <v>43</v>
      </c>
    </row>
    <row r="3635" spans="1:13" hidden="1" x14ac:dyDescent="0.15">
      <c r="A3635" t="s">
        <v>11504</v>
      </c>
      <c r="B3635" t="s">
        <v>11505</v>
      </c>
      <c r="C3635" t="s">
        <v>11506</v>
      </c>
      <c r="D3635" t="s">
        <v>11500</v>
      </c>
      <c r="E3635">
        <v>0</v>
      </c>
      <c r="F3635" t="str">
        <f>HYPERLINK("https://github.com/Anuken/Mindustry/issues/6581", "show")</f>
        <v>show</v>
      </c>
      <c r="G3635" t="str">
        <f>HYPERLINK("https://github.com/Anuken/Mindustry", "show")</f>
        <v>show</v>
      </c>
      <c r="H3635" t="str">
        <f>HYPERLINK("https://github.com/Anuken/Mindustry/releases", "show")</f>
        <v>show</v>
      </c>
      <c r="I3635">
        <v>1</v>
      </c>
      <c r="J3635">
        <v>1</v>
      </c>
      <c r="K3635">
        <v>1</v>
      </c>
      <c r="L3635">
        <v>0</v>
      </c>
      <c r="M3635" t="s">
        <v>59</v>
      </c>
    </row>
    <row r="3636" spans="1:13" hidden="1" x14ac:dyDescent="0.15">
      <c r="A3636" t="s">
        <v>11507</v>
      </c>
      <c r="B3636" t="s">
        <v>11508</v>
      </c>
      <c r="C3636" t="s">
        <v>11509</v>
      </c>
      <c r="D3636" t="s">
        <v>11510</v>
      </c>
      <c r="E3636">
        <v>21</v>
      </c>
      <c r="F3636" t="str">
        <f>HYPERLINK("https://github.com/PojavLauncherTeam/PojavLauncher/issues/2743", "show")</f>
        <v>show</v>
      </c>
      <c r="G3636" t="str">
        <f>HYPERLINK("https://github.com/PojavLauncherTeam/PojavLauncher", "show")</f>
        <v>show</v>
      </c>
      <c r="H3636" t="str">
        <f>HYPERLINK("https://github.com/PojavLauncherTeam/PojavLauncher/releases", "show")</f>
        <v>show</v>
      </c>
      <c r="I3636">
        <v>1</v>
      </c>
      <c r="J3636">
        <v>1</v>
      </c>
      <c r="K3636">
        <v>0</v>
      </c>
      <c r="L3636">
        <v>0</v>
      </c>
      <c r="M3636" t="s">
        <v>48</v>
      </c>
    </row>
    <row r="3637" spans="1:13" hidden="1" x14ac:dyDescent="0.15">
      <c r="A3637" t="s">
        <v>11511</v>
      </c>
      <c r="B3637" t="s">
        <v>11512</v>
      </c>
      <c r="C3637" t="s">
        <v>11513</v>
      </c>
      <c r="D3637" t="s">
        <v>11510</v>
      </c>
      <c r="E3637">
        <v>2</v>
      </c>
      <c r="F3637" t="str">
        <f>HYPERLINK("https://github.com/canyie/pine/issues/25", "show")</f>
        <v>show</v>
      </c>
      <c r="G3637" t="str">
        <f>HYPERLINK("https://github.com/canyie/pine", "show")</f>
        <v>show</v>
      </c>
      <c r="H3637" t="str">
        <f>HYPERLINK("https://github.com/canyie/pine/releases", "show")</f>
        <v>show</v>
      </c>
      <c r="I3637">
        <v>1</v>
      </c>
      <c r="J3637">
        <v>0</v>
      </c>
      <c r="K3637">
        <v>0</v>
      </c>
      <c r="L3637">
        <v>0</v>
      </c>
      <c r="M3637" t="s">
        <v>17</v>
      </c>
    </row>
    <row r="3638" spans="1:13" hidden="1" x14ac:dyDescent="0.15">
      <c r="A3638" t="s">
        <v>11514</v>
      </c>
      <c r="B3638" t="s">
        <v>11515</v>
      </c>
      <c r="C3638" t="s">
        <v>11516</v>
      </c>
      <c r="D3638" t="s">
        <v>11517</v>
      </c>
      <c r="E3638">
        <v>0</v>
      </c>
      <c r="F3638" t="str">
        <f>HYPERLINK("https://github.com/Anuken/Mindustry/issues/6578", "show")</f>
        <v>show</v>
      </c>
      <c r="G3638" t="str">
        <f>HYPERLINK("https://github.com/Anuken/Mindustry", "show")</f>
        <v>show</v>
      </c>
      <c r="H3638" t="str">
        <f>HYPERLINK("https://github.com/Anuken/Mindustry/releases", "show")</f>
        <v>show</v>
      </c>
      <c r="I3638">
        <v>1</v>
      </c>
      <c r="J3638">
        <v>1</v>
      </c>
      <c r="K3638">
        <v>0</v>
      </c>
      <c r="L3638">
        <v>0</v>
      </c>
      <c r="M3638" t="s">
        <v>48</v>
      </c>
    </row>
    <row r="3639" spans="1:13" hidden="1" x14ac:dyDescent="0.15">
      <c r="A3639" t="s">
        <v>11518</v>
      </c>
      <c r="B3639" t="s">
        <v>11519</v>
      </c>
      <c r="C3639" t="s">
        <v>11520</v>
      </c>
      <c r="D3639" t="s">
        <v>11517</v>
      </c>
      <c r="E3639">
        <v>6</v>
      </c>
      <c r="F3639" t="str">
        <f>HYPERLINK("https://github.com/PojavLauncherTeam/PojavLauncher/issues/2737", "show")</f>
        <v>show</v>
      </c>
      <c r="G3639" t="str">
        <f>HYPERLINK("https://github.com/PojavLauncherTeam/PojavLauncher", "show")</f>
        <v>show</v>
      </c>
      <c r="H3639" t="str">
        <f>HYPERLINK("https://github.com/PojavLauncherTeam/PojavLauncher/releases", "show")</f>
        <v>show</v>
      </c>
      <c r="I3639">
        <v>1</v>
      </c>
      <c r="J3639">
        <v>0</v>
      </c>
      <c r="K3639">
        <v>0</v>
      </c>
      <c r="L3639">
        <v>0</v>
      </c>
      <c r="M3639" t="s">
        <v>17</v>
      </c>
    </row>
    <row r="3640" spans="1:13" hidden="1" x14ac:dyDescent="0.15">
      <c r="A3640" t="s">
        <v>11521</v>
      </c>
      <c r="B3640" t="s">
        <v>11522</v>
      </c>
      <c r="C3640" t="s">
        <v>11523</v>
      </c>
      <c r="D3640" t="s">
        <v>11517</v>
      </c>
      <c r="E3640">
        <v>0</v>
      </c>
      <c r="F3640" t="str">
        <f>HYPERLINK("https://github.com/cgeo/cgeo/issues/12745", "show")</f>
        <v>show</v>
      </c>
      <c r="G3640" t="str">
        <f>HYPERLINK("https://github.com/cgeo/cgeo", "show")</f>
        <v>show</v>
      </c>
      <c r="H3640" t="str">
        <f>HYPERLINK("https://github.com/cgeo/cgeo/releases", "show")</f>
        <v>show</v>
      </c>
      <c r="I3640">
        <v>1</v>
      </c>
      <c r="J3640">
        <v>0</v>
      </c>
      <c r="K3640">
        <v>1</v>
      </c>
      <c r="L3640">
        <v>0</v>
      </c>
      <c r="M3640" t="s">
        <v>64</v>
      </c>
    </row>
    <row r="3641" spans="1:13" hidden="1" x14ac:dyDescent="0.15">
      <c r="A3641" t="s">
        <v>11524</v>
      </c>
      <c r="B3641" t="s">
        <v>11525</v>
      </c>
      <c r="C3641" t="s">
        <v>11526</v>
      </c>
      <c r="D3641" t="s">
        <v>11517</v>
      </c>
      <c r="E3641">
        <v>0</v>
      </c>
      <c r="F3641" t="str">
        <f>HYPERLINK("https://github.com/MuntashirAkon/AppManager/issues/680", "show")</f>
        <v>show</v>
      </c>
      <c r="G3641" t="str">
        <f>HYPERLINK("https://github.com/MuntashirAkon/AppManager", "show")</f>
        <v>show</v>
      </c>
      <c r="H3641" t="str">
        <f>HYPERLINK("https://github.com/MuntashirAkon/AppManager/releases", "show")</f>
        <v>show</v>
      </c>
      <c r="I3641">
        <v>1</v>
      </c>
      <c r="J3641">
        <v>0</v>
      </c>
      <c r="K3641">
        <v>0</v>
      </c>
      <c r="L3641">
        <v>1</v>
      </c>
      <c r="M3641" t="s">
        <v>29</v>
      </c>
    </row>
    <row r="3642" spans="1:13" hidden="1" x14ac:dyDescent="0.15">
      <c r="A3642" t="s">
        <v>11527</v>
      </c>
      <c r="B3642" t="s">
        <v>11528</v>
      </c>
      <c r="C3642" t="s">
        <v>11529</v>
      </c>
      <c r="D3642" t="s">
        <v>11517</v>
      </c>
      <c r="E3642">
        <v>0</v>
      </c>
      <c r="F3642" t="str">
        <f>HYPERLINK("https://github.com/yasirkula/UnityNativeShare/issues/139", "show")</f>
        <v>show</v>
      </c>
      <c r="G3642" t="str">
        <f>HYPERLINK("https://github.com/yasirkula/UnityNativeShare", "show")</f>
        <v>show</v>
      </c>
      <c r="H3642" t="str">
        <f>HYPERLINK("https://github.com/yasirkula/UnityNativeShare/releases", "show")</f>
        <v>show</v>
      </c>
      <c r="I3642">
        <v>1</v>
      </c>
      <c r="J3642">
        <v>0</v>
      </c>
      <c r="K3642">
        <v>0</v>
      </c>
      <c r="L3642">
        <v>0</v>
      </c>
      <c r="M3642" t="s">
        <v>17</v>
      </c>
    </row>
    <row r="3643" spans="1:13" hidden="1" x14ac:dyDescent="0.15">
      <c r="A3643" t="s">
        <v>11530</v>
      </c>
      <c r="B3643" t="s">
        <v>11531</v>
      </c>
      <c r="C3643" t="s">
        <v>11532</v>
      </c>
      <c r="D3643" t="s">
        <v>11533</v>
      </c>
      <c r="E3643">
        <v>0</v>
      </c>
      <c r="F3643" t="str">
        <f>HYPERLINK("https://github.com/Anuken/Mindustry/issues/6573", "show")</f>
        <v>show</v>
      </c>
      <c r="G3643" t="str">
        <f>HYPERLINK("https://github.com/Anuken/Mindustry", "show")</f>
        <v>show</v>
      </c>
      <c r="H3643" t="str">
        <f>HYPERLINK("https://github.com/Anuken/Mindustry/releases", "show")</f>
        <v>show</v>
      </c>
      <c r="I3643">
        <v>1</v>
      </c>
      <c r="J3643">
        <v>1</v>
      </c>
      <c r="K3643">
        <v>0</v>
      </c>
      <c r="L3643">
        <v>0</v>
      </c>
      <c r="M3643" t="s">
        <v>48</v>
      </c>
    </row>
    <row r="3644" spans="1:13" x14ac:dyDescent="0.15">
      <c r="A3644" t="s">
        <v>11534</v>
      </c>
      <c r="B3644" t="s">
        <v>11535</v>
      </c>
      <c r="C3644" t="s">
        <v>11536</v>
      </c>
      <c r="D3644" t="s">
        <v>11533</v>
      </c>
      <c r="E3644">
        <v>1</v>
      </c>
      <c r="F3644" t="str">
        <f>HYPERLINK("https://github.com/hzi-braunschweig/SORMAS-Project/issues/7982", "show")</f>
        <v>show</v>
      </c>
      <c r="G3644" t="str">
        <f>HYPERLINK("https://github.com/hzi-braunschweig/SORMAS-Project", "show")</f>
        <v>show</v>
      </c>
      <c r="H3644" t="str">
        <f>HYPERLINK("https://github.com/hzi-braunschweig/SORMAS-Project/releases", "show")</f>
        <v>show</v>
      </c>
      <c r="I3644">
        <v>0</v>
      </c>
      <c r="J3644">
        <v>1</v>
      </c>
      <c r="K3644">
        <v>0</v>
      </c>
      <c r="L3644">
        <v>0</v>
      </c>
      <c r="M3644" t="s">
        <v>139</v>
      </c>
    </row>
    <row r="3645" spans="1:13" hidden="1" x14ac:dyDescent="0.15">
      <c r="A3645" t="s">
        <v>11537</v>
      </c>
      <c r="B3645" t="s">
        <v>11538</v>
      </c>
      <c r="D3645" t="s">
        <v>11533</v>
      </c>
      <c r="E3645">
        <v>0</v>
      </c>
      <c r="F3645" t="str">
        <f>HYPERLINK("https://github.com/Exenifix/WeatherApp/issues/1", "show")</f>
        <v>show</v>
      </c>
      <c r="G3645" t="str">
        <f>HYPERLINK("https://github.com/Exenifix/WeatherApp", "show")</f>
        <v>show</v>
      </c>
      <c r="H3645" t="str">
        <f>HYPERLINK("https://github.com/Exenifix/WeatherApp/releases", "show")</f>
        <v>show</v>
      </c>
      <c r="I3645">
        <v>1</v>
      </c>
      <c r="J3645">
        <v>0</v>
      </c>
      <c r="K3645">
        <v>0</v>
      </c>
      <c r="L3645">
        <v>0</v>
      </c>
      <c r="M3645" t="s">
        <v>17</v>
      </c>
    </row>
    <row r="3646" spans="1:13" hidden="1" x14ac:dyDescent="0.15">
      <c r="A3646" t="s">
        <v>11539</v>
      </c>
      <c r="B3646" t="s">
        <v>11540</v>
      </c>
      <c r="C3646" t="s">
        <v>11541</v>
      </c>
      <c r="D3646" t="s">
        <v>11542</v>
      </c>
      <c r="E3646">
        <v>3</v>
      </c>
      <c r="F3646" t="str">
        <f>HYPERLINK("https://github.com/MuntashirAkon/AppManager/issues/679", "show")</f>
        <v>show</v>
      </c>
      <c r="G3646" t="str">
        <f>HYPERLINK("https://github.com/MuntashirAkon/AppManager", "show")</f>
        <v>show</v>
      </c>
      <c r="H3646" t="str">
        <f>HYPERLINK("https://github.com/MuntashirAkon/AppManager/releases", "show")</f>
        <v>show</v>
      </c>
      <c r="I3646">
        <v>0</v>
      </c>
      <c r="J3646">
        <v>0</v>
      </c>
      <c r="K3646">
        <v>1</v>
      </c>
      <c r="L3646">
        <v>0</v>
      </c>
      <c r="M3646" t="s">
        <v>122</v>
      </c>
    </row>
    <row r="3647" spans="1:13" hidden="1" x14ac:dyDescent="0.15">
      <c r="A3647" t="s">
        <v>11543</v>
      </c>
      <c r="B3647" t="s">
        <v>11544</v>
      </c>
      <c r="C3647" t="s">
        <v>11545</v>
      </c>
      <c r="D3647" t="s">
        <v>11546</v>
      </c>
      <c r="E3647">
        <v>0</v>
      </c>
      <c r="F3647" t="str">
        <f>HYPERLINK("https://github.com/PojavLauncherTeam/PojavLauncher/issues/2731", "show")</f>
        <v>show</v>
      </c>
      <c r="G3647" t="str">
        <f>HYPERLINK("https://github.com/PojavLauncherTeam/PojavLauncher", "show")</f>
        <v>show</v>
      </c>
      <c r="H3647" t="str">
        <f>HYPERLINK("https://github.com/PojavLauncherTeam/PojavLauncher/releases", "show")</f>
        <v>show</v>
      </c>
      <c r="I3647">
        <v>1</v>
      </c>
      <c r="J3647">
        <v>1</v>
      </c>
      <c r="K3647">
        <v>0</v>
      </c>
      <c r="L3647">
        <v>0</v>
      </c>
      <c r="M3647" t="s">
        <v>48</v>
      </c>
    </row>
    <row r="3648" spans="1:13" hidden="1" x14ac:dyDescent="0.15">
      <c r="A3648" t="s">
        <v>11547</v>
      </c>
      <c r="B3648" t="s">
        <v>11548</v>
      </c>
      <c r="C3648" t="s">
        <v>11549</v>
      </c>
      <c r="D3648" t="s">
        <v>11546</v>
      </c>
      <c r="E3648">
        <v>0</v>
      </c>
      <c r="F3648" t="str">
        <f>HYPERLINK("https://github.com/TeamNewPipe/NewPipe/issues/7864", "show")</f>
        <v>show</v>
      </c>
      <c r="G3648" t="str">
        <f>HYPERLINK("https://github.com/TeamNewPipe/NewPipe", "show")</f>
        <v>show</v>
      </c>
      <c r="H3648" t="str">
        <f>HYPERLINK("https://github.com/TeamNewPipe/NewPipe/releases", "show")</f>
        <v>show</v>
      </c>
      <c r="I3648">
        <v>1</v>
      </c>
      <c r="J3648">
        <v>1</v>
      </c>
      <c r="K3648">
        <v>1</v>
      </c>
      <c r="L3648">
        <v>0</v>
      </c>
      <c r="M3648" t="s">
        <v>59</v>
      </c>
    </row>
    <row r="3649" spans="1:13" hidden="1" x14ac:dyDescent="0.15">
      <c r="A3649" t="s">
        <v>11550</v>
      </c>
      <c r="B3649" t="s">
        <v>11551</v>
      </c>
      <c r="C3649" t="s">
        <v>11552</v>
      </c>
      <c r="D3649" t="s">
        <v>11546</v>
      </c>
      <c r="E3649">
        <v>11</v>
      </c>
      <c r="F3649" t="str">
        <f>HYPERLINK("https://github.com/forrestguice/SuntimesWidget/issues/556", "show")</f>
        <v>show</v>
      </c>
      <c r="G3649" t="str">
        <f>HYPERLINK("https://github.com/forrestguice/SuntimesWidget", "show")</f>
        <v>show</v>
      </c>
      <c r="H3649" t="str">
        <f>HYPERLINK("https://github.com/forrestguice/SuntimesWidget/releases", "show")</f>
        <v>show</v>
      </c>
      <c r="I3649">
        <v>1</v>
      </c>
      <c r="J3649">
        <v>0</v>
      </c>
      <c r="K3649">
        <v>0</v>
      </c>
      <c r="L3649">
        <v>0</v>
      </c>
      <c r="M3649" t="s">
        <v>17</v>
      </c>
    </row>
    <row r="3650" spans="1:13" hidden="1" x14ac:dyDescent="0.15">
      <c r="A3650" t="s">
        <v>11553</v>
      </c>
      <c r="B3650" t="s">
        <v>11554</v>
      </c>
      <c r="C3650" t="s">
        <v>11555</v>
      </c>
      <c r="D3650" t="s">
        <v>11546</v>
      </c>
      <c r="E3650">
        <v>26</v>
      </c>
      <c r="F3650" t="str">
        <f>HYPERLINK("https://github.com/googleads/googleads-mobile-flutter/issues/514", "show")</f>
        <v>show</v>
      </c>
      <c r="G3650" t="str">
        <f>HYPERLINK("https://github.com/googleads/googleads-mobile-flutter", "show")</f>
        <v>show</v>
      </c>
      <c r="H3650" t="str">
        <f>HYPERLINK("https://github.com/googleads/googleads-mobile-flutter/releases", "show")</f>
        <v>show</v>
      </c>
      <c r="I3650">
        <v>1</v>
      </c>
      <c r="J3650">
        <v>0</v>
      </c>
      <c r="K3650">
        <v>0</v>
      </c>
      <c r="L3650">
        <v>1</v>
      </c>
      <c r="M3650" t="s">
        <v>29</v>
      </c>
    </row>
    <row r="3651" spans="1:13" hidden="1" x14ac:dyDescent="0.15">
      <c r="A3651" t="s">
        <v>11556</v>
      </c>
      <c r="B3651" t="s">
        <v>11557</v>
      </c>
      <c r="C3651" t="s">
        <v>11558</v>
      </c>
      <c r="D3651" t="s">
        <v>11559</v>
      </c>
      <c r="E3651">
        <v>0</v>
      </c>
      <c r="F3651" t="str">
        <f>HYPERLINK("https://github.com/Anuken/Mindustry/issues/6567", "show")</f>
        <v>show</v>
      </c>
      <c r="G3651" t="str">
        <f>HYPERLINK("https://github.com/Anuken/Mindustry", "show")</f>
        <v>show</v>
      </c>
      <c r="H3651" t="str">
        <f>HYPERLINK("https://github.com/Anuken/Mindustry/releases", "show")</f>
        <v>show</v>
      </c>
      <c r="I3651">
        <v>1</v>
      </c>
      <c r="J3651">
        <v>0</v>
      </c>
      <c r="K3651">
        <v>0</v>
      </c>
      <c r="L3651">
        <v>0</v>
      </c>
      <c r="M3651" t="s">
        <v>17</v>
      </c>
    </row>
    <row r="3652" spans="1:13" hidden="1" x14ac:dyDescent="0.15">
      <c r="A3652" t="s">
        <v>11560</v>
      </c>
      <c r="B3652" t="s">
        <v>11561</v>
      </c>
      <c r="C3652" t="s">
        <v>11562</v>
      </c>
      <c r="D3652" t="s">
        <v>11559</v>
      </c>
      <c r="E3652">
        <v>62</v>
      </c>
      <c r="F3652" t="str">
        <f>HYPERLINK("https://github.com/doublesymmetry/react-native-track-player/issues/1407", "show")</f>
        <v>show</v>
      </c>
      <c r="G3652" t="str">
        <f>HYPERLINK("https://github.com/doublesymmetry/react-native-track-player", "show")</f>
        <v>show</v>
      </c>
      <c r="H3652" t="str">
        <f>HYPERLINK("https://github.com/doublesymmetry/react-native-track-player/releases", "show")</f>
        <v>show</v>
      </c>
      <c r="I3652">
        <v>1</v>
      </c>
      <c r="J3652">
        <v>0</v>
      </c>
      <c r="K3652">
        <v>0</v>
      </c>
      <c r="L3652">
        <v>0</v>
      </c>
      <c r="M3652" t="s">
        <v>17</v>
      </c>
    </row>
    <row r="3653" spans="1:13" hidden="1" x14ac:dyDescent="0.15">
      <c r="A3653" t="s">
        <v>11563</v>
      </c>
      <c r="B3653" t="s">
        <v>11564</v>
      </c>
      <c r="C3653" t="s">
        <v>11565</v>
      </c>
      <c r="D3653" t="s">
        <v>11559</v>
      </c>
      <c r="E3653">
        <v>25</v>
      </c>
      <c r="F3653" t="str">
        <f>HYPERLINK("https://github.com/hzi-braunschweig/SORMAS-Project/issues/7975", "show")</f>
        <v>show</v>
      </c>
      <c r="G3653" t="str">
        <f>HYPERLINK("https://github.com/hzi-braunschweig/SORMAS-Project", "show")</f>
        <v>show</v>
      </c>
      <c r="H3653" t="str">
        <f>HYPERLINK("https://github.com/hzi-braunschweig/SORMAS-Project/releases", "show")</f>
        <v>show</v>
      </c>
      <c r="I3653">
        <v>1</v>
      </c>
      <c r="J3653">
        <v>1</v>
      </c>
      <c r="K3653">
        <v>0</v>
      </c>
      <c r="L3653">
        <v>1</v>
      </c>
      <c r="M3653" t="s">
        <v>1894</v>
      </c>
    </row>
    <row r="3654" spans="1:13" hidden="1" x14ac:dyDescent="0.15">
      <c r="A3654" t="s">
        <v>11566</v>
      </c>
      <c r="B3654" t="s">
        <v>11567</v>
      </c>
      <c r="C3654" t="s">
        <v>11568</v>
      </c>
      <c r="D3654" t="s">
        <v>11569</v>
      </c>
      <c r="E3654">
        <v>6</v>
      </c>
      <c r="F3654" t="str">
        <f>HYPERLINK("https://github.com/GroupA-SODV2999-CapstoneProject/FindAndPlay/issues/13", "show")</f>
        <v>show</v>
      </c>
      <c r="G3654" t="str">
        <f>HYPERLINK("https://github.com/GroupA-SODV2999-CapstoneProject/FindAndPlay", "show")</f>
        <v>show</v>
      </c>
      <c r="H3654" t="str">
        <f>HYPERLINK("https://github.com/GroupA-SODV2999-CapstoneProject/FindAndPlay/releases", "show")</f>
        <v>show</v>
      </c>
      <c r="I3654">
        <v>1</v>
      </c>
      <c r="J3654">
        <v>0</v>
      </c>
      <c r="K3654">
        <v>1</v>
      </c>
      <c r="L3654">
        <v>0</v>
      </c>
      <c r="M3654" t="s">
        <v>64</v>
      </c>
    </row>
    <row r="3655" spans="1:13" x14ac:dyDescent="0.15">
      <c r="A3655" t="s">
        <v>11570</v>
      </c>
      <c r="B3655" t="s">
        <v>11571</v>
      </c>
      <c r="C3655" t="s">
        <v>11572</v>
      </c>
      <c r="D3655" t="s">
        <v>11569</v>
      </c>
      <c r="E3655">
        <v>0</v>
      </c>
      <c r="F3655" t="str">
        <f>HYPERLINK("https://github.com/Anuken/Mindustry/issues/6565", "show")</f>
        <v>show</v>
      </c>
      <c r="G3655" t="str">
        <f>HYPERLINK("https://github.com/Anuken/Mindustry", "show")</f>
        <v>show</v>
      </c>
      <c r="H3655" t="str">
        <f>HYPERLINK("https://github.com/Anuken/Mindustry/releases", "show")</f>
        <v>show</v>
      </c>
      <c r="I3655">
        <v>0</v>
      </c>
      <c r="J3655">
        <v>1</v>
      </c>
      <c r="K3655">
        <v>0</v>
      </c>
      <c r="L3655">
        <v>0</v>
      </c>
      <c r="M3655" t="s">
        <v>139</v>
      </c>
    </row>
    <row r="3656" spans="1:13" hidden="1" x14ac:dyDescent="0.15">
      <c r="A3656" t="s">
        <v>11573</v>
      </c>
      <c r="B3656" t="s">
        <v>11574</v>
      </c>
      <c r="C3656" t="s">
        <v>11575</v>
      </c>
      <c r="D3656" t="s">
        <v>11569</v>
      </c>
      <c r="E3656">
        <v>65</v>
      </c>
      <c r="F3656" t="str">
        <f>HYPERLINK("https://github.com/oliexdev/openScale/issues/827", "show")</f>
        <v>show</v>
      </c>
      <c r="G3656" t="str">
        <f>HYPERLINK("https://github.com/oliexdev/openScale", "show")</f>
        <v>show</v>
      </c>
      <c r="H3656" t="str">
        <f>HYPERLINK("https://github.com/oliexdev/openScale/releases", "show")</f>
        <v>show</v>
      </c>
      <c r="I3656">
        <v>1</v>
      </c>
      <c r="J3656">
        <v>0</v>
      </c>
      <c r="K3656">
        <v>1</v>
      </c>
      <c r="L3656">
        <v>0</v>
      </c>
      <c r="M3656" t="s">
        <v>64</v>
      </c>
    </row>
    <row r="3657" spans="1:13" x14ac:dyDescent="0.15">
      <c r="A3657" t="s">
        <v>11576</v>
      </c>
      <c r="B3657" t="s">
        <v>11577</v>
      </c>
      <c r="C3657" t="s">
        <v>11578</v>
      </c>
      <c r="D3657" t="s">
        <v>11579</v>
      </c>
      <c r="E3657">
        <v>2</v>
      </c>
      <c r="F3657" t="str">
        <f>HYPERLINK("https://github.com/PojavLauncherTeam/PojavLauncher/issues/2717", "show")</f>
        <v>show</v>
      </c>
      <c r="G3657" t="str">
        <f>HYPERLINK("https://github.com/PojavLauncherTeam/PojavLauncher", "show")</f>
        <v>show</v>
      </c>
      <c r="H3657" t="str">
        <f>HYPERLINK("https://github.com/PojavLauncherTeam/PojavLauncher/releases", "show")</f>
        <v>show</v>
      </c>
      <c r="I3657">
        <v>0</v>
      </c>
      <c r="J3657">
        <v>1</v>
      </c>
      <c r="K3657">
        <v>0</v>
      </c>
      <c r="L3657">
        <v>0</v>
      </c>
      <c r="M3657" t="s">
        <v>139</v>
      </c>
    </row>
    <row r="3658" spans="1:13" x14ac:dyDescent="0.15">
      <c r="A3658" t="s">
        <v>11580</v>
      </c>
      <c r="B3658" t="s">
        <v>11581</v>
      </c>
      <c r="C3658" t="s">
        <v>11582</v>
      </c>
      <c r="D3658" t="s">
        <v>11579</v>
      </c>
      <c r="E3658">
        <v>0</v>
      </c>
      <c r="F3658" t="str">
        <f>HYPERLINK("https://github.com/nextcloud/android/issues/9811", "show")</f>
        <v>show</v>
      </c>
      <c r="G3658" t="str">
        <f>HYPERLINK("https://github.com/nextcloud/android", "show")</f>
        <v>show</v>
      </c>
      <c r="H3658" t="str">
        <f>HYPERLINK("https://github.com/nextcloud/android/releases", "show")</f>
        <v>show</v>
      </c>
      <c r="I3658">
        <v>0</v>
      </c>
      <c r="J3658">
        <v>1</v>
      </c>
      <c r="K3658">
        <v>0</v>
      </c>
      <c r="L3658">
        <v>0</v>
      </c>
      <c r="M3658" t="s">
        <v>139</v>
      </c>
    </row>
    <row r="3659" spans="1:13" x14ac:dyDescent="0.15">
      <c r="A3659" t="s">
        <v>11583</v>
      </c>
      <c r="B3659" t="s">
        <v>11584</v>
      </c>
      <c r="C3659" t="s">
        <v>11585</v>
      </c>
      <c r="D3659" t="s">
        <v>11579</v>
      </c>
      <c r="E3659">
        <v>63</v>
      </c>
      <c r="F3659" t="str">
        <f>HYPERLINK("https://github.com/GoogleCloudPlatform/fda-mystudies/issues/4428", "show")</f>
        <v>show</v>
      </c>
      <c r="G3659" t="str">
        <f>HYPERLINK("https://github.com/GoogleCloudPlatform/fda-mystudies", "show")</f>
        <v>show</v>
      </c>
      <c r="H3659" t="str">
        <f>HYPERLINK("https://github.com/GoogleCloudPlatform/fda-mystudies/releases", "show")</f>
        <v>show</v>
      </c>
      <c r="I3659">
        <v>0</v>
      </c>
      <c r="J3659">
        <v>1</v>
      </c>
      <c r="K3659">
        <v>0</v>
      </c>
      <c r="L3659">
        <v>0</v>
      </c>
      <c r="M3659" t="s">
        <v>139</v>
      </c>
    </row>
    <row r="3660" spans="1:13" hidden="1" x14ac:dyDescent="0.15">
      <c r="A3660" t="s">
        <v>11586</v>
      </c>
      <c r="B3660" t="s">
        <v>11587</v>
      </c>
      <c r="C3660" t="s">
        <v>11588</v>
      </c>
      <c r="D3660" t="s">
        <v>11579</v>
      </c>
      <c r="E3660">
        <v>1</v>
      </c>
      <c r="F3660" t="str">
        <f>HYPERLINK("https://github.com/noahvogt/snailmail/issues/1", "show")</f>
        <v>show</v>
      </c>
      <c r="G3660" t="str">
        <f>HYPERLINK("https://github.com/noahvogt/snailmail", "show")</f>
        <v>show</v>
      </c>
      <c r="H3660" t="str">
        <f>HYPERLINK("https://github.com/noahvogt/snailmail/releases", "show")</f>
        <v>show</v>
      </c>
      <c r="I3660">
        <v>1</v>
      </c>
      <c r="J3660">
        <v>0</v>
      </c>
      <c r="K3660">
        <v>0</v>
      </c>
      <c r="L3660">
        <v>0</v>
      </c>
      <c r="M3660" t="s">
        <v>17</v>
      </c>
    </row>
    <row r="3661" spans="1:13" hidden="1" x14ac:dyDescent="0.15">
      <c r="A3661" t="s">
        <v>11589</v>
      </c>
      <c r="B3661" t="s">
        <v>11590</v>
      </c>
      <c r="C3661" t="s">
        <v>11591</v>
      </c>
      <c r="D3661" t="s">
        <v>11579</v>
      </c>
      <c r="E3661">
        <v>0</v>
      </c>
      <c r="F3661" t="str">
        <f>HYPERLINK("https://github.com/google/ExoPlayer/issues/9956", "show")</f>
        <v>show</v>
      </c>
      <c r="G3661" t="str">
        <f>HYPERLINK("https://github.com/google/ExoPlayer", "show")</f>
        <v>show</v>
      </c>
      <c r="H3661" t="str">
        <f>HYPERLINK("https://github.com/google/ExoPlayer/releases", "show")</f>
        <v>show</v>
      </c>
      <c r="I3661">
        <v>1</v>
      </c>
      <c r="J3661">
        <v>0</v>
      </c>
      <c r="K3661">
        <v>1</v>
      </c>
      <c r="L3661">
        <v>0</v>
      </c>
      <c r="M3661" t="s">
        <v>64</v>
      </c>
    </row>
    <row r="3662" spans="1:13" hidden="1" x14ac:dyDescent="0.15">
      <c r="A3662" t="s">
        <v>11592</v>
      </c>
      <c r="B3662" t="s">
        <v>11593</v>
      </c>
      <c r="C3662" t="s">
        <v>11594</v>
      </c>
      <c r="D3662" t="s">
        <v>11579</v>
      </c>
      <c r="E3662">
        <v>8</v>
      </c>
      <c r="F3662" t="str">
        <f>HYPERLINK("https://github.com/PojavLauncherTeam/PojavLauncher/issues/2713", "show")</f>
        <v>show</v>
      </c>
      <c r="G3662" t="str">
        <f>HYPERLINK("https://github.com/PojavLauncherTeam/PojavLauncher", "show")</f>
        <v>show</v>
      </c>
      <c r="H3662" t="str">
        <f>HYPERLINK("https://github.com/PojavLauncherTeam/PojavLauncher/releases", "show")</f>
        <v>show</v>
      </c>
      <c r="I3662">
        <v>1</v>
      </c>
      <c r="J3662">
        <v>1</v>
      </c>
      <c r="K3662">
        <v>0</v>
      </c>
      <c r="L3662">
        <v>0</v>
      </c>
      <c r="M3662" t="s">
        <v>48</v>
      </c>
    </row>
    <row r="3663" spans="1:13" hidden="1" x14ac:dyDescent="0.15">
      <c r="A3663" t="s">
        <v>11595</v>
      </c>
      <c r="B3663" t="s">
        <v>11596</v>
      </c>
      <c r="C3663" t="s">
        <v>11597</v>
      </c>
      <c r="D3663" t="s">
        <v>11598</v>
      </c>
      <c r="E3663">
        <v>0</v>
      </c>
      <c r="F3663" t="str">
        <f>HYPERLINK("https://github.com/lordYorden/ToDoListAndroid/issues/25", "show")</f>
        <v>show</v>
      </c>
      <c r="G3663" t="str">
        <f>HYPERLINK("https://github.com/lordYorden/ToDoListAndroid", "show")</f>
        <v>show</v>
      </c>
      <c r="H3663" t="str">
        <f>HYPERLINK("https://github.com/lordYorden/ToDoListAndroid/releases", "show")</f>
        <v>show</v>
      </c>
      <c r="I3663">
        <v>0</v>
      </c>
      <c r="J3663">
        <v>0</v>
      </c>
      <c r="K3663">
        <v>0</v>
      </c>
      <c r="L3663">
        <v>0</v>
      </c>
      <c r="M3663" t="s">
        <v>43</v>
      </c>
    </row>
    <row r="3664" spans="1:13" hidden="1" x14ac:dyDescent="0.15">
      <c r="A3664" t="s">
        <v>11599</v>
      </c>
      <c r="B3664" t="s">
        <v>11600</v>
      </c>
      <c r="C3664" t="s">
        <v>11601</v>
      </c>
      <c r="D3664" t="s">
        <v>11602</v>
      </c>
      <c r="E3664">
        <v>3</v>
      </c>
      <c r="F3664" t="str">
        <f>HYPERLINK("https://github.com/doublesymmetry/react-native-track-player/issues/1403", "show")</f>
        <v>show</v>
      </c>
      <c r="G3664" t="str">
        <f>HYPERLINK("https://github.com/doublesymmetry/react-native-track-player", "show")</f>
        <v>show</v>
      </c>
      <c r="H3664" t="str">
        <f>HYPERLINK("https://github.com/doublesymmetry/react-native-track-player/releases", "show")</f>
        <v>show</v>
      </c>
      <c r="I3664">
        <v>1</v>
      </c>
      <c r="J3664">
        <v>1</v>
      </c>
      <c r="K3664">
        <v>1</v>
      </c>
      <c r="L3664">
        <v>0</v>
      </c>
      <c r="M3664" t="s">
        <v>59</v>
      </c>
    </row>
    <row r="3665" spans="1:13" hidden="1" x14ac:dyDescent="0.15">
      <c r="A3665" t="s">
        <v>11603</v>
      </c>
      <c r="B3665" t="s">
        <v>11604</v>
      </c>
      <c r="C3665" t="s">
        <v>11605</v>
      </c>
      <c r="D3665" t="s">
        <v>11602</v>
      </c>
      <c r="E3665">
        <v>0</v>
      </c>
      <c r="F3665" t="str">
        <f>HYPERLINK("https://github.com/PojavLauncherTeam/PojavLauncher/issues/2703", "show")</f>
        <v>show</v>
      </c>
      <c r="G3665" t="str">
        <f>HYPERLINK("https://github.com/PojavLauncherTeam/PojavLauncher", "show")</f>
        <v>show</v>
      </c>
      <c r="H3665" t="str">
        <f>HYPERLINK("https://github.com/PojavLauncherTeam/PojavLauncher/releases", "show")</f>
        <v>show</v>
      </c>
      <c r="I3665">
        <v>0</v>
      </c>
      <c r="J3665">
        <v>0</v>
      </c>
      <c r="K3665">
        <v>1</v>
      </c>
      <c r="L3665">
        <v>0</v>
      </c>
      <c r="M3665" t="s">
        <v>122</v>
      </c>
    </row>
    <row r="3666" spans="1:13" hidden="1" x14ac:dyDescent="0.15">
      <c r="A3666" t="s">
        <v>11606</v>
      </c>
      <c r="B3666" t="s">
        <v>11607</v>
      </c>
      <c r="C3666" t="s">
        <v>11608</v>
      </c>
      <c r="D3666" t="s">
        <v>11602</v>
      </c>
      <c r="E3666">
        <v>0</v>
      </c>
      <c r="F3666" t="str">
        <f>HYPERLINK("https://github.com/fossasia/pslab-android/issues/2320", "show")</f>
        <v>show</v>
      </c>
      <c r="G3666" t="str">
        <f>HYPERLINK("https://github.com/fossasia/pslab-android", "show")</f>
        <v>show</v>
      </c>
      <c r="H3666" t="str">
        <f>HYPERLINK("https://github.com/fossasia/pslab-android/releases", "show")</f>
        <v>show</v>
      </c>
      <c r="I3666">
        <v>1</v>
      </c>
      <c r="J3666">
        <v>0</v>
      </c>
      <c r="K3666">
        <v>0</v>
      </c>
      <c r="L3666">
        <v>0</v>
      </c>
      <c r="M3666" t="s">
        <v>17</v>
      </c>
    </row>
    <row r="3667" spans="1:13" hidden="1" x14ac:dyDescent="0.15">
      <c r="A3667" t="s">
        <v>11609</v>
      </c>
      <c r="B3667" t="s">
        <v>11610</v>
      </c>
      <c r="D3667" t="s">
        <v>11602</v>
      </c>
      <c r="E3667">
        <v>0</v>
      </c>
      <c r="F3667" t="str">
        <f>HYPERLINK("https://github.com/ASE-Projekte-WS-2021/ase-ws-21-konferenzassistent/issues/39", "show")</f>
        <v>show</v>
      </c>
      <c r="G3667" t="str">
        <f>HYPERLINK("https://github.com/ASE-Projekte-WS-2021/ase-ws-21-konferenzassistent", "show")</f>
        <v>show</v>
      </c>
      <c r="H3667" t="str">
        <f>HYPERLINK("https://github.com/ASE-Projekte-WS-2021/ase-ws-21-konferenzassistent/releases", "show")</f>
        <v>show</v>
      </c>
      <c r="I3667">
        <v>0</v>
      </c>
      <c r="J3667">
        <v>0</v>
      </c>
      <c r="K3667">
        <v>1</v>
      </c>
      <c r="L3667">
        <v>0</v>
      </c>
      <c r="M3667" t="s">
        <v>122</v>
      </c>
    </row>
    <row r="3668" spans="1:13" x14ac:dyDescent="0.15">
      <c r="A3668" t="s">
        <v>11611</v>
      </c>
      <c r="B3668" t="s">
        <v>11612</v>
      </c>
      <c r="C3668" t="s">
        <v>11613</v>
      </c>
      <c r="D3668" t="s">
        <v>11614</v>
      </c>
      <c r="E3668">
        <v>3</v>
      </c>
      <c r="F3668" t="str">
        <f>HYPERLINK("https://github.com/PojavLauncherTeam/PojavLauncher/issues/2699", "show")</f>
        <v>show</v>
      </c>
      <c r="G3668" t="str">
        <f>HYPERLINK("https://github.com/PojavLauncherTeam/PojavLauncher", "show")</f>
        <v>show</v>
      </c>
      <c r="H3668" t="str">
        <f>HYPERLINK("https://github.com/PojavLauncherTeam/PojavLauncher/releases", "show")</f>
        <v>show</v>
      </c>
      <c r="I3668">
        <v>0</v>
      </c>
      <c r="J3668">
        <v>1</v>
      </c>
      <c r="K3668">
        <v>0</v>
      </c>
      <c r="L3668">
        <v>0</v>
      </c>
      <c r="M3668" t="s">
        <v>139</v>
      </c>
    </row>
    <row r="3669" spans="1:13" hidden="1" x14ac:dyDescent="0.15">
      <c r="A3669" t="s">
        <v>11615</v>
      </c>
      <c r="B3669" t="s">
        <v>11616</v>
      </c>
      <c r="C3669" t="s">
        <v>11617</v>
      </c>
      <c r="D3669" t="s">
        <v>11614</v>
      </c>
      <c r="E3669">
        <v>0</v>
      </c>
      <c r="F3669" t="str">
        <f>HYPERLINK("https://github.com/PojavLauncherTeam/PojavLauncher/issues/2698", "show")</f>
        <v>show</v>
      </c>
      <c r="G3669" t="str">
        <f>HYPERLINK("https://github.com/PojavLauncherTeam/PojavLauncher", "show")</f>
        <v>show</v>
      </c>
      <c r="H3669" t="str">
        <f>HYPERLINK("https://github.com/PojavLauncherTeam/PojavLauncher/releases", "show")</f>
        <v>show</v>
      </c>
      <c r="I3669">
        <v>1</v>
      </c>
      <c r="J3669">
        <v>1</v>
      </c>
      <c r="K3669">
        <v>0</v>
      </c>
      <c r="L3669">
        <v>0</v>
      </c>
      <c r="M3669" t="s">
        <v>48</v>
      </c>
    </row>
    <row r="3670" spans="1:13" hidden="1" x14ac:dyDescent="0.15">
      <c r="A3670" t="s">
        <v>11618</v>
      </c>
      <c r="B3670" t="s">
        <v>11619</v>
      </c>
      <c r="C3670" t="s">
        <v>11620</v>
      </c>
      <c r="D3670" t="s">
        <v>11614</v>
      </c>
      <c r="E3670">
        <v>0</v>
      </c>
      <c r="F3670" t="str">
        <f>HYPERLINK("https://github.com/PojavLauncherTeam/PojavLauncher/issues/2694", "show")</f>
        <v>show</v>
      </c>
      <c r="G3670" t="str">
        <f>HYPERLINK("https://github.com/PojavLauncherTeam/PojavLauncher", "show")</f>
        <v>show</v>
      </c>
      <c r="H3670" t="str">
        <f>HYPERLINK("https://github.com/PojavLauncherTeam/PojavLauncher/releases", "show")</f>
        <v>show</v>
      </c>
      <c r="I3670">
        <v>0</v>
      </c>
      <c r="J3670">
        <v>1</v>
      </c>
      <c r="K3670">
        <v>1</v>
      </c>
      <c r="L3670">
        <v>0</v>
      </c>
      <c r="M3670" t="s">
        <v>699</v>
      </c>
    </row>
    <row r="3671" spans="1:13" hidden="1" x14ac:dyDescent="0.15">
      <c r="A3671" t="s">
        <v>11621</v>
      </c>
      <c r="B3671" t="s">
        <v>11622</v>
      </c>
      <c r="C3671" t="s">
        <v>11623</v>
      </c>
      <c r="D3671" t="s">
        <v>11614</v>
      </c>
      <c r="E3671">
        <v>63</v>
      </c>
      <c r="F3671" t="str">
        <f>HYPERLINK("https://github.com/TeamNewPipe/NewPipe/issues/7825", "show")</f>
        <v>show</v>
      </c>
      <c r="G3671" t="str">
        <f>HYPERLINK("https://github.com/TeamNewPipe/NewPipe", "show")</f>
        <v>show</v>
      </c>
      <c r="H3671" t="str">
        <f>HYPERLINK("https://github.com/TeamNewPipe/NewPipe/releases", "show")</f>
        <v>show</v>
      </c>
      <c r="I3671">
        <v>1</v>
      </c>
      <c r="J3671">
        <v>1</v>
      </c>
      <c r="K3671">
        <v>1</v>
      </c>
      <c r="L3671">
        <v>0</v>
      </c>
      <c r="M3671" t="s">
        <v>59</v>
      </c>
    </row>
    <row r="3672" spans="1:13" hidden="1" x14ac:dyDescent="0.15">
      <c r="A3672" t="s">
        <v>11624</v>
      </c>
      <c r="B3672" t="s">
        <v>11625</v>
      </c>
      <c r="C3672" t="s">
        <v>10930</v>
      </c>
      <c r="D3672" t="s">
        <v>11614</v>
      </c>
      <c r="E3672">
        <v>22</v>
      </c>
      <c r="F3672" t="str">
        <f>HYPERLINK("https://github.com/itsaky/AndroidIDE/issues/99", "show")</f>
        <v>show</v>
      </c>
      <c r="G3672" t="str">
        <f>HYPERLINK("https://github.com/itsaky/AndroidIDE", "show")</f>
        <v>show</v>
      </c>
      <c r="H3672" t="str">
        <f>HYPERLINK("https://github.com/itsaky/AndroidIDE/releases", "show")</f>
        <v>show</v>
      </c>
      <c r="I3672">
        <v>0</v>
      </c>
      <c r="J3672">
        <v>0</v>
      </c>
      <c r="K3672">
        <v>1</v>
      </c>
      <c r="L3672">
        <v>0</v>
      </c>
      <c r="M3672" t="s">
        <v>122</v>
      </c>
    </row>
    <row r="3673" spans="1:13" hidden="1" x14ac:dyDescent="0.15">
      <c r="A3673" t="s">
        <v>11626</v>
      </c>
      <c r="B3673" t="s">
        <v>11627</v>
      </c>
      <c r="C3673" t="s">
        <v>11628</v>
      </c>
      <c r="D3673" t="s">
        <v>11629</v>
      </c>
      <c r="E3673">
        <v>0</v>
      </c>
      <c r="F3673" t="str">
        <f>HYPERLINK("https://github.com/TeamNewPipe/NewPipe/issues/7821", "show")</f>
        <v>show</v>
      </c>
      <c r="G3673" t="str">
        <f>HYPERLINK("https://github.com/TeamNewPipe/NewPipe", "show")</f>
        <v>show</v>
      </c>
      <c r="H3673" t="str">
        <f>HYPERLINK("https://github.com/TeamNewPipe/NewPipe/releases", "show")</f>
        <v>show</v>
      </c>
      <c r="I3673">
        <v>0</v>
      </c>
      <c r="J3673">
        <v>0</v>
      </c>
      <c r="K3673">
        <v>0</v>
      </c>
      <c r="L3673">
        <v>0</v>
      </c>
      <c r="M3673" t="s">
        <v>43</v>
      </c>
    </row>
    <row r="3674" spans="1:13" hidden="1" x14ac:dyDescent="0.15">
      <c r="A3674" t="s">
        <v>11630</v>
      </c>
      <c r="B3674" t="s">
        <v>11631</v>
      </c>
      <c r="C3674" t="s">
        <v>11632</v>
      </c>
      <c r="D3674" t="s">
        <v>11629</v>
      </c>
      <c r="E3674">
        <v>1</v>
      </c>
      <c r="F3674" t="str">
        <f>HYPERLINK("https://github.com/PojavLauncherTeam/PojavLauncher/issues/2688", "show")</f>
        <v>show</v>
      </c>
      <c r="G3674" t="str">
        <f>HYPERLINK("https://github.com/PojavLauncherTeam/PojavLauncher", "show")</f>
        <v>show</v>
      </c>
      <c r="H3674" t="str">
        <f>HYPERLINK("https://github.com/PojavLauncherTeam/PojavLauncher/releases", "show")</f>
        <v>show</v>
      </c>
      <c r="I3674">
        <v>1</v>
      </c>
      <c r="J3674">
        <v>0</v>
      </c>
      <c r="K3674">
        <v>1</v>
      </c>
      <c r="L3674">
        <v>0</v>
      </c>
      <c r="M3674" t="s">
        <v>64</v>
      </c>
    </row>
    <row r="3675" spans="1:13" hidden="1" x14ac:dyDescent="0.15">
      <c r="A3675" t="s">
        <v>11633</v>
      </c>
      <c r="B3675" t="s">
        <v>11634</v>
      </c>
      <c r="C3675" t="s">
        <v>11635</v>
      </c>
      <c r="D3675" t="s">
        <v>11636</v>
      </c>
      <c r="E3675">
        <v>3</v>
      </c>
      <c r="F3675" t="str">
        <f>HYPERLINK("https://github.com/canyie/pine/issues/24", "show")</f>
        <v>show</v>
      </c>
      <c r="G3675" t="str">
        <f>HYPERLINK("https://github.com/canyie/pine", "show")</f>
        <v>show</v>
      </c>
      <c r="H3675" t="str">
        <f>HYPERLINK("https://github.com/canyie/pine/releases", "show")</f>
        <v>show</v>
      </c>
      <c r="I3675">
        <v>1</v>
      </c>
      <c r="J3675">
        <v>0</v>
      </c>
      <c r="K3675">
        <v>0</v>
      </c>
      <c r="L3675">
        <v>0</v>
      </c>
      <c r="M3675" t="s">
        <v>17</v>
      </c>
    </row>
    <row r="3676" spans="1:13" hidden="1" x14ac:dyDescent="0.15">
      <c r="A3676" t="s">
        <v>11637</v>
      </c>
      <c r="B3676" t="s">
        <v>11638</v>
      </c>
      <c r="C3676" t="s">
        <v>11639</v>
      </c>
      <c r="D3676" t="s">
        <v>11636</v>
      </c>
      <c r="E3676">
        <v>5</v>
      </c>
      <c r="F3676" t="str">
        <f>HYPERLINK("https://github.com/PojavLauncherTeam/PojavLauncher/issues/2683", "show")</f>
        <v>show</v>
      </c>
      <c r="G3676" t="str">
        <f>HYPERLINK("https://github.com/PojavLauncherTeam/PojavLauncher", "show")</f>
        <v>show</v>
      </c>
      <c r="H3676" t="str">
        <f>HYPERLINK("https://github.com/PojavLauncherTeam/PojavLauncher/releases", "show")</f>
        <v>show</v>
      </c>
      <c r="I3676">
        <v>1</v>
      </c>
      <c r="J3676">
        <v>0</v>
      </c>
      <c r="K3676">
        <v>1</v>
      </c>
      <c r="L3676">
        <v>0</v>
      </c>
      <c r="M3676" t="s">
        <v>64</v>
      </c>
    </row>
    <row r="3677" spans="1:13" hidden="1" x14ac:dyDescent="0.15">
      <c r="A3677" t="s">
        <v>11640</v>
      </c>
      <c r="B3677" t="s">
        <v>11641</v>
      </c>
      <c r="C3677" t="s">
        <v>11642</v>
      </c>
      <c r="D3677" t="s">
        <v>11636</v>
      </c>
      <c r="E3677">
        <v>0</v>
      </c>
      <c r="F3677" t="str">
        <f>HYPERLINK("https://github.com/kuldeepsinghrai/social-app/issues/9", "show")</f>
        <v>show</v>
      </c>
      <c r="G3677" t="str">
        <f>HYPERLINK("https://github.com/kuldeepsinghrai/social-app", "show")</f>
        <v>show</v>
      </c>
      <c r="H3677" t="str">
        <f>HYPERLINK("https://github.com/kuldeepsinghrai/social-app/releases", "show")</f>
        <v>show</v>
      </c>
      <c r="I3677">
        <v>1</v>
      </c>
      <c r="J3677">
        <v>0</v>
      </c>
      <c r="K3677">
        <v>0</v>
      </c>
      <c r="L3677">
        <v>0</v>
      </c>
      <c r="M3677" t="s">
        <v>17</v>
      </c>
    </row>
    <row r="3678" spans="1:13" hidden="1" x14ac:dyDescent="0.15">
      <c r="A3678" t="s">
        <v>11643</v>
      </c>
      <c r="B3678" t="s">
        <v>11644</v>
      </c>
      <c r="C3678" t="s">
        <v>11645</v>
      </c>
      <c r="D3678" t="s">
        <v>11636</v>
      </c>
      <c r="E3678">
        <v>1</v>
      </c>
      <c r="F3678" t="str">
        <f>HYPERLINK("https://github.com/kuldeepsinghrai/social-app/issues/5", "show")</f>
        <v>show</v>
      </c>
      <c r="G3678" t="str">
        <f>HYPERLINK("https://github.com/kuldeepsinghrai/social-app", "show")</f>
        <v>show</v>
      </c>
      <c r="H3678" t="str">
        <f>HYPERLINK("https://github.com/kuldeepsinghrai/social-app/releases", "show")</f>
        <v>show</v>
      </c>
      <c r="I3678">
        <v>1</v>
      </c>
      <c r="J3678">
        <v>0</v>
      </c>
      <c r="K3678">
        <v>0</v>
      </c>
      <c r="L3678">
        <v>0</v>
      </c>
      <c r="M3678" t="s">
        <v>17</v>
      </c>
    </row>
    <row r="3679" spans="1:13" hidden="1" x14ac:dyDescent="0.15">
      <c r="A3679" t="s">
        <v>11646</v>
      </c>
      <c r="B3679" t="s">
        <v>11647</v>
      </c>
      <c r="C3679" t="s">
        <v>11648</v>
      </c>
      <c r="D3679" t="s">
        <v>11636</v>
      </c>
      <c r="E3679">
        <v>0</v>
      </c>
      <c r="F3679" t="str">
        <f>HYPERLINK("https://github.com/PojavLauncherTeam/PojavLauncher/issues/2674", "show")</f>
        <v>show</v>
      </c>
      <c r="G3679" t="str">
        <f>HYPERLINK("https://github.com/PojavLauncherTeam/PojavLauncher", "show")</f>
        <v>show</v>
      </c>
      <c r="H3679" t="str">
        <f>HYPERLINK("https://github.com/PojavLauncherTeam/PojavLauncher/releases", "show")</f>
        <v>show</v>
      </c>
      <c r="I3679">
        <v>1</v>
      </c>
      <c r="J3679">
        <v>1</v>
      </c>
      <c r="K3679">
        <v>0</v>
      </c>
      <c r="L3679">
        <v>0</v>
      </c>
      <c r="M3679" t="s">
        <v>48</v>
      </c>
    </row>
    <row r="3680" spans="1:13" hidden="1" x14ac:dyDescent="0.15">
      <c r="A3680" t="s">
        <v>11649</v>
      </c>
      <c r="B3680" t="s">
        <v>11650</v>
      </c>
      <c r="C3680" t="s">
        <v>11651</v>
      </c>
      <c r="D3680" t="s">
        <v>11652</v>
      </c>
      <c r="E3680">
        <v>3</v>
      </c>
      <c r="F3680" t="str">
        <f>HYPERLINK("https://github.com/Marmo/debitum/issues/86", "show")</f>
        <v>show</v>
      </c>
      <c r="G3680" t="str">
        <f>HYPERLINK("https://github.com/Marmo/debitum", "show")</f>
        <v>show</v>
      </c>
      <c r="H3680" t="str">
        <f>HYPERLINK("https://github.com/Marmo/debitum/releases", "show")</f>
        <v>show</v>
      </c>
      <c r="I3680">
        <v>1</v>
      </c>
      <c r="J3680">
        <v>0</v>
      </c>
      <c r="K3680">
        <v>0</v>
      </c>
      <c r="L3680">
        <v>1</v>
      </c>
      <c r="M3680" t="s">
        <v>29</v>
      </c>
    </row>
    <row r="3681" spans="1:13" hidden="1" x14ac:dyDescent="0.15">
      <c r="A3681" t="s">
        <v>11653</v>
      </c>
      <c r="B3681" t="s">
        <v>11654</v>
      </c>
      <c r="C3681" t="s">
        <v>11655</v>
      </c>
      <c r="D3681" t="s">
        <v>11652</v>
      </c>
      <c r="E3681">
        <v>6</v>
      </c>
      <c r="F3681" t="str">
        <f>HYPERLINK("https://github.com/material-components/material-components-android/issues/2550", "show")</f>
        <v>show</v>
      </c>
      <c r="G3681" t="str">
        <f>HYPERLINK("https://github.com/material-components/material-components-android", "show")</f>
        <v>show</v>
      </c>
      <c r="H3681" t="str">
        <f>HYPERLINK("https://github.com/material-components/material-components-android/releases", "show")</f>
        <v>show</v>
      </c>
      <c r="I3681">
        <v>1</v>
      </c>
      <c r="J3681">
        <v>0</v>
      </c>
      <c r="K3681">
        <v>1</v>
      </c>
      <c r="L3681">
        <v>0</v>
      </c>
      <c r="M3681" t="s">
        <v>64</v>
      </c>
    </row>
    <row r="3682" spans="1:13" hidden="1" x14ac:dyDescent="0.15">
      <c r="A3682" t="s">
        <v>11656</v>
      </c>
      <c r="B3682" t="s">
        <v>11657</v>
      </c>
      <c r="C3682" t="s">
        <v>11658</v>
      </c>
      <c r="D3682" t="s">
        <v>11652</v>
      </c>
      <c r="E3682">
        <v>8</v>
      </c>
      <c r="F3682" t="str">
        <f>HYPERLINK("https://github.com/aws-amplify/amplify-android/issues/1651", "show")</f>
        <v>show</v>
      </c>
      <c r="G3682" t="str">
        <f>HYPERLINK("https://github.com/aws-amplify/amplify-android", "show")</f>
        <v>show</v>
      </c>
      <c r="H3682" t="str">
        <f>HYPERLINK("https://github.com/aws-amplify/amplify-android/releases", "show")</f>
        <v>show</v>
      </c>
      <c r="I3682">
        <v>1</v>
      </c>
      <c r="J3682">
        <v>0</v>
      </c>
      <c r="K3682">
        <v>0</v>
      </c>
      <c r="L3682">
        <v>0</v>
      </c>
      <c r="M3682" t="s">
        <v>17</v>
      </c>
    </row>
    <row r="3683" spans="1:13" hidden="1" x14ac:dyDescent="0.15">
      <c r="A3683" t="s">
        <v>11659</v>
      </c>
      <c r="B3683" t="s">
        <v>11660</v>
      </c>
      <c r="C3683" t="s">
        <v>11661</v>
      </c>
      <c r="D3683" t="s">
        <v>11652</v>
      </c>
      <c r="E3683">
        <v>0</v>
      </c>
      <c r="F3683" t="str">
        <f>HYPERLINK("https://github.com/deepjavalibrary/djl/issues/1491", "show")</f>
        <v>show</v>
      </c>
      <c r="G3683" t="str">
        <f>HYPERLINK("https://github.com/deepjavalibrary/djl", "show")</f>
        <v>show</v>
      </c>
      <c r="H3683" t="str">
        <f>HYPERLINK("https://github.com/deepjavalibrary/djl/releases", "show")</f>
        <v>show</v>
      </c>
      <c r="I3683">
        <v>1</v>
      </c>
      <c r="J3683">
        <v>0</v>
      </c>
      <c r="K3683">
        <v>1</v>
      </c>
      <c r="L3683">
        <v>0</v>
      </c>
      <c r="M3683" t="s">
        <v>64</v>
      </c>
    </row>
    <row r="3684" spans="1:13" hidden="1" x14ac:dyDescent="0.15">
      <c r="A3684" t="s">
        <v>11662</v>
      </c>
      <c r="B3684" t="s">
        <v>11663</v>
      </c>
      <c r="C3684" t="s">
        <v>11664</v>
      </c>
      <c r="D3684" t="s">
        <v>11652</v>
      </c>
      <c r="E3684">
        <v>1</v>
      </c>
      <c r="F3684" t="str">
        <f>HYPERLINK("https://github.com/PojavLauncherTeam/PojavLauncher/issues/2669", "show")</f>
        <v>show</v>
      </c>
      <c r="G3684" t="str">
        <f>HYPERLINK("https://github.com/PojavLauncherTeam/PojavLauncher", "show")</f>
        <v>show</v>
      </c>
      <c r="H3684" t="str">
        <f>HYPERLINK("https://github.com/PojavLauncherTeam/PojavLauncher/releases", "show")</f>
        <v>show</v>
      </c>
      <c r="I3684">
        <v>0</v>
      </c>
      <c r="J3684">
        <v>0</v>
      </c>
      <c r="K3684">
        <v>0</v>
      </c>
      <c r="L3684">
        <v>0</v>
      </c>
      <c r="M3684" t="s">
        <v>43</v>
      </c>
    </row>
    <row r="3685" spans="1:13" hidden="1" x14ac:dyDescent="0.15">
      <c r="A3685" t="s">
        <v>11665</v>
      </c>
      <c r="B3685" t="s">
        <v>11666</v>
      </c>
      <c r="C3685" t="s">
        <v>11667</v>
      </c>
      <c r="D3685" t="s">
        <v>11652</v>
      </c>
      <c r="E3685">
        <v>0</v>
      </c>
      <c r="F3685" t="str">
        <f>HYPERLINK("https://github.com/TeamNewPipe/NewPipe/issues/7783", "show")</f>
        <v>show</v>
      </c>
      <c r="G3685" t="str">
        <f>HYPERLINK("https://github.com/TeamNewPipe/NewPipe", "show")</f>
        <v>show</v>
      </c>
      <c r="H3685" t="str">
        <f>HYPERLINK("https://github.com/TeamNewPipe/NewPipe/releases", "show")</f>
        <v>show</v>
      </c>
      <c r="I3685">
        <v>1</v>
      </c>
      <c r="J3685">
        <v>1</v>
      </c>
      <c r="K3685">
        <v>1</v>
      </c>
      <c r="L3685">
        <v>0</v>
      </c>
      <c r="M3685" t="s">
        <v>59</v>
      </c>
    </row>
    <row r="3686" spans="1:13" x14ac:dyDescent="0.15">
      <c r="A3686" t="s">
        <v>11668</v>
      </c>
      <c r="B3686" t="s">
        <v>11669</v>
      </c>
      <c r="C3686" t="s">
        <v>11670</v>
      </c>
      <c r="D3686" t="s">
        <v>11652</v>
      </c>
      <c r="E3686">
        <v>1</v>
      </c>
      <c r="F3686" t="str">
        <f>HYPERLINK("https://github.com/PojavLauncherTeam/PojavLauncher/issues/2668", "show")</f>
        <v>show</v>
      </c>
      <c r="G3686" t="str">
        <f>HYPERLINK("https://github.com/PojavLauncherTeam/PojavLauncher", "show")</f>
        <v>show</v>
      </c>
      <c r="H3686" t="str">
        <f>HYPERLINK("https://github.com/PojavLauncherTeam/PojavLauncher/releases", "show")</f>
        <v>show</v>
      </c>
      <c r="I3686">
        <v>0</v>
      </c>
      <c r="J3686">
        <v>1</v>
      </c>
      <c r="K3686">
        <v>0</v>
      </c>
      <c r="L3686">
        <v>0</v>
      </c>
      <c r="M3686" t="s">
        <v>139</v>
      </c>
    </row>
    <row r="3687" spans="1:13" hidden="1" x14ac:dyDescent="0.15">
      <c r="A3687" t="s">
        <v>11671</v>
      </c>
      <c r="B3687" t="s">
        <v>11672</v>
      </c>
      <c r="C3687" t="s">
        <v>11673</v>
      </c>
      <c r="D3687" t="s">
        <v>11652</v>
      </c>
      <c r="E3687">
        <v>0</v>
      </c>
      <c r="F3687" t="str">
        <f>HYPERLINK("https://github.com/MuntashirAkon/AppManager/issues/665", "show")</f>
        <v>show</v>
      </c>
      <c r="G3687" t="str">
        <f>HYPERLINK("https://github.com/MuntashirAkon/AppManager", "show")</f>
        <v>show</v>
      </c>
      <c r="H3687" t="str">
        <f>HYPERLINK("https://github.com/MuntashirAkon/AppManager/releases", "show")</f>
        <v>show</v>
      </c>
      <c r="I3687">
        <v>1</v>
      </c>
      <c r="J3687">
        <v>0</v>
      </c>
      <c r="K3687">
        <v>1</v>
      </c>
      <c r="L3687">
        <v>0</v>
      </c>
      <c r="M3687" t="s">
        <v>64</v>
      </c>
    </row>
    <row r="3688" spans="1:13" hidden="1" x14ac:dyDescent="0.15">
      <c r="A3688" t="s">
        <v>11674</v>
      </c>
      <c r="B3688" t="s">
        <v>11675</v>
      </c>
      <c r="C3688" t="s">
        <v>11676</v>
      </c>
      <c r="D3688" t="s">
        <v>11677</v>
      </c>
      <c r="E3688">
        <v>2</v>
      </c>
      <c r="F3688" t="str">
        <f>HYPERLINK("https://github.com/PojavLauncherTeam/PojavLauncher/issues/2664", "show")</f>
        <v>show</v>
      </c>
      <c r="G3688" t="str">
        <f>HYPERLINK("https://github.com/PojavLauncherTeam/PojavLauncher", "show")</f>
        <v>show</v>
      </c>
      <c r="H3688" t="str">
        <f>HYPERLINK("https://github.com/PojavLauncherTeam/PojavLauncher/releases", "show")</f>
        <v>show</v>
      </c>
      <c r="I3688">
        <v>1</v>
      </c>
      <c r="J3688">
        <v>0</v>
      </c>
      <c r="K3688">
        <v>0</v>
      </c>
      <c r="L3688">
        <v>0</v>
      </c>
      <c r="M3688" t="s">
        <v>17</v>
      </c>
    </row>
    <row r="3689" spans="1:13" hidden="1" x14ac:dyDescent="0.15">
      <c r="A3689" t="s">
        <v>11678</v>
      </c>
      <c r="B3689" t="s">
        <v>11679</v>
      </c>
      <c r="C3689" t="s">
        <v>11680</v>
      </c>
      <c r="D3689" t="s">
        <v>11677</v>
      </c>
      <c r="E3689">
        <v>7</v>
      </c>
      <c r="F3689" t="str">
        <f>HYPERLINK("https://github.com/hzi-braunschweig/SORMAS-Project/issues/7849", "show")</f>
        <v>show</v>
      </c>
      <c r="G3689" t="str">
        <f>HYPERLINK("https://github.com/hzi-braunschweig/SORMAS-Project", "show")</f>
        <v>show</v>
      </c>
      <c r="H3689" t="str">
        <f>HYPERLINK("https://github.com/hzi-braunschweig/SORMAS-Project/releases", "show")</f>
        <v>show</v>
      </c>
      <c r="I3689">
        <v>1</v>
      </c>
      <c r="J3689">
        <v>1</v>
      </c>
      <c r="K3689">
        <v>0</v>
      </c>
      <c r="L3689">
        <v>1</v>
      </c>
      <c r="M3689" t="s">
        <v>1894</v>
      </c>
    </row>
    <row r="3690" spans="1:13" hidden="1" x14ac:dyDescent="0.15">
      <c r="A3690" t="s">
        <v>11681</v>
      </c>
      <c r="B3690" t="s">
        <v>11682</v>
      </c>
      <c r="C3690" t="s">
        <v>11683</v>
      </c>
      <c r="D3690" t="s">
        <v>11677</v>
      </c>
      <c r="E3690">
        <v>14</v>
      </c>
      <c r="F3690" t="str">
        <f>HYPERLINK("https://github.com/massivemadness/Squircle-IDE/issues/110", "show")</f>
        <v>show</v>
      </c>
      <c r="G3690" t="str">
        <f>HYPERLINK("https://github.com/massivemadness/Squircle-IDE", "show")</f>
        <v>show</v>
      </c>
      <c r="H3690" t="str">
        <f>HYPERLINK("https://github.com/massivemadness/Squircle-IDE/releases", "show")</f>
        <v>show</v>
      </c>
      <c r="I3690">
        <v>1</v>
      </c>
      <c r="J3690">
        <v>1</v>
      </c>
      <c r="K3690">
        <v>1</v>
      </c>
      <c r="L3690">
        <v>0</v>
      </c>
      <c r="M3690" t="s">
        <v>59</v>
      </c>
    </row>
    <row r="3691" spans="1:13" hidden="1" x14ac:dyDescent="0.15">
      <c r="A3691" t="s">
        <v>11684</v>
      </c>
      <c r="B3691" t="s">
        <v>11685</v>
      </c>
      <c r="C3691" t="s">
        <v>11686</v>
      </c>
      <c r="D3691" t="s">
        <v>11687</v>
      </c>
      <c r="E3691">
        <v>8</v>
      </c>
      <c r="F3691" t="str">
        <f>HYPERLINK("https://github.com/hzi-braunschweig/SORMAS-Project/issues/7839", "show")</f>
        <v>show</v>
      </c>
      <c r="G3691" t="str">
        <f>HYPERLINK("https://github.com/hzi-braunschweig/SORMAS-Project", "show")</f>
        <v>show</v>
      </c>
      <c r="H3691" t="str">
        <f>HYPERLINK("https://github.com/hzi-braunschweig/SORMAS-Project/releases", "show")</f>
        <v>show</v>
      </c>
      <c r="I3691">
        <v>1</v>
      </c>
      <c r="J3691">
        <v>1</v>
      </c>
      <c r="K3691">
        <v>0</v>
      </c>
      <c r="L3691">
        <v>0</v>
      </c>
      <c r="M3691" t="s">
        <v>48</v>
      </c>
    </row>
    <row r="3692" spans="1:13" hidden="1" x14ac:dyDescent="0.15">
      <c r="A3692" t="s">
        <v>11688</v>
      </c>
      <c r="B3692" t="s">
        <v>11689</v>
      </c>
      <c r="C3692" t="s">
        <v>11690</v>
      </c>
      <c r="D3692" t="s">
        <v>11691</v>
      </c>
      <c r="E3692">
        <v>1</v>
      </c>
      <c r="F3692" t="str">
        <f>HYPERLINK("https://github.com/ably/ably-java/issues/743", "show")</f>
        <v>show</v>
      </c>
      <c r="G3692" t="str">
        <f>HYPERLINK("https://github.com/ably/ably-java", "show")</f>
        <v>show</v>
      </c>
      <c r="H3692" t="str">
        <f>HYPERLINK("https://github.com/ably/ably-java/releases", "show")</f>
        <v>show</v>
      </c>
      <c r="I3692">
        <v>1</v>
      </c>
      <c r="J3692">
        <v>0</v>
      </c>
      <c r="K3692">
        <v>1</v>
      </c>
      <c r="L3692">
        <v>0</v>
      </c>
      <c r="M3692" t="s">
        <v>64</v>
      </c>
    </row>
    <row r="3693" spans="1:13" hidden="1" x14ac:dyDescent="0.15">
      <c r="A3693" t="s">
        <v>11692</v>
      </c>
      <c r="B3693" t="s">
        <v>11693</v>
      </c>
      <c r="C3693" t="s">
        <v>11694</v>
      </c>
      <c r="D3693" t="s">
        <v>11695</v>
      </c>
      <c r="E3693">
        <v>69</v>
      </c>
      <c r="F3693" t="str">
        <f>HYPERLINK("https://github.com/nextcloud/android/issues/9780", "show")</f>
        <v>show</v>
      </c>
      <c r="G3693" t="str">
        <f>HYPERLINK("https://github.com/nextcloud/android", "show")</f>
        <v>show</v>
      </c>
      <c r="H3693" t="str">
        <f>HYPERLINK("https://github.com/nextcloud/android/releases", "show")</f>
        <v>show</v>
      </c>
      <c r="I3693">
        <v>0</v>
      </c>
      <c r="J3693">
        <v>1</v>
      </c>
      <c r="K3693">
        <v>1</v>
      </c>
      <c r="L3693">
        <v>0</v>
      </c>
      <c r="M3693" t="s">
        <v>699</v>
      </c>
    </row>
    <row r="3694" spans="1:13" hidden="1" x14ac:dyDescent="0.15">
      <c r="A3694" t="s">
        <v>11696</v>
      </c>
      <c r="B3694" t="s">
        <v>11697</v>
      </c>
      <c r="C3694" t="s">
        <v>11698</v>
      </c>
      <c r="D3694" t="s">
        <v>11695</v>
      </c>
      <c r="E3694">
        <v>0</v>
      </c>
      <c r="F3694" t="str">
        <f>HYPERLINK("https://github.com/PojavLauncherTeam/PojavLauncher/issues/2654", "show")</f>
        <v>show</v>
      </c>
      <c r="G3694" t="str">
        <f>HYPERLINK("https://github.com/PojavLauncherTeam/PojavLauncher", "show")</f>
        <v>show</v>
      </c>
      <c r="H3694" t="str">
        <f>HYPERLINK("https://github.com/PojavLauncherTeam/PojavLauncher/releases", "show")</f>
        <v>show</v>
      </c>
      <c r="I3694">
        <v>1</v>
      </c>
      <c r="J3694">
        <v>1</v>
      </c>
      <c r="K3694">
        <v>1</v>
      </c>
      <c r="L3694">
        <v>0</v>
      </c>
      <c r="M3694" t="s">
        <v>59</v>
      </c>
    </row>
    <row r="3695" spans="1:13" hidden="1" x14ac:dyDescent="0.15">
      <c r="A3695" t="s">
        <v>11699</v>
      </c>
      <c r="B3695" t="s">
        <v>11700</v>
      </c>
      <c r="C3695" t="s">
        <v>11701</v>
      </c>
      <c r="D3695" t="s">
        <v>11695</v>
      </c>
      <c r="E3695">
        <v>0</v>
      </c>
      <c r="F3695" t="str">
        <f>HYPERLINK("https://github.com/Anuken/Mindustry/issues/6541", "show")</f>
        <v>show</v>
      </c>
      <c r="G3695" t="str">
        <f>HYPERLINK("https://github.com/Anuken/Mindustry", "show")</f>
        <v>show</v>
      </c>
      <c r="H3695" t="str">
        <f>HYPERLINK("https://github.com/Anuken/Mindustry/releases", "show")</f>
        <v>show</v>
      </c>
      <c r="I3695">
        <v>1</v>
      </c>
      <c r="J3695">
        <v>1</v>
      </c>
      <c r="K3695">
        <v>0</v>
      </c>
      <c r="L3695">
        <v>0</v>
      </c>
      <c r="M3695" t="s">
        <v>48</v>
      </c>
    </row>
    <row r="3696" spans="1:13" hidden="1" x14ac:dyDescent="0.15">
      <c r="A3696" t="s">
        <v>11702</v>
      </c>
      <c r="B3696" t="s">
        <v>11703</v>
      </c>
      <c r="C3696" t="s">
        <v>11704</v>
      </c>
      <c r="D3696" t="s">
        <v>11705</v>
      </c>
      <c r="E3696">
        <v>63</v>
      </c>
      <c r="F3696" t="str">
        <f>HYPERLINK("https://github.com/PojavLauncherTeam/PojavLauncher/issues/2639", "show")</f>
        <v>show</v>
      </c>
      <c r="G3696" t="str">
        <f>HYPERLINK("https://github.com/PojavLauncherTeam/PojavLauncher", "show")</f>
        <v>show</v>
      </c>
      <c r="H3696" t="str">
        <f>HYPERLINK("https://github.com/PojavLauncherTeam/PojavLauncher/releases", "show")</f>
        <v>show</v>
      </c>
      <c r="I3696">
        <v>1</v>
      </c>
      <c r="J3696">
        <v>1</v>
      </c>
      <c r="K3696">
        <v>0</v>
      </c>
      <c r="L3696">
        <v>0</v>
      </c>
      <c r="M3696" t="s">
        <v>48</v>
      </c>
    </row>
    <row r="3697" spans="1:13" hidden="1" x14ac:dyDescent="0.15">
      <c r="A3697" t="s">
        <v>11706</v>
      </c>
      <c r="B3697" t="s">
        <v>11707</v>
      </c>
      <c r="C3697" t="s">
        <v>11708</v>
      </c>
      <c r="D3697" t="s">
        <v>11705</v>
      </c>
      <c r="E3697">
        <v>0</v>
      </c>
      <c r="F3697" t="str">
        <f>HYPERLINK("https://github.com/Anuken/Mindustry/issues/6537", "show")</f>
        <v>show</v>
      </c>
      <c r="G3697" t="str">
        <f>HYPERLINK("https://github.com/Anuken/Mindustry", "show")</f>
        <v>show</v>
      </c>
      <c r="H3697" t="str">
        <f>HYPERLINK("https://github.com/Anuken/Mindustry/releases", "show")</f>
        <v>show</v>
      </c>
      <c r="I3697">
        <v>1</v>
      </c>
      <c r="J3697">
        <v>1</v>
      </c>
      <c r="K3697">
        <v>0</v>
      </c>
      <c r="L3697">
        <v>0</v>
      </c>
      <c r="M3697" t="s">
        <v>48</v>
      </c>
    </row>
    <row r="3698" spans="1:13" hidden="1" x14ac:dyDescent="0.15">
      <c r="A3698" t="s">
        <v>11709</v>
      </c>
      <c r="B3698" t="s">
        <v>11710</v>
      </c>
      <c r="C3698" t="s">
        <v>11711</v>
      </c>
      <c r="D3698" t="s">
        <v>11705</v>
      </c>
      <c r="E3698">
        <v>3</v>
      </c>
      <c r="F3698" t="str">
        <f>HYPERLINK("https://github.com/nextcloud/news-android/issues/1055", "show")</f>
        <v>show</v>
      </c>
      <c r="G3698" t="str">
        <f>HYPERLINK("https://github.com/nextcloud/news-android", "show")</f>
        <v>show</v>
      </c>
      <c r="H3698" t="str">
        <f>HYPERLINK("https://github.com/nextcloud/news-android/releases", "show")</f>
        <v>show</v>
      </c>
      <c r="I3698">
        <v>1</v>
      </c>
      <c r="J3698">
        <v>0</v>
      </c>
      <c r="K3698">
        <v>1</v>
      </c>
      <c r="L3698">
        <v>0</v>
      </c>
      <c r="M3698" t="s">
        <v>64</v>
      </c>
    </row>
    <row r="3699" spans="1:13" hidden="1" x14ac:dyDescent="0.15">
      <c r="A3699" t="s">
        <v>11712</v>
      </c>
      <c r="B3699" t="s">
        <v>11713</v>
      </c>
      <c r="C3699" t="s">
        <v>11714</v>
      </c>
      <c r="D3699" t="s">
        <v>11715</v>
      </c>
      <c r="E3699">
        <v>1</v>
      </c>
      <c r="F3699" t="str">
        <f>HYPERLINK("https://github.com/PojavLauncherTeam/PojavLauncher/issues/2633", "show")</f>
        <v>show</v>
      </c>
      <c r="G3699" t="str">
        <f>HYPERLINK("https://github.com/PojavLauncherTeam/PojavLauncher", "show")</f>
        <v>show</v>
      </c>
      <c r="H3699" t="str">
        <f>HYPERLINK("https://github.com/PojavLauncherTeam/PojavLauncher/releases", "show")</f>
        <v>show</v>
      </c>
      <c r="I3699">
        <v>1</v>
      </c>
      <c r="J3699">
        <v>0</v>
      </c>
      <c r="K3699">
        <v>0</v>
      </c>
      <c r="L3699">
        <v>0</v>
      </c>
      <c r="M3699" t="s">
        <v>17</v>
      </c>
    </row>
    <row r="3700" spans="1:13" hidden="1" x14ac:dyDescent="0.15">
      <c r="A3700" t="s">
        <v>11716</v>
      </c>
      <c r="B3700" t="s">
        <v>11717</v>
      </c>
      <c r="C3700" t="s">
        <v>11718</v>
      </c>
      <c r="D3700" t="s">
        <v>11715</v>
      </c>
      <c r="E3700">
        <v>1</v>
      </c>
      <c r="F3700" t="str">
        <f>HYPERLINK("https://github.com/PojavLauncherTeam/PojavLauncher/issues/2631", "show")</f>
        <v>show</v>
      </c>
      <c r="G3700" t="str">
        <f>HYPERLINK("https://github.com/PojavLauncherTeam/PojavLauncher", "show")</f>
        <v>show</v>
      </c>
      <c r="H3700" t="str">
        <f>HYPERLINK("https://github.com/PojavLauncherTeam/PojavLauncher/releases", "show")</f>
        <v>show</v>
      </c>
      <c r="I3700">
        <v>1</v>
      </c>
      <c r="J3700">
        <v>0</v>
      </c>
      <c r="K3700">
        <v>1</v>
      </c>
      <c r="L3700">
        <v>1</v>
      </c>
      <c r="M3700" t="s">
        <v>1259</v>
      </c>
    </row>
    <row r="3701" spans="1:13" hidden="1" x14ac:dyDescent="0.15">
      <c r="A3701" t="s">
        <v>11719</v>
      </c>
      <c r="B3701" t="s">
        <v>11720</v>
      </c>
      <c r="C3701" t="s">
        <v>11721</v>
      </c>
      <c r="D3701" t="s">
        <v>11715</v>
      </c>
      <c r="E3701">
        <v>0</v>
      </c>
      <c r="F3701" t="str">
        <f>HYPERLINK("https://github.com/ASE-Projekte-WS-2021/ase-ws-21-servus/issues/50", "show")</f>
        <v>show</v>
      </c>
      <c r="G3701" t="str">
        <f>HYPERLINK("https://github.com/ASE-Projekte-WS-2021/ase-ws-21-servus", "show")</f>
        <v>show</v>
      </c>
      <c r="H3701" t="str">
        <f>HYPERLINK("https://github.com/ASE-Projekte-WS-2021/ase-ws-21-servus/releases", "show")</f>
        <v>show</v>
      </c>
      <c r="I3701">
        <v>1</v>
      </c>
      <c r="J3701">
        <v>0</v>
      </c>
      <c r="K3701">
        <v>0</v>
      </c>
      <c r="L3701">
        <v>0</v>
      </c>
      <c r="M3701" t="s">
        <v>17</v>
      </c>
    </row>
    <row r="3702" spans="1:13" hidden="1" x14ac:dyDescent="0.15">
      <c r="A3702" t="s">
        <v>11722</v>
      </c>
      <c r="B3702" t="s">
        <v>11723</v>
      </c>
      <c r="C3702" t="s">
        <v>11724</v>
      </c>
      <c r="D3702" t="s">
        <v>11715</v>
      </c>
      <c r="E3702">
        <v>0</v>
      </c>
      <c r="F3702" t="str">
        <f>HYPERLINK("https://github.com/PojavLauncherTeam/PojavLauncher/issues/2624", "show")</f>
        <v>show</v>
      </c>
      <c r="G3702" t="str">
        <f>HYPERLINK("https://github.com/PojavLauncherTeam/PojavLauncher", "show")</f>
        <v>show</v>
      </c>
      <c r="H3702" t="str">
        <f>HYPERLINK("https://github.com/PojavLauncherTeam/PojavLauncher/releases", "show")</f>
        <v>show</v>
      </c>
      <c r="I3702">
        <v>0</v>
      </c>
      <c r="J3702">
        <v>0</v>
      </c>
      <c r="K3702">
        <v>0</v>
      </c>
      <c r="L3702">
        <v>0</v>
      </c>
      <c r="M3702" t="s">
        <v>43</v>
      </c>
    </row>
    <row r="3703" spans="1:13" hidden="1" x14ac:dyDescent="0.15">
      <c r="A3703" t="s">
        <v>11725</v>
      </c>
      <c r="B3703" t="s">
        <v>11726</v>
      </c>
      <c r="C3703" t="s">
        <v>11727</v>
      </c>
      <c r="D3703" t="s">
        <v>11715</v>
      </c>
      <c r="E3703">
        <v>7</v>
      </c>
      <c r="F3703" t="str">
        <f>HYPERLINK("https://github.com/ably/ably-java/issues/741", "show")</f>
        <v>show</v>
      </c>
      <c r="G3703" t="str">
        <f>HYPERLINK("https://github.com/ably/ably-java", "show")</f>
        <v>show</v>
      </c>
      <c r="H3703" t="str">
        <f>HYPERLINK("https://github.com/ably/ably-java/releases", "show")</f>
        <v>show</v>
      </c>
      <c r="I3703">
        <v>0</v>
      </c>
      <c r="J3703">
        <v>0</v>
      </c>
      <c r="K3703">
        <v>1</v>
      </c>
      <c r="L3703">
        <v>0</v>
      </c>
      <c r="M3703" t="s">
        <v>122</v>
      </c>
    </row>
    <row r="3704" spans="1:13" hidden="1" x14ac:dyDescent="0.15">
      <c r="A3704" t="s">
        <v>11728</v>
      </c>
      <c r="B3704" t="s">
        <v>11729</v>
      </c>
      <c r="C3704" t="s">
        <v>11730</v>
      </c>
      <c r="D3704" t="s">
        <v>11731</v>
      </c>
      <c r="E3704">
        <v>0</v>
      </c>
      <c r="F3704" t="str">
        <f>HYPERLINK("https://github.com/PojavLauncherTeam/PojavLauncher/issues/2616", "show")</f>
        <v>show</v>
      </c>
      <c r="G3704" t="str">
        <f>HYPERLINK("https://github.com/PojavLauncherTeam/PojavLauncher", "show")</f>
        <v>show</v>
      </c>
      <c r="H3704" t="str">
        <f>HYPERLINK("https://github.com/PojavLauncherTeam/PojavLauncher/releases", "show")</f>
        <v>show</v>
      </c>
      <c r="I3704">
        <v>0</v>
      </c>
      <c r="J3704">
        <v>0</v>
      </c>
      <c r="K3704">
        <v>0</v>
      </c>
      <c r="L3704">
        <v>0</v>
      </c>
      <c r="M3704" t="s">
        <v>43</v>
      </c>
    </row>
    <row r="3705" spans="1:13" hidden="1" x14ac:dyDescent="0.15">
      <c r="A3705" t="s">
        <v>11732</v>
      </c>
      <c r="B3705" t="s">
        <v>11733</v>
      </c>
      <c r="C3705" t="s">
        <v>11734</v>
      </c>
      <c r="D3705" t="s">
        <v>11735</v>
      </c>
      <c r="E3705">
        <v>16</v>
      </c>
      <c r="F3705" t="str">
        <f>HYPERLINK("https://github.com/Anuken/Mindustry/issues/6533", "show")</f>
        <v>show</v>
      </c>
      <c r="G3705" t="str">
        <f>HYPERLINK("https://github.com/Anuken/Mindustry", "show")</f>
        <v>show</v>
      </c>
      <c r="H3705" t="str">
        <f>HYPERLINK("https://github.com/Anuken/Mindustry/releases", "show")</f>
        <v>show</v>
      </c>
      <c r="I3705">
        <v>1</v>
      </c>
      <c r="J3705">
        <v>1</v>
      </c>
      <c r="K3705">
        <v>0</v>
      </c>
      <c r="L3705">
        <v>0</v>
      </c>
      <c r="M3705" t="s">
        <v>48</v>
      </c>
    </row>
    <row r="3706" spans="1:13" hidden="1" x14ac:dyDescent="0.15">
      <c r="A3706" t="s">
        <v>11736</v>
      </c>
      <c r="B3706" t="s">
        <v>11737</v>
      </c>
      <c r="C3706" t="s">
        <v>11738</v>
      </c>
      <c r="D3706" t="s">
        <v>11735</v>
      </c>
      <c r="E3706">
        <v>15</v>
      </c>
      <c r="F3706" t="str">
        <f>HYPERLINK("https://github.com/TeamNewPipe/NewPipe/issues/7704", "show")</f>
        <v>show</v>
      </c>
      <c r="G3706" t="str">
        <f>HYPERLINK("https://github.com/TeamNewPipe/NewPipe", "show")</f>
        <v>show</v>
      </c>
      <c r="H3706" t="str">
        <f>HYPERLINK("https://github.com/TeamNewPipe/NewPipe/releases", "show")</f>
        <v>show</v>
      </c>
      <c r="I3706">
        <v>1</v>
      </c>
      <c r="J3706">
        <v>1</v>
      </c>
      <c r="K3706">
        <v>0</v>
      </c>
      <c r="L3706">
        <v>0</v>
      </c>
      <c r="M3706" t="s">
        <v>48</v>
      </c>
    </row>
    <row r="3707" spans="1:13" hidden="1" x14ac:dyDescent="0.15">
      <c r="A3707" t="s">
        <v>11739</v>
      </c>
      <c r="B3707" t="s">
        <v>11740</v>
      </c>
      <c r="C3707" t="s">
        <v>11741</v>
      </c>
      <c r="D3707" t="s">
        <v>11735</v>
      </c>
      <c r="E3707">
        <v>78</v>
      </c>
      <c r="F3707" t="str">
        <f>HYPERLINK("https://github.com/doublesymmetry/react-native-track-player/issues/1392", "show")</f>
        <v>show</v>
      </c>
      <c r="G3707" t="str">
        <f>HYPERLINK("https://github.com/doublesymmetry/react-native-track-player", "show")</f>
        <v>show</v>
      </c>
      <c r="H3707" t="str">
        <f>HYPERLINK("https://github.com/doublesymmetry/react-native-track-player/releases", "show")</f>
        <v>show</v>
      </c>
      <c r="I3707">
        <v>1</v>
      </c>
      <c r="J3707">
        <v>0</v>
      </c>
      <c r="K3707">
        <v>0</v>
      </c>
      <c r="L3707">
        <v>0</v>
      </c>
      <c r="M3707" t="s">
        <v>17</v>
      </c>
    </row>
    <row r="3708" spans="1:13" hidden="1" x14ac:dyDescent="0.15">
      <c r="A3708" t="s">
        <v>11742</v>
      </c>
      <c r="B3708" t="s">
        <v>11743</v>
      </c>
      <c r="C3708" t="s">
        <v>11744</v>
      </c>
      <c r="D3708" t="s">
        <v>11735</v>
      </c>
      <c r="E3708">
        <v>0</v>
      </c>
      <c r="F3708" t="str">
        <f>HYPERLINK("https://github.com/Blankj/AndroidUtilCode/issues/1598", "show")</f>
        <v>show</v>
      </c>
      <c r="G3708" t="str">
        <f>HYPERLINK("https://github.com/Blankj/AndroidUtilCode", "show")</f>
        <v>show</v>
      </c>
      <c r="H3708" t="str">
        <f>HYPERLINK("https://github.com/Blankj/AndroidUtilCode/releases", "show")</f>
        <v>show</v>
      </c>
      <c r="I3708">
        <v>1</v>
      </c>
      <c r="J3708">
        <v>1</v>
      </c>
      <c r="K3708">
        <v>1</v>
      </c>
      <c r="L3708">
        <v>1</v>
      </c>
      <c r="M3708" t="s">
        <v>2875</v>
      </c>
    </row>
    <row r="3709" spans="1:13" hidden="1" x14ac:dyDescent="0.15">
      <c r="A3709" t="s">
        <v>11745</v>
      </c>
      <c r="B3709" t="s">
        <v>11746</v>
      </c>
      <c r="C3709" t="s">
        <v>11747</v>
      </c>
      <c r="D3709" t="s">
        <v>11748</v>
      </c>
      <c r="E3709">
        <v>11</v>
      </c>
      <c r="F3709" t="str">
        <f>HYPERLINK("https://github.com/material-components/material-components-android/issues/2532", "show")</f>
        <v>show</v>
      </c>
      <c r="G3709" t="str">
        <f>HYPERLINK("https://github.com/material-components/material-components-android", "show")</f>
        <v>show</v>
      </c>
      <c r="H3709" t="str">
        <f>HYPERLINK("https://github.com/material-components/material-components-android/releases", "show")</f>
        <v>show</v>
      </c>
      <c r="I3709">
        <v>1</v>
      </c>
      <c r="J3709">
        <v>0</v>
      </c>
      <c r="K3709">
        <v>1</v>
      </c>
      <c r="L3709">
        <v>0</v>
      </c>
      <c r="M3709" t="s">
        <v>64</v>
      </c>
    </row>
    <row r="3710" spans="1:13" hidden="1" x14ac:dyDescent="0.15">
      <c r="A3710" t="s">
        <v>11749</v>
      </c>
      <c r="B3710" t="s">
        <v>11750</v>
      </c>
      <c r="C3710" t="s">
        <v>11751</v>
      </c>
      <c r="D3710" t="s">
        <v>11748</v>
      </c>
      <c r="E3710">
        <v>0</v>
      </c>
      <c r="F3710" t="str">
        <f>HYPERLINK("https://github.com/popeen/Booksonic-App/issues/239", "show")</f>
        <v>show</v>
      </c>
      <c r="G3710" t="str">
        <f>HYPERLINK("https://github.com/popeen/Booksonic-App", "show")</f>
        <v>show</v>
      </c>
      <c r="H3710" t="str">
        <f>HYPERLINK("https://github.com/popeen/Booksonic-App/releases", "show")</f>
        <v>show</v>
      </c>
      <c r="I3710">
        <v>1</v>
      </c>
      <c r="J3710">
        <v>0</v>
      </c>
      <c r="K3710">
        <v>0</v>
      </c>
      <c r="L3710">
        <v>0</v>
      </c>
      <c r="M3710" t="s">
        <v>17</v>
      </c>
    </row>
    <row r="3711" spans="1:13" hidden="1" x14ac:dyDescent="0.15">
      <c r="A3711" t="s">
        <v>11752</v>
      </c>
      <c r="B3711" t="s">
        <v>11753</v>
      </c>
      <c r="C3711" t="s">
        <v>11754</v>
      </c>
      <c r="D3711" t="s">
        <v>11748</v>
      </c>
      <c r="E3711">
        <v>1</v>
      </c>
      <c r="F3711" t="str">
        <f>HYPERLINK("https://github.com/PojavLauncherTeam/PojavLauncher/issues/2611", "show")</f>
        <v>show</v>
      </c>
      <c r="G3711" t="str">
        <f>HYPERLINK("https://github.com/PojavLauncherTeam/PojavLauncher", "show")</f>
        <v>show</v>
      </c>
      <c r="H3711" t="str">
        <f>HYPERLINK("https://github.com/PojavLauncherTeam/PojavLauncher/releases", "show")</f>
        <v>show</v>
      </c>
      <c r="I3711">
        <v>1</v>
      </c>
      <c r="J3711">
        <v>1</v>
      </c>
      <c r="K3711">
        <v>0</v>
      </c>
      <c r="L3711">
        <v>0</v>
      </c>
      <c r="M3711" t="s">
        <v>48</v>
      </c>
    </row>
    <row r="3712" spans="1:13" hidden="1" x14ac:dyDescent="0.15">
      <c r="A3712" t="s">
        <v>11755</v>
      </c>
      <c r="B3712" t="s">
        <v>11756</v>
      </c>
      <c r="C3712" t="s">
        <v>11757</v>
      </c>
      <c r="D3712" t="s">
        <v>11748</v>
      </c>
      <c r="E3712">
        <v>6</v>
      </c>
      <c r="F3712" t="str">
        <f>HYPERLINK("https://github.com/deepjavalibrary/djl/issues/1480", "show")</f>
        <v>show</v>
      </c>
      <c r="G3712" t="str">
        <f>HYPERLINK("https://github.com/deepjavalibrary/djl", "show")</f>
        <v>show</v>
      </c>
      <c r="H3712" t="str">
        <f>HYPERLINK("https://github.com/deepjavalibrary/djl/releases", "show")</f>
        <v>show</v>
      </c>
      <c r="I3712">
        <v>1</v>
      </c>
      <c r="J3712">
        <v>0</v>
      </c>
      <c r="K3712">
        <v>0</v>
      </c>
      <c r="L3712">
        <v>0</v>
      </c>
      <c r="M3712" t="s">
        <v>17</v>
      </c>
    </row>
    <row r="3713" spans="1:13" hidden="1" x14ac:dyDescent="0.15">
      <c r="A3713" t="s">
        <v>11758</v>
      </c>
      <c r="B3713" t="s">
        <v>11759</v>
      </c>
      <c r="C3713" t="s">
        <v>11760</v>
      </c>
      <c r="D3713" t="s">
        <v>11761</v>
      </c>
      <c r="E3713">
        <v>0</v>
      </c>
      <c r="F3713" t="str">
        <f>HYPERLINK("https://github.com/Anuken/Mindustry/issues/6516", "show")</f>
        <v>show</v>
      </c>
      <c r="G3713" t="str">
        <f>HYPERLINK("https://github.com/Anuken/Mindustry", "show")</f>
        <v>show</v>
      </c>
      <c r="H3713" t="str">
        <f>HYPERLINK("https://github.com/Anuken/Mindustry/releases", "show")</f>
        <v>show</v>
      </c>
      <c r="I3713">
        <v>1</v>
      </c>
      <c r="J3713">
        <v>1</v>
      </c>
      <c r="K3713">
        <v>0</v>
      </c>
      <c r="L3713">
        <v>0</v>
      </c>
      <c r="M3713" t="s">
        <v>48</v>
      </c>
    </row>
    <row r="3714" spans="1:13" hidden="1" x14ac:dyDescent="0.15">
      <c r="A3714" t="s">
        <v>11762</v>
      </c>
      <c r="B3714" t="s">
        <v>11763</v>
      </c>
      <c r="C3714" t="s">
        <v>10930</v>
      </c>
      <c r="D3714" t="s">
        <v>11761</v>
      </c>
      <c r="E3714">
        <v>2</v>
      </c>
      <c r="F3714" t="str">
        <f>HYPERLINK("https://github.com/itsaky/AndroidIDE/issues/59", "show")</f>
        <v>show</v>
      </c>
      <c r="G3714" t="str">
        <f>HYPERLINK("https://github.com/itsaky/AndroidIDE", "show")</f>
        <v>show</v>
      </c>
      <c r="H3714" t="str">
        <f>HYPERLINK("https://github.com/itsaky/AndroidIDE/releases", "show")</f>
        <v>show</v>
      </c>
      <c r="I3714">
        <v>0</v>
      </c>
      <c r="J3714">
        <v>0</v>
      </c>
      <c r="K3714">
        <v>1</v>
      </c>
      <c r="L3714">
        <v>0</v>
      </c>
      <c r="M3714" t="s">
        <v>122</v>
      </c>
    </row>
    <row r="3715" spans="1:13" hidden="1" x14ac:dyDescent="0.15">
      <c r="A3715" t="s">
        <v>11764</v>
      </c>
      <c r="B3715" t="s">
        <v>11765</v>
      </c>
      <c r="C3715" t="s">
        <v>11766</v>
      </c>
      <c r="D3715" t="s">
        <v>11767</v>
      </c>
      <c r="E3715">
        <v>51</v>
      </c>
      <c r="F3715" t="str">
        <f>HYPERLINK("https://github.com/patzly/grocy-android/issues/485", "show")</f>
        <v>show</v>
      </c>
      <c r="G3715" t="str">
        <f>HYPERLINK("https://github.com/patzly/grocy-android", "show")</f>
        <v>show</v>
      </c>
      <c r="H3715" t="str">
        <f>HYPERLINK("https://github.com/patzly/grocy-android/releases", "show")</f>
        <v>show</v>
      </c>
      <c r="I3715">
        <v>1</v>
      </c>
      <c r="J3715">
        <v>0</v>
      </c>
      <c r="K3715">
        <v>0</v>
      </c>
      <c r="L3715">
        <v>0</v>
      </c>
      <c r="M3715" t="s">
        <v>17</v>
      </c>
    </row>
    <row r="3716" spans="1:13" hidden="1" x14ac:dyDescent="0.15">
      <c r="A3716" t="s">
        <v>11768</v>
      </c>
      <c r="B3716" t="s">
        <v>11769</v>
      </c>
      <c r="C3716" t="s">
        <v>11770</v>
      </c>
      <c r="D3716" t="s">
        <v>11767</v>
      </c>
      <c r="E3716">
        <v>1</v>
      </c>
      <c r="F3716" t="str">
        <f>HYPERLINK("https://github.com/cgeo/cgeo/issues/12577", "show")</f>
        <v>show</v>
      </c>
      <c r="G3716" t="str">
        <f>HYPERLINK("https://github.com/cgeo/cgeo", "show")</f>
        <v>show</v>
      </c>
      <c r="H3716" t="str">
        <f>HYPERLINK("https://github.com/cgeo/cgeo/releases", "show")</f>
        <v>show</v>
      </c>
      <c r="I3716">
        <v>1</v>
      </c>
      <c r="J3716">
        <v>1</v>
      </c>
      <c r="K3716">
        <v>1</v>
      </c>
      <c r="L3716">
        <v>0</v>
      </c>
      <c r="M3716" t="s">
        <v>59</v>
      </c>
    </row>
    <row r="3717" spans="1:13" hidden="1" x14ac:dyDescent="0.15">
      <c r="A3717" t="s">
        <v>11771</v>
      </c>
      <c r="B3717" t="s">
        <v>11772</v>
      </c>
      <c r="C3717" t="s">
        <v>11773</v>
      </c>
      <c r="D3717" t="s">
        <v>11767</v>
      </c>
      <c r="E3717">
        <v>0</v>
      </c>
      <c r="F3717" t="str">
        <f>HYPERLINK("https://github.com/SATYAJIT1910/MediClock/issues/1", "show")</f>
        <v>show</v>
      </c>
      <c r="G3717" t="str">
        <f>HYPERLINK("https://github.com/SATYAJIT1910/MediClock", "show")</f>
        <v>show</v>
      </c>
      <c r="H3717" t="str">
        <f>HYPERLINK("https://github.com/SATYAJIT1910/MediClock/releases", "show")</f>
        <v>show</v>
      </c>
      <c r="I3717">
        <v>0</v>
      </c>
      <c r="J3717">
        <v>0</v>
      </c>
      <c r="K3717">
        <v>0</v>
      </c>
      <c r="L3717">
        <v>0</v>
      </c>
      <c r="M3717" t="s">
        <v>43</v>
      </c>
    </row>
    <row r="3718" spans="1:13" x14ac:dyDescent="0.15">
      <c r="A3718" t="s">
        <v>11774</v>
      </c>
      <c r="B3718" t="s">
        <v>11775</v>
      </c>
      <c r="C3718" t="s">
        <v>11776</v>
      </c>
      <c r="D3718" t="s">
        <v>11777</v>
      </c>
      <c r="E3718">
        <v>0</v>
      </c>
      <c r="F3718" t="str">
        <f>HYPERLINK("https://github.com/PojavLauncherTeam/PojavLauncher/issues/2594", "show")</f>
        <v>show</v>
      </c>
      <c r="G3718" t="str">
        <f>HYPERLINK("https://github.com/PojavLauncherTeam/PojavLauncher", "show")</f>
        <v>show</v>
      </c>
      <c r="H3718" t="str">
        <f>HYPERLINK("https://github.com/PojavLauncherTeam/PojavLauncher/releases", "show")</f>
        <v>show</v>
      </c>
      <c r="I3718">
        <v>0</v>
      </c>
      <c r="J3718">
        <v>1</v>
      </c>
      <c r="K3718">
        <v>0</v>
      </c>
      <c r="L3718">
        <v>0</v>
      </c>
      <c r="M3718" t="s">
        <v>139</v>
      </c>
    </row>
    <row r="3719" spans="1:13" hidden="1" x14ac:dyDescent="0.15">
      <c r="A3719" t="s">
        <v>11778</v>
      </c>
      <c r="B3719" t="s">
        <v>11779</v>
      </c>
      <c r="D3719" t="s">
        <v>11777</v>
      </c>
      <c r="E3719">
        <v>0</v>
      </c>
      <c r="F3719" t="str">
        <f>HYPERLINK("https://github.com/krlvm/PowerTunnel-Android/issues/106", "show")</f>
        <v>show</v>
      </c>
      <c r="G3719" t="str">
        <f>HYPERLINK("https://github.com/krlvm/PowerTunnel-Android", "show")</f>
        <v>show</v>
      </c>
      <c r="H3719" t="str">
        <f>HYPERLINK("https://github.com/krlvm/PowerTunnel-Android/releases", "show")</f>
        <v>show</v>
      </c>
      <c r="I3719">
        <v>1</v>
      </c>
      <c r="J3719">
        <v>0</v>
      </c>
      <c r="K3719">
        <v>1</v>
      </c>
      <c r="L3719">
        <v>0</v>
      </c>
      <c r="M3719" t="s">
        <v>64</v>
      </c>
    </row>
    <row r="3720" spans="1:13" x14ac:dyDescent="0.15">
      <c r="A3720" t="s">
        <v>11780</v>
      </c>
      <c r="B3720" t="s">
        <v>11781</v>
      </c>
      <c r="C3720" t="s">
        <v>11782</v>
      </c>
      <c r="D3720" t="s">
        <v>11777</v>
      </c>
      <c r="E3720">
        <v>0</v>
      </c>
      <c r="F3720" t="str">
        <f>HYPERLINK("https://github.com/PojavLauncherTeam/PojavLauncher/issues/2586", "show")</f>
        <v>show</v>
      </c>
      <c r="G3720" t="str">
        <f>HYPERLINK("https://github.com/PojavLauncherTeam/PojavLauncher", "show")</f>
        <v>show</v>
      </c>
      <c r="H3720" t="str">
        <f>HYPERLINK("https://github.com/PojavLauncherTeam/PojavLauncher/releases", "show")</f>
        <v>show</v>
      </c>
      <c r="I3720">
        <v>0</v>
      </c>
      <c r="J3720">
        <v>1</v>
      </c>
      <c r="K3720">
        <v>0</v>
      </c>
      <c r="L3720">
        <v>0</v>
      </c>
      <c r="M3720" t="s">
        <v>139</v>
      </c>
    </row>
    <row r="3721" spans="1:13" hidden="1" x14ac:dyDescent="0.15">
      <c r="A3721" t="s">
        <v>11783</v>
      </c>
      <c r="B3721" t="s">
        <v>11784</v>
      </c>
      <c r="C3721" t="s">
        <v>11785</v>
      </c>
      <c r="D3721" t="s">
        <v>11786</v>
      </c>
      <c r="E3721">
        <v>53</v>
      </c>
      <c r="F3721" t="str">
        <f>HYPERLINK("https://github.com/ASE-Projekte-WS-2021/ase-ws-21-konferenzassistent/issues/29", "show")</f>
        <v>show</v>
      </c>
      <c r="G3721" t="str">
        <f>HYPERLINK("https://github.com/ASE-Projekte-WS-2021/ase-ws-21-konferenzassistent", "show")</f>
        <v>show</v>
      </c>
      <c r="H3721" t="str">
        <f>HYPERLINK("https://github.com/ASE-Projekte-WS-2021/ase-ws-21-konferenzassistent/releases", "show")</f>
        <v>show</v>
      </c>
      <c r="I3721">
        <v>0</v>
      </c>
      <c r="J3721">
        <v>0</v>
      </c>
      <c r="K3721">
        <v>0</v>
      </c>
      <c r="L3721">
        <v>0</v>
      </c>
      <c r="M3721" t="s">
        <v>43</v>
      </c>
    </row>
    <row r="3722" spans="1:13" x14ac:dyDescent="0.15">
      <c r="A3722" t="s">
        <v>11787</v>
      </c>
      <c r="B3722" t="s">
        <v>11788</v>
      </c>
      <c r="C3722" t="s">
        <v>11789</v>
      </c>
      <c r="D3722" t="s">
        <v>11786</v>
      </c>
      <c r="E3722">
        <v>68</v>
      </c>
      <c r="F3722" t="str">
        <f>HYPERLINK("https://github.com/Azure/azure-sdk-for-android/issues/984", "show")</f>
        <v>show</v>
      </c>
      <c r="G3722" t="str">
        <f>HYPERLINK("https://github.com/Azure/azure-sdk-for-android", "show")</f>
        <v>show</v>
      </c>
      <c r="H3722" t="str">
        <f>HYPERLINK("https://github.com/Azure/azure-sdk-for-android/releases", "show")</f>
        <v>show</v>
      </c>
      <c r="I3722">
        <v>0</v>
      </c>
      <c r="J3722">
        <v>1</v>
      </c>
      <c r="K3722">
        <v>0</v>
      </c>
      <c r="L3722">
        <v>0</v>
      </c>
      <c r="M3722" t="s">
        <v>139</v>
      </c>
    </row>
    <row r="3723" spans="1:13" hidden="1" x14ac:dyDescent="0.15">
      <c r="A3723" t="s">
        <v>11790</v>
      </c>
      <c r="B3723" t="s">
        <v>11791</v>
      </c>
      <c r="C3723" t="s">
        <v>11792</v>
      </c>
      <c r="D3723" t="s">
        <v>11786</v>
      </c>
      <c r="E3723">
        <v>91</v>
      </c>
      <c r="F3723" t="str">
        <f>HYPERLINK("https://github.com/flutter-package/images_picker/issues/69", "show")</f>
        <v>show</v>
      </c>
      <c r="G3723" t="str">
        <f>HYPERLINK("https://github.com/flutter-package/images_picker", "show")</f>
        <v>show</v>
      </c>
      <c r="H3723" t="str">
        <f>HYPERLINK("https://github.com/flutter-package/images_picker/releases", "show")</f>
        <v>show</v>
      </c>
      <c r="I3723">
        <v>1</v>
      </c>
      <c r="J3723">
        <v>0</v>
      </c>
      <c r="K3723">
        <v>0</v>
      </c>
      <c r="L3723">
        <v>0</v>
      </c>
      <c r="M3723" t="s">
        <v>17</v>
      </c>
    </row>
    <row r="3724" spans="1:13" hidden="1" x14ac:dyDescent="0.15">
      <c r="A3724" t="s">
        <v>11793</v>
      </c>
      <c r="B3724" t="s">
        <v>11794</v>
      </c>
      <c r="C3724" t="s">
        <v>11795</v>
      </c>
      <c r="D3724" t="s">
        <v>11796</v>
      </c>
      <c r="E3724">
        <v>1</v>
      </c>
      <c r="F3724" t="str">
        <f>HYPERLINK("https://github.com/TeamNewPipe/NewPipe/issues/7671", "show")</f>
        <v>show</v>
      </c>
      <c r="G3724" t="str">
        <f>HYPERLINK("https://github.com/TeamNewPipe/NewPipe", "show")</f>
        <v>show</v>
      </c>
      <c r="H3724" t="str">
        <f>HYPERLINK("https://github.com/TeamNewPipe/NewPipe/releases", "show")</f>
        <v>show</v>
      </c>
      <c r="I3724">
        <v>1</v>
      </c>
      <c r="J3724">
        <v>1</v>
      </c>
      <c r="K3724">
        <v>0</v>
      </c>
      <c r="L3724">
        <v>1</v>
      </c>
      <c r="M3724" t="s">
        <v>1894</v>
      </c>
    </row>
    <row r="3725" spans="1:13" hidden="1" x14ac:dyDescent="0.15">
      <c r="A3725" t="s">
        <v>11797</v>
      </c>
      <c r="B3725" t="s">
        <v>11798</v>
      </c>
      <c r="C3725" t="s">
        <v>11799</v>
      </c>
      <c r="D3725" t="s">
        <v>11796</v>
      </c>
      <c r="E3725">
        <v>13</v>
      </c>
      <c r="F3725" t="str">
        <f>HYPERLINK("https://github.com/jellyfin/jellyfin-androidtv/issues/1361", "show")</f>
        <v>show</v>
      </c>
      <c r="G3725" t="str">
        <f>HYPERLINK("https://github.com/jellyfin/jellyfin-androidtv", "show")</f>
        <v>show</v>
      </c>
      <c r="H3725" t="str">
        <f>HYPERLINK("https://github.com/jellyfin/jellyfin-androidtv/releases", "show")</f>
        <v>show</v>
      </c>
      <c r="I3725">
        <v>1</v>
      </c>
      <c r="J3725">
        <v>1</v>
      </c>
      <c r="K3725">
        <v>0</v>
      </c>
      <c r="L3725">
        <v>0</v>
      </c>
      <c r="M3725" t="s">
        <v>48</v>
      </c>
    </row>
    <row r="3726" spans="1:13" hidden="1" x14ac:dyDescent="0.15">
      <c r="A3726" t="s">
        <v>11800</v>
      </c>
      <c r="B3726" t="s">
        <v>11801</v>
      </c>
      <c r="C3726" t="s">
        <v>11802</v>
      </c>
      <c r="D3726" t="s">
        <v>11803</v>
      </c>
      <c r="E3726">
        <v>43</v>
      </c>
      <c r="F3726" t="str">
        <f>HYPERLINK("https://github.com/nextcloud/android/issues/9712", "show")</f>
        <v>show</v>
      </c>
      <c r="G3726" t="str">
        <f>HYPERLINK("https://github.com/nextcloud/android", "show")</f>
        <v>show</v>
      </c>
      <c r="H3726" t="str">
        <f>HYPERLINK("https://github.com/nextcloud/android/releases", "show")</f>
        <v>show</v>
      </c>
      <c r="I3726">
        <v>1</v>
      </c>
      <c r="J3726">
        <v>1</v>
      </c>
      <c r="K3726">
        <v>0</v>
      </c>
      <c r="L3726">
        <v>0</v>
      </c>
      <c r="M3726" t="s">
        <v>48</v>
      </c>
    </row>
    <row r="3727" spans="1:13" hidden="1" x14ac:dyDescent="0.15">
      <c r="A3727" t="s">
        <v>11804</v>
      </c>
      <c r="B3727" t="s">
        <v>11805</v>
      </c>
      <c r="C3727" t="s">
        <v>11806</v>
      </c>
      <c r="D3727" t="s">
        <v>11803</v>
      </c>
      <c r="E3727">
        <v>0</v>
      </c>
      <c r="F3727" t="str">
        <f>HYPERLINK("https://github.com/zeroc-ice/ice-demos/issues/145", "show")</f>
        <v>show</v>
      </c>
      <c r="G3727" t="str">
        <f>HYPERLINK("https://github.com/zeroc-ice/ice-demos", "show")</f>
        <v>show</v>
      </c>
      <c r="H3727" t="str">
        <f>HYPERLINK("https://github.com/zeroc-ice/ice-demos/releases", "show")</f>
        <v>show</v>
      </c>
      <c r="I3727">
        <v>0</v>
      </c>
      <c r="J3727">
        <v>0</v>
      </c>
      <c r="K3727">
        <v>0</v>
      </c>
      <c r="L3727">
        <v>0</v>
      </c>
      <c r="M3727" t="s">
        <v>43</v>
      </c>
    </row>
    <row r="3728" spans="1:13" hidden="1" x14ac:dyDescent="0.15">
      <c r="A3728" t="s">
        <v>11807</v>
      </c>
      <c r="B3728" t="s">
        <v>11808</v>
      </c>
      <c r="C3728" t="s">
        <v>11809</v>
      </c>
      <c r="D3728" t="s">
        <v>11810</v>
      </c>
      <c r="E3728">
        <v>6</v>
      </c>
      <c r="F3728" t="str">
        <f>HYPERLINK("https://github.com/gsantner/markor/issues/1565", "show")</f>
        <v>show</v>
      </c>
      <c r="G3728" t="str">
        <f>HYPERLINK("https://github.com/gsantner/markor", "show")</f>
        <v>show</v>
      </c>
      <c r="H3728" t="str">
        <f>HYPERLINK("https://github.com/gsantner/markor/releases", "show")</f>
        <v>show</v>
      </c>
      <c r="I3728">
        <v>1</v>
      </c>
      <c r="J3728">
        <v>0</v>
      </c>
      <c r="K3728">
        <v>0</v>
      </c>
      <c r="L3728">
        <v>1</v>
      </c>
      <c r="M3728" t="s">
        <v>29</v>
      </c>
    </row>
    <row r="3729" spans="1:13" hidden="1" x14ac:dyDescent="0.15">
      <c r="A3729" t="s">
        <v>11811</v>
      </c>
      <c r="B3729" t="s">
        <v>11812</v>
      </c>
      <c r="C3729" t="s">
        <v>11813</v>
      </c>
      <c r="D3729" t="s">
        <v>11814</v>
      </c>
      <c r="E3729">
        <v>1</v>
      </c>
      <c r="F3729" t="str">
        <f>HYPERLINK("https://github.com/TeamNewPipe/NewPipe/issues/7662", "show")</f>
        <v>show</v>
      </c>
      <c r="G3729" t="str">
        <f>HYPERLINK("https://github.com/TeamNewPipe/NewPipe", "show")</f>
        <v>show</v>
      </c>
      <c r="H3729" t="str">
        <f>HYPERLINK("https://github.com/TeamNewPipe/NewPipe/releases", "show")</f>
        <v>show</v>
      </c>
      <c r="I3729">
        <v>1</v>
      </c>
      <c r="J3729">
        <v>1</v>
      </c>
      <c r="K3729">
        <v>0</v>
      </c>
      <c r="L3729">
        <v>0</v>
      </c>
      <c r="M3729" t="s">
        <v>48</v>
      </c>
    </row>
    <row r="3730" spans="1:13" hidden="1" x14ac:dyDescent="0.15">
      <c r="A3730" t="s">
        <v>11815</v>
      </c>
      <c r="B3730" t="s">
        <v>11816</v>
      </c>
      <c r="C3730" t="s">
        <v>11817</v>
      </c>
      <c r="D3730" t="s">
        <v>11814</v>
      </c>
      <c r="E3730">
        <v>1</v>
      </c>
      <c r="F3730" t="str">
        <f>HYPERLINK("https://github.com/PojavLauncherTeam/PojavLauncher/issues/2564", "show")</f>
        <v>show</v>
      </c>
      <c r="G3730" t="str">
        <f>HYPERLINK("https://github.com/PojavLauncherTeam/PojavLauncher", "show")</f>
        <v>show</v>
      </c>
      <c r="H3730" t="str">
        <f>HYPERLINK("https://github.com/PojavLauncherTeam/PojavLauncher/releases", "show")</f>
        <v>show</v>
      </c>
      <c r="I3730">
        <v>1</v>
      </c>
      <c r="J3730">
        <v>1</v>
      </c>
      <c r="K3730">
        <v>0</v>
      </c>
      <c r="L3730">
        <v>0</v>
      </c>
      <c r="M3730" t="s">
        <v>48</v>
      </c>
    </row>
    <row r="3731" spans="1:13" x14ac:dyDescent="0.15">
      <c r="A3731" t="s">
        <v>11818</v>
      </c>
      <c r="B3731" t="s">
        <v>11819</v>
      </c>
      <c r="C3731" t="s">
        <v>11820</v>
      </c>
      <c r="D3731" t="s">
        <v>11814</v>
      </c>
      <c r="E3731">
        <v>35</v>
      </c>
      <c r="F3731" t="str">
        <f>HYPERLINK("https://github.com/TeamNewPipe/NewPipe/issues/7659", "show")</f>
        <v>show</v>
      </c>
      <c r="G3731" t="str">
        <f>HYPERLINK("https://github.com/TeamNewPipe/NewPipe", "show")</f>
        <v>show</v>
      </c>
      <c r="H3731" t="str">
        <f>HYPERLINK("https://github.com/TeamNewPipe/NewPipe/releases", "show")</f>
        <v>show</v>
      </c>
      <c r="I3731">
        <v>0</v>
      </c>
      <c r="J3731">
        <v>1</v>
      </c>
      <c r="K3731">
        <v>0</v>
      </c>
      <c r="L3731">
        <v>0</v>
      </c>
      <c r="M3731" t="s">
        <v>139</v>
      </c>
    </row>
    <row r="3732" spans="1:13" x14ac:dyDescent="0.15">
      <c r="A3732" t="s">
        <v>11821</v>
      </c>
      <c r="B3732" t="s">
        <v>11822</v>
      </c>
      <c r="C3732" t="s">
        <v>11823</v>
      </c>
      <c r="D3732" t="s">
        <v>11814</v>
      </c>
      <c r="E3732">
        <v>0</v>
      </c>
      <c r="F3732" t="str">
        <f>HYPERLINK("https://github.com/PojavLauncherTeam/PojavLauncher/issues/2561", "show")</f>
        <v>show</v>
      </c>
      <c r="G3732" t="str">
        <f>HYPERLINK("https://github.com/PojavLauncherTeam/PojavLauncher", "show")</f>
        <v>show</v>
      </c>
      <c r="H3732" t="str">
        <f>HYPERLINK("https://github.com/PojavLauncherTeam/PojavLauncher/releases", "show")</f>
        <v>show</v>
      </c>
      <c r="I3732">
        <v>0</v>
      </c>
      <c r="J3732">
        <v>1</v>
      </c>
      <c r="K3732">
        <v>0</v>
      </c>
      <c r="L3732">
        <v>0</v>
      </c>
      <c r="M3732" t="s">
        <v>139</v>
      </c>
    </row>
    <row r="3733" spans="1:13" hidden="1" x14ac:dyDescent="0.15">
      <c r="A3733" t="s">
        <v>11824</v>
      </c>
      <c r="B3733" t="s">
        <v>11825</v>
      </c>
      <c r="C3733" t="s">
        <v>11826</v>
      </c>
      <c r="D3733" t="s">
        <v>11814</v>
      </c>
      <c r="E3733">
        <v>15</v>
      </c>
      <c r="F3733" t="str">
        <f>HYPERLINK("https://github.com/TeamNewPipe/NewPipe/issues/7657", "show")</f>
        <v>show</v>
      </c>
      <c r="G3733" t="str">
        <f>HYPERLINK("https://github.com/TeamNewPipe/NewPipe", "show")</f>
        <v>show</v>
      </c>
      <c r="H3733" t="str">
        <f>HYPERLINK("https://github.com/TeamNewPipe/NewPipe/releases", "show")</f>
        <v>show</v>
      </c>
      <c r="I3733">
        <v>1</v>
      </c>
      <c r="J3733">
        <v>1</v>
      </c>
      <c r="K3733">
        <v>1</v>
      </c>
      <c r="L3733">
        <v>0</v>
      </c>
      <c r="M3733" t="s">
        <v>59</v>
      </c>
    </row>
    <row r="3734" spans="1:13" hidden="1" x14ac:dyDescent="0.15">
      <c r="A3734" t="s">
        <v>11827</v>
      </c>
      <c r="B3734" t="s">
        <v>11828</v>
      </c>
      <c r="C3734" t="s">
        <v>11829</v>
      </c>
      <c r="D3734" t="s">
        <v>11830</v>
      </c>
      <c r="E3734">
        <v>2</v>
      </c>
      <c r="F3734" t="str">
        <f>HYPERLINK("https://github.com/TeamNewPipe/NewPipe/issues/7655", "show")</f>
        <v>show</v>
      </c>
      <c r="G3734" t="str">
        <f>HYPERLINK("https://github.com/TeamNewPipe/NewPipe", "show")</f>
        <v>show</v>
      </c>
      <c r="H3734" t="str">
        <f>HYPERLINK("https://github.com/TeamNewPipe/NewPipe/releases", "show")</f>
        <v>show</v>
      </c>
      <c r="I3734">
        <v>1</v>
      </c>
      <c r="J3734">
        <v>1</v>
      </c>
      <c r="K3734">
        <v>0</v>
      </c>
      <c r="L3734">
        <v>1</v>
      </c>
      <c r="M3734" t="s">
        <v>1894</v>
      </c>
    </row>
    <row r="3735" spans="1:13" hidden="1" x14ac:dyDescent="0.15">
      <c r="A3735" t="s">
        <v>11831</v>
      </c>
      <c r="B3735" t="s">
        <v>11832</v>
      </c>
      <c r="C3735" t="s">
        <v>11833</v>
      </c>
      <c r="D3735" t="s">
        <v>11834</v>
      </c>
      <c r="E3735">
        <v>5</v>
      </c>
      <c r="F3735" t="str">
        <f>HYPERLINK("https://github.com/nextcloud/android/issues/9695", "show")</f>
        <v>show</v>
      </c>
      <c r="G3735" t="str">
        <f>HYPERLINK("https://github.com/nextcloud/android", "show")</f>
        <v>show</v>
      </c>
      <c r="H3735" t="str">
        <f>HYPERLINK("https://github.com/nextcloud/android/releases", "show")</f>
        <v>show</v>
      </c>
      <c r="I3735">
        <v>0</v>
      </c>
      <c r="J3735">
        <v>0</v>
      </c>
      <c r="K3735">
        <v>1</v>
      </c>
      <c r="L3735">
        <v>0</v>
      </c>
      <c r="M3735" t="s">
        <v>122</v>
      </c>
    </row>
    <row r="3736" spans="1:13" hidden="1" x14ac:dyDescent="0.15">
      <c r="A3736" t="s">
        <v>11835</v>
      </c>
      <c r="B3736" t="s">
        <v>11836</v>
      </c>
      <c r="C3736" t="s">
        <v>11837</v>
      </c>
      <c r="D3736" t="s">
        <v>11834</v>
      </c>
      <c r="E3736">
        <v>7</v>
      </c>
      <c r="F3736" t="str">
        <f>HYPERLINK("https://github.com/itsaky/AndroidIDE/issues/51", "show")</f>
        <v>show</v>
      </c>
      <c r="G3736" t="str">
        <f>HYPERLINK("https://github.com/itsaky/AndroidIDE", "show")</f>
        <v>show</v>
      </c>
      <c r="H3736" t="str">
        <f>HYPERLINK("https://github.com/itsaky/AndroidIDE/releases", "show")</f>
        <v>show</v>
      </c>
      <c r="I3736">
        <v>0</v>
      </c>
      <c r="J3736">
        <v>0</v>
      </c>
      <c r="K3736">
        <v>1</v>
      </c>
      <c r="L3736">
        <v>0</v>
      </c>
      <c r="M3736" t="s">
        <v>122</v>
      </c>
    </row>
    <row r="3737" spans="1:13" hidden="1" x14ac:dyDescent="0.15">
      <c r="A3737" t="s">
        <v>11838</v>
      </c>
      <c r="B3737" t="s">
        <v>11839</v>
      </c>
      <c r="C3737" t="s">
        <v>11840</v>
      </c>
      <c r="D3737" t="s">
        <v>11841</v>
      </c>
      <c r="E3737">
        <v>1</v>
      </c>
      <c r="F3737" t="str">
        <f>HYPERLINK("https://github.com/PojavLauncherTeam/PojavLauncher/issues/2545", "show")</f>
        <v>show</v>
      </c>
      <c r="G3737" t="str">
        <f>HYPERLINK("https://github.com/PojavLauncherTeam/PojavLauncher", "show")</f>
        <v>show</v>
      </c>
      <c r="H3737" t="str">
        <f>HYPERLINK("https://github.com/PojavLauncherTeam/PojavLauncher/releases", "show")</f>
        <v>show</v>
      </c>
      <c r="I3737">
        <v>1</v>
      </c>
      <c r="J3737">
        <v>1</v>
      </c>
      <c r="K3737">
        <v>0</v>
      </c>
      <c r="L3737">
        <v>1</v>
      </c>
      <c r="M3737" t="s">
        <v>1894</v>
      </c>
    </row>
    <row r="3738" spans="1:13" hidden="1" x14ac:dyDescent="0.15">
      <c r="A3738" t="s">
        <v>11842</v>
      </c>
      <c r="B3738" t="s">
        <v>11843</v>
      </c>
      <c r="C3738" t="s">
        <v>11844</v>
      </c>
      <c r="D3738" t="s">
        <v>11841</v>
      </c>
      <c r="E3738">
        <v>0</v>
      </c>
      <c r="F3738" t="str">
        <f>HYPERLINK("https://github.com/Anuken/Mindustry/issues/6486", "show")</f>
        <v>show</v>
      </c>
      <c r="G3738" t="str">
        <f>HYPERLINK("https://github.com/Anuken/Mindustry", "show")</f>
        <v>show</v>
      </c>
      <c r="H3738" t="str">
        <f>HYPERLINK("https://github.com/Anuken/Mindustry/releases", "show")</f>
        <v>show</v>
      </c>
      <c r="I3738">
        <v>1</v>
      </c>
      <c r="J3738">
        <v>1</v>
      </c>
      <c r="K3738">
        <v>0</v>
      </c>
      <c r="L3738">
        <v>1</v>
      </c>
      <c r="M3738" t="s">
        <v>1894</v>
      </c>
    </row>
    <row r="3739" spans="1:13" hidden="1" x14ac:dyDescent="0.15">
      <c r="A3739" t="s">
        <v>11845</v>
      </c>
      <c r="B3739" t="s">
        <v>11846</v>
      </c>
      <c r="C3739" t="s">
        <v>11847</v>
      </c>
      <c r="D3739" t="s">
        <v>11848</v>
      </c>
      <c r="E3739">
        <v>1</v>
      </c>
      <c r="F3739" t="str">
        <f>HYPERLINK("https://github.com/OpenTracksApp/OpenTracks/issues/1086", "show")</f>
        <v>show</v>
      </c>
      <c r="G3739" t="str">
        <f>HYPERLINK("https://github.com/OpenTracksApp/OpenTracks", "show")</f>
        <v>show</v>
      </c>
      <c r="H3739" t="str">
        <f>HYPERLINK("https://github.com/OpenTracksApp/OpenTracks/releases", "show")</f>
        <v>show</v>
      </c>
      <c r="I3739">
        <v>1</v>
      </c>
      <c r="J3739">
        <v>1</v>
      </c>
      <c r="K3739">
        <v>1</v>
      </c>
      <c r="L3739">
        <v>0</v>
      </c>
      <c r="M3739" t="s">
        <v>59</v>
      </c>
    </row>
    <row r="3740" spans="1:13" hidden="1" x14ac:dyDescent="0.15">
      <c r="A3740" t="s">
        <v>11849</v>
      </c>
      <c r="B3740" t="s">
        <v>11850</v>
      </c>
      <c r="C3740" t="s">
        <v>11851</v>
      </c>
      <c r="D3740" t="s">
        <v>11848</v>
      </c>
      <c r="E3740">
        <v>4</v>
      </c>
      <c r="F3740" t="str">
        <f>HYPERLINK("https://github.com/yasirkula/UnityNativeFilePicker/issues/18", "show")</f>
        <v>show</v>
      </c>
      <c r="G3740" t="str">
        <f>HYPERLINK("https://github.com/yasirkula/UnityNativeFilePicker", "show")</f>
        <v>show</v>
      </c>
      <c r="H3740" t="str">
        <f>HYPERLINK("https://github.com/yasirkula/UnityNativeFilePicker/releases", "show")</f>
        <v>show</v>
      </c>
      <c r="I3740">
        <v>1</v>
      </c>
      <c r="J3740">
        <v>0</v>
      </c>
      <c r="K3740">
        <v>1</v>
      </c>
      <c r="L3740">
        <v>0</v>
      </c>
      <c r="M3740" t="s">
        <v>64</v>
      </c>
    </row>
    <row r="3741" spans="1:13" hidden="1" x14ac:dyDescent="0.15">
      <c r="A3741" t="s">
        <v>11852</v>
      </c>
      <c r="B3741" t="s">
        <v>11853</v>
      </c>
      <c r="C3741" t="s">
        <v>11854</v>
      </c>
      <c r="D3741" t="s">
        <v>11855</v>
      </c>
      <c r="E3741">
        <v>1</v>
      </c>
      <c r="F3741" t="str">
        <f>HYPERLINK("https://github.com/SilviaAsmat/TipCalculator/issues/6", "show")</f>
        <v>show</v>
      </c>
      <c r="G3741" t="str">
        <f>HYPERLINK("https://github.com/SilviaAsmat/TipCalculator", "show")</f>
        <v>show</v>
      </c>
      <c r="H3741" t="str">
        <f>HYPERLINK("https://github.com/SilviaAsmat/TipCalculator/releases", "show")</f>
        <v>show</v>
      </c>
      <c r="I3741">
        <v>0</v>
      </c>
      <c r="J3741">
        <v>0</v>
      </c>
      <c r="K3741">
        <v>0</v>
      </c>
      <c r="L3741">
        <v>0</v>
      </c>
      <c r="M3741" t="s">
        <v>43</v>
      </c>
    </row>
    <row r="3742" spans="1:13" hidden="1" x14ac:dyDescent="0.15">
      <c r="A3742" t="s">
        <v>11856</v>
      </c>
      <c r="B3742" t="s">
        <v>11857</v>
      </c>
      <c r="C3742" t="s">
        <v>11858</v>
      </c>
      <c r="D3742" t="s">
        <v>11855</v>
      </c>
      <c r="E3742">
        <v>2</v>
      </c>
      <c r="F3742" t="str">
        <f>HYPERLINK("https://github.com/PojavLauncherTeam/PojavLauncher/issues/2533", "show")</f>
        <v>show</v>
      </c>
      <c r="G3742" t="str">
        <f>HYPERLINK("https://github.com/PojavLauncherTeam/PojavLauncher", "show")</f>
        <v>show</v>
      </c>
      <c r="H3742" t="str">
        <f>HYPERLINK("https://github.com/PojavLauncherTeam/PojavLauncher/releases", "show")</f>
        <v>show</v>
      </c>
      <c r="I3742">
        <v>0</v>
      </c>
      <c r="J3742">
        <v>0</v>
      </c>
      <c r="K3742">
        <v>0</v>
      </c>
      <c r="L3742">
        <v>0</v>
      </c>
      <c r="M3742" t="s">
        <v>43</v>
      </c>
    </row>
    <row r="3743" spans="1:13" hidden="1" x14ac:dyDescent="0.15">
      <c r="A3743" t="s">
        <v>11859</v>
      </c>
      <c r="B3743" t="s">
        <v>11860</v>
      </c>
      <c r="C3743" t="s">
        <v>11861</v>
      </c>
      <c r="D3743" t="s">
        <v>11855</v>
      </c>
      <c r="E3743">
        <v>0</v>
      </c>
      <c r="F3743" t="str">
        <f>HYPERLINK("https://github.com/PojavLauncherTeam/PojavLauncher/issues/2532", "show")</f>
        <v>show</v>
      </c>
      <c r="G3743" t="str">
        <f>HYPERLINK("https://github.com/PojavLauncherTeam/PojavLauncher", "show")</f>
        <v>show</v>
      </c>
      <c r="H3743" t="str">
        <f>HYPERLINK("https://github.com/PojavLauncherTeam/PojavLauncher/releases", "show")</f>
        <v>show</v>
      </c>
      <c r="I3743">
        <v>0</v>
      </c>
      <c r="J3743">
        <v>0</v>
      </c>
      <c r="K3743">
        <v>0</v>
      </c>
      <c r="L3743">
        <v>0</v>
      </c>
      <c r="M3743" t="s">
        <v>43</v>
      </c>
    </row>
    <row r="3744" spans="1:13" hidden="1" x14ac:dyDescent="0.15">
      <c r="A3744" t="s">
        <v>11862</v>
      </c>
      <c r="B3744" t="s">
        <v>11863</v>
      </c>
      <c r="C3744" t="s">
        <v>11864</v>
      </c>
      <c r="D3744" t="s">
        <v>11865</v>
      </c>
      <c r="E3744">
        <v>98</v>
      </c>
      <c r="F3744" t="str">
        <f>HYPERLINK("https://github.com/lisawray/groupie/issues/417", "show")</f>
        <v>show</v>
      </c>
      <c r="G3744" t="str">
        <f>HYPERLINK("https://github.com/lisawray/groupie", "show")</f>
        <v>show</v>
      </c>
      <c r="H3744" t="str">
        <f>HYPERLINK("https://github.com/lisawray/groupie/releases", "show")</f>
        <v>show</v>
      </c>
      <c r="I3744">
        <v>0</v>
      </c>
      <c r="J3744">
        <v>0</v>
      </c>
      <c r="K3744">
        <v>1</v>
      </c>
      <c r="L3744">
        <v>0</v>
      </c>
      <c r="M3744" t="s">
        <v>122</v>
      </c>
    </row>
    <row r="3745" spans="1:13" hidden="1" x14ac:dyDescent="0.15">
      <c r="A3745" t="s">
        <v>11866</v>
      </c>
      <c r="B3745" t="s">
        <v>11867</v>
      </c>
      <c r="C3745" t="s">
        <v>11868</v>
      </c>
      <c r="D3745" t="s">
        <v>11865</v>
      </c>
      <c r="E3745">
        <v>3</v>
      </c>
      <c r="F3745" t="str">
        <f>HYPERLINK("https://github.com/TeamNewPipe/NewPipe/issues/7635", "show")</f>
        <v>show</v>
      </c>
      <c r="G3745" t="str">
        <f>HYPERLINK("https://github.com/TeamNewPipe/NewPipe", "show")</f>
        <v>show</v>
      </c>
      <c r="H3745" t="str">
        <f>HYPERLINK("https://github.com/TeamNewPipe/NewPipe/releases", "show")</f>
        <v>show</v>
      </c>
      <c r="I3745">
        <v>1</v>
      </c>
      <c r="J3745">
        <v>1</v>
      </c>
      <c r="K3745">
        <v>0</v>
      </c>
      <c r="L3745">
        <v>0</v>
      </c>
      <c r="M3745" t="s">
        <v>48</v>
      </c>
    </row>
    <row r="3746" spans="1:13" hidden="1" x14ac:dyDescent="0.15">
      <c r="A3746" t="s">
        <v>11869</v>
      </c>
      <c r="B3746" t="s">
        <v>11870</v>
      </c>
      <c r="C3746" t="s">
        <v>11871</v>
      </c>
      <c r="D3746" t="s">
        <v>11865</v>
      </c>
      <c r="E3746">
        <v>0</v>
      </c>
      <c r="F3746" t="str">
        <f>HYPERLINK("https://github.com/ankidroid/Anki-Android/issues/10121", "show")</f>
        <v>show</v>
      </c>
      <c r="G3746" t="str">
        <f>HYPERLINK("https://github.com/ankidroid/Anki-Android", "show")</f>
        <v>show</v>
      </c>
      <c r="H3746" t="str">
        <f>HYPERLINK("https://github.com/ankidroid/Anki-Android/releases", "show")</f>
        <v>show</v>
      </c>
      <c r="I3746">
        <v>1</v>
      </c>
      <c r="J3746">
        <v>1</v>
      </c>
      <c r="K3746">
        <v>1</v>
      </c>
      <c r="L3746">
        <v>0</v>
      </c>
      <c r="M3746" t="s">
        <v>59</v>
      </c>
    </row>
    <row r="3747" spans="1:13" hidden="1" x14ac:dyDescent="0.15">
      <c r="A3747" t="s">
        <v>11872</v>
      </c>
      <c r="B3747" t="s">
        <v>11873</v>
      </c>
      <c r="C3747" t="s">
        <v>11874</v>
      </c>
      <c r="D3747" t="s">
        <v>11875</v>
      </c>
      <c r="E3747">
        <v>0</v>
      </c>
      <c r="F3747" t="str">
        <f>HYPERLINK("https://github.com/SleepingApps/Slurp/issues/106", "show")</f>
        <v>show</v>
      </c>
      <c r="G3747" t="str">
        <f>HYPERLINK("https://github.com/SleepingApps/Slurp", "show")</f>
        <v>show</v>
      </c>
      <c r="H3747" t="str">
        <f>HYPERLINK("https://github.com/SleepingApps/Slurp/releases", "show")</f>
        <v>show</v>
      </c>
      <c r="I3747">
        <v>1</v>
      </c>
      <c r="J3747">
        <v>0</v>
      </c>
      <c r="K3747">
        <v>0</v>
      </c>
      <c r="L3747">
        <v>0</v>
      </c>
      <c r="M3747" t="s">
        <v>17</v>
      </c>
    </row>
    <row r="3748" spans="1:13" hidden="1" x14ac:dyDescent="0.15">
      <c r="A3748" t="s">
        <v>11876</v>
      </c>
      <c r="B3748" t="s">
        <v>11877</v>
      </c>
      <c r="C3748" t="s">
        <v>11878</v>
      </c>
      <c r="D3748" t="s">
        <v>11875</v>
      </c>
      <c r="E3748">
        <v>0</v>
      </c>
      <c r="F3748" t="str">
        <f>HYPERLINK("https://github.com/PojavLauncherTeam/PojavLauncher/issues/2526", "show")</f>
        <v>show</v>
      </c>
      <c r="G3748" t="str">
        <f>HYPERLINK("https://github.com/PojavLauncherTeam/PojavLauncher", "show")</f>
        <v>show</v>
      </c>
      <c r="H3748" t="str">
        <f>HYPERLINK("https://github.com/PojavLauncherTeam/PojavLauncher/releases", "show")</f>
        <v>show</v>
      </c>
      <c r="I3748">
        <v>1</v>
      </c>
      <c r="J3748">
        <v>1</v>
      </c>
      <c r="K3748">
        <v>0</v>
      </c>
      <c r="L3748">
        <v>1</v>
      </c>
      <c r="M3748" t="s">
        <v>1894</v>
      </c>
    </row>
    <row r="3749" spans="1:13" hidden="1" x14ac:dyDescent="0.15">
      <c r="A3749" t="s">
        <v>11879</v>
      </c>
      <c r="B3749" t="s">
        <v>11880</v>
      </c>
      <c r="C3749" t="s">
        <v>11881</v>
      </c>
      <c r="D3749" t="s">
        <v>11875</v>
      </c>
      <c r="E3749">
        <v>1</v>
      </c>
      <c r="F3749" t="str">
        <f>HYPERLINK("https://github.com/PojavLauncherTeam/PojavLauncher/issues/2525", "show")</f>
        <v>show</v>
      </c>
      <c r="G3749" t="str">
        <f>HYPERLINK("https://github.com/PojavLauncherTeam/PojavLauncher", "show")</f>
        <v>show</v>
      </c>
      <c r="H3749" t="str">
        <f>HYPERLINK("https://github.com/PojavLauncherTeam/PojavLauncher/releases", "show")</f>
        <v>show</v>
      </c>
      <c r="I3749">
        <v>0</v>
      </c>
      <c r="J3749">
        <v>1</v>
      </c>
      <c r="K3749">
        <v>0</v>
      </c>
      <c r="L3749">
        <v>1</v>
      </c>
      <c r="M3749" t="s">
        <v>1732</v>
      </c>
    </row>
    <row r="3750" spans="1:13" hidden="1" x14ac:dyDescent="0.15">
      <c r="A3750" t="s">
        <v>11882</v>
      </c>
      <c r="B3750" t="s">
        <v>11883</v>
      </c>
      <c r="D3750" t="s">
        <v>11875</v>
      </c>
      <c r="E3750">
        <v>3</v>
      </c>
      <c r="F3750" t="str">
        <f>HYPERLINK("https://github.com/ankidroid/Anki-Android/issues/10108", "show")</f>
        <v>show</v>
      </c>
      <c r="G3750" t="str">
        <f>HYPERLINK("https://github.com/ankidroid/Anki-Android", "show")</f>
        <v>show</v>
      </c>
      <c r="H3750" t="str">
        <f>HYPERLINK("https://github.com/ankidroid/Anki-Android/releases", "show")</f>
        <v>show</v>
      </c>
      <c r="I3750">
        <v>0</v>
      </c>
      <c r="J3750">
        <v>0</v>
      </c>
      <c r="K3750">
        <v>1</v>
      </c>
      <c r="L3750">
        <v>0</v>
      </c>
      <c r="M3750" t="s">
        <v>122</v>
      </c>
    </row>
    <row r="3751" spans="1:13" hidden="1" x14ac:dyDescent="0.15">
      <c r="A3751" t="s">
        <v>11884</v>
      </c>
      <c r="B3751" t="s">
        <v>11885</v>
      </c>
      <c r="C3751" t="s">
        <v>11886</v>
      </c>
      <c r="D3751" t="s">
        <v>11875</v>
      </c>
      <c r="E3751">
        <v>0</v>
      </c>
      <c r="F3751" t="str">
        <f>HYPERLINK("https://github.com/itsaky/AndroidIDE/issues/45", "show")</f>
        <v>show</v>
      </c>
      <c r="G3751" t="str">
        <f>HYPERLINK("https://github.com/itsaky/AndroidIDE", "show")</f>
        <v>show</v>
      </c>
      <c r="H3751" t="str">
        <f>HYPERLINK("https://github.com/itsaky/AndroidIDE/releases", "show")</f>
        <v>show</v>
      </c>
      <c r="I3751">
        <v>1</v>
      </c>
      <c r="J3751">
        <v>0</v>
      </c>
      <c r="K3751">
        <v>1</v>
      </c>
      <c r="L3751">
        <v>1</v>
      </c>
      <c r="M3751" t="s">
        <v>1259</v>
      </c>
    </row>
    <row r="3752" spans="1:13" hidden="1" x14ac:dyDescent="0.15">
      <c r="A3752" t="s">
        <v>11887</v>
      </c>
      <c r="B3752" t="s">
        <v>11888</v>
      </c>
      <c r="C3752" t="s">
        <v>11889</v>
      </c>
      <c r="D3752" t="s">
        <v>11875</v>
      </c>
      <c r="E3752">
        <v>96</v>
      </c>
      <c r="F3752" t="str">
        <f>HYPERLINK("https://github.com/doublesymmetry/react-native-track-player/issues/1364", "show")</f>
        <v>show</v>
      </c>
      <c r="G3752" t="str">
        <f>HYPERLINK("https://github.com/doublesymmetry/react-native-track-player", "show")</f>
        <v>show</v>
      </c>
      <c r="H3752" t="str">
        <f>HYPERLINK("https://github.com/doublesymmetry/react-native-track-player/releases", "show")</f>
        <v>show</v>
      </c>
      <c r="I3752">
        <v>1</v>
      </c>
      <c r="J3752">
        <v>1</v>
      </c>
      <c r="K3752">
        <v>0</v>
      </c>
      <c r="L3752">
        <v>0</v>
      </c>
      <c r="M3752" t="s">
        <v>48</v>
      </c>
    </row>
    <row r="3753" spans="1:13" hidden="1" x14ac:dyDescent="0.15">
      <c r="A3753" t="s">
        <v>11890</v>
      </c>
      <c r="B3753" t="s">
        <v>11891</v>
      </c>
      <c r="C3753" t="s">
        <v>11892</v>
      </c>
      <c r="D3753" t="s">
        <v>11875</v>
      </c>
      <c r="E3753">
        <v>0</v>
      </c>
      <c r="F3753" t="str">
        <f>HYPERLINK("https://github.com/Anuken/Mindustry/issues/6473", "show")</f>
        <v>show</v>
      </c>
      <c r="G3753" t="str">
        <f>HYPERLINK("https://github.com/Anuken/Mindustry", "show")</f>
        <v>show</v>
      </c>
      <c r="H3753" t="str">
        <f>HYPERLINK("https://github.com/Anuken/Mindustry/releases", "show")</f>
        <v>show</v>
      </c>
      <c r="I3753">
        <v>1</v>
      </c>
      <c r="J3753">
        <v>1</v>
      </c>
      <c r="K3753">
        <v>0</v>
      </c>
      <c r="L3753">
        <v>0</v>
      </c>
      <c r="M3753" t="s">
        <v>48</v>
      </c>
    </row>
    <row r="3754" spans="1:13" hidden="1" x14ac:dyDescent="0.15">
      <c r="A3754" t="s">
        <v>11893</v>
      </c>
      <c r="B3754" t="s">
        <v>11894</v>
      </c>
      <c r="C3754" t="s">
        <v>11895</v>
      </c>
      <c r="D3754" t="s">
        <v>11896</v>
      </c>
      <c r="E3754">
        <v>1</v>
      </c>
      <c r="F3754" t="str">
        <f>HYPERLINK("https://github.com/Anuken/Mindustry/issues/6472", "show")</f>
        <v>show</v>
      </c>
      <c r="G3754" t="str">
        <f>HYPERLINK("https://github.com/Anuken/Mindustry", "show")</f>
        <v>show</v>
      </c>
      <c r="H3754" t="str">
        <f>HYPERLINK("https://github.com/Anuken/Mindustry/releases", "show")</f>
        <v>show</v>
      </c>
      <c r="I3754">
        <v>1</v>
      </c>
      <c r="J3754">
        <v>0</v>
      </c>
      <c r="K3754">
        <v>0</v>
      </c>
      <c r="L3754">
        <v>0</v>
      </c>
      <c r="M3754" t="s">
        <v>17</v>
      </c>
    </row>
    <row r="3755" spans="1:13" hidden="1" x14ac:dyDescent="0.15">
      <c r="A3755" t="s">
        <v>11897</v>
      </c>
      <c r="B3755" t="s">
        <v>11898</v>
      </c>
      <c r="C3755" t="s">
        <v>11899</v>
      </c>
      <c r="D3755" t="s">
        <v>11896</v>
      </c>
      <c r="E3755">
        <v>2</v>
      </c>
      <c r="F3755" t="str">
        <f>HYPERLINK("https://github.com/mh-/corona-warn-companion-android/issues/143", "show")</f>
        <v>show</v>
      </c>
      <c r="G3755" t="str">
        <f>HYPERLINK("https://github.com/mh-/corona-warn-companion-android", "show")</f>
        <v>show</v>
      </c>
      <c r="H3755" t="str">
        <f>HYPERLINK("https://github.com/mh-/corona-warn-companion-android/releases", "show")</f>
        <v>show</v>
      </c>
      <c r="I3755">
        <v>0</v>
      </c>
      <c r="J3755">
        <v>0</v>
      </c>
      <c r="K3755">
        <v>0</v>
      </c>
      <c r="L3755">
        <v>0</v>
      </c>
      <c r="M3755" t="s">
        <v>43</v>
      </c>
    </row>
    <row r="3756" spans="1:13" hidden="1" x14ac:dyDescent="0.15">
      <c r="A3756" t="s">
        <v>11900</v>
      </c>
      <c r="B3756" t="s">
        <v>11901</v>
      </c>
      <c r="C3756" t="s">
        <v>11902</v>
      </c>
      <c r="D3756" t="s">
        <v>11896</v>
      </c>
      <c r="E3756">
        <v>16</v>
      </c>
      <c r="F3756" t="str">
        <f>HYPERLINK("https://github.com/MuntashirAkon/AppManager/issues/652", "show")</f>
        <v>show</v>
      </c>
      <c r="G3756" t="str">
        <f>HYPERLINK("https://github.com/MuntashirAkon/AppManager", "show")</f>
        <v>show</v>
      </c>
      <c r="H3756" t="str">
        <f>HYPERLINK("https://github.com/MuntashirAkon/AppManager/releases", "show")</f>
        <v>show</v>
      </c>
      <c r="I3756">
        <v>1</v>
      </c>
      <c r="J3756">
        <v>1</v>
      </c>
      <c r="K3756">
        <v>1</v>
      </c>
      <c r="L3756">
        <v>0</v>
      </c>
      <c r="M3756" t="s">
        <v>59</v>
      </c>
    </row>
    <row r="3757" spans="1:13" hidden="1" x14ac:dyDescent="0.15">
      <c r="A3757" t="s">
        <v>11903</v>
      </c>
      <c r="B3757" t="s">
        <v>11904</v>
      </c>
      <c r="C3757" t="s">
        <v>11905</v>
      </c>
      <c r="D3757" t="s">
        <v>11906</v>
      </c>
      <c r="E3757">
        <v>4</v>
      </c>
      <c r="F3757" t="str">
        <f>HYPERLINK("https://github.com/mh-/corona-warn-companion-android/issues/142", "show")</f>
        <v>show</v>
      </c>
      <c r="G3757" t="str">
        <f>HYPERLINK("https://github.com/mh-/corona-warn-companion-android", "show")</f>
        <v>show</v>
      </c>
      <c r="H3757" t="str">
        <f>HYPERLINK("https://github.com/mh-/corona-warn-companion-android/releases", "show")</f>
        <v>show</v>
      </c>
      <c r="I3757">
        <v>1</v>
      </c>
      <c r="J3757">
        <v>0</v>
      </c>
      <c r="K3757">
        <v>0</v>
      </c>
      <c r="L3757">
        <v>0</v>
      </c>
      <c r="M3757" t="s">
        <v>17</v>
      </c>
    </row>
    <row r="3758" spans="1:13" hidden="1" x14ac:dyDescent="0.15">
      <c r="A3758" t="s">
        <v>11907</v>
      </c>
      <c r="B3758" t="s">
        <v>11908</v>
      </c>
      <c r="C3758" t="s">
        <v>11909</v>
      </c>
      <c r="D3758" t="s">
        <v>11906</v>
      </c>
      <c r="E3758">
        <v>9</v>
      </c>
      <c r="F3758" t="str">
        <f>HYPERLINK("https://github.com/OpenTracksApp/OpenTracks/issues/1081", "show")</f>
        <v>show</v>
      </c>
      <c r="G3758" t="str">
        <f>HYPERLINK("https://github.com/OpenTracksApp/OpenTracks", "show")</f>
        <v>show</v>
      </c>
      <c r="H3758" t="str">
        <f>HYPERLINK("https://github.com/OpenTracksApp/OpenTracks/releases", "show")</f>
        <v>show</v>
      </c>
      <c r="I3758">
        <v>1</v>
      </c>
      <c r="J3758">
        <v>0</v>
      </c>
      <c r="K3758">
        <v>0</v>
      </c>
      <c r="L3758">
        <v>0</v>
      </c>
      <c r="M3758" t="s">
        <v>17</v>
      </c>
    </row>
    <row r="3759" spans="1:13" hidden="1" x14ac:dyDescent="0.15">
      <c r="A3759" t="s">
        <v>11910</v>
      </c>
      <c r="B3759" t="s">
        <v>11911</v>
      </c>
      <c r="C3759" t="s">
        <v>11912</v>
      </c>
      <c r="D3759" t="s">
        <v>11906</v>
      </c>
      <c r="E3759">
        <v>1</v>
      </c>
      <c r="F3759" t="str">
        <f>HYPERLINK("https://github.com/mgsx-dev/gdx-gltf/issues/62", "show")</f>
        <v>show</v>
      </c>
      <c r="G3759" t="str">
        <f>HYPERLINK("https://github.com/mgsx-dev/gdx-gltf", "show")</f>
        <v>show</v>
      </c>
      <c r="H3759" t="str">
        <f>HYPERLINK("https://github.com/mgsx-dev/gdx-gltf/releases", "show")</f>
        <v>show</v>
      </c>
      <c r="I3759">
        <v>1</v>
      </c>
      <c r="J3759">
        <v>0</v>
      </c>
      <c r="K3759">
        <v>1</v>
      </c>
      <c r="L3759">
        <v>0</v>
      </c>
      <c r="M3759" t="s">
        <v>64</v>
      </c>
    </row>
    <row r="3760" spans="1:13" hidden="1" x14ac:dyDescent="0.15">
      <c r="A3760" t="s">
        <v>11913</v>
      </c>
      <c r="B3760" t="s">
        <v>11914</v>
      </c>
      <c r="C3760" t="s">
        <v>11915</v>
      </c>
      <c r="D3760" t="s">
        <v>11906</v>
      </c>
      <c r="E3760">
        <v>47</v>
      </c>
      <c r="F3760" t="str">
        <f>HYPERLINK("https://github.com/kike-canaries/canairio_android/issues/127", "show")</f>
        <v>show</v>
      </c>
      <c r="G3760" t="str">
        <f>HYPERLINK("https://github.com/kike-canaries/canairio_android", "show")</f>
        <v>show</v>
      </c>
      <c r="H3760" t="str">
        <f>HYPERLINK("https://github.com/kike-canaries/canairio_android/releases", "show")</f>
        <v>show</v>
      </c>
      <c r="I3760">
        <v>0</v>
      </c>
      <c r="J3760">
        <v>0</v>
      </c>
      <c r="K3760">
        <v>1</v>
      </c>
      <c r="L3760">
        <v>0</v>
      </c>
      <c r="M3760" t="s">
        <v>122</v>
      </c>
    </row>
    <row r="3761" spans="1:13" hidden="1" x14ac:dyDescent="0.15">
      <c r="A3761" t="s">
        <v>11916</v>
      </c>
      <c r="B3761" t="s">
        <v>11917</v>
      </c>
      <c r="C3761" t="s">
        <v>11918</v>
      </c>
      <c r="D3761" t="s">
        <v>11906</v>
      </c>
      <c r="E3761">
        <v>0</v>
      </c>
      <c r="F3761" t="str">
        <f>HYPERLINK("https://github.com/Benji377/SocyMusic/issues/208", "show")</f>
        <v>show</v>
      </c>
      <c r="G3761" t="str">
        <f>HYPERLINK("https://github.com/Benji377/SocyMusic", "show")</f>
        <v>show</v>
      </c>
      <c r="H3761" t="str">
        <f>HYPERLINK("https://github.com/Benji377/SocyMusic/releases", "show")</f>
        <v>show</v>
      </c>
      <c r="I3761">
        <v>1</v>
      </c>
      <c r="J3761">
        <v>1</v>
      </c>
      <c r="K3761">
        <v>0</v>
      </c>
      <c r="L3761">
        <v>0</v>
      </c>
      <c r="M3761" t="s">
        <v>48</v>
      </c>
    </row>
    <row r="3762" spans="1:13" hidden="1" x14ac:dyDescent="0.15">
      <c r="A3762" t="s">
        <v>11919</v>
      </c>
      <c r="B3762" t="s">
        <v>11920</v>
      </c>
      <c r="C3762" t="s">
        <v>11921</v>
      </c>
      <c r="D3762" t="s">
        <v>11906</v>
      </c>
      <c r="E3762">
        <v>2</v>
      </c>
      <c r="F3762" t="str">
        <f>HYPERLINK("https://github.com/itsaky/AndroidIDE/issues/43", "show")</f>
        <v>show</v>
      </c>
      <c r="G3762" t="str">
        <f>HYPERLINK("https://github.com/itsaky/AndroidIDE", "show")</f>
        <v>show</v>
      </c>
      <c r="H3762" t="str">
        <f>HYPERLINK("https://github.com/itsaky/AndroidIDE/releases", "show")</f>
        <v>show</v>
      </c>
      <c r="I3762">
        <v>1</v>
      </c>
      <c r="J3762">
        <v>0</v>
      </c>
      <c r="K3762">
        <v>1</v>
      </c>
      <c r="L3762">
        <v>0</v>
      </c>
      <c r="M3762" t="s">
        <v>64</v>
      </c>
    </row>
    <row r="3763" spans="1:13" hidden="1" x14ac:dyDescent="0.15">
      <c r="A3763" t="s">
        <v>11922</v>
      </c>
      <c r="B3763" t="s">
        <v>11923</v>
      </c>
      <c r="C3763" t="s">
        <v>11924</v>
      </c>
      <c r="D3763" t="s">
        <v>11906</v>
      </c>
      <c r="E3763">
        <v>0</v>
      </c>
      <c r="F3763" t="str">
        <f>HYPERLINK("https://github.com/PojavLauncherTeam/PojavLauncher/issues/2511", "show")</f>
        <v>show</v>
      </c>
      <c r="G3763" t="str">
        <f>HYPERLINK("https://github.com/PojavLauncherTeam/PojavLauncher", "show")</f>
        <v>show</v>
      </c>
      <c r="H3763" t="str">
        <f>HYPERLINK("https://github.com/PojavLauncherTeam/PojavLauncher/releases", "show")</f>
        <v>show</v>
      </c>
      <c r="I3763">
        <v>1</v>
      </c>
      <c r="J3763">
        <v>0</v>
      </c>
      <c r="K3763">
        <v>0</v>
      </c>
      <c r="L3763">
        <v>1</v>
      </c>
      <c r="M3763" t="s">
        <v>29</v>
      </c>
    </row>
    <row r="3764" spans="1:13" hidden="1" x14ac:dyDescent="0.15">
      <c r="A3764" t="s">
        <v>11925</v>
      </c>
      <c r="B3764" t="s">
        <v>11926</v>
      </c>
      <c r="C3764" t="s">
        <v>11927</v>
      </c>
      <c r="D3764" t="s">
        <v>11928</v>
      </c>
      <c r="E3764">
        <v>1</v>
      </c>
      <c r="F3764" t="str">
        <f>HYPERLINK("https://github.com/Anuken/Mindustry/issues/6468", "show")</f>
        <v>show</v>
      </c>
      <c r="G3764" t="str">
        <f>HYPERLINK("https://github.com/Anuken/Mindustry", "show")</f>
        <v>show</v>
      </c>
      <c r="H3764" t="str">
        <f>HYPERLINK("https://github.com/Anuken/Mindustry/releases", "show")</f>
        <v>show</v>
      </c>
      <c r="I3764">
        <v>0</v>
      </c>
      <c r="J3764">
        <v>0</v>
      </c>
      <c r="K3764">
        <v>0</v>
      </c>
      <c r="L3764">
        <v>1</v>
      </c>
      <c r="M3764" t="s">
        <v>581</v>
      </c>
    </row>
    <row r="3765" spans="1:13" hidden="1" x14ac:dyDescent="0.15">
      <c r="A3765" t="s">
        <v>11929</v>
      </c>
      <c r="B3765" t="s">
        <v>11930</v>
      </c>
      <c r="C3765" t="s">
        <v>11931</v>
      </c>
      <c r="D3765" t="s">
        <v>11928</v>
      </c>
      <c r="E3765">
        <v>1</v>
      </c>
      <c r="F3765" t="str">
        <f>HYPERLINK("https://github.com/mh-/corona-warn-companion-android/issues/140", "show")</f>
        <v>show</v>
      </c>
      <c r="G3765" t="str">
        <f>HYPERLINK("https://github.com/mh-/corona-warn-companion-android", "show")</f>
        <v>show</v>
      </c>
      <c r="H3765" t="str">
        <f>HYPERLINK("https://github.com/mh-/corona-warn-companion-android/releases", "show")</f>
        <v>show</v>
      </c>
      <c r="I3765">
        <v>1</v>
      </c>
      <c r="J3765">
        <v>0</v>
      </c>
      <c r="K3765">
        <v>0</v>
      </c>
      <c r="L3765">
        <v>1</v>
      </c>
      <c r="M3765" t="s">
        <v>29</v>
      </c>
    </row>
    <row r="3766" spans="1:13" hidden="1" x14ac:dyDescent="0.15">
      <c r="A3766" t="s">
        <v>11932</v>
      </c>
      <c r="B3766" t="s">
        <v>11933</v>
      </c>
      <c r="C3766" t="s">
        <v>11934</v>
      </c>
      <c r="D3766" t="s">
        <v>11935</v>
      </c>
      <c r="E3766">
        <v>2</v>
      </c>
      <c r="F3766" t="str">
        <f>HYPERLINK("https://github.com/mh-/corona-warn-companion-android/issues/137", "show")</f>
        <v>show</v>
      </c>
      <c r="G3766" t="str">
        <f>HYPERLINK("https://github.com/mh-/corona-warn-companion-android", "show")</f>
        <v>show</v>
      </c>
      <c r="H3766" t="str">
        <f>HYPERLINK("https://github.com/mh-/corona-warn-companion-android/releases", "show")</f>
        <v>show</v>
      </c>
      <c r="I3766">
        <v>1</v>
      </c>
      <c r="J3766">
        <v>0</v>
      </c>
      <c r="K3766">
        <v>0</v>
      </c>
      <c r="L3766">
        <v>0</v>
      </c>
      <c r="M3766" t="s">
        <v>17</v>
      </c>
    </row>
    <row r="3767" spans="1:13" hidden="1" x14ac:dyDescent="0.15">
      <c r="A3767" t="s">
        <v>11936</v>
      </c>
      <c r="B3767" t="s">
        <v>11937</v>
      </c>
      <c r="C3767" t="s">
        <v>11938</v>
      </c>
      <c r="D3767" t="s">
        <v>11935</v>
      </c>
      <c r="E3767">
        <v>14</v>
      </c>
      <c r="F3767" t="str">
        <f>HYPERLINK("https://github.com/kike-canaries/canairio_android/issues/126", "show")</f>
        <v>show</v>
      </c>
      <c r="G3767" t="str">
        <f>HYPERLINK("https://github.com/kike-canaries/canairio_android", "show")</f>
        <v>show</v>
      </c>
      <c r="H3767" t="str">
        <f>HYPERLINK("https://github.com/kike-canaries/canairio_android/releases", "show")</f>
        <v>show</v>
      </c>
      <c r="I3767">
        <v>1</v>
      </c>
      <c r="J3767">
        <v>0</v>
      </c>
      <c r="K3767">
        <v>0</v>
      </c>
      <c r="L3767">
        <v>0</v>
      </c>
      <c r="M3767" t="s">
        <v>17</v>
      </c>
    </row>
    <row r="3768" spans="1:13" hidden="1" x14ac:dyDescent="0.15">
      <c r="A3768" t="s">
        <v>11939</v>
      </c>
      <c r="B3768" t="s">
        <v>11940</v>
      </c>
      <c r="C3768" t="s">
        <v>11941</v>
      </c>
      <c r="D3768" t="s">
        <v>11935</v>
      </c>
      <c r="E3768">
        <v>2</v>
      </c>
      <c r="F3768" t="str">
        <f>HYPERLINK("https://github.com/Anuken/Mindustry/issues/6467", "show")</f>
        <v>show</v>
      </c>
      <c r="G3768" t="str">
        <f>HYPERLINK("https://github.com/Anuken/Mindustry", "show")</f>
        <v>show</v>
      </c>
      <c r="H3768" t="str">
        <f>HYPERLINK("https://github.com/Anuken/Mindustry/releases", "show")</f>
        <v>show</v>
      </c>
      <c r="I3768">
        <v>0</v>
      </c>
      <c r="J3768">
        <v>0</v>
      </c>
      <c r="K3768">
        <v>0</v>
      </c>
      <c r="L3768">
        <v>1</v>
      </c>
      <c r="M3768" t="s">
        <v>581</v>
      </c>
    </row>
    <row r="3769" spans="1:13" hidden="1" x14ac:dyDescent="0.15">
      <c r="A3769" t="s">
        <v>11942</v>
      </c>
      <c r="B3769" t="s">
        <v>11943</v>
      </c>
      <c r="C3769" t="s">
        <v>11944</v>
      </c>
      <c r="D3769" t="s">
        <v>11935</v>
      </c>
      <c r="E3769">
        <v>7</v>
      </c>
      <c r="F3769" t="str">
        <f>HYPERLINK("https://github.com/SecUSo/privacy-friendly-qr-scanner/issues/115", "show")</f>
        <v>show</v>
      </c>
      <c r="G3769" t="str">
        <f>HYPERLINK("https://github.com/SecUSo/privacy-friendly-qr-scanner", "show")</f>
        <v>show</v>
      </c>
      <c r="H3769" t="str">
        <f>HYPERLINK("https://github.com/SecUSo/privacy-friendly-qr-scanner/releases", "show")</f>
        <v>show</v>
      </c>
      <c r="I3769">
        <v>1</v>
      </c>
      <c r="J3769">
        <v>0</v>
      </c>
      <c r="K3769">
        <v>0</v>
      </c>
      <c r="L3769">
        <v>1</v>
      </c>
      <c r="M3769" t="s">
        <v>29</v>
      </c>
    </row>
    <row r="3770" spans="1:13" hidden="1" x14ac:dyDescent="0.15">
      <c r="A3770" t="s">
        <v>11945</v>
      </c>
      <c r="B3770" t="s">
        <v>11946</v>
      </c>
      <c r="C3770" t="s">
        <v>11947</v>
      </c>
      <c r="D3770" t="s">
        <v>11948</v>
      </c>
      <c r="E3770">
        <v>0</v>
      </c>
      <c r="F3770" t="str">
        <f>HYPERLINK("https://github.com/bounswe/2021SpringGroup9/issues/556", "show")</f>
        <v>show</v>
      </c>
      <c r="G3770" t="str">
        <f>HYPERLINK("https://github.com/bounswe/2021SpringGroup9", "show")</f>
        <v>show</v>
      </c>
      <c r="H3770" t="str">
        <f>HYPERLINK("https://github.com/bounswe/2021SpringGroup9/releases", "show")</f>
        <v>show</v>
      </c>
      <c r="I3770">
        <v>1</v>
      </c>
      <c r="J3770">
        <v>0</v>
      </c>
      <c r="K3770">
        <v>0</v>
      </c>
      <c r="L3770">
        <v>0</v>
      </c>
      <c r="M3770" t="s">
        <v>17</v>
      </c>
    </row>
    <row r="3771" spans="1:13" hidden="1" x14ac:dyDescent="0.15">
      <c r="A3771" t="s">
        <v>11949</v>
      </c>
      <c r="B3771" t="s">
        <v>11950</v>
      </c>
      <c r="C3771" t="s">
        <v>11951</v>
      </c>
      <c r="D3771" t="s">
        <v>11948</v>
      </c>
      <c r="E3771">
        <v>1</v>
      </c>
      <c r="F3771" t="str">
        <f>HYPERLINK("https://github.com/sebastian-blohm/android/issues/1", "show")</f>
        <v>show</v>
      </c>
      <c r="G3771" t="str">
        <f>HYPERLINK("https://github.com/sebastian-blohm/android", "show")</f>
        <v>show</v>
      </c>
      <c r="H3771" t="str">
        <f>HYPERLINK("https://github.com/sebastian-blohm/android/releases", "show")</f>
        <v>show</v>
      </c>
      <c r="I3771">
        <v>1</v>
      </c>
      <c r="J3771">
        <v>0</v>
      </c>
      <c r="K3771">
        <v>0</v>
      </c>
      <c r="L3771">
        <v>0</v>
      </c>
      <c r="M3771" t="s">
        <v>17</v>
      </c>
    </row>
    <row r="3772" spans="1:13" hidden="1" x14ac:dyDescent="0.15">
      <c r="A3772" t="s">
        <v>11952</v>
      </c>
      <c r="B3772" t="s">
        <v>11953</v>
      </c>
      <c r="C3772" t="s">
        <v>11954</v>
      </c>
      <c r="D3772" t="s">
        <v>11948</v>
      </c>
      <c r="E3772">
        <v>3</v>
      </c>
      <c r="F3772" t="str">
        <f>HYPERLINK("https://github.com/therealsujitk/android-vtop-chennai/issues/12", "show")</f>
        <v>show</v>
      </c>
      <c r="G3772" t="str">
        <f>HYPERLINK("https://github.com/therealsujitk/android-vtop-chennai", "show")</f>
        <v>show</v>
      </c>
      <c r="H3772" t="str">
        <f>HYPERLINK("https://github.com/therealsujitk/android-vtop-chennai/releases", "show")</f>
        <v>show</v>
      </c>
      <c r="I3772">
        <v>1</v>
      </c>
      <c r="J3772">
        <v>0</v>
      </c>
      <c r="K3772">
        <v>1</v>
      </c>
      <c r="L3772">
        <v>0</v>
      </c>
      <c r="M3772" t="s">
        <v>64</v>
      </c>
    </row>
    <row r="3773" spans="1:13" hidden="1" x14ac:dyDescent="0.15">
      <c r="A3773" t="s">
        <v>11955</v>
      </c>
      <c r="B3773" t="s">
        <v>11956</v>
      </c>
      <c r="C3773" t="s">
        <v>11957</v>
      </c>
      <c r="D3773" t="s">
        <v>11958</v>
      </c>
      <c r="E3773">
        <v>8</v>
      </c>
      <c r="F3773" t="str">
        <f>HYPERLINK("https://github.com/nextcloud/android/issues/9640", "show")</f>
        <v>show</v>
      </c>
      <c r="G3773" t="str">
        <f>HYPERLINK("https://github.com/nextcloud/android", "show")</f>
        <v>show</v>
      </c>
      <c r="H3773" t="str">
        <f>HYPERLINK("https://github.com/nextcloud/android/releases", "show")</f>
        <v>show</v>
      </c>
      <c r="I3773">
        <v>1</v>
      </c>
      <c r="J3773">
        <v>1</v>
      </c>
      <c r="K3773">
        <v>1</v>
      </c>
      <c r="L3773">
        <v>0</v>
      </c>
      <c r="M3773" t="s">
        <v>59</v>
      </c>
    </row>
    <row r="3774" spans="1:13" hidden="1" x14ac:dyDescent="0.15">
      <c r="A3774" t="s">
        <v>11959</v>
      </c>
      <c r="B3774" t="s">
        <v>11960</v>
      </c>
      <c r="C3774" t="s">
        <v>11961</v>
      </c>
      <c r="D3774" t="s">
        <v>11958</v>
      </c>
      <c r="E3774">
        <v>38</v>
      </c>
      <c r="F3774" t="str">
        <f>HYPERLINK("https://github.com/TeamNewPipe/NewPipe/issues/7608", "show")</f>
        <v>show</v>
      </c>
      <c r="G3774" t="str">
        <f>HYPERLINK("https://github.com/TeamNewPipe/NewPipe", "show")</f>
        <v>show</v>
      </c>
      <c r="H3774" t="str">
        <f>HYPERLINK("https://github.com/TeamNewPipe/NewPipe/releases", "show")</f>
        <v>show</v>
      </c>
      <c r="I3774">
        <v>1</v>
      </c>
      <c r="J3774">
        <v>1</v>
      </c>
      <c r="K3774">
        <v>1</v>
      </c>
      <c r="L3774">
        <v>0</v>
      </c>
      <c r="M3774" t="s">
        <v>59</v>
      </c>
    </row>
    <row r="3775" spans="1:13" hidden="1" x14ac:dyDescent="0.15">
      <c r="A3775" t="s">
        <v>11962</v>
      </c>
      <c r="B3775" t="s">
        <v>11963</v>
      </c>
      <c r="C3775" t="s">
        <v>11964</v>
      </c>
      <c r="D3775" t="s">
        <v>11965</v>
      </c>
      <c r="E3775">
        <v>2</v>
      </c>
      <c r="F3775" t="str">
        <f>HYPERLINK("https://github.com/PojavLauncherTeam/PojavLauncher/issues/2494", "show")</f>
        <v>show</v>
      </c>
      <c r="G3775" t="str">
        <f>HYPERLINK("https://github.com/PojavLauncherTeam/PojavLauncher", "show")</f>
        <v>show</v>
      </c>
      <c r="H3775" t="str">
        <f>HYPERLINK("https://github.com/PojavLauncherTeam/PojavLauncher/releases", "show")</f>
        <v>show</v>
      </c>
      <c r="I3775">
        <v>0</v>
      </c>
      <c r="J3775">
        <v>0</v>
      </c>
      <c r="K3775">
        <v>0</v>
      </c>
      <c r="L3775">
        <v>0</v>
      </c>
      <c r="M3775" t="s">
        <v>43</v>
      </c>
    </row>
    <row r="3776" spans="1:13" hidden="1" x14ac:dyDescent="0.15">
      <c r="A3776" t="s">
        <v>11966</v>
      </c>
      <c r="B3776" t="s">
        <v>11967</v>
      </c>
      <c r="C3776" t="s">
        <v>11968</v>
      </c>
      <c r="D3776" t="s">
        <v>11965</v>
      </c>
      <c r="E3776">
        <v>5</v>
      </c>
      <c r="F3776" t="str">
        <f>HYPERLINK("https://github.com/PojavLauncherTeam/PojavLauncher/issues/2490", "show")</f>
        <v>show</v>
      </c>
      <c r="G3776" t="str">
        <f>HYPERLINK("https://github.com/PojavLauncherTeam/PojavLauncher", "show")</f>
        <v>show</v>
      </c>
      <c r="H3776" t="str">
        <f>HYPERLINK("https://github.com/PojavLauncherTeam/PojavLauncher/releases", "show")</f>
        <v>show</v>
      </c>
      <c r="I3776">
        <v>1</v>
      </c>
      <c r="J3776">
        <v>0</v>
      </c>
      <c r="K3776">
        <v>0</v>
      </c>
      <c r="L3776">
        <v>0</v>
      </c>
      <c r="M3776" t="s">
        <v>17</v>
      </c>
    </row>
    <row r="3777" spans="1:13" x14ac:dyDescent="0.15">
      <c r="A3777" t="s">
        <v>11969</v>
      </c>
      <c r="B3777" t="s">
        <v>11970</v>
      </c>
      <c r="C3777" t="s">
        <v>11971</v>
      </c>
      <c r="D3777" t="s">
        <v>11972</v>
      </c>
      <c r="E3777">
        <v>6</v>
      </c>
      <c r="F3777" t="str">
        <f>HYPERLINK("https://github.com/PojavLauncherTeam/PojavLauncher/issues/2488", "show")</f>
        <v>show</v>
      </c>
      <c r="G3777" t="str">
        <f>HYPERLINK("https://github.com/PojavLauncherTeam/PojavLauncher", "show")</f>
        <v>show</v>
      </c>
      <c r="H3777" t="str">
        <f>HYPERLINK("https://github.com/PojavLauncherTeam/PojavLauncher/releases", "show")</f>
        <v>show</v>
      </c>
      <c r="I3777">
        <v>0</v>
      </c>
      <c r="J3777">
        <v>1</v>
      </c>
      <c r="K3777">
        <v>0</v>
      </c>
      <c r="L3777">
        <v>0</v>
      </c>
      <c r="M3777" t="s">
        <v>139</v>
      </c>
    </row>
    <row r="3778" spans="1:13" hidden="1" x14ac:dyDescent="0.15">
      <c r="A3778" t="s">
        <v>11973</v>
      </c>
      <c r="B3778" t="s">
        <v>11974</v>
      </c>
      <c r="C3778" t="s">
        <v>11975</v>
      </c>
      <c r="D3778" t="s">
        <v>11972</v>
      </c>
      <c r="E3778">
        <v>0</v>
      </c>
      <c r="F3778" t="str">
        <f>HYPERLINK("https://github.com/Anuken/Mindustry/issues/6462", "show")</f>
        <v>show</v>
      </c>
      <c r="G3778" t="str">
        <f>HYPERLINK("https://github.com/Anuken/Mindustry", "show")</f>
        <v>show</v>
      </c>
      <c r="H3778" t="str">
        <f>HYPERLINK("https://github.com/Anuken/Mindustry/releases", "show")</f>
        <v>show</v>
      </c>
      <c r="I3778">
        <v>1</v>
      </c>
      <c r="J3778">
        <v>1</v>
      </c>
      <c r="K3778">
        <v>0</v>
      </c>
      <c r="L3778">
        <v>0</v>
      </c>
      <c r="M3778" t="s">
        <v>48</v>
      </c>
    </row>
    <row r="3779" spans="1:13" x14ac:dyDescent="0.15">
      <c r="A3779" t="s">
        <v>11976</v>
      </c>
      <c r="B3779" t="s">
        <v>11977</v>
      </c>
      <c r="C3779" t="s">
        <v>11978</v>
      </c>
      <c r="D3779" t="s">
        <v>11972</v>
      </c>
      <c r="E3779">
        <v>0</v>
      </c>
      <c r="F3779" t="str">
        <f>HYPERLINK("https://github.com/Anuken/Mindustry/issues/6460", "show")</f>
        <v>show</v>
      </c>
      <c r="G3779" t="str">
        <f>HYPERLINK("https://github.com/Anuken/Mindustry", "show")</f>
        <v>show</v>
      </c>
      <c r="H3779" t="str">
        <f>HYPERLINK("https://github.com/Anuken/Mindustry/releases", "show")</f>
        <v>show</v>
      </c>
      <c r="I3779">
        <v>0</v>
      </c>
      <c r="J3779">
        <v>1</v>
      </c>
      <c r="K3779">
        <v>0</v>
      </c>
      <c r="L3779">
        <v>0</v>
      </c>
      <c r="M3779" t="s">
        <v>139</v>
      </c>
    </row>
    <row r="3780" spans="1:13" x14ac:dyDescent="0.15">
      <c r="A3780" t="s">
        <v>11979</v>
      </c>
      <c r="B3780" t="s">
        <v>11980</v>
      </c>
      <c r="C3780" t="s">
        <v>11582</v>
      </c>
      <c r="D3780" t="s">
        <v>11981</v>
      </c>
      <c r="E3780">
        <v>4</v>
      </c>
      <c r="F3780" t="str">
        <f>HYPERLINK("https://github.com/nextcloud/android/issues/9636", "show")</f>
        <v>show</v>
      </c>
      <c r="G3780" t="str">
        <f>HYPERLINK("https://github.com/nextcloud/android", "show")</f>
        <v>show</v>
      </c>
      <c r="H3780" t="str">
        <f>HYPERLINK("https://github.com/nextcloud/android/releases", "show")</f>
        <v>show</v>
      </c>
      <c r="I3780">
        <v>0</v>
      </c>
      <c r="J3780">
        <v>1</v>
      </c>
      <c r="K3780">
        <v>0</v>
      </c>
      <c r="L3780">
        <v>0</v>
      </c>
      <c r="M3780" t="s">
        <v>139</v>
      </c>
    </row>
    <row r="3781" spans="1:13" hidden="1" x14ac:dyDescent="0.15">
      <c r="A3781" t="s">
        <v>11982</v>
      </c>
      <c r="B3781" t="s">
        <v>11983</v>
      </c>
      <c r="C3781" t="s">
        <v>11984</v>
      </c>
      <c r="D3781" t="s">
        <v>11981</v>
      </c>
      <c r="E3781">
        <v>0</v>
      </c>
      <c r="F3781" t="str">
        <f>HYPERLINK("https://github.com/Anuken/Mindustry/issues/6456", "show")</f>
        <v>show</v>
      </c>
      <c r="G3781" t="str">
        <f>HYPERLINK("https://github.com/Anuken/Mindustry", "show")</f>
        <v>show</v>
      </c>
      <c r="H3781" t="str">
        <f>HYPERLINK("https://github.com/Anuken/Mindustry/releases", "show")</f>
        <v>show</v>
      </c>
      <c r="I3781">
        <v>1</v>
      </c>
      <c r="J3781">
        <v>1</v>
      </c>
      <c r="K3781">
        <v>0</v>
      </c>
      <c r="L3781">
        <v>0</v>
      </c>
      <c r="M3781" t="s">
        <v>48</v>
      </c>
    </row>
    <row r="3782" spans="1:13" hidden="1" x14ac:dyDescent="0.15">
      <c r="A3782" t="s">
        <v>11985</v>
      </c>
      <c r="B3782" t="s">
        <v>11986</v>
      </c>
      <c r="C3782" t="s">
        <v>11987</v>
      </c>
      <c r="D3782" t="s">
        <v>11981</v>
      </c>
      <c r="E3782">
        <v>0</v>
      </c>
      <c r="F3782" t="str">
        <f>HYPERLINK("https://github.com/Codepath-UIC-Team2/SportCave/issues/33", "show")</f>
        <v>show</v>
      </c>
      <c r="G3782" t="str">
        <f>HYPERLINK("https://github.com/Codepath-UIC-Team2/SportCave", "show")</f>
        <v>show</v>
      </c>
      <c r="H3782" t="str">
        <f>HYPERLINK("https://github.com/Codepath-UIC-Team2/SportCave/releases", "show")</f>
        <v>show</v>
      </c>
      <c r="I3782">
        <v>1</v>
      </c>
      <c r="J3782">
        <v>0</v>
      </c>
      <c r="K3782">
        <v>1</v>
      </c>
      <c r="L3782">
        <v>0</v>
      </c>
      <c r="M3782" t="s">
        <v>64</v>
      </c>
    </row>
    <row r="3783" spans="1:13" hidden="1" x14ac:dyDescent="0.15">
      <c r="A3783" t="s">
        <v>11988</v>
      </c>
      <c r="B3783" t="s">
        <v>11989</v>
      </c>
      <c r="C3783" t="s">
        <v>11990</v>
      </c>
      <c r="D3783" t="s">
        <v>11991</v>
      </c>
      <c r="E3783">
        <v>26</v>
      </c>
      <c r="F3783" t="str">
        <f>HYPERLINK("https://github.com/MuntashirAkon/AppManager/issues/650", "show")</f>
        <v>show</v>
      </c>
      <c r="G3783" t="str">
        <f>HYPERLINK("https://github.com/MuntashirAkon/AppManager", "show")</f>
        <v>show</v>
      </c>
      <c r="H3783" t="str">
        <f>HYPERLINK("https://github.com/MuntashirAkon/AppManager/releases", "show")</f>
        <v>show</v>
      </c>
      <c r="I3783">
        <v>0</v>
      </c>
      <c r="J3783">
        <v>1</v>
      </c>
      <c r="K3783">
        <v>0</v>
      </c>
      <c r="L3783">
        <v>1</v>
      </c>
      <c r="M3783" t="s">
        <v>1732</v>
      </c>
    </row>
    <row r="3784" spans="1:13" x14ac:dyDescent="0.15">
      <c r="A3784" t="s">
        <v>11992</v>
      </c>
      <c r="B3784" t="s">
        <v>11993</v>
      </c>
      <c r="C3784" t="s">
        <v>11994</v>
      </c>
      <c r="D3784" t="s">
        <v>11991</v>
      </c>
      <c r="E3784">
        <v>1</v>
      </c>
      <c r="F3784" t="str">
        <f>HYPERLINK("https://github.com/PojavLauncherTeam/PojavLauncher/issues/2475", "show")</f>
        <v>show</v>
      </c>
      <c r="G3784" t="str">
        <f>HYPERLINK("https://github.com/PojavLauncherTeam/PojavLauncher", "show")</f>
        <v>show</v>
      </c>
      <c r="H3784" t="str">
        <f>HYPERLINK("https://github.com/PojavLauncherTeam/PojavLauncher/releases", "show")</f>
        <v>show</v>
      </c>
      <c r="I3784">
        <v>0</v>
      </c>
      <c r="J3784">
        <v>1</v>
      </c>
      <c r="K3784">
        <v>0</v>
      </c>
      <c r="L3784">
        <v>0</v>
      </c>
      <c r="M3784" t="s">
        <v>139</v>
      </c>
    </row>
    <row r="3785" spans="1:13" hidden="1" x14ac:dyDescent="0.15">
      <c r="A3785" t="s">
        <v>11995</v>
      </c>
      <c r="B3785" t="s">
        <v>11996</v>
      </c>
      <c r="C3785" t="s">
        <v>11997</v>
      </c>
      <c r="D3785" t="s">
        <v>11998</v>
      </c>
      <c r="E3785">
        <v>1</v>
      </c>
      <c r="F3785" t="str">
        <f>HYPERLINK("https://github.com/TeamNewPipe/NewPipe/issues/7590", "show")</f>
        <v>show</v>
      </c>
      <c r="G3785" t="str">
        <f>HYPERLINK("https://github.com/TeamNewPipe/NewPipe", "show")</f>
        <v>show</v>
      </c>
      <c r="H3785" t="str">
        <f>HYPERLINK("https://github.com/TeamNewPipe/NewPipe/releases", "show")</f>
        <v>show</v>
      </c>
      <c r="I3785">
        <v>1</v>
      </c>
      <c r="J3785">
        <v>1</v>
      </c>
      <c r="K3785">
        <v>0</v>
      </c>
      <c r="L3785">
        <v>0</v>
      </c>
      <c r="M3785" t="s">
        <v>48</v>
      </c>
    </row>
    <row r="3786" spans="1:13" hidden="1" x14ac:dyDescent="0.15">
      <c r="A3786" t="s">
        <v>11999</v>
      </c>
      <c r="B3786" t="s">
        <v>12000</v>
      </c>
      <c r="C3786" t="s">
        <v>12001</v>
      </c>
      <c r="D3786" t="s">
        <v>11998</v>
      </c>
      <c r="E3786">
        <v>9</v>
      </c>
      <c r="F3786" t="str">
        <f>HYPERLINK("https://github.com/nextcloud/talk-android/issues/1751", "show")</f>
        <v>show</v>
      </c>
      <c r="G3786" t="str">
        <f>HYPERLINK("https://github.com/nextcloud/talk-android", "show")</f>
        <v>show</v>
      </c>
      <c r="H3786" t="str">
        <f>HYPERLINK("https://github.com/nextcloud/talk-android/releases", "show")</f>
        <v>show</v>
      </c>
      <c r="I3786">
        <v>1</v>
      </c>
      <c r="J3786">
        <v>0</v>
      </c>
      <c r="K3786">
        <v>0</v>
      </c>
      <c r="L3786">
        <v>0</v>
      </c>
      <c r="M3786" t="s">
        <v>17</v>
      </c>
    </row>
    <row r="3787" spans="1:13" hidden="1" x14ac:dyDescent="0.15">
      <c r="A3787" t="s">
        <v>12002</v>
      </c>
      <c r="B3787" t="s">
        <v>12003</v>
      </c>
      <c r="C3787" t="s">
        <v>12004</v>
      </c>
      <c r="D3787" t="s">
        <v>11998</v>
      </c>
      <c r="E3787">
        <v>7</v>
      </c>
      <c r="F3787" t="str">
        <f>HYPERLINK("https://github.com/nextcloud/android/issues/9623", "show")</f>
        <v>show</v>
      </c>
      <c r="G3787" t="str">
        <f>HYPERLINK("https://github.com/nextcloud/android", "show")</f>
        <v>show</v>
      </c>
      <c r="H3787" t="str">
        <f>HYPERLINK("https://github.com/nextcloud/android/releases", "show")</f>
        <v>show</v>
      </c>
      <c r="I3787">
        <v>1</v>
      </c>
      <c r="J3787">
        <v>1</v>
      </c>
      <c r="K3787">
        <v>0</v>
      </c>
      <c r="L3787">
        <v>0</v>
      </c>
      <c r="M3787" t="s">
        <v>48</v>
      </c>
    </row>
    <row r="3788" spans="1:13" hidden="1" x14ac:dyDescent="0.15">
      <c r="A3788" t="s">
        <v>12005</v>
      </c>
      <c r="B3788" t="s">
        <v>12006</v>
      </c>
      <c r="C3788" t="s">
        <v>12007</v>
      </c>
      <c r="D3788" t="s">
        <v>12008</v>
      </c>
      <c r="E3788">
        <v>10</v>
      </c>
      <c r="F3788" t="str">
        <f>HYPERLINK("https://github.com/dedis/popstellar/issues/702", "show")</f>
        <v>show</v>
      </c>
      <c r="G3788" t="str">
        <f>HYPERLINK("https://github.com/dedis/popstellar", "show")</f>
        <v>show</v>
      </c>
      <c r="H3788" t="str">
        <f>HYPERLINK("https://github.com/dedis/popstellar/releases", "show")</f>
        <v>show</v>
      </c>
      <c r="I3788">
        <v>1</v>
      </c>
      <c r="J3788">
        <v>1</v>
      </c>
      <c r="K3788">
        <v>0</v>
      </c>
      <c r="L3788">
        <v>0</v>
      </c>
      <c r="M3788" t="s">
        <v>48</v>
      </c>
    </row>
    <row r="3789" spans="1:13" hidden="1" x14ac:dyDescent="0.15">
      <c r="A3789" t="s">
        <v>12009</v>
      </c>
      <c r="B3789" t="s">
        <v>12010</v>
      </c>
      <c r="C3789" t="s">
        <v>12011</v>
      </c>
      <c r="D3789" t="s">
        <v>12008</v>
      </c>
      <c r="E3789">
        <v>103</v>
      </c>
      <c r="F3789" t="str">
        <f>HYPERLINK("https://github.com/lisawray/groupie/issues/416", "show")</f>
        <v>show</v>
      </c>
      <c r="G3789" t="str">
        <f>HYPERLINK("https://github.com/lisawray/groupie", "show")</f>
        <v>show</v>
      </c>
      <c r="H3789" t="str">
        <f>HYPERLINK("https://github.com/lisawray/groupie/releases", "show")</f>
        <v>show</v>
      </c>
      <c r="I3789">
        <v>1</v>
      </c>
      <c r="J3789">
        <v>0</v>
      </c>
      <c r="K3789">
        <v>1</v>
      </c>
      <c r="L3789">
        <v>0</v>
      </c>
      <c r="M3789" t="s">
        <v>64</v>
      </c>
    </row>
    <row r="3790" spans="1:13" hidden="1" x14ac:dyDescent="0.15">
      <c r="A3790" t="s">
        <v>12012</v>
      </c>
      <c r="B3790" t="s">
        <v>12013</v>
      </c>
      <c r="C3790" t="s">
        <v>12014</v>
      </c>
      <c r="D3790" t="s">
        <v>12008</v>
      </c>
      <c r="E3790">
        <v>4</v>
      </c>
      <c r="F3790" t="str">
        <f>HYPERLINK("https://github.com/MuntashirAkon/AppManager/issues/649", "show")</f>
        <v>show</v>
      </c>
      <c r="G3790" t="str">
        <f>HYPERLINK("https://github.com/MuntashirAkon/AppManager", "show")</f>
        <v>show</v>
      </c>
      <c r="H3790" t="str">
        <f>HYPERLINK("https://github.com/MuntashirAkon/AppManager/releases", "show")</f>
        <v>show</v>
      </c>
      <c r="I3790">
        <v>1</v>
      </c>
      <c r="J3790">
        <v>1</v>
      </c>
      <c r="K3790">
        <v>1</v>
      </c>
      <c r="L3790">
        <v>0</v>
      </c>
      <c r="M3790" t="s">
        <v>59</v>
      </c>
    </row>
    <row r="3791" spans="1:13" hidden="1" x14ac:dyDescent="0.15">
      <c r="A3791" t="s">
        <v>12015</v>
      </c>
      <c r="B3791" t="s">
        <v>12016</v>
      </c>
      <c r="C3791" t="s">
        <v>12017</v>
      </c>
      <c r="D3791" t="s">
        <v>12018</v>
      </c>
      <c r="E3791">
        <v>3</v>
      </c>
      <c r="F3791" t="str">
        <f>HYPERLINK("https://github.com/cgeo/cgeo/issues/12406", "show")</f>
        <v>show</v>
      </c>
      <c r="G3791" t="str">
        <f>HYPERLINK("https://github.com/cgeo/cgeo", "show")</f>
        <v>show</v>
      </c>
      <c r="H3791" t="str">
        <f>HYPERLINK("https://github.com/cgeo/cgeo/releases", "show")</f>
        <v>show</v>
      </c>
      <c r="I3791">
        <v>1</v>
      </c>
      <c r="J3791">
        <v>0</v>
      </c>
      <c r="K3791">
        <v>1</v>
      </c>
      <c r="L3791">
        <v>0</v>
      </c>
      <c r="M3791" t="s">
        <v>64</v>
      </c>
    </row>
    <row r="3792" spans="1:13" hidden="1" x14ac:dyDescent="0.15">
      <c r="A3792" t="s">
        <v>12019</v>
      </c>
      <c r="B3792" t="s">
        <v>12020</v>
      </c>
      <c r="C3792" t="s">
        <v>12021</v>
      </c>
      <c r="D3792" t="s">
        <v>12018</v>
      </c>
      <c r="E3792">
        <v>10</v>
      </c>
      <c r="F3792" t="str">
        <f>HYPERLINK("https://github.com/nextcloud/android/issues/9619", "show")</f>
        <v>show</v>
      </c>
      <c r="G3792" t="str">
        <f>HYPERLINK("https://github.com/nextcloud/android", "show")</f>
        <v>show</v>
      </c>
      <c r="H3792" t="str">
        <f>HYPERLINK("https://github.com/nextcloud/android/releases", "show")</f>
        <v>show</v>
      </c>
      <c r="I3792">
        <v>1</v>
      </c>
      <c r="J3792">
        <v>0</v>
      </c>
      <c r="K3792">
        <v>1</v>
      </c>
      <c r="L3792">
        <v>0</v>
      </c>
      <c r="M3792" t="s">
        <v>64</v>
      </c>
    </row>
    <row r="3793" spans="1:13" hidden="1" x14ac:dyDescent="0.15">
      <c r="A3793" t="s">
        <v>12022</v>
      </c>
      <c r="B3793" t="s">
        <v>12023</v>
      </c>
      <c r="C3793" t="s">
        <v>12024</v>
      </c>
      <c r="D3793" t="s">
        <v>12025</v>
      </c>
      <c r="E3793">
        <v>20</v>
      </c>
      <c r="F3793" t="str">
        <f>HYPERLINK("https://github.com/VishnuSanal/DialogMusicPlayer/issues/9", "show")</f>
        <v>show</v>
      </c>
      <c r="G3793" t="str">
        <f>HYPERLINK("https://github.com/VishnuSanal/DialogMusicPlayer", "show")</f>
        <v>show</v>
      </c>
      <c r="H3793" t="str">
        <f>HYPERLINK("https://github.com/VishnuSanal/DialogMusicPlayer/releases", "show")</f>
        <v>show</v>
      </c>
      <c r="I3793">
        <v>1</v>
      </c>
      <c r="J3793">
        <v>0</v>
      </c>
      <c r="K3793">
        <v>0</v>
      </c>
      <c r="L3793">
        <v>0</v>
      </c>
      <c r="M3793" t="s">
        <v>17</v>
      </c>
    </row>
    <row r="3794" spans="1:13" hidden="1" x14ac:dyDescent="0.15">
      <c r="A3794" t="s">
        <v>12026</v>
      </c>
      <c r="B3794" t="s">
        <v>12027</v>
      </c>
      <c r="C3794" t="s">
        <v>12028</v>
      </c>
      <c r="D3794" t="s">
        <v>12025</v>
      </c>
      <c r="E3794">
        <v>4</v>
      </c>
      <c r="F3794" t="str">
        <f>HYPERLINK("https://github.com/google/gson/issues/2038", "show")</f>
        <v>show</v>
      </c>
      <c r="G3794" t="str">
        <f>HYPERLINK("https://github.com/google/gson", "show")</f>
        <v>show</v>
      </c>
      <c r="H3794" t="str">
        <f>HYPERLINK("https://github.com/google/gson/releases", "show")</f>
        <v>show</v>
      </c>
      <c r="I3794">
        <v>1</v>
      </c>
      <c r="J3794">
        <v>0</v>
      </c>
      <c r="K3794">
        <v>1</v>
      </c>
      <c r="L3794">
        <v>1</v>
      </c>
      <c r="M3794" t="s">
        <v>1259</v>
      </c>
    </row>
    <row r="3795" spans="1:13" x14ac:dyDescent="0.15">
      <c r="A3795" t="s">
        <v>12029</v>
      </c>
      <c r="B3795" t="s">
        <v>12030</v>
      </c>
      <c r="C3795" t="s">
        <v>12031</v>
      </c>
      <c r="D3795" t="s">
        <v>12025</v>
      </c>
      <c r="E3795">
        <v>4</v>
      </c>
      <c r="F3795" t="str">
        <f>HYPERLINK("https://github.com/PojavLauncherTeam/PojavLauncher/issues/2446", "show")</f>
        <v>show</v>
      </c>
      <c r="G3795" t="str">
        <f>HYPERLINK("https://github.com/PojavLauncherTeam/PojavLauncher", "show")</f>
        <v>show</v>
      </c>
      <c r="H3795" t="str">
        <f>HYPERLINK("https://github.com/PojavLauncherTeam/PojavLauncher/releases", "show")</f>
        <v>show</v>
      </c>
      <c r="I3795">
        <v>0</v>
      </c>
      <c r="J3795">
        <v>1</v>
      </c>
      <c r="K3795">
        <v>0</v>
      </c>
      <c r="L3795">
        <v>0</v>
      </c>
      <c r="M3795" t="s">
        <v>139</v>
      </c>
    </row>
    <row r="3796" spans="1:13" hidden="1" x14ac:dyDescent="0.15">
      <c r="A3796" t="s">
        <v>12032</v>
      </c>
      <c r="B3796" t="s">
        <v>12033</v>
      </c>
      <c r="C3796" t="s">
        <v>12034</v>
      </c>
      <c r="D3796" t="s">
        <v>12035</v>
      </c>
      <c r="E3796">
        <v>56</v>
      </c>
      <c r="F3796" t="str">
        <f>HYPERLINK("https://github.com/ViroCommunity/viro/issues/75", "show")</f>
        <v>show</v>
      </c>
      <c r="G3796" t="str">
        <f>HYPERLINK("https://github.com/ViroCommunity/viro", "show")</f>
        <v>show</v>
      </c>
      <c r="H3796" t="str">
        <f>HYPERLINK("https://github.com/ViroCommunity/viro/releases", "show")</f>
        <v>show</v>
      </c>
      <c r="I3796">
        <v>1</v>
      </c>
      <c r="J3796">
        <v>1</v>
      </c>
      <c r="K3796">
        <v>0</v>
      </c>
      <c r="L3796">
        <v>0</v>
      </c>
      <c r="M3796" t="s">
        <v>48</v>
      </c>
    </row>
    <row r="3797" spans="1:13" hidden="1" x14ac:dyDescent="0.15">
      <c r="A3797" t="s">
        <v>12036</v>
      </c>
      <c r="B3797" t="s">
        <v>12037</v>
      </c>
      <c r="C3797" t="s">
        <v>12038</v>
      </c>
      <c r="D3797" t="s">
        <v>12035</v>
      </c>
      <c r="E3797">
        <v>3</v>
      </c>
      <c r="F3797" t="str">
        <f>HYPERLINK("https://github.com/AniTrend/anitrend-app/issues/463", "show")</f>
        <v>show</v>
      </c>
      <c r="G3797" t="str">
        <f>HYPERLINK("https://github.com/AniTrend/anitrend-app", "show")</f>
        <v>show</v>
      </c>
      <c r="H3797" t="str">
        <f>HYPERLINK("https://github.com/AniTrend/anitrend-app/releases", "show")</f>
        <v>show</v>
      </c>
      <c r="I3797">
        <v>1</v>
      </c>
      <c r="J3797">
        <v>0</v>
      </c>
      <c r="K3797">
        <v>1</v>
      </c>
      <c r="L3797">
        <v>0</v>
      </c>
      <c r="M3797" t="s">
        <v>64</v>
      </c>
    </row>
    <row r="3798" spans="1:13" hidden="1" x14ac:dyDescent="0.15">
      <c r="A3798" t="s">
        <v>12039</v>
      </c>
      <c r="B3798" t="s">
        <v>12040</v>
      </c>
      <c r="C3798" t="s">
        <v>12041</v>
      </c>
      <c r="D3798" t="s">
        <v>12035</v>
      </c>
      <c r="E3798">
        <v>3</v>
      </c>
      <c r="F3798" t="str">
        <f>HYPERLINK("https://github.com/AniTrend/anitrend-app/issues/462", "show")</f>
        <v>show</v>
      </c>
      <c r="G3798" t="str">
        <f>HYPERLINK("https://github.com/AniTrend/anitrend-app", "show")</f>
        <v>show</v>
      </c>
      <c r="H3798" t="str">
        <f>HYPERLINK("https://github.com/AniTrend/anitrend-app/releases", "show")</f>
        <v>show</v>
      </c>
      <c r="I3798">
        <v>1</v>
      </c>
      <c r="J3798">
        <v>0</v>
      </c>
      <c r="K3798">
        <v>1</v>
      </c>
      <c r="L3798">
        <v>0</v>
      </c>
      <c r="M3798" t="s">
        <v>64</v>
      </c>
    </row>
    <row r="3799" spans="1:13" hidden="1" x14ac:dyDescent="0.15">
      <c r="A3799" t="s">
        <v>12042</v>
      </c>
      <c r="B3799" t="s">
        <v>12043</v>
      </c>
      <c r="C3799" t="s">
        <v>12044</v>
      </c>
      <c r="D3799" t="s">
        <v>12035</v>
      </c>
      <c r="E3799">
        <v>0</v>
      </c>
      <c r="F3799" t="str">
        <f>HYPERLINK("https://github.com/AniTrend/anitrend-app/issues/460", "show")</f>
        <v>show</v>
      </c>
      <c r="G3799" t="str">
        <f>HYPERLINK("https://github.com/AniTrend/anitrend-app", "show")</f>
        <v>show</v>
      </c>
      <c r="H3799" t="str">
        <f>HYPERLINK("https://github.com/AniTrend/anitrend-app/releases", "show")</f>
        <v>show</v>
      </c>
      <c r="I3799">
        <v>1</v>
      </c>
      <c r="J3799">
        <v>1</v>
      </c>
      <c r="K3799">
        <v>0</v>
      </c>
      <c r="L3799">
        <v>0</v>
      </c>
      <c r="M3799" t="s">
        <v>48</v>
      </c>
    </row>
    <row r="3800" spans="1:13" hidden="1" x14ac:dyDescent="0.15">
      <c r="A3800" t="s">
        <v>12045</v>
      </c>
      <c r="B3800" t="s">
        <v>12046</v>
      </c>
      <c r="C3800" t="s">
        <v>12047</v>
      </c>
      <c r="D3800" t="s">
        <v>12035</v>
      </c>
      <c r="E3800">
        <v>47</v>
      </c>
      <c r="F3800" t="str">
        <f>HYPERLINK("https://github.com/cal-itp/graas/issues/18", "show")</f>
        <v>show</v>
      </c>
      <c r="G3800" t="str">
        <f>HYPERLINK("https://github.com/cal-itp/graas", "show")</f>
        <v>show</v>
      </c>
      <c r="H3800" t="str">
        <f>HYPERLINK("https://github.com/cal-itp/graas/releases", "show")</f>
        <v>show</v>
      </c>
      <c r="I3800">
        <v>1</v>
      </c>
      <c r="J3800">
        <v>0</v>
      </c>
      <c r="K3800">
        <v>0</v>
      </c>
      <c r="L3800">
        <v>0</v>
      </c>
      <c r="M3800" t="s">
        <v>17</v>
      </c>
    </row>
    <row r="3801" spans="1:13" hidden="1" x14ac:dyDescent="0.15">
      <c r="A3801" t="s">
        <v>12048</v>
      </c>
      <c r="B3801" t="s">
        <v>12049</v>
      </c>
      <c r="C3801" t="s">
        <v>12050</v>
      </c>
      <c r="D3801" t="s">
        <v>12035</v>
      </c>
      <c r="E3801">
        <v>5</v>
      </c>
      <c r="F3801" t="str">
        <f>HYPERLINK("https://github.com/commons-app/apps-android-commons/issues/4742", "show")</f>
        <v>show</v>
      </c>
      <c r="G3801" t="str">
        <f>HYPERLINK("https://github.com/commons-app/apps-android-commons", "show")</f>
        <v>show</v>
      </c>
      <c r="H3801" t="str">
        <f>HYPERLINK("https://github.com/commons-app/apps-android-commons/releases", "show")</f>
        <v>show</v>
      </c>
      <c r="I3801">
        <v>1</v>
      </c>
      <c r="J3801">
        <v>1</v>
      </c>
      <c r="K3801">
        <v>0</v>
      </c>
      <c r="L3801">
        <v>0</v>
      </c>
      <c r="M3801" t="s">
        <v>48</v>
      </c>
    </row>
    <row r="3802" spans="1:13" hidden="1" x14ac:dyDescent="0.15">
      <c r="A3802" t="s">
        <v>12051</v>
      </c>
      <c r="B3802" t="s">
        <v>12052</v>
      </c>
      <c r="C3802" t="s">
        <v>12053</v>
      </c>
      <c r="D3802" t="s">
        <v>12054</v>
      </c>
      <c r="E3802">
        <v>19</v>
      </c>
      <c r="F3802" t="str">
        <f>HYPERLINK("https://github.com/TeamNewPipe/NewPipe/issues/7569", "show")</f>
        <v>show</v>
      </c>
      <c r="G3802" t="str">
        <f>HYPERLINK("https://github.com/TeamNewPipe/NewPipe", "show")</f>
        <v>show</v>
      </c>
      <c r="H3802" t="str">
        <f>HYPERLINK("https://github.com/TeamNewPipe/NewPipe/releases", "show")</f>
        <v>show</v>
      </c>
      <c r="I3802">
        <v>1</v>
      </c>
      <c r="J3802">
        <v>1</v>
      </c>
      <c r="K3802">
        <v>1</v>
      </c>
      <c r="L3802">
        <v>0</v>
      </c>
      <c r="M3802" t="s">
        <v>59</v>
      </c>
    </row>
    <row r="3803" spans="1:13" hidden="1" x14ac:dyDescent="0.15">
      <c r="A3803" t="s">
        <v>12055</v>
      </c>
      <c r="B3803" t="s">
        <v>3180</v>
      </c>
      <c r="C3803" t="s">
        <v>12056</v>
      </c>
      <c r="D3803" t="s">
        <v>12054</v>
      </c>
      <c r="E3803">
        <v>42</v>
      </c>
      <c r="F3803" t="str">
        <f>HYPERLINK("https://github.com/nextcloud/android/issues/9605", "show")</f>
        <v>show</v>
      </c>
      <c r="G3803" t="str">
        <f>HYPERLINK("https://github.com/nextcloud/android", "show")</f>
        <v>show</v>
      </c>
      <c r="H3803" t="str">
        <f>HYPERLINK("https://github.com/nextcloud/android/releases", "show")</f>
        <v>show</v>
      </c>
      <c r="I3803">
        <v>0</v>
      </c>
      <c r="J3803">
        <v>1</v>
      </c>
      <c r="K3803">
        <v>1</v>
      </c>
      <c r="L3803">
        <v>0</v>
      </c>
      <c r="M3803" t="s">
        <v>699</v>
      </c>
    </row>
    <row r="3804" spans="1:13" hidden="1" x14ac:dyDescent="0.15">
      <c r="A3804" t="s">
        <v>12057</v>
      </c>
      <c r="B3804" t="s">
        <v>12058</v>
      </c>
      <c r="C3804" t="s">
        <v>12059</v>
      </c>
      <c r="D3804" t="s">
        <v>12054</v>
      </c>
      <c r="E3804">
        <v>1</v>
      </c>
      <c r="F3804" t="str">
        <f>HYPERLINK("https://github.com/flutter-package/images_picker/issues/64", "show")</f>
        <v>show</v>
      </c>
      <c r="G3804" t="str">
        <f>HYPERLINK("https://github.com/flutter-package/images_picker", "show")</f>
        <v>show</v>
      </c>
      <c r="H3804" t="str">
        <f>HYPERLINK("https://github.com/flutter-package/images_picker/releases", "show")</f>
        <v>show</v>
      </c>
      <c r="I3804">
        <v>0</v>
      </c>
      <c r="J3804">
        <v>0</v>
      </c>
      <c r="K3804">
        <v>0</v>
      </c>
      <c r="L3804">
        <v>0</v>
      </c>
      <c r="M3804" t="s">
        <v>43</v>
      </c>
    </row>
    <row r="3805" spans="1:13" hidden="1" x14ac:dyDescent="0.15">
      <c r="A3805" t="s">
        <v>12060</v>
      </c>
      <c r="B3805" t="s">
        <v>12061</v>
      </c>
      <c r="C3805" t="s">
        <v>12062</v>
      </c>
      <c r="D3805" t="s">
        <v>12063</v>
      </c>
      <c r="E3805">
        <v>45</v>
      </c>
      <c r="F3805" t="str">
        <f>HYPERLINK("https://github.com/material-components/material-components-android/issues/2507", "show")</f>
        <v>show</v>
      </c>
      <c r="G3805" t="str">
        <f>HYPERLINK("https://github.com/material-components/material-components-android", "show")</f>
        <v>show</v>
      </c>
      <c r="H3805" t="str">
        <f>HYPERLINK("https://github.com/material-components/material-components-android/releases", "show")</f>
        <v>show</v>
      </c>
      <c r="I3805">
        <v>1</v>
      </c>
      <c r="J3805">
        <v>0</v>
      </c>
      <c r="K3805">
        <v>1</v>
      </c>
      <c r="L3805">
        <v>1</v>
      </c>
      <c r="M3805" t="s">
        <v>1259</v>
      </c>
    </row>
    <row r="3806" spans="1:13" hidden="1" x14ac:dyDescent="0.15">
      <c r="A3806" t="s">
        <v>12064</v>
      </c>
      <c r="B3806" t="s">
        <v>12065</v>
      </c>
      <c r="C3806" t="s">
        <v>12066</v>
      </c>
      <c r="D3806" t="s">
        <v>12063</v>
      </c>
      <c r="E3806">
        <v>8</v>
      </c>
      <c r="F3806" t="str">
        <f>HYPERLINK("https://github.com/PojavLauncherTeam/PojavLauncher/issues/2437", "show")</f>
        <v>show</v>
      </c>
      <c r="G3806" t="str">
        <f>HYPERLINK("https://github.com/PojavLauncherTeam/PojavLauncher", "show")</f>
        <v>show</v>
      </c>
      <c r="H3806" t="str">
        <f>HYPERLINK("https://github.com/PojavLauncherTeam/PojavLauncher/releases", "show")</f>
        <v>show</v>
      </c>
      <c r="I3806">
        <v>1</v>
      </c>
      <c r="J3806">
        <v>0</v>
      </c>
      <c r="K3806">
        <v>0</v>
      </c>
      <c r="L3806">
        <v>0</v>
      </c>
      <c r="M3806" t="s">
        <v>17</v>
      </c>
    </row>
    <row r="3807" spans="1:13" x14ac:dyDescent="0.15">
      <c r="A3807" t="s">
        <v>12067</v>
      </c>
      <c r="B3807" t="s">
        <v>12068</v>
      </c>
      <c r="C3807" t="s">
        <v>12069</v>
      </c>
      <c r="D3807" t="s">
        <v>12063</v>
      </c>
      <c r="E3807">
        <v>0</v>
      </c>
      <c r="F3807" t="str">
        <f>HYPERLINK("https://github.com/PojavLauncherTeam/PojavLauncher/issues/2435", "show")</f>
        <v>show</v>
      </c>
      <c r="G3807" t="str">
        <f>HYPERLINK("https://github.com/PojavLauncherTeam/PojavLauncher", "show")</f>
        <v>show</v>
      </c>
      <c r="H3807" t="str">
        <f>HYPERLINK("https://github.com/PojavLauncherTeam/PojavLauncher/releases", "show")</f>
        <v>show</v>
      </c>
      <c r="I3807">
        <v>0</v>
      </c>
      <c r="J3807">
        <v>1</v>
      </c>
      <c r="K3807">
        <v>0</v>
      </c>
      <c r="L3807">
        <v>0</v>
      </c>
      <c r="M3807" t="s">
        <v>139</v>
      </c>
    </row>
    <row r="3808" spans="1:13" hidden="1" x14ac:dyDescent="0.15">
      <c r="A3808" t="s">
        <v>12070</v>
      </c>
      <c r="B3808" t="s">
        <v>12071</v>
      </c>
      <c r="C3808" t="s">
        <v>12072</v>
      </c>
      <c r="D3808" t="s">
        <v>12063</v>
      </c>
      <c r="E3808">
        <v>0</v>
      </c>
      <c r="F3808" t="str">
        <f>HYPERLINK("https://github.com/Anuken/Mindustry/issues/6447", "show")</f>
        <v>show</v>
      </c>
      <c r="G3808" t="str">
        <f>HYPERLINK("https://github.com/Anuken/Mindustry", "show")</f>
        <v>show</v>
      </c>
      <c r="H3808" t="str">
        <f>HYPERLINK("https://github.com/Anuken/Mindustry/releases", "show")</f>
        <v>show</v>
      </c>
      <c r="I3808">
        <v>1</v>
      </c>
      <c r="J3808">
        <v>1</v>
      </c>
      <c r="K3808">
        <v>0</v>
      </c>
      <c r="L3808">
        <v>0</v>
      </c>
      <c r="M3808" t="s">
        <v>48</v>
      </c>
    </row>
    <row r="3809" spans="1:13" hidden="1" x14ac:dyDescent="0.15">
      <c r="A3809" t="s">
        <v>12073</v>
      </c>
      <c r="B3809" t="s">
        <v>12074</v>
      </c>
      <c r="C3809" t="s">
        <v>12075</v>
      </c>
      <c r="D3809" t="s">
        <v>12076</v>
      </c>
      <c r="E3809">
        <v>0</v>
      </c>
      <c r="F3809" t="str">
        <f>HYPERLINK("https://github.com/Benji377/SocyMusic/issues/206", "show")</f>
        <v>show</v>
      </c>
      <c r="G3809" t="str">
        <f>HYPERLINK("https://github.com/Benji377/SocyMusic", "show")</f>
        <v>show</v>
      </c>
      <c r="H3809" t="str">
        <f>HYPERLINK("https://github.com/Benji377/SocyMusic/releases", "show")</f>
        <v>show</v>
      </c>
      <c r="I3809">
        <v>1</v>
      </c>
      <c r="J3809">
        <v>0</v>
      </c>
      <c r="K3809">
        <v>0</v>
      </c>
      <c r="L3809">
        <v>0</v>
      </c>
      <c r="M3809" t="s">
        <v>17</v>
      </c>
    </row>
    <row r="3810" spans="1:13" x14ac:dyDescent="0.15">
      <c r="A3810" t="s">
        <v>12077</v>
      </c>
      <c r="B3810" t="s">
        <v>12078</v>
      </c>
      <c r="C3810" t="s">
        <v>12079</v>
      </c>
      <c r="D3810" t="s">
        <v>12076</v>
      </c>
      <c r="E3810">
        <v>1</v>
      </c>
      <c r="F3810" t="str">
        <f>HYPERLINK("https://github.com/nextcloud/android/issues/9593", "show")</f>
        <v>show</v>
      </c>
      <c r="G3810" t="str">
        <f>HYPERLINK("https://github.com/nextcloud/android", "show")</f>
        <v>show</v>
      </c>
      <c r="H3810" t="str">
        <f>HYPERLINK("https://github.com/nextcloud/android/releases", "show")</f>
        <v>show</v>
      </c>
      <c r="I3810">
        <v>0</v>
      </c>
      <c r="J3810">
        <v>1</v>
      </c>
      <c r="K3810">
        <v>0</v>
      </c>
      <c r="L3810">
        <v>0</v>
      </c>
      <c r="M3810" t="s">
        <v>139</v>
      </c>
    </row>
    <row r="3811" spans="1:13" hidden="1" x14ac:dyDescent="0.15">
      <c r="A3811" t="s">
        <v>12080</v>
      </c>
      <c r="B3811" t="s">
        <v>12081</v>
      </c>
      <c r="C3811" t="s">
        <v>12082</v>
      </c>
      <c r="D3811" t="s">
        <v>12076</v>
      </c>
      <c r="E3811">
        <v>6</v>
      </c>
      <c r="F3811" t="str">
        <f>HYPERLINK("https://github.com/PojavLauncherTeam/PojavLauncher/issues/2431", "show")</f>
        <v>show</v>
      </c>
      <c r="G3811" t="str">
        <f>HYPERLINK("https://github.com/PojavLauncherTeam/PojavLauncher", "show")</f>
        <v>show</v>
      </c>
      <c r="H3811" t="str">
        <f>HYPERLINK("https://github.com/PojavLauncherTeam/PojavLauncher/releases", "show")</f>
        <v>show</v>
      </c>
      <c r="I3811">
        <v>1</v>
      </c>
      <c r="J3811">
        <v>1</v>
      </c>
      <c r="K3811">
        <v>0</v>
      </c>
      <c r="L3811">
        <v>0</v>
      </c>
      <c r="M3811" t="s">
        <v>48</v>
      </c>
    </row>
    <row r="3812" spans="1:13" hidden="1" x14ac:dyDescent="0.15">
      <c r="A3812" t="s">
        <v>12083</v>
      </c>
      <c r="B3812" t="s">
        <v>12084</v>
      </c>
      <c r="C3812" t="s">
        <v>12085</v>
      </c>
      <c r="D3812" t="s">
        <v>12076</v>
      </c>
      <c r="E3812">
        <v>46</v>
      </c>
      <c r="F3812" t="str">
        <f>HYPERLINK("https://github.com/material-components/material-components-android/issues/2502", "show")</f>
        <v>show</v>
      </c>
      <c r="G3812" t="str">
        <f>HYPERLINK("https://github.com/material-components/material-components-android", "show")</f>
        <v>show</v>
      </c>
      <c r="H3812" t="str">
        <f>HYPERLINK("https://github.com/material-components/material-components-android/releases", "show")</f>
        <v>show</v>
      </c>
      <c r="I3812">
        <v>1</v>
      </c>
      <c r="J3812">
        <v>0</v>
      </c>
      <c r="K3812">
        <v>0</v>
      </c>
      <c r="L3812">
        <v>1</v>
      </c>
      <c r="M3812" t="s">
        <v>29</v>
      </c>
    </row>
    <row r="3813" spans="1:13" hidden="1" x14ac:dyDescent="0.15">
      <c r="A3813" t="s">
        <v>12086</v>
      </c>
      <c r="B3813" t="s">
        <v>12087</v>
      </c>
      <c r="C3813" t="s">
        <v>12088</v>
      </c>
      <c r="D3813" t="s">
        <v>12089</v>
      </c>
      <c r="E3813">
        <v>0</v>
      </c>
      <c r="F3813" t="str">
        <f>HYPERLINK("https://github.com/PojavLauncherTeam/PojavLauncher/issues/2425", "show")</f>
        <v>show</v>
      </c>
      <c r="G3813" t="str">
        <f>HYPERLINK("https://github.com/PojavLauncherTeam/PojavLauncher", "show")</f>
        <v>show</v>
      </c>
      <c r="H3813" t="str">
        <f>HYPERLINK("https://github.com/PojavLauncherTeam/PojavLauncher/releases", "show")</f>
        <v>show</v>
      </c>
      <c r="I3813">
        <v>0</v>
      </c>
      <c r="J3813">
        <v>0</v>
      </c>
      <c r="K3813">
        <v>0</v>
      </c>
      <c r="L3813">
        <v>0</v>
      </c>
      <c r="M3813" t="s">
        <v>43</v>
      </c>
    </row>
    <row r="3814" spans="1:13" hidden="1" x14ac:dyDescent="0.15">
      <c r="A3814" t="s">
        <v>12090</v>
      </c>
      <c r="B3814" t="s">
        <v>12091</v>
      </c>
      <c r="C3814" t="s">
        <v>12092</v>
      </c>
      <c r="D3814" t="s">
        <v>12089</v>
      </c>
      <c r="E3814">
        <v>44</v>
      </c>
      <c r="F3814" t="str">
        <f>HYPERLINK("https://github.com/nextcloud/android/issues/9588", "show")</f>
        <v>show</v>
      </c>
      <c r="G3814" t="str">
        <f>HYPERLINK("https://github.com/nextcloud/android", "show")</f>
        <v>show</v>
      </c>
      <c r="H3814" t="str">
        <f>HYPERLINK("https://github.com/nextcloud/android/releases", "show")</f>
        <v>show</v>
      </c>
      <c r="I3814">
        <v>1</v>
      </c>
      <c r="J3814">
        <v>1</v>
      </c>
      <c r="K3814">
        <v>0</v>
      </c>
      <c r="L3814">
        <v>0</v>
      </c>
      <c r="M3814" t="s">
        <v>48</v>
      </c>
    </row>
    <row r="3815" spans="1:13" hidden="1" x14ac:dyDescent="0.15">
      <c r="A3815" t="s">
        <v>12093</v>
      </c>
      <c r="B3815" t="s">
        <v>12094</v>
      </c>
      <c r="C3815" t="s">
        <v>12095</v>
      </c>
      <c r="D3815" t="s">
        <v>12089</v>
      </c>
      <c r="E3815">
        <v>2</v>
      </c>
      <c r="F3815" t="str">
        <f>HYPERLINK("https://github.com/microsoft/appcenter-sdk-android/issues/1587", "show")</f>
        <v>show</v>
      </c>
      <c r="G3815" t="str">
        <f>HYPERLINK("https://github.com/microsoft/appcenter-sdk-android", "show")</f>
        <v>show</v>
      </c>
      <c r="H3815" t="str">
        <f>HYPERLINK("https://github.com/microsoft/appcenter-sdk-android/releases", "show")</f>
        <v>show</v>
      </c>
      <c r="I3815">
        <v>1</v>
      </c>
      <c r="J3815">
        <v>1</v>
      </c>
      <c r="K3815">
        <v>1</v>
      </c>
      <c r="L3815">
        <v>0</v>
      </c>
      <c r="M3815" t="s">
        <v>59</v>
      </c>
    </row>
    <row r="3816" spans="1:13" hidden="1" x14ac:dyDescent="0.15">
      <c r="A3816" t="s">
        <v>12096</v>
      </c>
      <c r="B3816" t="s">
        <v>12097</v>
      </c>
      <c r="D3816" t="s">
        <v>12089</v>
      </c>
      <c r="E3816">
        <v>1</v>
      </c>
      <c r="F3816" t="str">
        <f>HYPERLINK("https://github.com/trojan-gfw/igniter/issues/399", "show")</f>
        <v>show</v>
      </c>
      <c r="G3816" t="str">
        <f>HYPERLINK("https://github.com/trojan-gfw/igniter", "show")</f>
        <v>show</v>
      </c>
      <c r="H3816" t="str">
        <f>HYPERLINK("https://github.com/trojan-gfw/igniter/releases", "show")</f>
        <v>show</v>
      </c>
      <c r="I3816">
        <v>1</v>
      </c>
      <c r="J3816">
        <v>0</v>
      </c>
      <c r="K3816">
        <v>1</v>
      </c>
      <c r="L3816">
        <v>0</v>
      </c>
      <c r="M3816" t="s">
        <v>64</v>
      </c>
    </row>
    <row r="3817" spans="1:13" hidden="1" x14ac:dyDescent="0.15">
      <c r="A3817" t="s">
        <v>12098</v>
      </c>
      <c r="B3817" t="s">
        <v>12099</v>
      </c>
      <c r="C3817" t="s">
        <v>12100</v>
      </c>
      <c r="D3817" t="s">
        <v>12101</v>
      </c>
      <c r="E3817">
        <v>0</v>
      </c>
      <c r="F3817" t="str">
        <f>HYPERLINK("https://github.com/TeamNewPipe/NewPipe/issues/7550", "show")</f>
        <v>show</v>
      </c>
      <c r="G3817" t="str">
        <f>HYPERLINK("https://github.com/TeamNewPipe/NewPipe", "show")</f>
        <v>show</v>
      </c>
      <c r="H3817" t="str">
        <f>HYPERLINK("https://github.com/TeamNewPipe/NewPipe/releases", "show")</f>
        <v>show</v>
      </c>
      <c r="I3817">
        <v>1</v>
      </c>
      <c r="J3817">
        <v>1</v>
      </c>
      <c r="K3817">
        <v>1</v>
      </c>
      <c r="L3817">
        <v>0</v>
      </c>
      <c r="M3817" t="s">
        <v>59</v>
      </c>
    </row>
    <row r="3818" spans="1:13" hidden="1" x14ac:dyDescent="0.15">
      <c r="A3818" t="s">
        <v>12102</v>
      </c>
      <c r="B3818" t="s">
        <v>12103</v>
      </c>
      <c r="C3818" t="s">
        <v>12104</v>
      </c>
      <c r="D3818" t="s">
        <v>12105</v>
      </c>
      <c r="E3818">
        <v>30</v>
      </c>
      <c r="F3818" t="str">
        <f>HYPERLINK("https://github.com/nextcloud/android/issues/9585", "show")</f>
        <v>show</v>
      </c>
      <c r="G3818" t="str">
        <f>HYPERLINK("https://github.com/nextcloud/android", "show")</f>
        <v>show</v>
      </c>
      <c r="H3818" t="str">
        <f>HYPERLINK("https://github.com/nextcloud/android/releases", "show")</f>
        <v>show</v>
      </c>
      <c r="I3818">
        <v>1</v>
      </c>
      <c r="J3818">
        <v>1</v>
      </c>
      <c r="K3818">
        <v>1</v>
      </c>
      <c r="L3818">
        <v>0</v>
      </c>
      <c r="M3818" t="s">
        <v>59</v>
      </c>
    </row>
    <row r="3819" spans="1:13" hidden="1" x14ac:dyDescent="0.15">
      <c r="A3819" t="s">
        <v>12106</v>
      </c>
      <c r="B3819" t="s">
        <v>12107</v>
      </c>
      <c r="C3819" t="s">
        <v>12108</v>
      </c>
      <c r="D3819" t="s">
        <v>12105</v>
      </c>
      <c r="E3819">
        <v>89</v>
      </c>
      <c r="F3819" t="str">
        <f>HYPERLINK("https://github.com/twilio/video-quickstart-android/issues/692", "show")</f>
        <v>show</v>
      </c>
      <c r="G3819" t="str">
        <f>HYPERLINK("https://github.com/twilio/video-quickstart-android", "show")</f>
        <v>show</v>
      </c>
      <c r="H3819" t="str">
        <f>HYPERLINK("https://github.com/twilio/video-quickstart-android/releases", "show")</f>
        <v>show</v>
      </c>
      <c r="I3819">
        <v>1</v>
      </c>
      <c r="J3819">
        <v>0</v>
      </c>
      <c r="K3819">
        <v>0</v>
      </c>
      <c r="L3819">
        <v>0</v>
      </c>
      <c r="M3819" t="s">
        <v>17</v>
      </c>
    </row>
    <row r="3820" spans="1:13" hidden="1" x14ac:dyDescent="0.15">
      <c r="A3820" t="s">
        <v>12109</v>
      </c>
      <c r="B3820" t="s">
        <v>12110</v>
      </c>
      <c r="C3820" t="s">
        <v>12111</v>
      </c>
      <c r="D3820" t="s">
        <v>12105</v>
      </c>
      <c r="E3820">
        <v>9</v>
      </c>
      <c r="F3820" t="str">
        <f>HYPERLINK("https://github.com/PojavLauncherTeam/PojavLauncher/issues/2412", "show")</f>
        <v>show</v>
      </c>
      <c r="G3820" t="str">
        <f>HYPERLINK("https://github.com/PojavLauncherTeam/PojavLauncher", "show")</f>
        <v>show</v>
      </c>
      <c r="H3820" t="str">
        <f>HYPERLINK("https://github.com/PojavLauncherTeam/PojavLauncher/releases", "show")</f>
        <v>show</v>
      </c>
      <c r="I3820">
        <v>1</v>
      </c>
      <c r="J3820">
        <v>1</v>
      </c>
      <c r="K3820">
        <v>0</v>
      </c>
      <c r="L3820">
        <v>1</v>
      </c>
      <c r="M3820" t="s">
        <v>1894</v>
      </c>
    </row>
    <row r="3821" spans="1:13" hidden="1" x14ac:dyDescent="0.15">
      <c r="A3821" t="s">
        <v>12112</v>
      </c>
      <c r="B3821" t="s">
        <v>12113</v>
      </c>
      <c r="C3821" t="s">
        <v>12114</v>
      </c>
      <c r="D3821" t="s">
        <v>12115</v>
      </c>
      <c r="E3821">
        <v>3</v>
      </c>
      <c r="F3821" t="str">
        <f>HYPERLINK("https://github.com/PojavLauncherTeam/PojavLauncher/issues/2407", "show")</f>
        <v>show</v>
      </c>
      <c r="G3821" t="str">
        <f>HYPERLINK("https://github.com/PojavLauncherTeam/PojavLauncher", "show")</f>
        <v>show</v>
      </c>
      <c r="H3821" t="str">
        <f>HYPERLINK("https://github.com/PojavLauncherTeam/PojavLauncher/releases", "show")</f>
        <v>show</v>
      </c>
      <c r="I3821">
        <v>1</v>
      </c>
      <c r="J3821">
        <v>0</v>
      </c>
      <c r="K3821">
        <v>0</v>
      </c>
      <c r="L3821">
        <v>0</v>
      </c>
      <c r="M3821" t="s">
        <v>17</v>
      </c>
    </row>
    <row r="3822" spans="1:13" hidden="1" x14ac:dyDescent="0.15">
      <c r="A3822" t="s">
        <v>12116</v>
      </c>
      <c r="B3822" t="s">
        <v>4312</v>
      </c>
      <c r="D3822" t="s">
        <v>12115</v>
      </c>
      <c r="E3822">
        <v>52</v>
      </c>
      <c r="F3822" t="str">
        <f>HYPERLINK("https://github.com/GrapheneOS/PdfViewer/issues/130", "show")</f>
        <v>show</v>
      </c>
      <c r="G3822" t="str">
        <f>HYPERLINK("https://github.com/GrapheneOS/PdfViewer", "show")</f>
        <v>show</v>
      </c>
      <c r="H3822" t="str">
        <f>HYPERLINK("https://github.com/GrapheneOS/PdfViewer/releases", "show")</f>
        <v>show</v>
      </c>
      <c r="I3822">
        <v>0</v>
      </c>
      <c r="J3822">
        <v>0</v>
      </c>
      <c r="K3822">
        <v>1</v>
      </c>
      <c r="L3822">
        <v>0</v>
      </c>
      <c r="M3822" t="s">
        <v>122</v>
      </c>
    </row>
    <row r="3823" spans="1:13" hidden="1" x14ac:dyDescent="0.15">
      <c r="A3823" t="s">
        <v>12117</v>
      </c>
      <c r="B3823" t="s">
        <v>12118</v>
      </c>
      <c r="C3823" t="s">
        <v>12119</v>
      </c>
      <c r="D3823" t="s">
        <v>12115</v>
      </c>
      <c r="E3823">
        <v>4</v>
      </c>
      <c r="F3823" t="str">
        <f>HYPERLINK("https://github.com/gluonhq/substrate/issues/1069", "show")</f>
        <v>show</v>
      </c>
      <c r="G3823" t="str">
        <f>HYPERLINK("https://github.com/gluonhq/substrate", "show")</f>
        <v>show</v>
      </c>
      <c r="H3823" t="str">
        <f>HYPERLINK("https://github.com/gluonhq/substrate/releases", "show")</f>
        <v>show</v>
      </c>
      <c r="I3823">
        <v>1</v>
      </c>
      <c r="J3823">
        <v>1</v>
      </c>
      <c r="K3823">
        <v>0</v>
      </c>
      <c r="L3823">
        <v>0</v>
      </c>
      <c r="M3823" t="s">
        <v>48</v>
      </c>
    </row>
    <row r="3824" spans="1:13" hidden="1" x14ac:dyDescent="0.15">
      <c r="A3824" t="s">
        <v>12120</v>
      </c>
      <c r="B3824" t="s">
        <v>12121</v>
      </c>
      <c r="C3824" t="s">
        <v>12122</v>
      </c>
      <c r="D3824" t="s">
        <v>12115</v>
      </c>
      <c r="E3824">
        <v>5</v>
      </c>
      <c r="F3824" t="str">
        <f>HYPERLINK("https://github.com/microsoft/appcenter-sdk-android/issues/1584", "show")</f>
        <v>show</v>
      </c>
      <c r="G3824" t="str">
        <f>HYPERLINK("https://github.com/microsoft/appcenter-sdk-android", "show")</f>
        <v>show</v>
      </c>
      <c r="H3824" t="str">
        <f>HYPERLINK("https://github.com/microsoft/appcenter-sdk-android/releases", "show")</f>
        <v>show</v>
      </c>
      <c r="I3824">
        <v>1</v>
      </c>
      <c r="J3824">
        <v>1</v>
      </c>
      <c r="K3824">
        <v>1</v>
      </c>
      <c r="L3824">
        <v>0</v>
      </c>
      <c r="M3824" t="s">
        <v>59</v>
      </c>
    </row>
    <row r="3825" spans="1:13" hidden="1" x14ac:dyDescent="0.15">
      <c r="A3825" t="s">
        <v>12123</v>
      </c>
      <c r="B3825" t="s">
        <v>12124</v>
      </c>
      <c r="C3825" t="s">
        <v>12125</v>
      </c>
      <c r="D3825" t="s">
        <v>12126</v>
      </c>
      <c r="E3825">
        <v>91</v>
      </c>
      <c r="F3825" t="str">
        <f>HYPERLINK("https://github.com/OTTAA-Project/OTTAAProject/issues/118", "show")</f>
        <v>show</v>
      </c>
      <c r="G3825" t="str">
        <f>HYPERLINK("https://github.com/OTTAA-Project/OTTAAProject", "show")</f>
        <v>show</v>
      </c>
      <c r="H3825" t="str">
        <f>HYPERLINK("https://github.com/OTTAA-Project/OTTAAProject/releases", "show")</f>
        <v>show</v>
      </c>
      <c r="I3825">
        <v>0</v>
      </c>
      <c r="J3825">
        <v>0</v>
      </c>
      <c r="K3825">
        <v>0</v>
      </c>
      <c r="L3825">
        <v>0</v>
      </c>
      <c r="M3825" t="s">
        <v>43</v>
      </c>
    </row>
    <row r="3826" spans="1:13" hidden="1" x14ac:dyDescent="0.15">
      <c r="A3826" t="s">
        <v>12127</v>
      </c>
      <c r="B3826" t="s">
        <v>12128</v>
      </c>
      <c r="C3826" t="s">
        <v>12129</v>
      </c>
      <c r="D3826" t="s">
        <v>12130</v>
      </c>
      <c r="E3826">
        <v>0</v>
      </c>
      <c r="F3826" t="str">
        <f>HYPERLINK("https://github.com/cgeo/cgeo/issues/12326", "show")</f>
        <v>show</v>
      </c>
      <c r="G3826" t="str">
        <f>HYPERLINK("https://github.com/cgeo/cgeo", "show")</f>
        <v>show</v>
      </c>
      <c r="H3826" t="str">
        <f>HYPERLINK("https://github.com/cgeo/cgeo/releases", "show")</f>
        <v>show</v>
      </c>
      <c r="I3826">
        <v>1</v>
      </c>
      <c r="J3826">
        <v>0</v>
      </c>
      <c r="K3826">
        <v>0</v>
      </c>
      <c r="L3826">
        <v>0</v>
      </c>
      <c r="M3826" t="s">
        <v>17</v>
      </c>
    </row>
    <row r="3827" spans="1:13" hidden="1" x14ac:dyDescent="0.15">
      <c r="A3827" t="s">
        <v>12131</v>
      </c>
      <c r="B3827" t="s">
        <v>12132</v>
      </c>
      <c r="C3827" t="s">
        <v>12133</v>
      </c>
      <c r="D3827" t="s">
        <v>12130</v>
      </c>
      <c r="E3827">
        <v>0</v>
      </c>
      <c r="F3827" t="str">
        <f>HYPERLINK("https://github.com/PojavLauncherTeam/PojavLauncher/issues/2393", "show")</f>
        <v>show</v>
      </c>
      <c r="G3827" t="str">
        <f>HYPERLINK("https://github.com/PojavLauncherTeam/PojavLauncher", "show")</f>
        <v>show</v>
      </c>
      <c r="H3827" t="str">
        <f>HYPERLINK("https://github.com/PojavLauncherTeam/PojavLauncher/releases", "show")</f>
        <v>show</v>
      </c>
      <c r="I3827">
        <v>0</v>
      </c>
      <c r="J3827">
        <v>0</v>
      </c>
      <c r="K3827">
        <v>0</v>
      </c>
      <c r="L3827">
        <v>0</v>
      </c>
      <c r="M3827" t="s">
        <v>43</v>
      </c>
    </row>
    <row r="3828" spans="1:13" hidden="1" x14ac:dyDescent="0.15">
      <c r="A3828" t="s">
        <v>12134</v>
      </c>
      <c r="B3828" t="s">
        <v>12135</v>
      </c>
      <c r="C3828" t="s">
        <v>12136</v>
      </c>
      <c r="D3828" t="s">
        <v>12130</v>
      </c>
      <c r="E3828">
        <v>1</v>
      </c>
      <c r="F3828" t="str">
        <f>HYPERLINK("https://github.com/opensrp/opensrp-client-reveal/issues/1547", "show")</f>
        <v>show</v>
      </c>
      <c r="G3828" t="str">
        <f>HYPERLINK("https://github.com/opensrp/opensrp-client-reveal", "show")</f>
        <v>show</v>
      </c>
      <c r="H3828" t="str">
        <f>HYPERLINK("https://github.com/opensrp/opensrp-client-reveal/releases", "show")</f>
        <v>show</v>
      </c>
      <c r="I3828">
        <v>0</v>
      </c>
      <c r="J3828">
        <v>1</v>
      </c>
      <c r="K3828">
        <v>0</v>
      </c>
      <c r="L3828">
        <v>1</v>
      </c>
      <c r="M3828" t="s">
        <v>1732</v>
      </c>
    </row>
    <row r="3829" spans="1:13" hidden="1" x14ac:dyDescent="0.15">
      <c r="A3829" t="s">
        <v>12137</v>
      </c>
      <c r="B3829" t="s">
        <v>12138</v>
      </c>
      <c r="C3829" t="s">
        <v>12139</v>
      </c>
      <c r="D3829" t="s">
        <v>12140</v>
      </c>
      <c r="E3829">
        <v>16</v>
      </c>
      <c r="F3829" t="str">
        <f>HYPERLINK("https://github.com/TeamNewPipe/NewPipe/issues/7537", "show")</f>
        <v>show</v>
      </c>
      <c r="G3829" t="str">
        <f>HYPERLINK("https://github.com/TeamNewPipe/NewPipe", "show")</f>
        <v>show</v>
      </c>
      <c r="H3829" t="str">
        <f>HYPERLINK("https://github.com/TeamNewPipe/NewPipe/releases", "show")</f>
        <v>show</v>
      </c>
      <c r="I3829">
        <v>1</v>
      </c>
      <c r="J3829">
        <v>1</v>
      </c>
      <c r="K3829">
        <v>1</v>
      </c>
      <c r="L3829">
        <v>0</v>
      </c>
      <c r="M3829" t="s">
        <v>59</v>
      </c>
    </row>
    <row r="3830" spans="1:13" hidden="1" x14ac:dyDescent="0.15">
      <c r="A3830" t="s">
        <v>12141</v>
      </c>
      <c r="B3830" t="s">
        <v>12142</v>
      </c>
      <c r="C3830" t="s">
        <v>12143</v>
      </c>
      <c r="D3830" t="s">
        <v>12140</v>
      </c>
      <c r="E3830">
        <v>0</v>
      </c>
      <c r="F3830" t="str">
        <f>HYPERLINK("https://github.com/PojavLauncherTeam/PojavLauncher/issues/2388", "show")</f>
        <v>show</v>
      </c>
      <c r="G3830" t="str">
        <f>HYPERLINK("https://github.com/PojavLauncherTeam/PojavLauncher", "show")</f>
        <v>show</v>
      </c>
      <c r="H3830" t="str">
        <f>HYPERLINK("https://github.com/PojavLauncherTeam/PojavLauncher/releases", "show")</f>
        <v>show</v>
      </c>
      <c r="I3830">
        <v>0</v>
      </c>
      <c r="J3830">
        <v>0</v>
      </c>
      <c r="K3830">
        <v>1</v>
      </c>
      <c r="L3830">
        <v>1</v>
      </c>
      <c r="M3830" t="s">
        <v>351</v>
      </c>
    </row>
    <row r="3831" spans="1:13" hidden="1" x14ac:dyDescent="0.15">
      <c r="A3831" t="s">
        <v>12144</v>
      </c>
      <c r="B3831" t="s">
        <v>141</v>
      </c>
      <c r="C3831" t="s">
        <v>12145</v>
      </c>
      <c r="D3831" t="s">
        <v>12146</v>
      </c>
      <c r="E3831">
        <v>1</v>
      </c>
      <c r="F3831" t="str">
        <f>HYPERLINK("https://github.com/nextcloud/android/issues/9539", "show")</f>
        <v>show</v>
      </c>
      <c r="G3831" t="str">
        <f>HYPERLINK("https://github.com/nextcloud/android", "show")</f>
        <v>show</v>
      </c>
      <c r="H3831" t="str">
        <f>HYPERLINK("https://github.com/nextcloud/android/releases", "show")</f>
        <v>show</v>
      </c>
      <c r="I3831">
        <v>1</v>
      </c>
      <c r="J3831">
        <v>0</v>
      </c>
      <c r="K3831">
        <v>1</v>
      </c>
      <c r="L3831">
        <v>0</v>
      </c>
      <c r="M3831" t="s">
        <v>64</v>
      </c>
    </row>
    <row r="3832" spans="1:13" hidden="1" x14ac:dyDescent="0.15">
      <c r="A3832" t="s">
        <v>12147</v>
      </c>
      <c r="B3832" t="s">
        <v>12148</v>
      </c>
      <c r="C3832" t="s">
        <v>12149</v>
      </c>
      <c r="D3832" t="s">
        <v>12146</v>
      </c>
      <c r="E3832">
        <v>46</v>
      </c>
      <c r="F3832" t="str">
        <f>HYPERLINK("https://github.com/TeamNewPipe/NewPipe/issues/7533", "show")</f>
        <v>show</v>
      </c>
      <c r="G3832" t="str">
        <f>HYPERLINK("https://github.com/TeamNewPipe/NewPipe", "show")</f>
        <v>show</v>
      </c>
      <c r="H3832" t="str">
        <f>HYPERLINK("https://github.com/TeamNewPipe/NewPipe/releases", "show")</f>
        <v>show</v>
      </c>
      <c r="I3832">
        <v>1</v>
      </c>
      <c r="J3832">
        <v>1</v>
      </c>
      <c r="K3832">
        <v>0</v>
      </c>
      <c r="L3832">
        <v>0</v>
      </c>
      <c r="M3832" t="s">
        <v>48</v>
      </c>
    </row>
    <row r="3833" spans="1:13" hidden="1" x14ac:dyDescent="0.15">
      <c r="A3833" t="s">
        <v>12150</v>
      </c>
      <c r="B3833" t="s">
        <v>12151</v>
      </c>
      <c r="C3833" t="s">
        <v>12152</v>
      </c>
      <c r="D3833" t="s">
        <v>12146</v>
      </c>
      <c r="E3833">
        <v>59</v>
      </c>
      <c r="F3833" t="str">
        <f>HYPERLINK("https://github.com/TeamNewPipe/NewPipe/issues/7528", "show")</f>
        <v>show</v>
      </c>
      <c r="G3833" t="str">
        <f>HYPERLINK("https://github.com/TeamNewPipe/NewPipe", "show")</f>
        <v>show</v>
      </c>
      <c r="H3833" t="str">
        <f>HYPERLINK("https://github.com/TeamNewPipe/NewPipe/releases", "show")</f>
        <v>show</v>
      </c>
      <c r="I3833">
        <v>1</v>
      </c>
      <c r="J3833">
        <v>1</v>
      </c>
      <c r="K3833">
        <v>0</v>
      </c>
      <c r="L3833">
        <v>0</v>
      </c>
      <c r="M3833" t="s">
        <v>48</v>
      </c>
    </row>
    <row r="3834" spans="1:13" hidden="1" x14ac:dyDescent="0.15">
      <c r="A3834" t="s">
        <v>12153</v>
      </c>
      <c r="B3834" t="s">
        <v>12154</v>
      </c>
      <c r="C3834" t="s">
        <v>12155</v>
      </c>
      <c r="D3834" t="s">
        <v>12156</v>
      </c>
      <c r="E3834">
        <v>31</v>
      </c>
      <c r="F3834" t="str">
        <f>HYPERLINK("https://github.com/mh-/corona-warn-companion-android/issues/134", "show")</f>
        <v>show</v>
      </c>
      <c r="G3834" t="str">
        <f>HYPERLINK("https://github.com/mh-/corona-warn-companion-android", "show")</f>
        <v>show</v>
      </c>
      <c r="H3834" t="str">
        <f>HYPERLINK("https://github.com/mh-/corona-warn-companion-android/releases", "show")</f>
        <v>show</v>
      </c>
      <c r="I3834">
        <v>1</v>
      </c>
      <c r="J3834">
        <v>0</v>
      </c>
      <c r="K3834">
        <v>0</v>
      </c>
      <c r="L3834">
        <v>0</v>
      </c>
      <c r="M3834" t="s">
        <v>17</v>
      </c>
    </row>
    <row r="3835" spans="1:13" hidden="1" x14ac:dyDescent="0.15">
      <c r="A3835" t="s">
        <v>12157</v>
      </c>
      <c r="B3835" t="s">
        <v>12158</v>
      </c>
      <c r="C3835" t="s">
        <v>12159</v>
      </c>
      <c r="D3835" t="s">
        <v>12156</v>
      </c>
      <c r="E3835">
        <v>14</v>
      </c>
      <c r="F3835" t="str">
        <f>HYPERLINK("https://github.com/PojavLauncherTeam/PojavLauncher/issues/2381", "show")</f>
        <v>show</v>
      </c>
      <c r="G3835" t="str">
        <f>HYPERLINK("https://github.com/PojavLauncherTeam/PojavLauncher", "show")</f>
        <v>show</v>
      </c>
      <c r="H3835" t="str">
        <f>HYPERLINK("https://github.com/PojavLauncherTeam/PojavLauncher/releases", "show")</f>
        <v>show</v>
      </c>
      <c r="I3835">
        <v>1</v>
      </c>
      <c r="J3835">
        <v>0</v>
      </c>
      <c r="K3835">
        <v>0</v>
      </c>
      <c r="L3835">
        <v>0</v>
      </c>
      <c r="M3835" t="s">
        <v>17</v>
      </c>
    </row>
    <row r="3836" spans="1:13" hidden="1" x14ac:dyDescent="0.15">
      <c r="A3836" t="s">
        <v>12160</v>
      </c>
      <c r="B3836" t="s">
        <v>12161</v>
      </c>
      <c r="C3836" t="s">
        <v>12162</v>
      </c>
      <c r="D3836" t="s">
        <v>12163</v>
      </c>
      <c r="E3836">
        <v>56</v>
      </c>
      <c r="F3836" t="str">
        <f>HYPERLINK("https://github.com/PojavLauncherTeam/PojavLauncher/issues/2371", "show")</f>
        <v>show</v>
      </c>
      <c r="G3836" t="str">
        <f>HYPERLINK("https://github.com/PojavLauncherTeam/PojavLauncher", "show")</f>
        <v>show</v>
      </c>
      <c r="H3836" t="str">
        <f>HYPERLINK("https://github.com/PojavLauncherTeam/PojavLauncher/releases", "show")</f>
        <v>show</v>
      </c>
      <c r="I3836">
        <v>1</v>
      </c>
      <c r="J3836">
        <v>0</v>
      </c>
      <c r="K3836">
        <v>0</v>
      </c>
      <c r="L3836">
        <v>0</v>
      </c>
      <c r="M3836" t="s">
        <v>17</v>
      </c>
    </row>
    <row r="3837" spans="1:13" hidden="1" x14ac:dyDescent="0.15">
      <c r="A3837" t="s">
        <v>12164</v>
      </c>
      <c r="B3837" t="s">
        <v>12165</v>
      </c>
      <c r="C3837" t="s">
        <v>12166</v>
      </c>
      <c r="D3837" t="s">
        <v>12163</v>
      </c>
      <c r="E3837">
        <v>0</v>
      </c>
      <c r="F3837" t="str">
        <f>HYPERLINK("https://github.com/BloodCall/BloodCall/issues/26", "show")</f>
        <v>show</v>
      </c>
      <c r="G3837" t="str">
        <f>HYPERLINK("https://github.com/BloodCall/BloodCall", "show")</f>
        <v>show</v>
      </c>
      <c r="H3837" t="str">
        <f>HYPERLINK("https://github.com/BloodCall/BloodCall/releases", "show")</f>
        <v>show</v>
      </c>
      <c r="I3837">
        <v>1</v>
      </c>
      <c r="J3837">
        <v>0</v>
      </c>
      <c r="K3837">
        <v>0</v>
      </c>
      <c r="L3837">
        <v>0</v>
      </c>
      <c r="M3837" t="s">
        <v>17</v>
      </c>
    </row>
    <row r="3838" spans="1:13" hidden="1" x14ac:dyDescent="0.15">
      <c r="A3838" t="s">
        <v>12167</v>
      </c>
      <c r="B3838" t="s">
        <v>12168</v>
      </c>
      <c r="C3838" t="s">
        <v>12169</v>
      </c>
      <c r="D3838" t="s">
        <v>12163</v>
      </c>
      <c r="E3838">
        <v>22</v>
      </c>
      <c r="F3838" t="str">
        <f>HYPERLINK("https://github.com/PojavLauncherTeam/PojavLauncher/issues/2370", "show")</f>
        <v>show</v>
      </c>
      <c r="G3838" t="str">
        <f>HYPERLINK("https://github.com/PojavLauncherTeam/PojavLauncher", "show")</f>
        <v>show</v>
      </c>
      <c r="H3838" t="str">
        <f>HYPERLINK("https://github.com/PojavLauncherTeam/PojavLauncher/releases", "show")</f>
        <v>show</v>
      </c>
      <c r="I3838">
        <v>0</v>
      </c>
      <c r="J3838">
        <v>1</v>
      </c>
      <c r="K3838">
        <v>0</v>
      </c>
      <c r="L3838">
        <v>1</v>
      </c>
      <c r="M3838" t="s">
        <v>1732</v>
      </c>
    </row>
    <row r="3839" spans="1:13" hidden="1" x14ac:dyDescent="0.15">
      <c r="A3839" t="s">
        <v>12170</v>
      </c>
      <c r="B3839" t="s">
        <v>12171</v>
      </c>
      <c r="C3839" t="s">
        <v>12172</v>
      </c>
      <c r="D3839" t="s">
        <v>12163</v>
      </c>
      <c r="E3839">
        <v>27</v>
      </c>
      <c r="F3839" t="str">
        <f>HYPERLINK("https://github.com/PojavLauncherTeam/PojavLauncher/issues/2369", "show")</f>
        <v>show</v>
      </c>
      <c r="G3839" t="str">
        <f>HYPERLINK("https://github.com/PojavLauncherTeam/PojavLauncher", "show")</f>
        <v>show</v>
      </c>
      <c r="H3839" t="str">
        <f>HYPERLINK("https://github.com/PojavLauncherTeam/PojavLauncher/releases", "show")</f>
        <v>show</v>
      </c>
      <c r="I3839">
        <v>0</v>
      </c>
      <c r="J3839">
        <v>0</v>
      </c>
      <c r="K3839">
        <v>0</v>
      </c>
      <c r="L3839">
        <v>1</v>
      </c>
      <c r="M3839" t="s">
        <v>581</v>
      </c>
    </row>
    <row r="3840" spans="1:13" hidden="1" x14ac:dyDescent="0.15">
      <c r="A3840" t="s">
        <v>12173</v>
      </c>
      <c r="B3840" t="s">
        <v>12174</v>
      </c>
      <c r="C3840" t="s">
        <v>12175</v>
      </c>
      <c r="D3840" t="s">
        <v>12163</v>
      </c>
      <c r="E3840">
        <v>0</v>
      </c>
      <c r="F3840" t="str">
        <f>HYPERLINK("https://github.com/Anuken/Mindustry/issues/6424", "show")</f>
        <v>show</v>
      </c>
      <c r="G3840" t="str">
        <f>HYPERLINK("https://github.com/Anuken/Mindustry", "show")</f>
        <v>show</v>
      </c>
      <c r="H3840" t="str">
        <f>HYPERLINK("https://github.com/Anuken/Mindustry/releases", "show")</f>
        <v>show</v>
      </c>
      <c r="I3840">
        <v>0</v>
      </c>
      <c r="J3840">
        <v>0</v>
      </c>
      <c r="K3840">
        <v>0</v>
      </c>
      <c r="L3840">
        <v>0</v>
      </c>
      <c r="M3840" t="s">
        <v>43</v>
      </c>
    </row>
    <row r="3841" spans="1:13" hidden="1" x14ac:dyDescent="0.15">
      <c r="A3841" t="s">
        <v>12176</v>
      </c>
      <c r="B3841" t="s">
        <v>12177</v>
      </c>
      <c r="C3841" t="s">
        <v>12178</v>
      </c>
      <c r="D3841" t="s">
        <v>12163</v>
      </c>
      <c r="E3841">
        <v>0</v>
      </c>
      <c r="F3841" t="str">
        <f>HYPERLINK("https://github.com/voxeet/voxeet-uxkit-reactnative/issues/52", "show")</f>
        <v>show</v>
      </c>
      <c r="G3841" t="str">
        <f>HYPERLINK("https://github.com/voxeet/voxeet-uxkit-reactnative", "show")</f>
        <v>show</v>
      </c>
      <c r="H3841" t="str">
        <f>HYPERLINK("https://github.com/voxeet/voxeet-uxkit-reactnative/releases", "show")</f>
        <v>show</v>
      </c>
      <c r="I3841">
        <v>0</v>
      </c>
      <c r="J3841">
        <v>0</v>
      </c>
      <c r="K3841">
        <v>0</v>
      </c>
      <c r="L3841">
        <v>0</v>
      </c>
      <c r="M3841" t="s">
        <v>43</v>
      </c>
    </row>
    <row r="3842" spans="1:13" hidden="1" x14ac:dyDescent="0.15">
      <c r="A3842" t="s">
        <v>12179</v>
      </c>
      <c r="B3842" t="s">
        <v>12180</v>
      </c>
      <c r="C3842" t="s">
        <v>12181</v>
      </c>
      <c r="D3842" t="s">
        <v>12182</v>
      </c>
      <c r="E3842">
        <v>1</v>
      </c>
      <c r="F3842" t="str">
        <f>HYPERLINK("https://github.com/doublesymmetry/react-native-track-player/issues/1346", "show")</f>
        <v>show</v>
      </c>
      <c r="G3842" t="str">
        <f>HYPERLINK("https://github.com/doublesymmetry/react-native-track-player", "show")</f>
        <v>show</v>
      </c>
      <c r="H3842" t="str">
        <f>HYPERLINK("https://github.com/doublesymmetry/react-native-track-player/releases", "show")</f>
        <v>show</v>
      </c>
      <c r="I3842">
        <v>0</v>
      </c>
      <c r="J3842">
        <v>0</v>
      </c>
      <c r="K3842">
        <v>1</v>
      </c>
      <c r="L3842">
        <v>1</v>
      </c>
      <c r="M3842" t="s">
        <v>351</v>
      </c>
    </row>
    <row r="3843" spans="1:13" hidden="1" x14ac:dyDescent="0.15">
      <c r="A3843" t="s">
        <v>12183</v>
      </c>
      <c r="B3843" t="s">
        <v>12184</v>
      </c>
      <c r="C3843" t="s">
        <v>12185</v>
      </c>
      <c r="D3843" t="s">
        <v>12182</v>
      </c>
      <c r="E3843">
        <v>4</v>
      </c>
      <c r="F3843" t="str">
        <f>HYPERLINK("https://github.com/nextcloud/android/issues/9491", "show")</f>
        <v>show</v>
      </c>
      <c r="G3843" t="str">
        <f>HYPERLINK("https://github.com/nextcloud/android", "show")</f>
        <v>show</v>
      </c>
      <c r="H3843" t="str">
        <f>HYPERLINK("https://github.com/nextcloud/android/releases", "show")</f>
        <v>show</v>
      </c>
      <c r="I3843">
        <v>0</v>
      </c>
      <c r="J3843">
        <v>0</v>
      </c>
      <c r="K3843">
        <v>1</v>
      </c>
      <c r="L3843">
        <v>0</v>
      </c>
      <c r="M3843" t="s">
        <v>122</v>
      </c>
    </row>
    <row r="3844" spans="1:13" hidden="1" x14ac:dyDescent="0.15">
      <c r="A3844" t="s">
        <v>12186</v>
      </c>
      <c r="B3844" t="s">
        <v>12187</v>
      </c>
      <c r="C3844" t="s">
        <v>12188</v>
      </c>
      <c r="D3844" t="s">
        <v>12182</v>
      </c>
      <c r="E3844">
        <v>1</v>
      </c>
      <c r="F3844" t="str">
        <f>HYPERLINK("https://github.com/deepjavalibrary/djl/issues/1408", "show")</f>
        <v>show</v>
      </c>
      <c r="G3844" t="str">
        <f>HYPERLINK("https://github.com/deepjavalibrary/djl", "show")</f>
        <v>show</v>
      </c>
      <c r="H3844" t="str">
        <f>HYPERLINK("https://github.com/deepjavalibrary/djl/releases", "show")</f>
        <v>show</v>
      </c>
      <c r="I3844">
        <v>1</v>
      </c>
      <c r="J3844">
        <v>0</v>
      </c>
      <c r="K3844">
        <v>0</v>
      </c>
      <c r="L3844">
        <v>0</v>
      </c>
      <c r="M3844" t="s">
        <v>17</v>
      </c>
    </row>
    <row r="3845" spans="1:13" hidden="1" x14ac:dyDescent="0.15">
      <c r="A3845" t="s">
        <v>12189</v>
      </c>
      <c r="B3845" t="s">
        <v>12190</v>
      </c>
      <c r="C3845" t="s">
        <v>12191</v>
      </c>
      <c r="D3845" t="s">
        <v>12182</v>
      </c>
      <c r="E3845">
        <v>28</v>
      </c>
      <c r="F3845" t="str">
        <f>HYPERLINK("https://github.com/PojavLauncherTeam/PojavLauncher/issues/2357", "show")</f>
        <v>show</v>
      </c>
      <c r="G3845" t="str">
        <f>HYPERLINK("https://github.com/PojavLauncherTeam/PojavLauncher", "show")</f>
        <v>show</v>
      </c>
      <c r="H3845" t="str">
        <f>HYPERLINK("https://github.com/PojavLauncherTeam/PojavLauncher/releases", "show")</f>
        <v>show</v>
      </c>
      <c r="I3845">
        <v>1</v>
      </c>
      <c r="J3845">
        <v>0</v>
      </c>
      <c r="K3845">
        <v>0</v>
      </c>
      <c r="L3845">
        <v>0</v>
      </c>
      <c r="M3845" t="s">
        <v>17</v>
      </c>
    </row>
    <row r="3846" spans="1:13" hidden="1" x14ac:dyDescent="0.15">
      <c r="A3846" t="s">
        <v>12192</v>
      </c>
      <c r="B3846" t="s">
        <v>12193</v>
      </c>
      <c r="C3846" t="s">
        <v>12194</v>
      </c>
      <c r="D3846" t="s">
        <v>12182</v>
      </c>
      <c r="E3846">
        <v>123</v>
      </c>
      <c r="F3846" t="str">
        <f>HYPERLINK("https://github.com/aws-amplify/amplify-android/issues/1599", "show")</f>
        <v>show</v>
      </c>
      <c r="G3846" t="str">
        <f>HYPERLINK("https://github.com/aws-amplify/amplify-android", "show")</f>
        <v>show</v>
      </c>
      <c r="H3846" t="str">
        <f>HYPERLINK("https://github.com/aws-amplify/amplify-android/releases", "show")</f>
        <v>show</v>
      </c>
      <c r="I3846">
        <v>1</v>
      </c>
      <c r="J3846">
        <v>0</v>
      </c>
      <c r="K3846">
        <v>1</v>
      </c>
      <c r="L3846">
        <v>0</v>
      </c>
      <c r="M3846" t="s">
        <v>64</v>
      </c>
    </row>
    <row r="3847" spans="1:13" x14ac:dyDescent="0.15">
      <c r="A3847" t="s">
        <v>12195</v>
      </c>
      <c r="B3847" t="s">
        <v>12196</v>
      </c>
      <c r="C3847" t="s">
        <v>12197</v>
      </c>
      <c r="D3847" t="s">
        <v>12198</v>
      </c>
      <c r="E3847">
        <v>0</v>
      </c>
      <c r="F3847" t="str">
        <f>HYPERLINK("https://github.com/Anuken/Mindustry/issues/6417", "show")</f>
        <v>show</v>
      </c>
      <c r="G3847" t="str">
        <f>HYPERLINK("https://github.com/Anuken/Mindustry", "show")</f>
        <v>show</v>
      </c>
      <c r="H3847" t="str">
        <f>HYPERLINK("https://github.com/Anuken/Mindustry/releases", "show")</f>
        <v>show</v>
      </c>
      <c r="I3847">
        <v>0</v>
      </c>
      <c r="J3847">
        <v>1</v>
      </c>
      <c r="K3847">
        <v>0</v>
      </c>
      <c r="L3847">
        <v>0</v>
      </c>
      <c r="M3847" t="s">
        <v>139</v>
      </c>
    </row>
    <row r="3848" spans="1:13" hidden="1" x14ac:dyDescent="0.15">
      <c r="A3848" t="s">
        <v>12199</v>
      </c>
      <c r="B3848" t="s">
        <v>12200</v>
      </c>
      <c r="C3848" t="s">
        <v>12201</v>
      </c>
      <c r="D3848" t="s">
        <v>12198</v>
      </c>
      <c r="E3848">
        <v>56</v>
      </c>
      <c r="F3848" t="str">
        <f>HYPERLINK("https://github.com/NordicSemiconductor/Android-BLE-Library/issues/338", "show")</f>
        <v>show</v>
      </c>
      <c r="G3848" t="str">
        <f>HYPERLINK("https://github.com/NordicSemiconductor/Android-BLE-Library", "show")</f>
        <v>show</v>
      </c>
      <c r="H3848" t="str">
        <f>HYPERLINK("https://github.com/NordicSemiconductor/Android-BLE-Library/releases", "show")</f>
        <v>show</v>
      </c>
      <c r="I3848">
        <v>0</v>
      </c>
      <c r="J3848">
        <v>0</v>
      </c>
      <c r="K3848">
        <v>1</v>
      </c>
      <c r="L3848">
        <v>0</v>
      </c>
      <c r="M3848" t="s">
        <v>122</v>
      </c>
    </row>
    <row r="3849" spans="1:13" hidden="1" x14ac:dyDescent="0.15">
      <c r="A3849" t="s">
        <v>12202</v>
      </c>
      <c r="B3849" t="s">
        <v>12203</v>
      </c>
      <c r="C3849" t="s">
        <v>12204</v>
      </c>
      <c r="D3849" t="s">
        <v>12198</v>
      </c>
      <c r="E3849">
        <v>2</v>
      </c>
      <c r="F3849" t="str">
        <f>HYPERLINK("https://github.com/PojavLauncherTeam/PojavLauncher/issues/2356", "show")</f>
        <v>show</v>
      </c>
      <c r="G3849" t="str">
        <f>HYPERLINK("https://github.com/PojavLauncherTeam/PojavLauncher", "show")</f>
        <v>show</v>
      </c>
      <c r="H3849" t="str">
        <f>HYPERLINK("https://github.com/PojavLauncherTeam/PojavLauncher/releases", "show")</f>
        <v>show</v>
      </c>
      <c r="I3849">
        <v>1</v>
      </c>
      <c r="J3849">
        <v>0</v>
      </c>
      <c r="K3849">
        <v>0</v>
      </c>
      <c r="L3849">
        <v>0</v>
      </c>
      <c r="M3849" t="s">
        <v>17</v>
      </c>
    </row>
    <row r="3850" spans="1:13" hidden="1" x14ac:dyDescent="0.15">
      <c r="A3850" t="s">
        <v>12205</v>
      </c>
      <c r="B3850" t="s">
        <v>12206</v>
      </c>
      <c r="C3850" t="s">
        <v>12207</v>
      </c>
      <c r="D3850" t="s">
        <v>12198</v>
      </c>
      <c r="E3850">
        <v>1</v>
      </c>
      <c r="F3850" t="str">
        <f>HYPERLINK("https://github.com/garrettramela/gwu-mobile-app/issues/5", "show")</f>
        <v>show</v>
      </c>
      <c r="G3850" t="str">
        <f>HYPERLINK("https://github.com/garrettramela/gwu-mobile-app", "show")</f>
        <v>show</v>
      </c>
      <c r="H3850" t="str">
        <f>HYPERLINK("https://github.com/garrettramela/gwu-mobile-app/releases", "show")</f>
        <v>show</v>
      </c>
      <c r="I3850">
        <v>1</v>
      </c>
      <c r="J3850">
        <v>0</v>
      </c>
      <c r="K3850">
        <v>0</v>
      </c>
      <c r="L3850">
        <v>0</v>
      </c>
      <c r="M3850" t="s">
        <v>17</v>
      </c>
    </row>
    <row r="3851" spans="1:13" hidden="1" x14ac:dyDescent="0.15">
      <c r="A3851" t="s">
        <v>12208</v>
      </c>
      <c r="B3851" t="s">
        <v>12209</v>
      </c>
      <c r="C3851" t="s">
        <v>12210</v>
      </c>
      <c r="D3851" t="s">
        <v>12198</v>
      </c>
      <c r="E3851">
        <v>29</v>
      </c>
      <c r="F3851" t="str">
        <f>HYPERLINK("https://github.com/PojavLauncherTeam/PojavLauncher/issues/2354", "show")</f>
        <v>show</v>
      </c>
      <c r="G3851" t="str">
        <f>HYPERLINK("https://github.com/PojavLauncherTeam/PojavLauncher", "show")</f>
        <v>show</v>
      </c>
      <c r="H3851" t="str">
        <f>HYPERLINK("https://github.com/PojavLauncherTeam/PojavLauncher/releases", "show")</f>
        <v>show</v>
      </c>
      <c r="I3851">
        <v>0</v>
      </c>
      <c r="J3851">
        <v>1</v>
      </c>
      <c r="K3851">
        <v>0</v>
      </c>
      <c r="L3851">
        <v>1</v>
      </c>
      <c r="M3851" t="s">
        <v>1732</v>
      </c>
    </row>
    <row r="3852" spans="1:13" hidden="1" x14ac:dyDescent="0.15">
      <c r="A3852" t="s">
        <v>12211</v>
      </c>
      <c r="B3852" t="s">
        <v>12212</v>
      </c>
      <c r="C3852" t="s">
        <v>12213</v>
      </c>
      <c r="D3852" t="s">
        <v>12214</v>
      </c>
      <c r="E3852">
        <v>2</v>
      </c>
      <c r="F3852" t="str">
        <f>HYPERLINK("https://github.com/TeamNewPipe/NewPipe/issues/7513", "show")</f>
        <v>show</v>
      </c>
      <c r="G3852" t="str">
        <f>HYPERLINK("https://github.com/TeamNewPipe/NewPipe", "show")</f>
        <v>show</v>
      </c>
      <c r="H3852" t="str">
        <f>HYPERLINK("https://github.com/TeamNewPipe/NewPipe/releases", "show")</f>
        <v>show</v>
      </c>
      <c r="I3852">
        <v>1</v>
      </c>
      <c r="J3852">
        <v>1</v>
      </c>
      <c r="K3852">
        <v>1</v>
      </c>
      <c r="L3852">
        <v>0</v>
      </c>
      <c r="M3852" t="s">
        <v>59</v>
      </c>
    </row>
    <row r="3853" spans="1:13" hidden="1" x14ac:dyDescent="0.15">
      <c r="A3853" t="s">
        <v>12215</v>
      </c>
      <c r="B3853" t="s">
        <v>12216</v>
      </c>
      <c r="C3853" t="s">
        <v>12217</v>
      </c>
      <c r="D3853" t="s">
        <v>12214</v>
      </c>
      <c r="E3853">
        <v>0</v>
      </c>
      <c r="F3853" t="str">
        <f>HYPERLINK("https://github.com/TeamNewPipe/NewPipe/issues/7511", "show")</f>
        <v>show</v>
      </c>
      <c r="G3853" t="str">
        <f>HYPERLINK("https://github.com/TeamNewPipe/NewPipe", "show")</f>
        <v>show</v>
      </c>
      <c r="H3853" t="str">
        <f>HYPERLINK("https://github.com/TeamNewPipe/NewPipe/releases", "show")</f>
        <v>show</v>
      </c>
      <c r="I3853">
        <v>1</v>
      </c>
      <c r="J3853">
        <v>1</v>
      </c>
      <c r="K3853">
        <v>1</v>
      </c>
      <c r="L3853">
        <v>0</v>
      </c>
      <c r="M3853" t="s">
        <v>59</v>
      </c>
    </row>
    <row r="3854" spans="1:13" hidden="1" x14ac:dyDescent="0.15">
      <c r="A3854" t="s">
        <v>12218</v>
      </c>
      <c r="B3854" t="s">
        <v>12219</v>
      </c>
      <c r="C3854" t="s">
        <v>12220</v>
      </c>
      <c r="D3854" t="s">
        <v>12214</v>
      </c>
      <c r="E3854">
        <v>1</v>
      </c>
      <c r="F3854" t="str">
        <f>HYPERLINK("https://github.com/PojavLauncherTeam/PojavLauncher/issues/2347", "show")</f>
        <v>show</v>
      </c>
      <c r="G3854" t="str">
        <f>HYPERLINK("https://github.com/PojavLauncherTeam/PojavLauncher", "show")</f>
        <v>show</v>
      </c>
      <c r="H3854" t="str">
        <f>HYPERLINK("https://github.com/PojavLauncherTeam/PojavLauncher/releases", "show")</f>
        <v>show</v>
      </c>
      <c r="I3854">
        <v>1</v>
      </c>
      <c r="J3854">
        <v>1</v>
      </c>
      <c r="K3854">
        <v>0</v>
      </c>
      <c r="L3854">
        <v>0</v>
      </c>
      <c r="M3854" t="s">
        <v>48</v>
      </c>
    </row>
    <row r="3855" spans="1:13" x14ac:dyDescent="0.15">
      <c r="A3855" t="s">
        <v>12221</v>
      </c>
      <c r="B3855" t="s">
        <v>12222</v>
      </c>
      <c r="C3855" t="s">
        <v>12223</v>
      </c>
      <c r="D3855" t="s">
        <v>12224</v>
      </c>
      <c r="E3855">
        <v>3</v>
      </c>
      <c r="F3855" t="str">
        <f>HYPERLINK("https://github.com/nextcloud/android/issues/9472", "show")</f>
        <v>show</v>
      </c>
      <c r="G3855" t="str">
        <f>HYPERLINK("https://github.com/nextcloud/android", "show")</f>
        <v>show</v>
      </c>
      <c r="H3855" t="str">
        <f>HYPERLINK("https://github.com/nextcloud/android/releases", "show")</f>
        <v>show</v>
      </c>
      <c r="I3855">
        <v>0</v>
      </c>
      <c r="J3855">
        <v>1</v>
      </c>
      <c r="K3855">
        <v>0</v>
      </c>
      <c r="L3855">
        <v>0</v>
      </c>
      <c r="M3855" t="s">
        <v>139</v>
      </c>
    </row>
    <row r="3856" spans="1:13" hidden="1" x14ac:dyDescent="0.15">
      <c r="A3856" t="s">
        <v>12225</v>
      </c>
      <c r="B3856" t="s">
        <v>12226</v>
      </c>
      <c r="C3856" t="s">
        <v>12227</v>
      </c>
      <c r="D3856" t="s">
        <v>12228</v>
      </c>
      <c r="E3856">
        <v>32</v>
      </c>
      <c r="F3856" t="str">
        <f>HYPERLINK("https://github.com/PojavLauncherTeam/PojavLauncher/issues/2342", "show")</f>
        <v>show</v>
      </c>
      <c r="G3856" t="str">
        <f>HYPERLINK("https://github.com/PojavLauncherTeam/PojavLauncher", "show")</f>
        <v>show</v>
      </c>
      <c r="H3856" t="str">
        <f>HYPERLINK("https://github.com/PojavLauncherTeam/PojavLauncher/releases", "show")</f>
        <v>show</v>
      </c>
      <c r="I3856">
        <v>1</v>
      </c>
      <c r="J3856">
        <v>0</v>
      </c>
      <c r="K3856">
        <v>1</v>
      </c>
      <c r="L3856">
        <v>0</v>
      </c>
      <c r="M3856" t="s">
        <v>64</v>
      </c>
    </row>
    <row r="3857" spans="1:13" hidden="1" x14ac:dyDescent="0.15">
      <c r="A3857" t="s">
        <v>12229</v>
      </c>
      <c r="B3857" t="s">
        <v>12230</v>
      </c>
      <c r="C3857" t="s">
        <v>12231</v>
      </c>
      <c r="D3857" t="s">
        <v>12228</v>
      </c>
      <c r="E3857">
        <v>19</v>
      </c>
      <c r="F3857" t="str">
        <f>HYPERLINK("https://github.com/muralimanohar2002/Chatting-App/issues/3", "show")</f>
        <v>show</v>
      </c>
      <c r="G3857" t="str">
        <f>HYPERLINK("https://github.com/muralimanohar2002/Chatting-App", "show")</f>
        <v>show</v>
      </c>
      <c r="H3857" t="str">
        <f>HYPERLINK("https://github.com/muralimanohar2002/Chatting-App/releases", "show")</f>
        <v>show</v>
      </c>
      <c r="I3857">
        <v>1</v>
      </c>
      <c r="J3857">
        <v>0</v>
      </c>
      <c r="K3857">
        <v>0</v>
      </c>
      <c r="L3857">
        <v>0</v>
      </c>
      <c r="M3857" t="s">
        <v>17</v>
      </c>
    </row>
    <row r="3858" spans="1:13" hidden="1" x14ac:dyDescent="0.15">
      <c r="A3858" t="s">
        <v>12232</v>
      </c>
      <c r="B3858" t="s">
        <v>12233</v>
      </c>
      <c r="C3858" t="s">
        <v>12234</v>
      </c>
      <c r="D3858" t="s">
        <v>12228</v>
      </c>
      <c r="E3858">
        <v>0</v>
      </c>
      <c r="F3858" t="str">
        <f>HYPERLINK("https://github.com/BloodCall/BloodCall/issues/13", "show")</f>
        <v>show</v>
      </c>
      <c r="G3858" t="str">
        <f>HYPERLINK("https://github.com/BloodCall/BloodCall", "show")</f>
        <v>show</v>
      </c>
      <c r="H3858" t="str">
        <f>HYPERLINK("https://github.com/BloodCall/BloodCall/releases", "show")</f>
        <v>show</v>
      </c>
      <c r="I3858">
        <v>0</v>
      </c>
      <c r="J3858">
        <v>0</v>
      </c>
      <c r="K3858">
        <v>0</v>
      </c>
      <c r="L3858">
        <v>0</v>
      </c>
      <c r="M3858" t="s">
        <v>43</v>
      </c>
    </row>
    <row r="3859" spans="1:13" hidden="1" x14ac:dyDescent="0.15">
      <c r="A3859" t="s">
        <v>12235</v>
      </c>
      <c r="B3859" t="s">
        <v>12236</v>
      </c>
      <c r="C3859" t="s">
        <v>12237</v>
      </c>
      <c r="D3859" t="s">
        <v>12228</v>
      </c>
      <c r="E3859">
        <v>0</v>
      </c>
      <c r="F3859" t="str">
        <f>HYPERLINK("https://github.com/PojavLauncherTeam/PojavLauncher/issues/2336", "show")</f>
        <v>show</v>
      </c>
      <c r="G3859" t="str">
        <f>HYPERLINK("https://github.com/PojavLauncherTeam/PojavLauncher", "show")</f>
        <v>show</v>
      </c>
      <c r="H3859" t="str">
        <f>HYPERLINK("https://github.com/PojavLauncherTeam/PojavLauncher/releases", "show")</f>
        <v>show</v>
      </c>
      <c r="I3859">
        <v>1</v>
      </c>
      <c r="J3859">
        <v>1</v>
      </c>
      <c r="K3859">
        <v>1</v>
      </c>
      <c r="L3859">
        <v>0</v>
      </c>
      <c r="M3859" t="s">
        <v>59</v>
      </c>
    </row>
    <row r="3860" spans="1:13" hidden="1" x14ac:dyDescent="0.15">
      <c r="A3860" t="s">
        <v>12238</v>
      </c>
      <c r="B3860" t="s">
        <v>12239</v>
      </c>
      <c r="C3860" t="s">
        <v>12240</v>
      </c>
      <c r="D3860" t="s">
        <v>12241</v>
      </c>
      <c r="E3860">
        <v>33</v>
      </c>
      <c r="F3860" t="str">
        <f>HYPERLINK("https://github.com/PojavLauncherTeam/PojavLauncher/issues/2332", "show")</f>
        <v>show</v>
      </c>
      <c r="G3860" t="str">
        <f>HYPERLINK("https://github.com/PojavLauncherTeam/PojavLauncher", "show")</f>
        <v>show</v>
      </c>
      <c r="H3860" t="str">
        <f>HYPERLINK("https://github.com/PojavLauncherTeam/PojavLauncher/releases", "show")</f>
        <v>show</v>
      </c>
      <c r="I3860">
        <v>1</v>
      </c>
      <c r="J3860">
        <v>1</v>
      </c>
      <c r="K3860">
        <v>0</v>
      </c>
      <c r="L3860">
        <v>0</v>
      </c>
      <c r="M3860" t="s">
        <v>48</v>
      </c>
    </row>
    <row r="3861" spans="1:13" hidden="1" x14ac:dyDescent="0.15">
      <c r="A3861" t="s">
        <v>12242</v>
      </c>
      <c r="B3861" t="s">
        <v>12243</v>
      </c>
      <c r="C3861" t="s">
        <v>12244</v>
      </c>
      <c r="D3861" t="s">
        <v>12241</v>
      </c>
      <c r="E3861">
        <v>8</v>
      </c>
      <c r="F3861" t="str">
        <f>HYPERLINK("https://github.com/cgeo/cgeo/issues/12242", "show")</f>
        <v>show</v>
      </c>
      <c r="G3861" t="str">
        <f>HYPERLINK("https://github.com/cgeo/cgeo", "show")</f>
        <v>show</v>
      </c>
      <c r="H3861" t="str">
        <f>HYPERLINK("https://github.com/cgeo/cgeo/releases", "show")</f>
        <v>show</v>
      </c>
      <c r="I3861">
        <v>1</v>
      </c>
      <c r="J3861">
        <v>1</v>
      </c>
      <c r="K3861">
        <v>1</v>
      </c>
      <c r="L3861">
        <v>0</v>
      </c>
      <c r="M3861" t="s">
        <v>59</v>
      </c>
    </row>
    <row r="3862" spans="1:13" hidden="1" x14ac:dyDescent="0.15">
      <c r="A3862" t="s">
        <v>12245</v>
      </c>
      <c r="B3862" t="s">
        <v>12246</v>
      </c>
      <c r="C3862" t="s">
        <v>12247</v>
      </c>
      <c r="D3862" t="s">
        <v>12241</v>
      </c>
      <c r="E3862">
        <v>33</v>
      </c>
      <c r="F3862" t="str">
        <f>HYPERLINK("https://github.com/PojavLauncherTeam/PojavLauncher/issues/2330", "show")</f>
        <v>show</v>
      </c>
      <c r="G3862" t="str">
        <f>HYPERLINK("https://github.com/PojavLauncherTeam/PojavLauncher", "show")</f>
        <v>show</v>
      </c>
      <c r="H3862" t="str">
        <f>HYPERLINK("https://github.com/PojavLauncherTeam/PojavLauncher/releases", "show")</f>
        <v>show</v>
      </c>
      <c r="I3862">
        <v>1</v>
      </c>
      <c r="J3862">
        <v>0</v>
      </c>
      <c r="K3862">
        <v>0</v>
      </c>
      <c r="L3862">
        <v>0</v>
      </c>
      <c r="M3862" t="s">
        <v>17</v>
      </c>
    </row>
    <row r="3863" spans="1:13" hidden="1" x14ac:dyDescent="0.15">
      <c r="A3863" t="s">
        <v>12248</v>
      </c>
      <c r="B3863" t="s">
        <v>12249</v>
      </c>
      <c r="C3863" t="s">
        <v>12250</v>
      </c>
      <c r="D3863" t="s">
        <v>12241</v>
      </c>
      <c r="E3863">
        <v>0</v>
      </c>
      <c r="F3863" t="str">
        <f>HYPERLINK("https://github.com/PojavLauncherTeam/PojavLauncher/issues/2329", "show")</f>
        <v>show</v>
      </c>
      <c r="G3863" t="str">
        <f>HYPERLINK("https://github.com/PojavLauncherTeam/PojavLauncher", "show")</f>
        <v>show</v>
      </c>
      <c r="H3863" t="str">
        <f>HYPERLINK("https://github.com/PojavLauncherTeam/PojavLauncher/releases", "show")</f>
        <v>show</v>
      </c>
      <c r="I3863">
        <v>1</v>
      </c>
      <c r="J3863">
        <v>1</v>
      </c>
      <c r="K3863">
        <v>0</v>
      </c>
      <c r="L3863">
        <v>0</v>
      </c>
      <c r="M3863" t="s">
        <v>48</v>
      </c>
    </row>
    <row r="3864" spans="1:13" hidden="1" x14ac:dyDescent="0.15">
      <c r="A3864" t="s">
        <v>12251</v>
      </c>
      <c r="B3864" t="s">
        <v>12252</v>
      </c>
      <c r="C3864" t="s">
        <v>12253</v>
      </c>
      <c r="D3864" t="s">
        <v>12241</v>
      </c>
      <c r="E3864">
        <v>39</v>
      </c>
      <c r="F3864" t="str">
        <f>HYPERLINK("https://github.com/MuntashirAkon/AppManager/issues/645", "show")</f>
        <v>show</v>
      </c>
      <c r="G3864" t="str">
        <f>HYPERLINK("https://github.com/MuntashirAkon/AppManager", "show")</f>
        <v>show</v>
      </c>
      <c r="H3864" t="str">
        <f>HYPERLINK("https://github.com/MuntashirAkon/AppManager/releases", "show")</f>
        <v>show</v>
      </c>
      <c r="I3864">
        <v>1</v>
      </c>
      <c r="J3864">
        <v>0</v>
      </c>
      <c r="K3864">
        <v>1</v>
      </c>
      <c r="L3864">
        <v>0</v>
      </c>
      <c r="M3864" t="s">
        <v>64</v>
      </c>
    </row>
    <row r="3865" spans="1:13" hidden="1" x14ac:dyDescent="0.15">
      <c r="A3865" t="s">
        <v>12254</v>
      </c>
      <c r="B3865" t="s">
        <v>12255</v>
      </c>
      <c r="C3865" t="s">
        <v>12256</v>
      </c>
      <c r="D3865" t="s">
        <v>12241</v>
      </c>
      <c r="E3865">
        <v>0</v>
      </c>
      <c r="F3865" t="str">
        <f>HYPERLINK("https://github.com/PojavLauncherTeam/PojavLauncher/issues/2327", "show")</f>
        <v>show</v>
      </c>
      <c r="G3865" t="str">
        <f>HYPERLINK("https://github.com/PojavLauncherTeam/PojavLauncher", "show")</f>
        <v>show</v>
      </c>
      <c r="H3865" t="str">
        <f>HYPERLINK("https://github.com/PojavLauncherTeam/PojavLauncher/releases", "show")</f>
        <v>show</v>
      </c>
      <c r="I3865">
        <v>1</v>
      </c>
      <c r="J3865">
        <v>1</v>
      </c>
      <c r="K3865">
        <v>0</v>
      </c>
      <c r="L3865">
        <v>1</v>
      </c>
      <c r="M3865" t="s">
        <v>1894</v>
      </c>
    </row>
    <row r="3866" spans="1:13" hidden="1" x14ac:dyDescent="0.15">
      <c r="A3866" t="s">
        <v>12257</v>
      </c>
      <c r="B3866" t="s">
        <v>12258</v>
      </c>
      <c r="C3866" t="s">
        <v>12185</v>
      </c>
      <c r="D3866" t="s">
        <v>12259</v>
      </c>
      <c r="E3866">
        <v>0</v>
      </c>
      <c r="F3866" t="str">
        <f>HYPERLINK("https://github.com/nextcloud/android/issues/9450", "show")</f>
        <v>show</v>
      </c>
      <c r="G3866" t="str">
        <f>HYPERLINK("https://github.com/nextcloud/android", "show")</f>
        <v>show</v>
      </c>
      <c r="H3866" t="str">
        <f>HYPERLINK("https://github.com/nextcloud/android/releases", "show")</f>
        <v>show</v>
      </c>
      <c r="I3866">
        <v>0</v>
      </c>
      <c r="J3866">
        <v>0</v>
      </c>
      <c r="K3866">
        <v>1</v>
      </c>
      <c r="L3866">
        <v>0</v>
      </c>
      <c r="M3866" t="s">
        <v>122</v>
      </c>
    </row>
    <row r="3867" spans="1:13" hidden="1" x14ac:dyDescent="0.15">
      <c r="A3867" t="s">
        <v>12260</v>
      </c>
      <c r="B3867" t="s">
        <v>12261</v>
      </c>
      <c r="C3867" t="s">
        <v>12262</v>
      </c>
      <c r="D3867" t="s">
        <v>12259</v>
      </c>
      <c r="E3867">
        <v>14</v>
      </c>
      <c r="F3867" t="str">
        <f>HYPERLINK("https://github.com/QGdev/OpenWeather/issues/1", "show")</f>
        <v>show</v>
      </c>
      <c r="G3867" t="str">
        <f>HYPERLINK("https://github.com/QGdev/OpenWeather", "show")</f>
        <v>show</v>
      </c>
      <c r="H3867" t="str">
        <f>HYPERLINK("https://github.com/QGdev/OpenWeather/releases", "show")</f>
        <v>show</v>
      </c>
      <c r="I3867">
        <v>1</v>
      </c>
      <c r="J3867">
        <v>0</v>
      </c>
      <c r="K3867">
        <v>0</v>
      </c>
      <c r="L3867">
        <v>0</v>
      </c>
      <c r="M3867" t="s">
        <v>17</v>
      </c>
    </row>
    <row r="3868" spans="1:13" hidden="1" x14ac:dyDescent="0.15">
      <c r="A3868" t="s">
        <v>12263</v>
      </c>
      <c r="B3868" t="s">
        <v>12264</v>
      </c>
      <c r="C3868" t="s">
        <v>12265</v>
      </c>
      <c r="D3868" t="s">
        <v>12259</v>
      </c>
      <c r="E3868">
        <v>5</v>
      </c>
      <c r="F3868" t="str">
        <f>HYPERLINK("https://github.com/florschBf/THB_TicTacToe/issues/24", "show")</f>
        <v>show</v>
      </c>
      <c r="G3868" t="str">
        <f>HYPERLINK("https://github.com/florschBf/THB_TicTacToe", "show")</f>
        <v>show</v>
      </c>
      <c r="H3868" t="str">
        <f>HYPERLINK("https://github.com/florschBf/THB_TicTacToe/releases", "show")</f>
        <v>show</v>
      </c>
      <c r="I3868">
        <v>0</v>
      </c>
      <c r="J3868">
        <v>0</v>
      </c>
      <c r="K3868">
        <v>0</v>
      </c>
      <c r="L3868">
        <v>0</v>
      </c>
      <c r="M3868" t="s">
        <v>43</v>
      </c>
    </row>
    <row r="3869" spans="1:13" hidden="1" x14ac:dyDescent="0.15">
      <c r="A3869" t="s">
        <v>12266</v>
      </c>
      <c r="B3869" t="s">
        <v>12267</v>
      </c>
      <c r="C3869" t="s">
        <v>12268</v>
      </c>
      <c r="D3869" t="s">
        <v>12259</v>
      </c>
      <c r="E3869">
        <v>0</v>
      </c>
      <c r="F3869" t="str">
        <f>HYPERLINK("https://github.com/nextcloud/android/issues/9441", "show")</f>
        <v>show</v>
      </c>
      <c r="G3869" t="str">
        <f>HYPERLINK("https://github.com/nextcloud/android", "show")</f>
        <v>show</v>
      </c>
      <c r="H3869" t="str">
        <f>HYPERLINK("https://github.com/nextcloud/android/releases", "show")</f>
        <v>show</v>
      </c>
      <c r="I3869">
        <v>1</v>
      </c>
      <c r="J3869">
        <v>1</v>
      </c>
      <c r="K3869">
        <v>1</v>
      </c>
      <c r="L3869">
        <v>0</v>
      </c>
      <c r="M3869" t="s">
        <v>59</v>
      </c>
    </row>
    <row r="3870" spans="1:13" hidden="1" x14ac:dyDescent="0.15">
      <c r="A3870" t="s">
        <v>12269</v>
      </c>
      <c r="B3870" t="s">
        <v>12270</v>
      </c>
      <c r="C3870" t="s">
        <v>12271</v>
      </c>
      <c r="D3870" t="s">
        <v>12259</v>
      </c>
      <c r="E3870">
        <v>4</v>
      </c>
      <c r="F3870" t="str">
        <f>HYPERLINK("https://github.com/TeamNewPipe/NewPipe/issues/7486", "show")</f>
        <v>show</v>
      </c>
      <c r="G3870" t="str">
        <f>HYPERLINK("https://github.com/TeamNewPipe/NewPipe", "show")</f>
        <v>show</v>
      </c>
      <c r="H3870" t="str">
        <f>HYPERLINK("https://github.com/TeamNewPipe/NewPipe/releases", "show")</f>
        <v>show</v>
      </c>
      <c r="I3870">
        <v>1</v>
      </c>
      <c r="J3870">
        <v>1</v>
      </c>
      <c r="K3870">
        <v>1</v>
      </c>
      <c r="L3870">
        <v>0</v>
      </c>
      <c r="M3870" t="s">
        <v>59</v>
      </c>
    </row>
    <row r="3871" spans="1:13" hidden="1" x14ac:dyDescent="0.15">
      <c r="A3871" t="s">
        <v>12272</v>
      </c>
      <c r="B3871" t="s">
        <v>12273</v>
      </c>
      <c r="C3871" t="s">
        <v>12274</v>
      </c>
      <c r="D3871" t="s">
        <v>12275</v>
      </c>
      <c r="E3871">
        <v>0</v>
      </c>
      <c r="F3871" t="str">
        <f>HYPERLINK("https://github.com/nadavsuissa/WeStudent/issues/19", "show")</f>
        <v>show</v>
      </c>
      <c r="G3871" t="str">
        <f>HYPERLINK("https://github.com/nadavsuissa/WeStudent", "show")</f>
        <v>show</v>
      </c>
      <c r="H3871" t="str">
        <f>HYPERLINK("https://github.com/nadavsuissa/WeStudent/releases", "show")</f>
        <v>show</v>
      </c>
      <c r="I3871">
        <v>1</v>
      </c>
      <c r="J3871">
        <v>0</v>
      </c>
      <c r="K3871">
        <v>0</v>
      </c>
      <c r="L3871">
        <v>0</v>
      </c>
      <c r="M3871" t="s">
        <v>17</v>
      </c>
    </row>
    <row r="3872" spans="1:13" hidden="1" x14ac:dyDescent="0.15">
      <c r="A3872" t="s">
        <v>12276</v>
      </c>
      <c r="B3872" t="s">
        <v>12277</v>
      </c>
      <c r="C3872" t="s">
        <v>12278</v>
      </c>
      <c r="D3872" t="s">
        <v>12275</v>
      </c>
      <c r="E3872">
        <v>112</v>
      </c>
      <c r="F3872" t="str">
        <f>HYPERLINK("https://github.com/deepjavalibrary/djl/issues/1398", "show")</f>
        <v>show</v>
      </c>
      <c r="G3872" t="str">
        <f>HYPERLINK("https://github.com/deepjavalibrary/djl", "show")</f>
        <v>show</v>
      </c>
      <c r="H3872" t="str">
        <f>HYPERLINK("https://github.com/deepjavalibrary/djl/releases", "show")</f>
        <v>show</v>
      </c>
      <c r="I3872">
        <v>0</v>
      </c>
      <c r="J3872">
        <v>0</v>
      </c>
      <c r="K3872">
        <v>0</v>
      </c>
      <c r="L3872">
        <v>0</v>
      </c>
      <c r="M3872" t="s">
        <v>43</v>
      </c>
    </row>
    <row r="3873" spans="1:13" hidden="1" x14ac:dyDescent="0.15">
      <c r="A3873" t="s">
        <v>12279</v>
      </c>
      <c r="B3873" t="s">
        <v>12280</v>
      </c>
      <c r="C3873" t="s">
        <v>12281</v>
      </c>
      <c r="D3873" t="s">
        <v>12282</v>
      </c>
      <c r="E3873">
        <v>0</v>
      </c>
      <c r="F3873" t="str">
        <f>HYPERLINK("https://github.com/cgeo/cgeo/issues/12211", "show")</f>
        <v>show</v>
      </c>
      <c r="G3873" t="str">
        <f>HYPERLINK("https://github.com/cgeo/cgeo", "show")</f>
        <v>show</v>
      </c>
      <c r="H3873" t="str">
        <f>HYPERLINK("https://github.com/cgeo/cgeo/releases", "show")</f>
        <v>show</v>
      </c>
      <c r="I3873">
        <v>1</v>
      </c>
      <c r="J3873">
        <v>0</v>
      </c>
      <c r="K3873">
        <v>1</v>
      </c>
      <c r="L3873">
        <v>0</v>
      </c>
      <c r="M3873" t="s">
        <v>64</v>
      </c>
    </row>
    <row r="3874" spans="1:13" hidden="1" x14ac:dyDescent="0.15">
      <c r="A3874" t="s">
        <v>12283</v>
      </c>
      <c r="B3874" t="s">
        <v>12284</v>
      </c>
      <c r="C3874" t="s">
        <v>12285</v>
      </c>
      <c r="D3874" t="s">
        <v>12282</v>
      </c>
      <c r="E3874">
        <v>0</v>
      </c>
      <c r="F3874" t="str">
        <f>HYPERLINK("https://github.com/Anuken/Mindustry/issues/6394", "show")</f>
        <v>show</v>
      </c>
      <c r="G3874" t="str">
        <f>HYPERLINK("https://github.com/Anuken/Mindustry", "show")</f>
        <v>show</v>
      </c>
      <c r="H3874" t="str">
        <f>HYPERLINK("https://github.com/Anuken/Mindustry/releases", "show")</f>
        <v>show</v>
      </c>
      <c r="I3874">
        <v>1</v>
      </c>
      <c r="J3874">
        <v>0</v>
      </c>
      <c r="K3874">
        <v>0</v>
      </c>
      <c r="L3874">
        <v>0</v>
      </c>
      <c r="M3874" t="s">
        <v>17</v>
      </c>
    </row>
    <row r="3875" spans="1:13" hidden="1" x14ac:dyDescent="0.15">
      <c r="A3875" t="s">
        <v>12286</v>
      </c>
      <c r="B3875" t="s">
        <v>12287</v>
      </c>
      <c r="C3875" t="s">
        <v>12288</v>
      </c>
      <c r="D3875" t="s">
        <v>12289</v>
      </c>
      <c r="E3875">
        <v>0</v>
      </c>
      <c r="F3875" t="str">
        <f>HYPERLINK("https://github.com/TeamNewPipe/NewPipe/issues/7470", "show")</f>
        <v>show</v>
      </c>
      <c r="G3875" t="str">
        <f>HYPERLINK("https://github.com/TeamNewPipe/NewPipe", "show")</f>
        <v>show</v>
      </c>
      <c r="H3875" t="str">
        <f>HYPERLINK("https://github.com/TeamNewPipe/NewPipe/releases", "show")</f>
        <v>show</v>
      </c>
      <c r="I3875">
        <v>1</v>
      </c>
      <c r="J3875">
        <v>1</v>
      </c>
      <c r="K3875">
        <v>1</v>
      </c>
      <c r="L3875">
        <v>1</v>
      </c>
      <c r="M3875" t="s">
        <v>2875</v>
      </c>
    </row>
    <row r="3876" spans="1:13" hidden="1" x14ac:dyDescent="0.15">
      <c r="A3876" t="s">
        <v>12290</v>
      </c>
      <c r="B3876" t="s">
        <v>12291</v>
      </c>
      <c r="C3876" t="s">
        <v>12292</v>
      </c>
      <c r="D3876" t="s">
        <v>12289</v>
      </c>
      <c r="E3876">
        <v>0</v>
      </c>
      <c r="F3876" t="str">
        <f>HYPERLINK("https://github.com/PojavLauncherTeam/PojavLauncher/issues/2307", "show")</f>
        <v>show</v>
      </c>
      <c r="G3876" t="str">
        <f>HYPERLINK("https://github.com/PojavLauncherTeam/PojavLauncher", "show")</f>
        <v>show</v>
      </c>
      <c r="H3876" t="str">
        <f>HYPERLINK("https://github.com/PojavLauncherTeam/PojavLauncher/releases", "show")</f>
        <v>show</v>
      </c>
      <c r="I3876">
        <v>1</v>
      </c>
      <c r="J3876">
        <v>1</v>
      </c>
      <c r="K3876">
        <v>0</v>
      </c>
      <c r="L3876">
        <v>1</v>
      </c>
      <c r="M3876" t="s">
        <v>1894</v>
      </c>
    </row>
    <row r="3877" spans="1:13" hidden="1" x14ac:dyDescent="0.15">
      <c r="A3877" t="s">
        <v>12293</v>
      </c>
      <c r="B3877" t="s">
        <v>12294</v>
      </c>
      <c r="C3877" t="s">
        <v>12295</v>
      </c>
      <c r="D3877" t="s">
        <v>12289</v>
      </c>
      <c r="E3877">
        <v>9</v>
      </c>
      <c r="F3877" t="str">
        <f>HYPERLINK("https://github.com/nextcloud/android/issues/9400", "show")</f>
        <v>show</v>
      </c>
      <c r="G3877" t="str">
        <f>HYPERLINK("https://github.com/nextcloud/android", "show")</f>
        <v>show</v>
      </c>
      <c r="H3877" t="str">
        <f>HYPERLINK("https://github.com/nextcloud/android/releases", "show")</f>
        <v>show</v>
      </c>
      <c r="I3877">
        <v>0</v>
      </c>
      <c r="J3877">
        <v>1</v>
      </c>
      <c r="K3877">
        <v>1</v>
      </c>
      <c r="L3877">
        <v>0</v>
      </c>
      <c r="M3877" t="s">
        <v>699</v>
      </c>
    </row>
    <row r="3878" spans="1:13" hidden="1" x14ac:dyDescent="0.15">
      <c r="A3878" t="s">
        <v>12296</v>
      </c>
      <c r="B3878" t="s">
        <v>12297</v>
      </c>
      <c r="C3878" t="s">
        <v>12298</v>
      </c>
      <c r="D3878" t="s">
        <v>12289</v>
      </c>
      <c r="E3878">
        <v>0</v>
      </c>
      <c r="F3878" t="str">
        <f>HYPERLINK("https://github.com/Anuken/Mindustry/issues/6389", "show")</f>
        <v>show</v>
      </c>
      <c r="G3878" t="str">
        <f>HYPERLINK("https://github.com/Anuken/Mindustry", "show")</f>
        <v>show</v>
      </c>
      <c r="H3878" t="str">
        <f>HYPERLINK("https://github.com/Anuken/Mindustry/releases", "show")</f>
        <v>show</v>
      </c>
      <c r="I3878">
        <v>1</v>
      </c>
      <c r="J3878">
        <v>0</v>
      </c>
      <c r="K3878">
        <v>0</v>
      </c>
      <c r="L3878">
        <v>0</v>
      </c>
      <c r="M3878" t="s">
        <v>17</v>
      </c>
    </row>
    <row r="3879" spans="1:13" hidden="1" x14ac:dyDescent="0.15">
      <c r="A3879" t="s">
        <v>12299</v>
      </c>
      <c r="B3879" t="s">
        <v>12300</v>
      </c>
      <c r="C3879" t="s">
        <v>12301</v>
      </c>
      <c r="D3879" t="s">
        <v>12289</v>
      </c>
      <c r="E3879">
        <v>8</v>
      </c>
      <c r="F3879" t="str">
        <f>HYPERLINK("https://github.com/deltachat/deltachat-android/issues/2156", "show")</f>
        <v>show</v>
      </c>
      <c r="G3879" t="str">
        <f>HYPERLINK("https://github.com/deltachat/deltachat-android", "show")</f>
        <v>show</v>
      </c>
      <c r="H3879" t="str">
        <f>HYPERLINK("https://github.com/deltachat/deltachat-android/releases", "show")</f>
        <v>show</v>
      </c>
      <c r="I3879">
        <v>1</v>
      </c>
      <c r="J3879">
        <v>1</v>
      </c>
      <c r="K3879">
        <v>1</v>
      </c>
      <c r="L3879">
        <v>0</v>
      </c>
      <c r="M3879" t="s">
        <v>59</v>
      </c>
    </row>
    <row r="3880" spans="1:13" hidden="1" x14ac:dyDescent="0.15">
      <c r="A3880" t="s">
        <v>12302</v>
      </c>
      <c r="B3880" t="s">
        <v>12303</v>
      </c>
      <c r="C3880" t="s">
        <v>12304</v>
      </c>
      <c r="D3880" t="s">
        <v>12305</v>
      </c>
      <c r="E3880">
        <v>0</v>
      </c>
      <c r="F3880" t="str">
        <f>HYPERLINK("https://github.com/MuntashirAkon/AppManager/issues/638", "show")</f>
        <v>show</v>
      </c>
      <c r="G3880" t="str">
        <f>HYPERLINK("https://github.com/MuntashirAkon/AppManager", "show")</f>
        <v>show</v>
      </c>
      <c r="H3880" t="str">
        <f>HYPERLINK("https://github.com/MuntashirAkon/AppManager/releases", "show")</f>
        <v>show</v>
      </c>
      <c r="I3880">
        <v>0</v>
      </c>
      <c r="J3880">
        <v>0</v>
      </c>
      <c r="K3880">
        <v>1</v>
      </c>
      <c r="L3880">
        <v>0</v>
      </c>
      <c r="M3880" t="s">
        <v>122</v>
      </c>
    </row>
    <row r="3881" spans="1:13" hidden="1" x14ac:dyDescent="0.15">
      <c r="A3881" t="s">
        <v>12306</v>
      </c>
      <c r="B3881" t="s">
        <v>12307</v>
      </c>
      <c r="C3881" t="s">
        <v>12308</v>
      </c>
      <c r="D3881" t="s">
        <v>12305</v>
      </c>
      <c r="E3881">
        <v>137</v>
      </c>
      <c r="F3881" t="str">
        <f>HYPERLINK("https://github.com/oliexdev/openScale/issues/803", "show")</f>
        <v>show</v>
      </c>
      <c r="G3881" t="str">
        <f>HYPERLINK("https://github.com/oliexdev/openScale", "show")</f>
        <v>show</v>
      </c>
      <c r="H3881" t="str">
        <f>HYPERLINK("https://github.com/oliexdev/openScale/releases", "show")</f>
        <v>show</v>
      </c>
      <c r="I3881">
        <v>1</v>
      </c>
      <c r="J3881">
        <v>0</v>
      </c>
      <c r="K3881">
        <v>1</v>
      </c>
      <c r="L3881">
        <v>0</v>
      </c>
      <c r="M3881" t="s">
        <v>64</v>
      </c>
    </row>
    <row r="3882" spans="1:13" hidden="1" x14ac:dyDescent="0.15">
      <c r="A3882" t="s">
        <v>12309</v>
      </c>
      <c r="B3882" t="s">
        <v>12310</v>
      </c>
      <c r="C3882" t="s">
        <v>12185</v>
      </c>
      <c r="D3882" t="s">
        <v>12305</v>
      </c>
      <c r="E3882">
        <v>14</v>
      </c>
      <c r="F3882" t="str">
        <f>HYPERLINK("https://github.com/nextcloud/android/issues/9390", "show")</f>
        <v>show</v>
      </c>
      <c r="G3882" t="str">
        <f>HYPERLINK("https://github.com/nextcloud/android", "show")</f>
        <v>show</v>
      </c>
      <c r="H3882" t="str">
        <f>HYPERLINK("https://github.com/nextcloud/android/releases", "show")</f>
        <v>show</v>
      </c>
      <c r="I3882">
        <v>0</v>
      </c>
      <c r="J3882">
        <v>0</v>
      </c>
      <c r="K3882">
        <v>1</v>
      </c>
      <c r="L3882">
        <v>0</v>
      </c>
      <c r="M3882" t="s">
        <v>122</v>
      </c>
    </row>
    <row r="3883" spans="1:13" hidden="1" x14ac:dyDescent="0.15">
      <c r="A3883" t="s">
        <v>12311</v>
      </c>
      <c r="B3883" t="s">
        <v>12312</v>
      </c>
      <c r="C3883" t="s">
        <v>12313</v>
      </c>
      <c r="D3883" t="s">
        <v>12305</v>
      </c>
      <c r="E3883">
        <v>63</v>
      </c>
      <c r="F3883" t="str">
        <f>HYPERLINK("https://github.com/Neamar/KISS/issues/1839", "show")</f>
        <v>show</v>
      </c>
      <c r="G3883" t="str">
        <f>HYPERLINK("https://github.com/Neamar/KISS", "show")</f>
        <v>show</v>
      </c>
      <c r="H3883" t="str">
        <f>HYPERLINK("https://github.com/Neamar/KISS/releases", "show")</f>
        <v>show</v>
      </c>
      <c r="I3883">
        <v>1</v>
      </c>
      <c r="J3883">
        <v>1</v>
      </c>
      <c r="K3883">
        <v>0</v>
      </c>
      <c r="L3883">
        <v>1</v>
      </c>
      <c r="M3883" t="s">
        <v>1894</v>
      </c>
    </row>
    <row r="3884" spans="1:13" hidden="1" x14ac:dyDescent="0.15">
      <c r="A3884" t="s">
        <v>12314</v>
      </c>
      <c r="B3884" t="s">
        <v>12315</v>
      </c>
      <c r="C3884" t="s">
        <v>12316</v>
      </c>
      <c r="D3884" t="s">
        <v>12305</v>
      </c>
      <c r="E3884">
        <v>0</v>
      </c>
      <c r="F3884" t="str">
        <f>HYPERLINK("https://github.com/PojavLauncherTeam/PojavLauncher/issues/2298", "show")</f>
        <v>show</v>
      </c>
      <c r="G3884" t="str">
        <f>HYPERLINK("https://github.com/PojavLauncherTeam/PojavLauncher", "show")</f>
        <v>show</v>
      </c>
      <c r="H3884" t="str">
        <f>HYPERLINK("https://github.com/PojavLauncherTeam/PojavLauncher/releases", "show")</f>
        <v>show</v>
      </c>
      <c r="I3884">
        <v>0</v>
      </c>
      <c r="J3884">
        <v>0</v>
      </c>
      <c r="K3884">
        <v>0</v>
      </c>
      <c r="L3884">
        <v>0</v>
      </c>
      <c r="M3884" t="s">
        <v>43</v>
      </c>
    </row>
    <row r="3885" spans="1:13" hidden="1" x14ac:dyDescent="0.15">
      <c r="A3885" t="s">
        <v>12317</v>
      </c>
      <c r="B3885" t="s">
        <v>12318</v>
      </c>
      <c r="C3885" t="s">
        <v>12319</v>
      </c>
      <c r="D3885" t="s">
        <v>12305</v>
      </c>
      <c r="E3885">
        <v>0</v>
      </c>
      <c r="F3885" t="str">
        <f>HYPERLINK("https://github.com/CMPUT301F21T23/HabitTracker/issues/191", "show")</f>
        <v>show</v>
      </c>
      <c r="G3885" t="str">
        <f>HYPERLINK("https://github.com/CMPUT301F21T23/HabitTracker", "show")</f>
        <v>show</v>
      </c>
      <c r="H3885" t="str">
        <f>HYPERLINK("https://github.com/CMPUT301F21T23/HabitTracker/releases", "show")</f>
        <v>show</v>
      </c>
      <c r="I3885">
        <v>1</v>
      </c>
      <c r="J3885">
        <v>0</v>
      </c>
      <c r="K3885">
        <v>0</v>
      </c>
      <c r="L3885">
        <v>0</v>
      </c>
      <c r="M3885" t="s">
        <v>17</v>
      </c>
    </row>
    <row r="3886" spans="1:13" hidden="1" x14ac:dyDescent="0.15">
      <c r="A3886" t="s">
        <v>12320</v>
      </c>
      <c r="B3886" t="s">
        <v>12321</v>
      </c>
      <c r="C3886" t="s">
        <v>12322</v>
      </c>
      <c r="D3886" t="s">
        <v>12305</v>
      </c>
      <c r="E3886">
        <v>0</v>
      </c>
      <c r="F3886" t="str">
        <f>HYPERLINK("https://github.com/CMPUT301F21T09/BudgetProjectName/issues/279", "show")</f>
        <v>show</v>
      </c>
      <c r="G3886" t="str">
        <f>HYPERLINK("https://github.com/CMPUT301F21T09/BudgetProjectName", "show")</f>
        <v>show</v>
      </c>
      <c r="H3886" t="str">
        <f>HYPERLINK("https://github.com/CMPUT301F21T09/BudgetProjectName/releases", "show")</f>
        <v>show</v>
      </c>
      <c r="I3886">
        <v>1</v>
      </c>
      <c r="J3886">
        <v>1</v>
      </c>
      <c r="K3886">
        <v>0</v>
      </c>
      <c r="L3886">
        <v>0</v>
      </c>
      <c r="M3886" t="s">
        <v>48</v>
      </c>
    </row>
    <row r="3887" spans="1:13" hidden="1" x14ac:dyDescent="0.15">
      <c r="A3887" t="s">
        <v>12323</v>
      </c>
      <c r="B3887" t="s">
        <v>12324</v>
      </c>
      <c r="C3887" t="s">
        <v>12325</v>
      </c>
      <c r="D3887" t="s">
        <v>12305</v>
      </c>
      <c r="E3887">
        <v>0</v>
      </c>
      <c r="F3887" t="str">
        <f>HYPERLINK("https://github.com/CMPUT301F21T23/HabitTracker/issues/188", "show")</f>
        <v>show</v>
      </c>
      <c r="G3887" t="str">
        <f>HYPERLINK("https://github.com/CMPUT301F21T23/HabitTracker", "show")</f>
        <v>show</v>
      </c>
      <c r="H3887" t="str">
        <f>HYPERLINK("https://github.com/CMPUT301F21T23/HabitTracker/releases", "show")</f>
        <v>show</v>
      </c>
      <c r="I3887">
        <v>1</v>
      </c>
      <c r="J3887">
        <v>0</v>
      </c>
      <c r="K3887">
        <v>0</v>
      </c>
      <c r="L3887">
        <v>0</v>
      </c>
      <c r="M3887" t="s">
        <v>17</v>
      </c>
    </row>
    <row r="3888" spans="1:13" hidden="1" x14ac:dyDescent="0.15">
      <c r="A3888" t="s">
        <v>12326</v>
      </c>
      <c r="B3888" t="s">
        <v>12327</v>
      </c>
      <c r="D3888" t="s">
        <v>12328</v>
      </c>
      <c r="E3888">
        <v>1</v>
      </c>
      <c r="F3888" t="str">
        <f>HYPERLINK("https://github.com/CMPUT301F21T41/Habbit/issues/119", "show")</f>
        <v>show</v>
      </c>
      <c r="G3888" t="str">
        <f>HYPERLINK("https://github.com/CMPUT301F21T41/Habbit", "show")</f>
        <v>show</v>
      </c>
      <c r="H3888" t="str">
        <f>HYPERLINK("https://github.com/CMPUT301F21T41/Habbit/releases", "show")</f>
        <v>show</v>
      </c>
      <c r="I3888">
        <v>1</v>
      </c>
      <c r="J3888">
        <v>0</v>
      </c>
      <c r="K3888">
        <v>0</v>
      </c>
      <c r="L3888">
        <v>0</v>
      </c>
      <c r="M3888" t="s">
        <v>17</v>
      </c>
    </row>
    <row r="3889" spans="1:13" hidden="1" x14ac:dyDescent="0.15">
      <c r="A3889" t="s">
        <v>12329</v>
      </c>
      <c r="B3889" t="s">
        <v>12330</v>
      </c>
      <c r="C3889" t="s">
        <v>12331</v>
      </c>
      <c r="D3889" t="s">
        <v>12328</v>
      </c>
      <c r="E3889">
        <v>1</v>
      </c>
      <c r="F3889" t="str">
        <f>HYPERLINK("https://github.com/CMPUT301F21T19/Habitappt/issues/262", "show")</f>
        <v>show</v>
      </c>
      <c r="G3889" t="str">
        <f>HYPERLINK("https://github.com/CMPUT301F21T19/Habitappt", "show")</f>
        <v>show</v>
      </c>
      <c r="H3889" t="str">
        <f>HYPERLINK("https://github.com/CMPUT301F21T19/Habitappt/releases", "show")</f>
        <v>show</v>
      </c>
      <c r="I3889">
        <v>0</v>
      </c>
      <c r="J3889">
        <v>0</v>
      </c>
      <c r="K3889">
        <v>0</v>
      </c>
      <c r="L3889">
        <v>0</v>
      </c>
      <c r="M3889" t="s">
        <v>43</v>
      </c>
    </row>
    <row r="3890" spans="1:13" hidden="1" x14ac:dyDescent="0.15">
      <c r="A3890" t="s">
        <v>12332</v>
      </c>
      <c r="B3890" t="s">
        <v>10882</v>
      </c>
      <c r="C3890" t="s">
        <v>12333</v>
      </c>
      <c r="D3890" t="s">
        <v>12328</v>
      </c>
      <c r="E3890">
        <v>39</v>
      </c>
      <c r="F3890" t="str">
        <f>HYPERLINK("https://github.com/PojavLauncherTeam/PojavLauncher/issues/2292", "show")</f>
        <v>show</v>
      </c>
      <c r="G3890" t="str">
        <f>HYPERLINK("https://github.com/PojavLauncherTeam/PojavLauncher", "show")</f>
        <v>show</v>
      </c>
      <c r="H3890" t="str">
        <f>HYPERLINK("https://github.com/PojavLauncherTeam/PojavLauncher/releases", "show")</f>
        <v>show</v>
      </c>
      <c r="I3890">
        <v>1</v>
      </c>
      <c r="J3890">
        <v>0</v>
      </c>
      <c r="K3890">
        <v>0</v>
      </c>
      <c r="L3890">
        <v>0</v>
      </c>
      <c r="M3890" t="s">
        <v>17</v>
      </c>
    </row>
    <row r="3891" spans="1:13" hidden="1" x14ac:dyDescent="0.15">
      <c r="A3891" t="s">
        <v>12334</v>
      </c>
      <c r="B3891" t="s">
        <v>12335</v>
      </c>
      <c r="C3891" t="s">
        <v>12336</v>
      </c>
      <c r="D3891" t="s">
        <v>12337</v>
      </c>
      <c r="E3891">
        <v>17</v>
      </c>
      <c r="F3891" t="str">
        <f>HYPERLINK("https://github.com/TeamNewPipe/NewPipe/issues/7452", "show")</f>
        <v>show</v>
      </c>
      <c r="G3891" t="str">
        <f>HYPERLINK("https://github.com/TeamNewPipe/NewPipe", "show")</f>
        <v>show</v>
      </c>
      <c r="H3891" t="str">
        <f>HYPERLINK("https://github.com/TeamNewPipe/NewPipe/releases", "show")</f>
        <v>show</v>
      </c>
      <c r="I3891">
        <v>0</v>
      </c>
      <c r="J3891">
        <v>1</v>
      </c>
      <c r="K3891">
        <v>0</v>
      </c>
      <c r="L3891">
        <v>1</v>
      </c>
      <c r="M3891" t="s">
        <v>1732</v>
      </c>
    </row>
    <row r="3892" spans="1:13" hidden="1" x14ac:dyDescent="0.15">
      <c r="A3892" t="s">
        <v>12338</v>
      </c>
      <c r="B3892" t="s">
        <v>12339</v>
      </c>
      <c r="C3892" t="s">
        <v>12340</v>
      </c>
      <c r="D3892" t="s">
        <v>12337</v>
      </c>
      <c r="E3892">
        <v>0</v>
      </c>
      <c r="F3892" t="str">
        <f>HYPERLINK("https://github.com/TeamNewPipe/NewPipe/issues/7450", "show")</f>
        <v>show</v>
      </c>
      <c r="G3892" t="str">
        <f>HYPERLINK("https://github.com/TeamNewPipe/NewPipe", "show")</f>
        <v>show</v>
      </c>
      <c r="H3892" t="str">
        <f>HYPERLINK("https://github.com/TeamNewPipe/NewPipe/releases", "show")</f>
        <v>show</v>
      </c>
      <c r="I3892">
        <v>1</v>
      </c>
      <c r="J3892">
        <v>1</v>
      </c>
      <c r="K3892">
        <v>1</v>
      </c>
      <c r="L3892">
        <v>0</v>
      </c>
      <c r="M3892" t="s">
        <v>59</v>
      </c>
    </row>
    <row r="3893" spans="1:13" hidden="1" x14ac:dyDescent="0.15">
      <c r="A3893" t="s">
        <v>12341</v>
      </c>
      <c r="B3893" t="s">
        <v>12342</v>
      </c>
      <c r="C3893" t="s">
        <v>12343</v>
      </c>
      <c r="D3893" t="s">
        <v>12337</v>
      </c>
      <c r="E3893">
        <v>0</v>
      </c>
      <c r="F3893" t="str">
        <f>HYPERLINK("https://github.com/PojavLauncherTeam/PojavLauncher/issues/2286", "show")</f>
        <v>show</v>
      </c>
      <c r="G3893" t="str">
        <f>HYPERLINK("https://github.com/PojavLauncherTeam/PojavLauncher", "show")</f>
        <v>show</v>
      </c>
      <c r="H3893" t="str">
        <f>HYPERLINK("https://github.com/PojavLauncherTeam/PojavLauncher/releases", "show")</f>
        <v>show</v>
      </c>
      <c r="I3893">
        <v>0</v>
      </c>
      <c r="J3893">
        <v>0</v>
      </c>
      <c r="K3893">
        <v>0</v>
      </c>
      <c r="L3893">
        <v>1</v>
      </c>
      <c r="M3893" t="s">
        <v>581</v>
      </c>
    </row>
    <row r="3894" spans="1:13" hidden="1" x14ac:dyDescent="0.15">
      <c r="A3894" t="s">
        <v>12344</v>
      </c>
      <c r="B3894" t="s">
        <v>12345</v>
      </c>
      <c r="D3894" t="s">
        <v>12346</v>
      </c>
      <c r="E3894">
        <v>4</v>
      </c>
      <c r="F3894" t="str">
        <f>HYPERLINK("https://github.com/CMPUT301F21T41/Habbit/issues/111", "show")</f>
        <v>show</v>
      </c>
      <c r="G3894" t="str">
        <f>HYPERLINK("https://github.com/CMPUT301F21T41/Habbit", "show")</f>
        <v>show</v>
      </c>
      <c r="H3894" t="str">
        <f>HYPERLINK("https://github.com/CMPUT301F21T41/Habbit/releases", "show")</f>
        <v>show</v>
      </c>
      <c r="I3894">
        <v>1</v>
      </c>
      <c r="J3894">
        <v>0</v>
      </c>
      <c r="K3894">
        <v>0</v>
      </c>
      <c r="L3894">
        <v>0</v>
      </c>
      <c r="M3894" t="s">
        <v>17</v>
      </c>
    </row>
    <row r="3895" spans="1:13" hidden="1" x14ac:dyDescent="0.15">
      <c r="A3895" t="s">
        <v>12347</v>
      </c>
      <c r="B3895" t="s">
        <v>12348</v>
      </c>
      <c r="C3895" t="s">
        <v>11701</v>
      </c>
      <c r="D3895" t="s">
        <v>12346</v>
      </c>
      <c r="E3895">
        <v>0</v>
      </c>
      <c r="F3895" t="str">
        <f>HYPERLINK("https://github.com/Anuken/Mindustry/issues/6381", "show")</f>
        <v>show</v>
      </c>
      <c r="G3895" t="str">
        <f>HYPERLINK("https://github.com/Anuken/Mindustry", "show")</f>
        <v>show</v>
      </c>
      <c r="H3895" t="str">
        <f>HYPERLINK("https://github.com/Anuken/Mindustry/releases", "show")</f>
        <v>show</v>
      </c>
      <c r="I3895">
        <v>1</v>
      </c>
      <c r="J3895">
        <v>1</v>
      </c>
      <c r="K3895">
        <v>0</v>
      </c>
      <c r="L3895">
        <v>0</v>
      </c>
      <c r="M3895" t="s">
        <v>48</v>
      </c>
    </row>
    <row r="3896" spans="1:13" hidden="1" x14ac:dyDescent="0.15">
      <c r="A3896" t="s">
        <v>12349</v>
      </c>
      <c r="B3896" t="s">
        <v>12350</v>
      </c>
      <c r="C3896" t="s">
        <v>12351</v>
      </c>
      <c r="D3896" t="s">
        <v>12346</v>
      </c>
      <c r="E3896">
        <v>0</v>
      </c>
      <c r="F3896" t="str">
        <f>HYPERLINK("https://github.com/Anuken/Mindustry/issues/6374", "show")</f>
        <v>show</v>
      </c>
      <c r="G3896" t="str">
        <f>HYPERLINK("https://github.com/Anuken/Mindustry", "show")</f>
        <v>show</v>
      </c>
      <c r="H3896" t="str">
        <f>HYPERLINK("https://github.com/Anuken/Mindustry/releases", "show")</f>
        <v>show</v>
      </c>
      <c r="I3896">
        <v>0</v>
      </c>
      <c r="J3896">
        <v>0</v>
      </c>
      <c r="K3896">
        <v>0</v>
      </c>
      <c r="L3896">
        <v>0</v>
      </c>
      <c r="M3896" t="s">
        <v>43</v>
      </c>
    </row>
    <row r="3897" spans="1:13" hidden="1" x14ac:dyDescent="0.15">
      <c r="A3897" t="s">
        <v>12352</v>
      </c>
      <c r="B3897" t="s">
        <v>12353</v>
      </c>
      <c r="C3897" t="s">
        <v>12354</v>
      </c>
      <c r="D3897" t="s">
        <v>12346</v>
      </c>
      <c r="E3897">
        <v>0</v>
      </c>
      <c r="F3897" t="str">
        <f>HYPERLINK("https://github.com/MuntashirAkon/AppManager/issues/633", "show")</f>
        <v>show</v>
      </c>
      <c r="G3897" t="str">
        <f>HYPERLINK("https://github.com/MuntashirAkon/AppManager", "show")</f>
        <v>show</v>
      </c>
      <c r="H3897" t="str">
        <f>HYPERLINK("https://github.com/MuntashirAkon/AppManager/releases", "show")</f>
        <v>show</v>
      </c>
      <c r="I3897">
        <v>1</v>
      </c>
      <c r="J3897">
        <v>0</v>
      </c>
      <c r="K3897">
        <v>0</v>
      </c>
      <c r="L3897">
        <v>0</v>
      </c>
      <c r="M3897" t="s">
        <v>17</v>
      </c>
    </row>
    <row r="3898" spans="1:13" hidden="1" x14ac:dyDescent="0.15">
      <c r="A3898" t="s">
        <v>12355</v>
      </c>
      <c r="B3898" t="s">
        <v>12356</v>
      </c>
      <c r="C3898" t="s">
        <v>11582</v>
      </c>
      <c r="D3898" t="s">
        <v>12357</v>
      </c>
      <c r="E3898">
        <v>6</v>
      </c>
      <c r="F3898" t="str">
        <f>HYPERLINK("https://github.com/nextcloud/android/issues/9365", "show")</f>
        <v>show</v>
      </c>
      <c r="G3898" t="str">
        <f>HYPERLINK("https://github.com/nextcloud/android", "show")</f>
        <v>show</v>
      </c>
      <c r="H3898" t="str">
        <f>HYPERLINK("https://github.com/nextcloud/android/releases", "show")</f>
        <v>show</v>
      </c>
      <c r="I3898">
        <v>1</v>
      </c>
      <c r="J3898">
        <v>1</v>
      </c>
      <c r="K3898">
        <v>0</v>
      </c>
      <c r="L3898">
        <v>0</v>
      </c>
      <c r="M3898" t="s">
        <v>48</v>
      </c>
    </row>
    <row r="3899" spans="1:13" hidden="1" x14ac:dyDescent="0.15">
      <c r="A3899" t="s">
        <v>12358</v>
      </c>
      <c r="B3899" t="s">
        <v>12359</v>
      </c>
      <c r="C3899" t="s">
        <v>12360</v>
      </c>
      <c r="D3899" t="s">
        <v>12357</v>
      </c>
      <c r="E3899">
        <v>0</v>
      </c>
      <c r="F3899" t="str">
        <f>HYPERLINK("https://github.com/Anuken/Mindustry/issues/6370", "show")</f>
        <v>show</v>
      </c>
      <c r="G3899" t="str">
        <f>HYPERLINK("https://github.com/Anuken/Mindustry", "show")</f>
        <v>show</v>
      </c>
      <c r="H3899" t="str">
        <f>HYPERLINK("https://github.com/Anuken/Mindustry/releases", "show")</f>
        <v>show</v>
      </c>
      <c r="I3899">
        <v>0</v>
      </c>
      <c r="J3899">
        <v>0</v>
      </c>
      <c r="K3899">
        <v>0</v>
      </c>
      <c r="L3899">
        <v>1</v>
      </c>
      <c r="M3899" t="s">
        <v>581</v>
      </c>
    </row>
    <row r="3900" spans="1:13" hidden="1" x14ac:dyDescent="0.15">
      <c r="A3900" t="s">
        <v>12361</v>
      </c>
      <c r="B3900" t="s">
        <v>12362</v>
      </c>
      <c r="D3900" t="s">
        <v>12357</v>
      </c>
      <c r="E3900">
        <v>5</v>
      </c>
      <c r="F3900" t="str">
        <f>HYPERLINK("https://github.com/dedis/popstellar/issues/624", "show")</f>
        <v>show</v>
      </c>
      <c r="G3900" t="str">
        <f>HYPERLINK("https://github.com/dedis/popstellar", "show")</f>
        <v>show</v>
      </c>
      <c r="H3900" t="str">
        <f>HYPERLINK("https://github.com/dedis/popstellar/releases", "show")</f>
        <v>show</v>
      </c>
      <c r="I3900">
        <v>0</v>
      </c>
      <c r="J3900">
        <v>0</v>
      </c>
      <c r="K3900">
        <v>0</v>
      </c>
      <c r="L3900">
        <v>0</v>
      </c>
      <c r="M3900" t="s">
        <v>43</v>
      </c>
    </row>
    <row r="3901" spans="1:13" hidden="1" x14ac:dyDescent="0.15">
      <c r="A3901" t="s">
        <v>12363</v>
      </c>
      <c r="B3901" t="s">
        <v>12364</v>
      </c>
      <c r="C3901" t="s">
        <v>12365</v>
      </c>
      <c r="D3901" t="s">
        <v>12357</v>
      </c>
      <c r="E3901">
        <v>20</v>
      </c>
      <c r="F3901" t="str">
        <f>HYPERLINK("https://github.com/OTTAA-Project/OTTAAProject/issues/109", "show")</f>
        <v>show</v>
      </c>
      <c r="G3901" t="str">
        <f>HYPERLINK("https://github.com/OTTAA-Project/OTTAAProject", "show")</f>
        <v>show</v>
      </c>
      <c r="H3901" t="str">
        <f>HYPERLINK("https://github.com/OTTAA-Project/OTTAAProject/releases", "show")</f>
        <v>show</v>
      </c>
      <c r="I3901">
        <v>1</v>
      </c>
      <c r="J3901">
        <v>0</v>
      </c>
      <c r="K3901">
        <v>0</v>
      </c>
      <c r="L3901">
        <v>0</v>
      </c>
      <c r="M3901" t="s">
        <v>17</v>
      </c>
    </row>
    <row r="3902" spans="1:13" hidden="1" x14ac:dyDescent="0.15">
      <c r="A3902" t="s">
        <v>12366</v>
      </c>
      <c r="B3902" t="s">
        <v>12367</v>
      </c>
      <c r="C3902" t="s">
        <v>12368</v>
      </c>
      <c r="D3902" t="s">
        <v>12357</v>
      </c>
      <c r="E3902">
        <v>5</v>
      </c>
      <c r="F3902" t="str">
        <f>HYPERLINK("https://github.com/SceneView/react-native-sceneform/issues/5", "show")</f>
        <v>show</v>
      </c>
      <c r="G3902" t="str">
        <f>HYPERLINK("https://github.com/SceneView/react-native-sceneform", "show")</f>
        <v>show</v>
      </c>
      <c r="H3902" t="str">
        <f>HYPERLINK("https://github.com/SceneView/react-native-sceneform/releases", "show")</f>
        <v>show</v>
      </c>
      <c r="I3902">
        <v>1</v>
      </c>
      <c r="J3902">
        <v>0</v>
      </c>
      <c r="K3902">
        <v>0</v>
      </c>
      <c r="L3902">
        <v>0</v>
      </c>
      <c r="M3902" t="s">
        <v>17</v>
      </c>
    </row>
    <row r="3903" spans="1:13" hidden="1" x14ac:dyDescent="0.15">
      <c r="A3903" t="s">
        <v>12369</v>
      </c>
      <c r="B3903" t="s">
        <v>12370</v>
      </c>
      <c r="C3903" t="s">
        <v>12371</v>
      </c>
      <c r="D3903" t="s">
        <v>12372</v>
      </c>
      <c r="E3903">
        <v>5</v>
      </c>
      <c r="F3903" t="str">
        <f>HYPERLINK("https://github.com/dedis/popstellar/issues/620", "show")</f>
        <v>show</v>
      </c>
      <c r="G3903" t="str">
        <f>HYPERLINK("https://github.com/dedis/popstellar", "show")</f>
        <v>show</v>
      </c>
      <c r="H3903" t="str">
        <f>HYPERLINK("https://github.com/dedis/popstellar/releases", "show")</f>
        <v>show</v>
      </c>
      <c r="I3903">
        <v>1</v>
      </c>
      <c r="J3903">
        <v>1</v>
      </c>
      <c r="K3903">
        <v>0</v>
      </c>
      <c r="L3903">
        <v>0</v>
      </c>
      <c r="M3903" t="s">
        <v>48</v>
      </c>
    </row>
    <row r="3904" spans="1:13" hidden="1" x14ac:dyDescent="0.15">
      <c r="A3904" t="s">
        <v>12373</v>
      </c>
      <c r="B3904" t="s">
        <v>12374</v>
      </c>
      <c r="C3904" t="s">
        <v>12375</v>
      </c>
      <c r="D3904" t="s">
        <v>12372</v>
      </c>
      <c r="E3904">
        <v>12</v>
      </c>
      <c r="F3904" t="str">
        <f>HYPERLINK("https://github.com/brodeurlv/fastnfitness/issues/240", "show")</f>
        <v>show</v>
      </c>
      <c r="G3904" t="str">
        <f>HYPERLINK("https://github.com/brodeurlv/fastnfitness", "show")</f>
        <v>show</v>
      </c>
      <c r="H3904" t="str">
        <f>HYPERLINK("https://github.com/brodeurlv/fastnfitness/releases", "show")</f>
        <v>show</v>
      </c>
      <c r="I3904">
        <v>1</v>
      </c>
      <c r="J3904">
        <v>1</v>
      </c>
      <c r="K3904">
        <v>0</v>
      </c>
      <c r="L3904">
        <v>0</v>
      </c>
      <c r="M3904" t="s">
        <v>48</v>
      </c>
    </row>
    <row r="3905" spans="1:13" hidden="1" x14ac:dyDescent="0.15">
      <c r="A3905" t="s">
        <v>12376</v>
      </c>
      <c r="B3905" t="s">
        <v>12377</v>
      </c>
      <c r="C3905" t="s">
        <v>12378</v>
      </c>
      <c r="D3905" t="s">
        <v>12372</v>
      </c>
      <c r="E3905">
        <v>1</v>
      </c>
      <c r="F3905" t="str">
        <f>HYPERLINK("https://github.com/PojavLauncherTeam/PojavLauncher/issues/2275", "show")</f>
        <v>show</v>
      </c>
      <c r="G3905" t="str">
        <f>HYPERLINK("https://github.com/PojavLauncherTeam/PojavLauncher", "show")</f>
        <v>show</v>
      </c>
      <c r="H3905" t="str">
        <f>HYPERLINK("https://github.com/PojavLauncherTeam/PojavLauncher/releases", "show")</f>
        <v>show</v>
      </c>
      <c r="I3905">
        <v>1</v>
      </c>
      <c r="J3905">
        <v>0</v>
      </c>
      <c r="K3905">
        <v>0</v>
      </c>
      <c r="L3905">
        <v>0</v>
      </c>
      <c r="M3905" t="s">
        <v>17</v>
      </c>
    </row>
    <row r="3906" spans="1:13" hidden="1" x14ac:dyDescent="0.15">
      <c r="A3906" t="s">
        <v>12379</v>
      </c>
      <c r="B3906" t="s">
        <v>12380</v>
      </c>
      <c r="C3906" t="s">
        <v>12381</v>
      </c>
      <c r="D3906" t="s">
        <v>12372</v>
      </c>
      <c r="E3906">
        <v>47</v>
      </c>
      <c r="F3906" t="str">
        <f>HYPERLINK("https://github.com/mI-PIV/app/issues/203", "show")</f>
        <v>show</v>
      </c>
      <c r="G3906" t="str">
        <f>HYPERLINK("https://github.com/mI-PIV/app", "show")</f>
        <v>show</v>
      </c>
      <c r="H3906" t="str">
        <f>HYPERLINK("https://github.com/mI-PIV/app/releases", "show")</f>
        <v>show</v>
      </c>
      <c r="I3906">
        <v>0</v>
      </c>
      <c r="J3906">
        <v>0</v>
      </c>
      <c r="K3906">
        <v>0</v>
      </c>
      <c r="L3906">
        <v>0</v>
      </c>
      <c r="M3906" t="s">
        <v>43</v>
      </c>
    </row>
    <row r="3907" spans="1:13" hidden="1" x14ac:dyDescent="0.15">
      <c r="A3907" t="s">
        <v>12382</v>
      </c>
      <c r="B3907" t="s">
        <v>12383</v>
      </c>
      <c r="C3907" t="s">
        <v>12384</v>
      </c>
      <c r="D3907" t="s">
        <v>12385</v>
      </c>
      <c r="E3907">
        <v>6</v>
      </c>
      <c r="F3907" t="str">
        <f>HYPERLINK("https://github.com/hzi-braunschweig/SORMAS-Project/issues/7352", "show")</f>
        <v>show</v>
      </c>
      <c r="G3907" t="str">
        <f>HYPERLINK("https://github.com/hzi-braunschweig/SORMAS-Project", "show")</f>
        <v>show</v>
      </c>
      <c r="H3907" t="str">
        <f>HYPERLINK("https://github.com/hzi-braunschweig/SORMAS-Project/releases", "show")</f>
        <v>show</v>
      </c>
      <c r="I3907">
        <v>1</v>
      </c>
      <c r="J3907">
        <v>1</v>
      </c>
      <c r="K3907">
        <v>0</v>
      </c>
      <c r="L3907">
        <v>1</v>
      </c>
      <c r="M3907" t="s">
        <v>1894</v>
      </c>
    </row>
    <row r="3908" spans="1:13" hidden="1" x14ac:dyDescent="0.15">
      <c r="A3908" t="s">
        <v>12386</v>
      </c>
      <c r="B3908" t="s">
        <v>12387</v>
      </c>
      <c r="C3908" t="s">
        <v>12388</v>
      </c>
      <c r="D3908" t="s">
        <v>12385</v>
      </c>
      <c r="E3908">
        <v>7</v>
      </c>
      <c r="F3908" t="str">
        <f>HYPERLINK("https://github.com/dedis/popstellar/issues/616", "show")</f>
        <v>show</v>
      </c>
      <c r="G3908" t="str">
        <f>HYPERLINK("https://github.com/dedis/popstellar", "show")</f>
        <v>show</v>
      </c>
      <c r="H3908" t="str">
        <f>HYPERLINK("https://github.com/dedis/popstellar/releases", "show")</f>
        <v>show</v>
      </c>
      <c r="I3908">
        <v>1</v>
      </c>
      <c r="J3908">
        <v>1</v>
      </c>
      <c r="K3908">
        <v>0</v>
      </c>
      <c r="L3908">
        <v>0</v>
      </c>
      <c r="M3908" t="s">
        <v>48</v>
      </c>
    </row>
    <row r="3909" spans="1:13" hidden="1" x14ac:dyDescent="0.15">
      <c r="A3909" t="s">
        <v>12389</v>
      </c>
      <c r="B3909" t="s">
        <v>12390</v>
      </c>
      <c r="C3909" t="s">
        <v>12391</v>
      </c>
      <c r="D3909" t="s">
        <v>12385</v>
      </c>
      <c r="E3909">
        <v>119</v>
      </c>
      <c r="F3909" t="str">
        <f>HYPERLINK("https://github.com/Rapsssito/react-native-background-actions/issues/113", "show")</f>
        <v>show</v>
      </c>
      <c r="G3909" t="str">
        <f>HYPERLINK("https://github.com/Rapsssito/react-native-background-actions", "show")</f>
        <v>show</v>
      </c>
      <c r="H3909" t="str">
        <f>HYPERLINK("https://github.com/Rapsssito/react-native-background-actions/releases", "show")</f>
        <v>show</v>
      </c>
      <c r="I3909">
        <v>1</v>
      </c>
      <c r="J3909">
        <v>0</v>
      </c>
      <c r="K3909">
        <v>0</v>
      </c>
      <c r="L3909">
        <v>0</v>
      </c>
      <c r="M3909" t="s">
        <v>17</v>
      </c>
    </row>
    <row r="3910" spans="1:13" hidden="1" x14ac:dyDescent="0.15">
      <c r="A3910" t="s">
        <v>12392</v>
      </c>
      <c r="B3910" t="s">
        <v>12393</v>
      </c>
      <c r="C3910" t="s">
        <v>12394</v>
      </c>
      <c r="D3910" t="s">
        <v>12385</v>
      </c>
      <c r="E3910">
        <v>0</v>
      </c>
      <c r="F3910" t="str">
        <f>HYPERLINK("https://github.com/nextcloud/android/issues/9348", "show")</f>
        <v>show</v>
      </c>
      <c r="G3910" t="str">
        <f>HYPERLINK("https://github.com/nextcloud/android", "show")</f>
        <v>show</v>
      </c>
      <c r="H3910" t="str">
        <f>HYPERLINK("https://github.com/nextcloud/android/releases", "show")</f>
        <v>show</v>
      </c>
      <c r="I3910">
        <v>0</v>
      </c>
      <c r="J3910">
        <v>0</v>
      </c>
      <c r="K3910">
        <v>1</v>
      </c>
      <c r="L3910">
        <v>0</v>
      </c>
      <c r="M3910" t="s">
        <v>122</v>
      </c>
    </row>
    <row r="3911" spans="1:13" hidden="1" x14ac:dyDescent="0.15">
      <c r="A3911" t="s">
        <v>12395</v>
      </c>
      <c r="B3911" t="s">
        <v>12396</v>
      </c>
      <c r="C3911" t="s">
        <v>12397</v>
      </c>
      <c r="D3911" t="s">
        <v>12385</v>
      </c>
      <c r="E3911">
        <v>29</v>
      </c>
      <c r="F3911" t="str">
        <f>HYPERLINK("https://github.com/Giua-app/Giua-App/issues/75", "show")</f>
        <v>show</v>
      </c>
      <c r="G3911" t="str">
        <f>HYPERLINK("https://github.com/Giua-app/Giua-App", "show")</f>
        <v>show</v>
      </c>
      <c r="H3911" t="str">
        <f>HYPERLINK("https://github.com/Giua-app/Giua-App/releases", "show")</f>
        <v>show</v>
      </c>
      <c r="I3911">
        <v>0</v>
      </c>
      <c r="J3911">
        <v>0</v>
      </c>
      <c r="K3911">
        <v>1</v>
      </c>
      <c r="L3911">
        <v>0</v>
      </c>
      <c r="M3911" t="s">
        <v>122</v>
      </c>
    </row>
    <row r="3912" spans="1:13" hidden="1" x14ac:dyDescent="0.15">
      <c r="A3912" t="s">
        <v>12398</v>
      </c>
      <c r="B3912" t="s">
        <v>12399</v>
      </c>
      <c r="C3912" t="s">
        <v>12400</v>
      </c>
      <c r="D3912" t="s">
        <v>12401</v>
      </c>
      <c r="E3912">
        <v>1</v>
      </c>
      <c r="F3912" t="str">
        <f>HYPERLINK("https://github.com/gluonhq/substrate/issues/1047", "show")</f>
        <v>show</v>
      </c>
      <c r="G3912" t="str">
        <f>HYPERLINK("https://github.com/gluonhq/substrate", "show")</f>
        <v>show</v>
      </c>
      <c r="H3912" t="str">
        <f>HYPERLINK("https://github.com/gluonhq/substrate/releases", "show")</f>
        <v>show</v>
      </c>
      <c r="I3912">
        <v>1</v>
      </c>
      <c r="J3912">
        <v>0</v>
      </c>
      <c r="K3912">
        <v>0</v>
      </c>
      <c r="L3912">
        <v>0</v>
      </c>
      <c r="M3912" t="s">
        <v>17</v>
      </c>
    </row>
    <row r="3913" spans="1:13" hidden="1" x14ac:dyDescent="0.15">
      <c r="A3913" t="s">
        <v>12402</v>
      </c>
      <c r="B3913" t="s">
        <v>12403</v>
      </c>
      <c r="C3913" t="s">
        <v>12404</v>
      </c>
      <c r="D3913" t="s">
        <v>12401</v>
      </c>
      <c r="E3913">
        <v>1</v>
      </c>
      <c r="F3913" t="str">
        <f>HYPERLINK("https://github.com/lottie-react-native/lottie-react-native/issues/820", "show")</f>
        <v>show</v>
      </c>
      <c r="G3913" t="str">
        <f>HYPERLINK("https://github.com/lottie-react-native/lottie-react-native", "show")</f>
        <v>show</v>
      </c>
      <c r="H3913" t="str">
        <f>HYPERLINK("https://github.com/lottie-react-native/lottie-react-native/releases", "show")</f>
        <v>show</v>
      </c>
      <c r="I3913">
        <v>1</v>
      </c>
      <c r="J3913">
        <v>0</v>
      </c>
      <c r="K3913">
        <v>0</v>
      </c>
      <c r="L3913">
        <v>0</v>
      </c>
      <c r="M3913" t="s">
        <v>17</v>
      </c>
    </row>
    <row r="3914" spans="1:13" x14ac:dyDescent="0.15">
      <c r="A3914" t="s">
        <v>12405</v>
      </c>
      <c r="B3914" t="s">
        <v>12406</v>
      </c>
      <c r="C3914" t="s">
        <v>12407</v>
      </c>
      <c r="D3914" t="s">
        <v>12401</v>
      </c>
      <c r="E3914">
        <v>122</v>
      </c>
      <c r="F3914" t="str">
        <f>HYPERLINK("https://github.com/MuntashirAkon/AppManager/issues/632", "show")</f>
        <v>show</v>
      </c>
      <c r="G3914" t="str">
        <f>HYPERLINK("https://github.com/MuntashirAkon/AppManager", "show")</f>
        <v>show</v>
      </c>
      <c r="H3914" t="str">
        <f>HYPERLINK("https://github.com/MuntashirAkon/AppManager/releases", "show")</f>
        <v>show</v>
      </c>
      <c r="I3914">
        <v>0</v>
      </c>
      <c r="J3914">
        <v>1</v>
      </c>
      <c r="K3914">
        <v>0</v>
      </c>
      <c r="L3914">
        <v>0</v>
      </c>
      <c r="M3914" t="s">
        <v>139</v>
      </c>
    </row>
    <row r="3915" spans="1:13" hidden="1" x14ac:dyDescent="0.15">
      <c r="A3915" t="s">
        <v>12408</v>
      </c>
      <c r="B3915" t="s">
        <v>12409</v>
      </c>
      <c r="C3915" t="s">
        <v>12410</v>
      </c>
      <c r="D3915" t="s">
        <v>12401</v>
      </c>
      <c r="E3915">
        <v>19</v>
      </c>
      <c r="F3915" t="str">
        <f>HYPERLINK("https://github.com/osamaqarem/react-native-image-colors/issues/41", "show")</f>
        <v>show</v>
      </c>
      <c r="G3915" t="str">
        <f>HYPERLINK("https://github.com/osamaqarem/react-native-image-colors", "show")</f>
        <v>show</v>
      </c>
      <c r="H3915" t="str">
        <f>HYPERLINK("https://github.com/osamaqarem/react-native-image-colors/releases", "show")</f>
        <v>show</v>
      </c>
      <c r="I3915">
        <v>0</v>
      </c>
      <c r="J3915">
        <v>0</v>
      </c>
      <c r="K3915">
        <v>0</v>
      </c>
      <c r="L3915">
        <v>1</v>
      </c>
      <c r="M3915" t="s">
        <v>581</v>
      </c>
    </row>
    <row r="3916" spans="1:13" hidden="1" x14ac:dyDescent="0.15">
      <c r="A3916" t="s">
        <v>12411</v>
      </c>
      <c r="B3916" t="s">
        <v>12412</v>
      </c>
      <c r="C3916" t="s">
        <v>12413</v>
      </c>
      <c r="D3916" t="s">
        <v>12401</v>
      </c>
      <c r="E3916">
        <v>0</v>
      </c>
      <c r="F3916" t="str">
        <f>HYPERLINK("https://github.com/PojavLauncherTeam/PojavLauncher/issues/2270", "show")</f>
        <v>show</v>
      </c>
      <c r="G3916" t="str">
        <f>HYPERLINK("https://github.com/PojavLauncherTeam/PojavLauncher", "show")</f>
        <v>show</v>
      </c>
      <c r="H3916" t="str">
        <f>HYPERLINK("https://github.com/PojavLauncherTeam/PojavLauncher/releases", "show")</f>
        <v>show</v>
      </c>
      <c r="I3916">
        <v>1</v>
      </c>
      <c r="J3916">
        <v>0</v>
      </c>
      <c r="K3916">
        <v>0</v>
      </c>
      <c r="L3916">
        <v>0</v>
      </c>
      <c r="M3916" t="s">
        <v>17</v>
      </c>
    </row>
    <row r="3917" spans="1:13" hidden="1" x14ac:dyDescent="0.15">
      <c r="A3917" t="s">
        <v>12414</v>
      </c>
      <c r="B3917" t="s">
        <v>12415</v>
      </c>
      <c r="C3917" t="s">
        <v>12416</v>
      </c>
      <c r="D3917" t="s">
        <v>12417</v>
      </c>
      <c r="E3917">
        <v>0</v>
      </c>
      <c r="F3917" t="str">
        <f>HYPERLINK("https://github.com/PojavLauncherTeam/PojavLauncher/issues/2263", "show")</f>
        <v>show</v>
      </c>
      <c r="G3917" t="str">
        <f>HYPERLINK("https://github.com/PojavLauncherTeam/PojavLauncher", "show")</f>
        <v>show</v>
      </c>
      <c r="H3917" t="str">
        <f>HYPERLINK("https://github.com/PojavLauncherTeam/PojavLauncher/releases", "show")</f>
        <v>show</v>
      </c>
      <c r="I3917">
        <v>1</v>
      </c>
      <c r="J3917">
        <v>1</v>
      </c>
      <c r="K3917">
        <v>0</v>
      </c>
      <c r="L3917">
        <v>0</v>
      </c>
      <c r="M3917" t="s">
        <v>48</v>
      </c>
    </row>
    <row r="3918" spans="1:13" hidden="1" x14ac:dyDescent="0.15">
      <c r="A3918" t="s">
        <v>12418</v>
      </c>
      <c r="B3918" t="s">
        <v>12419</v>
      </c>
      <c r="C3918" t="s">
        <v>12420</v>
      </c>
      <c r="D3918" t="s">
        <v>12421</v>
      </c>
      <c r="E3918">
        <v>0</v>
      </c>
      <c r="F3918" t="str">
        <f>HYPERLINK("https://github.com/Anuken/Mindustry/issues/6351", "show")</f>
        <v>show</v>
      </c>
      <c r="G3918" t="str">
        <f>HYPERLINK("https://github.com/Anuken/Mindustry", "show")</f>
        <v>show</v>
      </c>
      <c r="H3918" t="str">
        <f>HYPERLINK("https://github.com/Anuken/Mindustry/releases", "show")</f>
        <v>show</v>
      </c>
      <c r="I3918">
        <v>0</v>
      </c>
      <c r="J3918">
        <v>0</v>
      </c>
      <c r="K3918">
        <v>0</v>
      </c>
      <c r="L3918">
        <v>1</v>
      </c>
      <c r="M3918" t="s">
        <v>581</v>
      </c>
    </row>
    <row r="3919" spans="1:13" x14ac:dyDescent="0.15">
      <c r="A3919" t="s">
        <v>12422</v>
      </c>
      <c r="B3919" t="s">
        <v>12423</v>
      </c>
      <c r="C3919" t="s">
        <v>11582</v>
      </c>
      <c r="D3919" t="s">
        <v>12421</v>
      </c>
      <c r="E3919">
        <v>2</v>
      </c>
      <c r="F3919" t="str">
        <f>HYPERLINK("https://github.com/nextcloud/android/issues/9326", "show")</f>
        <v>show</v>
      </c>
      <c r="G3919" t="str">
        <f>HYPERLINK("https://github.com/nextcloud/android", "show")</f>
        <v>show</v>
      </c>
      <c r="H3919" t="str">
        <f>HYPERLINK("https://github.com/nextcloud/android/releases", "show")</f>
        <v>show</v>
      </c>
      <c r="I3919">
        <v>0</v>
      </c>
      <c r="J3919">
        <v>1</v>
      </c>
      <c r="K3919">
        <v>0</v>
      </c>
      <c r="L3919">
        <v>0</v>
      </c>
      <c r="M3919" t="s">
        <v>139</v>
      </c>
    </row>
    <row r="3920" spans="1:13" hidden="1" x14ac:dyDescent="0.15">
      <c r="A3920" t="s">
        <v>12424</v>
      </c>
      <c r="B3920" t="s">
        <v>12425</v>
      </c>
      <c r="C3920" t="s">
        <v>12426</v>
      </c>
      <c r="D3920" t="s">
        <v>12427</v>
      </c>
      <c r="E3920">
        <v>9</v>
      </c>
      <c r="F3920" t="str">
        <f>HYPERLINK("https://github.com/PojavLauncherTeam/PojavLauncher/issues/2258", "show")</f>
        <v>show</v>
      </c>
      <c r="G3920" t="str">
        <f>HYPERLINK("https://github.com/PojavLauncherTeam/PojavLauncher", "show")</f>
        <v>show</v>
      </c>
      <c r="H3920" t="str">
        <f>HYPERLINK("https://github.com/PojavLauncherTeam/PojavLauncher/releases", "show")</f>
        <v>show</v>
      </c>
      <c r="I3920">
        <v>1</v>
      </c>
      <c r="J3920">
        <v>0</v>
      </c>
      <c r="K3920">
        <v>0</v>
      </c>
      <c r="L3920">
        <v>0</v>
      </c>
      <c r="M3920" t="s">
        <v>17</v>
      </c>
    </row>
    <row r="3921" spans="1:13" hidden="1" x14ac:dyDescent="0.15">
      <c r="A3921" t="s">
        <v>12428</v>
      </c>
      <c r="B3921" t="s">
        <v>12429</v>
      </c>
      <c r="C3921" t="s">
        <v>12430</v>
      </c>
      <c r="D3921" t="s">
        <v>12427</v>
      </c>
      <c r="E3921">
        <v>1</v>
      </c>
      <c r="F3921" t="str">
        <f>HYPERLINK("https://github.com/MuntashirAkon/AppManager/issues/631", "show")</f>
        <v>show</v>
      </c>
      <c r="G3921" t="str">
        <f>HYPERLINK("https://github.com/MuntashirAkon/AppManager", "show")</f>
        <v>show</v>
      </c>
      <c r="H3921" t="str">
        <f>HYPERLINK("https://github.com/MuntashirAkon/AppManager/releases", "show")</f>
        <v>show</v>
      </c>
      <c r="I3921">
        <v>1</v>
      </c>
      <c r="J3921">
        <v>1</v>
      </c>
      <c r="K3921">
        <v>0</v>
      </c>
      <c r="L3921">
        <v>0</v>
      </c>
      <c r="M3921" t="s">
        <v>48</v>
      </c>
    </row>
    <row r="3922" spans="1:13" hidden="1" x14ac:dyDescent="0.15">
      <c r="A3922" t="s">
        <v>12431</v>
      </c>
      <c r="B3922" t="s">
        <v>12432</v>
      </c>
      <c r="C3922" t="s">
        <v>12433</v>
      </c>
      <c r="D3922" t="s">
        <v>12427</v>
      </c>
      <c r="E3922">
        <v>11</v>
      </c>
      <c r="F3922" t="str">
        <f>HYPERLINK("https://github.com/TeamNewPipe/NewPipe/issues/7424", "show")</f>
        <v>show</v>
      </c>
      <c r="G3922" t="str">
        <f>HYPERLINK("https://github.com/TeamNewPipe/NewPipe", "show")</f>
        <v>show</v>
      </c>
      <c r="H3922" t="str">
        <f>HYPERLINK("https://github.com/TeamNewPipe/NewPipe/releases", "show")</f>
        <v>show</v>
      </c>
      <c r="I3922">
        <v>1</v>
      </c>
      <c r="J3922">
        <v>1</v>
      </c>
      <c r="K3922">
        <v>1</v>
      </c>
      <c r="L3922">
        <v>0</v>
      </c>
      <c r="M3922" t="s">
        <v>59</v>
      </c>
    </row>
    <row r="3923" spans="1:13" hidden="1" x14ac:dyDescent="0.15">
      <c r="A3923" t="s">
        <v>12434</v>
      </c>
      <c r="B3923" t="s">
        <v>12435</v>
      </c>
      <c r="C3923" t="s">
        <v>12436</v>
      </c>
      <c r="D3923" t="s">
        <v>12427</v>
      </c>
      <c r="E3923">
        <v>48</v>
      </c>
      <c r="F3923" t="str">
        <f>HYPERLINK("https://github.com/mh-/corona-warn-companion-android/issues/133", "show")</f>
        <v>show</v>
      </c>
      <c r="G3923" t="str">
        <f>HYPERLINK("https://github.com/mh-/corona-warn-companion-android", "show")</f>
        <v>show</v>
      </c>
      <c r="H3923" t="str">
        <f>HYPERLINK("https://github.com/mh-/corona-warn-companion-android/releases", "show")</f>
        <v>show</v>
      </c>
      <c r="I3923">
        <v>1</v>
      </c>
      <c r="J3923">
        <v>0</v>
      </c>
      <c r="K3923">
        <v>0</v>
      </c>
      <c r="L3923">
        <v>0</v>
      </c>
      <c r="M3923" t="s">
        <v>17</v>
      </c>
    </row>
    <row r="3924" spans="1:13" hidden="1" x14ac:dyDescent="0.15">
      <c r="A3924" t="s">
        <v>12437</v>
      </c>
      <c r="B3924" t="s">
        <v>12438</v>
      </c>
      <c r="C3924" t="s">
        <v>12439</v>
      </c>
      <c r="D3924" t="s">
        <v>12427</v>
      </c>
      <c r="E3924">
        <v>0</v>
      </c>
      <c r="F3924" t="str">
        <f>HYPERLINK("https://github.com/PojavLauncherTeam/PojavLauncher/issues/2256", "show")</f>
        <v>show</v>
      </c>
      <c r="G3924" t="str">
        <f>HYPERLINK("https://github.com/PojavLauncherTeam/PojavLauncher", "show")</f>
        <v>show</v>
      </c>
      <c r="H3924" t="str">
        <f>HYPERLINK("https://github.com/PojavLauncherTeam/PojavLauncher/releases", "show")</f>
        <v>show</v>
      </c>
      <c r="I3924">
        <v>0</v>
      </c>
      <c r="J3924">
        <v>0</v>
      </c>
      <c r="K3924">
        <v>0</v>
      </c>
      <c r="L3924">
        <v>0</v>
      </c>
      <c r="M3924" t="s">
        <v>43</v>
      </c>
    </row>
    <row r="3925" spans="1:13" hidden="1" x14ac:dyDescent="0.15">
      <c r="A3925" t="s">
        <v>12440</v>
      </c>
      <c r="B3925" t="s">
        <v>12441</v>
      </c>
      <c r="C3925" t="s">
        <v>12442</v>
      </c>
      <c r="D3925" t="s">
        <v>12427</v>
      </c>
      <c r="E3925">
        <v>3</v>
      </c>
      <c r="F3925" t="str">
        <f>HYPERLINK("https://github.com/btcontract/wallet/issues/112", "show")</f>
        <v>show</v>
      </c>
      <c r="G3925" t="str">
        <f>HYPERLINK("https://github.com/btcontract/wallet", "show")</f>
        <v>show</v>
      </c>
      <c r="H3925" t="str">
        <f>HYPERLINK("https://github.com/btcontract/wallet/releases", "show")</f>
        <v>show</v>
      </c>
      <c r="I3925">
        <v>1</v>
      </c>
      <c r="J3925">
        <v>0</v>
      </c>
      <c r="K3925">
        <v>1</v>
      </c>
      <c r="L3925">
        <v>0</v>
      </c>
      <c r="M3925" t="s">
        <v>64</v>
      </c>
    </row>
    <row r="3926" spans="1:13" hidden="1" x14ac:dyDescent="0.15">
      <c r="A3926" t="s">
        <v>12443</v>
      </c>
      <c r="B3926" t="s">
        <v>12444</v>
      </c>
      <c r="C3926" t="s">
        <v>12445</v>
      </c>
      <c r="D3926" t="s">
        <v>12427</v>
      </c>
      <c r="E3926">
        <v>0</v>
      </c>
      <c r="F3926" t="str">
        <f>HYPERLINK("https://github.com/nextcloud/android/issues/9313", "show")</f>
        <v>show</v>
      </c>
      <c r="G3926" t="str">
        <f>HYPERLINK("https://github.com/nextcloud/android", "show")</f>
        <v>show</v>
      </c>
      <c r="H3926" t="str">
        <f>HYPERLINK("https://github.com/nextcloud/android/releases", "show")</f>
        <v>show</v>
      </c>
      <c r="I3926">
        <v>1</v>
      </c>
      <c r="J3926">
        <v>1</v>
      </c>
      <c r="K3926">
        <v>1</v>
      </c>
      <c r="L3926">
        <v>0</v>
      </c>
      <c r="M3926" t="s">
        <v>59</v>
      </c>
    </row>
    <row r="3927" spans="1:13" x14ac:dyDescent="0.15">
      <c r="A3927" t="s">
        <v>12446</v>
      </c>
      <c r="B3927" t="s">
        <v>12447</v>
      </c>
      <c r="C3927" t="s">
        <v>12448</v>
      </c>
      <c r="D3927" t="s">
        <v>12449</v>
      </c>
      <c r="E3927">
        <v>1</v>
      </c>
      <c r="F3927" t="str">
        <f>HYPERLINK("https://github.com/OTTAA-Project/OTTAAProject/issues/106", "show")</f>
        <v>show</v>
      </c>
      <c r="G3927" t="str">
        <f>HYPERLINK("https://github.com/OTTAA-Project/OTTAAProject", "show")</f>
        <v>show</v>
      </c>
      <c r="H3927" t="str">
        <f>HYPERLINK("https://github.com/OTTAA-Project/OTTAAProject/releases", "show")</f>
        <v>show</v>
      </c>
      <c r="I3927">
        <v>0</v>
      </c>
      <c r="J3927">
        <v>1</v>
      </c>
      <c r="K3927">
        <v>0</v>
      </c>
      <c r="L3927">
        <v>0</v>
      </c>
      <c r="M3927" t="s">
        <v>139</v>
      </c>
    </row>
    <row r="3928" spans="1:13" hidden="1" x14ac:dyDescent="0.15">
      <c r="A3928" t="s">
        <v>12450</v>
      </c>
      <c r="B3928" t="s">
        <v>12451</v>
      </c>
      <c r="C3928" t="s">
        <v>12452</v>
      </c>
      <c r="D3928" t="s">
        <v>12449</v>
      </c>
      <c r="E3928">
        <v>6</v>
      </c>
      <c r="F3928" t="str">
        <f>HYPERLINK("https://github.com/PojavLauncherTeam/PojavLauncher/issues/2254", "show")</f>
        <v>show</v>
      </c>
      <c r="G3928" t="str">
        <f>HYPERLINK("https://github.com/PojavLauncherTeam/PojavLauncher", "show")</f>
        <v>show</v>
      </c>
      <c r="H3928" t="str">
        <f>HYPERLINK("https://github.com/PojavLauncherTeam/PojavLauncher/releases", "show")</f>
        <v>show</v>
      </c>
      <c r="I3928">
        <v>1</v>
      </c>
      <c r="J3928">
        <v>1</v>
      </c>
      <c r="K3928">
        <v>1</v>
      </c>
      <c r="L3928">
        <v>0</v>
      </c>
      <c r="M3928" t="s">
        <v>59</v>
      </c>
    </row>
    <row r="3929" spans="1:13" hidden="1" x14ac:dyDescent="0.15">
      <c r="A3929" t="s">
        <v>12453</v>
      </c>
      <c r="B3929" t="s">
        <v>12454</v>
      </c>
      <c r="C3929" t="s">
        <v>12455</v>
      </c>
      <c r="D3929" t="s">
        <v>12449</v>
      </c>
      <c r="E3929">
        <v>1</v>
      </c>
      <c r="F3929" t="str">
        <f>HYPERLINK("https://github.com/OTTAA-Project/OTTAAProject/issues/104", "show")</f>
        <v>show</v>
      </c>
      <c r="G3929" t="str">
        <f>HYPERLINK("https://github.com/OTTAA-Project/OTTAAProject", "show")</f>
        <v>show</v>
      </c>
      <c r="H3929" t="str">
        <f>HYPERLINK("https://github.com/OTTAA-Project/OTTAAProject/releases", "show")</f>
        <v>show</v>
      </c>
      <c r="I3929">
        <v>1</v>
      </c>
      <c r="J3929">
        <v>0</v>
      </c>
      <c r="K3929">
        <v>0</v>
      </c>
      <c r="L3929">
        <v>1</v>
      </c>
      <c r="M3929" t="s">
        <v>29</v>
      </c>
    </row>
    <row r="3930" spans="1:13" hidden="1" x14ac:dyDescent="0.15">
      <c r="A3930" t="s">
        <v>12456</v>
      </c>
      <c r="B3930" t="s">
        <v>12457</v>
      </c>
      <c r="C3930" t="s">
        <v>12458</v>
      </c>
      <c r="D3930" t="s">
        <v>12449</v>
      </c>
      <c r="E3930">
        <v>17</v>
      </c>
      <c r="F3930" t="str">
        <f>HYPERLINK("https://github.com/SmartPack/SmartPack-Kernel-Manager/issues/116", "show")</f>
        <v>show</v>
      </c>
      <c r="G3930" t="str">
        <f>HYPERLINK("https://github.com/SmartPack/SmartPack-Kernel-Manager", "show")</f>
        <v>show</v>
      </c>
      <c r="H3930" t="str">
        <f>HYPERLINK("https://github.com/SmartPack/SmartPack-Kernel-Manager/releases", "show")</f>
        <v>show</v>
      </c>
      <c r="I3930">
        <v>1</v>
      </c>
      <c r="J3930">
        <v>1</v>
      </c>
      <c r="K3930">
        <v>0</v>
      </c>
      <c r="L3930">
        <v>0</v>
      </c>
      <c r="M3930" t="s">
        <v>48</v>
      </c>
    </row>
    <row r="3931" spans="1:13" hidden="1" x14ac:dyDescent="0.15">
      <c r="A3931" t="s">
        <v>12459</v>
      </c>
      <c r="B3931" t="s">
        <v>12460</v>
      </c>
      <c r="C3931" t="s">
        <v>12461</v>
      </c>
      <c r="D3931" t="s">
        <v>12449</v>
      </c>
      <c r="E3931">
        <v>0</v>
      </c>
      <c r="F3931" t="str">
        <f>HYPERLINK("https://github.com/ankidroid/Anki-Android/issues/9914", "show")</f>
        <v>show</v>
      </c>
      <c r="G3931" t="str">
        <f>HYPERLINK("https://github.com/ankidroid/Anki-Android", "show")</f>
        <v>show</v>
      </c>
      <c r="H3931" t="str">
        <f>HYPERLINK("https://github.com/ankidroid/Anki-Android/releases", "show")</f>
        <v>show</v>
      </c>
      <c r="I3931">
        <v>1</v>
      </c>
      <c r="J3931">
        <v>1</v>
      </c>
      <c r="K3931">
        <v>0</v>
      </c>
      <c r="L3931">
        <v>0</v>
      </c>
      <c r="M3931" t="s">
        <v>48</v>
      </c>
    </row>
    <row r="3932" spans="1:13" hidden="1" x14ac:dyDescent="0.15">
      <c r="A3932" t="s">
        <v>12462</v>
      </c>
      <c r="B3932" t="s">
        <v>12463</v>
      </c>
      <c r="C3932" t="s">
        <v>12464</v>
      </c>
      <c r="D3932" t="s">
        <v>12465</v>
      </c>
      <c r="E3932">
        <v>1</v>
      </c>
      <c r="F3932" t="str">
        <f>HYPERLINK("https://github.com/google/gson/issues/2020", "show")</f>
        <v>show</v>
      </c>
      <c r="G3932" t="str">
        <f>HYPERLINK("https://github.com/google/gson", "show")</f>
        <v>show</v>
      </c>
      <c r="H3932" t="str">
        <f>HYPERLINK("https://github.com/google/gson/releases", "show")</f>
        <v>show</v>
      </c>
      <c r="I3932">
        <v>1</v>
      </c>
      <c r="J3932">
        <v>1</v>
      </c>
      <c r="K3932">
        <v>1</v>
      </c>
      <c r="L3932">
        <v>0</v>
      </c>
      <c r="M3932" t="s">
        <v>59</v>
      </c>
    </row>
    <row r="3933" spans="1:13" x14ac:dyDescent="0.15">
      <c r="A3933" t="s">
        <v>12466</v>
      </c>
      <c r="B3933" t="s">
        <v>12467</v>
      </c>
      <c r="C3933" t="s">
        <v>12468</v>
      </c>
      <c r="D3933" t="s">
        <v>12469</v>
      </c>
      <c r="E3933">
        <v>0</v>
      </c>
      <c r="F3933" t="str">
        <f>HYPERLINK("https://github.com/MuntashirAkon/AppManager/issues/629", "show")</f>
        <v>show</v>
      </c>
      <c r="G3933" t="str">
        <f>HYPERLINK("https://github.com/MuntashirAkon/AppManager", "show")</f>
        <v>show</v>
      </c>
      <c r="H3933" t="str">
        <f>HYPERLINK("https://github.com/MuntashirAkon/AppManager/releases", "show")</f>
        <v>show</v>
      </c>
      <c r="I3933">
        <v>0</v>
      </c>
      <c r="J3933">
        <v>1</v>
      </c>
      <c r="K3933">
        <v>0</v>
      </c>
      <c r="L3933">
        <v>0</v>
      </c>
      <c r="M3933" t="s">
        <v>139</v>
      </c>
    </row>
    <row r="3934" spans="1:13" x14ac:dyDescent="0.15">
      <c r="A3934" t="s">
        <v>12470</v>
      </c>
      <c r="B3934" t="s">
        <v>12467</v>
      </c>
      <c r="C3934" t="s">
        <v>12468</v>
      </c>
      <c r="D3934" t="s">
        <v>12469</v>
      </c>
      <c r="E3934">
        <v>0</v>
      </c>
      <c r="F3934" t="str">
        <f>HYPERLINK("https://github.com/MuntashirAkon/AppManager/issues/628", "show")</f>
        <v>show</v>
      </c>
      <c r="G3934" t="str">
        <f>HYPERLINK("https://github.com/MuntashirAkon/AppManager", "show")</f>
        <v>show</v>
      </c>
      <c r="H3934" t="str">
        <f>HYPERLINK("https://github.com/MuntashirAkon/AppManager/releases", "show")</f>
        <v>show</v>
      </c>
      <c r="I3934">
        <v>0</v>
      </c>
      <c r="J3934">
        <v>1</v>
      </c>
      <c r="K3934">
        <v>0</v>
      </c>
      <c r="L3934">
        <v>0</v>
      </c>
      <c r="M3934" t="s">
        <v>139</v>
      </c>
    </row>
    <row r="3935" spans="1:13" x14ac:dyDescent="0.15">
      <c r="A3935" t="s">
        <v>12471</v>
      </c>
      <c r="B3935" t="s">
        <v>12467</v>
      </c>
      <c r="C3935" t="s">
        <v>12468</v>
      </c>
      <c r="D3935" t="s">
        <v>12469</v>
      </c>
      <c r="E3935">
        <v>79</v>
      </c>
      <c r="F3935" t="str">
        <f>HYPERLINK("https://github.com/MuntashirAkon/AppManager/issues/627", "show")</f>
        <v>show</v>
      </c>
      <c r="G3935" t="str">
        <f>HYPERLINK("https://github.com/MuntashirAkon/AppManager", "show")</f>
        <v>show</v>
      </c>
      <c r="H3935" t="str">
        <f>HYPERLINK("https://github.com/MuntashirAkon/AppManager/releases", "show")</f>
        <v>show</v>
      </c>
      <c r="I3935">
        <v>0</v>
      </c>
      <c r="J3935">
        <v>1</v>
      </c>
      <c r="K3935">
        <v>0</v>
      </c>
      <c r="L3935">
        <v>0</v>
      </c>
      <c r="M3935" t="s">
        <v>139</v>
      </c>
    </row>
    <row r="3936" spans="1:13" hidden="1" x14ac:dyDescent="0.15">
      <c r="A3936" t="s">
        <v>12472</v>
      </c>
      <c r="B3936" t="s">
        <v>12473</v>
      </c>
      <c r="C3936" t="s">
        <v>12474</v>
      </c>
      <c r="D3936" t="s">
        <v>12469</v>
      </c>
      <c r="E3936">
        <v>0</v>
      </c>
      <c r="F3936" t="str">
        <f>HYPERLINK("https://github.com/google/ExoPlayer/issues/9696", "show")</f>
        <v>show</v>
      </c>
      <c r="G3936" t="str">
        <f>HYPERLINK("https://github.com/google/ExoPlayer", "show")</f>
        <v>show</v>
      </c>
      <c r="H3936" t="str">
        <f>HYPERLINK("https://github.com/google/ExoPlayer/releases", "show")</f>
        <v>show</v>
      </c>
      <c r="I3936">
        <v>1</v>
      </c>
      <c r="J3936">
        <v>0</v>
      </c>
      <c r="K3936">
        <v>1</v>
      </c>
      <c r="L3936">
        <v>0</v>
      </c>
      <c r="M3936" t="s">
        <v>64</v>
      </c>
    </row>
    <row r="3937" spans="1:13" x14ac:dyDescent="0.15">
      <c r="A3937" t="s">
        <v>12475</v>
      </c>
      <c r="B3937" t="s">
        <v>12476</v>
      </c>
      <c r="C3937" t="s">
        <v>12477</v>
      </c>
      <c r="D3937" t="s">
        <v>12478</v>
      </c>
      <c r="E3937">
        <v>5</v>
      </c>
      <c r="F3937" t="str">
        <f>HYPERLINK("https://github.com/PojavLauncherTeam/PojavLauncher/issues/2247", "show")</f>
        <v>show</v>
      </c>
      <c r="G3937" t="str">
        <f>HYPERLINK("https://github.com/PojavLauncherTeam/PojavLauncher", "show")</f>
        <v>show</v>
      </c>
      <c r="H3937" t="str">
        <f>HYPERLINK("https://github.com/PojavLauncherTeam/PojavLauncher/releases", "show")</f>
        <v>show</v>
      </c>
      <c r="I3937">
        <v>0</v>
      </c>
      <c r="J3937">
        <v>1</v>
      </c>
      <c r="K3937">
        <v>0</v>
      </c>
      <c r="L3937">
        <v>0</v>
      </c>
      <c r="M3937" t="s">
        <v>139</v>
      </c>
    </row>
    <row r="3938" spans="1:13" hidden="1" x14ac:dyDescent="0.15">
      <c r="A3938" t="s">
        <v>12479</v>
      </c>
      <c r="B3938" t="s">
        <v>12480</v>
      </c>
      <c r="C3938" t="s">
        <v>12481</v>
      </c>
      <c r="D3938" t="s">
        <v>12478</v>
      </c>
      <c r="E3938">
        <v>94</v>
      </c>
      <c r="F3938" t="str">
        <f>HYPERLINK("https://github.com/ViroCommunity/viro/issues/61", "show")</f>
        <v>show</v>
      </c>
      <c r="G3938" t="str">
        <f>HYPERLINK("https://github.com/ViroCommunity/viro", "show")</f>
        <v>show</v>
      </c>
      <c r="H3938" t="str">
        <f>HYPERLINK("https://github.com/ViroCommunity/viro/releases", "show")</f>
        <v>show</v>
      </c>
      <c r="I3938">
        <v>1</v>
      </c>
      <c r="J3938">
        <v>0</v>
      </c>
      <c r="K3938">
        <v>0</v>
      </c>
      <c r="L3938">
        <v>0</v>
      </c>
      <c r="M3938" t="s">
        <v>17</v>
      </c>
    </row>
    <row r="3939" spans="1:13" x14ac:dyDescent="0.15">
      <c r="A3939" t="s">
        <v>12482</v>
      </c>
      <c r="B3939" t="s">
        <v>12483</v>
      </c>
      <c r="C3939" t="s">
        <v>12484</v>
      </c>
      <c r="D3939" t="s">
        <v>12478</v>
      </c>
      <c r="E3939">
        <v>7</v>
      </c>
      <c r="F3939" t="str">
        <f>HYPERLINK("https://github.com/PojavLauncherTeam/PojavLauncher/issues/2241", "show")</f>
        <v>show</v>
      </c>
      <c r="G3939" t="str">
        <f>HYPERLINK("https://github.com/PojavLauncherTeam/PojavLauncher", "show")</f>
        <v>show</v>
      </c>
      <c r="H3939" t="str">
        <f>HYPERLINK("https://github.com/PojavLauncherTeam/PojavLauncher/releases", "show")</f>
        <v>show</v>
      </c>
      <c r="I3939">
        <v>0</v>
      </c>
      <c r="J3939">
        <v>1</v>
      </c>
      <c r="K3939">
        <v>0</v>
      </c>
      <c r="L3939">
        <v>0</v>
      </c>
      <c r="M3939" t="s">
        <v>139</v>
      </c>
    </row>
    <row r="3940" spans="1:13" hidden="1" x14ac:dyDescent="0.15">
      <c r="A3940" t="s">
        <v>12485</v>
      </c>
      <c r="B3940" t="s">
        <v>12486</v>
      </c>
      <c r="C3940" t="s">
        <v>12487</v>
      </c>
      <c r="D3940" t="s">
        <v>12488</v>
      </c>
      <c r="E3940">
        <v>3</v>
      </c>
      <c r="F3940" t="str">
        <f>HYPERLINK("https://github.com/nextcloud/android/issues/9263", "show")</f>
        <v>show</v>
      </c>
      <c r="G3940" t="str">
        <f>HYPERLINK("https://github.com/nextcloud/android", "show")</f>
        <v>show</v>
      </c>
      <c r="H3940" t="str">
        <f>HYPERLINK("https://github.com/nextcloud/android/releases", "show")</f>
        <v>show</v>
      </c>
      <c r="I3940">
        <v>0</v>
      </c>
      <c r="J3940">
        <v>0</v>
      </c>
      <c r="K3940">
        <v>1</v>
      </c>
      <c r="L3940">
        <v>0</v>
      </c>
      <c r="M3940" t="s">
        <v>122</v>
      </c>
    </row>
    <row r="3941" spans="1:13" hidden="1" x14ac:dyDescent="0.15">
      <c r="A3941" t="s">
        <v>12489</v>
      </c>
      <c r="B3941" t="s">
        <v>12490</v>
      </c>
      <c r="C3941" t="s">
        <v>12491</v>
      </c>
      <c r="D3941" t="s">
        <v>12488</v>
      </c>
      <c r="E3941">
        <v>54</v>
      </c>
      <c r="F3941" t="str">
        <f>HYPERLINK("https://github.com/mh-/corona-warn-companion-android/issues/131", "show")</f>
        <v>show</v>
      </c>
      <c r="G3941" t="str">
        <f>HYPERLINK("https://github.com/mh-/corona-warn-companion-android", "show")</f>
        <v>show</v>
      </c>
      <c r="H3941" t="str">
        <f>HYPERLINK("https://github.com/mh-/corona-warn-companion-android/releases", "show")</f>
        <v>show</v>
      </c>
      <c r="I3941">
        <v>1</v>
      </c>
      <c r="J3941">
        <v>0</v>
      </c>
      <c r="K3941">
        <v>1</v>
      </c>
      <c r="L3941">
        <v>0</v>
      </c>
      <c r="M3941" t="s">
        <v>64</v>
      </c>
    </row>
    <row r="3942" spans="1:13" hidden="1" x14ac:dyDescent="0.15">
      <c r="A3942" t="s">
        <v>12492</v>
      </c>
      <c r="B3942" t="s">
        <v>12493</v>
      </c>
      <c r="C3942" t="s">
        <v>11701</v>
      </c>
      <c r="D3942" t="s">
        <v>12488</v>
      </c>
      <c r="E3942">
        <v>0</v>
      </c>
      <c r="F3942" t="str">
        <f>HYPERLINK("https://github.com/Anuken/Mindustry/issues/6335", "show")</f>
        <v>show</v>
      </c>
      <c r="G3942" t="str">
        <f>HYPERLINK("https://github.com/Anuken/Mindustry", "show")</f>
        <v>show</v>
      </c>
      <c r="H3942" t="str">
        <f>HYPERLINK("https://github.com/Anuken/Mindustry/releases", "show")</f>
        <v>show</v>
      </c>
      <c r="I3942">
        <v>1</v>
      </c>
      <c r="J3942">
        <v>1</v>
      </c>
      <c r="K3942">
        <v>0</v>
      </c>
      <c r="L3942">
        <v>0</v>
      </c>
      <c r="M3942" t="s">
        <v>48</v>
      </c>
    </row>
    <row r="3943" spans="1:13" hidden="1" x14ac:dyDescent="0.15">
      <c r="A3943" t="s">
        <v>12494</v>
      </c>
      <c r="B3943" t="s">
        <v>12495</v>
      </c>
      <c r="C3943" t="s">
        <v>12496</v>
      </c>
      <c r="D3943" t="s">
        <v>12488</v>
      </c>
      <c r="E3943">
        <v>1</v>
      </c>
      <c r="F3943" t="str">
        <f>HYPERLINK("https://github.com/oliexdev/openScale/issues/791", "show")</f>
        <v>show</v>
      </c>
      <c r="G3943" t="str">
        <f>HYPERLINK("https://github.com/oliexdev/openScale", "show")</f>
        <v>show</v>
      </c>
      <c r="H3943" t="str">
        <f>HYPERLINK("https://github.com/oliexdev/openScale/releases", "show")</f>
        <v>show</v>
      </c>
      <c r="I3943">
        <v>1</v>
      </c>
      <c r="J3943">
        <v>1</v>
      </c>
      <c r="K3943">
        <v>1</v>
      </c>
      <c r="L3943">
        <v>0</v>
      </c>
      <c r="M3943" t="s">
        <v>59</v>
      </c>
    </row>
    <row r="3944" spans="1:13" hidden="1" x14ac:dyDescent="0.15">
      <c r="A3944" t="s">
        <v>12497</v>
      </c>
      <c r="B3944" t="s">
        <v>12498</v>
      </c>
      <c r="C3944" t="s">
        <v>12499</v>
      </c>
      <c r="D3944" t="s">
        <v>12488</v>
      </c>
      <c r="E3944">
        <v>0</v>
      </c>
      <c r="F3944" t="str">
        <f>HYPERLINK("https://github.com/Anuken/Mindustry/issues/6333", "show")</f>
        <v>show</v>
      </c>
      <c r="G3944" t="str">
        <f>HYPERLINK("https://github.com/Anuken/Mindustry", "show")</f>
        <v>show</v>
      </c>
      <c r="H3944" t="str">
        <f>HYPERLINK("https://github.com/Anuken/Mindustry/releases", "show")</f>
        <v>show</v>
      </c>
      <c r="I3944">
        <v>1</v>
      </c>
      <c r="J3944">
        <v>1</v>
      </c>
      <c r="K3944">
        <v>0</v>
      </c>
      <c r="L3944">
        <v>0</v>
      </c>
      <c r="M3944" t="s">
        <v>48</v>
      </c>
    </row>
    <row r="3945" spans="1:13" x14ac:dyDescent="0.15">
      <c r="A3945" t="s">
        <v>12500</v>
      </c>
      <c r="B3945" t="s">
        <v>12501</v>
      </c>
      <c r="C3945" t="s">
        <v>12502</v>
      </c>
      <c r="D3945" t="s">
        <v>12503</v>
      </c>
      <c r="E3945">
        <v>0</v>
      </c>
      <c r="F3945" t="str">
        <f>HYPERLINK("https://github.com/PojavLauncherTeam/PojavLauncher/issues/2234", "show")</f>
        <v>show</v>
      </c>
      <c r="G3945" t="str">
        <f>HYPERLINK("https://github.com/PojavLauncherTeam/PojavLauncher", "show")</f>
        <v>show</v>
      </c>
      <c r="H3945" t="str">
        <f>HYPERLINK("https://github.com/PojavLauncherTeam/PojavLauncher/releases", "show")</f>
        <v>show</v>
      </c>
      <c r="I3945">
        <v>0</v>
      </c>
      <c r="J3945">
        <v>1</v>
      </c>
      <c r="K3945">
        <v>0</v>
      </c>
      <c r="L3945">
        <v>0</v>
      </c>
      <c r="M3945" t="s">
        <v>139</v>
      </c>
    </row>
    <row r="3946" spans="1:13" hidden="1" x14ac:dyDescent="0.15">
      <c r="A3946" t="s">
        <v>12504</v>
      </c>
      <c r="B3946" t="s">
        <v>12505</v>
      </c>
      <c r="C3946" t="s">
        <v>12506</v>
      </c>
      <c r="D3946" t="s">
        <v>12507</v>
      </c>
      <c r="E3946">
        <v>3</v>
      </c>
      <c r="F3946" t="str">
        <f>HYPERLINK("https://github.com/MuntashirAkon/AppManager/issues/621", "show")</f>
        <v>show</v>
      </c>
      <c r="G3946" t="str">
        <f>HYPERLINK("https://github.com/MuntashirAkon/AppManager", "show")</f>
        <v>show</v>
      </c>
      <c r="H3946" t="str">
        <f>HYPERLINK("https://github.com/MuntashirAkon/AppManager/releases", "show")</f>
        <v>show</v>
      </c>
      <c r="I3946">
        <v>1</v>
      </c>
      <c r="J3946">
        <v>0</v>
      </c>
      <c r="K3946">
        <v>1</v>
      </c>
      <c r="L3946">
        <v>0</v>
      </c>
      <c r="M3946" t="s">
        <v>64</v>
      </c>
    </row>
    <row r="3947" spans="1:13" hidden="1" x14ac:dyDescent="0.15">
      <c r="A3947" t="s">
        <v>12508</v>
      </c>
      <c r="B3947" t="s">
        <v>12509</v>
      </c>
      <c r="C3947" t="s">
        <v>12510</v>
      </c>
      <c r="D3947" t="s">
        <v>12507</v>
      </c>
      <c r="E3947">
        <v>0</v>
      </c>
      <c r="F3947" t="str">
        <f>HYPERLINK("https://github.com/nextcloud/android/issues/9254", "show")</f>
        <v>show</v>
      </c>
      <c r="G3947" t="str">
        <f>HYPERLINK("https://github.com/nextcloud/android", "show")</f>
        <v>show</v>
      </c>
      <c r="H3947" t="str">
        <f>HYPERLINK("https://github.com/nextcloud/android/releases", "show")</f>
        <v>show</v>
      </c>
      <c r="I3947">
        <v>1</v>
      </c>
      <c r="J3947">
        <v>0</v>
      </c>
      <c r="K3947">
        <v>1</v>
      </c>
      <c r="L3947">
        <v>0</v>
      </c>
      <c r="M3947" t="s">
        <v>64</v>
      </c>
    </row>
    <row r="3948" spans="1:13" hidden="1" x14ac:dyDescent="0.15">
      <c r="A3948" t="s">
        <v>12511</v>
      </c>
      <c r="B3948" t="s">
        <v>12512</v>
      </c>
      <c r="C3948" t="s">
        <v>12513</v>
      </c>
      <c r="D3948" t="s">
        <v>12514</v>
      </c>
      <c r="E3948">
        <v>93</v>
      </c>
      <c r="F3948" t="str">
        <f>HYPERLINK("https://github.com/TeamNewPipe/NewPipe/issues/7396", "show")</f>
        <v>show</v>
      </c>
      <c r="G3948" t="str">
        <f>HYPERLINK("https://github.com/TeamNewPipe/NewPipe", "show")</f>
        <v>show</v>
      </c>
      <c r="H3948" t="str">
        <f>HYPERLINK("https://github.com/TeamNewPipe/NewPipe/releases", "show")</f>
        <v>show</v>
      </c>
      <c r="I3948">
        <v>1</v>
      </c>
      <c r="J3948">
        <v>1</v>
      </c>
      <c r="K3948">
        <v>1</v>
      </c>
      <c r="L3948">
        <v>1</v>
      </c>
      <c r="M3948" t="s">
        <v>2875</v>
      </c>
    </row>
    <row r="3949" spans="1:13" hidden="1" x14ac:dyDescent="0.15">
      <c r="A3949" t="s">
        <v>12515</v>
      </c>
      <c r="B3949" t="s">
        <v>12516</v>
      </c>
      <c r="C3949" t="s">
        <v>12517</v>
      </c>
      <c r="D3949" t="s">
        <v>12514</v>
      </c>
      <c r="E3949">
        <v>1</v>
      </c>
      <c r="F3949" t="str">
        <f>HYPERLINK("https://github.com/PojavLauncherTeam/PojavLauncher/issues/2229", "show")</f>
        <v>show</v>
      </c>
      <c r="G3949" t="str">
        <f>HYPERLINK("https://github.com/PojavLauncherTeam/PojavLauncher", "show")</f>
        <v>show</v>
      </c>
      <c r="H3949" t="str">
        <f>HYPERLINK("https://github.com/PojavLauncherTeam/PojavLauncher/releases", "show")</f>
        <v>show</v>
      </c>
      <c r="I3949">
        <v>1</v>
      </c>
      <c r="J3949">
        <v>0</v>
      </c>
      <c r="K3949">
        <v>0</v>
      </c>
      <c r="L3949">
        <v>0</v>
      </c>
      <c r="M3949" t="s">
        <v>17</v>
      </c>
    </row>
    <row r="3950" spans="1:13" hidden="1" x14ac:dyDescent="0.15">
      <c r="A3950" t="s">
        <v>12518</v>
      </c>
      <c r="B3950" t="s">
        <v>12519</v>
      </c>
      <c r="C3950" t="s">
        <v>11701</v>
      </c>
      <c r="D3950" t="s">
        <v>12514</v>
      </c>
      <c r="E3950">
        <v>0</v>
      </c>
      <c r="F3950" t="str">
        <f>HYPERLINK("https://github.com/Anuken/Mindustry/issues/6326", "show")</f>
        <v>show</v>
      </c>
      <c r="G3950" t="str">
        <f>HYPERLINK("https://github.com/Anuken/Mindustry", "show")</f>
        <v>show</v>
      </c>
      <c r="H3950" t="str">
        <f>HYPERLINK("https://github.com/Anuken/Mindustry/releases", "show")</f>
        <v>show</v>
      </c>
      <c r="I3950">
        <v>1</v>
      </c>
      <c r="J3950">
        <v>1</v>
      </c>
      <c r="K3950">
        <v>0</v>
      </c>
      <c r="L3950">
        <v>0</v>
      </c>
      <c r="M3950" t="s">
        <v>48</v>
      </c>
    </row>
    <row r="3951" spans="1:13" hidden="1" x14ac:dyDescent="0.15">
      <c r="A3951" t="s">
        <v>12520</v>
      </c>
      <c r="B3951" t="s">
        <v>12521</v>
      </c>
      <c r="C3951" t="s">
        <v>12522</v>
      </c>
      <c r="D3951" t="s">
        <v>12523</v>
      </c>
      <c r="E3951">
        <v>0</v>
      </c>
      <c r="F3951" t="str">
        <f>HYPERLINK("https://github.com/Anuken/Mindustry/issues/6324", "show")</f>
        <v>show</v>
      </c>
      <c r="G3951" t="str">
        <f>HYPERLINK("https://github.com/Anuken/Mindustry", "show")</f>
        <v>show</v>
      </c>
      <c r="H3951" t="str">
        <f>HYPERLINK("https://github.com/Anuken/Mindustry/releases", "show")</f>
        <v>show</v>
      </c>
      <c r="I3951">
        <v>0</v>
      </c>
      <c r="J3951">
        <v>0</v>
      </c>
      <c r="K3951">
        <v>0</v>
      </c>
      <c r="L3951">
        <v>0</v>
      </c>
      <c r="M3951" t="s">
        <v>43</v>
      </c>
    </row>
    <row r="3952" spans="1:13" x14ac:dyDescent="0.15">
      <c r="A3952" t="s">
        <v>12524</v>
      </c>
      <c r="B3952" t="s">
        <v>12525</v>
      </c>
      <c r="C3952" t="s">
        <v>12526</v>
      </c>
      <c r="D3952" t="s">
        <v>12523</v>
      </c>
      <c r="E3952">
        <v>2</v>
      </c>
      <c r="F3952" t="str">
        <f>HYPERLINK("https://github.com/aws/aws-iot-device-sdk-java-v2/issues/188", "show")</f>
        <v>show</v>
      </c>
      <c r="G3952" t="str">
        <f>HYPERLINK("https://github.com/aws/aws-iot-device-sdk-java-v2", "show")</f>
        <v>show</v>
      </c>
      <c r="H3952" t="str">
        <f>HYPERLINK("https://github.com/aws/aws-iot-device-sdk-java-v2/releases", "show")</f>
        <v>show</v>
      </c>
      <c r="I3952">
        <v>0</v>
      </c>
      <c r="J3952">
        <v>1</v>
      </c>
      <c r="K3952">
        <v>0</v>
      </c>
      <c r="L3952">
        <v>0</v>
      </c>
      <c r="M3952" t="s">
        <v>139</v>
      </c>
    </row>
    <row r="3953" spans="1:13" hidden="1" x14ac:dyDescent="0.15">
      <c r="A3953" t="s">
        <v>12527</v>
      </c>
      <c r="B3953" t="s">
        <v>12528</v>
      </c>
      <c r="C3953" t="s">
        <v>12529</v>
      </c>
      <c r="D3953" t="s">
        <v>12523</v>
      </c>
      <c r="E3953">
        <v>94</v>
      </c>
      <c r="F3953" t="str">
        <f>HYPERLINK("https://github.com/TeamNewPipe/NewPipe/issues/7391", "show")</f>
        <v>show</v>
      </c>
      <c r="G3953" t="str">
        <f>HYPERLINK("https://github.com/TeamNewPipe/NewPipe", "show")</f>
        <v>show</v>
      </c>
      <c r="H3953" t="str">
        <f>HYPERLINK("https://github.com/TeamNewPipe/NewPipe/releases", "show")</f>
        <v>show</v>
      </c>
      <c r="I3953">
        <v>1</v>
      </c>
      <c r="J3953">
        <v>1</v>
      </c>
      <c r="K3953">
        <v>0</v>
      </c>
      <c r="L3953">
        <v>0</v>
      </c>
      <c r="M3953" t="s">
        <v>48</v>
      </c>
    </row>
    <row r="3954" spans="1:13" hidden="1" x14ac:dyDescent="0.15">
      <c r="A3954" t="s">
        <v>12530</v>
      </c>
      <c r="B3954" t="s">
        <v>12531</v>
      </c>
      <c r="C3954" t="s">
        <v>12532</v>
      </c>
      <c r="D3954" t="s">
        <v>12523</v>
      </c>
      <c r="E3954">
        <v>1</v>
      </c>
      <c r="F3954" t="str">
        <f>HYPERLINK("https://github.com/mI-PIV/app/issues/190", "show")</f>
        <v>show</v>
      </c>
      <c r="G3954" t="str">
        <f>HYPERLINK("https://github.com/mI-PIV/app", "show")</f>
        <v>show</v>
      </c>
      <c r="H3954" t="str">
        <f>HYPERLINK("https://github.com/mI-PIV/app/releases", "show")</f>
        <v>show</v>
      </c>
      <c r="I3954">
        <v>1</v>
      </c>
      <c r="J3954">
        <v>0</v>
      </c>
      <c r="K3954">
        <v>0</v>
      </c>
      <c r="L3954">
        <v>0</v>
      </c>
      <c r="M3954" t="s">
        <v>17</v>
      </c>
    </row>
    <row r="3955" spans="1:13" hidden="1" x14ac:dyDescent="0.15">
      <c r="A3955" t="s">
        <v>12533</v>
      </c>
      <c r="B3955" t="s">
        <v>12534</v>
      </c>
      <c r="C3955" t="s">
        <v>12535</v>
      </c>
      <c r="D3955" t="s">
        <v>12536</v>
      </c>
      <c r="E3955">
        <v>8</v>
      </c>
      <c r="F3955" t="str">
        <f>HYPERLINK("https://github.com/OneBusAway/onebusaway-android/issues/1084", "show")</f>
        <v>show</v>
      </c>
      <c r="G3955" t="str">
        <f>HYPERLINK("https://github.com/OneBusAway/onebusaway-android", "show")</f>
        <v>show</v>
      </c>
      <c r="H3955" t="str">
        <f>HYPERLINK("https://github.com/OneBusAway/onebusaway-android/releases", "show")</f>
        <v>show</v>
      </c>
      <c r="I3955">
        <v>1</v>
      </c>
      <c r="J3955">
        <v>1</v>
      </c>
      <c r="K3955">
        <v>0</v>
      </c>
      <c r="L3955">
        <v>0</v>
      </c>
      <c r="M3955" t="s">
        <v>48</v>
      </c>
    </row>
    <row r="3956" spans="1:13" hidden="1" x14ac:dyDescent="0.15">
      <c r="A3956" t="s">
        <v>12537</v>
      </c>
      <c r="B3956" t="s">
        <v>12538</v>
      </c>
      <c r="C3956" t="s">
        <v>12539</v>
      </c>
      <c r="D3956" t="s">
        <v>12536</v>
      </c>
      <c r="E3956">
        <v>1</v>
      </c>
      <c r="F3956" t="str">
        <f>HYPERLINK("https://github.com/yasirkula/UnityNativeShare/issues/130", "show")</f>
        <v>show</v>
      </c>
      <c r="G3956" t="str">
        <f>HYPERLINK("https://github.com/yasirkula/UnityNativeShare", "show")</f>
        <v>show</v>
      </c>
      <c r="H3956" t="str">
        <f>HYPERLINK("https://github.com/yasirkula/UnityNativeShare/releases", "show")</f>
        <v>show</v>
      </c>
      <c r="I3956">
        <v>1</v>
      </c>
      <c r="J3956">
        <v>0</v>
      </c>
      <c r="K3956">
        <v>1</v>
      </c>
      <c r="L3956">
        <v>0</v>
      </c>
      <c r="M3956" t="s">
        <v>64</v>
      </c>
    </row>
    <row r="3957" spans="1:13" hidden="1" x14ac:dyDescent="0.15">
      <c r="A3957" t="s">
        <v>12540</v>
      </c>
      <c r="B3957" t="s">
        <v>12541</v>
      </c>
      <c r="C3957" t="s">
        <v>12542</v>
      </c>
      <c r="D3957" t="s">
        <v>12543</v>
      </c>
      <c r="E3957">
        <v>3</v>
      </c>
      <c r="F3957" t="str">
        <f>HYPERLINK("https://github.com/getsentry/sentry-java/issues/1798", "show")</f>
        <v>show</v>
      </c>
      <c r="G3957" t="str">
        <f>HYPERLINK("https://github.com/getsentry/sentry-java", "show")</f>
        <v>show</v>
      </c>
      <c r="H3957" t="str">
        <f>HYPERLINK("https://github.com/getsentry/sentry-java/releases", "show")</f>
        <v>show</v>
      </c>
      <c r="I3957">
        <v>1</v>
      </c>
      <c r="J3957">
        <v>0</v>
      </c>
      <c r="K3957">
        <v>1</v>
      </c>
      <c r="L3957">
        <v>0</v>
      </c>
      <c r="M3957" t="s">
        <v>64</v>
      </c>
    </row>
    <row r="3958" spans="1:13" hidden="1" x14ac:dyDescent="0.15">
      <c r="A3958" t="s">
        <v>12544</v>
      </c>
      <c r="B3958" t="s">
        <v>12545</v>
      </c>
      <c r="C3958" t="s">
        <v>12546</v>
      </c>
      <c r="D3958" t="s">
        <v>12543</v>
      </c>
      <c r="E3958">
        <v>0</v>
      </c>
      <c r="F3958" t="str">
        <f>HYPERLINK("https://github.com/PojavLauncherTeam/PojavLauncher/issues/2218", "show")</f>
        <v>show</v>
      </c>
      <c r="G3958" t="str">
        <f>HYPERLINK("https://github.com/PojavLauncherTeam/PojavLauncher", "show")</f>
        <v>show</v>
      </c>
      <c r="H3958" t="str">
        <f>HYPERLINK("https://github.com/PojavLauncherTeam/PojavLauncher/releases", "show")</f>
        <v>show</v>
      </c>
      <c r="I3958">
        <v>1</v>
      </c>
      <c r="J3958">
        <v>1</v>
      </c>
      <c r="K3958">
        <v>0</v>
      </c>
      <c r="L3958">
        <v>0</v>
      </c>
      <c r="M3958" t="s">
        <v>48</v>
      </c>
    </row>
    <row r="3959" spans="1:13" hidden="1" x14ac:dyDescent="0.15">
      <c r="A3959" t="s">
        <v>12547</v>
      </c>
      <c r="B3959" t="s">
        <v>12548</v>
      </c>
      <c r="C3959" t="s">
        <v>12549</v>
      </c>
      <c r="D3959" t="s">
        <v>12543</v>
      </c>
      <c r="E3959">
        <v>16</v>
      </c>
      <c r="F3959" t="str">
        <f>HYPERLINK("https://github.com/PojavLauncherTeam/PojavLauncher/issues/2217", "show")</f>
        <v>show</v>
      </c>
      <c r="G3959" t="str">
        <f>HYPERLINK("https://github.com/PojavLauncherTeam/PojavLauncher", "show")</f>
        <v>show</v>
      </c>
      <c r="H3959" t="str">
        <f>HYPERLINK("https://github.com/PojavLauncherTeam/PojavLauncher/releases", "show")</f>
        <v>show</v>
      </c>
      <c r="I3959">
        <v>1</v>
      </c>
      <c r="J3959">
        <v>0</v>
      </c>
      <c r="K3959">
        <v>1</v>
      </c>
      <c r="L3959">
        <v>0</v>
      </c>
      <c r="M3959" t="s">
        <v>64</v>
      </c>
    </row>
    <row r="3960" spans="1:13" hidden="1" x14ac:dyDescent="0.15">
      <c r="A3960" t="s">
        <v>12550</v>
      </c>
      <c r="B3960" t="s">
        <v>12551</v>
      </c>
      <c r="C3960" t="s">
        <v>12552</v>
      </c>
      <c r="D3960" t="s">
        <v>12543</v>
      </c>
      <c r="E3960">
        <v>142</v>
      </c>
      <c r="F3960" t="str">
        <f>HYPERLINK("https://github.com/TeamNewPipe/NewPipe/issues/7379", "show")</f>
        <v>show</v>
      </c>
      <c r="G3960" t="str">
        <f>HYPERLINK("https://github.com/TeamNewPipe/NewPipe", "show")</f>
        <v>show</v>
      </c>
      <c r="H3960" t="str">
        <f>HYPERLINK("https://github.com/TeamNewPipe/NewPipe/releases", "show")</f>
        <v>show</v>
      </c>
      <c r="I3960">
        <v>1</v>
      </c>
      <c r="J3960">
        <v>1</v>
      </c>
      <c r="K3960">
        <v>1</v>
      </c>
      <c r="L3960">
        <v>0</v>
      </c>
      <c r="M3960" t="s">
        <v>59</v>
      </c>
    </row>
    <row r="3961" spans="1:13" hidden="1" x14ac:dyDescent="0.15">
      <c r="A3961" t="s">
        <v>12553</v>
      </c>
      <c r="B3961" t="s">
        <v>12554</v>
      </c>
      <c r="D3961" t="s">
        <v>12543</v>
      </c>
      <c r="E3961">
        <v>2</v>
      </c>
      <c r="F3961" t="str">
        <f>HYPERLINK("https://github.com/penfeizhou/APNG4Android/issues/123", "show")</f>
        <v>show</v>
      </c>
      <c r="G3961" t="str">
        <f>HYPERLINK("https://github.com/penfeizhou/APNG4Android", "show")</f>
        <v>show</v>
      </c>
      <c r="H3961" t="str">
        <f>HYPERLINK("https://github.com/penfeizhou/APNG4Android/releases", "show")</f>
        <v>show</v>
      </c>
      <c r="I3961">
        <v>0</v>
      </c>
      <c r="J3961">
        <v>0</v>
      </c>
      <c r="K3961">
        <v>0</v>
      </c>
      <c r="L3961">
        <v>1</v>
      </c>
      <c r="M3961" t="s">
        <v>581</v>
      </c>
    </row>
    <row r="3962" spans="1:13" hidden="1" x14ac:dyDescent="0.15">
      <c r="A3962" t="s">
        <v>12555</v>
      </c>
      <c r="B3962" t="s">
        <v>12556</v>
      </c>
      <c r="C3962" t="s">
        <v>12557</v>
      </c>
      <c r="D3962" t="s">
        <v>12543</v>
      </c>
      <c r="E3962">
        <v>0</v>
      </c>
      <c r="F3962" t="str">
        <f>HYPERLINK("https://github.com/PojavLauncherTeam/PojavLauncher/issues/2215", "show")</f>
        <v>show</v>
      </c>
      <c r="G3962" t="str">
        <f>HYPERLINK("https://github.com/PojavLauncherTeam/PojavLauncher", "show")</f>
        <v>show</v>
      </c>
      <c r="H3962" t="str">
        <f>HYPERLINK("https://github.com/PojavLauncherTeam/PojavLauncher/releases", "show")</f>
        <v>show</v>
      </c>
      <c r="I3962">
        <v>1</v>
      </c>
      <c r="J3962">
        <v>1</v>
      </c>
      <c r="K3962">
        <v>0</v>
      </c>
      <c r="L3962">
        <v>1</v>
      </c>
      <c r="M3962" t="s">
        <v>1894</v>
      </c>
    </row>
    <row r="3963" spans="1:13" hidden="1" x14ac:dyDescent="0.15">
      <c r="A3963" t="s">
        <v>12558</v>
      </c>
      <c r="B3963" t="s">
        <v>12559</v>
      </c>
      <c r="C3963" t="s">
        <v>12560</v>
      </c>
      <c r="D3963" t="s">
        <v>12543</v>
      </c>
      <c r="E3963">
        <v>95</v>
      </c>
      <c r="F3963" t="str">
        <f>HYPERLINK("https://github.com/canyie/pine/issues/21", "show")</f>
        <v>show</v>
      </c>
      <c r="G3963" t="str">
        <f>HYPERLINK("https://github.com/canyie/pine", "show")</f>
        <v>show</v>
      </c>
      <c r="H3963" t="str">
        <f>HYPERLINK("https://github.com/canyie/pine/releases", "show")</f>
        <v>show</v>
      </c>
      <c r="I3963">
        <v>1</v>
      </c>
      <c r="J3963">
        <v>0</v>
      </c>
      <c r="K3963">
        <v>0</v>
      </c>
      <c r="L3963">
        <v>0</v>
      </c>
      <c r="M3963" t="s">
        <v>17</v>
      </c>
    </row>
    <row r="3964" spans="1:13" hidden="1" x14ac:dyDescent="0.15">
      <c r="A3964" t="s">
        <v>12561</v>
      </c>
      <c r="B3964" t="s">
        <v>12562</v>
      </c>
      <c r="C3964" t="s">
        <v>12563</v>
      </c>
      <c r="D3964" t="s">
        <v>12564</v>
      </c>
      <c r="E3964">
        <v>142</v>
      </c>
      <c r="F3964" t="str">
        <f>HYPERLINK("https://github.com/NekoX-Dev/NekoX/issues/663", "show")</f>
        <v>show</v>
      </c>
      <c r="G3964" t="str">
        <f>HYPERLINK("https://github.com/NekoX-Dev/NekoX", "show")</f>
        <v>show</v>
      </c>
      <c r="H3964" t="str">
        <f>HYPERLINK("https://github.com/NekoX-Dev/NekoX/releases", "show")</f>
        <v>show</v>
      </c>
      <c r="I3964">
        <v>1</v>
      </c>
      <c r="J3964">
        <v>0</v>
      </c>
      <c r="K3964">
        <v>0</v>
      </c>
      <c r="L3964">
        <v>0</v>
      </c>
      <c r="M3964" t="s">
        <v>17</v>
      </c>
    </row>
    <row r="3965" spans="1:13" hidden="1" x14ac:dyDescent="0.15">
      <c r="A3965" t="s">
        <v>12565</v>
      </c>
      <c r="B3965" t="s">
        <v>12566</v>
      </c>
      <c r="C3965" t="s">
        <v>12567</v>
      </c>
      <c r="D3965" t="s">
        <v>12564</v>
      </c>
      <c r="E3965">
        <v>1</v>
      </c>
      <c r="F3965" t="str">
        <f>HYPERLINK("https://github.com/rnyholm/skvirrel/issues/64", "show")</f>
        <v>show</v>
      </c>
      <c r="G3965" t="str">
        <f>HYPERLINK("https://github.com/rnyholm/skvirrel", "show")</f>
        <v>show</v>
      </c>
      <c r="H3965" t="str">
        <f>HYPERLINK("https://github.com/rnyholm/skvirrel/releases", "show")</f>
        <v>show</v>
      </c>
      <c r="I3965">
        <v>1</v>
      </c>
      <c r="J3965">
        <v>0</v>
      </c>
      <c r="K3965">
        <v>0</v>
      </c>
      <c r="L3965">
        <v>0</v>
      </c>
      <c r="M3965" t="s">
        <v>17</v>
      </c>
    </row>
    <row r="3966" spans="1:13" hidden="1" x14ac:dyDescent="0.15">
      <c r="A3966" t="s">
        <v>12568</v>
      </c>
      <c r="B3966" t="s">
        <v>12569</v>
      </c>
      <c r="C3966" t="s">
        <v>12570</v>
      </c>
      <c r="D3966" t="s">
        <v>12564</v>
      </c>
      <c r="E3966">
        <v>3</v>
      </c>
      <c r="F3966" t="str">
        <f>HYPERLINK("https://github.com/deltachat/deltachat-android/issues/2124", "show")</f>
        <v>show</v>
      </c>
      <c r="G3966" t="str">
        <f>HYPERLINK("https://github.com/deltachat/deltachat-android", "show")</f>
        <v>show</v>
      </c>
      <c r="H3966" t="str">
        <f>HYPERLINK("https://github.com/deltachat/deltachat-android/releases", "show")</f>
        <v>show</v>
      </c>
      <c r="I3966">
        <v>0</v>
      </c>
      <c r="J3966">
        <v>0</v>
      </c>
      <c r="K3966">
        <v>1</v>
      </c>
      <c r="L3966">
        <v>0</v>
      </c>
      <c r="M3966" t="s">
        <v>122</v>
      </c>
    </row>
    <row r="3967" spans="1:13" hidden="1" x14ac:dyDescent="0.15">
      <c r="A3967" t="s">
        <v>12571</v>
      </c>
      <c r="B3967" t="s">
        <v>12572</v>
      </c>
      <c r="C3967" t="s">
        <v>12573</v>
      </c>
      <c r="D3967" t="s">
        <v>12564</v>
      </c>
      <c r="E3967">
        <v>69</v>
      </c>
      <c r="F3967" t="str">
        <f>HYPERLINK("https://github.com/doublesymmetry/react-native-track-player/issues/1327", "show")</f>
        <v>show</v>
      </c>
      <c r="G3967" t="str">
        <f>HYPERLINK("https://github.com/doublesymmetry/react-native-track-player", "show")</f>
        <v>show</v>
      </c>
      <c r="H3967" t="str">
        <f>HYPERLINK("https://github.com/doublesymmetry/react-native-track-player/releases", "show")</f>
        <v>show</v>
      </c>
      <c r="I3967">
        <v>0</v>
      </c>
      <c r="J3967">
        <v>0</v>
      </c>
      <c r="K3967">
        <v>1</v>
      </c>
      <c r="L3967">
        <v>0</v>
      </c>
      <c r="M3967" t="s">
        <v>122</v>
      </c>
    </row>
    <row r="3968" spans="1:13" hidden="1" x14ac:dyDescent="0.15">
      <c r="A3968" t="s">
        <v>12574</v>
      </c>
      <c r="B3968" t="s">
        <v>12575</v>
      </c>
      <c r="C3968" t="s">
        <v>12576</v>
      </c>
      <c r="D3968" t="s">
        <v>12564</v>
      </c>
      <c r="E3968">
        <v>1</v>
      </c>
      <c r="F3968" t="str">
        <f>HYPERLINK("https://github.com/sunilpaulmathew/sNotz/issues/15", "show")</f>
        <v>show</v>
      </c>
      <c r="G3968" t="str">
        <f>HYPERLINK("https://github.com/sunilpaulmathew/sNotz", "show")</f>
        <v>show</v>
      </c>
      <c r="H3968" t="str">
        <f>HYPERLINK("https://github.com/sunilpaulmathew/sNotz/releases", "show")</f>
        <v>show</v>
      </c>
      <c r="I3968">
        <v>1</v>
      </c>
      <c r="J3968">
        <v>0</v>
      </c>
      <c r="K3968">
        <v>0</v>
      </c>
      <c r="L3968">
        <v>0</v>
      </c>
      <c r="M3968" t="s">
        <v>17</v>
      </c>
    </row>
    <row r="3969" spans="1:13" hidden="1" x14ac:dyDescent="0.15">
      <c r="A3969" t="s">
        <v>12577</v>
      </c>
      <c r="B3969" t="s">
        <v>12578</v>
      </c>
      <c r="C3969" t="s">
        <v>12579</v>
      </c>
      <c r="D3969" t="s">
        <v>12580</v>
      </c>
      <c r="E3969">
        <v>93</v>
      </c>
      <c r="F3969" t="str">
        <f>HYPERLINK("https://github.com/cgeo/cgeo/issues/12060", "show")</f>
        <v>show</v>
      </c>
      <c r="G3969" t="str">
        <f>HYPERLINK("https://github.com/cgeo/cgeo", "show")</f>
        <v>show</v>
      </c>
      <c r="H3969" t="str">
        <f>HYPERLINK("https://github.com/cgeo/cgeo/releases", "show")</f>
        <v>show</v>
      </c>
      <c r="I3969">
        <v>0</v>
      </c>
      <c r="J3969">
        <v>0</v>
      </c>
      <c r="K3969">
        <v>1</v>
      </c>
      <c r="L3969">
        <v>0</v>
      </c>
      <c r="M3969" t="s">
        <v>122</v>
      </c>
    </row>
    <row r="3970" spans="1:13" hidden="1" x14ac:dyDescent="0.15">
      <c r="A3970" t="s">
        <v>12581</v>
      </c>
      <c r="B3970" t="s">
        <v>12582</v>
      </c>
      <c r="D3970" t="s">
        <v>12580</v>
      </c>
      <c r="E3970">
        <v>1</v>
      </c>
      <c r="F3970" t="str">
        <f>HYPERLINK("https://github.com/rnyholm/skvirrel/issues/62", "show")</f>
        <v>show</v>
      </c>
      <c r="G3970" t="str">
        <f>HYPERLINK("https://github.com/rnyholm/skvirrel", "show")</f>
        <v>show</v>
      </c>
      <c r="H3970" t="str">
        <f>HYPERLINK("https://github.com/rnyholm/skvirrel/releases", "show")</f>
        <v>show</v>
      </c>
      <c r="I3970">
        <v>1</v>
      </c>
      <c r="J3970">
        <v>0</v>
      </c>
      <c r="K3970">
        <v>0</v>
      </c>
      <c r="L3970">
        <v>0</v>
      </c>
      <c r="M3970" t="s">
        <v>17</v>
      </c>
    </row>
    <row r="3971" spans="1:13" hidden="1" x14ac:dyDescent="0.15">
      <c r="A3971" t="s">
        <v>12583</v>
      </c>
      <c r="B3971" t="s">
        <v>12584</v>
      </c>
      <c r="C3971" t="s">
        <v>12585</v>
      </c>
      <c r="D3971" t="s">
        <v>12586</v>
      </c>
      <c r="E3971">
        <v>68</v>
      </c>
      <c r="F3971" t="str">
        <f>HYPERLINK("https://github.com/material-components/material-components-android/issues/2462", "show")</f>
        <v>show</v>
      </c>
      <c r="G3971" t="str">
        <f>HYPERLINK("https://github.com/material-components/material-components-android", "show")</f>
        <v>show</v>
      </c>
      <c r="H3971" t="str">
        <f>HYPERLINK("https://github.com/material-components/material-components-android/releases", "show")</f>
        <v>show</v>
      </c>
      <c r="I3971">
        <v>1</v>
      </c>
      <c r="J3971">
        <v>0</v>
      </c>
      <c r="K3971">
        <v>1</v>
      </c>
      <c r="L3971">
        <v>0</v>
      </c>
      <c r="M3971" t="s">
        <v>64</v>
      </c>
    </row>
    <row r="3972" spans="1:13" hidden="1" x14ac:dyDescent="0.15">
      <c r="A3972" t="s">
        <v>12587</v>
      </c>
      <c r="B3972" t="s">
        <v>12588</v>
      </c>
      <c r="C3972" t="s">
        <v>12589</v>
      </c>
      <c r="D3972" t="s">
        <v>12586</v>
      </c>
      <c r="E3972">
        <v>7</v>
      </c>
      <c r="F3972" t="str">
        <f>HYPERLINK("https://github.com/colabobio/herald-test/issues/7", "show")</f>
        <v>show</v>
      </c>
      <c r="G3972" t="str">
        <f>HYPERLINK("https://github.com/colabobio/herald-test", "show")</f>
        <v>show</v>
      </c>
      <c r="H3972" t="str">
        <f>HYPERLINK("https://github.com/colabobio/herald-test/releases", "show")</f>
        <v>show</v>
      </c>
      <c r="I3972">
        <v>1</v>
      </c>
      <c r="J3972">
        <v>0</v>
      </c>
      <c r="K3972">
        <v>0</v>
      </c>
      <c r="L3972">
        <v>0</v>
      </c>
      <c r="M3972" t="s">
        <v>17</v>
      </c>
    </row>
    <row r="3973" spans="1:13" hidden="1" x14ac:dyDescent="0.15">
      <c r="A3973" t="s">
        <v>12590</v>
      </c>
      <c r="B3973" t="s">
        <v>12383</v>
      </c>
      <c r="C3973" t="s">
        <v>12591</v>
      </c>
      <c r="D3973" t="s">
        <v>12586</v>
      </c>
      <c r="E3973">
        <v>5</v>
      </c>
      <c r="F3973" t="str">
        <f>HYPERLINK("https://github.com/hzi-braunschweig/SORMAS-Project/issues/7167", "show")</f>
        <v>show</v>
      </c>
      <c r="G3973" t="str">
        <f>HYPERLINK("https://github.com/hzi-braunschweig/SORMAS-Project", "show")</f>
        <v>show</v>
      </c>
      <c r="H3973" t="str">
        <f>HYPERLINK("https://github.com/hzi-braunschweig/SORMAS-Project/releases", "show")</f>
        <v>show</v>
      </c>
      <c r="I3973">
        <v>1</v>
      </c>
      <c r="J3973">
        <v>1</v>
      </c>
      <c r="K3973">
        <v>0</v>
      </c>
      <c r="L3973">
        <v>0</v>
      </c>
      <c r="M3973" t="s">
        <v>48</v>
      </c>
    </row>
    <row r="3974" spans="1:13" hidden="1" x14ac:dyDescent="0.15">
      <c r="A3974" t="s">
        <v>12592</v>
      </c>
      <c r="B3974" t="s">
        <v>10882</v>
      </c>
      <c r="C3974" t="s">
        <v>12593</v>
      </c>
      <c r="D3974" t="s">
        <v>12586</v>
      </c>
      <c r="E3974">
        <v>1</v>
      </c>
      <c r="F3974" t="str">
        <f>HYPERLINK("https://github.com/PojavLauncherTeam/PojavLauncher/issues/2206", "show")</f>
        <v>show</v>
      </c>
      <c r="G3974" t="str">
        <f>HYPERLINK("https://github.com/PojavLauncherTeam/PojavLauncher", "show")</f>
        <v>show</v>
      </c>
      <c r="H3974" t="str">
        <f>HYPERLINK("https://github.com/PojavLauncherTeam/PojavLauncher/releases", "show")</f>
        <v>show</v>
      </c>
      <c r="I3974">
        <v>0</v>
      </c>
      <c r="J3974">
        <v>0</v>
      </c>
      <c r="K3974">
        <v>0</v>
      </c>
      <c r="L3974">
        <v>0</v>
      </c>
      <c r="M3974" t="s">
        <v>43</v>
      </c>
    </row>
    <row r="3975" spans="1:13" hidden="1" x14ac:dyDescent="0.15">
      <c r="A3975" t="s">
        <v>12594</v>
      </c>
      <c r="B3975" t="s">
        <v>12595</v>
      </c>
      <c r="C3975" t="s">
        <v>12596</v>
      </c>
      <c r="D3975" t="s">
        <v>12597</v>
      </c>
      <c r="E3975">
        <v>15</v>
      </c>
      <c r="F3975" t="str">
        <f>HYPERLINK("https://github.com/OTTAA-Project/OTTAAProject/issues/99", "show")</f>
        <v>show</v>
      </c>
      <c r="G3975" t="str">
        <f>HYPERLINK("https://github.com/OTTAA-Project/OTTAAProject", "show")</f>
        <v>show</v>
      </c>
      <c r="H3975" t="str">
        <f>HYPERLINK("https://github.com/OTTAA-Project/OTTAAProject/releases", "show")</f>
        <v>show</v>
      </c>
      <c r="I3975">
        <v>1</v>
      </c>
      <c r="J3975">
        <v>0</v>
      </c>
      <c r="K3975">
        <v>0</v>
      </c>
      <c r="L3975">
        <v>0</v>
      </c>
      <c r="M3975" t="s">
        <v>17</v>
      </c>
    </row>
    <row r="3976" spans="1:13" hidden="1" x14ac:dyDescent="0.15">
      <c r="A3976" t="s">
        <v>12598</v>
      </c>
      <c r="B3976" t="s">
        <v>12599</v>
      </c>
      <c r="C3976" t="s">
        <v>12600</v>
      </c>
      <c r="D3976" t="s">
        <v>12597</v>
      </c>
      <c r="E3976">
        <v>8</v>
      </c>
      <c r="F3976" t="str">
        <f>HYPERLINK("https://github.com/TeamNewPipe/NewPipe/issues/7357", "show")</f>
        <v>show</v>
      </c>
      <c r="G3976" t="str">
        <f>HYPERLINK("https://github.com/TeamNewPipe/NewPipe", "show")</f>
        <v>show</v>
      </c>
      <c r="H3976" t="str">
        <f>HYPERLINK("https://github.com/TeamNewPipe/NewPipe/releases", "show")</f>
        <v>show</v>
      </c>
      <c r="I3976">
        <v>0</v>
      </c>
      <c r="J3976">
        <v>0</v>
      </c>
      <c r="K3976">
        <v>1</v>
      </c>
      <c r="L3976">
        <v>0</v>
      </c>
      <c r="M3976" t="s">
        <v>122</v>
      </c>
    </row>
    <row r="3977" spans="1:13" hidden="1" x14ac:dyDescent="0.15">
      <c r="A3977" t="s">
        <v>12601</v>
      </c>
      <c r="B3977" t="s">
        <v>12602</v>
      </c>
      <c r="C3977" t="s">
        <v>12603</v>
      </c>
      <c r="D3977" t="s">
        <v>12604</v>
      </c>
      <c r="E3977">
        <v>6</v>
      </c>
      <c r="F3977" t="str">
        <f>HYPERLINK("https://github.com/nextcloud/android/issues/9196", "show")</f>
        <v>show</v>
      </c>
      <c r="G3977" t="str">
        <f>HYPERLINK("https://github.com/nextcloud/android", "show")</f>
        <v>show</v>
      </c>
      <c r="H3977" t="str">
        <f>HYPERLINK("https://github.com/nextcloud/android/releases", "show")</f>
        <v>show</v>
      </c>
      <c r="I3977">
        <v>1</v>
      </c>
      <c r="J3977">
        <v>1</v>
      </c>
      <c r="K3977">
        <v>1</v>
      </c>
      <c r="L3977">
        <v>0</v>
      </c>
      <c r="M3977" t="s">
        <v>59</v>
      </c>
    </row>
    <row r="3978" spans="1:13" hidden="1" x14ac:dyDescent="0.15">
      <c r="A3978" t="s">
        <v>12605</v>
      </c>
      <c r="B3978" t="s">
        <v>12606</v>
      </c>
      <c r="C3978" t="s">
        <v>12607</v>
      </c>
      <c r="D3978" t="s">
        <v>12604</v>
      </c>
      <c r="E3978">
        <v>7</v>
      </c>
      <c r="F3978" t="str">
        <f>HYPERLINK("https://github.com/hashgraph/hedera-sdk-java/issues/756", "show")</f>
        <v>show</v>
      </c>
      <c r="G3978" t="str">
        <f>HYPERLINK("https://github.com/hashgraph/hedera-sdk-java", "show")</f>
        <v>show</v>
      </c>
      <c r="H3978" t="str">
        <f>HYPERLINK("https://github.com/hashgraph/hedera-sdk-java/releases", "show")</f>
        <v>show</v>
      </c>
      <c r="I3978">
        <v>1</v>
      </c>
      <c r="J3978">
        <v>0</v>
      </c>
      <c r="K3978">
        <v>0</v>
      </c>
      <c r="L3978">
        <v>0</v>
      </c>
      <c r="M3978" t="s">
        <v>17</v>
      </c>
    </row>
    <row r="3979" spans="1:13" hidden="1" x14ac:dyDescent="0.15">
      <c r="A3979" t="s">
        <v>12608</v>
      </c>
      <c r="B3979" t="s">
        <v>12609</v>
      </c>
      <c r="C3979" t="s">
        <v>12610</v>
      </c>
      <c r="D3979" t="s">
        <v>12604</v>
      </c>
      <c r="E3979">
        <v>6</v>
      </c>
      <c r="F3979" t="str">
        <f>HYPERLINK("https://github.com/aryan-vishwakarma/Operations/issues/2", "show")</f>
        <v>show</v>
      </c>
      <c r="G3979" t="str">
        <f>HYPERLINK("https://github.com/aryan-vishwakarma/Operations", "show")</f>
        <v>show</v>
      </c>
      <c r="H3979" t="str">
        <f>HYPERLINK("https://github.com/aryan-vishwakarma/Operations/releases", "show")</f>
        <v>show</v>
      </c>
      <c r="I3979">
        <v>0</v>
      </c>
      <c r="J3979">
        <v>0</v>
      </c>
      <c r="K3979">
        <v>0</v>
      </c>
      <c r="L3979">
        <v>0</v>
      </c>
      <c r="M3979" t="s">
        <v>43</v>
      </c>
    </row>
    <row r="3980" spans="1:13" hidden="1" x14ac:dyDescent="0.15">
      <c r="A3980" t="s">
        <v>12611</v>
      </c>
      <c r="B3980" t="s">
        <v>12612</v>
      </c>
      <c r="C3980" t="s">
        <v>12613</v>
      </c>
      <c r="D3980" t="s">
        <v>12604</v>
      </c>
      <c r="E3980">
        <v>1</v>
      </c>
      <c r="F3980" t="str">
        <f>HYPERLINK("https://github.com/aryan-vishwakarma/Operations/issues/1", "show")</f>
        <v>show</v>
      </c>
      <c r="G3980" t="str">
        <f>HYPERLINK("https://github.com/aryan-vishwakarma/Operations", "show")</f>
        <v>show</v>
      </c>
      <c r="H3980" t="str">
        <f>HYPERLINK("https://github.com/aryan-vishwakarma/Operations/releases", "show")</f>
        <v>show</v>
      </c>
      <c r="I3980">
        <v>0</v>
      </c>
      <c r="J3980">
        <v>0</v>
      </c>
      <c r="K3980">
        <v>0</v>
      </c>
      <c r="L3980">
        <v>0</v>
      </c>
      <c r="M3980" t="s">
        <v>43</v>
      </c>
    </row>
    <row r="3981" spans="1:13" hidden="1" x14ac:dyDescent="0.15">
      <c r="A3981" t="s">
        <v>12614</v>
      </c>
      <c r="B3981" t="s">
        <v>12615</v>
      </c>
      <c r="C3981" t="s">
        <v>12616</v>
      </c>
      <c r="D3981" t="s">
        <v>12604</v>
      </c>
      <c r="E3981">
        <v>4</v>
      </c>
      <c r="F3981" t="str">
        <f>HYPERLINK("https://github.com/green-green-avk/AnotherTerm/issues/22", "show")</f>
        <v>show</v>
      </c>
      <c r="G3981" t="str">
        <f>HYPERLINK("https://github.com/green-green-avk/AnotherTerm", "show")</f>
        <v>show</v>
      </c>
      <c r="H3981" t="str">
        <f>HYPERLINK("https://github.com/green-green-avk/AnotherTerm/releases", "show")</f>
        <v>show</v>
      </c>
      <c r="I3981">
        <v>1</v>
      </c>
      <c r="J3981">
        <v>0</v>
      </c>
      <c r="K3981">
        <v>0</v>
      </c>
      <c r="L3981">
        <v>0</v>
      </c>
      <c r="M3981" t="s">
        <v>17</v>
      </c>
    </row>
    <row r="3982" spans="1:13" hidden="1" x14ac:dyDescent="0.15">
      <c r="A3982" t="s">
        <v>12617</v>
      </c>
      <c r="B3982" t="s">
        <v>12618</v>
      </c>
      <c r="C3982" t="s">
        <v>12619</v>
      </c>
      <c r="D3982" t="s">
        <v>12604</v>
      </c>
      <c r="E3982">
        <v>0</v>
      </c>
      <c r="F3982" t="str">
        <f>HYPERLINK("https://github.com/jellyfin/jellyfin-androidtv/issues/1236", "show")</f>
        <v>show</v>
      </c>
      <c r="G3982" t="str">
        <f>HYPERLINK("https://github.com/jellyfin/jellyfin-androidtv", "show")</f>
        <v>show</v>
      </c>
      <c r="H3982" t="str">
        <f>HYPERLINK("https://github.com/jellyfin/jellyfin-androidtv/releases", "show")</f>
        <v>show</v>
      </c>
      <c r="I3982">
        <v>0</v>
      </c>
      <c r="J3982">
        <v>0</v>
      </c>
      <c r="K3982">
        <v>0</v>
      </c>
      <c r="L3982">
        <v>0</v>
      </c>
      <c r="M3982" t="s">
        <v>43</v>
      </c>
    </row>
    <row r="3983" spans="1:13" hidden="1" x14ac:dyDescent="0.15">
      <c r="A3983" t="s">
        <v>12620</v>
      </c>
      <c r="B3983" t="s">
        <v>12621</v>
      </c>
      <c r="C3983" t="s">
        <v>12622</v>
      </c>
      <c r="D3983" t="s">
        <v>12604</v>
      </c>
      <c r="E3983">
        <v>68</v>
      </c>
      <c r="F3983" t="str">
        <f>HYPERLINK("https://github.com/googleads/googleads-mobile-flutter/issues/422", "show")</f>
        <v>show</v>
      </c>
      <c r="G3983" t="str">
        <f>HYPERLINK("https://github.com/googleads/googleads-mobile-flutter", "show")</f>
        <v>show</v>
      </c>
      <c r="H3983" t="str">
        <f>HYPERLINK("https://github.com/googleads/googleads-mobile-flutter/releases", "show")</f>
        <v>show</v>
      </c>
      <c r="I3983">
        <v>1</v>
      </c>
      <c r="J3983">
        <v>0</v>
      </c>
      <c r="K3983">
        <v>1</v>
      </c>
      <c r="L3983">
        <v>0</v>
      </c>
      <c r="M3983" t="s">
        <v>64</v>
      </c>
    </row>
    <row r="3984" spans="1:13" hidden="1" x14ac:dyDescent="0.15">
      <c r="A3984" t="s">
        <v>12623</v>
      </c>
      <c r="B3984" t="s">
        <v>12624</v>
      </c>
      <c r="C3984" t="s">
        <v>12625</v>
      </c>
      <c r="D3984" t="s">
        <v>12604</v>
      </c>
      <c r="E3984">
        <v>56</v>
      </c>
      <c r="F3984" t="str">
        <f>HYPERLINK("https://github.com/itsaky/AndroidIDE/issues/21", "show")</f>
        <v>show</v>
      </c>
      <c r="G3984" t="str">
        <f>HYPERLINK("https://github.com/itsaky/AndroidIDE", "show")</f>
        <v>show</v>
      </c>
      <c r="H3984" t="str">
        <f>HYPERLINK("https://github.com/itsaky/AndroidIDE/releases", "show")</f>
        <v>show</v>
      </c>
      <c r="I3984">
        <v>1</v>
      </c>
      <c r="J3984">
        <v>0</v>
      </c>
      <c r="K3984">
        <v>0</v>
      </c>
      <c r="L3984">
        <v>0</v>
      </c>
      <c r="M3984" t="s">
        <v>17</v>
      </c>
    </row>
    <row r="3985" spans="1:13" hidden="1" x14ac:dyDescent="0.15">
      <c r="A3985" t="s">
        <v>12626</v>
      </c>
      <c r="B3985" t="s">
        <v>12627</v>
      </c>
      <c r="C3985" t="s">
        <v>12628</v>
      </c>
      <c r="D3985" t="s">
        <v>12629</v>
      </c>
      <c r="E3985">
        <v>153</v>
      </c>
      <c r="F3985" t="str">
        <f>HYPERLINK("https://github.com/jellyfin/jellyfin-androidtv/issues/1235", "show")</f>
        <v>show</v>
      </c>
      <c r="G3985" t="str">
        <f>HYPERLINK("https://github.com/jellyfin/jellyfin-androidtv", "show")</f>
        <v>show</v>
      </c>
      <c r="H3985" t="str">
        <f>HYPERLINK("https://github.com/jellyfin/jellyfin-androidtv/releases", "show")</f>
        <v>show</v>
      </c>
      <c r="I3985">
        <v>1</v>
      </c>
      <c r="J3985">
        <v>0</v>
      </c>
      <c r="K3985">
        <v>1</v>
      </c>
      <c r="L3985">
        <v>0</v>
      </c>
      <c r="M3985" t="s">
        <v>64</v>
      </c>
    </row>
    <row r="3986" spans="1:13" hidden="1" x14ac:dyDescent="0.15">
      <c r="A3986" t="s">
        <v>12630</v>
      </c>
      <c r="B3986" t="s">
        <v>12631</v>
      </c>
      <c r="C3986" t="s">
        <v>12632</v>
      </c>
      <c r="D3986" t="s">
        <v>12629</v>
      </c>
      <c r="E3986">
        <v>0</v>
      </c>
      <c r="F3986" t="str">
        <f>HYPERLINK("https://github.com/VishnuSanal/Quotes/issues/65", "show")</f>
        <v>show</v>
      </c>
      <c r="G3986" t="str">
        <f>HYPERLINK("https://github.com/VishnuSanal/Quotes", "show")</f>
        <v>show</v>
      </c>
      <c r="H3986" t="str">
        <f>HYPERLINK("https://github.com/VishnuSanal/Quotes/releases", "show")</f>
        <v>show</v>
      </c>
      <c r="I3986">
        <v>0</v>
      </c>
      <c r="J3986">
        <v>0</v>
      </c>
      <c r="K3986">
        <v>1</v>
      </c>
      <c r="L3986">
        <v>0</v>
      </c>
      <c r="M3986" t="s">
        <v>122</v>
      </c>
    </row>
    <row r="3987" spans="1:13" hidden="1" x14ac:dyDescent="0.15">
      <c r="A3987" t="s">
        <v>12633</v>
      </c>
      <c r="B3987" t="s">
        <v>12634</v>
      </c>
      <c r="C3987" t="s">
        <v>12635</v>
      </c>
      <c r="D3987" t="s">
        <v>12629</v>
      </c>
      <c r="E3987">
        <v>84</v>
      </c>
      <c r="F3987" t="str">
        <f>HYPERLINK("https://github.com/material-components/material-components-android/issues/2455", "show")</f>
        <v>show</v>
      </c>
      <c r="G3987" t="str">
        <f>HYPERLINK("https://github.com/material-components/material-components-android", "show")</f>
        <v>show</v>
      </c>
      <c r="H3987" t="str">
        <f>HYPERLINK("https://github.com/material-components/material-components-android/releases", "show")</f>
        <v>show</v>
      </c>
      <c r="I3987">
        <v>1</v>
      </c>
      <c r="J3987">
        <v>1</v>
      </c>
      <c r="K3987">
        <v>0</v>
      </c>
      <c r="L3987">
        <v>0</v>
      </c>
      <c r="M3987" t="s">
        <v>48</v>
      </c>
    </row>
    <row r="3988" spans="1:13" hidden="1" x14ac:dyDescent="0.15">
      <c r="A3988" t="s">
        <v>12636</v>
      </c>
      <c r="B3988" t="s">
        <v>12637</v>
      </c>
      <c r="C3988" t="s">
        <v>12638</v>
      </c>
      <c r="D3988" t="s">
        <v>12629</v>
      </c>
      <c r="E3988">
        <v>73</v>
      </c>
      <c r="F3988" t="str">
        <f>HYPERLINK("https://github.com/doublesymmetry/react-native-track-player/issues/1322", "show")</f>
        <v>show</v>
      </c>
      <c r="G3988" t="str">
        <f>HYPERLINK("https://github.com/doublesymmetry/react-native-track-player", "show")</f>
        <v>show</v>
      </c>
      <c r="H3988" t="str">
        <f>HYPERLINK("https://github.com/doublesymmetry/react-native-track-player/releases", "show")</f>
        <v>show</v>
      </c>
      <c r="I3988">
        <v>1</v>
      </c>
      <c r="J3988">
        <v>1</v>
      </c>
      <c r="K3988">
        <v>1</v>
      </c>
      <c r="L3988">
        <v>0</v>
      </c>
      <c r="M3988" t="s">
        <v>59</v>
      </c>
    </row>
    <row r="3989" spans="1:13" hidden="1" x14ac:dyDescent="0.15">
      <c r="A3989" t="s">
        <v>12639</v>
      </c>
      <c r="B3989" t="s">
        <v>12640</v>
      </c>
      <c r="C3989" t="s">
        <v>12641</v>
      </c>
      <c r="D3989" t="s">
        <v>12629</v>
      </c>
      <c r="E3989">
        <v>13</v>
      </c>
      <c r="F3989" t="str">
        <f>HYPERLINK("https://github.com/Woosmap/geofencing-android-sdk/issues/53", "show")</f>
        <v>show</v>
      </c>
      <c r="G3989" t="str">
        <f>HYPERLINK("https://github.com/Woosmap/geofencing-android-sdk", "show")</f>
        <v>show</v>
      </c>
      <c r="H3989" t="str">
        <f>HYPERLINK("https://github.com/Woosmap/geofencing-android-sdk/releases", "show")</f>
        <v>show</v>
      </c>
      <c r="I3989">
        <v>1</v>
      </c>
      <c r="J3989">
        <v>0</v>
      </c>
      <c r="K3989">
        <v>1</v>
      </c>
      <c r="L3989">
        <v>0</v>
      </c>
      <c r="M3989" t="s">
        <v>64</v>
      </c>
    </row>
    <row r="3990" spans="1:13" hidden="1" x14ac:dyDescent="0.15">
      <c r="A3990" t="s">
        <v>12642</v>
      </c>
      <c r="B3990" t="s">
        <v>12643</v>
      </c>
      <c r="C3990" t="s">
        <v>12644</v>
      </c>
      <c r="D3990" t="s">
        <v>12629</v>
      </c>
      <c r="E3990">
        <v>0</v>
      </c>
      <c r="F3990" t="str">
        <f>HYPERLINK("https://github.com/CMPUT301F21T06/TheHabitController/issues/15", "show")</f>
        <v>show</v>
      </c>
      <c r="G3990" t="str">
        <f>HYPERLINK("https://github.com/CMPUT301F21T06/TheHabitController", "show")</f>
        <v>show</v>
      </c>
      <c r="H3990" t="str">
        <f>HYPERLINK("https://github.com/CMPUT301F21T06/TheHabitController/releases", "show")</f>
        <v>show</v>
      </c>
      <c r="I3990">
        <v>0</v>
      </c>
      <c r="J3990">
        <v>0</v>
      </c>
      <c r="K3990">
        <v>0</v>
      </c>
      <c r="L3990">
        <v>0</v>
      </c>
      <c r="M3990" t="s">
        <v>43</v>
      </c>
    </row>
    <row r="3991" spans="1:13" hidden="1" x14ac:dyDescent="0.15">
      <c r="A3991" t="s">
        <v>12645</v>
      </c>
      <c r="B3991" t="s">
        <v>12646</v>
      </c>
      <c r="C3991" t="s">
        <v>12647</v>
      </c>
      <c r="D3991" t="s">
        <v>12629</v>
      </c>
      <c r="E3991">
        <v>8</v>
      </c>
      <c r="F3991" t="str">
        <f>HYPERLINK("https://github.com/PojavLauncherTeam/PojavLauncher/issues/2196", "show")</f>
        <v>show</v>
      </c>
      <c r="G3991" t="str">
        <f>HYPERLINK("https://github.com/PojavLauncherTeam/PojavLauncher", "show")</f>
        <v>show</v>
      </c>
      <c r="H3991" t="str">
        <f>HYPERLINK("https://github.com/PojavLauncherTeam/PojavLauncher/releases", "show")</f>
        <v>show</v>
      </c>
      <c r="I3991">
        <v>1</v>
      </c>
      <c r="J3991">
        <v>0</v>
      </c>
      <c r="K3991">
        <v>0</v>
      </c>
      <c r="L3991">
        <v>0</v>
      </c>
      <c r="M3991" t="s">
        <v>17</v>
      </c>
    </row>
    <row r="3992" spans="1:13" hidden="1" x14ac:dyDescent="0.15">
      <c r="A3992" t="s">
        <v>12648</v>
      </c>
      <c r="B3992" t="s">
        <v>12649</v>
      </c>
      <c r="C3992" t="s">
        <v>12650</v>
      </c>
      <c r="D3992" t="s">
        <v>12629</v>
      </c>
      <c r="E3992">
        <v>65</v>
      </c>
      <c r="F3992" t="str">
        <f>HYPERLINK("https://github.com/PojavLauncherTeam/PojavLauncher/issues/2194", "show")</f>
        <v>show</v>
      </c>
      <c r="G3992" t="str">
        <f>HYPERLINK("https://github.com/PojavLauncherTeam/PojavLauncher", "show")</f>
        <v>show</v>
      </c>
      <c r="H3992" t="str">
        <f>HYPERLINK("https://github.com/PojavLauncherTeam/PojavLauncher/releases", "show")</f>
        <v>show</v>
      </c>
      <c r="I3992">
        <v>1</v>
      </c>
      <c r="J3992">
        <v>0</v>
      </c>
      <c r="K3992">
        <v>0</v>
      </c>
      <c r="L3992">
        <v>0</v>
      </c>
      <c r="M3992" t="s">
        <v>17</v>
      </c>
    </row>
    <row r="3993" spans="1:13" hidden="1" x14ac:dyDescent="0.15">
      <c r="A3993" t="s">
        <v>12651</v>
      </c>
      <c r="B3993" t="s">
        <v>12652</v>
      </c>
      <c r="C3993" t="s">
        <v>12653</v>
      </c>
      <c r="D3993" t="s">
        <v>12654</v>
      </c>
      <c r="E3993">
        <v>0</v>
      </c>
      <c r="F3993" t="str">
        <f>HYPERLINK("https://github.com/Anuken/Mindustry/issues/6282", "show")</f>
        <v>show</v>
      </c>
      <c r="G3993" t="str">
        <f>HYPERLINK("https://github.com/Anuken/Mindustry", "show")</f>
        <v>show</v>
      </c>
      <c r="H3993" t="str">
        <f>HYPERLINK("https://github.com/Anuken/Mindustry/releases", "show")</f>
        <v>show</v>
      </c>
      <c r="I3993">
        <v>1</v>
      </c>
      <c r="J3993">
        <v>1</v>
      </c>
      <c r="K3993">
        <v>0</v>
      </c>
      <c r="L3993">
        <v>1</v>
      </c>
      <c r="M3993" t="s">
        <v>1894</v>
      </c>
    </row>
    <row r="3994" spans="1:13" hidden="1" x14ac:dyDescent="0.15">
      <c r="A3994" t="s">
        <v>12655</v>
      </c>
      <c r="B3994" t="s">
        <v>12656</v>
      </c>
      <c r="C3994" t="s">
        <v>12657</v>
      </c>
      <c r="D3994" t="s">
        <v>12654</v>
      </c>
      <c r="E3994">
        <v>0</v>
      </c>
      <c r="F3994" t="str">
        <f>HYPERLINK("https://github.com/Anuken/Mindustry/issues/6281", "show")</f>
        <v>show</v>
      </c>
      <c r="G3994" t="str">
        <f>HYPERLINK("https://github.com/Anuken/Mindustry", "show")</f>
        <v>show</v>
      </c>
      <c r="H3994" t="str">
        <f>HYPERLINK("https://github.com/Anuken/Mindustry/releases", "show")</f>
        <v>show</v>
      </c>
      <c r="I3994">
        <v>1</v>
      </c>
      <c r="J3994">
        <v>1</v>
      </c>
      <c r="K3994">
        <v>0</v>
      </c>
      <c r="L3994">
        <v>1</v>
      </c>
      <c r="M3994" t="s">
        <v>1894</v>
      </c>
    </row>
    <row r="3995" spans="1:13" hidden="1" x14ac:dyDescent="0.15">
      <c r="A3995" t="s">
        <v>12658</v>
      </c>
      <c r="B3995" t="s">
        <v>12659</v>
      </c>
      <c r="C3995" t="s">
        <v>12660</v>
      </c>
      <c r="D3995" t="s">
        <v>12654</v>
      </c>
      <c r="E3995">
        <v>0</v>
      </c>
      <c r="F3995" t="str">
        <f>HYPERLINK("https://github.com/PojavLauncherTeam/PojavLauncher/issues/2188", "show")</f>
        <v>show</v>
      </c>
      <c r="G3995" t="str">
        <f>HYPERLINK("https://github.com/PojavLauncherTeam/PojavLauncher", "show")</f>
        <v>show</v>
      </c>
      <c r="H3995" t="str">
        <f>HYPERLINK("https://github.com/PojavLauncherTeam/PojavLauncher/releases", "show")</f>
        <v>show</v>
      </c>
      <c r="I3995">
        <v>1</v>
      </c>
      <c r="J3995">
        <v>0</v>
      </c>
      <c r="K3995">
        <v>0</v>
      </c>
      <c r="L3995">
        <v>1</v>
      </c>
      <c r="M3995" t="s">
        <v>29</v>
      </c>
    </row>
    <row r="3996" spans="1:13" hidden="1" x14ac:dyDescent="0.15">
      <c r="A3996" t="s">
        <v>12661</v>
      </c>
      <c r="B3996" t="s">
        <v>12662</v>
      </c>
      <c r="C3996" t="s">
        <v>12663</v>
      </c>
      <c r="D3996" t="s">
        <v>12654</v>
      </c>
      <c r="E3996">
        <v>0</v>
      </c>
      <c r="F3996" t="str">
        <f>HYPERLINK("https://github.com/PojavLauncherTeam/PojavLauncher/issues/2187", "show")</f>
        <v>show</v>
      </c>
      <c r="G3996" t="str">
        <f>HYPERLINK("https://github.com/PojavLauncherTeam/PojavLauncher", "show")</f>
        <v>show</v>
      </c>
      <c r="H3996" t="str">
        <f>HYPERLINK("https://github.com/PojavLauncherTeam/PojavLauncher/releases", "show")</f>
        <v>show</v>
      </c>
      <c r="I3996">
        <v>1</v>
      </c>
      <c r="J3996">
        <v>1</v>
      </c>
      <c r="K3996">
        <v>0</v>
      </c>
      <c r="L3996">
        <v>0</v>
      </c>
      <c r="M3996" t="s">
        <v>48</v>
      </c>
    </row>
    <row r="3997" spans="1:13" hidden="1" x14ac:dyDescent="0.15">
      <c r="A3997" t="s">
        <v>12664</v>
      </c>
      <c r="B3997" t="s">
        <v>12665</v>
      </c>
      <c r="D3997" t="s">
        <v>12666</v>
      </c>
      <c r="E3997">
        <v>23</v>
      </c>
      <c r="F3997" t="str">
        <f>HYPERLINK("https://github.com/AlexBernabeAlv/ClimAlert/issues/1", "show")</f>
        <v>show</v>
      </c>
      <c r="G3997" t="str">
        <f>HYPERLINK("https://github.com/AlexBernabeAlv/ClimAlert", "show")</f>
        <v>show</v>
      </c>
      <c r="H3997" t="str">
        <f>HYPERLINK("https://github.com/AlexBernabeAlv/ClimAlert/releases", "show")</f>
        <v>show</v>
      </c>
      <c r="I3997">
        <v>0</v>
      </c>
      <c r="J3997">
        <v>0</v>
      </c>
      <c r="K3997">
        <v>0</v>
      </c>
      <c r="L3997">
        <v>0</v>
      </c>
      <c r="M3997" t="s">
        <v>43</v>
      </c>
    </row>
    <row r="3998" spans="1:13" hidden="1" x14ac:dyDescent="0.15">
      <c r="A3998" t="s">
        <v>12667</v>
      </c>
      <c r="B3998" t="s">
        <v>12668</v>
      </c>
      <c r="C3998" t="s">
        <v>12669</v>
      </c>
      <c r="D3998" t="s">
        <v>12666</v>
      </c>
      <c r="E3998">
        <v>164</v>
      </c>
      <c r="F3998" t="str">
        <f>HYPERLINK("https://github.com/doublesymmetry/react-native-track-player/issues/1321", "show")</f>
        <v>show</v>
      </c>
      <c r="G3998" t="str">
        <f>HYPERLINK("https://github.com/doublesymmetry/react-native-track-player", "show")</f>
        <v>show</v>
      </c>
      <c r="H3998" t="str">
        <f>HYPERLINK("https://github.com/doublesymmetry/react-native-track-player/releases", "show")</f>
        <v>show</v>
      </c>
      <c r="I3998">
        <v>1</v>
      </c>
      <c r="J3998">
        <v>0</v>
      </c>
      <c r="K3998">
        <v>0</v>
      </c>
      <c r="L3998">
        <v>0</v>
      </c>
      <c r="M3998" t="s">
        <v>17</v>
      </c>
    </row>
    <row r="3999" spans="1:13" hidden="1" x14ac:dyDescent="0.15">
      <c r="A3999" t="s">
        <v>12670</v>
      </c>
      <c r="B3999" t="s">
        <v>12671</v>
      </c>
      <c r="C3999" t="s">
        <v>12672</v>
      </c>
      <c r="D3999" t="s">
        <v>12673</v>
      </c>
      <c r="E3999">
        <v>1</v>
      </c>
      <c r="F3999" t="str">
        <f>HYPERLINK("https://github.com/Anuken/Mindustry/issues/6272", "show")</f>
        <v>show</v>
      </c>
      <c r="G3999" t="str">
        <f>HYPERLINK("https://github.com/Anuken/Mindustry", "show")</f>
        <v>show</v>
      </c>
      <c r="H3999" t="str">
        <f>HYPERLINK("https://github.com/Anuken/Mindustry/releases", "show")</f>
        <v>show</v>
      </c>
      <c r="I3999">
        <v>1</v>
      </c>
      <c r="J3999">
        <v>0</v>
      </c>
      <c r="K3999">
        <v>0</v>
      </c>
      <c r="L3999">
        <v>0</v>
      </c>
      <c r="M3999" t="s">
        <v>17</v>
      </c>
    </row>
    <row r="4000" spans="1:13" hidden="1" x14ac:dyDescent="0.15">
      <c r="A4000" t="s">
        <v>12674</v>
      </c>
      <c r="B4000" t="s">
        <v>12675</v>
      </c>
      <c r="C4000" t="s">
        <v>12676</v>
      </c>
      <c r="D4000" t="s">
        <v>12673</v>
      </c>
      <c r="E4000">
        <v>3</v>
      </c>
      <c r="F4000" t="str">
        <f>HYPERLINK("https://github.com/nextcloud/android/issues/9178", "show")</f>
        <v>show</v>
      </c>
      <c r="G4000" t="str">
        <f>HYPERLINK("https://github.com/nextcloud/android", "show")</f>
        <v>show</v>
      </c>
      <c r="H4000" t="str">
        <f>HYPERLINK("https://github.com/nextcloud/android/releases", "show")</f>
        <v>show</v>
      </c>
      <c r="I4000">
        <v>0</v>
      </c>
      <c r="J4000">
        <v>1</v>
      </c>
      <c r="K4000">
        <v>0</v>
      </c>
      <c r="L4000">
        <v>1</v>
      </c>
      <c r="M4000" t="s">
        <v>1732</v>
      </c>
    </row>
    <row r="4001" spans="1:13" hidden="1" x14ac:dyDescent="0.15">
      <c r="A4001" t="s">
        <v>12677</v>
      </c>
      <c r="B4001" t="s">
        <v>12678</v>
      </c>
      <c r="C4001" t="s">
        <v>12679</v>
      </c>
      <c r="D4001" t="s">
        <v>12673</v>
      </c>
      <c r="E4001">
        <v>1</v>
      </c>
      <c r="F4001" t="str">
        <f>HYPERLINK("https://github.com/HiddenRamblings/TagMo/issues/306", "show")</f>
        <v>show</v>
      </c>
      <c r="G4001" t="str">
        <f>HYPERLINK("https://github.com/HiddenRamblings/TagMo", "show")</f>
        <v>show</v>
      </c>
      <c r="H4001" t="str">
        <f>HYPERLINK("https://github.com/HiddenRamblings/TagMo/releases", "show")</f>
        <v>show</v>
      </c>
      <c r="I4001">
        <v>1</v>
      </c>
      <c r="J4001">
        <v>0</v>
      </c>
      <c r="K4001">
        <v>0</v>
      </c>
      <c r="L4001">
        <v>0</v>
      </c>
      <c r="M4001" t="s">
        <v>17</v>
      </c>
    </row>
    <row r="4002" spans="1:13" hidden="1" x14ac:dyDescent="0.15">
      <c r="A4002" t="s">
        <v>12680</v>
      </c>
      <c r="B4002" t="s">
        <v>12681</v>
      </c>
      <c r="D4002" t="s">
        <v>12673</v>
      </c>
      <c r="E4002">
        <v>96</v>
      </c>
      <c r="F4002" t="str">
        <f>HYPERLINK("https://github.com/CMPUT301F21T02/Heebit/issues/149", "show")</f>
        <v>show</v>
      </c>
      <c r="G4002" t="str">
        <f>HYPERLINK("https://github.com/CMPUT301F21T02/Heebit", "show")</f>
        <v>show</v>
      </c>
      <c r="H4002" t="str">
        <f>HYPERLINK("https://github.com/CMPUT301F21T02/Heebit/releases", "show")</f>
        <v>show</v>
      </c>
      <c r="I4002">
        <v>1</v>
      </c>
      <c r="J4002">
        <v>0</v>
      </c>
      <c r="K4002">
        <v>0</v>
      </c>
      <c r="L4002">
        <v>0</v>
      </c>
      <c r="M4002" t="s">
        <v>17</v>
      </c>
    </row>
    <row r="4003" spans="1:13" hidden="1" x14ac:dyDescent="0.15">
      <c r="A4003" t="s">
        <v>12682</v>
      </c>
      <c r="B4003" t="s">
        <v>12683</v>
      </c>
      <c r="C4003" t="s">
        <v>12684</v>
      </c>
      <c r="D4003" t="s">
        <v>12685</v>
      </c>
      <c r="E4003">
        <v>126</v>
      </c>
      <c r="F4003" t="str">
        <f>HYPERLINK("https://github.com/nextcloud/android/issues/9173", "show")</f>
        <v>show</v>
      </c>
      <c r="G4003" t="str">
        <f>HYPERLINK("https://github.com/nextcloud/android", "show")</f>
        <v>show</v>
      </c>
      <c r="H4003" t="str">
        <f>HYPERLINK("https://github.com/nextcloud/android/releases", "show")</f>
        <v>show</v>
      </c>
      <c r="I4003">
        <v>1</v>
      </c>
      <c r="J4003">
        <v>0</v>
      </c>
      <c r="K4003">
        <v>0</v>
      </c>
      <c r="L4003">
        <v>0</v>
      </c>
      <c r="M4003" t="s">
        <v>17</v>
      </c>
    </row>
    <row r="4004" spans="1:13" hidden="1" x14ac:dyDescent="0.15">
      <c r="A4004" t="s">
        <v>12686</v>
      </c>
      <c r="B4004" t="s">
        <v>12687</v>
      </c>
      <c r="C4004" t="s">
        <v>12688</v>
      </c>
      <c r="D4004" t="s">
        <v>12685</v>
      </c>
      <c r="E4004">
        <v>6</v>
      </c>
      <c r="F4004" t="str">
        <f>HYPERLINK("https://github.com/nextcloud/android/issues/9171", "show")</f>
        <v>show</v>
      </c>
      <c r="G4004" t="str">
        <f>HYPERLINK("https://github.com/nextcloud/android", "show")</f>
        <v>show</v>
      </c>
      <c r="H4004" t="str">
        <f>HYPERLINK("https://github.com/nextcloud/android/releases", "show")</f>
        <v>show</v>
      </c>
      <c r="I4004">
        <v>1</v>
      </c>
      <c r="J4004">
        <v>0</v>
      </c>
      <c r="K4004">
        <v>0</v>
      </c>
      <c r="L4004">
        <v>0</v>
      </c>
      <c r="M4004" t="s">
        <v>17</v>
      </c>
    </row>
    <row r="4005" spans="1:13" hidden="1" x14ac:dyDescent="0.15">
      <c r="A4005" t="s">
        <v>12689</v>
      </c>
      <c r="B4005" t="s">
        <v>12690</v>
      </c>
      <c r="C4005" t="s">
        <v>12691</v>
      </c>
      <c r="D4005" t="s">
        <v>12685</v>
      </c>
      <c r="E4005">
        <v>0</v>
      </c>
      <c r="F4005" t="str">
        <f>HYPERLINK("https://github.com/Anuken/Mindustry/issues/6256", "show")</f>
        <v>show</v>
      </c>
      <c r="G4005" t="str">
        <f>HYPERLINK("https://github.com/Anuken/Mindustry", "show")</f>
        <v>show</v>
      </c>
      <c r="H4005" t="str">
        <f>HYPERLINK("https://github.com/Anuken/Mindustry/releases", "show")</f>
        <v>show</v>
      </c>
      <c r="I4005">
        <v>1</v>
      </c>
      <c r="J4005">
        <v>1</v>
      </c>
      <c r="K4005">
        <v>0</v>
      </c>
      <c r="L4005">
        <v>0</v>
      </c>
      <c r="M4005" t="s">
        <v>48</v>
      </c>
    </row>
    <row r="4006" spans="1:13" hidden="1" x14ac:dyDescent="0.15">
      <c r="A4006" t="s">
        <v>12692</v>
      </c>
      <c r="B4006" t="s">
        <v>12693</v>
      </c>
      <c r="C4006" t="s">
        <v>12694</v>
      </c>
      <c r="D4006" t="s">
        <v>12695</v>
      </c>
      <c r="E4006">
        <v>5</v>
      </c>
      <c r="F4006" t="str">
        <f>HYPERLINK("https://github.com/dedis/popstellar/issues/553", "show")</f>
        <v>show</v>
      </c>
      <c r="G4006" t="str">
        <f>HYPERLINK("https://github.com/dedis/popstellar", "show")</f>
        <v>show</v>
      </c>
      <c r="H4006" t="str">
        <f>HYPERLINK("https://github.com/dedis/popstellar/releases", "show")</f>
        <v>show</v>
      </c>
      <c r="I4006">
        <v>1</v>
      </c>
      <c r="J4006">
        <v>0</v>
      </c>
      <c r="K4006">
        <v>0</v>
      </c>
      <c r="L4006">
        <v>0</v>
      </c>
      <c r="M4006" t="s">
        <v>17</v>
      </c>
    </row>
    <row r="4007" spans="1:13" hidden="1" x14ac:dyDescent="0.15">
      <c r="A4007" t="s">
        <v>12696</v>
      </c>
      <c r="B4007" t="s">
        <v>12697</v>
      </c>
      <c r="C4007" t="s">
        <v>12698</v>
      </c>
      <c r="D4007" t="s">
        <v>12695</v>
      </c>
      <c r="E4007">
        <v>5</v>
      </c>
      <c r="F4007" t="str">
        <f>HYPERLINK("https://github.com/dedis/popstellar/issues/552", "show")</f>
        <v>show</v>
      </c>
      <c r="G4007" t="str">
        <f>HYPERLINK("https://github.com/dedis/popstellar", "show")</f>
        <v>show</v>
      </c>
      <c r="H4007" t="str">
        <f>HYPERLINK("https://github.com/dedis/popstellar/releases", "show")</f>
        <v>show</v>
      </c>
      <c r="I4007">
        <v>1</v>
      </c>
      <c r="J4007">
        <v>0</v>
      </c>
      <c r="K4007">
        <v>0</v>
      </c>
      <c r="L4007">
        <v>0</v>
      </c>
      <c r="M4007" t="s">
        <v>17</v>
      </c>
    </row>
    <row r="4008" spans="1:13" hidden="1" x14ac:dyDescent="0.15">
      <c r="A4008" t="s">
        <v>12699</v>
      </c>
      <c r="B4008" t="s">
        <v>12700</v>
      </c>
      <c r="C4008" t="s">
        <v>12701</v>
      </c>
      <c r="D4008" t="s">
        <v>12695</v>
      </c>
      <c r="E4008">
        <v>0</v>
      </c>
      <c r="F4008" t="str">
        <f>HYPERLINK("https://github.com/PojavLauncherTeam/PojavLauncher/issues/2174", "show")</f>
        <v>show</v>
      </c>
      <c r="G4008" t="str">
        <f>HYPERLINK("https://github.com/PojavLauncherTeam/PojavLauncher", "show")</f>
        <v>show</v>
      </c>
      <c r="H4008" t="str">
        <f>HYPERLINK("https://github.com/PojavLauncherTeam/PojavLauncher/releases", "show")</f>
        <v>show</v>
      </c>
      <c r="I4008">
        <v>1</v>
      </c>
      <c r="J4008">
        <v>1</v>
      </c>
      <c r="K4008">
        <v>0</v>
      </c>
      <c r="L4008">
        <v>0</v>
      </c>
      <c r="M4008" t="s">
        <v>48</v>
      </c>
    </row>
    <row r="4009" spans="1:13" hidden="1" x14ac:dyDescent="0.15">
      <c r="A4009" t="s">
        <v>12702</v>
      </c>
      <c r="B4009" t="s">
        <v>12703</v>
      </c>
      <c r="C4009" t="s">
        <v>12704</v>
      </c>
      <c r="D4009" t="s">
        <v>12695</v>
      </c>
      <c r="E4009">
        <v>1</v>
      </c>
      <c r="F4009" t="str">
        <f>HYPERLINK("https://github.com/PojavLauncherTeam/PojavLauncher/issues/2173", "show")</f>
        <v>show</v>
      </c>
      <c r="G4009" t="str">
        <f>HYPERLINK("https://github.com/PojavLauncherTeam/PojavLauncher", "show")</f>
        <v>show</v>
      </c>
      <c r="H4009" t="str">
        <f>HYPERLINK("https://github.com/PojavLauncherTeam/PojavLauncher/releases", "show")</f>
        <v>show</v>
      </c>
      <c r="I4009">
        <v>1</v>
      </c>
      <c r="J4009">
        <v>0</v>
      </c>
      <c r="K4009">
        <v>0</v>
      </c>
      <c r="L4009">
        <v>0</v>
      </c>
      <c r="M4009" t="s">
        <v>17</v>
      </c>
    </row>
    <row r="4010" spans="1:13" hidden="1" x14ac:dyDescent="0.15">
      <c r="A4010" t="s">
        <v>12705</v>
      </c>
      <c r="B4010" t="s">
        <v>12706</v>
      </c>
      <c r="C4010" t="s">
        <v>11701</v>
      </c>
      <c r="D4010" t="s">
        <v>12695</v>
      </c>
      <c r="E4010">
        <v>0</v>
      </c>
      <c r="F4010" t="str">
        <f>HYPERLINK("https://github.com/Anuken/Mindustry/issues/6249", "show")</f>
        <v>show</v>
      </c>
      <c r="G4010" t="str">
        <f>HYPERLINK("https://github.com/Anuken/Mindustry", "show")</f>
        <v>show</v>
      </c>
      <c r="H4010" t="str">
        <f>HYPERLINK("https://github.com/Anuken/Mindustry/releases", "show")</f>
        <v>show</v>
      </c>
      <c r="I4010">
        <v>1</v>
      </c>
      <c r="J4010">
        <v>1</v>
      </c>
      <c r="K4010">
        <v>0</v>
      </c>
      <c r="L4010">
        <v>0</v>
      </c>
      <c r="M4010" t="s">
        <v>48</v>
      </c>
    </row>
    <row r="4011" spans="1:13" hidden="1" x14ac:dyDescent="0.15">
      <c r="A4011" t="s">
        <v>12707</v>
      </c>
      <c r="B4011" t="s">
        <v>12708</v>
      </c>
      <c r="C4011" t="s">
        <v>12709</v>
      </c>
      <c r="D4011" t="s">
        <v>12695</v>
      </c>
      <c r="E4011">
        <v>5</v>
      </c>
      <c r="F4011" t="str">
        <f>HYPERLINK("https://github.com/dedis/popstellar/issues/546", "show")</f>
        <v>show</v>
      </c>
      <c r="G4011" t="str">
        <f>HYPERLINK("https://github.com/dedis/popstellar", "show")</f>
        <v>show</v>
      </c>
      <c r="H4011" t="str">
        <f>HYPERLINK("https://github.com/dedis/popstellar/releases", "show")</f>
        <v>show</v>
      </c>
      <c r="I4011">
        <v>1</v>
      </c>
      <c r="J4011">
        <v>1</v>
      </c>
      <c r="K4011">
        <v>0</v>
      </c>
      <c r="L4011">
        <v>0</v>
      </c>
      <c r="M4011" t="s">
        <v>48</v>
      </c>
    </row>
    <row r="4012" spans="1:13" hidden="1" x14ac:dyDescent="0.15">
      <c r="A4012" t="s">
        <v>12710</v>
      </c>
      <c r="B4012" t="s">
        <v>12711</v>
      </c>
      <c r="C4012" t="s">
        <v>12712</v>
      </c>
      <c r="D4012" t="s">
        <v>12695</v>
      </c>
      <c r="E4012">
        <v>32</v>
      </c>
      <c r="F4012" t="str">
        <f>HYPERLINK("https://github.com/AniTrend/anitrend-app/issues/453", "show")</f>
        <v>show</v>
      </c>
      <c r="G4012" t="str">
        <f>HYPERLINK("https://github.com/AniTrend/anitrend-app", "show")</f>
        <v>show</v>
      </c>
      <c r="H4012" t="str">
        <f>HYPERLINK("https://github.com/AniTrend/anitrend-app/releases", "show")</f>
        <v>show</v>
      </c>
      <c r="I4012">
        <v>1</v>
      </c>
      <c r="J4012">
        <v>0</v>
      </c>
      <c r="K4012">
        <v>1</v>
      </c>
      <c r="L4012">
        <v>0</v>
      </c>
      <c r="M4012" t="s">
        <v>64</v>
      </c>
    </row>
    <row r="4013" spans="1:13" hidden="1" x14ac:dyDescent="0.15">
      <c r="A4013" t="s">
        <v>12713</v>
      </c>
      <c r="B4013" t="s">
        <v>12714</v>
      </c>
      <c r="C4013" t="s">
        <v>12715</v>
      </c>
      <c r="D4013" t="s">
        <v>12695</v>
      </c>
      <c r="E4013">
        <v>0</v>
      </c>
      <c r="F4013" t="str">
        <f>HYPERLINK("https://github.com/Anuken/Mindustry/issues/6245", "show")</f>
        <v>show</v>
      </c>
      <c r="G4013" t="str">
        <f>HYPERLINK("https://github.com/Anuken/Mindustry", "show")</f>
        <v>show</v>
      </c>
      <c r="H4013" t="str">
        <f>HYPERLINK("https://github.com/Anuken/Mindustry/releases", "show")</f>
        <v>show</v>
      </c>
      <c r="I4013">
        <v>1</v>
      </c>
      <c r="J4013">
        <v>1</v>
      </c>
      <c r="K4013">
        <v>0</v>
      </c>
      <c r="L4013">
        <v>0</v>
      </c>
      <c r="M4013" t="s">
        <v>48</v>
      </c>
    </row>
    <row r="4014" spans="1:13" hidden="1" x14ac:dyDescent="0.15">
      <c r="A4014" t="s">
        <v>12716</v>
      </c>
      <c r="B4014" t="s">
        <v>12717</v>
      </c>
      <c r="C4014" t="s">
        <v>12718</v>
      </c>
      <c r="D4014" t="s">
        <v>12695</v>
      </c>
      <c r="E4014">
        <v>0</v>
      </c>
      <c r="F4014" t="str">
        <f>HYPERLINK("https://github.com/Anuken/Mindustry/issues/6244", "show")</f>
        <v>show</v>
      </c>
      <c r="G4014" t="str">
        <f>HYPERLINK("https://github.com/Anuken/Mindustry", "show")</f>
        <v>show</v>
      </c>
      <c r="H4014" t="str">
        <f>HYPERLINK("https://github.com/Anuken/Mindustry/releases", "show")</f>
        <v>show</v>
      </c>
      <c r="I4014">
        <v>1</v>
      </c>
      <c r="J4014">
        <v>1</v>
      </c>
      <c r="K4014">
        <v>0</v>
      </c>
      <c r="L4014">
        <v>1</v>
      </c>
      <c r="M4014" t="s">
        <v>1894</v>
      </c>
    </row>
    <row r="4015" spans="1:13" hidden="1" x14ac:dyDescent="0.15">
      <c r="A4015" t="s">
        <v>12719</v>
      </c>
      <c r="B4015" t="s">
        <v>12720</v>
      </c>
      <c r="C4015" t="s">
        <v>12721</v>
      </c>
      <c r="D4015" t="s">
        <v>12722</v>
      </c>
      <c r="E4015">
        <v>1</v>
      </c>
      <c r="F4015" t="str">
        <f>HYPERLINK("https://github.com/nextcloud/android/issues/9160", "show")</f>
        <v>show</v>
      </c>
      <c r="G4015" t="str">
        <f>HYPERLINK("https://github.com/nextcloud/android", "show")</f>
        <v>show</v>
      </c>
      <c r="H4015" t="str">
        <f>HYPERLINK("https://github.com/nextcloud/android/releases", "show")</f>
        <v>show</v>
      </c>
      <c r="I4015">
        <v>1</v>
      </c>
      <c r="J4015">
        <v>0</v>
      </c>
      <c r="K4015">
        <v>1</v>
      </c>
      <c r="L4015">
        <v>0</v>
      </c>
      <c r="M4015" t="s">
        <v>64</v>
      </c>
    </row>
    <row r="4016" spans="1:13" hidden="1" x14ac:dyDescent="0.15">
      <c r="A4016" t="s">
        <v>12723</v>
      </c>
      <c r="B4016" t="s">
        <v>12724</v>
      </c>
      <c r="C4016" t="s">
        <v>12725</v>
      </c>
      <c r="D4016" t="s">
        <v>12722</v>
      </c>
      <c r="E4016">
        <v>81</v>
      </c>
      <c r="F4016" t="str">
        <f>HYPERLINK("https://github.com/openboard-team/openboard/issues/463", "show")</f>
        <v>show</v>
      </c>
      <c r="G4016" t="str">
        <f>HYPERLINK("https://github.com/openboard-team/openboard", "show")</f>
        <v>show</v>
      </c>
      <c r="H4016" t="str">
        <f>HYPERLINK("https://github.com/openboard-team/openboard/releases", "show")</f>
        <v>show</v>
      </c>
      <c r="I4016">
        <v>1</v>
      </c>
      <c r="J4016">
        <v>1</v>
      </c>
      <c r="K4016">
        <v>0</v>
      </c>
      <c r="L4016">
        <v>0</v>
      </c>
      <c r="M4016" t="s">
        <v>48</v>
      </c>
    </row>
    <row r="4017" spans="1:13" hidden="1" x14ac:dyDescent="0.15">
      <c r="A4017" t="s">
        <v>12726</v>
      </c>
      <c r="B4017" t="s">
        <v>12727</v>
      </c>
      <c r="C4017" t="s">
        <v>12728</v>
      </c>
      <c r="D4017" t="s">
        <v>12722</v>
      </c>
      <c r="E4017">
        <v>2</v>
      </c>
      <c r="F4017" t="str">
        <f>HYPERLINK("https://github.com/NordicSemiconductor/Android-DFU-Library/issues/315", "show")</f>
        <v>show</v>
      </c>
      <c r="G4017" t="str">
        <f>HYPERLINK("https://github.com/NordicSemiconductor/Android-DFU-Library", "show")</f>
        <v>show</v>
      </c>
      <c r="H4017" t="str">
        <f>HYPERLINK("https://github.com/NordicSemiconductor/Android-DFU-Library/releases", "show")</f>
        <v>show</v>
      </c>
      <c r="I4017">
        <v>1</v>
      </c>
      <c r="J4017">
        <v>0</v>
      </c>
      <c r="K4017">
        <v>1</v>
      </c>
      <c r="L4017">
        <v>0</v>
      </c>
      <c r="M4017" t="s">
        <v>64</v>
      </c>
    </row>
    <row r="4018" spans="1:13" hidden="1" x14ac:dyDescent="0.15">
      <c r="A4018" t="s">
        <v>12729</v>
      </c>
      <c r="B4018" t="s">
        <v>12730</v>
      </c>
      <c r="C4018" t="s">
        <v>12731</v>
      </c>
      <c r="D4018" t="s">
        <v>12722</v>
      </c>
      <c r="E4018">
        <v>8</v>
      </c>
      <c r="F4018" t="str">
        <f>HYPERLINK("https://github.com/didi/DoraemonKit/issues/927", "show")</f>
        <v>show</v>
      </c>
      <c r="G4018" t="str">
        <f>HYPERLINK("https://github.com/didi/DoraemonKit", "show")</f>
        <v>show</v>
      </c>
      <c r="H4018" t="str">
        <f>HYPERLINK("https://github.com/didi/DoraemonKit/releases", "show")</f>
        <v>show</v>
      </c>
      <c r="I4018">
        <v>1</v>
      </c>
      <c r="J4018">
        <v>0</v>
      </c>
      <c r="K4018">
        <v>0</v>
      </c>
      <c r="L4018">
        <v>0</v>
      </c>
      <c r="M4018" t="s">
        <v>17</v>
      </c>
    </row>
    <row r="4019" spans="1:13" hidden="1" x14ac:dyDescent="0.15">
      <c r="A4019" t="s">
        <v>12732</v>
      </c>
      <c r="B4019" t="s">
        <v>12733</v>
      </c>
      <c r="C4019" t="s">
        <v>12734</v>
      </c>
      <c r="D4019" t="s">
        <v>12735</v>
      </c>
      <c r="E4019">
        <v>0</v>
      </c>
      <c r="F4019" t="str">
        <f>HYPERLINK("https://github.com/didi/DoraemonKit/issues/926", "show")</f>
        <v>show</v>
      </c>
      <c r="G4019" t="str">
        <f>HYPERLINK("https://github.com/didi/DoraemonKit", "show")</f>
        <v>show</v>
      </c>
      <c r="H4019" t="str">
        <f>HYPERLINK("https://github.com/didi/DoraemonKit/releases", "show")</f>
        <v>show</v>
      </c>
      <c r="I4019">
        <v>0</v>
      </c>
      <c r="J4019">
        <v>0</v>
      </c>
      <c r="K4019">
        <v>0</v>
      </c>
      <c r="L4019">
        <v>0</v>
      </c>
      <c r="M4019" t="s">
        <v>43</v>
      </c>
    </row>
    <row r="4020" spans="1:13" hidden="1" x14ac:dyDescent="0.15">
      <c r="A4020" t="s">
        <v>12736</v>
      </c>
      <c r="B4020" t="s">
        <v>12737</v>
      </c>
      <c r="C4020" t="s">
        <v>12738</v>
      </c>
      <c r="D4020" t="s">
        <v>12735</v>
      </c>
      <c r="E4020">
        <v>170</v>
      </c>
      <c r="F4020" t="str">
        <f>HYPERLINK("https://github.com/doublesymmetry/react-native-track-player/issues/1313", "show")</f>
        <v>show</v>
      </c>
      <c r="G4020" t="str">
        <f>HYPERLINK("https://github.com/doublesymmetry/react-native-track-player", "show")</f>
        <v>show</v>
      </c>
      <c r="H4020" t="str">
        <f>HYPERLINK("https://github.com/doublesymmetry/react-native-track-player/releases", "show")</f>
        <v>show</v>
      </c>
      <c r="I4020">
        <v>1</v>
      </c>
      <c r="J4020">
        <v>1</v>
      </c>
      <c r="K4020">
        <v>1</v>
      </c>
      <c r="L4020">
        <v>0</v>
      </c>
      <c r="M4020" t="s">
        <v>59</v>
      </c>
    </row>
    <row r="4021" spans="1:13" hidden="1" x14ac:dyDescent="0.15">
      <c r="A4021" t="s">
        <v>12739</v>
      </c>
      <c r="B4021" t="s">
        <v>12740</v>
      </c>
      <c r="C4021" t="s">
        <v>12741</v>
      </c>
      <c r="D4021" t="s">
        <v>12735</v>
      </c>
      <c r="E4021">
        <v>0</v>
      </c>
      <c r="F4021" t="str">
        <f>HYPERLINK("https://github.com/PojavLauncherTeam/PojavLauncher/issues/2169", "show")</f>
        <v>show</v>
      </c>
      <c r="G4021" t="str">
        <f>HYPERLINK("https://github.com/PojavLauncherTeam/PojavLauncher", "show")</f>
        <v>show</v>
      </c>
      <c r="H4021" t="str">
        <f>HYPERLINK("https://github.com/PojavLauncherTeam/PojavLauncher/releases", "show")</f>
        <v>show</v>
      </c>
      <c r="I4021">
        <v>1</v>
      </c>
      <c r="J4021">
        <v>0</v>
      </c>
      <c r="K4021">
        <v>0</v>
      </c>
      <c r="L4021">
        <v>0</v>
      </c>
      <c r="M4021" t="s">
        <v>17</v>
      </c>
    </row>
    <row r="4022" spans="1:13" hidden="1" x14ac:dyDescent="0.15">
      <c r="A4022" t="s">
        <v>12742</v>
      </c>
      <c r="B4022" t="s">
        <v>12743</v>
      </c>
      <c r="C4022" t="s">
        <v>12744</v>
      </c>
      <c r="D4022" t="s">
        <v>12735</v>
      </c>
      <c r="E4022">
        <v>0</v>
      </c>
      <c r="F4022" t="str">
        <f>HYPERLINK("https://github.com/PojavLauncherTeam/PojavLauncher/issues/2168", "show")</f>
        <v>show</v>
      </c>
      <c r="G4022" t="str">
        <f>HYPERLINK("https://github.com/PojavLauncherTeam/PojavLauncher", "show")</f>
        <v>show</v>
      </c>
      <c r="H4022" t="str">
        <f>HYPERLINK("https://github.com/PojavLauncherTeam/PojavLauncher/releases", "show")</f>
        <v>show</v>
      </c>
      <c r="I4022">
        <v>1</v>
      </c>
      <c r="J4022">
        <v>0</v>
      </c>
      <c r="K4022">
        <v>1</v>
      </c>
      <c r="L4022">
        <v>0</v>
      </c>
      <c r="M4022" t="s">
        <v>64</v>
      </c>
    </row>
    <row r="4023" spans="1:13" hidden="1" x14ac:dyDescent="0.15">
      <c r="A4023" t="s">
        <v>12745</v>
      </c>
      <c r="B4023" t="s">
        <v>12746</v>
      </c>
      <c r="C4023" t="s">
        <v>12747</v>
      </c>
      <c r="D4023" t="s">
        <v>12748</v>
      </c>
      <c r="E4023">
        <v>43</v>
      </c>
      <c r="F4023" t="str">
        <f>HYPERLINK("https://github.com/nextcloud/android/issues/9147", "show")</f>
        <v>show</v>
      </c>
      <c r="G4023" t="str">
        <f>HYPERLINK("https://github.com/nextcloud/android", "show")</f>
        <v>show</v>
      </c>
      <c r="H4023" t="str">
        <f>HYPERLINK("https://github.com/nextcloud/android/releases", "show")</f>
        <v>show</v>
      </c>
      <c r="I4023">
        <v>0</v>
      </c>
      <c r="J4023">
        <v>0</v>
      </c>
      <c r="K4023">
        <v>1</v>
      </c>
      <c r="L4023">
        <v>0</v>
      </c>
      <c r="M4023" t="s">
        <v>122</v>
      </c>
    </row>
    <row r="4024" spans="1:13" hidden="1" x14ac:dyDescent="0.15">
      <c r="A4024" t="s">
        <v>12749</v>
      </c>
      <c r="B4024" t="s">
        <v>12750</v>
      </c>
      <c r="C4024" t="s">
        <v>12751</v>
      </c>
      <c r="D4024" t="s">
        <v>12752</v>
      </c>
      <c r="E4024">
        <v>9</v>
      </c>
      <c r="F4024" t="str">
        <f>HYPERLINK("https://github.com/MetatransApps/Android_APK_2DGravity/issues/2", "show")</f>
        <v>show</v>
      </c>
      <c r="G4024" t="str">
        <f>HYPERLINK("https://github.com/MetatransApps/Android_APK_2DGravity", "show")</f>
        <v>show</v>
      </c>
      <c r="H4024" t="str">
        <f>HYPERLINK("https://github.com/MetatransApps/Android_APK_2DGravity/releases", "show")</f>
        <v>show</v>
      </c>
      <c r="I4024">
        <v>0</v>
      </c>
      <c r="J4024">
        <v>0</v>
      </c>
      <c r="K4024">
        <v>0</v>
      </c>
      <c r="L4024">
        <v>0</v>
      </c>
      <c r="M4024" t="s">
        <v>43</v>
      </c>
    </row>
    <row r="4025" spans="1:13" hidden="1" x14ac:dyDescent="0.15">
      <c r="A4025" t="s">
        <v>12753</v>
      </c>
      <c r="B4025" t="s">
        <v>12754</v>
      </c>
      <c r="C4025" t="s">
        <v>12755</v>
      </c>
      <c r="D4025" t="s">
        <v>12752</v>
      </c>
      <c r="E4025">
        <v>108</v>
      </c>
      <c r="F4025" t="str">
        <f>HYPERLINK("https://github.com/TeamNewPipe/NewPipe/issues/7305", "show")</f>
        <v>show</v>
      </c>
      <c r="G4025" t="str">
        <f>HYPERLINK("https://github.com/TeamNewPipe/NewPipe", "show")</f>
        <v>show</v>
      </c>
      <c r="H4025" t="str">
        <f>HYPERLINK("https://github.com/TeamNewPipe/NewPipe/releases", "show")</f>
        <v>show</v>
      </c>
      <c r="I4025">
        <v>1</v>
      </c>
      <c r="J4025">
        <v>1</v>
      </c>
      <c r="K4025">
        <v>1</v>
      </c>
      <c r="L4025">
        <v>0</v>
      </c>
      <c r="M4025" t="s">
        <v>59</v>
      </c>
    </row>
    <row r="4026" spans="1:13" hidden="1" x14ac:dyDescent="0.15">
      <c r="A4026" t="s">
        <v>12756</v>
      </c>
      <c r="B4026" t="s">
        <v>12757</v>
      </c>
      <c r="C4026" t="s">
        <v>12758</v>
      </c>
      <c r="D4026" t="s">
        <v>12752</v>
      </c>
      <c r="E4026">
        <v>0</v>
      </c>
      <c r="F4026" t="str">
        <f>HYPERLINK("https://github.com/Anuken/Mindustry/issues/6223", "show")</f>
        <v>show</v>
      </c>
      <c r="G4026" t="str">
        <f>HYPERLINK("https://github.com/Anuken/Mindustry", "show")</f>
        <v>show</v>
      </c>
      <c r="H4026" t="str">
        <f>HYPERLINK("https://github.com/Anuken/Mindustry/releases", "show")</f>
        <v>show</v>
      </c>
      <c r="I4026">
        <v>1</v>
      </c>
      <c r="J4026">
        <v>1</v>
      </c>
      <c r="K4026">
        <v>0</v>
      </c>
      <c r="L4026">
        <v>0</v>
      </c>
      <c r="M4026" t="s">
        <v>48</v>
      </c>
    </row>
    <row r="4027" spans="1:13" hidden="1" x14ac:dyDescent="0.15">
      <c r="A4027" t="s">
        <v>12759</v>
      </c>
      <c r="B4027" t="s">
        <v>12760</v>
      </c>
      <c r="C4027" t="s">
        <v>12761</v>
      </c>
      <c r="D4027" t="s">
        <v>12762</v>
      </c>
      <c r="E4027">
        <v>0</v>
      </c>
      <c r="F4027" t="str">
        <f>HYPERLINK("https://github.com/Anuken/Mindustry/issues/6222", "show")</f>
        <v>show</v>
      </c>
      <c r="G4027" t="str">
        <f>HYPERLINK("https://github.com/Anuken/Mindustry", "show")</f>
        <v>show</v>
      </c>
      <c r="H4027" t="str">
        <f>HYPERLINK("https://github.com/Anuken/Mindustry/releases", "show")</f>
        <v>show</v>
      </c>
      <c r="I4027">
        <v>1</v>
      </c>
      <c r="J4027">
        <v>1</v>
      </c>
      <c r="K4027">
        <v>0</v>
      </c>
      <c r="L4027">
        <v>0</v>
      </c>
      <c r="M4027" t="s">
        <v>48</v>
      </c>
    </row>
    <row r="4028" spans="1:13" hidden="1" x14ac:dyDescent="0.15">
      <c r="A4028" t="s">
        <v>12763</v>
      </c>
      <c r="B4028" t="s">
        <v>12764</v>
      </c>
      <c r="C4028" t="s">
        <v>12765</v>
      </c>
      <c r="D4028" t="s">
        <v>12762</v>
      </c>
      <c r="E4028">
        <v>7</v>
      </c>
      <c r="F4028" t="str">
        <f>HYPERLINK("https://github.com/material-components/material-components-android/issues/2442", "show")</f>
        <v>show</v>
      </c>
      <c r="G4028" t="str">
        <f>HYPERLINK("https://github.com/material-components/material-components-android", "show")</f>
        <v>show</v>
      </c>
      <c r="H4028" t="str">
        <f>HYPERLINK("https://github.com/material-components/material-components-android/releases", "show")</f>
        <v>show</v>
      </c>
      <c r="I4028">
        <v>0</v>
      </c>
      <c r="J4028">
        <v>1</v>
      </c>
      <c r="K4028">
        <v>1</v>
      </c>
      <c r="L4028">
        <v>0</v>
      </c>
      <c r="M4028" t="s">
        <v>699</v>
      </c>
    </row>
    <row r="4029" spans="1:13" hidden="1" x14ac:dyDescent="0.15">
      <c r="A4029" t="s">
        <v>12766</v>
      </c>
      <c r="B4029" t="s">
        <v>12767</v>
      </c>
      <c r="C4029" t="s">
        <v>12768</v>
      </c>
      <c r="D4029" t="s">
        <v>12762</v>
      </c>
      <c r="E4029">
        <v>71</v>
      </c>
      <c r="F4029" t="str">
        <f>HYPERLINK("https://github.com/Etar-Group/Etar-Calendar/issues/1025", "show")</f>
        <v>show</v>
      </c>
      <c r="G4029" t="str">
        <f>HYPERLINK("https://github.com/Etar-Group/Etar-Calendar", "show")</f>
        <v>show</v>
      </c>
      <c r="H4029" t="str">
        <f>HYPERLINK("https://github.com/Etar-Group/Etar-Calendar/releases", "show")</f>
        <v>show</v>
      </c>
      <c r="I4029">
        <v>1</v>
      </c>
      <c r="J4029">
        <v>0</v>
      </c>
      <c r="K4029">
        <v>0</v>
      </c>
      <c r="L4029">
        <v>0</v>
      </c>
      <c r="M4029" t="s">
        <v>17</v>
      </c>
    </row>
    <row r="4030" spans="1:13" hidden="1" x14ac:dyDescent="0.15">
      <c r="A4030" t="s">
        <v>12769</v>
      </c>
      <c r="B4030" t="s">
        <v>12770</v>
      </c>
      <c r="C4030" t="s">
        <v>12771</v>
      </c>
      <c r="D4030" t="s">
        <v>12762</v>
      </c>
      <c r="E4030">
        <v>0</v>
      </c>
      <c r="F4030" t="str">
        <f>HYPERLINK("https://github.com/Anuken/Mindustry/issues/6221", "show")</f>
        <v>show</v>
      </c>
      <c r="G4030" t="str">
        <f>HYPERLINK("https://github.com/Anuken/Mindustry", "show")</f>
        <v>show</v>
      </c>
      <c r="H4030" t="str">
        <f>HYPERLINK("https://github.com/Anuken/Mindustry/releases", "show")</f>
        <v>show</v>
      </c>
      <c r="I4030">
        <v>1</v>
      </c>
      <c r="J4030">
        <v>1</v>
      </c>
      <c r="K4030">
        <v>0</v>
      </c>
      <c r="L4030">
        <v>1</v>
      </c>
      <c r="M4030" t="s">
        <v>1894</v>
      </c>
    </row>
    <row r="4031" spans="1:13" hidden="1" x14ac:dyDescent="0.15">
      <c r="A4031" t="s">
        <v>12772</v>
      </c>
      <c r="B4031" t="s">
        <v>12773</v>
      </c>
      <c r="C4031" t="s">
        <v>12774</v>
      </c>
      <c r="D4031" t="s">
        <v>12762</v>
      </c>
      <c r="E4031">
        <v>0</v>
      </c>
      <c r="F4031" t="str">
        <f>HYPERLINK("https://github.com/cgeo/cgeo/issues/11959", "show")</f>
        <v>show</v>
      </c>
      <c r="G4031" t="str">
        <f>HYPERLINK("https://github.com/cgeo/cgeo", "show")</f>
        <v>show</v>
      </c>
      <c r="H4031" t="str">
        <f>HYPERLINK("https://github.com/cgeo/cgeo/releases", "show")</f>
        <v>show</v>
      </c>
      <c r="I4031">
        <v>1</v>
      </c>
      <c r="J4031">
        <v>1</v>
      </c>
      <c r="K4031">
        <v>1</v>
      </c>
      <c r="L4031">
        <v>0</v>
      </c>
      <c r="M4031" t="s">
        <v>59</v>
      </c>
    </row>
    <row r="4032" spans="1:13" hidden="1" x14ac:dyDescent="0.15">
      <c r="A4032" t="s">
        <v>12775</v>
      </c>
      <c r="B4032" t="s">
        <v>12776</v>
      </c>
      <c r="C4032" t="s">
        <v>12777</v>
      </c>
      <c r="D4032" t="s">
        <v>12778</v>
      </c>
      <c r="E4032">
        <v>4</v>
      </c>
      <c r="F4032" t="str">
        <f>HYPERLINK("https://github.com/cgeo/cgeo/issues/11958", "show")</f>
        <v>show</v>
      </c>
      <c r="G4032" t="str">
        <f>HYPERLINK("https://github.com/cgeo/cgeo", "show")</f>
        <v>show</v>
      </c>
      <c r="H4032" t="str">
        <f>HYPERLINK("https://github.com/cgeo/cgeo/releases", "show")</f>
        <v>show</v>
      </c>
      <c r="I4032">
        <v>1</v>
      </c>
      <c r="J4032">
        <v>1</v>
      </c>
      <c r="K4032">
        <v>1</v>
      </c>
      <c r="L4032">
        <v>0</v>
      </c>
      <c r="M4032" t="s">
        <v>59</v>
      </c>
    </row>
    <row r="4033" spans="1:13" hidden="1" x14ac:dyDescent="0.15">
      <c r="A4033" t="s">
        <v>12779</v>
      </c>
      <c r="B4033" t="s">
        <v>12780</v>
      </c>
      <c r="C4033" t="s">
        <v>12781</v>
      </c>
      <c r="D4033" t="s">
        <v>12778</v>
      </c>
      <c r="E4033">
        <v>29</v>
      </c>
      <c r="F4033" t="str">
        <f>HYPERLINK("https://github.com/mI-PIV/app/issues/173", "show")</f>
        <v>show</v>
      </c>
      <c r="G4033" t="str">
        <f>HYPERLINK("https://github.com/mI-PIV/app", "show")</f>
        <v>show</v>
      </c>
      <c r="H4033" t="str">
        <f>HYPERLINK("https://github.com/mI-PIV/app/releases", "show")</f>
        <v>show</v>
      </c>
      <c r="I4033">
        <v>1</v>
      </c>
      <c r="J4033">
        <v>0</v>
      </c>
      <c r="K4033">
        <v>0</v>
      </c>
      <c r="L4033">
        <v>0</v>
      </c>
      <c r="M4033" t="s">
        <v>17</v>
      </c>
    </row>
    <row r="4034" spans="1:13" hidden="1" x14ac:dyDescent="0.15">
      <c r="A4034" t="s">
        <v>12782</v>
      </c>
      <c r="B4034" t="s">
        <v>12783</v>
      </c>
      <c r="C4034" t="s">
        <v>12784</v>
      </c>
      <c r="D4034" t="s">
        <v>12778</v>
      </c>
      <c r="E4034">
        <v>0</v>
      </c>
      <c r="F4034" t="str">
        <f>HYPERLINK("https://github.com/cgeo/cgeo/issues/11951", "show")</f>
        <v>show</v>
      </c>
      <c r="G4034" t="str">
        <f>HYPERLINK("https://github.com/cgeo/cgeo", "show")</f>
        <v>show</v>
      </c>
      <c r="H4034" t="str">
        <f>HYPERLINK("https://github.com/cgeo/cgeo/releases", "show")</f>
        <v>show</v>
      </c>
      <c r="I4034">
        <v>1</v>
      </c>
      <c r="J4034">
        <v>0</v>
      </c>
      <c r="K4034">
        <v>1</v>
      </c>
      <c r="L4034">
        <v>0</v>
      </c>
      <c r="M4034" t="s">
        <v>64</v>
      </c>
    </row>
    <row r="4035" spans="1:13" hidden="1" x14ac:dyDescent="0.15">
      <c r="A4035" t="s">
        <v>12785</v>
      </c>
      <c r="B4035" t="s">
        <v>12786</v>
      </c>
      <c r="C4035" t="s">
        <v>12787</v>
      </c>
      <c r="D4035" t="s">
        <v>12778</v>
      </c>
      <c r="E4035">
        <v>1</v>
      </c>
      <c r="F4035" t="str">
        <f>HYPERLINK("https://github.com/XBigTK13X/snowgloo/issues/48", "show")</f>
        <v>show</v>
      </c>
      <c r="G4035" t="str">
        <f>HYPERLINK("https://github.com/XBigTK13X/snowgloo", "show")</f>
        <v>show</v>
      </c>
      <c r="H4035" t="str">
        <f>HYPERLINK("https://github.com/XBigTK13X/snowgloo/releases", "show")</f>
        <v>show</v>
      </c>
      <c r="I4035">
        <v>0</v>
      </c>
      <c r="J4035">
        <v>0</v>
      </c>
      <c r="K4035">
        <v>1</v>
      </c>
      <c r="L4035">
        <v>0</v>
      </c>
      <c r="M4035" t="s">
        <v>122</v>
      </c>
    </row>
    <row r="4036" spans="1:13" hidden="1" x14ac:dyDescent="0.15">
      <c r="A4036" t="s">
        <v>12788</v>
      </c>
      <c r="B4036" t="s">
        <v>12789</v>
      </c>
      <c r="C4036" t="s">
        <v>12790</v>
      </c>
      <c r="D4036" t="s">
        <v>12778</v>
      </c>
      <c r="E4036">
        <v>0</v>
      </c>
      <c r="F4036" t="str">
        <f>HYPERLINK("https://github.com/norkator/apcupsd-monitor/issues/69", "show")</f>
        <v>show</v>
      </c>
      <c r="G4036" t="str">
        <f>HYPERLINK("https://github.com/norkator/apcupsd-monitor", "show")</f>
        <v>show</v>
      </c>
      <c r="H4036" t="str">
        <f>HYPERLINK("https://github.com/norkator/apcupsd-monitor/releases", "show")</f>
        <v>show</v>
      </c>
      <c r="I4036">
        <v>0</v>
      </c>
      <c r="J4036">
        <v>0</v>
      </c>
      <c r="K4036">
        <v>0</v>
      </c>
      <c r="L4036">
        <v>1</v>
      </c>
      <c r="M4036" t="s">
        <v>581</v>
      </c>
    </row>
    <row r="4037" spans="1:13" hidden="1" x14ac:dyDescent="0.15">
      <c r="A4037" t="s">
        <v>12791</v>
      </c>
      <c r="B4037" t="s">
        <v>12792</v>
      </c>
      <c r="C4037" t="s">
        <v>12793</v>
      </c>
      <c r="D4037" t="s">
        <v>12794</v>
      </c>
      <c r="E4037">
        <v>15</v>
      </c>
      <c r="F4037" t="str">
        <f>HYPERLINK("https://github.com/TeamNewPipe/NewPipe/issues/7290", "show")</f>
        <v>show</v>
      </c>
      <c r="G4037" t="str">
        <f>HYPERLINK("https://github.com/TeamNewPipe/NewPipe", "show")</f>
        <v>show</v>
      </c>
      <c r="H4037" t="str">
        <f>HYPERLINK("https://github.com/TeamNewPipe/NewPipe/releases", "show")</f>
        <v>show</v>
      </c>
      <c r="I4037">
        <v>1</v>
      </c>
      <c r="J4037">
        <v>1</v>
      </c>
      <c r="K4037">
        <v>1</v>
      </c>
      <c r="L4037">
        <v>0</v>
      </c>
      <c r="M4037" t="s">
        <v>59</v>
      </c>
    </row>
    <row r="4038" spans="1:13" hidden="1" x14ac:dyDescent="0.15">
      <c r="A4038" t="s">
        <v>12795</v>
      </c>
      <c r="B4038" t="s">
        <v>12796</v>
      </c>
      <c r="C4038" t="s">
        <v>12797</v>
      </c>
      <c r="D4038" t="s">
        <v>12794</v>
      </c>
      <c r="E4038">
        <v>0</v>
      </c>
      <c r="F4038" t="str">
        <f>HYPERLINK("https://github.com/MuntashirAkon/AppManager/issues/605", "show")</f>
        <v>show</v>
      </c>
      <c r="G4038" t="str">
        <f>HYPERLINK("https://github.com/MuntashirAkon/AppManager", "show")</f>
        <v>show</v>
      </c>
      <c r="H4038" t="str">
        <f>HYPERLINK("https://github.com/MuntashirAkon/AppManager/releases", "show")</f>
        <v>show</v>
      </c>
      <c r="I4038">
        <v>1</v>
      </c>
      <c r="J4038">
        <v>0</v>
      </c>
      <c r="K4038">
        <v>0</v>
      </c>
      <c r="L4038">
        <v>0</v>
      </c>
      <c r="M4038" t="s">
        <v>17</v>
      </c>
    </row>
    <row r="4039" spans="1:13" hidden="1" x14ac:dyDescent="0.15">
      <c r="A4039" t="s">
        <v>12798</v>
      </c>
      <c r="B4039" t="s">
        <v>4257</v>
      </c>
      <c r="C4039" t="s">
        <v>12799</v>
      </c>
      <c r="D4039" t="s">
        <v>12794</v>
      </c>
      <c r="E4039">
        <v>0</v>
      </c>
      <c r="F4039" t="str">
        <f>HYPERLINK("https://github.com/voxeet/voxeet-uxkit-android/issues/33", "show")</f>
        <v>show</v>
      </c>
      <c r="G4039" t="str">
        <f>HYPERLINK("https://github.com/voxeet/voxeet-uxkit-android", "show")</f>
        <v>show</v>
      </c>
      <c r="H4039" t="str">
        <f>HYPERLINK("https://github.com/voxeet/voxeet-uxkit-android/releases", "show")</f>
        <v>show</v>
      </c>
      <c r="I4039">
        <v>1</v>
      </c>
      <c r="J4039">
        <v>0</v>
      </c>
      <c r="K4039">
        <v>0</v>
      </c>
      <c r="L4039">
        <v>0</v>
      </c>
      <c r="M4039" t="s">
        <v>17</v>
      </c>
    </row>
    <row r="4040" spans="1:13" hidden="1" x14ac:dyDescent="0.15">
      <c r="A4040" t="s">
        <v>12800</v>
      </c>
      <c r="B4040" t="s">
        <v>12801</v>
      </c>
      <c r="C4040" t="s">
        <v>12802</v>
      </c>
      <c r="D4040" t="s">
        <v>12803</v>
      </c>
      <c r="E4040">
        <v>0</v>
      </c>
      <c r="F4040" t="str">
        <f>HYPERLINK("https://github.com/Anuken/Mindustry/issues/6200", "show")</f>
        <v>show</v>
      </c>
      <c r="G4040" t="str">
        <f>HYPERLINK("https://github.com/Anuken/Mindustry", "show")</f>
        <v>show</v>
      </c>
      <c r="H4040" t="str">
        <f>HYPERLINK("https://github.com/Anuken/Mindustry/releases", "show")</f>
        <v>show</v>
      </c>
      <c r="I4040">
        <v>0</v>
      </c>
      <c r="J4040">
        <v>0</v>
      </c>
      <c r="K4040">
        <v>0</v>
      </c>
      <c r="L4040">
        <v>0</v>
      </c>
      <c r="M4040" t="s">
        <v>43</v>
      </c>
    </row>
    <row r="4041" spans="1:13" hidden="1" x14ac:dyDescent="0.15">
      <c r="A4041" t="s">
        <v>12804</v>
      </c>
      <c r="B4041" t="s">
        <v>10882</v>
      </c>
      <c r="C4041" t="s">
        <v>12805</v>
      </c>
      <c r="D4041" t="s">
        <v>12803</v>
      </c>
      <c r="E4041">
        <v>11</v>
      </c>
      <c r="F4041" t="str">
        <f>HYPERLINK("https://github.com/PojavLauncherTeam/PojavLauncher/issues/2148", "show")</f>
        <v>show</v>
      </c>
      <c r="G4041" t="str">
        <f>HYPERLINK("https://github.com/PojavLauncherTeam/PojavLauncher", "show")</f>
        <v>show</v>
      </c>
      <c r="H4041" t="str">
        <f>HYPERLINK("https://github.com/PojavLauncherTeam/PojavLauncher/releases", "show")</f>
        <v>show</v>
      </c>
      <c r="I4041">
        <v>1</v>
      </c>
      <c r="J4041">
        <v>0</v>
      </c>
      <c r="K4041">
        <v>0</v>
      </c>
      <c r="L4041">
        <v>0</v>
      </c>
      <c r="M4041" t="s">
        <v>17</v>
      </c>
    </row>
    <row r="4042" spans="1:13" hidden="1" x14ac:dyDescent="0.15">
      <c r="A4042" t="s">
        <v>12806</v>
      </c>
      <c r="B4042" t="s">
        <v>12807</v>
      </c>
      <c r="C4042" t="s">
        <v>12808</v>
      </c>
      <c r="D4042" t="s">
        <v>12803</v>
      </c>
      <c r="E4042">
        <v>78</v>
      </c>
      <c r="F4042" t="str">
        <f>HYPERLINK("https://github.com/PojavLauncherTeam/PojavLauncher/issues/2147", "show")</f>
        <v>show</v>
      </c>
      <c r="G4042" t="str">
        <f>HYPERLINK("https://github.com/PojavLauncherTeam/PojavLauncher", "show")</f>
        <v>show</v>
      </c>
      <c r="H4042" t="str">
        <f>HYPERLINK("https://github.com/PojavLauncherTeam/PojavLauncher/releases", "show")</f>
        <v>show</v>
      </c>
      <c r="I4042">
        <v>1</v>
      </c>
      <c r="J4042">
        <v>0</v>
      </c>
      <c r="K4042">
        <v>0</v>
      </c>
      <c r="L4042">
        <v>0</v>
      </c>
      <c r="M4042" t="s">
        <v>17</v>
      </c>
    </row>
    <row r="4043" spans="1:13" hidden="1" x14ac:dyDescent="0.15">
      <c r="A4043" t="s">
        <v>12809</v>
      </c>
      <c r="B4043" t="s">
        <v>12810</v>
      </c>
      <c r="C4043" t="s">
        <v>12811</v>
      </c>
      <c r="D4043" t="s">
        <v>12803</v>
      </c>
      <c r="E4043">
        <v>1</v>
      </c>
      <c r="F4043" t="str">
        <f>HYPERLINK("https://github.com/nextcloud/android/issues/9120", "show")</f>
        <v>show</v>
      </c>
      <c r="G4043" t="str">
        <f>HYPERLINK("https://github.com/nextcloud/android", "show")</f>
        <v>show</v>
      </c>
      <c r="H4043" t="str">
        <f>HYPERLINK("https://github.com/nextcloud/android/releases", "show")</f>
        <v>show</v>
      </c>
      <c r="I4043">
        <v>1</v>
      </c>
      <c r="J4043">
        <v>1</v>
      </c>
      <c r="K4043">
        <v>1</v>
      </c>
      <c r="L4043">
        <v>0</v>
      </c>
      <c r="M4043" t="s">
        <v>59</v>
      </c>
    </row>
    <row r="4044" spans="1:13" hidden="1" x14ac:dyDescent="0.15">
      <c r="A4044" t="s">
        <v>12812</v>
      </c>
      <c r="B4044" t="s">
        <v>12813</v>
      </c>
      <c r="C4044" t="s">
        <v>12814</v>
      </c>
      <c r="D4044" t="s">
        <v>12815</v>
      </c>
      <c r="E4044">
        <v>0</v>
      </c>
      <c r="F4044" t="str">
        <f>HYPERLINK("https://github.com/nextcloud/android/issues/9110", "show")</f>
        <v>show</v>
      </c>
      <c r="G4044" t="str">
        <f>HYPERLINK("https://github.com/nextcloud/android", "show")</f>
        <v>show</v>
      </c>
      <c r="H4044" t="str">
        <f>HYPERLINK("https://github.com/nextcloud/android/releases", "show")</f>
        <v>show</v>
      </c>
      <c r="I4044">
        <v>1</v>
      </c>
      <c r="J4044">
        <v>0</v>
      </c>
      <c r="K4044">
        <v>1</v>
      </c>
      <c r="L4044">
        <v>0</v>
      </c>
      <c r="M4044" t="s">
        <v>64</v>
      </c>
    </row>
    <row r="4045" spans="1:13" hidden="1" x14ac:dyDescent="0.15">
      <c r="A4045" t="s">
        <v>12816</v>
      </c>
      <c r="B4045" t="s">
        <v>12817</v>
      </c>
      <c r="C4045" t="s">
        <v>12818</v>
      </c>
      <c r="D4045" t="s">
        <v>12815</v>
      </c>
      <c r="E4045">
        <v>0</v>
      </c>
      <c r="F4045" t="str">
        <f>HYPERLINK("https://github.com/PojavLauncherTeam/PojavLauncher/issues/2144", "show")</f>
        <v>show</v>
      </c>
      <c r="G4045" t="str">
        <f>HYPERLINK("https://github.com/PojavLauncherTeam/PojavLauncher", "show")</f>
        <v>show</v>
      </c>
      <c r="H4045" t="str">
        <f>HYPERLINK("https://github.com/PojavLauncherTeam/PojavLauncher/releases", "show")</f>
        <v>show</v>
      </c>
      <c r="I4045">
        <v>0</v>
      </c>
      <c r="J4045">
        <v>0</v>
      </c>
      <c r="K4045">
        <v>1</v>
      </c>
      <c r="L4045">
        <v>0</v>
      </c>
      <c r="M4045" t="s">
        <v>122</v>
      </c>
    </row>
    <row r="4046" spans="1:13" hidden="1" x14ac:dyDescent="0.15">
      <c r="A4046" t="s">
        <v>12819</v>
      </c>
      <c r="B4046" t="s">
        <v>12820</v>
      </c>
      <c r="C4046" t="s">
        <v>12821</v>
      </c>
      <c r="D4046" t="s">
        <v>12815</v>
      </c>
      <c r="E4046">
        <v>0</v>
      </c>
      <c r="F4046" t="str">
        <f>HYPERLINK("https://github.com/Anuken/Mindustry/issues/6196", "show")</f>
        <v>show</v>
      </c>
      <c r="G4046" t="str">
        <f>HYPERLINK("https://github.com/Anuken/Mindustry", "show")</f>
        <v>show</v>
      </c>
      <c r="H4046" t="str">
        <f>HYPERLINK("https://github.com/Anuken/Mindustry/releases", "show")</f>
        <v>show</v>
      </c>
      <c r="I4046">
        <v>1</v>
      </c>
      <c r="J4046">
        <v>0</v>
      </c>
      <c r="K4046">
        <v>1</v>
      </c>
      <c r="L4046">
        <v>0</v>
      </c>
      <c r="M4046" t="s">
        <v>64</v>
      </c>
    </row>
    <row r="4047" spans="1:13" hidden="1" x14ac:dyDescent="0.15">
      <c r="A4047" t="s">
        <v>12822</v>
      </c>
      <c r="B4047" t="s">
        <v>12823</v>
      </c>
      <c r="C4047" t="s">
        <v>12824</v>
      </c>
      <c r="D4047" t="s">
        <v>12825</v>
      </c>
      <c r="E4047">
        <v>0</v>
      </c>
      <c r="F4047" t="str">
        <f>HYPERLINK("https://github.com/nextcloud/android/issues/9105", "show")</f>
        <v>show</v>
      </c>
      <c r="G4047" t="str">
        <f>HYPERLINK("https://github.com/nextcloud/android", "show")</f>
        <v>show</v>
      </c>
      <c r="H4047" t="str">
        <f>HYPERLINK("https://github.com/nextcloud/android/releases", "show")</f>
        <v>show</v>
      </c>
      <c r="I4047">
        <v>0</v>
      </c>
      <c r="J4047">
        <v>1</v>
      </c>
      <c r="K4047">
        <v>1</v>
      </c>
      <c r="L4047">
        <v>0</v>
      </c>
      <c r="M4047" t="s">
        <v>699</v>
      </c>
    </row>
    <row r="4048" spans="1:13" hidden="1" x14ac:dyDescent="0.15">
      <c r="A4048" t="s">
        <v>12826</v>
      </c>
      <c r="B4048" t="s">
        <v>12827</v>
      </c>
      <c r="C4048" t="s">
        <v>12828</v>
      </c>
      <c r="D4048" t="s">
        <v>12825</v>
      </c>
      <c r="E4048">
        <v>0</v>
      </c>
      <c r="F4048" t="str">
        <f>HYPERLINK("https://github.com/Anuken/Mindustry/issues/6188", "show")</f>
        <v>show</v>
      </c>
      <c r="G4048" t="str">
        <f>HYPERLINK("https://github.com/Anuken/Mindustry", "show")</f>
        <v>show</v>
      </c>
      <c r="H4048" t="str">
        <f>HYPERLINK("https://github.com/Anuken/Mindustry/releases", "show")</f>
        <v>show</v>
      </c>
      <c r="I4048">
        <v>1</v>
      </c>
      <c r="J4048">
        <v>0</v>
      </c>
      <c r="K4048">
        <v>0</v>
      </c>
      <c r="L4048">
        <v>0</v>
      </c>
      <c r="M4048" t="s">
        <v>17</v>
      </c>
    </row>
    <row r="4049" spans="1:13" hidden="1" x14ac:dyDescent="0.15">
      <c r="A4049" t="s">
        <v>12829</v>
      </c>
      <c r="B4049" t="s">
        <v>12830</v>
      </c>
      <c r="C4049" t="s">
        <v>12831</v>
      </c>
      <c r="D4049" t="s">
        <v>12825</v>
      </c>
      <c r="E4049">
        <v>0</v>
      </c>
      <c r="F4049" t="str">
        <f>HYPERLINK("https://github.com/hzi-braunschweig/SORMAS-Project/issues/6994", "show")</f>
        <v>show</v>
      </c>
      <c r="G4049" t="str">
        <f>HYPERLINK("https://github.com/hzi-braunschweig/SORMAS-Project", "show")</f>
        <v>show</v>
      </c>
      <c r="H4049" t="str">
        <f>HYPERLINK("https://github.com/hzi-braunschweig/SORMAS-Project/releases", "show")</f>
        <v>show</v>
      </c>
      <c r="I4049">
        <v>1</v>
      </c>
      <c r="J4049">
        <v>1</v>
      </c>
      <c r="K4049">
        <v>0</v>
      </c>
      <c r="L4049">
        <v>0</v>
      </c>
      <c r="M4049" t="s">
        <v>48</v>
      </c>
    </row>
    <row r="4050" spans="1:13" hidden="1" x14ac:dyDescent="0.15">
      <c r="A4050" t="s">
        <v>12832</v>
      </c>
      <c r="B4050" t="s">
        <v>12833</v>
      </c>
      <c r="C4050" t="s">
        <v>12834</v>
      </c>
      <c r="D4050" t="s">
        <v>12825</v>
      </c>
      <c r="E4050">
        <v>0</v>
      </c>
      <c r="F4050" t="str">
        <f>HYPERLINK("https://github.com/Anuken/Mindustry/issues/6184", "show")</f>
        <v>show</v>
      </c>
      <c r="G4050" t="str">
        <f>HYPERLINK("https://github.com/Anuken/Mindustry", "show")</f>
        <v>show</v>
      </c>
      <c r="H4050" t="str">
        <f>HYPERLINK("https://github.com/Anuken/Mindustry/releases", "show")</f>
        <v>show</v>
      </c>
      <c r="I4050">
        <v>1</v>
      </c>
      <c r="J4050">
        <v>1</v>
      </c>
      <c r="K4050">
        <v>0</v>
      </c>
      <c r="L4050">
        <v>1</v>
      </c>
      <c r="M4050" t="s">
        <v>1894</v>
      </c>
    </row>
    <row r="4051" spans="1:13" hidden="1" x14ac:dyDescent="0.15">
      <c r="A4051" t="s">
        <v>12835</v>
      </c>
      <c r="B4051" t="s">
        <v>12836</v>
      </c>
      <c r="C4051" t="s">
        <v>12837</v>
      </c>
      <c r="D4051" t="s">
        <v>12838</v>
      </c>
      <c r="E4051">
        <v>4</v>
      </c>
      <c r="F4051" t="str">
        <f>HYPERLINK("https://github.com/mI-PIV/app/issues/168", "show")</f>
        <v>show</v>
      </c>
      <c r="G4051" t="str">
        <f>HYPERLINK("https://github.com/mI-PIV/app", "show")</f>
        <v>show</v>
      </c>
      <c r="H4051" t="str">
        <f>HYPERLINK("https://github.com/mI-PIV/app/releases", "show")</f>
        <v>show</v>
      </c>
      <c r="I4051">
        <v>0</v>
      </c>
      <c r="J4051">
        <v>0</v>
      </c>
      <c r="K4051">
        <v>0</v>
      </c>
      <c r="L4051">
        <v>0</v>
      </c>
      <c r="M4051" t="s">
        <v>43</v>
      </c>
    </row>
    <row r="4052" spans="1:13" hidden="1" x14ac:dyDescent="0.15">
      <c r="A4052" t="s">
        <v>12839</v>
      </c>
      <c r="B4052" t="s">
        <v>12840</v>
      </c>
      <c r="C4052" t="s">
        <v>12841</v>
      </c>
      <c r="D4052" t="s">
        <v>12838</v>
      </c>
      <c r="E4052">
        <v>1</v>
      </c>
      <c r="F4052" t="str">
        <f>HYPERLINK("https://github.com/MuntashirAkon/AppManager/issues/600", "show")</f>
        <v>show</v>
      </c>
      <c r="G4052" t="str">
        <f>HYPERLINK("https://github.com/MuntashirAkon/AppManager", "show")</f>
        <v>show</v>
      </c>
      <c r="H4052" t="str">
        <f>HYPERLINK("https://github.com/MuntashirAkon/AppManager/releases", "show")</f>
        <v>show</v>
      </c>
      <c r="I4052">
        <v>1</v>
      </c>
      <c r="J4052">
        <v>0</v>
      </c>
      <c r="K4052">
        <v>0</v>
      </c>
      <c r="L4052">
        <v>0</v>
      </c>
      <c r="M4052" t="s">
        <v>17</v>
      </c>
    </row>
    <row r="4053" spans="1:13" hidden="1" x14ac:dyDescent="0.15">
      <c r="A4053" t="s">
        <v>12842</v>
      </c>
      <c r="B4053" t="s">
        <v>12843</v>
      </c>
      <c r="C4053" t="s">
        <v>12844</v>
      </c>
      <c r="D4053" t="s">
        <v>12838</v>
      </c>
      <c r="E4053">
        <v>6</v>
      </c>
      <c r="F4053" t="str">
        <f>HYPERLINK("https://github.com/PojavLauncherTeam/PojavLauncher/issues/2140", "show")</f>
        <v>show</v>
      </c>
      <c r="G4053" t="str">
        <f>HYPERLINK("https://github.com/PojavLauncherTeam/PojavLauncher", "show")</f>
        <v>show</v>
      </c>
      <c r="H4053" t="str">
        <f>HYPERLINK("https://github.com/PojavLauncherTeam/PojavLauncher/releases", "show")</f>
        <v>show</v>
      </c>
      <c r="I4053">
        <v>1</v>
      </c>
      <c r="J4053">
        <v>0</v>
      </c>
      <c r="K4053">
        <v>0</v>
      </c>
      <c r="L4053">
        <v>0</v>
      </c>
      <c r="M4053" t="s">
        <v>17</v>
      </c>
    </row>
    <row r="4054" spans="1:13" hidden="1" x14ac:dyDescent="0.15">
      <c r="A4054" t="s">
        <v>12845</v>
      </c>
      <c r="B4054" t="s">
        <v>12846</v>
      </c>
      <c r="C4054" t="s">
        <v>12847</v>
      </c>
      <c r="D4054" t="s">
        <v>12838</v>
      </c>
      <c r="E4054">
        <v>55</v>
      </c>
      <c r="F4054" t="str">
        <f>HYPERLINK("https://github.com/canyie/pine/issues/18", "show")</f>
        <v>show</v>
      </c>
      <c r="G4054" t="str">
        <f>HYPERLINK("https://github.com/canyie/pine", "show")</f>
        <v>show</v>
      </c>
      <c r="H4054" t="str">
        <f>HYPERLINK("https://github.com/canyie/pine/releases", "show")</f>
        <v>show</v>
      </c>
      <c r="I4054">
        <v>1</v>
      </c>
      <c r="J4054">
        <v>0</v>
      </c>
      <c r="K4054">
        <v>0</v>
      </c>
      <c r="L4054">
        <v>0</v>
      </c>
      <c r="M4054" t="s">
        <v>17</v>
      </c>
    </row>
    <row r="4055" spans="1:13" hidden="1" x14ac:dyDescent="0.15">
      <c r="A4055" t="s">
        <v>12848</v>
      </c>
      <c r="B4055" t="s">
        <v>12849</v>
      </c>
      <c r="C4055" t="s">
        <v>12850</v>
      </c>
      <c r="D4055" t="s">
        <v>12838</v>
      </c>
      <c r="E4055">
        <v>0</v>
      </c>
      <c r="F4055" t="str">
        <f>HYPERLINK("https://github.com/Anuken/Mindustry/issues/6177", "show")</f>
        <v>show</v>
      </c>
      <c r="G4055" t="str">
        <f>HYPERLINK("https://github.com/Anuken/Mindustry", "show")</f>
        <v>show</v>
      </c>
      <c r="H4055" t="str">
        <f>HYPERLINK("https://github.com/Anuken/Mindustry/releases", "show")</f>
        <v>show</v>
      </c>
      <c r="I4055">
        <v>0</v>
      </c>
      <c r="J4055">
        <v>0</v>
      </c>
      <c r="K4055">
        <v>0</v>
      </c>
      <c r="L4055">
        <v>0</v>
      </c>
      <c r="M4055" t="s">
        <v>43</v>
      </c>
    </row>
    <row r="4056" spans="1:13" hidden="1" x14ac:dyDescent="0.15">
      <c r="A4056" t="s">
        <v>12851</v>
      </c>
      <c r="B4056" t="s">
        <v>12852</v>
      </c>
      <c r="C4056" t="s">
        <v>12853</v>
      </c>
      <c r="D4056" t="s">
        <v>12838</v>
      </c>
      <c r="E4056">
        <v>0</v>
      </c>
      <c r="F4056" t="str">
        <f>HYPERLINK("https://github.com/PojavLauncherTeam/PojavLauncher/issues/2139", "show")</f>
        <v>show</v>
      </c>
      <c r="G4056" t="str">
        <f>HYPERLINK("https://github.com/PojavLauncherTeam/PojavLauncher", "show")</f>
        <v>show</v>
      </c>
      <c r="H4056" t="str">
        <f>HYPERLINK("https://github.com/PojavLauncherTeam/PojavLauncher/releases", "show")</f>
        <v>show</v>
      </c>
      <c r="I4056">
        <v>1</v>
      </c>
      <c r="J4056">
        <v>1</v>
      </c>
      <c r="K4056">
        <v>0</v>
      </c>
      <c r="L4056">
        <v>0</v>
      </c>
      <c r="M4056" t="s">
        <v>48</v>
      </c>
    </row>
    <row r="4057" spans="1:13" hidden="1" x14ac:dyDescent="0.15">
      <c r="A4057" t="s">
        <v>12854</v>
      </c>
      <c r="B4057" t="s">
        <v>12855</v>
      </c>
      <c r="C4057" t="s">
        <v>12856</v>
      </c>
      <c r="D4057" t="s">
        <v>12838</v>
      </c>
      <c r="E4057">
        <v>1</v>
      </c>
      <c r="F4057" t="str">
        <f>HYPERLINK("https://github.com/Giua-app/Giua-App/issues/62", "show")</f>
        <v>show</v>
      </c>
      <c r="G4057" t="str">
        <f>HYPERLINK("https://github.com/Giua-app/Giua-App", "show")</f>
        <v>show</v>
      </c>
      <c r="H4057" t="str">
        <f>HYPERLINK("https://github.com/Giua-app/Giua-App/releases", "show")</f>
        <v>show</v>
      </c>
      <c r="I4057">
        <v>0</v>
      </c>
      <c r="J4057">
        <v>0</v>
      </c>
      <c r="K4057">
        <v>0</v>
      </c>
      <c r="L4057">
        <v>0</v>
      </c>
      <c r="M4057" t="s">
        <v>43</v>
      </c>
    </row>
    <row r="4058" spans="1:13" hidden="1" x14ac:dyDescent="0.15">
      <c r="A4058" t="s">
        <v>12857</v>
      </c>
      <c r="B4058" t="s">
        <v>12858</v>
      </c>
      <c r="C4058" t="s">
        <v>12859</v>
      </c>
      <c r="D4058" t="s">
        <v>12838</v>
      </c>
      <c r="E4058">
        <v>0</v>
      </c>
      <c r="F4058" t="str">
        <f>HYPERLINK("https://github.com/Anuken/Mindustry/issues/6174", "show")</f>
        <v>show</v>
      </c>
      <c r="G4058" t="str">
        <f>HYPERLINK("https://github.com/Anuken/Mindustry", "show")</f>
        <v>show</v>
      </c>
      <c r="H4058" t="str">
        <f>HYPERLINK("https://github.com/Anuken/Mindustry/releases", "show")</f>
        <v>show</v>
      </c>
      <c r="I4058">
        <v>1</v>
      </c>
      <c r="J4058">
        <v>1</v>
      </c>
      <c r="K4058">
        <v>0</v>
      </c>
      <c r="L4058">
        <v>0</v>
      </c>
      <c r="M4058" t="s">
        <v>48</v>
      </c>
    </row>
    <row r="4059" spans="1:13" hidden="1" x14ac:dyDescent="0.15">
      <c r="A4059" t="s">
        <v>12860</v>
      </c>
      <c r="B4059" t="s">
        <v>12861</v>
      </c>
      <c r="C4059" t="s">
        <v>12862</v>
      </c>
      <c r="D4059" t="s">
        <v>12863</v>
      </c>
      <c r="E4059">
        <v>1</v>
      </c>
      <c r="F4059" t="str">
        <f>HYPERLINK("https://github.com/cgeo/cgeo/issues/11919", "show")</f>
        <v>show</v>
      </c>
      <c r="G4059" t="str">
        <f>HYPERLINK("https://github.com/cgeo/cgeo", "show")</f>
        <v>show</v>
      </c>
      <c r="H4059" t="str">
        <f>HYPERLINK("https://github.com/cgeo/cgeo/releases", "show")</f>
        <v>show</v>
      </c>
      <c r="I4059">
        <v>1</v>
      </c>
      <c r="J4059">
        <v>0</v>
      </c>
      <c r="K4059">
        <v>1</v>
      </c>
      <c r="L4059">
        <v>0</v>
      </c>
      <c r="M4059" t="s">
        <v>64</v>
      </c>
    </row>
    <row r="4060" spans="1:13" hidden="1" x14ac:dyDescent="0.15">
      <c r="A4060" t="s">
        <v>12864</v>
      </c>
      <c r="B4060" t="s">
        <v>12865</v>
      </c>
      <c r="C4060" t="s">
        <v>12866</v>
      </c>
      <c r="D4060" t="s">
        <v>12863</v>
      </c>
      <c r="E4060">
        <v>0</v>
      </c>
      <c r="F4060" t="str">
        <f>HYPERLINK("https://github.com/fossasia/pslab-android/issues/2260", "show")</f>
        <v>show</v>
      </c>
      <c r="G4060" t="str">
        <f>HYPERLINK("https://github.com/fossasia/pslab-android", "show")</f>
        <v>show</v>
      </c>
      <c r="H4060" t="str">
        <f>HYPERLINK("https://github.com/fossasia/pslab-android/releases", "show")</f>
        <v>show</v>
      </c>
      <c r="I4060">
        <v>0</v>
      </c>
      <c r="J4060">
        <v>0</v>
      </c>
      <c r="K4060">
        <v>0</v>
      </c>
      <c r="L4060">
        <v>0</v>
      </c>
      <c r="M4060" t="s">
        <v>43</v>
      </c>
    </row>
    <row r="4061" spans="1:13" hidden="1" x14ac:dyDescent="0.15">
      <c r="A4061" t="s">
        <v>12867</v>
      </c>
      <c r="B4061" t="s">
        <v>12868</v>
      </c>
      <c r="C4061" t="s">
        <v>12869</v>
      </c>
      <c r="D4061" t="s">
        <v>12863</v>
      </c>
      <c r="E4061">
        <v>1</v>
      </c>
      <c r="F4061" t="str">
        <f>HYPERLINK("https://github.com/myselfdeepdas/MusiLo/issues/6", "show")</f>
        <v>show</v>
      </c>
      <c r="G4061" t="str">
        <f>HYPERLINK("https://github.com/myselfdeepdas/MusiLo", "show")</f>
        <v>show</v>
      </c>
      <c r="H4061" t="str">
        <f>HYPERLINK("https://github.com/myselfdeepdas/MusiLo/releases", "show")</f>
        <v>show</v>
      </c>
      <c r="I4061">
        <v>1</v>
      </c>
      <c r="J4061">
        <v>0</v>
      </c>
      <c r="K4061">
        <v>0</v>
      </c>
      <c r="L4061">
        <v>0</v>
      </c>
      <c r="M4061" t="s">
        <v>17</v>
      </c>
    </row>
    <row r="4062" spans="1:13" hidden="1" x14ac:dyDescent="0.15">
      <c r="A4062" t="s">
        <v>12870</v>
      </c>
      <c r="B4062" t="s">
        <v>12871</v>
      </c>
      <c r="C4062" t="s">
        <v>12872</v>
      </c>
      <c r="D4062" t="s">
        <v>12863</v>
      </c>
      <c r="E4062">
        <v>0</v>
      </c>
      <c r="F4062" t="str">
        <f>HYPERLINK("https://github.com/Anuken/Mindustry/issues/6167", "show")</f>
        <v>show</v>
      </c>
      <c r="G4062" t="str">
        <f>HYPERLINK("https://github.com/Anuken/Mindustry", "show")</f>
        <v>show</v>
      </c>
      <c r="H4062" t="str">
        <f>HYPERLINK("https://github.com/Anuken/Mindustry/releases", "show")</f>
        <v>show</v>
      </c>
      <c r="I4062">
        <v>1</v>
      </c>
      <c r="J4062">
        <v>1</v>
      </c>
      <c r="K4062">
        <v>0</v>
      </c>
      <c r="L4062">
        <v>0</v>
      </c>
      <c r="M4062" t="s">
        <v>48</v>
      </c>
    </row>
    <row r="4063" spans="1:13" hidden="1" x14ac:dyDescent="0.15">
      <c r="A4063" t="s">
        <v>12873</v>
      </c>
      <c r="B4063" t="s">
        <v>12874</v>
      </c>
      <c r="C4063" t="s">
        <v>12875</v>
      </c>
      <c r="D4063" t="s">
        <v>12876</v>
      </c>
      <c r="E4063">
        <v>13</v>
      </c>
      <c r="F4063" t="str">
        <f>HYPERLINK("https://github.com/PDFTron/pdftron-flutter/issues/137", "show")</f>
        <v>show</v>
      </c>
      <c r="G4063" t="str">
        <f>HYPERLINK("https://github.com/PDFTron/pdftron-flutter", "show")</f>
        <v>show</v>
      </c>
      <c r="H4063" t="str">
        <f>HYPERLINK("https://github.com/PDFTron/pdftron-flutter/releases", "show")</f>
        <v>show</v>
      </c>
      <c r="I4063">
        <v>1</v>
      </c>
      <c r="J4063">
        <v>1</v>
      </c>
      <c r="K4063">
        <v>0</v>
      </c>
      <c r="L4063">
        <v>1</v>
      </c>
      <c r="M4063" t="s">
        <v>1894</v>
      </c>
    </row>
    <row r="4064" spans="1:13" hidden="1" x14ac:dyDescent="0.15">
      <c r="A4064" t="s">
        <v>12877</v>
      </c>
      <c r="B4064" t="s">
        <v>12878</v>
      </c>
      <c r="C4064" t="s">
        <v>12879</v>
      </c>
      <c r="D4064" t="s">
        <v>12876</v>
      </c>
      <c r="E4064">
        <v>36</v>
      </c>
      <c r="F4064" t="str">
        <f>HYPERLINK("https://github.com/fossasia/pslab-android/issues/2258", "show")</f>
        <v>show</v>
      </c>
      <c r="G4064" t="str">
        <f>HYPERLINK("https://github.com/fossasia/pslab-android", "show")</f>
        <v>show</v>
      </c>
      <c r="H4064" t="str">
        <f>HYPERLINK("https://github.com/fossasia/pslab-android/releases", "show")</f>
        <v>show</v>
      </c>
      <c r="I4064">
        <v>1</v>
      </c>
      <c r="J4064">
        <v>0</v>
      </c>
      <c r="K4064">
        <v>1</v>
      </c>
      <c r="L4064">
        <v>0</v>
      </c>
      <c r="M4064" t="s">
        <v>64</v>
      </c>
    </row>
    <row r="4065" spans="1:13" hidden="1" x14ac:dyDescent="0.15">
      <c r="A4065" t="s">
        <v>12880</v>
      </c>
      <c r="B4065" t="s">
        <v>12881</v>
      </c>
      <c r="C4065" t="s">
        <v>12882</v>
      </c>
      <c r="D4065" t="s">
        <v>12876</v>
      </c>
      <c r="E4065">
        <v>42</v>
      </c>
      <c r="F4065" t="str">
        <f>HYPERLINK("https://github.com/fossasia/pslab-android/issues/2257", "show")</f>
        <v>show</v>
      </c>
      <c r="G4065" t="str">
        <f>HYPERLINK("https://github.com/fossasia/pslab-android", "show")</f>
        <v>show</v>
      </c>
      <c r="H4065" t="str">
        <f>HYPERLINK("https://github.com/fossasia/pslab-android/releases", "show")</f>
        <v>show</v>
      </c>
      <c r="I4065">
        <v>1</v>
      </c>
      <c r="J4065">
        <v>0</v>
      </c>
      <c r="K4065">
        <v>1</v>
      </c>
      <c r="L4065">
        <v>0</v>
      </c>
      <c r="M4065" t="s">
        <v>64</v>
      </c>
    </row>
    <row r="4066" spans="1:13" hidden="1" x14ac:dyDescent="0.15">
      <c r="A4066" t="s">
        <v>12883</v>
      </c>
      <c r="B4066" t="s">
        <v>12884</v>
      </c>
      <c r="C4066" t="s">
        <v>12885</v>
      </c>
      <c r="D4066" t="s">
        <v>12876</v>
      </c>
      <c r="E4066">
        <v>92</v>
      </c>
      <c r="F4066" t="str">
        <f>HYPERLINK("https://github.com/fossasia/pslab-android/issues/2256", "show")</f>
        <v>show</v>
      </c>
      <c r="G4066" t="str">
        <f>HYPERLINK("https://github.com/fossasia/pslab-android", "show")</f>
        <v>show</v>
      </c>
      <c r="H4066" t="str">
        <f>HYPERLINK("https://github.com/fossasia/pslab-android/releases", "show")</f>
        <v>show</v>
      </c>
      <c r="I4066">
        <v>1</v>
      </c>
      <c r="J4066">
        <v>0</v>
      </c>
      <c r="K4066">
        <v>1</v>
      </c>
      <c r="L4066">
        <v>0</v>
      </c>
      <c r="M4066" t="s">
        <v>64</v>
      </c>
    </row>
    <row r="4067" spans="1:13" hidden="1" x14ac:dyDescent="0.15">
      <c r="A4067" t="s">
        <v>12886</v>
      </c>
      <c r="B4067" t="s">
        <v>12887</v>
      </c>
      <c r="C4067" t="s">
        <v>12888</v>
      </c>
      <c r="D4067" t="s">
        <v>12876</v>
      </c>
      <c r="E4067">
        <v>92</v>
      </c>
      <c r="F4067" t="str">
        <f>HYPERLINK("https://github.com/fossasia/pslab-android/issues/2255", "show")</f>
        <v>show</v>
      </c>
      <c r="G4067" t="str">
        <f>HYPERLINK("https://github.com/fossasia/pslab-android", "show")</f>
        <v>show</v>
      </c>
      <c r="H4067" t="str">
        <f>HYPERLINK("https://github.com/fossasia/pslab-android/releases", "show")</f>
        <v>show</v>
      </c>
      <c r="I4067">
        <v>1</v>
      </c>
      <c r="J4067">
        <v>0</v>
      </c>
      <c r="K4067">
        <v>1</v>
      </c>
      <c r="L4067">
        <v>0</v>
      </c>
      <c r="M4067" t="s">
        <v>64</v>
      </c>
    </row>
    <row r="4068" spans="1:13" hidden="1" x14ac:dyDescent="0.15">
      <c r="A4068" t="s">
        <v>12889</v>
      </c>
      <c r="B4068" t="s">
        <v>12890</v>
      </c>
      <c r="C4068" t="s">
        <v>12891</v>
      </c>
      <c r="D4068" t="s">
        <v>12876</v>
      </c>
      <c r="E4068">
        <v>15</v>
      </c>
      <c r="F4068" t="str">
        <f>HYPERLINK("https://github.com/TeamNewPipe/NewPipe/issues/7251", "show")</f>
        <v>show</v>
      </c>
      <c r="G4068" t="str">
        <f>HYPERLINK("https://github.com/TeamNewPipe/NewPipe", "show")</f>
        <v>show</v>
      </c>
      <c r="H4068" t="str">
        <f>HYPERLINK("https://github.com/TeamNewPipe/NewPipe/releases", "show")</f>
        <v>show</v>
      </c>
      <c r="I4068">
        <v>1</v>
      </c>
      <c r="J4068">
        <v>1</v>
      </c>
      <c r="K4068">
        <v>0</v>
      </c>
      <c r="L4068">
        <v>0</v>
      </c>
      <c r="M4068" t="s">
        <v>48</v>
      </c>
    </row>
    <row r="4069" spans="1:13" hidden="1" x14ac:dyDescent="0.15">
      <c r="A4069" t="s">
        <v>12892</v>
      </c>
      <c r="B4069" t="s">
        <v>12893</v>
      </c>
      <c r="C4069" t="s">
        <v>12894</v>
      </c>
      <c r="D4069" t="s">
        <v>12876</v>
      </c>
      <c r="E4069">
        <v>0</v>
      </c>
      <c r="F4069" t="str">
        <f>HYPERLINK("https://github.com/Anuken/Mindustry/issues/6155", "show")</f>
        <v>show</v>
      </c>
      <c r="G4069" t="str">
        <f>HYPERLINK("https://github.com/Anuken/Mindustry", "show")</f>
        <v>show</v>
      </c>
      <c r="H4069" t="str">
        <f>HYPERLINK("https://github.com/Anuken/Mindustry/releases", "show")</f>
        <v>show</v>
      </c>
      <c r="I4069">
        <v>1</v>
      </c>
      <c r="J4069">
        <v>1</v>
      </c>
      <c r="K4069">
        <v>0</v>
      </c>
      <c r="L4069">
        <v>1</v>
      </c>
      <c r="M4069" t="s">
        <v>1894</v>
      </c>
    </row>
    <row r="4070" spans="1:13" hidden="1" x14ac:dyDescent="0.15">
      <c r="A4070" t="s">
        <v>12895</v>
      </c>
      <c r="B4070" t="s">
        <v>12896</v>
      </c>
      <c r="C4070" t="s">
        <v>12897</v>
      </c>
      <c r="D4070" t="s">
        <v>12876</v>
      </c>
      <c r="E4070">
        <v>0</v>
      </c>
      <c r="F4070" t="str">
        <f>HYPERLINK("https://github.com/SmartPack/PackageManager/issues/64", "show")</f>
        <v>show</v>
      </c>
      <c r="G4070" t="str">
        <f>HYPERLINK("https://github.com/SmartPack/PackageManager", "show")</f>
        <v>show</v>
      </c>
      <c r="H4070" t="str">
        <f>HYPERLINK("https://github.com/SmartPack/PackageManager/releases", "show")</f>
        <v>show</v>
      </c>
      <c r="I4070">
        <v>1</v>
      </c>
      <c r="J4070">
        <v>0</v>
      </c>
      <c r="K4070">
        <v>0</v>
      </c>
      <c r="L4070">
        <v>0</v>
      </c>
      <c r="M4070" t="s">
        <v>17</v>
      </c>
    </row>
    <row r="4071" spans="1:13" hidden="1" x14ac:dyDescent="0.15">
      <c r="A4071" t="s">
        <v>12898</v>
      </c>
      <c r="B4071" t="s">
        <v>12899</v>
      </c>
      <c r="C4071" t="s">
        <v>12900</v>
      </c>
      <c r="D4071" t="s">
        <v>12901</v>
      </c>
      <c r="E4071">
        <v>1</v>
      </c>
      <c r="F4071" t="str">
        <f>HYPERLINK("https://github.com/norkator/apcupsd-monitor/issues/67", "show")</f>
        <v>show</v>
      </c>
      <c r="G4071" t="str">
        <f>HYPERLINK("https://github.com/norkator/apcupsd-monitor", "show")</f>
        <v>show</v>
      </c>
      <c r="H4071" t="str">
        <f>HYPERLINK("https://github.com/norkator/apcupsd-monitor/releases", "show")</f>
        <v>show</v>
      </c>
      <c r="I4071">
        <v>1</v>
      </c>
      <c r="J4071">
        <v>1</v>
      </c>
      <c r="K4071">
        <v>1</v>
      </c>
      <c r="L4071">
        <v>0</v>
      </c>
      <c r="M4071" t="s">
        <v>59</v>
      </c>
    </row>
    <row r="4072" spans="1:13" hidden="1" x14ac:dyDescent="0.15">
      <c r="A4072" t="s">
        <v>12902</v>
      </c>
      <c r="B4072" t="s">
        <v>12903</v>
      </c>
      <c r="C4072" t="s">
        <v>12904</v>
      </c>
      <c r="D4072" t="s">
        <v>12901</v>
      </c>
      <c r="E4072">
        <v>8</v>
      </c>
      <c r="F4072" t="str">
        <f>HYPERLINK("https://github.com/stefan-niedermann/nextcloud-notes/issues/1374", "show")</f>
        <v>show</v>
      </c>
      <c r="G4072" t="str">
        <f>HYPERLINK("https://github.com/stefan-niedermann/nextcloud-notes", "show")</f>
        <v>show</v>
      </c>
      <c r="H4072" t="str">
        <f>HYPERLINK("https://github.com/stefan-niedermann/nextcloud-notes/releases", "show")</f>
        <v>show</v>
      </c>
      <c r="I4072">
        <v>1</v>
      </c>
      <c r="J4072">
        <v>0</v>
      </c>
      <c r="K4072">
        <v>1</v>
      </c>
      <c r="L4072">
        <v>0</v>
      </c>
      <c r="M4072" t="s">
        <v>64</v>
      </c>
    </row>
    <row r="4073" spans="1:13" hidden="1" x14ac:dyDescent="0.15">
      <c r="A4073" t="s">
        <v>12905</v>
      </c>
      <c r="B4073" t="s">
        <v>12906</v>
      </c>
      <c r="C4073" t="s">
        <v>12907</v>
      </c>
      <c r="D4073" t="s">
        <v>12901</v>
      </c>
      <c r="E4073">
        <v>16</v>
      </c>
      <c r="F4073" t="str">
        <f>HYPERLINK("https://github.com/TeamNewPipe/NewPipe/issues/7249", "show")</f>
        <v>show</v>
      </c>
      <c r="G4073" t="str">
        <f>HYPERLINK("https://github.com/TeamNewPipe/NewPipe", "show")</f>
        <v>show</v>
      </c>
      <c r="H4073" t="str">
        <f>HYPERLINK("https://github.com/TeamNewPipe/NewPipe/releases", "show")</f>
        <v>show</v>
      </c>
      <c r="I4073">
        <v>1</v>
      </c>
      <c r="J4073">
        <v>1</v>
      </c>
      <c r="K4073">
        <v>0</v>
      </c>
      <c r="L4073">
        <v>0</v>
      </c>
      <c r="M4073" t="s">
        <v>48</v>
      </c>
    </row>
    <row r="4074" spans="1:13" hidden="1" x14ac:dyDescent="0.15">
      <c r="A4074" t="s">
        <v>12908</v>
      </c>
      <c r="B4074" t="s">
        <v>12909</v>
      </c>
      <c r="C4074" t="s">
        <v>12910</v>
      </c>
      <c r="D4074" t="s">
        <v>12911</v>
      </c>
      <c r="E4074">
        <v>0</v>
      </c>
      <c r="F4074" t="str">
        <f>HYPERLINK("https://github.com/cgeo/cgeo/issues/11880", "show")</f>
        <v>show</v>
      </c>
      <c r="G4074" t="str">
        <f>HYPERLINK("https://github.com/cgeo/cgeo", "show")</f>
        <v>show</v>
      </c>
      <c r="H4074" t="str">
        <f>HYPERLINK("https://github.com/cgeo/cgeo/releases", "show")</f>
        <v>show</v>
      </c>
      <c r="I4074">
        <v>1</v>
      </c>
      <c r="J4074">
        <v>1</v>
      </c>
      <c r="K4074">
        <v>1</v>
      </c>
      <c r="L4074">
        <v>0</v>
      </c>
      <c r="M4074" t="s">
        <v>59</v>
      </c>
    </row>
    <row r="4075" spans="1:13" hidden="1" x14ac:dyDescent="0.15">
      <c r="A4075" t="s">
        <v>12912</v>
      </c>
      <c r="B4075" t="s">
        <v>12913</v>
      </c>
      <c r="C4075" t="s">
        <v>12914</v>
      </c>
      <c r="D4075" t="s">
        <v>12911</v>
      </c>
      <c r="E4075">
        <v>1</v>
      </c>
      <c r="F4075" t="str">
        <f>HYPERLINK("https://github.com/cgeo/cgeo/issues/11878", "show")</f>
        <v>show</v>
      </c>
      <c r="G4075" t="str">
        <f>HYPERLINK("https://github.com/cgeo/cgeo", "show")</f>
        <v>show</v>
      </c>
      <c r="H4075" t="str">
        <f>HYPERLINK("https://github.com/cgeo/cgeo/releases", "show")</f>
        <v>show</v>
      </c>
      <c r="I4075">
        <v>1</v>
      </c>
      <c r="J4075">
        <v>0</v>
      </c>
      <c r="K4075">
        <v>0</v>
      </c>
      <c r="L4075">
        <v>0</v>
      </c>
      <c r="M4075" t="s">
        <v>17</v>
      </c>
    </row>
    <row r="4076" spans="1:13" hidden="1" x14ac:dyDescent="0.15">
      <c r="A4076" t="s">
        <v>12915</v>
      </c>
      <c r="B4076" t="s">
        <v>12916</v>
      </c>
      <c r="C4076" t="s">
        <v>12917</v>
      </c>
      <c r="D4076" t="s">
        <v>12911</v>
      </c>
      <c r="E4076">
        <v>0</v>
      </c>
      <c r="F4076" t="str">
        <f>HYPERLINK("https://github.com/NightscoutFoundation/xDrip/issues/1850", "show")</f>
        <v>show</v>
      </c>
      <c r="G4076" t="str">
        <f>HYPERLINK("https://github.com/NightscoutFoundation/xDrip", "show")</f>
        <v>show</v>
      </c>
      <c r="H4076" t="str">
        <f>HYPERLINK("https://github.com/NightscoutFoundation/xDrip/releases", "show")</f>
        <v>show</v>
      </c>
      <c r="I4076">
        <v>1</v>
      </c>
      <c r="J4076">
        <v>0</v>
      </c>
      <c r="K4076">
        <v>0</v>
      </c>
      <c r="L4076">
        <v>0</v>
      </c>
      <c r="M4076" t="s">
        <v>17</v>
      </c>
    </row>
    <row r="4077" spans="1:13" hidden="1" x14ac:dyDescent="0.15">
      <c r="A4077" t="s">
        <v>12918</v>
      </c>
      <c r="B4077" t="s">
        <v>12919</v>
      </c>
      <c r="C4077" t="s">
        <v>12920</v>
      </c>
      <c r="D4077" t="s">
        <v>12911</v>
      </c>
      <c r="E4077">
        <v>0</v>
      </c>
      <c r="F4077" t="str">
        <f>HYPERLINK("https://github.com/k9mail/k-9/issues/5736", "show")</f>
        <v>show</v>
      </c>
      <c r="G4077" t="str">
        <f>HYPERLINK("https://github.com/k9mail/k-9", "show")</f>
        <v>show</v>
      </c>
      <c r="H4077" t="str">
        <f>HYPERLINK("https://github.com/k9mail/k-9/releases", "show")</f>
        <v>show</v>
      </c>
      <c r="I4077">
        <v>0</v>
      </c>
      <c r="J4077">
        <v>0</v>
      </c>
      <c r="K4077">
        <v>1</v>
      </c>
      <c r="L4077">
        <v>0</v>
      </c>
      <c r="M4077" t="s">
        <v>122</v>
      </c>
    </row>
    <row r="4078" spans="1:13" hidden="1" x14ac:dyDescent="0.15">
      <c r="A4078" t="s">
        <v>12921</v>
      </c>
      <c r="B4078" t="s">
        <v>12922</v>
      </c>
      <c r="C4078" t="s">
        <v>12923</v>
      </c>
      <c r="D4078" t="s">
        <v>12924</v>
      </c>
      <c r="E4078">
        <v>16</v>
      </c>
      <c r="F4078" t="str">
        <f>HYPERLINK("https://github.com/TeamNewPipe/NewPipe/issues/7234", "show")</f>
        <v>show</v>
      </c>
      <c r="G4078" t="str">
        <f>HYPERLINK("https://github.com/TeamNewPipe/NewPipe", "show")</f>
        <v>show</v>
      </c>
      <c r="H4078" t="str">
        <f>HYPERLINK("https://github.com/TeamNewPipe/NewPipe/releases", "show")</f>
        <v>show</v>
      </c>
      <c r="I4078">
        <v>1</v>
      </c>
      <c r="J4078">
        <v>1</v>
      </c>
      <c r="K4078">
        <v>0</v>
      </c>
      <c r="L4078">
        <v>0</v>
      </c>
      <c r="M4078" t="s">
        <v>48</v>
      </c>
    </row>
    <row r="4079" spans="1:13" hidden="1" x14ac:dyDescent="0.15">
      <c r="A4079" t="s">
        <v>12925</v>
      </c>
      <c r="B4079" t="s">
        <v>12926</v>
      </c>
      <c r="C4079" t="s">
        <v>12927</v>
      </c>
      <c r="D4079" t="s">
        <v>12924</v>
      </c>
      <c r="E4079">
        <v>14</v>
      </c>
      <c r="F4079" t="str">
        <f>HYPERLINK("https://github.com/nextcloud/android/issues/9089", "show")</f>
        <v>show</v>
      </c>
      <c r="G4079" t="str">
        <f>HYPERLINK("https://github.com/nextcloud/android", "show")</f>
        <v>show</v>
      </c>
      <c r="H4079" t="str">
        <f>HYPERLINK("https://github.com/nextcloud/android/releases", "show")</f>
        <v>show</v>
      </c>
      <c r="I4079">
        <v>1</v>
      </c>
      <c r="J4079">
        <v>1</v>
      </c>
      <c r="K4079">
        <v>1</v>
      </c>
      <c r="L4079">
        <v>0</v>
      </c>
      <c r="M4079" t="s">
        <v>59</v>
      </c>
    </row>
    <row r="4080" spans="1:13" hidden="1" x14ac:dyDescent="0.15">
      <c r="A4080" t="s">
        <v>12928</v>
      </c>
      <c r="B4080" t="s">
        <v>12929</v>
      </c>
      <c r="C4080" t="s">
        <v>12930</v>
      </c>
      <c r="D4080" t="s">
        <v>12924</v>
      </c>
      <c r="E4080">
        <v>14</v>
      </c>
      <c r="F4080" t="str">
        <f>HYPERLINK("https://github.com/opensrp/opensrp-client-eusm/issues/94", "show")</f>
        <v>show</v>
      </c>
      <c r="G4080" t="str">
        <f>HYPERLINK("https://github.com/opensrp/opensrp-client-eusm", "show")</f>
        <v>show</v>
      </c>
      <c r="H4080" t="str">
        <f>HYPERLINK("https://github.com/opensrp/opensrp-client-eusm/releases", "show")</f>
        <v>show</v>
      </c>
      <c r="I4080">
        <v>1</v>
      </c>
      <c r="J4080">
        <v>0</v>
      </c>
      <c r="K4080">
        <v>0</v>
      </c>
      <c r="L4080">
        <v>0</v>
      </c>
      <c r="M4080" t="s">
        <v>17</v>
      </c>
    </row>
    <row r="4081" spans="1:13" hidden="1" x14ac:dyDescent="0.15">
      <c r="A4081" t="s">
        <v>12931</v>
      </c>
      <c r="B4081" t="s">
        <v>12932</v>
      </c>
      <c r="C4081" t="s">
        <v>12933</v>
      </c>
      <c r="D4081" t="s">
        <v>12924</v>
      </c>
      <c r="E4081">
        <v>12</v>
      </c>
      <c r="F4081" t="str">
        <f>HYPERLINK("https://github.com/openid/AppAuth-Android/issues/755", "show")</f>
        <v>show</v>
      </c>
      <c r="G4081" t="str">
        <f>HYPERLINK("https://github.com/openid/AppAuth-Android", "show")</f>
        <v>show</v>
      </c>
      <c r="H4081" t="str">
        <f>HYPERLINK("https://github.com/openid/AppAuth-Android/releases", "show")</f>
        <v>show</v>
      </c>
      <c r="I4081">
        <v>0</v>
      </c>
      <c r="J4081">
        <v>0</v>
      </c>
      <c r="K4081">
        <v>1</v>
      </c>
      <c r="L4081">
        <v>0</v>
      </c>
      <c r="M4081" t="s">
        <v>122</v>
      </c>
    </row>
    <row r="4082" spans="1:13" hidden="1" x14ac:dyDescent="0.15">
      <c r="A4082" t="s">
        <v>12934</v>
      </c>
      <c r="B4082" t="s">
        <v>12935</v>
      </c>
      <c r="C4082" t="s">
        <v>12936</v>
      </c>
      <c r="D4082" t="s">
        <v>12924</v>
      </c>
      <c r="E4082">
        <v>2</v>
      </c>
      <c r="F4082" t="str">
        <f>HYPERLINK("https://github.com/opensrp/opensrp-client-unicef-tunisia/issues/133", "show")</f>
        <v>show</v>
      </c>
      <c r="G4082" t="str">
        <f>HYPERLINK("https://github.com/opensrp/opensrp-client-unicef-tunisia", "show")</f>
        <v>show</v>
      </c>
      <c r="H4082" t="str">
        <f>HYPERLINK("https://github.com/opensrp/opensrp-client-unicef-tunisia/releases", "show")</f>
        <v>show</v>
      </c>
      <c r="I4082">
        <v>1</v>
      </c>
      <c r="J4082">
        <v>0</v>
      </c>
      <c r="K4082">
        <v>0</v>
      </c>
      <c r="L4082">
        <v>1</v>
      </c>
      <c r="M4082" t="s">
        <v>29</v>
      </c>
    </row>
    <row r="4083" spans="1:13" hidden="1" x14ac:dyDescent="0.15">
      <c r="A4083" t="s">
        <v>12937</v>
      </c>
      <c r="B4083" t="s">
        <v>12938</v>
      </c>
      <c r="C4083" t="s">
        <v>12939</v>
      </c>
      <c r="D4083" t="s">
        <v>12924</v>
      </c>
      <c r="E4083">
        <v>34</v>
      </c>
      <c r="F4083" t="str">
        <f>HYPERLINK("https://github.com/enviroCar/enviroCar-app/issues/842", "show")</f>
        <v>show</v>
      </c>
      <c r="G4083" t="str">
        <f>HYPERLINK("https://github.com/enviroCar/enviroCar-app", "show")</f>
        <v>show</v>
      </c>
      <c r="H4083" t="str">
        <f>HYPERLINK("https://github.com/enviroCar/enviroCar-app/releases", "show")</f>
        <v>show</v>
      </c>
      <c r="I4083">
        <v>1</v>
      </c>
      <c r="J4083">
        <v>0</v>
      </c>
      <c r="K4083">
        <v>0</v>
      </c>
      <c r="L4083">
        <v>0</v>
      </c>
      <c r="M4083" t="s">
        <v>17</v>
      </c>
    </row>
    <row r="4084" spans="1:13" hidden="1" x14ac:dyDescent="0.15">
      <c r="A4084" t="s">
        <v>12940</v>
      </c>
      <c r="B4084" t="s">
        <v>12941</v>
      </c>
      <c r="C4084" t="s">
        <v>12942</v>
      </c>
      <c r="D4084" t="s">
        <v>12943</v>
      </c>
      <c r="E4084">
        <v>59</v>
      </c>
      <c r="F4084" t="str">
        <f>HYPERLINK("https://github.com/nextcloud/android/issues/9084", "show")</f>
        <v>show</v>
      </c>
      <c r="G4084" t="str">
        <f>HYPERLINK("https://github.com/nextcloud/android", "show")</f>
        <v>show</v>
      </c>
      <c r="H4084" t="str">
        <f>HYPERLINK("https://github.com/nextcloud/android/releases", "show")</f>
        <v>show</v>
      </c>
      <c r="I4084">
        <v>1</v>
      </c>
      <c r="J4084">
        <v>1</v>
      </c>
      <c r="K4084">
        <v>1</v>
      </c>
      <c r="L4084">
        <v>0</v>
      </c>
      <c r="M4084" t="s">
        <v>59</v>
      </c>
    </row>
    <row r="4085" spans="1:13" hidden="1" x14ac:dyDescent="0.15">
      <c r="A4085" t="s">
        <v>12944</v>
      </c>
      <c r="B4085" t="s">
        <v>12945</v>
      </c>
      <c r="C4085" t="s">
        <v>12946</v>
      </c>
      <c r="D4085" t="s">
        <v>12943</v>
      </c>
      <c r="E4085">
        <v>2</v>
      </c>
      <c r="F4085" t="str">
        <f>HYPERLINK("https://github.com/openid/AppAuth-Android/issues/754", "show")</f>
        <v>show</v>
      </c>
      <c r="G4085" t="str">
        <f>HYPERLINK("https://github.com/openid/AppAuth-Android", "show")</f>
        <v>show</v>
      </c>
      <c r="H4085" t="str">
        <f>HYPERLINK("https://github.com/openid/AppAuth-Android/releases", "show")</f>
        <v>show</v>
      </c>
      <c r="I4085">
        <v>1</v>
      </c>
      <c r="J4085">
        <v>0</v>
      </c>
      <c r="K4085">
        <v>0</v>
      </c>
      <c r="L4085">
        <v>0</v>
      </c>
      <c r="M4085" t="s">
        <v>17</v>
      </c>
    </row>
    <row r="4086" spans="1:13" hidden="1" x14ac:dyDescent="0.15">
      <c r="A4086" t="s">
        <v>12947</v>
      </c>
      <c r="B4086" t="s">
        <v>12948</v>
      </c>
      <c r="C4086" t="s">
        <v>12949</v>
      </c>
      <c r="D4086" t="s">
        <v>12943</v>
      </c>
      <c r="E4086">
        <v>15</v>
      </c>
      <c r="F4086" t="str">
        <f>HYPERLINK("https://github.com/nextcloud/android/issues/9082", "show")</f>
        <v>show</v>
      </c>
      <c r="G4086" t="str">
        <f>HYPERLINK("https://github.com/nextcloud/android", "show")</f>
        <v>show</v>
      </c>
      <c r="H4086" t="str">
        <f>HYPERLINK("https://github.com/nextcloud/android/releases", "show")</f>
        <v>show</v>
      </c>
      <c r="I4086">
        <v>0</v>
      </c>
      <c r="J4086">
        <v>1</v>
      </c>
      <c r="K4086">
        <v>1</v>
      </c>
      <c r="L4086">
        <v>0</v>
      </c>
      <c r="M4086" t="s">
        <v>699</v>
      </c>
    </row>
    <row r="4087" spans="1:13" hidden="1" x14ac:dyDescent="0.15">
      <c r="A4087" t="s">
        <v>12950</v>
      </c>
      <c r="B4087" t="s">
        <v>12951</v>
      </c>
      <c r="C4087" t="s">
        <v>12952</v>
      </c>
      <c r="D4087" t="s">
        <v>12943</v>
      </c>
      <c r="E4087">
        <v>172</v>
      </c>
      <c r="F4087" t="str">
        <f>HYPERLINK("https://github.com/TeamNewPipe/NewPipe/issues/7223", "show")</f>
        <v>show</v>
      </c>
      <c r="G4087" t="str">
        <f>HYPERLINK("https://github.com/TeamNewPipe/NewPipe", "show")</f>
        <v>show</v>
      </c>
      <c r="H4087" t="str">
        <f>HYPERLINK("https://github.com/TeamNewPipe/NewPipe/releases", "show")</f>
        <v>show</v>
      </c>
      <c r="I4087">
        <v>0</v>
      </c>
      <c r="J4087">
        <v>0</v>
      </c>
      <c r="K4087">
        <v>1</v>
      </c>
      <c r="L4087">
        <v>0</v>
      </c>
      <c r="M4087" t="s">
        <v>122</v>
      </c>
    </row>
    <row r="4088" spans="1:13" hidden="1" x14ac:dyDescent="0.15">
      <c r="A4088" t="s">
        <v>12953</v>
      </c>
      <c r="B4088" t="s">
        <v>12954</v>
      </c>
      <c r="C4088" t="s">
        <v>12955</v>
      </c>
      <c r="D4088" t="s">
        <v>12943</v>
      </c>
      <c r="E4088">
        <v>136</v>
      </c>
      <c r="F4088" t="str">
        <f>HYPERLINK("https://github.com/smartdevicelink/sdl_java_suite/issues/1751", "show")</f>
        <v>show</v>
      </c>
      <c r="G4088" t="str">
        <f>HYPERLINK("https://github.com/smartdevicelink/sdl_java_suite", "show")</f>
        <v>show</v>
      </c>
      <c r="H4088" t="str">
        <f>HYPERLINK("https://github.com/smartdevicelink/sdl_java_suite/releases", "show")</f>
        <v>show</v>
      </c>
      <c r="I4088">
        <v>1</v>
      </c>
      <c r="J4088">
        <v>1</v>
      </c>
      <c r="K4088">
        <v>1</v>
      </c>
      <c r="L4088">
        <v>0</v>
      </c>
      <c r="M4088" t="s">
        <v>59</v>
      </c>
    </row>
    <row r="4089" spans="1:13" hidden="1" x14ac:dyDescent="0.15">
      <c r="A4089" t="s">
        <v>12956</v>
      </c>
      <c r="B4089" t="s">
        <v>12957</v>
      </c>
      <c r="C4089" t="s">
        <v>11701</v>
      </c>
      <c r="D4089" t="s">
        <v>12958</v>
      </c>
      <c r="E4089">
        <v>0</v>
      </c>
      <c r="F4089" t="str">
        <f>HYPERLINK("https://github.com/Anuken/Mindustry/issues/6131", "show")</f>
        <v>show</v>
      </c>
      <c r="G4089" t="str">
        <f>HYPERLINK("https://github.com/Anuken/Mindustry", "show")</f>
        <v>show</v>
      </c>
      <c r="H4089" t="str">
        <f>HYPERLINK("https://github.com/Anuken/Mindustry/releases", "show")</f>
        <v>show</v>
      </c>
      <c r="I4089">
        <v>1</v>
      </c>
      <c r="J4089">
        <v>1</v>
      </c>
      <c r="K4089">
        <v>0</v>
      </c>
      <c r="L4089">
        <v>0</v>
      </c>
      <c r="M4089" t="s">
        <v>48</v>
      </c>
    </row>
    <row r="4090" spans="1:13" hidden="1" x14ac:dyDescent="0.15">
      <c r="A4090" t="s">
        <v>12959</v>
      </c>
      <c r="B4090" t="s">
        <v>12960</v>
      </c>
      <c r="C4090" t="s">
        <v>12961</v>
      </c>
      <c r="D4090" t="s">
        <v>12962</v>
      </c>
      <c r="E4090">
        <v>0</v>
      </c>
      <c r="F4090" t="str">
        <f>HYPERLINK("https://github.com/Aliucord/Aliucord/issues/113", "show")</f>
        <v>show</v>
      </c>
      <c r="G4090" t="str">
        <f>HYPERLINK("https://github.com/Aliucord/Aliucord", "show")</f>
        <v>show</v>
      </c>
      <c r="H4090" t="str">
        <f>HYPERLINK("https://github.com/Aliucord/Aliucord/releases", "show")</f>
        <v>show</v>
      </c>
      <c r="I4090">
        <v>1</v>
      </c>
      <c r="J4090">
        <v>1</v>
      </c>
      <c r="K4090">
        <v>0</v>
      </c>
      <c r="L4090">
        <v>0</v>
      </c>
      <c r="M4090" t="s">
        <v>48</v>
      </c>
    </row>
    <row r="4091" spans="1:13" hidden="1" x14ac:dyDescent="0.15">
      <c r="A4091" t="s">
        <v>12963</v>
      </c>
      <c r="B4091" t="s">
        <v>12964</v>
      </c>
      <c r="C4091" t="s">
        <v>12965</v>
      </c>
      <c r="D4091" t="s">
        <v>12962</v>
      </c>
      <c r="E4091">
        <v>2</v>
      </c>
      <c r="F4091" t="str">
        <f>HYPERLINK("https://github.com/cgeo/cgeo/issues/11815", "show")</f>
        <v>show</v>
      </c>
      <c r="G4091" t="str">
        <f>HYPERLINK("https://github.com/cgeo/cgeo", "show")</f>
        <v>show</v>
      </c>
      <c r="H4091" t="str">
        <f>HYPERLINK("https://github.com/cgeo/cgeo/releases", "show")</f>
        <v>show</v>
      </c>
      <c r="I4091">
        <v>1</v>
      </c>
      <c r="J4091">
        <v>1</v>
      </c>
      <c r="K4091">
        <v>0</v>
      </c>
      <c r="L4091">
        <v>0</v>
      </c>
      <c r="M4091" t="s">
        <v>48</v>
      </c>
    </row>
    <row r="4092" spans="1:13" hidden="1" x14ac:dyDescent="0.15">
      <c r="A4092" t="s">
        <v>12966</v>
      </c>
      <c r="B4092" t="s">
        <v>12967</v>
      </c>
      <c r="C4092" t="s">
        <v>12968</v>
      </c>
      <c r="D4092" t="s">
        <v>12962</v>
      </c>
      <c r="E4092">
        <v>0</v>
      </c>
      <c r="F4092" t="str">
        <f>HYPERLINK("https://github.com/Anuken/Mindustry/issues/6124", "show")</f>
        <v>show</v>
      </c>
      <c r="G4092" t="str">
        <f>HYPERLINK("https://github.com/Anuken/Mindustry", "show")</f>
        <v>show</v>
      </c>
      <c r="H4092" t="str">
        <f>HYPERLINK("https://github.com/Anuken/Mindustry/releases", "show")</f>
        <v>show</v>
      </c>
      <c r="I4092">
        <v>0</v>
      </c>
      <c r="J4092">
        <v>0</v>
      </c>
      <c r="K4092">
        <v>0</v>
      </c>
      <c r="L4092">
        <v>0</v>
      </c>
      <c r="M4092" t="s">
        <v>43</v>
      </c>
    </row>
    <row r="4093" spans="1:13" hidden="1" x14ac:dyDescent="0.15">
      <c r="A4093" t="s">
        <v>12969</v>
      </c>
      <c r="B4093" t="s">
        <v>12970</v>
      </c>
      <c r="C4093" t="s">
        <v>12971</v>
      </c>
      <c r="D4093" t="s">
        <v>12972</v>
      </c>
      <c r="E4093">
        <v>1</v>
      </c>
      <c r="F4093" t="str">
        <f>HYPERLINK("https://github.com/TeamNewPipe/NewPipe/issues/7213", "show")</f>
        <v>show</v>
      </c>
      <c r="G4093" t="str">
        <f>HYPERLINK("https://github.com/TeamNewPipe/NewPipe", "show")</f>
        <v>show</v>
      </c>
      <c r="H4093" t="str">
        <f>HYPERLINK("https://github.com/TeamNewPipe/NewPipe/releases", "show")</f>
        <v>show</v>
      </c>
      <c r="I4093">
        <v>1</v>
      </c>
      <c r="J4093">
        <v>1</v>
      </c>
      <c r="K4093">
        <v>0</v>
      </c>
      <c r="L4093">
        <v>0</v>
      </c>
      <c r="M4093" t="s">
        <v>48</v>
      </c>
    </row>
    <row r="4094" spans="1:13" hidden="1" x14ac:dyDescent="0.15">
      <c r="A4094" t="s">
        <v>12973</v>
      </c>
      <c r="B4094" t="s">
        <v>12974</v>
      </c>
      <c r="C4094" t="s">
        <v>12975</v>
      </c>
      <c r="D4094" t="s">
        <v>12972</v>
      </c>
      <c r="E4094">
        <v>146</v>
      </c>
      <c r="F4094" t="str">
        <f>HYPERLINK("https://github.com/nextcloud/android/issues/9076", "show")</f>
        <v>show</v>
      </c>
      <c r="G4094" t="str">
        <f>HYPERLINK("https://github.com/nextcloud/android", "show")</f>
        <v>show</v>
      </c>
      <c r="H4094" t="str">
        <f>HYPERLINK("https://github.com/nextcloud/android/releases", "show")</f>
        <v>show</v>
      </c>
      <c r="I4094">
        <v>1</v>
      </c>
      <c r="J4094">
        <v>1</v>
      </c>
      <c r="K4094">
        <v>1</v>
      </c>
      <c r="L4094">
        <v>0</v>
      </c>
      <c r="M4094" t="s">
        <v>59</v>
      </c>
    </row>
    <row r="4095" spans="1:13" hidden="1" x14ac:dyDescent="0.15">
      <c r="A4095" t="s">
        <v>12976</v>
      </c>
      <c r="B4095" t="s">
        <v>12977</v>
      </c>
      <c r="C4095" t="s">
        <v>12978</v>
      </c>
      <c r="D4095" t="s">
        <v>12972</v>
      </c>
      <c r="E4095">
        <v>1</v>
      </c>
      <c r="F4095" t="str">
        <f>HYPERLINK("https://github.com/nextcloud/android/issues/9075", "show")</f>
        <v>show</v>
      </c>
      <c r="G4095" t="str">
        <f>HYPERLINK("https://github.com/nextcloud/android", "show")</f>
        <v>show</v>
      </c>
      <c r="H4095" t="str">
        <f>HYPERLINK("https://github.com/nextcloud/android/releases", "show")</f>
        <v>show</v>
      </c>
      <c r="I4095">
        <v>0</v>
      </c>
      <c r="J4095">
        <v>1</v>
      </c>
      <c r="K4095">
        <v>1</v>
      </c>
      <c r="L4095">
        <v>0</v>
      </c>
      <c r="M4095" t="s">
        <v>699</v>
      </c>
    </row>
    <row r="4096" spans="1:13" hidden="1" x14ac:dyDescent="0.15">
      <c r="A4096" t="s">
        <v>12979</v>
      </c>
      <c r="B4096" t="s">
        <v>12980</v>
      </c>
      <c r="C4096" t="s">
        <v>12981</v>
      </c>
      <c r="D4096" t="s">
        <v>12972</v>
      </c>
      <c r="E4096">
        <v>0</v>
      </c>
      <c r="F4096" t="str">
        <f>HYPERLINK("https://github.com/Anuken/Mindustry/issues/6120", "show")</f>
        <v>show</v>
      </c>
      <c r="G4096" t="str">
        <f>HYPERLINK("https://github.com/Anuken/Mindustry", "show")</f>
        <v>show</v>
      </c>
      <c r="H4096" t="str">
        <f>HYPERLINK("https://github.com/Anuken/Mindustry/releases", "show")</f>
        <v>show</v>
      </c>
      <c r="I4096">
        <v>1</v>
      </c>
      <c r="J4096">
        <v>0</v>
      </c>
      <c r="K4096">
        <v>0</v>
      </c>
      <c r="L4096">
        <v>0</v>
      </c>
      <c r="M4096" t="s">
        <v>17</v>
      </c>
    </row>
    <row r="4097" spans="1:13" hidden="1" x14ac:dyDescent="0.15">
      <c r="A4097" t="s">
        <v>12982</v>
      </c>
      <c r="B4097" t="s">
        <v>12983</v>
      </c>
      <c r="C4097" t="s">
        <v>12984</v>
      </c>
      <c r="D4097" t="s">
        <v>12985</v>
      </c>
      <c r="E4097">
        <v>6</v>
      </c>
      <c r="F4097" t="str">
        <f>HYPERLINK("https://github.com/material-components/material-components-android/issues/2416", "show")</f>
        <v>show</v>
      </c>
      <c r="G4097" t="str">
        <f>HYPERLINK("https://github.com/material-components/material-components-android", "show")</f>
        <v>show</v>
      </c>
      <c r="H4097" t="str">
        <f>HYPERLINK("https://github.com/material-components/material-components-android/releases", "show")</f>
        <v>show</v>
      </c>
      <c r="I4097">
        <v>1</v>
      </c>
      <c r="J4097">
        <v>1</v>
      </c>
      <c r="K4097">
        <v>1</v>
      </c>
      <c r="L4097">
        <v>0</v>
      </c>
      <c r="M4097" t="s">
        <v>59</v>
      </c>
    </row>
    <row r="4098" spans="1:13" hidden="1" x14ac:dyDescent="0.15">
      <c r="A4098" t="s">
        <v>12986</v>
      </c>
      <c r="B4098" t="s">
        <v>12987</v>
      </c>
      <c r="C4098" t="s">
        <v>12988</v>
      </c>
      <c r="D4098" t="s">
        <v>12985</v>
      </c>
      <c r="E4098">
        <v>43</v>
      </c>
      <c r="F4098" t="str">
        <f>HYPERLINK("https://github.com/OTTAA-Project/OTTAAProject/issues/91", "show")</f>
        <v>show</v>
      </c>
      <c r="G4098" t="str">
        <f>HYPERLINK("https://github.com/OTTAA-Project/OTTAAProject", "show")</f>
        <v>show</v>
      </c>
      <c r="H4098" t="str">
        <f>HYPERLINK("https://github.com/OTTAA-Project/OTTAAProject/releases", "show")</f>
        <v>show</v>
      </c>
      <c r="I4098">
        <v>0</v>
      </c>
      <c r="J4098">
        <v>0</v>
      </c>
      <c r="K4098">
        <v>0</v>
      </c>
      <c r="L4098">
        <v>0</v>
      </c>
      <c r="M4098" t="s">
        <v>43</v>
      </c>
    </row>
    <row r="4099" spans="1:13" x14ac:dyDescent="0.15">
      <c r="A4099" t="s">
        <v>12989</v>
      </c>
      <c r="B4099" t="s">
        <v>12990</v>
      </c>
      <c r="C4099" t="s">
        <v>11582</v>
      </c>
      <c r="D4099" t="s">
        <v>12985</v>
      </c>
      <c r="E4099">
        <v>0</v>
      </c>
      <c r="F4099" t="str">
        <f>HYPERLINK("https://github.com/nextcloud/android/issues/9069", "show")</f>
        <v>show</v>
      </c>
      <c r="G4099" t="str">
        <f>HYPERLINK("https://github.com/nextcloud/android", "show")</f>
        <v>show</v>
      </c>
      <c r="H4099" t="str">
        <f>HYPERLINK("https://github.com/nextcloud/android/releases", "show")</f>
        <v>show</v>
      </c>
      <c r="I4099">
        <v>0</v>
      </c>
      <c r="J4099">
        <v>1</v>
      </c>
      <c r="K4099">
        <v>0</v>
      </c>
      <c r="L4099">
        <v>0</v>
      </c>
      <c r="M4099" t="s">
        <v>139</v>
      </c>
    </row>
    <row r="4100" spans="1:13" hidden="1" x14ac:dyDescent="0.15">
      <c r="A4100" t="s">
        <v>12991</v>
      </c>
      <c r="B4100" t="s">
        <v>12992</v>
      </c>
      <c r="C4100" t="s">
        <v>12993</v>
      </c>
      <c r="D4100" t="s">
        <v>12994</v>
      </c>
      <c r="E4100">
        <v>3</v>
      </c>
      <c r="F4100" t="str">
        <f>HYPERLINK("https://github.com/XBigTK13X/snowgloo/issues/33", "show")</f>
        <v>show</v>
      </c>
      <c r="G4100" t="str">
        <f>HYPERLINK("https://github.com/XBigTK13X/snowgloo", "show")</f>
        <v>show</v>
      </c>
      <c r="H4100" t="str">
        <f>HYPERLINK("https://github.com/XBigTK13X/snowgloo/releases", "show")</f>
        <v>show</v>
      </c>
      <c r="I4100">
        <v>1</v>
      </c>
      <c r="J4100">
        <v>0</v>
      </c>
      <c r="K4100">
        <v>0</v>
      </c>
      <c r="L4100">
        <v>0</v>
      </c>
      <c r="M4100" t="s">
        <v>17</v>
      </c>
    </row>
    <row r="4101" spans="1:13" hidden="1" x14ac:dyDescent="0.15">
      <c r="A4101" t="s">
        <v>12995</v>
      </c>
      <c r="B4101" t="s">
        <v>12996</v>
      </c>
      <c r="C4101" t="s">
        <v>12997</v>
      </c>
      <c r="D4101" t="s">
        <v>12994</v>
      </c>
      <c r="E4101">
        <v>180</v>
      </c>
      <c r="F4101" t="str">
        <f>HYPERLINK("https://github.com/TeamNewPipe/NewPipe/issues/7204", "show")</f>
        <v>show</v>
      </c>
      <c r="G4101" t="str">
        <f>HYPERLINK("https://github.com/TeamNewPipe/NewPipe", "show")</f>
        <v>show</v>
      </c>
      <c r="H4101" t="str">
        <f>HYPERLINK("https://github.com/TeamNewPipe/NewPipe/releases", "show")</f>
        <v>show</v>
      </c>
      <c r="I4101">
        <v>0</v>
      </c>
      <c r="J4101">
        <v>0</v>
      </c>
      <c r="K4101">
        <v>1</v>
      </c>
      <c r="L4101">
        <v>0</v>
      </c>
      <c r="M4101" t="s">
        <v>122</v>
      </c>
    </row>
    <row r="4102" spans="1:13" hidden="1" x14ac:dyDescent="0.15">
      <c r="A4102" t="s">
        <v>12998</v>
      </c>
      <c r="B4102" t="s">
        <v>12999</v>
      </c>
      <c r="C4102" t="s">
        <v>13000</v>
      </c>
      <c r="D4102" t="s">
        <v>12994</v>
      </c>
      <c r="E4102">
        <v>0</v>
      </c>
      <c r="F4102" t="str">
        <f>HYPERLINK("https://github.com/fossasia/pslab-android/issues/2240", "show")</f>
        <v>show</v>
      </c>
      <c r="G4102" t="str">
        <f>HYPERLINK("https://github.com/fossasia/pslab-android", "show")</f>
        <v>show</v>
      </c>
      <c r="H4102" t="str">
        <f>HYPERLINK("https://github.com/fossasia/pslab-android/releases", "show")</f>
        <v>show</v>
      </c>
      <c r="I4102">
        <v>1</v>
      </c>
      <c r="J4102">
        <v>1</v>
      </c>
      <c r="K4102">
        <v>0</v>
      </c>
      <c r="L4102">
        <v>0</v>
      </c>
      <c r="M4102" t="s">
        <v>48</v>
      </c>
    </row>
    <row r="4103" spans="1:13" hidden="1" x14ac:dyDescent="0.15">
      <c r="A4103" t="s">
        <v>13001</v>
      </c>
      <c r="B4103" t="s">
        <v>13002</v>
      </c>
      <c r="C4103" t="s">
        <v>13003</v>
      </c>
      <c r="D4103" t="s">
        <v>13004</v>
      </c>
      <c r="E4103">
        <v>1</v>
      </c>
      <c r="F4103" t="str">
        <f>HYPERLINK("https://github.com/TeamNewPipe/NewPipe/issues/7203", "show")</f>
        <v>show</v>
      </c>
      <c r="G4103" t="str">
        <f>HYPERLINK("https://github.com/TeamNewPipe/NewPipe", "show")</f>
        <v>show</v>
      </c>
      <c r="H4103" t="str">
        <f>HYPERLINK("https://github.com/TeamNewPipe/NewPipe/releases", "show")</f>
        <v>show</v>
      </c>
      <c r="I4103">
        <v>1</v>
      </c>
      <c r="J4103">
        <v>1</v>
      </c>
      <c r="K4103">
        <v>1</v>
      </c>
      <c r="L4103">
        <v>0</v>
      </c>
      <c r="M4103" t="s">
        <v>59</v>
      </c>
    </row>
    <row r="4104" spans="1:13" hidden="1" x14ac:dyDescent="0.15">
      <c r="A4104" t="s">
        <v>13005</v>
      </c>
      <c r="B4104" t="s">
        <v>13006</v>
      </c>
      <c r="C4104" t="s">
        <v>13007</v>
      </c>
      <c r="D4104" t="s">
        <v>13004</v>
      </c>
      <c r="E4104">
        <v>162</v>
      </c>
      <c r="F4104" t="str">
        <f>HYPERLINK("https://github.com/capacitor-community/google-maps/issues/114", "show")</f>
        <v>show</v>
      </c>
      <c r="G4104" t="str">
        <f>HYPERLINK("https://github.com/capacitor-community/google-maps", "show")</f>
        <v>show</v>
      </c>
      <c r="H4104" t="str">
        <f>HYPERLINK("https://github.com/capacitor-community/google-maps/releases", "show")</f>
        <v>show</v>
      </c>
      <c r="I4104">
        <v>1</v>
      </c>
      <c r="J4104">
        <v>1</v>
      </c>
      <c r="K4104">
        <v>1</v>
      </c>
      <c r="L4104">
        <v>0</v>
      </c>
      <c r="M4104" t="s">
        <v>59</v>
      </c>
    </row>
    <row r="4105" spans="1:13" hidden="1" x14ac:dyDescent="0.15">
      <c r="A4105" t="s">
        <v>13008</v>
      </c>
      <c r="B4105" t="s">
        <v>13009</v>
      </c>
      <c r="C4105" t="s">
        <v>13010</v>
      </c>
      <c r="D4105" t="s">
        <v>13011</v>
      </c>
      <c r="E4105">
        <v>8</v>
      </c>
      <c r="F4105" t="str">
        <f>HYPERLINK("https://github.com/dedis/popstellar/issues/479", "show")</f>
        <v>show</v>
      </c>
      <c r="G4105" t="str">
        <f>HYPERLINK("https://github.com/dedis/popstellar", "show")</f>
        <v>show</v>
      </c>
      <c r="H4105" t="str">
        <f>HYPERLINK("https://github.com/dedis/popstellar/releases", "show")</f>
        <v>show</v>
      </c>
      <c r="I4105">
        <v>1</v>
      </c>
      <c r="J4105">
        <v>1</v>
      </c>
      <c r="K4105">
        <v>0</v>
      </c>
      <c r="L4105">
        <v>0</v>
      </c>
      <c r="M4105" t="s">
        <v>48</v>
      </c>
    </row>
    <row r="4106" spans="1:13" hidden="1" x14ac:dyDescent="0.15">
      <c r="A4106" t="s">
        <v>13012</v>
      </c>
      <c r="B4106" t="s">
        <v>13013</v>
      </c>
      <c r="C4106" t="s">
        <v>13014</v>
      </c>
      <c r="D4106" t="s">
        <v>13011</v>
      </c>
      <c r="E4106">
        <v>25</v>
      </c>
      <c r="F4106" t="str">
        <f>HYPERLINK("https://github.com/aws-amplify/aws-sdk-android/issues/2655", "show")</f>
        <v>show</v>
      </c>
      <c r="G4106" t="str">
        <f>HYPERLINK("https://github.com/aws-amplify/aws-sdk-android", "show")</f>
        <v>show</v>
      </c>
      <c r="H4106" t="str">
        <f>HYPERLINK("https://github.com/aws-amplify/aws-sdk-android/releases", "show")</f>
        <v>show</v>
      </c>
      <c r="I4106">
        <v>1</v>
      </c>
      <c r="J4106">
        <v>0</v>
      </c>
      <c r="K4106">
        <v>0</v>
      </c>
      <c r="L4106">
        <v>1</v>
      </c>
      <c r="M4106" t="s">
        <v>29</v>
      </c>
    </row>
    <row r="4107" spans="1:13" hidden="1" x14ac:dyDescent="0.15">
      <c r="A4107" t="s">
        <v>13015</v>
      </c>
      <c r="B4107" t="s">
        <v>13016</v>
      </c>
      <c r="C4107" t="s">
        <v>13017</v>
      </c>
      <c r="D4107" t="s">
        <v>13018</v>
      </c>
      <c r="E4107">
        <v>151</v>
      </c>
      <c r="F4107" t="str">
        <f>HYPERLINK("https://github.com/nextcloud/android/issues/9053", "show")</f>
        <v>show</v>
      </c>
      <c r="G4107" t="str">
        <f>HYPERLINK("https://github.com/nextcloud/android", "show")</f>
        <v>show</v>
      </c>
      <c r="H4107" t="str">
        <f>HYPERLINK("https://github.com/nextcloud/android/releases", "show")</f>
        <v>show</v>
      </c>
      <c r="I4107">
        <v>1</v>
      </c>
      <c r="J4107">
        <v>1</v>
      </c>
      <c r="K4107">
        <v>1</v>
      </c>
      <c r="L4107">
        <v>0</v>
      </c>
      <c r="M4107" t="s">
        <v>59</v>
      </c>
    </row>
    <row r="4108" spans="1:13" hidden="1" x14ac:dyDescent="0.15">
      <c r="A4108" t="s">
        <v>13019</v>
      </c>
      <c r="B4108" t="s">
        <v>13020</v>
      </c>
      <c r="C4108" t="s">
        <v>13021</v>
      </c>
      <c r="D4108" t="s">
        <v>13018</v>
      </c>
      <c r="E4108">
        <v>11</v>
      </c>
      <c r="F4108" t="str">
        <f>HYPERLINK("https://github.com/jellyfin/jellyfin-androidtv/issues/1176", "show")</f>
        <v>show</v>
      </c>
      <c r="G4108" t="str">
        <f>HYPERLINK("https://github.com/jellyfin/jellyfin-androidtv", "show")</f>
        <v>show</v>
      </c>
      <c r="H4108" t="str">
        <f>HYPERLINK("https://github.com/jellyfin/jellyfin-androidtv/releases", "show")</f>
        <v>show</v>
      </c>
      <c r="I4108">
        <v>1</v>
      </c>
      <c r="J4108">
        <v>0</v>
      </c>
      <c r="K4108">
        <v>0</v>
      </c>
      <c r="L4108">
        <v>0</v>
      </c>
      <c r="M4108" t="s">
        <v>17</v>
      </c>
    </row>
    <row r="4109" spans="1:13" hidden="1" x14ac:dyDescent="0.15">
      <c r="A4109" t="s">
        <v>13022</v>
      </c>
      <c r="B4109" t="s">
        <v>13023</v>
      </c>
      <c r="C4109" t="s">
        <v>13024</v>
      </c>
      <c r="D4109" t="s">
        <v>13018</v>
      </c>
      <c r="E4109">
        <v>20</v>
      </c>
      <c r="F4109" t="str">
        <f>HYPERLINK("https://github.com/jMonkeyEngine/jmonkeyengine/issues/1614", "show")</f>
        <v>show</v>
      </c>
      <c r="G4109" t="str">
        <f>HYPERLINK("https://github.com/jMonkeyEngine/jmonkeyengine", "show")</f>
        <v>show</v>
      </c>
      <c r="H4109" t="str">
        <f>HYPERLINK("https://github.com/jMonkeyEngine/jmonkeyengine/releases", "show")</f>
        <v>show</v>
      </c>
      <c r="I4109">
        <v>0</v>
      </c>
      <c r="J4109">
        <v>0</v>
      </c>
      <c r="K4109">
        <v>0</v>
      </c>
      <c r="L4109">
        <v>0</v>
      </c>
      <c r="M4109" t="s">
        <v>43</v>
      </c>
    </row>
    <row r="4110" spans="1:13" hidden="1" x14ac:dyDescent="0.15">
      <c r="A4110" t="s">
        <v>13025</v>
      </c>
      <c r="B4110" t="s">
        <v>13026</v>
      </c>
      <c r="C4110" t="s">
        <v>13027</v>
      </c>
      <c r="D4110" t="s">
        <v>13028</v>
      </c>
      <c r="E4110">
        <v>0</v>
      </c>
      <c r="F4110" t="str">
        <f>HYPERLINK("https://github.com/IEEE-VIT/weatherbes-android/issues/22", "show")</f>
        <v>show</v>
      </c>
      <c r="G4110" t="str">
        <f>HYPERLINK("https://github.com/IEEE-VIT/weatherbes-android", "show")</f>
        <v>show</v>
      </c>
      <c r="H4110" t="str">
        <f>HYPERLINK("https://github.com/IEEE-VIT/weatherbes-android/releases", "show")</f>
        <v>show</v>
      </c>
      <c r="I4110">
        <v>1</v>
      </c>
      <c r="J4110">
        <v>0</v>
      </c>
      <c r="K4110">
        <v>0</v>
      </c>
      <c r="L4110">
        <v>0</v>
      </c>
      <c r="M4110" t="s">
        <v>17</v>
      </c>
    </row>
    <row r="4111" spans="1:13" hidden="1" x14ac:dyDescent="0.15">
      <c r="A4111" t="s">
        <v>13029</v>
      </c>
      <c r="B4111" t="s">
        <v>13030</v>
      </c>
      <c r="C4111" t="s">
        <v>13031</v>
      </c>
      <c r="D4111" t="s">
        <v>13032</v>
      </c>
      <c r="E4111">
        <v>0</v>
      </c>
      <c r="F4111" t="str">
        <f>HYPERLINK("https://github.com/Anuken/Mindustry/issues/6088", "show")</f>
        <v>show</v>
      </c>
      <c r="G4111" t="str">
        <f>HYPERLINK("https://github.com/Anuken/Mindustry", "show")</f>
        <v>show</v>
      </c>
      <c r="H4111" t="str">
        <f>HYPERLINK("https://github.com/Anuken/Mindustry/releases", "show")</f>
        <v>show</v>
      </c>
      <c r="I4111">
        <v>1</v>
      </c>
      <c r="J4111">
        <v>0</v>
      </c>
      <c r="K4111">
        <v>0</v>
      </c>
      <c r="L4111">
        <v>0</v>
      </c>
      <c r="M4111" t="s">
        <v>17</v>
      </c>
    </row>
    <row r="4112" spans="1:13" hidden="1" x14ac:dyDescent="0.15">
      <c r="A4112" t="s">
        <v>13033</v>
      </c>
      <c r="B4112" t="s">
        <v>13034</v>
      </c>
      <c r="C4112" t="s">
        <v>13035</v>
      </c>
      <c r="D4112" t="s">
        <v>13032</v>
      </c>
      <c r="E4112">
        <v>6</v>
      </c>
      <c r="F4112" t="str">
        <f>HYPERLINK("https://github.com/dedis/popstellar/issues/468", "show")</f>
        <v>show</v>
      </c>
      <c r="G4112" t="str">
        <f>HYPERLINK("https://github.com/dedis/popstellar", "show")</f>
        <v>show</v>
      </c>
      <c r="H4112" t="str">
        <f>HYPERLINK("https://github.com/dedis/popstellar/releases", "show")</f>
        <v>show</v>
      </c>
      <c r="I4112">
        <v>1</v>
      </c>
      <c r="J4112">
        <v>1</v>
      </c>
      <c r="K4112">
        <v>0</v>
      </c>
      <c r="L4112">
        <v>0</v>
      </c>
      <c r="M4112" t="s">
        <v>48</v>
      </c>
    </row>
    <row r="4113" spans="1:13" hidden="1" x14ac:dyDescent="0.15">
      <c r="A4113" t="s">
        <v>13036</v>
      </c>
      <c r="B4113" t="s">
        <v>13037</v>
      </c>
      <c r="C4113" t="s">
        <v>13038</v>
      </c>
      <c r="D4113" t="s">
        <v>13039</v>
      </c>
      <c r="E4113">
        <v>14</v>
      </c>
      <c r="F4113" t="str">
        <f>HYPERLINK("https://github.com/jellyfin/jellyfin-androidtv/issues/1160", "show")</f>
        <v>show</v>
      </c>
      <c r="G4113" t="str">
        <f>HYPERLINK("https://github.com/jellyfin/jellyfin-androidtv", "show")</f>
        <v>show</v>
      </c>
      <c r="H4113" t="str">
        <f>HYPERLINK("https://github.com/jellyfin/jellyfin-androidtv/releases", "show")</f>
        <v>show</v>
      </c>
      <c r="I4113">
        <v>1</v>
      </c>
      <c r="J4113">
        <v>1</v>
      </c>
      <c r="K4113">
        <v>0</v>
      </c>
      <c r="L4113">
        <v>0</v>
      </c>
      <c r="M4113" t="s">
        <v>48</v>
      </c>
    </row>
    <row r="4114" spans="1:13" hidden="1" x14ac:dyDescent="0.15">
      <c r="A4114" t="s">
        <v>13040</v>
      </c>
      <c r="B4114" t="s">
        <v>13041</v>
      </c>
      <c r="C4114" t="s">
        <v>13042</v>
      </c>
      <c r="D4114" t="s">
        <v>13039</v>
      </c>
      <c r="E4114">
        <v>4</v>
      </c>
      <c r="F4114" t="str">
        <f>HYPERLINK("https://github.com/k9mail/k-9/issues/5711", "show")</f>
        <v>show</v>
      </c>
      <c r="G4114" t="str">
        <f>HYPERLINK("https://github.com/k9mail/k-9", "show")</f>
        <v>show</v>
      </c>
      <c r="H4114" t="str">
        <f>HYPERLINK("https://github.com/k9mail/k-9/releases", "show")</f>
        <v>show</v>
      </c>
      <c r="I4114">
        <v>1</v>
      </c>
      <c r="J4114">
        <v>0</v>
      </c>
      <c r="K4114">
        <v>0</v>
      </c>
      <c r="L4114">
        <v>0</v>
      </c>
      <c r="M4114" t="s">
        <v>17</v>
      </c>
    </row>
    <row r="4115" spans="1:13" hidden="1" x14ac:dyDescent="0.15">
      <c r="A4115" t="s">
        <v>13043</v>
      </c>
      <c r="B4115" t="s">
        <v>13044</v>
      </c>
      <c r="C4115" t="s">
        <v>13045</v>
      </c>
      <c r="D4115" t="s">
        <v>13039</v>
      </c>
      <c r="E4115">
        <v>0</v>
      </c>
      <c r="F4115" t="str">
        <f>HYPERLINK("https://github.com/Anuken/Mindustry/issues/6080", "show")</f>
        <v>show</v>
      </c>
      <c r="G4115" t="str">
        <f>HYPERLINK("https://github.com/Anuken/Mindustry", "show")</f>
        <v>show</v>
      </c>
      <c r="H4115" t="str">
        <f>HYPERLINK("https://github.com/Anuken/Mindustry/releases", "show")</f>
        <v>show</v>
      </c>
      <c r="I4115">
        <v>0</v>
      </c>
      <c r="J4115">
        <v>0</v>
      </c>
      <c r="K4115">
        <v>0</v>
      </c>
      <c r="L4115">
        <v>0</v>
      </c>
      <c r="M4115" t="s">
        <v>43</v>
      </c>
    </row>
    <row r="4116" spans="1:13" hidden="1" x14ac:dyDescent="0.15">
      <c r="A4116" t="s">
        <v>13046</v>
      </c>
      <c r="B4116" t="s">
        <v>13047</v>
      </c>
      <c r="C4116" t="s">
        <v>13048</v>
      </c>
      <c r="D4116" t="s">
        <v>13039</v>
      </c>
      <c r="E4116">
        <v>97</v>
      </c>
      <c r="F4116" t="str">
        <f>HYPERLINK("https://github.com/UweTrottmann/SeriesGuide/issues/819", "show")</f>
        <v>show</v>
      </c>
      <c r="G4116" t="str">
        <f>HYPERLINK("https://github.com/UweTrottmann/SeriesGuide", "show")</f>
        <v>show</v>
      </c>
      <c r="H4116" t="str">
        <f>HYPERLINK("https://github.com/UweTrottmann/SeriesGuide/releases", "show")</f>
        <v>show</v>
      </c>
      <c r="I4116">
        <v>1</v>
      </c>
      <c r="J4116">
        <v>0</v>
      </c>
      <c r="K4116">
        <v>0</v>
      </c>
      <c r="L4116">
        <v>0</v>
      </c>
      <c r="M4116" t="s">
        <v>17</v>
      </c>
    </row>
    <row r="4117" spans="1:13" hidden="1" x14ac:dyDescent="0.15">
      <c r="A4117" t="s">
        <v>13049</v>
      </c>
      <c r="B4117" t="s">
        <v>13050</v>
      </c>
      <c r="C4117" t="s">
        <v>13051</v>
      </c>
      <c r="D4117" t="s">
        <v>13039</v>
      </c>
      <c r="E4117">
        <v>4</v>
      </c>
      <c r="F4117" t="str">
        <f>HYPERLINK("https://github.com/opensrp/opensrp-client-path-zeir/issues/215", "show")</f>
        <v>show</v>
      </c>
      <c r="G4117" t="str">
        <f>HYPERLINK("https://github.com/opensrp/opensrp-client-path-zeir", "show")</f>
        <v>show</v>
      </c>
      <c r="H4117" t="str">
        <f>HYPERLINK("https://github.com/opensrp/opensrp-client-path-zeir/releases", "show")</f>
        <v>show</v>
      </c>
      <c r="I4117">
        <v>0</v>
      </c>
      <c r="J4117">
        <v>0</v>
      </c>
      <c r="K4117">
        <v>0</v>
      </c>
      <c r="L4117">
        <v>0</v>
      </c>
      <c r="M4117" t="s">
        <v>43</v>
      </c>
    </row>
    <row r="4118" spans="1:13" hidden="1" x14ac:dyDescent="0.15">
      <c r="A4118" t="s">
        <v>13052</v>
      </c>
      <c r="B4118" t="s">
        <v>13053</v>
      </c>
      <c r="C4118" t="s">
        <v>13054</v>
      </c>
      <c r="D4118" t="s">
        <v>13055</v>
      </c>
      <c r="E4118">
        <v>1</v>
      </c>
      <c r="F4118" t="str">
        <f>HYPERLINK("https://github.com/LiamAbyss/Scorpion/issues/17", "show")</f>
        <v>show</v>
      </c>
      <c r="G4118" t="str">
        <f>HYPERLINK("https://github.com/LiamAbyss/Scorpion", "show")</f>
        <v>show</v>
      </c>
      <c r="H4118" t="str">
        <f>HYPERLINK("https://github.com/LiamAbyss/Scorpion/releases", "show")</f>
        <v>show</v>
      </c>
      <c r="I4118">
        <v>1</v>
      </c>
      <c r="J4118">
        <v>1</v>
      </c>
      <c r="K4118">
        <v>0</v>
      </c>
      <c r="L4118">
        <v>0</v>
      </c>
      <c r="M4118" t="s">
        <v>48</v>
      </c>
    </row>
    <row r="4119" spans="1:13" hidden="1" x14ac:dyDescent="0.15">
      <c r="A4119" t="s">
        <v>13056</v>
      </c>
      <c r="B4119" t="s">
        <v>13057</v>
      </c>
      <c r="C4119" t="s">
        <v>12185</v>
      </c>
      <c r="D4119" t="s">
        <v>13055</v>
      </c>
      <c r="E4119">
        <v>0</v>
      </c>
      <c r="F4119" t="str">
        <f>HYPERLINK("https://github.com/nextcloud/android/issues/9034", "show")</f>
        <v>show</v>
      </c>
      <c r="G4119" t="str">
        <f>HYPERLINK("https://github.com/nextcloud/android", "show")</f>
        <v>show</v>
      </c>
      <c r="H4119" t="str">
        <f>HYPERLINK("https://github.com/nextcloud/android/releases", "show")</f>
        <v>show</v>
      </c>
      <c r="I4119">
        <v>0</v>
      </c>
      <c r="J4119">
        <v>0</v>
      </c>
      <c r="K4119">
        <v>1</v>
      </c>
      <c r="L4119">
        <v>0</v>
      </c>
      <c r="M4119" t="s">
        <v>122</v>
      </c>
    </row>
    <row r="4120" spans="1:13" hidden="1" x14ac:dyDescent="0.15">
      <c r="A4120" t="s">
        <v>13058</v>
      </c>
      <c r="B4120" t="s">
        <v>13059</v>
      </c>
      <c r="C4120" t="s">
        <v>13060</v>
      </c>
      <c r="D4120" t="s">
        <v>13061</v>
      </c>
      <c r="E4120">
        <v>2</v>
      </c>
      <c r="F4120" t="str">
        <f>HYPERLINK("https://github.com/smartdevicelink/sdl_java_suite/issues/1741", "show")</f>
        <v>show</v>
      </c>
      <c r="G4120" t="str">
        <f>HYPERLINK("https://github.com/smartdevicelink/sdl_java_suite", "show")</f>
        <v>show</v>
      </c>
      <c r="H4120" t="str">
        <f>HYPERLINK("https://github.com/smartdevicelink/sdl_java_suite/releases", "show")</f>
        <v>show</v>
      </c>
      <c r="I4120">
        <v>0</v>
      </c>
      <c r="J4120">
        <v>0</v>
      </c>
      <c r="K4120">
        <v>1</v>
      </c>
      <c r="L4120">
        <v>0</v>
      </c>
      <c r="M4120" t="s">
        <v>122</v>
      </c>
    </row>
    <row r="4121" spans="1:13" hidden="1" x14ac:dyDescent="0.15">
      <c r="A4121" t="s">
        <v>13062</v>
      </c>
      <c r="B4121" t="s">
        <v>13063</v>
      </c>
      <c r="C4121" t="s">
        <v>13064</v>
      </c>
      <c r="D4121" t="s">
        <v>13061</v>
      </c>
      <c r="E4121">
        <v>0</v>
      </c>
      <c r="F4121" t="str">
        <f>HYPERLINK("https://github.com/PojavLauncherTeam/PojavLauncher/issues/2077", "show")</f>
        <v>show</v>
      </c>
      <c r="G4121" t="str">
        <f>HYPERLINK("https://github.com/PojavLauncherTeam/PojavLauncher", "show")</f>
        <v>show</v>
      </c>
      <c r="H4121" t="str">
        <f>HYPERLINK("https://github.com/PojavLauncherTeam/PojavLauncher/releases", "show")</f>
        <v>show</v>
      </c>
      <c r="I4121">
        <v>1</v>
      </c>
      <c r="J4121">
        <v>0</v>
      </c>
      <c r="K4121">
        <v>0</v>
      </c>
      <c r="L4121">
        <v>0</v>
      </c>
      <c r="M4121" t="s">
        <v>17</v>
      </c>
    </row>
    <row r="4122" spans="1:13" hidden="1" x14ac:dyDescent="0.15">
      <c r="A4122" t="s">
        <v>13065</v>
      </c>
      <c r="B4122" t="s">
        <v>13066</v>
      </c>
      <c r="C4122" t="s">
        <v>13067</v>
      </c>
      <c r="D4122" t="s">
        <v>13061</v>
      </c>
      <c r="E4122">
        <v>0</v>
      </c>
      <c r="F4122" t="str">
        <f>HYPERLINK("https://github.com/Anuken/Mindustry/issues/6070", "show")</f>
        <v>show</v>
      </c>
      <c r="G4122" t="str">
        <f>HYPERLINK("https://github.com/Anuken/Mindustry", "show")</f>
        <v>show</v>
      </c>
      <c r="H4122" t="str">
        <f>HYPERLINK("https://github.com/Anuken/Mindustry/releases", "show")</f>
        <v>show</v>
      </c>
      <c r="I4122">
        <v>1</v>
      </c>
      <c r="J4122">
        <v>0</v>
      </c>
      <c r="K4122">
        <v>0</v>
      </c>
      <c r="L4122">
        <v>0</v>
      </c>
      <c r="M4122" t="s">
        <v>17</v>
      </c>
    </row>
    <row r="4123" spans="1:13" hidden="1" x14ac:dyDescent="0.15">
      <c r="A4123" t="s">
        <v>13068</v>
      </c>
      <c r="B4123" t="s">
        <v>13069</v>
      </c>
      <c r="C4123" t="s">
        <v>13070</v>
      </c>
      <c r="D4123" t="s">
        <v>13061</v>
      </c>
      <c r="E4123">
        <v>0</v>
      </c>
      <c r="F4123" t="str">
        <f>HYPERLINK("https://github.com/Anuken/Mindustry/issues/6067", "show")</f>
        <v>show</v>
      </c>
      <c r="G4123" t="str">
        <f>HYPERLINK("https://github.com/Anuken/Mindustry", "show")</f>
        <v>show</v>
      </c>
      <c r="H4123" t="str">
        <f>HYPERLINK("https://github.com/Anuken/Mindustry/releases", "show")</f>
        <v>show</v>
      </c>
      <c r="I4123">
        <v>1</v>
      </c>
      <c r="J4123">
        <v>1</v>
      </c>
      <c r="K4123">
        <v>1</v>
      </c>
      <c r="L4123">
        <v>0</v>
      </c>
      <c r="M4123" t="s">
        <v>59</v>
      </c>
    </row>
    <row r="4124" spans="1:13" hidden="1" x14ac:dyDescent="0.15">
      <c r="A4124" t="s">
        <v>13071</v>
      </c>
      <c r="B4124" t="s">
        <v>13072</v>
      </c>
      <c r="C4124" t="s">
        <v>13073</v>
      </c>
      <c r="D4124" t="s">
        <v>13074</v>
      </c>
      <c r="E4124">
        <v>1</v>
      </c>
      <c r="F4124" t="str">
        <f>HYPERLINK("https://github.com/nextcloud/android/issues/9020", "show")</f>
        <v>show</v>
      </c>
      <c r="G4124" t="str">
        <f>HYPERLINK("https://github.com/nextcloud/android", "show")</f>
        <v>show</v>
      </c>
      <c r="H4124" t="str">
        <f>HYPERLINK("https://github.com/nextcloud/android/releases", "show")</f>
        <v>show</v>
      </c>
      <c r="I4124">
        <v>1</v>
      </c>
      <c r="J4124">
        <v>1</v>
      </c>
      <c r="K4124">
        <v>1</v>
      </c>
      <c r="L4124">
        <v>0</v>
      </c>
      <c r="M4124" t="s">
        <v>59</v>
      </c>
    </row>
    <row r="4125" spans="1:13" hidden="1" x14ac:dyDescent="0.15">
      <c r="A4125" t="s">
        <v>13075</v>
      </c>
      <c r="B4125" t="s">
        <v>13076</v>
      </c>
      <c r="C4125" t="s">
        <v>13077</v>
      </c>
      <c r="D4125" t="s">
        <v>13074</v>
      </c>
      <c r="E4125">
        <v>101</v>
      </c>
      <c r="F4125" t="str">
        <f>HYPERLINK("https://github.com/PojavLauncherTeam/PojavLauncher/issues/2075", "show")</f>
        <v>show</v>
      </c>
      <c r="G4125" t="str">
        <f>HYPERLINK("https://github.com/PojavLauncherTeam/PojavLauncher", "show")</f>
        <v>show</v>
      </c>
      <c r="H4125" t="str">
        <f>HYPERLINK("https://github.com/PojavLauncherTeam/PojavLauncher/releases", "show")</f>
        <v>show</v>
      </c>
      <c r="I4125">
        <v>1</v>
      </c>
      <c r="J4125">
        <v>1</v>
      </c>
      <c r="K4125">
        <v>1</v>
      </c>
      <c r="L4125">
        <v>0</v>
      </c>
      <c r="M4125" t="s">
        <v>59</v>
      </c>
    </row>
    <row r="4126" spans="1:13" x14ac:dyDescent="0.15">
      <c r="A4126" t="s">
        <v>13078</v>
      </c>
      <c r="B4126" t="s">
        <v>13079</v>
      </c>
      <c r="C4126" t="s">
        <v>13080</v>
      </c>
      <c r="D4126" t="s">
        <v>13074</v>
      </c>
      <c r="E4126">
        <v>10</v>
      </c>
      <c r="F4126" t="str">
        <f>HYPERLINK("https://github.com/GoogleCloudPlatform/fda-mystudies/issues/4157", "show")</f>
        <v>show</v>
      </c>
      <c r="G4126" t="str">
        <f>HYPERLINK("https://github.com/GoogleCloudPlatform/fda-mystudies", "show")</f>
        <v>show</v>
      </c>
      <c r="H4126" t="str">
        <f>HYPERLINK("https://github.com/GoogleCloudPlatform/fda-mystudies/releases", "show")</f>
        <v>show</v>
      </c>
      <c r="I4126">
        <v>0</v>
      </c>
      <c r="J4126">
        <v>1</v>
      </c>
      <c r="K4126">
        <v>0</v>
      </c>
      <c r="L4126">
        <v>0</v>
      </c>
      <c r="M4126" t="s">
        <v>139</v>
      </c>
    </row>
    <row r="4127" spans="1:13" hidden="1" x14ac:dyDescent="0.15">
      <c r="A4127" t="s">
        <v>13081</v>
      </c>
      <c r="B4127" t="s">
        <v>13082</v>
      </c>
      <c r="C4127" t="s">
        <v>13083</v>
      </c>
      <c r="D4127" t="s">
        <v>13074</v>
      </c>
      <c r="E4127">
        <v>25</v>
      </c>
      <c r="F4127" t="str">
        <f>HYPERLINK("https://github.com/NordicSemiconductor/Android-DFU-Library/issues/312", "show")</f>
        <v>show</v>
      </c>
      <c r="G4127" t="str">
        <f>HYPERLINK("https://github.com/NordicSemiconductor/Android-DFU-Library", "show")</f>
        <v>show</v>
      </c>
      <c r="H4127" t="str">
        <f>HYPERLINK("https://github.com/NordicSemiconductor/Android-DFU-Library/releases", "show")</f>
        <v>show</v>
      </c>
      <c r="I4127">
        <v>1</v>
      </c>
      <c r="J4127">
        <v>0</v>
      </c>
      <c r="K4127">
        <v>1</v>
      </c>
      <c r="L4127">
        <v>0</v>
      </c>
      <c r="M4127" t="s">
        <v>64</v>
      </c>
    </row>
    <row r="4128" spans="1:13" hidden="1" x14ac:dyDescent="0.15">
      <c r="A4128" t="s">
        <v>13084</v>
      </c>
      <c r="B4128" t="s">
        <v>13085</v>
      </c>
      <c r="C4128" t="s">
        <v>13086</v>
      </c>
      <c r="D4128" t="s">
        <v>13074</v>
      </c>
      <c r="E4128">
        <v>153</v>
      </c>
      <c r="F4128" t="str">
        <f>HYPERLINK("https://github.com/LawnchairLauncher/lawnchair/issues/2238", "show")</f>
        <v>show</v>
      </c>
      <c r="G4128" t="str">
        <f>HYPERLINK("https://github.com/LawnchairLauncher/lawnchair", "show")</f>
        <v>show</v>
      </c>
      <c r="H4128" t="str">
        <f>HYPERLINK("https://github.com/LawnchairLauncher/lawnchair/releases", "show")</f>
        <v>show</v>
      </c>
      <c r="I4128">
        <v>1</v>
      </c>
      <c r="J4128">
        <v>0</v>
      </c>
      <c r="K4128">
        <v>0</v>
      </c>
      <c r="L4128">
        <v>0</v>
      </c>
      <c r="M4128" t="s">
        <v>17</v>
      </c>
    </row>
    <row r="4129" spans="1:13" hidden="1" x14ac:dyDescent="0.15">
      <c r="A4129" t="s">
        <v>13087</v>
      </c>
      <c r="B4129" t="s">
        <v>13088</v>
      </c>
      <c r="C4129" t="s">
        <v>13089</v>
      </c>
      <c r="D4129" t="s">
        <v>13090</v>
      </c>
      <c r="E4129">
        <v>0</v>
      </c>
      <c r="F4129" t="str">
        <f>HYPERLINK("https://github.com/Keidan/HexViewer/issues/120", "show")</f>
        <v>show</v>
      </c>
      <c r="G4129" t="str">
        <f>HYPERLINK("https://github.com/Keidan/HexViewer", "show")</f>
        <v>show</v>
      </c>
      <c r="H4129" t="str">
        <f>HYPERLINK("https://github.com/Keidan/HexViewer/releases", "show")</f>
        <v>show</v>
      </c>
      <c r="I4129">
        <v>1</v>
      </c>
      <c r="J4129">
        <v>1</v>
      </c>
      <c r="K4129">
        <v>0</v>
      </c>
      <c r="L4129">
        <v>0</v>
      </c>
      <c r="M4129" t="s">
        <v>48</v>
      </c>
    </row>
    <row r="4130" spans="1:13" hidden="1" x14ac:dyDescent="0.15">
      <c r="A4130" t="s">
        <v>13091</v>
      </c>
      <c r="B4130" t="s">
        <v>13092</v>
      </c>
      <c r="D4130" t="s">
        <v>13090</v>
      </c>
      <c r="E4130">
        <v>5</v>
      </c>
      <c r="F4130" t="str">
        <f>HYPERLINK("https://github.com/LiamAbyss/Scorpion/issues/9", "show")</f>
        <v>show</v>
      </c>
      <c r="G4130" t="str">
        <f>HYPERLINK("https://github.com/LiamAbyss/Scorpion", "show")</f>
        <v>show</v>
      </c>
      <c r="H4130" t="str">
        <f>HYPERLINK("https://github.com/LiamAbyss/Scorpion/releases", "show")</f>
        <v>show</v>
      </c>
      <c r="I4130">
        <v>1</v>
      </c>
      <c r="J4130">
        <v>0</v>
      </c>
      <c r="K4130">
        <v>0</v>
      </c>
      <c r="L4130">
        <v>0</v>
      </c>
      <c r="M4130" t="s">
        <v>17</v>
      </c>
    </row>
    <row r="4131" spans="1:13" hidden="1" x14ac:dyDescent="0.15">
      <c r="A4131" t="s">
        <v>13093</v>
      </c>
      <c r="B4131" t="s">
        <v>13094</v>
      </c>
      <c r="C4131" t="s">
        <v>13095</v>
      </c>
      <c r="D4131" t="s">
        <v>13090</v>
      </c>
      <c r="E4131">
        <v>32</v>
      </c>
      <c r="F4131" t="str">
        <f>HYPERLINK("https://github.com/nextcloud/android/issues/9012", "show")</f>
        <v>show</v>
      </c>
      <c r="G4131" t="str">
        <f>HYPERLINK("https://github.com/nextcloud/android", "show")</f>
        <v>show</v>
      </c>
      <c r="H4131" t="str">
        <f>HYPERLINK("https://github.com/nextcloud/android/releases", "show")</f>
        <v>show</v>
      </c>
      <c r="I4131">
        <v>1</v>
      </c>
      <c r="J4131">
        <v>1</v>
      </c>
      <c r="K4131">
        <v>1</v>
      </c>
      <c r="L4131">
        <v>0</v>
      </c>
      <c r="M4131" t="s">
        <v>59</v>
      </c>
    </row>
    <row r="4132" spans="1:13" hidden="1" x14ac:dyDescent="0.15">
      <c r="A4132" t="s">
        <v>13096</v>
      </c>
      <c r="B4132" t="s">
        <v>13097</v>
      </c>
      <c r="C4132" t="s">
        <v>13098</v>
      </c>
      <c r="D4132" t="s">
        <v>13099</v>
      </c>
      <c r="E4132">
        <v>58</v>
      </c>
      <c r="F4132" t="str">
        <f>HYPERLINK("https://github.com/PojavLauncherTeam/PojavLauncher/issues/2072", "show")</f>
        <v>show</v>
      </c>
      <c r="G4132" t="str">
        <f>HYPERLINK("https://github.com/PojavLauncherTeam/PojavLauncher", "show")</f>
        <v>show</v>
      </c>
      <c r="H4132" t="str">
        <f>HYPERLINK("https://github.com/PojavLauncherTeam/PojavLauncher/releases", "show")</f>
        <v>show</v>
      </c>
      <c r="I4132">
        <v>0</v>
      </c>
      <c r="J4132">
        <v>0</v>
      </c>
      <c r="K4132">
        <v>0</v>
      </c>
      <c r="L4132">
        <v>0</v>
      </c>
      <c r="M4132" t="s">
        <v>43</v>
      </c>
    </row>
    <row r="4133" spans="1:13" hidden="1" x14ac:dyDescent="0.15">
      <c r="A4133" t="s">
        <v>13100</v>
      </c>
      <c r="B4133" t="s">
        <v>13101</v>
      </c>
      <c r="C4133" t="s">
        <v>13102</v>
      </c>
      <c r="D4133" t="s">
        <v>13103</v>
      </c>
      <c r="E4133">
        <v>3</v>
      </c>
      <c r="F4133" t="str">
        <f>HYPERLINK("https://github.com/Nostradongus/Financify/issues/5", "show")</f>
        <v>show</v>
      </c>
      <c r="G4133" t="str">
        <f>HYPERLINK("https://github.com/Nostradongus/Financify", "show")</f>
        <v>show</v>
      </c>
      <c r="H4133" t="str">
        <f>HYPERLINK("https://github.com/Nostradongus/Financify/releases", "show")</f>
        <v>show</v>
      </c>
      <c r="I4133">
        <v>1</v>
      </c>
      <c r="J4133">
        <v>1</v>
      </c>
      <c r="K4133">
        <v>0</v>
      </c>
      <c r="L4133">
        <v>0</v>
      </c>
      <c r="M4133" t="s">
        <v>48</v>
      </c>
    </row>
    <row r="4134" spans="1:13" x14ac:dyDescent="0.15">
      <c r="A4134" t="s">
        <v>13104</v>
      </c>
      <c r="B4134" t="s">
        <v>13105</v>
      </c>
      <c r="C4134" t="s">
        <v>13106</v>
      </c>
      <c r="D4134" t="s">
        <v>13103</v>
      </c>
      <c r="E4134">
        <v>0</v>
      </c>
      <c r="F4134" t="str">
        <f>HYPERLINK("https://github.com/PojavLauncherTeam/PojavLauncher/issues/2066", "show")</f>
        <v>show</v>
      </c>
      <c r="G4134" t="str">
        <f>HYPERLINK("https://github.com/PojavLauncherTeam/PojavLauncher", "show")</f>
        <v>show</v>
      </c>
      <c r="H4134" t="str">
        <f>HYPERLINK("https://github.com/PojavLauncherTeam/PojavLauncher/releases", "show")</f>
        <v>show</v>
      </c>
      <c r="I4134">
        <v>0</v>
      </c>
      <c r="J4134">
        <v>1</v>
      </c>
      <c r="K4134">
        <v>0</v>
      </c>
      <c r="L4134">
        <v>0</v>
      </c>
      <c r="M4134" t="s">
        <v>139</v>
      </c>
    </row>
    <row r="4135" spans="1:13" hidden="1" x14ac:dyDescent="0.15">
      <c r="A4135" t="s">
        <v>13107</v>
      </c>
      <c r="B4135" t="s">
        <v>13108</v>
      </c>
      <c r="C4135" t="s">
        <v>13109</v>
      </c>
      <c r="D4135" t="s">
        <v>13110</v>
      </c>
      <c r="E4135">
        <v>1</v>
      </c>
      <c r="F4135" t="str">
        <f>HYPERLINK("https://github.com/mapbox/mapbox-gl-native-android/issues/702", "show")</f>
        <v>show</v>
      </c>
      <c r="G4135" t="str">
        <f>HYPERLINK("https://github.com/mapbox/mapbox-gl-native-android", "show")</f>
        <v>show</v>
      </c>
      <c r="H4135" t="str">
        <f>HYPERLINK("https://github.com/mapbox/mapbox-gl-native-android/releases", "show")</f>
        <v>show</v>
      </c>
      <c r="I4135">
        <v>0</v>
      </c>
      <c r="J4135">
        <v>0</v>
      </c>
      <c r="K4135">
        <v>0</v>
      </c>
      <c r="L4135">
        <v>0</v>
      </c>
      <c r="M4135" t="s">
        <v>43</v>
      </c>
    </row>
    <row r="4136" spans="1:13" hidden="1" x14ac:dyDescent="0.15">
      <c r="A4136" t="s">
        <v>13111</v>
      </c>
      <c r="B4136" t="s">
        <v>13112</v>
      </c>
      <c r="C4136" t="s">
        <v>13113</v>
      </c>
      <c r="D4136" t="s">
        <v>13110</v>
      </c>
      <c r="E4136">
        <v>2</v>
      </c>
      <c r="F4136" t="str">
        <f>HYPERLINK("https://github.com/PojavLauncherTeam/PojavLauncher/issues/2062", "show")</f>
        <v>show</v>
      </c>
      <c r="G4136" t="str">
        <f>HYPERLINK("https://github.com/PojavLauncherTeam/PojavLauncher", "show")</f>
        <v>show</v>
      </c>
      <c r="H4136" t="str">
        <f>HYPERLINK("https://github.com/PojavLauncherTeam/PojavLauncher/releases", "show")</f>
        <v>show</v>
      </c>
      <c r="I4136">
        <v>0</v>
      </c>
      <c r="J4136">
        <v>0</v>
      </c>
      <c r="K4136">
        <v>0</v>
      </c>
      <c r="L4136">
        <v>1</v>
      </c>
      <c r="M4136" t="s">
        <v>581</v>
      </c>
    </row>
    <row r="4137" spans="1:13" hidden="1" x14ac:dyDescent="0.15">
      <c r="A4137" t="s">
        <v>13114</v>
      </c>
      <c r="B4137" t="s">
        <v>13115</v>
      </c>
      <c r="C4137" t="s">
        <v>13116</v>
      </c>
      <c r="D4137" t="s">
        <v>13110</v>
      </c>
      <c r="E4137">
        <v>0</v>
      </c>
      <c r="F4137" t="str">
        <f>HYPERLINK("https://github.com/nextcloud/android/issues/9000", "show")</f>
        <v>show</v>
      </c>
      <c r="G4137" t="str">
        <f>HYPERLINK("https://github.com/nextcloud/android", "show")</f>
        <v>show</v>
      </c>
      <c r="H4137" t="str">
        <f>HYPERLINK("https://github.com/nextcloud/android/releases", "show")</f>
        <v>show</v>
      </c>
      <c r="I4137">
        <v>1</v>
      </c>
      <c r="J4137">
        <v>0</v>
      </c>
      <c r="K4137">
        <v>0</v>
      </c>
      <c r="L4137">
        <v>1</v>
      </c>
      <c r="M4137" t="s">
        <v>29</v>
      </c>
    </row>
    <row r="4138" spans="1:13" hidden="1" x14ac:dyDescent="0.15">
      <c r="A4138" t="s">
        <v>13117</v>
      </c>
      <c r="B4138" t="s">
        <v>13118</v>
      </c>
      <c r="C4138" t="s">
        <v>13119</v>
      </c>
      <c r="D4138" t="s">
        <v>13110</v>
      </c>
      <c r="E4138">
        <v>21</v>
      </c>
      <c r="F4138" t="str">
        <f>HYPERLINK("https://github.com/jellyfin/jellyfin-androidtv/issues/1152", "show")</f>
        <v>show</v>
      </c>
      <c r="G4138" t="str">
        <f>HYPERLINK("https://github.com/jellyfin/jellyfin-androidtv", "show")</f>
        <v>show</v>
      </c>
      <c r="H4138" t="str">
        <f>HYPERLINK("https://github.com/jellyfin/jellyfin-androidtv/releases", "show")</f>
        <v>show</v>
      </c>
      <c r="I4138">
        <v>1</v>
      </c>
      <c r="J4138">
        <v>0</v>
      </c>
      <c r="K4138">
        <v>0</v>
      </c>
      <c r="L4138">
        <v>0</v>
      </c>
      <c r="M4138" t="s">
        <v>17</v>
      </c>
    </row>
    <row r="4139" spans="1:13" hidden="1" x14ac:dyDescent="0.15">
      <c r="A4139" t="s">
        <v>13120</v>
      </c>
      <c r="B4139" t="s">
        <v>13121</v>
      </c>
      <c r="C4139" t="s">
        <v>13122</v>
      </c>
      <c r="D4139" t="s">
        <v>13123</v>
      </c>
      <c r="E4139">
        <v>0</v>
      </c>
      <c r="F4139" t="str">
        <f>HYPERLINK("https://github.com/react-native-share/react-native-share/issues/1099", "show")</f>
        <v>show</v>
      </c>
      <c r="G4139" t="str">
        <f>HYPERLINK("https://github.com/react-native-share/react-native-share", "show")</f>
        <v>show</v>
      </c>
      <c r="H4139" t="str">
        <f>HYPERLINK("https://github.com/react-native-share/react-native-share/releases", "show")</f>
        <v>show</v>
      </c>
      <c r="I4139">
        <v>1</v>
      </c>
      <c r="J4139">
        <v>0</v>
      </c>
      <c r="K4139">
        <v>0</v>
      </c>
      <c r="L4139">
        <v>0</v>
      </c>
      <c r="M4139" t="s">
        <v>17</v>
      </c>
    </row>
    <row r="4140" spans="1:13" hidden="1" x14ac:dyDescent="0.15">
      <c r="A4140" t="s">
        <v>13124</v>
      </c>
      <c r="B4140" t="s">
        <v>13125</v>
      </c>
      <c r="C4140" t="s">
        <v>13126</v>
      </c>
      <c r="D4140" t="s">
        <v>13123</v>
      </c>
      <c r="E4140">
        <v>9</v>
      </c>
      <c r="F4140" t="str">
        <f>HYPERLINK("https://github.com/TeamNewPipe/NewPipe/issues/7144", "show")</f>
        <v>show</v>
      </c>
      <c r="G4140" t="str">
        <f>HYPERLINK("https://github.com/TeamNewPipe/NewPipe", "show")</f>
        <v>show</v>
      </c>
      <c r="H4140" t="str">
        <f>HYPERLINK("https://github.com/TeamNewPipe/NewPipe/releases", "show")</f>
        <v>show</v>
      </c>
      <c r="I4140">
        <v>1</v>
      </c>
      <c r="J4140">
        <v>1</v>
      </c>
      <c r="K4140">
        <v>1</v>
      </c>
      <c r="L4140">
        <v>0</v>
      </c>
      <c r="M4140" t="s">
        <v>59</v>
      </c>
    </row>
    <row r="4141" spans="1:13" hidden="1" x14ac:dyDescent="0.15">
      <c r="A4141" t="s">
        <v>13127</v>
      </c>
      <c r="B4141" t="s">
        <v>13128</v>
      </c>
      <c r="C4141" t="s">
        <v>13129</v>
      </c>
      <c r="D4141" t="s">
        <v>13130</v>
      </c>
      <c r="E4141">
        <v>22</v>
      </c>
      <c r="F4141" t="str">
        <f>HYPERLINK("https://github.com/TeamNewPipe/NewPipe/issues/7141", "show")</f>
        <v>show</v>
      </c>
      <c r="G4141" t="str">
        <f>HYPERLINK("https://github.com/TeamNewPipe/NewPipe", "show")</f>
        <v>show</v>
      </c>
      <c r="H4141" t="str">
        <f>HYPERLINK("https://github.com/TeamNewPipe/NewPipe/releases", "show")</f>
        <v>show</v>
      </c>
      <c r="I4141">
        <v>1</v>
      </c>
      <c r="J4141">
        <v>1</v>
      </c>
      <c r="K4141">
        <v>0</v>
      </c>
      <c r="L4141">
        <v>0</v>
      </c>
      <c r="M4141" t="s">
        <v>48</v>
      </c>
    </row>
    <row r="4142" spans="1:13" hidden="1" x14ac:dyDescent="0.15">
      <c r="A4142" t="s">
        <v>13131</v>
      </c>
      <c r="B4142" t="s">
        <v>13132</v>
      </c>
      <c r="C4142" t="s">
        <v>13133</v>
      </c>
      <c r="D4142" t="s">
        <v>13130</v>
      </c>
      <c r="E4142">
        <v>0</v>
      </c>
      <c r="F4142" t="str">
        <f>HYPERLINK("https://github.com/Anuken/Mindustry/issues/6032", "show")</f>
        <v>show</v>
      </c>
      <c r="G4142" t="str">
        <f>HYPERLINK("https://github.com/Anuken/Mindustry", "show")</f>
        <v>show</v>
      </c>
      <c r="H4142" t="str">
        <f>HYPERLINK("https://github.com/Anuken/Mindustry/releases", "show")</f>
        <v>show</v>
      </c>
      <c r="I4142">
        <v>0</v>
      </c>
      <c r="J4142">
        <v>0</v>
      </c>
      <c r="K4142">
        <v>0</v>
      </c>
      <c r="L4142">
        <v>1</v>
      </c>
      <c r="M4142" t="s">
        <v>581</v>
      </c>
    </row>
    <row r="4143" spans="1:13" hidden="1" x14ac:dyDescent="0.15">
      <c r="A4143" t="s">
        <v>13134</v>
      </c>
      <c r="B4143" t="s">
        <v>13135</v>
      </c>
      <c r="C4143" t="s">
        <v>13136</v>
      </c>
      <c r="D4143" t="s">
        <v>13130</v>
      </c>
      <c r="E4143">
        <v>0</v>
      </c>
      <c r="F4143" t="str">
        <f>HYPERLINK("https://github.com/react-native-share/react-native-share/issues/1095", "show")</f>
        <v>show</v>
      </c>
      <c r="G4143" t="str">
        <f>HYPERLINK("https://github.com/react-native-share/react-native-share", "show")</f>
        <v>show</v>
      </c>
      <c r="H4143" t="str">
        <f>HYPERLINK("https://github.com/react-native-share/react-native-share/releases", "show")</f>
        <v>show</v>
      </c>
      <c r="I4143">
        <v>1</v>
      </c>
      <c r="J4143">
        <v>0</v>
      </c>
      <c r="K4143">
        <v>0</v>
      </c>
      <c r="L4143">
        <v>0</v>
      </c>
      <c r="M4143" t="s">
        <v>17</v>
      </c>
    </row>
    <row r="4144" spans="1:13" hidden="1" x14ac:dyDescent="0.15">
      <c r="A4144" t="s">
        <v>13137</v>
      </c>
      <c r="B4144" t="s">
        <v>13138</v>
      </c>
      <c r="C4144" t="s">
        <v>13139</v>
      </c>
      <c r="D4144" t="s">
        <v>13130</v>
      </c>
      <c r="E4144">
        <v>13</v>
      </c>
      <c r="F4144" t="str">
        <f>HYPERLINK("https://github.com/commons-app/apps-android-commons/issues/4642", "show")</f>
        <v>show</v>
      </c>
      <c r="G4144" t="str">
        <f>HYPERLINK("https://github.com/commons-app/apps-android-commons", "show")</f>
        <v>show</v>
      </c>
      <c r="H4144" t="str">
        <f>HYPERLINK("https://github.com/commons-app/apps-android-commons/releases", "show")</f>
        <v>show</v>
      </c>
      <c r="I4144">
        <v>1</v>
      </c>
      <c r="J4144">
        <v>1</v>
      </c>
      <c r="K4144">
        <v>1</v>
      </c>
      <c r="L4144">
        <v>0</v>
      </c>
      <c r="M4144" t="s">
        <v>59</v>
      </c>
    </row>
    <row r="4145" spans="1:13" hidden="1" x14ac:dyDescent="0.15">
      <c r="A4145" t="s">
        <v>13140</v>
      </c>
      <c r="B4145" t="s">
        <v>13141</v>
      </c>
      <c r="C4145" t="s">
        <v>13142</v>
      </c>
      <c r="D4145" t="s">
        <v>13130</v>
      </c>
      <c r="E4145">
        <v>0</v>
      </c>
      <c r="F4145" t="str">
        <f>HYPERLINK("https://github.com/LSPosed/LSPosed/issues/1151", "show")</f>
        <v>show</v>
      </c>
      <c r="G4145" t="str">
        <f>HYPERLINK("https://github.com/LSPosed/LSPosed", "show")</f>
        <v>show</v>
      </c>
      <c r="H4145" t="str">
        <f>HYPERLINK("https://github.com/LSPosed/LSPosed/releases", "show")</f>
        <v>show</v>
      </c>
      <c r="I4145">
        <v>0</v>
      </c>
      <c r="J4145">
        <v>1</v>
      </c>
      <c r="K4145">
        <v>1</v>
      </c>
      <c r="L4145">
        <v>0</v>
      </c>
      <c r="M4145" t="s">
        <v>699</v>
      </c>
    </row>
    <row r="4146" spans="1:13" hidden="1" x14ac:dyDescent="0.15">
      <c r="A4146" t="s">
        <v>13143</v>
      </c>
      <c r="B4146" t="s">
        <v>13144</v>
      </c>
      <c r="C4146" t="s">
        <v>13145</v>
      </c>
      <c r="D4146" t="s">
        <v>13130</v>
      </c>
      <c r="E4146">
        <v>0</v>
      </c>
      <c r="F4146" t="str">
        <f>HYPERLINK("https://github.com/PojavLauncherTeam/PojavLauncher/issues/2054", "show")</f>
        <v>show</v>
      </c>
      <c r="G4146" t="str">
        <f>HYPERLINK("https://github.com/PojavLauncherTeam/PojavLauncher", "show")</f>
        <v>show</v>
      </c>
      <c r="H4146" t="str">
        <f>HYPERLINK("https://github.com/PojavLauncherTeam/PojavLauncher/releases", "show")</f>
        <v>show</v>
      </c>
      <c r="I4146">
        <v>0</v>
      </c>
      <c r="J4146">
        <v>0</v>
      </c>
      <c r="K4146">
        <v>0</v>
      </c>
      <c r="L4146">
        <v>0</v>
      </c>
      <c r="M4146" t="s">
        <v>43</v>
      </c>
    </row>
    <row r="4147" spans="1:13" x14ac:dyDescent="0.15">
      <c r="A4147" t="s">
        <v>13146</v>
      </c>
      <c r="B4147" t="s">
        <v>13147</v>
      </c>
      <c r="C4147" t="s">
        <v>11582</v>
      </c>
      <c r="D4147" t="s">
        <v>13130</v>
      </c>
      <c r="E4147">
        <v>42</v>
      </c>
      <c r="F4147" t="str">
        <f>HYPERLINK("https://github.com/nextcloud/android/issues/8992", "show")</f>
        <v>show</v>
      </c>
      <c r="G4147" t="str">
        <f>HYPERLINK("https://github.com/nextcloud/android", "show")</f>
        <v>show</v>
      </c>
      <c r="H4147" t="str">
        <f>HYPERLINK("https://github.com/nextcloud/android/releases", "show")</f>
        <v>show</v>
      </c>
      <c r="I4147">
        <v>0</v>
      </c>
      <c r="J4147">
        <v>1</v>
      </c>
      <c r="K4147">
        <v>0</v>
      </c>
      <c r="L4147">
        <v>0</v>
      </c>
      <c r="M4147" t="s">
        <v>139</v>
      </c>
    </row>
    <row r="4148" spans="1:13" hidden="1" x14ac:dyDescent="0.15">
      <c r="A4148" t="s">
        <v>13148</v>
      </c>
      <c r="B4148" t="s">
        <v>13149</v>
      </c>
      <c r="C4148" t="s">
        <v>13150</v>
      </c>
      <c r="D4148" t="s">
        <v>13130</v>
      </c>
      <c r="E4148">
        <v>62</v>
      </c>
      <c r="F4148" t="str">
        <f>HYPERLINK("https://github.com/Azizadx/Newsly/issues/22", "show")</f>
        <v>show</v>
      </c>
      <c r="G4148" t="str">
        <f>HYPERLINK("https://github.com/Azizadx/Newsly", "show")</f>
        <v>show</v>
      </c>
      <c r="H4148" t="str">
        <f>HYPERLINK("https://github.com/Azizadx/Newsly/releases", "show")</f>
        <v>show</v>
      </c>
      <c r="I4148">
        <v>0</v>
      </c>
      <c r="J4148">
        <v>0</v>
      </c>
      <c r="K4148">
        <v>0</v>
      </c>
      <c r="L4148">
        <v>0</v>
      </c>
      <c r="M4148" t="s">
        <v>43</v>
      </c>
    </row>
    <row r="4149" spans="1:13" hidden="1" x14ac:dyDescent="0.15">
      <c r="A4149" t="s">
        <v>13151</v>
      </c>
      <c r="B4149" t="s">
        <v>13152</v>
      </c>
      <c r="C4149" t="s">
        <v>13153</v>
      </c>
      <c r="D4149" t="s">
        <v>13154</v>
      </c>
      <c r="E4149">
        <v>45</v>
      </c>
      <c r="F4149" t="str">
        <f>HYPERLINK("https://github.com/k9mail/k-9/issues/5683", "show")</f>
        <v>show</v>
      </c>
      <c r="G4149" t="str">
        <f>HYPERLINK("https://github.com/k9mail/k-9", "show")</f>
        <v>show</v>
      </c>
      <c r="H4149" t="str">
        <f>HYPERLINK("https://github.com/k9mail/k-9/releases", "show")</f>
        <v>show</v>
      </c>
      <c r="I4149">
        <v>1</v>
      </c>
      <c r="J4149">
        <v>1</v>
      </c>
      <c r="K4149">
        <v>0</v>
      </c>
      <c r="L4149">
        <v>0</v>
      </c>
      <c r="M4149" t="s">
        <v>48</v>
      </c>
    </row>
    <row r="4150" spans="1:13" hidden="1" x14ac:dyDescent="0.15">
      <c r="A4150" t="s">
        <v>13155</v>
      </c>
      <c r="B4150" t="s">
        <v>13156</v>
      </c>
      <c r="C4150" t="s">
        <v>13157</v>
      </c>
      <c r="D4150" t="s">
        <v>13158</v>
      </c>
      <c r="E4150">
        <v>0</v>
      </c>
      <c r="F4150" t="str">
        <f>HYPERLINK("https://github.com/Anuken/Mindustry/issues/6025", "show")</f>
        <v>show</v>
      </c>
      <c r="G4150" t="str">
        <f>HYPERLINK("https://github.com/Anuken/Mindustry", "show")</f>
        <v>show</v>
      </c>
      <c r="H4150" t="str">
        <f>HYPERLINK("https://github.com/Anuken/Mindustry/releases", "show")</f>
        <v>show</v>
      </c>
      <c r="I4150">
        <v>1</v>
      </c>
      <c r="J4150">
        <v>1</v>
      </c>
      <c r="K4150">
        <v>0</v>
      </c>
      <c r="L4150">
        <v>0</v>
      </c>
      <c r="M4150" t="s">
        <v>48</v>
      </c>
    </row>
    <row r="4151" spans="1:13" hidden="1" x14ac:dyDescent="0.15">
      <c r="A4151" t="s">
        <v>13159</v>
      </c>
      <c r="B4151" t="s">
        <v>13160</v>
      </c>
      <c r="C4151" t="s">
        <v>13161</v>
      </c>
      <c r="D4151" t="s">
        <v>13158</v>
      </c>
      <c r="E4151">
        <v>0</v>
      </c>
      <c r="F4151" t="str">
        <f>HYPERLINK("https://github.com/Anuken/Mindustry/issues/6024", "show")</f>
        <v>show</v>
      </c>
      <c r="G4151" t="str">
        <f>HYPERLINK("https://github.com/Anuken/Mindustry", "show")</f>
        <v>show</v>
      </c>
      <c r="H4151" t="str">
        <f>HYPERLINK("https://github.com/Anuken/Mindustry/releases", "show")</f>
        <v>show</v>
      </c>
      <c r="I4151">
        <v>1</v>
      </c>
      <c r="J4151">
        <v>1</v>
      </c>
      <c r="K4151">
        <v>0</v>
      </c>
      <c r="L4151">
        <v>1</v>
      </c>
      <c r="M4151" t="s">
        <v>1894</v>
      </c>
    </row>
    <row r="4152" spans="1:13" hidden="1" x14ac:dyDescent="0.15">
      <c r="A4152" t="s">
        <v>13162</v>
      </c>
      <c r="B4152" t="s">
        <v>13163</v>
      </c>
      <c r="C4152" t="s">
        <v>13164</v>
      </c>
      <c r="D4152" t="s">
        <v>13158</v>
      </c>
      <c r="E4152">
        <v>0</v>
      </c>
      <c r="F4152" t="str">
        <f>HYPERLINK("https://github.com/Anuken/Mindustry/issues/6023", "show")</f>
        <v>show</v>
      </c>
      <c r="G4152" t="str">
        <f>HYPERLINK("https://github.com/Anuken/Mindustry", "show")</f>
        <v>show</v>
      </c>
      <c r="H4152" t="str">
        <f>HYPERLINK("https://github.com/Anuken/Mindustry/releases", "show")</f>
        <v>show</v>
      </c>
      <c r="I4152">
        <v>0</v>
      </c>
      <c r="J4152">
        <v>0</v>
      </c>
      <c r="K4152">
        <v>1</v>
      </c>
      <c r="L4152">
        <v>0</v>
      </c>
      <c r="M4152" t="s">
        <v>122</v>
      </c>
    </row>
    <row r="4153" spans="1:13" hidden="1" x14ac:dyDescent="0.15">
      <c r="A4153" t="s">
        <v>13165</v>
      </c>
      <c r="B4153" t="s">
        <v>13166</v>
      </c>
      <c r="C4153" t="s">
        <v>13167</v>
      </c>
      <c r="D4153" t="s">
        <v>13158</v>
      </c>
      <c r="E4153">
        <v>84</v>
      </c>
      <c r="F4153" t="str">
        <f>HYPERLINK("https://github.com/vinzscam/react-native-file-viewer/issues/117", "show")</f>
        <v>show</v>
      </c>
      <c r="G4153" t="str">
        <f>HYPERLINK("https://github.com/vinzscam/react-native-file-viewer", "show")</f>
        <v>show</v>
      </c>
      <c r="H4153" t="str">
        <f>HYPERLINK("https://github.com/vinzscam/react-native-file-viewer/releases", "show")</f>
        <v>show</v>
      </c>
      <c r="I4153">
        <v>1</v>
      </c>
      <c r="J4153">
        <v>0</v>
      </c>
      <c r="K4153">
        <v>1</v>
      </c>
      <c r="L4153">
        <v>0</v>
      </c>
      <c r="M4153" t="s">
        <v>64</v>
      </c>
    </row>
    <row r="4154" spans="1:13" hidden="1" x14ac:dyDescent="0.15">
      <c r="A4154" t="s">
        <v>13168</v>
      </c>
      <c r="B4154" t="s">
        <v>13169</v>
      </c>
      <c r="C4154" t="s">
        <v>13170</v>
      </c>
      <c r="D4154" t="s">
        <v>13158</v>
      </c>
      <c r="E4154">
        <v>0</v>
      </c>
      <c r="F4154" t="str">
        <f>HYPERLINK("https://github.com/MuntashirAkon/AppManager/issues/587", "show")</f>
        <v>show</v>
      </c>
      <c r="G4154" t="str">
        <f>HYPERLINK("https://github.com/MuntashirAkon/AppManager", "show")</f>
        <v>show</v>
      </c>
      <c r="H4154" t="str">
        <f>HYPERLINK("https://github.com/MuntashirAkon/AppManager/releases", "show")</f>
        <v>show</v>
      </c>
      <c r="I4154">
        <v>1</v>
      </c>
      <c r="J4154">
        <v>1</v>
      </c>
      <c r="K4154">
        <v>0</v>
      </c>
      <c r="L4154">
        <v>0</v>
      </c>
      <c r="M4154" t="s">
        <v>48</v>
      </c>
    </row>
    <row r="4155" spans="1:13" hidden="1" x14ac:dyDescent="0.15">
      <c r="A4155" t="s">
        <v>13171</v>
      </c>
      <c r="B4155" t="s">
        <v>13172</v>
      </c>
      <c r="C4155" t="s">
        <v>13173</v>
      </c>
      <c r="D4155" t="s">
        <v>13158</v>
      </c>
      <c r="E4155">
        <v>10</v>
      </c>
      <c r="F4155" t="str">
        <f>HYPERLINK("https://github.com/LSPosed/LSPosed/issues/1144", "show")</f>
        <v>show</v>
      </c>
      <c r="G4155" t="str">
        <f>HYPERLINK("https://github.com/LSPosed/LSPosed", "show")</f>
        <v>show</v>
      </c>
      <c r="H4155" t="str">
        <f>HYPERLINK("https://github.com/LSPosed/LSPosed/releases", "show")</f>
        <v>show</v>
      </c>
      <c r="I4155">
        <v>0</v>
      </c>
      <c r="J4155">
        <v>0</v>
      </c>
      <c r="K4155">
        <v>0</v>
      </c>
      <c r="L4155">
        <v>0</v>
      </c>
      <c r="M4155" t="s">
        <v>43</v>
      </c>
    </row>
    <row r="4156" spans="1:13" hidden="1" x14ac:dyDescent="0.15">
      <c r="A4156" t="s">
        <v>13174</v>
      </c>
      <c r="B4156" t="s">
        <v>13175</v>
      </c>
      <c r="C4156" t="s">
        <v>13176</v>
      </c>
      <c r="D4156" t="s">
        <v>13158</v>
      </c>
      <c r="E4156">
        <v>0</v>
      </c>
      <c r="F4156" t="str">
        <f>HYPERLINK("https://github.com/PojavLauncherTeam/PojavLauncher/issues/2046", "show")</f>
        <v>show</v>
      </c>
      <c r="G4156" t="str">
        <f>HYPERLINK("https://github.com/PojavLauncherTeam/PojavLauncher", "show")</f>
        <v>show</v>
      </c>
      <c r="H4156" t="str">
        <f>HYPERLINK("https://github.com/PojavLauncherTeam/PojavLauncher/releases", "show")</f>
        <v>show</v>
      </c>
      <c r="I4156">
        <v>1</v>
      </c>
      <c r="J4156">
        <v>1</v>
      </c>
      <c r="K4156">
        <v>0</v>
      </c>
      <c r="L4156">
        <v>0</v>
      </c>
      <c r="M4156" t="s">
        <v>48</v>
      </c>
    </row>
    <row r="4157" spans="1:13" hidden="1" x14ac:dyDescent="0.15">
      <c r="A4157" t="s">
        <v>13177</v>
      </c>
      <c r="B4157" t="s">
        <v>13178</v>
      </c>
      <c r="C4157" t="s">
        <v>13179</v>
      </c>
      <c r="D4157" t="s">
        <v>13180</v>
      </c>
      <c r="E4157">
        <v>3</v>
      </c>
      <c r="F4157" t="str">
        <f>HYPERLINK("https://github.com/PojavLauncherTeam/PojavLauncher/issues/2044", "show")</f>
        <v>show</v>
      </c>
      <c r="G4157" t="str">
        <f>HYPERLINK("https://github.com/PojavLauncherTeam/PojavLauncher", "show")</f>
        <v>show</v>
      </c>
      <c r="H4157" t="str">
        <f>HYPERLINK("https://github.com/PojavLauncherTeam/PojavLauncher/releases", "show")</f>
        <v>show</v>
      </c>
      <c r="I4157">
        <v>1</v>
      </c>
      <c r="J4157">
        <v>0</v>
      </c>
      <c r="K4157">
        <v>0</v>
      </c>
      <c r="L4157">
        <v>0</v>
      </c>
      <c r="M4157" t="s">
        <v>17</v>
      </c>
    </row>
    <row r="4158" spans="1:13" x14ac:dyDescent="0.15">
      <c r="A4158" t="s">
        <v>13181</v>
      </c>
      <c r="B4158" t="s">
        <v>3180</v>
      </c>
      <c r="C4158" t="s">
        <v>11582</v>
      </c>
      <c r="D4158" t="s">
        <v>13180</v>
      </c>
      <c r="E4158">
        <v>44</v>
      </c>
      <c r="F4158" t="str">
        <f>HYPERLINK("https://github.com/nextcloud/android/issues/8989", "show")</f>
        <v>show</v>
      </c>
      <c r="G4158" t="str">
        <f>HYPERLINK("https://github.com/nextcloud/android", "show")</f>
        <v>show</v>
      </c>
      <c r="H4158" t="str">
        <f>HYPERLINK("https://github.com/nextcloud/android/releases", "show")</f>
        <v>show</v>
      </c>
      <c r="I4158">
        <v>0</v>
      </c>
      <c r="J4158">
        <v>1</v>
      </c>
      <c r="K4158">
        <v>0</v>
      </c>
      <c r="L4158">
        <v>0</v>
      </c>
      <c r="M4158" t="s">
        <v>139</v>
      </c>
    </row>
    <row r="4159" spans="1:13" hidden="1" x14ac:dyDescent="0.15">
      <c r="A4159" t="s">
        <v>13182</v>
      </c>
      <c r="B4159" t="s">
        <v>3180</v>
      </c>
      <c r="C4159" t="s">
        <v>13183</v>
      </c>
      <c r="D4159" t="s">
        <v>13180</v>
      </c>
      <c r="E4159">
        <v>38</v>
      </c>
      <c r="F4159" t="str">
        <f>HYPERLINK("https://github.com/nextcloud/android/issues/8988", "show")</f>
        <v>show</v>
      </c>
      <c r="G4159" t="str">
        <f>HYPERLINK("https://github.com/nextcloud/android", "show")</f>
        <v>show</v>
      </c>
      <c r="H4159" t="str">
        <f>HYPERLINK("https://github.com/nextcloud/android/releases", "show")</f>
        <v>show</v>
      </c>
      <c r="I4159">
        <v>0</v>
      </c>
      <c r="J4159">
        <v>0</v>
      </c>
      <c r="K4159">
        <v>1</v>
      </c>
      <c r="L4159">
        <v>0</v>
      </c>
      <c r="M4159" t="s">
        <v>122</v>
      </c>
    </row>
    <row r="4160" spans="1:13" hidden="1" x14ac:dyDescent="0.15">
      <c r="A4160" t="s">
        <v>13184</v>
      </c>
      <c r="B4160" t="s">
        <v>13185</v>
      </c>
      <c r="C4160" t="s">
        <v>13186</v>
      </c>
      <c r="D4160" t="s">
        <v>13180</v>
      </c>
      <c r="E4160">
        <v>3</v>
      </c>
      <c r="F4160" t="str">
        <f>HYPERLINK("https://github.com/TeamNewPipe/NewPipe/issues/7122", "show")</f>
        <v>show</v>
      </c>
      <c r="G4160" t="str">
        <f>HYPERLINK("https://github.com/TeamNewPipe/NewPipe", "show")</f>
        <v>show</v>
      </c>
      <c r="H4160" t="str">
        <f>HYPERLINK("https://github.com/TeamNewPipe/NewPipe/releases", "show")</f>
        <v>show</v>
      </c>
      <c r="I4160">
        <v>1</v>
      </c>
      <c r="J4160">
        <v>1</v>
      </c>
      <c r="K4160">
        <v>1</v>
      </c>
      <c r="L4160">
        <v>0</v>
      </c>
      <c r="M4160" t="s">
        <v>59</v>
      </c>
    </row>
    <row r="4161" spans="1:13" hidden="1" x14ac:dyDescent="0.15">
      <c r="A4161" t="s">
        <v>13187</v>
      </c>
      <c r="B4161" t="s">
        <v>13188</v>
      </c>
      <c r="C4161" t="s">
        <v>13189</v>
      </c>
      <c r="D4161" t="s">
        <v>13180</v>
      </c>
      <c r="E4161">
        <v>0</v>
      </c>
      <c r="F4161" t="str">
        <f>HYPERLINK("https://github.com/PojavLauncherTeam/PojavLauncher/issues/2042", "show")</f>
        <v>show</v>
      </c>
      <c r="G4161" t="str">
        <f>HYPERLINK("https://github.com/PojavLauncherTeam/PojavLauncher", "show")</f>
        <v>show</v>
      </c>
      <c r="H4161" t="str">
        <f>HYPERLINK("https://github.com/PojavLauncherTeam/PojavLauncher/releases", "show")</f>
        <v>show</v>
      </c>
      <c r="I4161">
        <v>1</v>
      </c>
      <c r="J4161">
        <v>0</v>
      </c>
      <c r="K4161">
        <v>0</v>
      </c>
      <c r="L4161">
        <v>0</v>
      </c>
      <c r="M4161" t="s">
        <v>17</v>
      </c>
    </row>
    <row r="4162" spans="1:13" hidden="1" x14ac:dyDescent="0.15">
      <c r="A4162" t="s">
        <v>13190</v>
      </c>
      <c r="B4162" t="s">
        <v>13191</v>
      </c>
      <c r="C4162" t="s">
        <v>13192</v>
      </c>
      <c r="D4162" t="s">
        <v>13193</v>
      </c>
      <c r="E4162">
        <v>3</v>
      </c>
      <c r="F4162" t="str">
        <f>HYPERLINK("https://github.com/GrapheneOS/Auditor/issues/120", "show")</f>
        <v>show</v>
      </c>
      <c r="G4162" t="str">
        <f>HYPERLINK("https://github.com/GrapheneOS/Auditor", "show")</f>
        <v>show</v>
      </c>
      <c r="H4162" t="str">
        <f>HYPERLINK("https://github.com/GrapheneOS/Auditor/releases", "show")</f>
        <v>show</v>
      </c>
      <c r="I4162">
        <v>1</v>
      </c>
      <c r="J4162">
        <v>0</v>
      </c>
      <c r="K4162">
        <v>0</v>
      </c>
      <c r="L4162">
        <v>0</v>
      </c>
      <c r="M4162" t="s">
        <v>17</v>
      </c>
    </row>
    <row r="4163" spans="1:13" hidden="1" x14ac:dyDescent="0.15">
      <c r="A4163" t="s">
        <v>13194</v>
      </c>
      <c r="B4163" t="s">
        <v>13195</v>
      </c>
      <c r="C4163" t="s">
        <v>12185</v>
      </c>
      <c r="D4163" t="s">
        <v>13193</v>
      </c>
      <c r="E4163">
        <v>132</v>
      </c>
      <c r="F4163" t="str">
        <f>HYPERLINK("https://github.com/nextcloud/android/issues/8985", "show")</f>
        <v>show</v>
      </c>
      <c r="G4163" t="str">
        <f>HYPERLINK("https://github.com/nextcloud/android", "show")</f>
        <v>show</v>
      </c>
      <c r="H4163" t="str">
        <f>HYPERLINK("https://github.com/nextcloud/android/releases", "show")</f>
        <v>show</v>
      </c>
      <c r="I4163">
        <v>0</v>
      </c>
      <c r="J4163">
        <v>0</v>
      </c>
      <c r="K4163">
        <v>1</v>
      </c>
      <c r="L4163">
        <v>0</v>
      </c>
      <c r="M4163" t="s">
        <v>122</v>
      </c>
    </row>
    <row r="4164" spans="1:13" hidden="1" x14ac:dyDescent="0.15">
      <c r="A4164" t="s">
        <v>13196</v>
      </c>
      <c r="B4164" t="s">
        <v>13197</v>
      </c>
      <c r="C4164" t="s">
        <v>13198</v>
      </c>
      <c r="D4164" t="s">
        <v>13193</v>
      </c>
      <c r="E4164">
        <v>119</v>
      </c>
      <c r="F4164" t="str">
        <f>HYPERLINK("https://github.com/doublesymmetry/react-native-track-player/issues/1266", "show")</f>
        <v>show</v>
      </c>
      <c r="G4164" t="str">
        <f>HYPERLINK("https://github.com/doublesymmetry/react-native-track-player", "show")</f>
        <v>show</v>
      </c>
      <c r="H4164" t="str">
        <f>HYPERLINK("https://github.com/doublesymmetry/react-native-track-player/releases", "show")</f>
        <v>show</v>
      </c>
      <c r="I4164">
        <v>1</v>
      </c>
      <c r="J4164">
        <v>1</v>
      </c>
      <c r="K4164">
        <v>0</v>
      </c>
      <c r="L4164">
        <v>0</v>
      </c>
      <c r="M4164" t="s">
        <v>48</v>
      </c>
    </row>
    <row r="4165" spans="1:13" hidden="1" x14ac:dyDescent="0.15">
      <c r="A4165" t="s">
        <v>13199</v>
      </c>
      <c r="B4165" t="s">
        <v>13200</v>
      </c>
      <c r="C4165" t="s">
        <v>13201</v>
      </c>
      <c r="D4165" t="s">
        <v>13202</v>
      </c>
      <c r="E4165">
        <v>0</v>
      </c>
      <c r="F4165" t="str">
        <f>HYPERLINK("https://github.com/Krow10/Lab1-Calc/issues/11", "show")</f>
        <v>show</v>
      </c>
      <c r="G4165" t="str">
        <f>HYPERLINK("https://github.com/Krow10/Lab1-Calc", "show")</f>
        <v>show</v>
      </c>
      <c r="H4165" t="str">
        <f>HYPERLINK("https://github.com/Krow10/Lab1-Calc/releases", "show")</f>
        <v>show</v>
      </c>
      <c r="I4165">
        <v>1</v>
      </c>
      <c r="J4165">
        <v>0</v>
      </c>
      <c r="K4165">
        <v>0</v>
      </c>
      <c r="L4165">
        <v>0</v>
      </c>
      <c r="M4165" t="s">
        <v>17</v>
      </c>
    </row>
    <row r="4166" spans="1:13" hidden="1" x14ac:dyDescent="0.15">
      <c r="A4166" t="s">
        <v>13203</v>
      </c>
      <c r="B4166" t="s">
        <v>13204</v>
      </c>
      <c r="D4166" t="s">
        <v>13202</v>
      </c>
      <c r="E4166">
        <v>0</v>
      </c>
      <c r="F4166" t="str">
        <f>HYPERLINK("https://github.com/mI-PIV/app/issues/148", "show")</f>
        <v>show</v>
      </c>
      <c r="G4166" t="str">
        <f>HYPERLINK("https://github.com/mI-PIV/app", "show")</f>
        <v>show</v>
      </c>
      <c r="H4166" t="str">
        <f>HYPERLINK("https://github.com/mI-PIV/app/releases", "show")</f>
        <v>show</v>
      </c>
      <c r="I4166">
        <v>0</v>
      </c>
      <c r="J4166">
        <v>0</v>
      </c>
      <c r="K4166">
        <v>0</v>
      </c>
      <c r="L4166">
        <v>0</v>
      </c>
      <c r="M4166" t="s">
        <v>43</v>
      </c>
    </row>
    <row r="4167" spans="1:13" hidden="1" x14ac:dyDescent="0.15">
      <c r="A4167" t="s">
        <v>13205</v>
      </c>
      <c r="B4167" t="s">
        <v>13206</v>
      </c>
      <c r="C4167" t="s">
        <v>13207</v>
      </c>
      <c r="D4167" t="s">
        <v>13202</v>
      </c>
      <c r="E4167">
        <v>4</v>
      </c>
      <c r="F4167" t="str">
        <f>HYPERLINK("https://github.com/hzi-braunschweig/SORMAS-Project/issues/6726", "show")</f>
        <v>show</v>
      </c>
      <c r="G4167" t="str">
        <f>HYPERLINK("https://github.com/hzi-braunschweig/SORMAS-Project", "show")</f>
        <v>show</v>
      </c>
      <c r="H4167" t="str">
        <f>HYPERLINK("https://github.com/hzi-braunschweig/SORMAS-Project/releases", "show")</f>
        <v>show</v>
      </c>
      <c r="I4167">
        <v>0</v>
      </c>
      <c r="J4167">
        <v>0</v>
      </c>
      <c r="K4167">
        <v>0</v>
      </c>
      <c r="L4167">
        <v>0</v>
      </c>
      <c r="M4167" t="s">
        <v>43</v>
      </c>
    </row>
    <row r="4168" spans="1:13" hidden="1" x14ac:dyDescent="0.15">
      <c r="A4168" t="s">
        <v>13208</v>
      </c>
      <c r="B4168" t="s">
        <v>13209</v>
      </c>
      <c r="C4168" t="s">
        <v>13210</v>
      </c>
      <c r="D4168" t="s">
        <v>13202</v>
      </c>
      <c r="E4168">
        <v>13</v>
      </c>
      <c r="F4168" t="str">
        <f>HYPERLINK("https://github.com/opensrp/opensrp-client-path-zeir/issues/209", "show")</f>
        <v>show</v>
      </c>
      <c r="G4168" t="str">
        <f>HYPERLINK("https://github.com/opensrp/opensrp-client-path-zeir", "show")</f>
        <v>show</v>
      </c>
      <c r="H4168" t="str">
        <f>HYPERLINK("https://github.com/opensrp/opensrp-client-path-zeir/releases", "show")</f>
        <v>show</v>
      </c>
      <c r="I4168">
        <v>0</v>
      </c>
      <c r="J4168">
        <v>0</v>
      </c>
      <c r="K4168">
        <v>0</v>
      </c>
      <c r="L4168">
        <v>0</v>
      </c>
      <c r="M4168" t="s">
        <v>43</v>
      </c>
    </row>
    <row r="4169" spans="1:13" hidden="1" x14ac:dyDescent="0.15">
      <c r="A4169" t="s">
        <v>13211</v>
      </c>
      <c r="B4169" t="s">
        <v>13212</v>
      </c>
      <c r="C4169" t="s">
        <v>13213</v>
      </c>
      <c r="D4169" t="s">
        <v>13202</v>
      </c>
      <c r="E4169">
        <v>85</v>
      </c>
      <c r="F4169" t="str">
        <f>HYPERLINK("https://github.com/google/ExoPlayer/issues/9436", "show")</f>
        <v>show</v>
      </c>
      <c r="G4169" t="str">
        <f>HYPERLINK("https://github.com/google/ExoPlayer", "show")</f>
        <v>show</v>
      </c>
      <c r="H4169" t="str">
        <f>HYPERLINK("https://github.com/google/ExoPlayer/releases", "show")</f>
        <v>show</v>
      </c>
      <c r="I4169">
        <v>0</v>
      </c>
      <c r="J4169">
        <v>0</v>
      </c>
      <c r="K4169">
        <v>1</v>
      </c>
      <c r="L4169">
        <v>0</v>
      </c>
      <c r="M4169" t="s">
        <v>122</v>
      </c>
    </row>
    <row r="4170" spans="1:13" hidden="1" x14ac:dyDescent="0.15">
      <c r="A4170" t="s">
        <v>13214</v>
      </c>
      <c r="B4170" t="s">
        <v>13215</v>
      </c>
      <c r="C4170" t="s">
        <v>13216</v>
      </c>
      <c r="D4170" t="s">
        <v>13217</v>
      </c>
      <c r="E4170">
        <v>0</v>
      </c>
      <c r="F4170" t="str">
        <f>HYPERLINK("https://github.com/Anuken/Mindustry/issues/6005", "show")</f>
        <v>show</v>
      </c>
      <c r="G4170" t="str">
        <f>HYPERLINK("https://github.com/Anuken/Mindustry", "show")</f>
        <v>show</v>
      </c>
      <c r="H4170" t="str">
        <f>HYPERLINK("https://github.com/Anuken/Mindustry/releases", "show")</f>
        <v>show</v>
      </c>
      <c r="I4170">
        <v>0</v>
      </c>
      <c r="J4170">
        <v>0</v>
      </c>
      <c r="K4170">
        <v>0</v>
      </c>
      <c r="L4170">
        <v>0</v>
      </c>
      <c r="M4170" t="s">
        <v>43</v>
      </c>
    </row>
    <row r="4171" spans="1:13" hidden="1" x14ac:dyDescent="0.15">
      <c r="A4171" t="s">
        <v>13218</v>
      </c>
      <c r="B4171" t="s">
        <v>13219</v>
      </c>
      <c r="C4171" t="s">
        <v>13220</v>
      </c>
      <c r="D4171" t="s">
        <v>13221</v>
      </c>
      <c r="E4171">
        <v>6</v>
      </c>
      <c r="F4171" t="str">
        <f>HYPERLINK("https://github.com/PojavLauncherTeam/PojavLauncher/issues/2036", "show")</f>
        <v>show</v>
      </c>
      <c r="G4171" t="str">
        <f>HYPERLINK("https://github.com/PojavLauncherTeam/PojavLauncher", "show")</f>
        <v>show</v>
      </c>
      <c r="H4171" t="str">
        <f>HYPERLINK("https://github.com/PojavLauncherTeam/PojavLauncher/releases", "show")</f>
        <v>show</v>
      </c>
      <c r="I4171">
        <v>0</v>
      </c>
      <c r="J4171">
        <v>0</v>
      </c>
      <c r="K4171">
        <v>0</v>
      </c>
      <c r="L4171">
        <v>0</v>
      </c>
      <c r="M4171" t="s">
        <v>43</v>
      </c>
    </row>
    <row r="4172" spans="1:13" hidden="1" x14ac:dyDescent="0.15">
      <c r="A4172" t="s">
        <v>13222</v>
      </c>
      <c r="B4172" t="s">
        <v>13223</v>
      </c>
      <c r="C4172" t="s">
        <v>13224</v>
      </c>
      <c r="D4172" t="s">
        <v>13221</v>
      </c>
      <c r="E4172">
        <v>153</v>
      </c>
      <c r="F4172" t="str">
        <f>HYPERLINK("https://github.com/aws-amplify/aws-sdk-android/issues/2635", "show")</f>
        <v>show</v>
      </c>
      <c r="G4172" t="str">
        <f>HYPERLINK("https://github.com/aws-amplify/aws-sdk-android", "show")</f>
        <v>show</v>
      </c>
      <c r="H4172" t="str">
        <f>HYPERLINK("https://github.com/aws-amplify/aws-sdk-android/releases", "show")</f>
        <v>show</v>
      </c>
      <c r="I4172">
        <v>0</v>
      </c>
      <c r="J4172">
        <v>0</v>
      </c>
      <c r="K4172">
        <v>1</v>
      </c>
      <c r="L4172">
        <v>0</v>
      </c>
      <c r="M4172" t="s">
        <v>122</v>
      </c>
    </row>
    <row r="4173" spans="1:13" hidden="1" x14ac:dyDescent="0.15">
      <c r="A4173" t="s">
        <v>13225</v>
      </c>
      <c r="B4173" t="s">
        <v>10882</v>
      </c>
      <c r="C4173" t="s">
        <v>13226</v>
      </c>
      <c r="D4173" t="s">
        <v>13221</v>
      </c>
      <c r="E4173">
        <v>4</v>
      </c>
      <c r="F4173" t="str">
        <f>HYPERLINK("https://github.com/PojavLauncherTeam/PojavLauncher/issues/2033", "show")</f>
        <v>show</v>
      </c>
      <c r="G4173" t="str">
        <f>HYPERLINK("https://github.com/PojavLauncherTeam/PojavLauncher", "show")</f>
        <v>show</v>
      </c>
      <c r="H4173" t="str">
        <f>HYPERLINK("https://github.com/PojavLauncherTeam/PojavLauncher/releases", "show")</f>
        <v>show</v>
      </c>
      <c r="I4173">
        <v>1</v>
      </c>
      <c r="J4173">
        <v>0</v>
      </c>
      <c r="K4173">
        <v>0</v>
      </c>
      <c r="L4173">
        <v>0</v>
      </c>
      <c r="M4173" t="s">
        <v>17</v>
      </c>
    </row>
    <row r="4174" spans="1:13" hidden="1" x14ac:dyDescent="0.15">
      <c r="A4174" t="s">
        <v>13227</v>
      </c>
      <c r="B4174" t="s">
        <v>13228</v>
      </c>
      <c r="C4174" t="s">
        <v>13229</v>
      </c>
      <c r="D4174" t="s">
        <v>13221</v>
      </c>
      <c r="E4174">
        <v>65</v>
      </c>
      <c r="F4174" t="str">
        <f>HYPERLINK("https://github.com/iZettle/sdk-android/issues/39", "show")</f>
        <v>show</v>
      </c>
      <c r="G4174" t="str">
        <f>HYPERLINK("https://github.com/iZettle/sdk-android", "show")</f>
        <v>show</v>
      </c>
      <c r="H4174" t="str">
        <f>HYPERLINK("https://github.com/iZettle/sdk-android/releases", "show")</f>
        <v>show</v>
      </c>
      <c r="I4174">
        <v>1</v>
      </c>
      <c r="J4174">
        <v>0</v>
      </c>
      <c r="K4174">
        <v>1</v>
      </c>
      <c r="L4174">
        <v>0</v>
      </c>
      <c r="M4174" t="s">
        <v>64</v>
      </c>
    </row>
    <row r="4175" spans="1:13" hidden="1" x14ac:dyDescent="0.15">
      <c r="A4175" t="s">
        <v>13230</v>
      </c>
      <c r="B4175" t="s">
        <v>13231</v>
      </c>
      <c r="C4175" t="s">
        <v>13232</v>
      </c>
      <c r="D4175" t="s">
        <v>13233</v>
      </c>
      <c r="E4175">
        <v>43</v>
      </c>
      <c r="F4175" t="str">
        <f>HYPERLINK("https://github.com/nextcloud/android/issues/8977", "show")</f>
        <v>show</v>
      </c>
      <c r="G4175" t="str">
        <f>HYPERLINK("https://github.com/nextcloud/android", "show")</f>
        <v>show</v>
      </c>
      <c r="H4175" t="str">
        <f>HYPERLINK("https://github.com/nextcloud/android/releases", "show")</f>
        <v>show</v>
      </c>
      <c r="I4175">
        <v>1</v>
      </c>
      <c r="J4175">
        <v>1</v>
      </c>
      <c r="K4175">
        <v>1</v>
      </c>
      <c r="L4175">
        <v>0</v>
      </c>
      <c r="M4175" t="s">
        <v>59</v>
      </c>
    </row>
    <row r="4176" spans="1:13" hidden="1" x14ac:dyDescent="0.15">
      <c r="A4176" t="s">
        <v>13234</v>
      </c>
      <c r="B4176" t="s">
        <v>13235</v>
      </c>
      <c r="C4176" t="s">
        <v>13236</v>
      </c>
      <c r="D4176" t="s">
        <v>13233</v>
      </c>
      <c r="E4176">
        <v>3</v>
      </c>
      <c r="F4176" t="str">
        <f>HYPERLINK("https://github.com/k9mail/k-9/issues/5665", "show")</f>
        <v>show</v>
      </c>
      <c r="G4176" t="str">
        <f>HYPERLINK("https://github.com/k9mail/k-9", "show")</f>
        <v>show</v>
      </c>
      <c r="H4176" t="str">
        <f>HYPERLINK("https://github.com/k9mail/k-9/releases", "show")</f>
        <v>show</v>
      </c>
      <c r="I4176">
        <v>0</v>
      </c>
      <c r="J4176">
        <v>0</v>
      </c>
      <c r="K4176">
        <v>0</v>
      </c>
      <c r="L4176">
        <v>0</v>
      </c>
      <c r="M4176" t="s">
        <v>43</v>
      </c>
    </row>
    <row r="4177" spans="1:13" hidden="1" x14ac:dyDescent="0.15">
      <c r="A4177" t="s">
        <v>13237</v>
      </c>
      <c r="B4177" t="s">
        <v>13238</v>
      </c>
      <c r="C4177" t="s">
        <v>13239</v>
      </c>
      <c r="D4177" t="s">
        <v>13233</v>
      </c>
      <c r="E4177">
        <v>0</v>
      </c>
      <c r="F4177" t="str">
        <f>HYPERLINK("https://github.com/PojavLauncherTeam/PojavLauncher/issues/2026", "show")</f>
        <v>show</v>
      </c>
      <c r="G4177" t="str">
        <f>HYPERLINK("https://github.com/PojavLauncherTeam/PojavLauncher", "show")</f>
        <v>show</v>
      </c>
      <c r="H4177" t="str">
        <f>HYPERLINK("https://github.com/PojavLauncherTeam/PojavLauncher/releases", "show")</f>
        <v>show</v>
      </c>
      <c r="I4177">
        <v>0</v>
      </c>
      <c r="J4177">
        <v>0</v>
      </c>
      <c r="K4177">
        <v>0</v>
      </c>
      <c r="L4177">
        <v>0</v>
      </c>
      <c r="M4177" t="s">
        <v>43</v>
      </c>
    </row>
    <row r="4178" spans="1:13" hidden="1" x14ac:dyDescent="0.15">
      <c r="A4178" t="s">
        <v>13240</v>
      </c>
      <c r="B4178" t="s">
        <v>13241</v>
      </c>
      <c r="C4178" t="s">
        <v>13242</v>
      </c>
      <c r="D4178" t="s">
        <v>13233</v>
      </c>
      <c r="E4178">
        <v>37</v>
      </c>
      <c r="F4178" t="str">
        <f>HYPERLINK("https://github.com/PojavLauncherTeam/PojavLauncher/issues/2024", "show")</f>
        <v>show</v>
      </c>
      <c r="G4178" t="str">
        <f>HYPERLINK("https://github.com/PojavLauncherTeam/PojavLauncher", "show")</f>
        <v>show</v>
      </c>
      <c r="H4178" t="str">
        <f>HYPERLINK("https://github.com/PojavLauncherTeam/PojavLauncher/releases", "show")</f>
        <v>show</v>
      </c>
      <c r="I4178">
        <v>0</v>
      </c>
      <c r="J4178">
        <v>0</v>
      </c>
      <c r="K4178">
        <v>0</v>
      </c>
      <c r="L4178">
        <v>0</v>
      </c>
      <c r="M4178" t="s">
        <v>43</v>
      </c>
    </row>
    <row r="4179" spans="1:13" hidden="1" x14ac:dyDescent="0.15">
      <c r="A4179" t="s">
        <v>13243</v>
      </c>
      <c r="B4179" t="s">
        <v>13244</v>
      </c>
      <c r="C4179" t="s">
        <v>13245</v>
      </c>
      <c r="D4179" t="s">
        <v>13233</v>
      </c>
      <c r="E4179">
        <v>1</v>
      </c>
      <c r="F4179" t="str">
        <f>HYPERLINK("https://github.com/AlphaWallet/alpha-wallet-android/issues/2014", "show")</f>
        <v>show</v>
      </c>
      <c r="G4179" t="str">
        <f>HYPERLINK("https://github.com/AlphaWallet/alpha-wallet-android", "show")</f>
        <v>show</v>
      </c>
      <c r="H4179" t="str">
        <f>HYPERLINK("https://github.com/AlphaWallet/alpha-wallet-android/releases", "show")</f>
        <v>show</v>
      </c>
      <c r="I4179">
        <v>1</v>
      </c>
      <c r="J4179">
        <v>0</v>
      </c>
      <c r="K4179">
        <v>0</v>
      </c>
      <c r="L4179">
        <v>0</v>
      </c>
      <c r="M4179" t="s">
        <v>17</v>
      </c>
    </row>
    <row r="4180" spans="1:13" hidden="1" x14ac:dyDescent="0.15">
      <c r="A4180" t="s">
        <v>13246</v>
      </c>
      <c r="B4180" t="s">
        <v>13247</v>
      </c>
      <c r="C4180" t="s">
        <v>13248</v>
      </c>
      <c r="D4180" t="s">
        <v>13233</v>
      </c>
      <c r="E4180">
        <v>0</v>
      </c>
      <c r="F4180" t="str">
        <f>HYPERLINK("https://github.com/amplitude/Amplitude-Android/issues/299", "show")</f>
        <v>show</v>
      </c>
      <c r="G4180" t="str">
        <f>HYPERLINK("https://github.com/amplitude/Amplitude-Android", "show")</f>
        <v>show</v>
      </c>
      <c r="H4180" t="str">
        <f>HYPERLINK("https://github.com/amplitude/Amplitude-Android/releases", "show")</f>
        <v>show</v>
      </c>
      <c r="I4180">
        <v>1</v>
      </c>
      <c r="J4180">
        <v>0</v>
      </c>
      <c r="K4180">
        <v>0</v>
      </c>
      <c r="L4180">
        <v>0</v>
      </c>
      <c r="M4180" t="s">
        <v>17</v>
      </c>
    </row>
    <row r="4181" spans="1:13" hidden="1" x14ac:dyDescent="0.15">
      <c r="A4181" t="s">
        <v>13249</v>
      </c>
      <c r="B4181" t="s">
        <v>13250</v>
      </c>
      <c r="C4181" t="s">
        <v>13251</v>
      </c>
      <c r="D4181" t="s">
        <v>13233</v>
      </c>
      <c r="E4181">
        <v>0</v>
      </c>
      <c r="F4181" t="str">
        <f>HYPERLINK("https://github.com/Krow10/Lab1-Calc/issues/7", "show")</f>
        <v>show</v>
      </c>
      <c r="G4181" t="str">
        <f>HYPERLINK("https://github.com/Krow10/Lab1-Calc", "show")</f>
        <v>show</v>
      </c>
      <c r="H4181" t="str">
        <f>HYPERLINK("https://github.com/Krow10/Lab1-Calc/releases", "show")</f>
        <v>show</v>
      </c>
      <c r="I4181">
        <v>1</v>
      </c>
      <c r="J4181">
        <v>0</v>
      </c>
      <c r="K4181">
        <v>0</v>
      </c>
      <c r="L4181">
        <v>0</v>
      </c>
      <c r="M4181" t="s">
        <v>17</v>
      </c>
    </row>
    <row r="4182" spans="1:13" hidden="1" x14ac:dyDescent="0.15">
      <c r="A4182" t="s">
        <v>13252</v>
      </c>
      <c r="B4182" t="s">
        <v>13253</v>
      </c>
      <c r="C4182" t="s">
        <v>13254</v>
      </c>
      <c r="D4182" t="s">
        <v>13255</v>
      </c>
      <c r="E4182">
        <v>1</v>
      </c>
      <c r="F4182" t="str">
        <f>HYPERLINK("https://github.com/MuntashirAkon/AppManager/issues/577", "show")</f>
        <v>show</v>
      </c>
      <c r="G4182" t="str">
        <f>HYPERLINK("https://github.com/MuntashirAkon/AppManager", "show")</f>
        <v>show</v>
      </c>
      <c r="H4182" t="str">
        <f>HYPERLINK("https://github.com/MuntashirAkon/AppManager/releases", "show")</f>
        <v>show</v>
      </c>
      <c r="I4182">
        <v>0</v>
      </c>
      <c r="J4182">
        <v>1</v>
      </c>
      <c r="K4182">
        <v>1</v>
      </c>
      <c r="L4182">
        <v>0</v>
      </c>
      <c r="M4182" t="s">
        <v>699</v>
      </c>
    </row>
    <row r="4183" spans="1:13" hidden="1" x14ac:dyDescent="0.15">
      <c r="A4183" t="s">
        <v>13256</v>
      </c>
      <c r="B4183" t="s">
        <v>13257</v>
      </c>
      <c r="C4183" t="s">
        <v>13258</v>
      </c>
      <c r="D4183" t="s">
        <v>13255</v>
      </c>
      <c r="E4183">
        <v>9</v>
      </c>
      <c r="F4183" t="str">
        <f>HYPERLINK("https://github.com/material-components/material-components-android/issues/2370", "show")</f>
        <v>show</v>
      </c>
      <c r="G4183" t="str">
        <f>HYPERLINK("https://github.com/material-components/material-components-android", "show")</f>
        <v>show</v>
      </c>
      <c r="H4183" t="str">
        <f>HYPERLINK("https://github.com/material-components/material-components-android/releases", "show")</f>
        <v>show</v>
      </c>
      <c r="I4183">
        <v>1</v>
      </c>
      <c r="J4183">
        <v>0</v>
      </c>
      <c r="K4183">
        <v>1</v>
      </c>
      <c r="L4183">
        <v>0</v>
      </c>
      <c r="M4183" t="s">
        <v>64</v>
      </c>
    </row>
    <row r="4184" spans="1:13" hidden="1" x14ac:dyDescent="0.15">
      <c r="A4184" t="s">
        <v>13259</v>
      </c>
      <c r="B4184" t="s">
        <v>13260</v>
      </c>
      <c r="C4184" t="s">
        <v>13261</v>
      </c>
      <c r="D4184" t="s">
        <v>13255</v>
      </c>
      <c r="E4184">
        <v>124</v>
      </c>
      <c r="F4184" t="str">
        <f>HYPERLINK("https://github.com/VishnuSanal/DialogMusicPlayer/issues/1", "show")</f>
        <v>show</v>
      </c>
      <c r="G4184" t="str">
        <f>HYPERLINK("https://github.com/VishnuSanal/DialogMusicPlayer", "show")</f>
        <v>show</v>
      </c>
      <c r="H4184" t="str">
        <f>HYPERLINK("https://github.com/VishnuSanal/DialogMusicPlayer/releases", "show")</f>
        <v>show</v>
      </c>
      <c r="I4184">
        <v>0</v>
      </c>
      <c r="J4184">
        <v>0</v>
      </c>
      <c r="K4184">
        <v>1</v>
      </c>
      <c r="L4184">
        <v>0</v>
      </c>
      <c r="M4184" t="s">
        <v>122</v>
      </c>
    </row>
    <row r="4185" spans="1:13" hidden="1" x14ac:dyDescent="0.15">
      <c r="A4185" t="s">
        <v>13262</v>
      </c>
      <c r="B4185" t="s">
        <v>13263</v>
      </c>
      <c r="C4185" t="s">
        <v>13264</v>
      </c>
      <c r="D4185" t="s">
        <v>13255</v>
      </c>
      <c r="E4185">
        <v>0</v>
      </c>
      <c r="F4185" t="str">
        <f>HYPERLINK("https://github.com/PojavLauncherTeam/PojavLauncher/issues/2020", "show")</f>
        <v>show</v>
      </c>
      <c r="G4185" t="str">
        <f>HYPERLINK("https://github.com/PojavLauncherTeam/PojavLauncher", "show")</f>
        <v>show</v>
      </c>
      <c r="H4185" t="str">
        <f>HYPERLINK("https://github.com/PojavLauncherTeam/PojavLauncher/releases", "show")</f>
        <v>show</v>
      </c>
      <c r="I4185">
        <v>0</v>
      </c>
      <c r="J4185">
        <v>0</v>
      </c>
      <c r="K4185">
        <v>0</v>
      </c>
      <c r="L4185">
        <v>0</v>
      </c>
      <c r="M4185" t="s">
        <v>43</v>
      </c>
    </row>
    <row r="4186" spans="1:13" hidden="1" x14ac:dyDescent="0.15">
      <c r="A4186" t="s">
        <v>13265</v>
      </c>
      <c r="B4186" t="s">
        <v>13266</v>
      </c>
      <c r="C4186" t="s">
        <v>13267</v>
      </c>
      <c r="D4186" t="s">
        <v>13255</v>
      </c>
      <c r="E4186">
        <v>29</v>
      </c>
      <c r="F4186" t="str">
        <f>HYPERLINK("https://github.com/george2209/PlanesAndShips/issues/8", "show")</f>
        <v>show</v>
      </c>
      <c r="G4186" t="str">
        <f>HYPERLINK("https://github.com/george2209/PlanesAndShips", "show")</f>
        <v>show</v>
      </c>
      <c r="H4186" t="str">
        <f>HYPERLINK("https://github.com/george2209/PlanesAndShips/releases", "show")</f>
        <v>show</v>
      </c>
      <c r="I4186">
        <v>0</v>
      </c>
      <c r="J4186">
        <v>0</v>
      </c>
      <c r="K4186">
        <v>0</v>
      </c>
      <c r="L4186">
        <v>0</v>
      </c>
      <c r="M4186" t="s">
        <v>43</v>
      </c>
    </row>
    <row r="4187" spans="1:13" hidden="1" x14ac:dyDescent="0.15">
      <c r="A4187" t="s">
        <v>13268</v>
      </c>
      <c r="B4187" t="s">
        <v>13269</v>
      </c>
      <c r="C4187" t="s">
        <v>13270</v>
      </c>
      <c r="D4187" t="s">
        <v>13271</v>
      </c>
      <c r="E4187">
        <v>4</v>
      </c>
      <c r="F4187" t="str">
        <f>HYPERLINK("https://github.com/getsentry/sentry-java/issues/1711", "show")</f>
        <v>show</v>
      </c>
      <c r="G4187" t="str">
        <f>HYPERLINK("https://github.com/getsentry/sentry-java", "show")</f>
        <v>show</v>
      </c>
      <c r="H4187" t="str">
        <f>HYPERLINK("https://github.com/getsentry/sentry-java/releases", "show")</f>
        <v>show</v>
      </c>
      <c r="I4187">
        <v>1</v>
      </c>
      <c r="J4187">
        <v>0</v>
      </c>
      <c r="K4187">
        <v>1</v>
      </c>
      <c r="L4187">
        <v>0</v>
      </c>
      <c r="M4187" t="s">
        <v>64</v>
      </c>
    </row>
    <row r="4188" spans="1:13" hidden="1" x14ac:dyDescent="0.15">
      <c r="A4188" t="s">
        <v>13272</v>
      </c>
      <c r="B4188" t="s">
        <v>13273</v>
      </c>
      <c r="C4188" t="s">
        <v>13274</v>
      </c>
      <c r="D4188" t="s">
        <v>13271</v>
      </c>
      <c r="E4188">
        <v>186</v>
      </c>
      <c r="F4188" t="str">
        <f>HYPERLINK("https://github.com/capacitor-community/google-maps/issues/98", "show")</f>
        <v>show</v>
      </c>
      <c r="G4188" t="str">
        <f>HYPERLINK("https://github.com/capacitor-community/google-maps", "show")</f>
        <v>show</v>
      </c>
      <c r="H4188" t="str">
        <f>HYPERLINK("https://github.com/capacitor-community/google-maps/releases", "show")</f>
        <v>show</v>
      </c>
      <c r="I4188">
        <v>1</v>
      </c>
      <c r="J4188">
        <v>0</v>
      </c>
      <c r="K4188">
        <v>0</v>
      </c>
      <c r="L4188">
        <v>0</v>
      </c>
      <c r="M4188" t="s">
        <v>17</v>
      </c>
    </row>
    <row r="4189" spans="1:13" hidden="1" x14ac:dyDescent="0.15">
      <c r="A4189" t="s">
        <v>13275</v>
      </c>
      <c r="B4189" t="s">
        <v>13276</v>
      </c>
      <c r="C4189" t="s">
        <v>13277</v>
      </c>
      <c r="D4189" t="s">
        <v>13278</v>
      </c>
      <c r="E4189">
        <v>0</v>
      </c>
      <c r="F4189" t="str">
        <f>HYPERLINK("https://github.com/nextcloud/android/issues/8963", "show")</f>
        <v>show</v>
      </c>
      <c r="G4189" t="str">
        <f>HYPERLINK("https://github.com/nextcloud/android", "show")</f>
        <v>show</v>
      </c>
      <c r="H4189" t="str">
        <f>HYPERLINK("https://github.com/nextcloud/android/releases", "show")</f>
        <v>show</v>
      </c>
      <c r="I4189">
        <v>1</v>
      </c>
      <c r="J4189">
        <v>1</v>
      </c>
      <c r="K4189">
        <v>1</v>
      </c>
      <c r="L4189">
        <v>0</v>
      </c>
      <c r="M4189" t="s">
        <v>59</v>
      </c>
    </row>
    <row r="4190" spans="1:13" hidden="1" x14ac:dyDescent="0.15">
      <c r="A4190" t="s">
        <v>13279</v>
      </c>
      <c r="B4190" t="s">
        <v>13280</v>
      </c>
      <c r="C4190" t="s">
        <v>13281</v>
      </c>
      <c r="D4190" t="s">
        <v>13278</v>
      </c>
      <c r="E4190">
        <v>0</v>
      </c>
      <c r="F4190" t="str">
        <f>HYPERLINK("https://github.com/Krow10/Lab1-Calc/issues/1", "show")</f>
        <v>show</v>
      </c>
      <c r="G4190" t="str">
        <f>HYPERLINK("https://github.com/Krow10/Lab1-Calc", "show")</f>
        <v>show</v>
      </c>
      <c r="H4190" t="str">
        <f>HYPERLINK("https://github.com/Krow10/Lab1-Calc/releases", "show")</f>
        <v>show</v>
      </c>
      <c r="I4190">
        <v>1</v>
      </c>
      <c r="J4190">
        <v>0</v>
      </c>
      <c r="K4190">
        <v>0</v>
      </c>
      <c r="L4190">
        <v>1</v>
      </c>
      <c r="M4190" t="s">
        <v>29</v>
      </c>
    </row>
    <row r="4191" spans="1:13" hidden="1" x14ac:dyDescent="0.15">
      <c r="A4191" t="s">
        <v>13282</v>
      </c>
      <c r="B4191" t="s">
        <v>10882</v>
      </c>
      <c r="C4191" t="s">
        <v>13283</v>
      </c>
      <c r="D4191" t="s">
        <v>13284</v>
      </c>
      <c r="E4191">
        <v>3</v>
      </c>
      <c r="F4191" t="str">
        <f>HYPERLINK("https://github.com/PojavLauncherTeam/PojavLauncher/issues/2004", "show")</f>
        <v>show</v>
      </c>
      <c r="G4191" t="str">
        <f>HYPERLINK("https://github.com/PojavLauncherTeam/PojavLauncher", "show")</f>
        <v>show</v>
      </c>
      <c r="H4191" t="str">
        <f>HYPERLINK("https://github.com/PojavLauncherTeam/PojavLauncher/releases", "show")</f>
        <v>show</v>
      </c>
      <c r="I4191">
        <v>1</v>
      </c>
      <c r="J4191">
        <v>0</v>
      </c>
      <c r="K4191">
        <v>0</v>
      </c>
      <c r="L4191">
        <v>0</v>
      </c>
      <c r="M4191" t="s">
        <v>17</v>
      </c>
    </row>
    <row r="4192" spans="1:13" hidden="1" x14ac:dyDescent="0.15">
      <c r="A4192" t="s">
        <v>13285</v>
      </c>
      <c r="B4192" t="s">
        <v>13286</v>
      </c>
      <c r="D4192" t="s">
        <v>13284</v>
      </c>
      <c r="E4192">
        <v>0</v>
      </c>
      <c r="F4192" t="str">
        <f>HYPERLINK("https://github.com/norkator/apcupsd-monitor/issues/53", "show")</f>
        <v>show</v>
      </c>
      <c r="G4192" t="str">
        <f>HYPERLINK("https://github.com/norkator/apcupsd-monitor", "show")</f>
        <v>show</v>
      </c>
      <c r="H4192" t="str">
        <f>HYPERLINK("https://github.com/norkator/apcupsd-monitor/releases", "show")</f>
        <v>show</v>
      </c>
      <c r="I4192">
        <v>0</v>
      </c>
      <c r="J4192">
        <v>0</v>
      </c>
      <c r="K4192">
        <v>0</v>
      </c>
      <c r="L4192">
        <v>0</v>
      </c>
      <c r="M4192" t="s">
        <v>43</v>
      </c>
    </row>
    <row r="4193" spans="1:13" hidden="1" x14ac:dyDescent="0.15">
      <c r="A4193" t="s">
        <v>13287</v>
      </c>
      <c r="B4193" t="s">
        <v>13288</v>
      </c>
      <c r="C4193" t="s">
        <v>13289</v>
      </c>
      <c r="D4193" t="s">
        <v>13284</v>
      </c>
      <c r="E4193">
        <v>49</v>
      </c>
      <c r="F4193" t="str">
        <f>HYPERLINK("https://github.com/nextcloud/android/issues/8959", "show")</f>
        <v>show</v>
      </c>
      <c r="G4193" t="str">
        <f>HYPERLINK("https://github.com/nextcloud/android", "show")</f>
        <v>show</v>
      </c>
      <c r="H4193" t="str">
        <f>HYPERLINK("https://github.com/nextcloud/android/releases", "show")</f>
        <v>show</v>
      </c>
      <c r="I4193">
        <v>0</v>
      </c>
      <c r="J4193">
        <v>0</v>
      </c>
      <c r="K4193">
        <v>1</v>
      </c>
      <c r="L4193">
        <v>0</v>
      </c>
      <c r="M4193" t="s">
        <v>122</v>
      </c>
    </row>
    <row r="4194" spans="1:13" hidden="1" x14ac:dyDescent="0.15">
      <c r="A4194" t="s">
        <v>13290</v>
      </c>
      <c r="B4194" t="s">
        <v>13291</v>
      </c>
      <c r="C4194" t="s">
        <v>11701</v>
      </c>
      <c r="D4194" t="s">
        <v>13292</v>
      </c>
      <c r="E4194">
        <v>0</v>
      </c>
      <c r="F4194" t="str">
        <f>HYPERLINK("https://github.com/Anuken/Mindustry/issues/5961", "show")</f>
        <v>show</v>
      </c>
      <c r="G4194" t="str">
        <f>HYPERLINK("https://github.com/Anuken/Mindustry", "show")</f>
        <v>show</v>
      </c>
      <c r="H4194" t="str">
        <f>HYPERLINK("https://github.com/Anuken/Mindustry/releases", "show")</f>
        <v>show</v>
      </c>
      <c r="I4194">
        <v>1</v>
      </c>
      <c r="J4194">
        <v>1</v>
      </c>
      <c r="K4194">
        <v>0</v>
      </c>
      <c r="L4194">
        <v>0</v>
      </c>
      <c r="M4194" t="s">
        <v>48</v>
      </c>
    </row>
    <row r="4195" spans="1:13" hidden="1" x14ac:dyDescent="0.15">
      <c r="A4195" t="s">
        <v>13293</v>
      </c>
      <c r="B4195" t="s">
        <v>13294</v>
      </c>
      <c r="C4195" t="s">
        <v>13295</v>
      </c>
      <c r="D4195" t="s">
        <v>13292</v>
      </c>
      <c r="E4195">
        <v>0</v>
      </c>
      <c r="F4195" t="str">
        <f>HYPERLINK("https://github.com/google/ExoPlayer/issues/9407", "show")</f>
        <v>show</v>
      </c>
      <c r="G4195" t="str">
        <f>HYPERLINK("https://github.com/google/ExoPlayer", "show")</f>
        <v>show</v>
      </c>
      <c r="H4195" t="str">
        <f>HYPERLINK("https://github.com/google/ExoPlayer/releases", "show")</f>
        <v>show</v>
      </c>
      <c r="I4195">
        <v>1</v>
      </c>
      <c r="J4195">
        <v>0</v>
      </c>
      <c r="K4195">
        <v>1</v>
      </c>
      <c r="L4195">
        <v>0</v>
      </c>
      <c r="M4195" t="s">
        <v>64</v>
      </c>
    </row>
    <row r="4196" spans="1:13" hidden="1" x14ac:dyDescent="0.15">
      <c r="A4196" t="s">
        <v>13296</v>
      </c>
      <c r="B4196" t="s">
        <v>13297</v>
      </c>
      <c r="C4196" t="s">
        <v>13298</v>
      </c>
      <c r="D4196" t="s">
        <v>13292</v>
      </c>
      <c r="E4196">
        <v>198</v>
      </c>
      <c r="F4196" t="str">
        <f>HYPERLINK("https://github.com/nextcloud/android/issues/8957", "show")</f>
        <v>show</v>
      </c>
      <c r="G4196" t="str">
        <f>HYPERLINK("https://github.com/nextcloud/android", "show")</f>
        <v>show</v>
      </c>
      <c r="H4196" t="str">
        <f>HYPERLINK("https://github.com/nextcloud/android/releases", "show")</f>
        <v>show</v>
      </c>
      <c r="I4196">
        <v>1</v>
      </c>
      <c r="J4196">
        <v>1</v>
      </c>
      <c r="K4196">
        <v>1</v>
      </c>
      <c r="L4196">
        <v>0</v>
      </c>
      <c r="M4196" t="s">
        <v>59</v>
      </c>
    </row>
    <row r="4197" spans="1:13" hidden="1" x14ac:dyDescent="0.15">
      <c r="A4197" t="s">
        <v>13299</v>
      </c>
      <c r="B4197" t="s">
        <v>13300</v>
      </c>
      <c r="C4197" t="s">
        <v>13301</v>
      </c>
      <c r="D4197" t="s">
        <v>13292</v>
      </c>
      <c r="E4197">
        <v>0</v>
      </c>
      <c r="F4197" t="str">
        <f>HYPERLINK("https://github.com/Anuken/Mindustry/issues/5958", "show")</f>
        <v>show</v>
      </c>
      <c r="G4197" t="str">
        <f>HYPERLINK("https://github.com/Anuken/Mindustry", "show")</f>
        <v>show</v>
      </c>
      <c r="H4197" t="str">
        <f>HYPERLINK("https://github.com/Anuken/Mindustry/releases", "show")</f>
        <v>show</v>
      </c>
      <c r="I4197">
        <v>0</v>
      </c>
      <c r="J4197">
        <v>0</v>
      </c>
      <c r="K4197">
        <v>0</v>
      </c>
      <c r="L4197">
        <v>0</v>
      </c>
      <c r="M4197" t="s">
        <v>43</v>
      </c>
    </row>
    <row r="4198" spans="1:13" hidden="1" x14ac:dyDescent="0.15">
      <c r="A4198" t="s">
        <v>13302</v>
      </c>
      <c r="B4198" t="s">
        <v>13303</v>
      </c>
      <c r="C4198" t="s">
        <v>13304</v>
      </c>
      <c r="D4198" t="s">
        <v>13305</v>
      </c>
      <c r="E4198">
        <v>0</v>
      </c>
      <c r="F4198" t="str">
        <f>HYPERLINK("https://github.com/Anuken/Mindustry/issues/5955", "show")</f>
        <v>show</v>
      </c>
      <c r="G4198" t="str">
        <f>HYPERLINK("https://github.com/Anuken/Mindustry", "show")</f>
        <v>show</v>
      </c>
      <c r="H4198" t="str">
        <f>HYPERLINK("https://github.com/Anuken/Mindustry/releases", "show")</f>
        <v>show</v>
      </c>
      <c r="I4198">
        <v>1</v>
      </c>
      <c r="J4198">
        <v>1</v>
      </c>
      <c r="K4198">
        <v>0</v>
      </c>
      <c r="L4198">
        <v>0</v>
      </c>
      <c r="M4198" t="s">
        <v>48</v>
      </c>
    </row>
    <row r="4199" spans="1:13" hidden="1" x14ac:dyDescent="0.15">
      <c r="A4199" t="s">
        <v>13306</v>
      </c>
      <c r="B4199" t="s">
        <v>13307</v>
      </c>
      <c r="D4199" t="s">
        <v>13305</v>
      </c>
      <c r="E4199">
        <v>0</v>
      </c>
      <c r="F4199" t="str">
        <f>HYPERLINK("https://github.com/opensensorhub/osh-android/issues/30", "show")</f>
        <v>show</v>
      </c>
      <c r="G4199" t="str">
        <f>HYPERLINK("https://github.com/opensensorhub/osh-android", "show")</f>
        <v>show</v>
      </c>
      <c r="H4199" t="str">
        <f>HYPERLINK("https://github.com/opensensorhub/osh-android/releases", "show")</f>
        <v>show</v>
      </c>
      <c r="I4199">
        <v>1</v>
      </c>
      <c r="J4199">
        <v>0</v>
      </c>
      <c r="K4199">
        <v>0</v>
      </c>
      <c r="L4199">
        <v>0</v>
      </c>
      <c r="M4199" t="s">
        <v>17</v>
      </c>
    </row>
    <row r="4200" spans="1:13" hidden="1" x14ac:dyDescent="0.15">
      <c r="A4200" t="s">
        <v>13308</v>
      </c>
      <c r="B4200" t="s">
        <v>13309</v>
      </c>
      <c r="C4200" t="s">
        <v>13310</v>
      </c>
      <c r="D4200" t="s">
        <v>13305</v>
      </c>
      <c r="E4200">
        <v>133</v>
      </c>
      <c r="F4200" t="str">
        <f>HYPERLINK("https://github.com/MuntashirAkon/AppManager/issues/574", "show")</f>
        <v>show</v>
      </c>
      <c r="G4200" t="str">
        <f>HYPERLINK("https://github.com/MuntashirAkon/AppManager", "show")</f>
        <v>show</v>
      </c>
      <c r="H4200" t="str">
        <f>HYPERLINK("https://github.com/MuntashirAkon/AppManager/releases", "show")</f>
        <v>show</v>
      </c>
      <c r="I4200">
        <v>0</v>
      </c>
      <c r="J4200">
        <v>0</v>
      </c>
      <c r="K4200">
        <v>1</v>
      </c>
      <c r="L4200">
        <v>0</v>
      </c>
      <c r="M4200" t="s">
        <v>122</v>
      </c>
    </row>
    <row r="4201" spans="1:13" hidden="1" x14ac:dyDescent="0.15">
      <c r="A4201" t="s">
        <v>13311</v>
      </c>
      <c r="B4201" t="s">
        <v>13312</v>
      </c>
      <c r="C4201" t="s">
        <v>13313</v>
      </c>
      <c r="D4201" t="s">
        <v>13305</v>
      </c>
      <c r="E4201">
        <v>21</v>
      </c>
      <c r="F4201" t="str">
        <f>HYPERLINK("https://github.com/OpenTracksApp/OpenTracks/issues/942", "show")</f>
        <v>show</v>
      </c>
      <c r="G4201" t="str">
        <f>HYPERLINK("https://github.com/OpenTracksApp/OpenTracks", "show")</f>
        <v>show</v>
      </c>
      <c r="H4201" t="str">
        <f>HYPERLINK("https://github.com/OpenTracksApp/OpenTracks/releases", "show")</f>
        <v>show</v>
      </c>
      <c r="I4201">
        <v>0</v>
      </c>
      <c r="J4201">
        <v>0</v>
      </c>
      <c r="K4201">
        <v>0</v>
      </c>
      <c r="L4201">
        <v>0</v>
      </c>
      <c r="M4201" t="s">
        <v>43</v>
      </c>
    </row>
    <row r="4202" spans="1:13" hidden="1" x14ac:dyDescent="0.15">
      <c r="A4202" t="s">
        <v>13314</v>
      </c>
      <c r="B4202" t="s">
        <v>13315</v>
      </c>
      <c r="C4202" t="s">
        <v>13316</v>
      </c>
      <c r="D4202" t="s">
        <v>13305</v>
      </c>
      <c r="E4202">
        <v>190</v>
      </c>
      <c r="F4202" t="str">
        <f>HYPERLINK("https://github.com/capacitor-community/google-maps/issues/97", "show")</f>
        <v>show</v>
      </c>
      <c r="G4202" t="str">
        <f>HYPERLINK("https://github.com/capacitor-community/google-maps", "show")</f>
        <v>show</v>
      </c>
      <c r="H4202" t="str">
        <f>HYPERLINK("https://github.com/capacitor-community/google-maps/releases", "show")</f>
        <v>show</v>
      </c>
      <c r="I4202">
        <v>1</v>
      </c>
      <c r="J4202">
        <v>1</v>
      </c>
      <c r="K4202">
        <v>1</v>
      </c>
      <c r="L4202">
        <v>0</v>
      </c>
      <c r="M4202" t="s">
        <v>59</v>
      </c>
    </row>
    <row r="4203" spans="1:13" hidden="1" x14ac:dyDescent="0.15">
      <c r="A4203" t="s">
        <v>13317</v>
      </c>
      <c r="B4203" t="s">
        <v>13318</v>
      </c>
      <c r="C4203" t="s">
        <v>13319</v>
      </c>
      <c r="D4203" t="s">
        <v>13305</v>
      </c>
      <c r="E4203">
        <v>0</v>
      </c>
      <c r="F4203" t="str">
        <f>HYPERLINK("https://github.com/RelymeApp/RelymeAndroid/issues/1", "show")</f>
        <v>show</v>
      </c>
      <c r="G4203" t="str">
        <f>HYPERLINK("https://github.com/RelymeApp/RelymeAndroid", "show")</f>
        <v>show</v>
      </c>
      <c r="H4203" t="str">
        <f>HYPERLINK("https://github.com/RelymeApp/RelymeAndroid/releases", "show")</f>
        <v>show</v>
      </c>
      <c r="I4203">
        <v>1</v>
      </c>
      <c r="J4203">
        <v>0</v>
      </c>
      <c r="K4203">
        <v>0</v>
      </c>
      <c r="L4203">
        <v>0</v>
      </c>
      <c r="M4203" t="s">
        <v>17</v>
      </c>
    </row>
    <row r="4204" spans="1:13" hidden="1" x14ac:dyDescent="0.15">
      <c r="A4204" t="s">
        <v>13320</v>
      </c>
      <c r="B4204" t="s">
        <v>13321</v>
      </c>
      <c r="C4204" t="s">
        <v>13322</v>
      </c>
      <c r="D4204" t="s">
        <v>13305</v>
      </c>
      <c r="E4204">
        <v>2</v>
      </c>
      <c r="F4204" t="str">
        <f>HYPERLINK("https://github.com/nextcloud/android/issues/8951", "show")</f>
        <v>show</v>
      </c>
      <c r="G4204" t="str">
        <f>HYPERLINK("https://github.com/nextcloud/android", "show")</f>
        <v>show</v>
      </c>
      <c r="H4204" t="str">
        <f>HYPERLINK("https://github.com/nextcloud/android/releases", "show")</f>
        <v>show</v>
      </c>
      <c r="I4204">
        <v>1</v>
      </c>
      <c r="J4204">
        <v>1</v>
      </c>
      <c r="K4204">
        <v>1</v>
      </c>
      <c r="L4204">
        <v>0</v>
      </c>
      <c r="M4204" t="s">
        <v>59</v>
      </c>
    </row>
    <row r="4205" spans="1:13" hidden="1" x14ac:dyDescent="0.15">
      <c r="A4205" t="s">
        <v>13323</v>
      </c>
      <c r="B4205" t="s">
        <v>13324</v>
      </c>
      <c r="C4205" t="s">
        <v>13325</v>
      </c>
      <c r="D4205" t="s">
        <v>13326</v>
      </c>
      <c r="E4205">
        <v>5</v>
      </c>
      <c r="F4205" t="str">
        <f>HYPERLINK("https://github.com/TeamNewPipe/NewPipe/issues/7068", "show")</f>
        <v>show</v>
      </c>
      <c r="G4205" t="str">
        <f>HYPERLINK("https://github.com/TeamNewPipe/NewPipe", "show")</f>
        <v>show</v>
      </c>
      <c r="H4205" t="str">
        <f>HYPERLINK("https://github.com/TeamNewPipe/NewPipe/releases", "show")</f>
        <v>show</v>
      </c>
      <c r="I4205">
        <v>1</v>
      </c>
      <c r="J4205">
        <v>1</v>
      </c>
      <c r="K4205">
        <v>0</v>
      </c>
      <c r="L4205">
        <v>0</v>
      </c>
      <c r="M4205" t="s">
        <v>48</v>
      </c>
    </row>
    <row r="4206" spans="1:13" hidden="1" x14ac:dyDescent="0.15">
      <c r="A4206" t="s">
        <v>13327</v>
      </c>
      <c r="B4206" t="s">
        <v>13328</v>
      </c>
      <c r="C4206" t="s">
        <v>13329</v>
      </c>
      <c r="D4206" t="s">
        <v>13326</v>
      </c>
      <c r="E4206">
        <v>44</v>
      </c>
      <c r="F4206" t="str">
        <f>HYPERLINK("https://github.com/google/ExoPlayer/issues/9392", "show")</f>
        <v>show</v>
      </c>
      <c r="G4206" t="str">
        <f>HYPERLINK("https://github.com/google/ExoPlayer", "show")</f>
        <v>show</v>
      </c>
      <c r="H4206" t="str">
        <f>HYPERLINK("https://github.com/google/ExoPlayer/releases", "show")</f>
        <v>show</v>
      </c>
      <c r="I4206">
        <v>1</v>
      </c>
      <c r="J4206">
        <v>0</v>
      </c>
      <c r="K4206">
        <v>1</v>
      </c>
      <c r="L4206">
        <v>0</v>
      </c>
      <c r="M4206" t="s">
        <v>64</v>
      </c>
    </row>
    <row r="4207" spans="1:13" hidden="1" x14ac:dyDescent="0.15">
      <c r="A4207" t="s">
        <v>13330</v>
      </c>
      <c r="B4207" t="s">
        <v>13331</v>
      </c>
      <c r="C4207" t="s">
        <v>13332</v>
      </c>
      <c r="D4207" t="s">
        <v>13326</v>
      </c>
      <c r="E4207">
        <v>60</v>
      </c>
      <c r="F4207" t="str">
        <f>HYPERLINK("https://github.com/muxinc/mux-stats-sdk-exoplayer/issues/152", "show")</f>
        <v>show</v>
      </c>
      <c r="G4207" t="str">
        <f>HYPERLINK("https://github.com/muxinc/mux-stats-sdk-exoplayer", "show")</f>
        <v>show</v>
      </c>
      <c r="H4207" t="str">
        <f>HYPERLINK("https://github.com/muxinc/mux-stats-sdk-exoplayer/releases", "show")</f>
        <v>show</v>
      </c>
      <c r="I4207">
        <v>1</v>
      </c>
      <c r="J4207">
        <v>0</v>
      </c>
      <c r="K4207">
        <v>1</v>
      </c>
      <c r="L4207">
        <v>0</v>
      </c>
      <c r="M4207" t="s">
        <v>64</v>
      </c>
    </row>
    <row r="4208" spans="1:13" hidden="1" x14ac:dyDescent="0.15">
      <c r="A4208" t="s">
        <v>13333</v>
      </c>
      <c r="B4208" t="s">
        <v>13334</v>
      </c>
      <c r="C4208" t="s">
        <v>13335</v>
      </c>
      <c r="D4208" t="s">
        <v>13326</v>
      </c>
      <c r="E4208">
        <v>39</v>
      </c>
      <c r="F4208" t="str">
        <f>HYPERLINK("https://github.com/PojavLauncherTeam/PojavLauncher/issues/1988", "show")</f>
        <v>show</v>
      </c>
      <c r="G4208" t="str">
        <f>HYPERLINK("https://github.com/PojavLauncherTeam/PojavLauncher", "show")</f>
        <v>show</v>
      </c>
      <c r="H4208" t="str">
        <f>HYPERLINK("https://github.com/PojavLauncherTeam/PojavLauncher/releases", "show")</f>
        <v>show</v>
      </c>
      <c r="I4208">
        <v>0</v>
      </c>
      <c r="J4208">
        <v>0</v>
      </c>
      <c r="K4208">
        <v>0</v>
      </c>
      <c r="L4208">
        <v>0</v>
      </c>
      <c r="M4208" t="s">
        <v>43</v>
      </c>
    </row>
    <row r="4209" spans="1:13" hidden="1" x14ac:dyDescent="0.15">
      <c r="A4209" t="s">
        <v>13336</v>
      </c>
      <c r="B4209" t="s">
        <v>13337</v>
      </c>
      <c r="C4209" t="s">
        <v>13338</v>
      </c>
      <c r="D4209" t="s">
        <v>13339</v>
      </c>
      <c r="E4209">
        <v>0</v>
      </c>
      <c r="F4209" t="str">
        <f>HYPERLINK("https://github.com/Anuken/Mindustry/issues/5944", "show")</f>
        <v>show</v>
      </c>
      <c r="G4209" t="str">
        <f>HYPERLINK("https://github.com/Anuken/Mindustry", "show")</f>
        <v>show</v>
      </c>
      <c r="H4209" t="str">
        <f>HYPERLINK("https://github.com/Anuken/Mindustry/releases", "show")</f>
        <v>show</v>
      </c>
      <c r="I4209">
        <v>0</v>
      </c>
      <c r="J4209">
        <v>0</v>
      </c>
      <c r="K4209">
        <v>0</v>
      </c>
      <c r="L4209">
        <v>0</v>
      </c>
      <c r="M4209" t="s">
        <v>43</v>
      </c>
    </row>
    <row r="4210" spans="1:13" hidden="1" x14ac:dyDescent="0.15">
      <c r="A4210" t="s">
        <v>13340</v>
      </c>
      <c r="B4210" t="s">
        <v>13341</v>
      </c>
      <c r="C4210" t="s">
        <v>13342</v>
      </c>
      <c r="D4210" t="s">
        <v>13339</v>
      </c>
      <c r="E4210">
        <v>0</v>
      </c>
      <c r="F4210" t="str">
        <f>HYPERLINK("https://github.com/Anuken/Mindustry/issues/5941", "show")</f>
        <v>show</v>
      </c>
      <c r="G4210" t="str">
        <f>HYPERLINK("https://github.com/Anuken/Mindustry", "show")</f>
        <v>show</v>
      </c>
      <c r="H4210" t="str">
        <f>HYPERLINK("https://github.com/Anuken/Mindustry/releases", "show")</f>
        <v>show</v>
      </c>
      <c r="I4210">
        <v>1</v>
      </c>
      <c r="J4210">
        <v>1</v>
      </c>
      <c r="K4210">
        <v>1</v>
      </c>
      <c r="L4210">
        <v>0</v>
      </c>
      <c r="M4210" t="s">
        <v>59</v>
      </c>
    </row>
    <row r="4211" spans="1:13" hidden="1" x14ac:dyDescent="0.15">
      <c r="A4211" t="s">
        <v>13343</v>
      </c>
      <c r="B4211" t="s">
        <v>13344</v>
      </c>
      <c r="C4211" t="s">
        <v>13345</v>
      </c>
      <c r="D4211" t="s">
        <v>13339</v>
      </c>
      <c r="E4211">
        <v>1</v>
      </c>
      <c r="F4211" t="str">
        <f>HYPERLINK("https://github.com/PojavLauncherTeam/PojavLauncher/issues/1984", "show")</f>
        <v>show</v>
      </c>
      <c r="G4211" t="str">
        <f>HYPERLINK("https://github.com/PojavLauncherTeam/PojavLauncher", "show")</f>
        <v>show</v>
      </c>
      <c r="H4211" t="str">
        <f>HYPERLINK("https://github.com/PojavLauncherTeam/PojavLauncher/releases", "show")</f>
        <v>show</v>
      </c>
      <c r="I4211">
        <v>1</v>
      </c>
      <c r="J4211">
        <v>0</v>
      </c>
      <c r="K4211">
        <v>0</v>
      </c>
      <c r="L4211">
        <v>0</v>
      </c>
      <c r="M4211" t="s">
        <v>17</v>
      </c>
    </row>
    <row r="4212" spans="1:13" hidden="1" x14ac:dyDescent="0.15">
      <c r="A4212" t="s">
        <v>13346</v>
      </c>
      <c r="B4212" t="s">
        <v>13347</v>
      </c>
      <c r="C4212" t="s">
        <v>13348</v>
      </c>
      <c r="D4212" t="s">
        <v>13339</v>
      </c>
      <c r="E4212">
        <v>0</v>
      </c>
      <c r="F4212" t="str">
        <f>HYPERLINK("https://github.com/leandrosimoes/react-native-android-notification-listener/issues/27", "show")</f>
        <v>show</v>
      </c>
      <c r="G4212" t="str">
        <f>HYPERLINK("https://github.com/leandrosimoes/react-native-android-notification-listener", "show")</f>
        <v>show</v>
      </c>
      <c r="H4212" t="str">
        <f>HYPERLINK("https://github.com/leandrosimoes/react-native-android-notification-listener/releases", "show")</f>
        <v>show</v>
      </c>
      <c r="I4212">
        <v>0</v>
      </c>
      <c r="J4212">
        <v>0</v>
      </c>
      <c r="K4212">
        <v>0</v>
      </c>
      <c r="L4212">
        <v>1</v>
      </c>
      <c r="M4212" t="s">
        <v>581</v>
      </c>
    </row>
    <row r="4213" spans="1:13" x14ac:dyDescent="0.15">
      <c r="A4213" t="s">
        <v>13349</v>
      </c>
      <c r="B4213" t="s">
        <v>13350</v>
      </c>
      <c r="C4213" t="s">
        <v>13351</v>
      </c>
      <c r="D4213" t="s">
        <v>13339</v>
      </c>
      <c r="E4213">
        <v>1</v>
      </c>
      <c r="F4213" t="str">
        <f>HYPERLINK("https://github.com/PojavLauncherTeam/PojavLauncher/issues/1977", "show")</f>
        <v>show</v>
      </c>
      <c r="G4213" t="str">
        <f>HYPERLINK("https://github.com/PojavLauncherTeam/PojavLauncher", "show")</f>
        <v>show</v>
      </c>
      <c r="H4213" t="str">
        <f>HYPERLINK("https://github.com/PojavLauncherTeam/PojavLauncher/releases", "show")</f>
        <v>show</v>
      </c>
      <c r="I4213">
        <v>0</v>
      </c>
      <c r="J4213">
        <v>1</v>
      </c>
      <c r="K4213">
        <v>0</v>
      </c>
      <c r="L4213">
        <v>0</v>
      </c>
      <c r="M4213" t="s">
        <v>139</v>
      </c>
    </row>
    <row r="4214" spans="1:13" hidden="1" x14ac:dyDescent="0.15">
      <c r="A4214" t="s">
        <v>13352</v>
      </c>
      <c r="B4214" t="s">
        <v>13353</v>
      </c>
      <c r="C4214" t="s">
        <v>13354</v>
      </c>
      <c r="D4214" t="s">
        <v>13355</v>
      </c>
      <c r="E4214">
        <v>15</v>
      </c>
      <c r="F4214" t="str">
        <f>HYPERLINK("https://github.com/cgeo/cgeo/issues/11628", "show")</f>
        <v>show</v>
      </c>
      <c r="G4214" t="str">
        <f>HYPERLINK("https://github.com/cgeo/cgeo", "show")</f>
        <v>show</v>
      </c>
      <c r="H4214" t="str">
        <f>HYPERLINK("https://github.com/cgeo/cgeo/releases", "show")</f>
        <v>show</v>
      </c>
      <c r="I4214">
        <v>1</v>
      </c>
      <c r="J4214">
        <v>0</v>
      </c>
      <c r="K4214">
        <v>1</v>
      </c>
      <c r="L4214">
        <v>0</v>
      </c>
      <c r="M4214" t="s">
        <v>64</v>
      </c>
    </row>
    <row r="4215" spans="1:13" hidden="1" x14ac:dyDescent="0.15">
      <c r="A4215" t="s">
        <v>13356</v>
      </c>
      <c r="B4215" t="s">
        <v>13357</v>
      </c>
      <c r="C4215" t="s">
        <v>13358</v>
      </c>
      <c r="D4215" t="s">
        <v>13355</v>
      </c>
      <c r="E4215">
        <v>0</v>
      </c>
      <c r="F4215" t="str">
        <f>HYPERLINK("https://github.com/nextcloud/android/issues/8938", "show")</f>
        <v>show</v>
      </c>
      <c r="G4215" t="str">
        <f>HYPERLINK("https://github.com/nextcloud/android", "show")</f>
        <v>show</v>
      </c>
      <c r="H4215" t="str">
        <f>HYPERLINK("https://github.com/nextcloud/android/releases", "show")</f>
        <v>show</v>
      </c>
      <c r="I4215">
        <v>1</v>
      </c>
      <c r="J4215">
        <v>1</v>
      </c>
      <c r="K4215">
        <v>0</v>
      </c>
      <c r="L4215">
        <v>0</v>
      </c>
      <c r="M4215" t="s">
        <v>48</v>
      </c>
    </row>
    <row r="4216" spans="1:13" hidden="1" x14ac:dyDescent="0.15">
      <c r="A4216" t="s">
        <v>13359</v>
      </c>
      <c r="B4216" t="s">
        <v>13360</v>
      </c>
      <c r="C4216" t="s">
        <v>13361</v>
      </c>
      <c r="D4216" t="s">
        <v>13355</v>
      </c>
      <c r="E4216">
        <v>2</v>
      </c>
      <c r="F4216" t="str">
        <f>HYPERLINK("https://github.com/Benji377/SocyMusic/issues/189", "show")</f>
        <v>show</v>
      </c>
      <c r="G4216" t="str">
        <f>HYPERLINK("https://github.com/Benji377/SocyMusic", "show")</f>
        <v>show</v>
      </c>
      <c r="H4216" t="str">
        <f>HYPERLINK("https://github.com/Benji377/SocyMusic/releases", "show")</f>
        <v>show</v>
      </c>
      <c r="I4216">
        <v>0</v>
      </c>
      <c r="J4216">
        <v>0</v>
      </c>
      <c r="K4216">
        <v>0</v>
      </c>
      <c r="L4216">
        <v>0</v>
      </c>
      <c r="M4216" t="s">
        <v>43</v>
      </c>
    </row>
    <row r="4217" spans="1:13" hidden="1" x14ac:dyDescent="0.15">
      <c r="A4217" t="s">
        <v>13362</v>
      </c>
      <c r="B4217" t="s">
        <v>13363</v>
      </c>
      <c r="C4217" t="s">
        <v>13364</v>
      </c>
      <c r="D4217" t="s">
        <v>13365</v>
      </c>
      <c r="E4217">
        <v>3</v>
      </c>
      <c r="F4217" t="str">
        <f>HYPERLINK("https://github.com/nextcloud/android/issues/8937", "show")</f>
        <v>show</v>
      </c>
      <c r="G4217" t="str">
        <f>HYPERLINK("https://github.com/nextcloud/android", "show")</f>
        <v>show</v>
      </c>
      <c r="H4217" t="str">
        <f>HYPERLINK("https://github.com/nextcloud/android/releases", "show")</f>
        <v>show</v>
      </c>
      <c r="I4217">
        <v>0</v>
      </c>
      <c r="J4217">
        <v>1</v>
      </c>
      <c r="K4217">
        <v>1</v>
      </c>
      <c r="L4217">
        <v>0</v>
      </c>
      <c r="M4217" t="s">
        <v>699</v>
      </c>
    </row>
    <row r="4218" spans="1:13" hidden="1" x14ac:dyDescent="0.15">
      <c r="A4218" t="s">
        <v>13366</v>
      </c>
      <c r="B4218" t="s">
        <v>13367</v>
      </c>
      <c r="C4218" t="s">
        <v>13368</v>
      </c>
      <c r="D4218" t="s">
        <v>13365</v>
      </c>
      <c r="E4218">
        <v>33</v>
      </c>
      <c r="F4218" t="str">
        <f>HYPERLINK("https://github.com/Azure/azure-sdk-for-android/issues/862", "show")</f>
        <v>show</v>
      </c>
      <c r="G4218" t="str">
        <f>HYPERLINK("https://github.com/Azure/azure-sdk-for-android", "show")</f>
        <v>show</v>
      </c>
      <c r="H4218" t="str">
        <f>HYPERLINK("https://github.com/Azure/azure-sdk-for-android/releases", "show")</f>
        <v>show</v>
      </c>
      <c r="I4218">
        <v>1</v>
      </c>
      <c r="J4218">
        <v>0</v>
      </c>
      <c r="K4218">
        <v>1</v>
      </c>
      <c r="L4218">
        <v>0</v>
      </c>
      <c r="M4218" t="s">
        <v>64</v>
      </c>
    </row>
    <row r="4219" spans="1:13" hidden="1" x14ac:dyDescent="0.15">
      <c r="A4219" t="s">
        <v>13369</v>
      </c>
      <c r="B4219" t="s">
        <v>13370</v>
      </c>
      <c r="C4219" t="s">
        <v>13371</v>
      </c>
      <c r="D4219" t="s">
        <v>13365</v>
      </c>
      <c r="E4219">
        <v>1</v>
      </c>
      <c r="F4219" t="str">
        <f>HYPERLINK("https://github.com/Benji377/SocyMusic/issues/187", "show")</f>
        <v>show</v>
      </c>
      <c r="G4219" t="str">
        <f>HYPERLINK("https://github.com/Benji377/SocyMusic", "show")</f>
        <v>show</v>
      </c>
      <c r="H4219" t="str">
        <f>HYPERLINK("https://github.com/Benji377/SocyMusic/releases", "show")</f>
        <v>show</v>
      </c>
      <c r="I4219">
        <v>1</v>
      </c>
      <c r="J4219">
        <v>0</v>
      </c>
      <c r="K4219">
        <v>0</v>
      </c>
      <c r="L4219">
        <v>0</v>
      </c>
      <c r="M4219" t="s">
        <v>17</v>
      </c>
    </row>
    <row r="4220" spans="1:13" hidden="1" x14ac:dyDescent="0.15">
      <c r="A4220" t="s">
        <v>13372</v>
      </c>
      <c r="B4220" t="s">
        <v>13373</v>
      </c>
      <c r="C4220" t="s">
        <v>13374</v>
      </c>
      <c r="D4220" t="s">
        <v>13365</v>
      </c>
      <c r="E4220">
        <v>0</v>
      </c>
      <c r="F4220" t="str">
        <f>HYPERLINK("https://github.com/PojavLauncherTeam/PojavLauncher/issues/1964", "show")</f>
        <v>show</v>
      </c>
      <c r="G4220" t="str">
        <f>HYPERLINK("https://github.com/PojavLauncherTeam/PojavLauncher", "show")</f>
        <v>show</v>
      </c>
      <c r="H4220" t="str">
        <f>HYPERLINK("https://github.com/PojavLauncherTeam/PojavLauncher/releases", "show")</f>
        <v>show</v>
      </c>
      <c r="I4220">
        <v>1</v>
      </c>
      <c r="J4220">
        <v>0</v>
      </c>
      <c r="K4220">
        <v>0</v>
      </c>
      <c r="L4220">
        <v>0</v>
      </c>
      <c r="M4220" t="s">
        <v>17</v>
      </c>
    </row>
    <row r="4221" spans="1:13" hidden="1" x14ac:dyDescent="0.15">
      <c r="A4221" t="s">
        <v>13375</v>
      </c>
      <c r="B4221" t="s">
        <v>13376</v>
      </c>
      <c r="C4221" t="s">
        <v>13377</v>
      </c>
      <c r="D4221" t="s">
        <v>13365</v>
      </c>
      <c r="E4221">
        <v>0</v>
      </c>
      <c r="F4221" t="str">
        <f>HYPERLINK("https://github.com/Anuken/Mindustry/issues/5928", "show")</f>
        <v>show</v>
      </c>
      <c r="G4221" t="str">
        <f>HYPERLINK("https://github.com/Anuken/Mindustry", "show")</f>
        <v>show</v>
      </c>
      <c r="H4221" t="str">
        <f>HYPERLINK("https://github.com/Anuken/Mindustry/releases", "show")</f>
        <v>show</v>
      </c>
      <c r="I4221">
        <v>1</v>
      </c>
      <c r="J4221">
        <v>0</v>
      </c>
      <c r="K4221">
        <v>0</v>
      </c>
      <c r="L4221">
        <v>0</v>
      </c>
      <c r="M4221" t="s">
        <v>17</v>
      </c>
    </row>
    <row r="4222" spans="1:13" hidden="1" x14ac:dyDescent="0.15">
      <c r="A4222" t="s">
        <v>13378</v>
      </c>
      <c r="B4222" t="s">
        <v>13379</v>
      </c>
      <c r="C4222" t="s">
        <v>13380</v>
      </c>
      <c r="D4222" t="s">
        <v>13381</v>
      </c>
      <c r="E4222">
        <v>1</v>
      </c>
      <c r="F4222" t="str">
        <f>HYPERLINK("https://github.com/myxor/WhoRules/issues/14", "show")</f>
        <v>show</v>
      </c>
      <c r="G4222" t="str">
        <f>HYPERLINK("https://github.com/myxor/WhoRules", "show")</f>
        <v>show</v>
      </c>
      <c r="H4222" t="str">
        <f>HYPERLINK("https://github.com/myxor/WhoRules/releases", "show")</f>
        <v>show</v>
      </c>
      <c r="I4222">
        <v>1</v>
      </c>
      <c r="J4222">
        <v>0</v>
      </c>
      <c r="K4222">
        <v>0</v>
      </c>
      <c r="L4222">
        <v>0</v>
      </c>
      <c r="M4222" t="s">
        <v>17</v>
      </c>
    </row>
    <row r="4223" spans="1:13" hidden="1" x14ac:dyDescent="0.15">
      <c r="A4223" t="s">
        <v>13382</v>
      </c>
      <c r="B4223" t="s">
        <v>13383</v>
      </c>
      <c r="C4223" t="s">
        <v>13384</v>
      </c>
      <c r="D4223" t="s">
        <v>13381</v>
      </c>
      <c r="E4223">
        <v>214</v>
      </c>
      <c r="F4223" t="str">
        <f>HYPERLINK("https://github.com/MuntashirAkon/AppManager/issues/569", "show")</f>
        <v>show</v>
      </c>
      <c r="G4223" t="str">
        <f>HYPERLINK("https://github.com/MuntashirAkon/AppManager", "show")</f>
        <v>show</v>
      </c>
      <c r="H4223" t="str">
        <f>HYPERLINK("https://github.com/MuntashirAkon/AppManager/releases", "show")</f>
        <v>show</v>
      </c>
      <c r="I4223">
        <v>1</v>
      </c>
      <c r="J4223">
        <v>1</v>
      </c>
      <c r="K4223">
        <v>0</v>
      </c>
      <c r="L4223">
        <v>0</v>
      </c>
      <c r="M4223" t="s">
        <v>48</v>
      </c>
    </row>
    <row r="4224" spans="1:13" hidden="1" x14ac:dyDescent="0.15">
      <c r="A4224" t="s">
        <v>13385</v>
      </c>
      <c r="B4224" t="s">
        <v>13386</v>
      </c>
      <c r="C4224" t="s">
        <v>13387</v>
      </c>
      <c r="D4224" t="s">
        <v>13381</v>
      </c>
      <c r="E4224">
        <v>0</v>
      </c>
      <c r="F4224" t="str">
        <f>HYPERLINK("https://github.com/TeamNewPipe/NewPipe/issues/7041", "show")</f>
        <v>show</v>
      </c>
      <c r="G4224" t="str">
        <f>HYPERLINK("https://github.com/TeamNewPipe/NewPipe", "show")</f>
        <v>show</v>
      </c>
      <c r="H4224" t="str">
        <f>HYPERLINK("https://github.com/TeamNewPipe/NewPipe/releases", "show")</f>
        <v>show</v>
      </c>
      <c r="I4224">
        <v>1</v>
      </c>
      <c r="J4224">
        <v>1</v>
      </c>
      <c r="K4224">
        <v>1</v>
      </c>
      <c r="L4224">
        <v>0</v>
      </c>
      <c r="M4224" t="s">
        <v>59</v>
      </c>
    </row>
    <row r="4225" spans="1:13" hidden="1" x14ac:dyDescent="0.15">
      <c r="A4225" t="s">
        <v>13388</v>
      </c>
      <c r="B4225" t="s">
        <v>13389</v>
      </c>
      <c r="C4225" t="s">
        <v>13390</v>
      </c>
      <c r="D4225" t="s">
        <v>13381</v>
      </c>
      <c r="E4225">
        <v>47</v>
      </c>
      <c r="F4225" t="str">
        <f>HYPERLINK("https://github.com/nextcloud/android/issues/8926", "show")</f>
        <v>show</v>
      </c>
      <c r="G4225" t="str">
        <f>HYPERLINK("https://github.com/nextcloud/android", "show")</f>
        <v>show</v>
      </c>
      <c r="H4225" t="str">
        <f>HYPERLINK("https://github.com/nextcloud/android/releases", "show")</f>
        <v>show</v>
      </c>
      <c r="I4225">
        <v>1</v>
      </c>
      <c r="J4225">
        <v>1</v>
      </c>
      <c r="K4225">
        <v>1</v>
      </c>
      <c r="L4225">
        <v>0</v>
      </c>
      <c r="M4225" t="s">
        <v>59</v>
      </c>
    </row>
    <row r="4226" spans="1:13" hidden="1" x14ac:dyDescent="0.15">
      <c r="A4226" t="s">
        <v>13391</v>
      </c>
      <c r="B4226" t="s">
        <v>13392</v>
      </c>
      <c r="C4226" t="s">
        <v>13393</v>
      </c>
      <c r="D4226" t="s">
        <v>13394</v>
      </c>
      <c r="E4226">
        <v>20</v>
      </c>
      <c r="F4226" t="str">
        <f>HYPERLINK("https://github.com/material-components/material-components-android/issues/2352", "show")</f>
        <v>show</v>
      </c>
      <c r="G4226" t="str">
        <f>HYPERLINK("https://github.com/material-components/material-components-android", "show")</f>
        <v>show</v>
      </c>
      <c r="H4226" t="str">
        <f>HYPERLINK("https://github.com/material-components/material-components-android/releases", "show")</f>
        <v>show</v>
      </c>
      <c r="I4226">
        <v>1</v>
      </c>
      <c r="J4226">
        <v>0</v>
      </c>
      <c r="K4226">
        <v>1</v>
      </c>
      <c r="L4226">
        <v>0</v>
      </c>
      <c r="M4226" t="s">
        <v>64</v>
      </c>
    </row>
    <row r="4227" spans="1:13" x14ac:dyDescent="0.15">
      <c r="A4227" t="s">
        <v>13395</v>
      </c>
      <c r="B4227" t="s">
        <v>13396</v>
      </c>
      <c r="C4227" t="s">
        <v>13397</v>
      </c>
      <c r="D4227" t="s">
        <v>13394</v>
      </c>
      <c r="E4227">
        <v>0</v>
      </c>
      <c r="F4227" t="str">
        <f>HYPERLINK("https://github.com/PojavLauncherTeam/PojavLauncher/issues/1952", "show")</f>
        <v>show</v>
      </c>
      <c r="G4227" t="str">
        <f>HYPERLINK("https://github.com/PojavLauncherTeam/PojavLauncher", "show")</f>
        <v>show</v>
      </c>
      <c r="H4227" t="str">
        <f>HYPERLINK("https://github.com/PojavLauncherTeam/PojavLauncher/releases", "show")</f>
        <v>show</v>
      </c>
      <c r="I4227">
        <v>0</v>
      </c>
      <c r="J4227">
        <v>1</v>
      </c>
      <c r="K4227">
        <v>0</v>
      </c>
      <c r="L4227">
        <v>0</v>
      </c>
      <c r="M4227" t="s">
        <v>139</v>
      </c>
    </row>
    <row r="4228" spans="1:13" hidden="1" x14ac:dyDescent="0.15">
      <c r="A4228" t="s">
        <v>13398</v>
      </c>
      <c r="B4228" t="s">
        <v>13399</v>
      </c>
      <c r="C4228" t="s">
        <v>13400</v>
      </c>
      <c r="D4228" t="s">
        <v>13394</v>
      </c>
      <c r="E4228">
        <v>8</v>
      </c>
      <c r="F4228" t="str">
        <f>HYPERLINK("https://github.com/opensrp/opensrp-client-path-zeir/issues/201", "show")</f>
        <v>show</v>
      </c>
      <c r="G4228" t="str">
        <f>HYPERLINK("https://github.com/opensrp/opensrp-client-path-zeir", "show")</f>
        <v>show</v>
      </c>
      <c r="H4228" t="str">
        <f>HYPERLINK("https://github.com/opensrp/opensrp-client-path-zeir/releases", "show")</f>
        <v>show</v>
      </c>
      <c r="I4228">
        <v>0</v>
      </c>
      <c r="J4228">
        <v>0</v>
      </c>
      <c r="K4228">
        <v>0</v>
      </c>
      <c r="L4228">
        <v>0</v>
      </c>
      <c r="M4228" t="s">
        <v>43</v>
      </c>
    </row>
    <row r="4229" spans="1:13" hidden="1" x14ac:dyDescent="0.15">
      <c r="A4229" t="s">
        <v>13401</v>
      </c>
      <c r="B4229" t="s">
        <v>13402</v>
      </c>
      <c r="C4229" t="s">
        <v>13403</v>
      </c>
      <c r="D4229" t="s">
        <v>13394</v>
      </c>
      <c r="E4229">
        <v>1</v>
      </c>
      <c r="F4229" t="str">
        <f>HYPERLINK("https://github.com/LSPosed/LSPosed/issues/1034", "show")</f>
        <v>show</v>
      </c>
      <c r="G4229" t="str">
        <f>HYPERLINK("https://github.com/LSPosed/LSPosed", "show")</f>
        <v>show</v>
      </c>
      <c r="H4229" t="str">
        <f>HYPERLINK("https://github.com/LSPosed/LSPosed/releases", "show")</f>
        <v>show</v>
      </c>
      <c r="I4229">
        <v>1</v>
      </c>
      <c r="J4229">
        <v>0</v>
      </c>
      <c r="K4229">
        <v>1</v>
      </c>
      <c r="L4229">
        <v>0</v>
      </c>
      <c r="M4229" t="s">
        <v>64</v>
      </c>
    </row>
    <row r="4230" spans="1:13" hidden="1" x14ac:dyDescent="0.15">
      <c r="A4230" t="s">
        <v>13404</v>
      </c>
      <c r="B4230" t="s">
        <v>13405</v>
      </c>
      <c r="C4230" t="s">
        <v>13406</v>
      </c>
      <c r="D4230" t="s">
        <v>13394</v>
      </c>
      <c r="E4230">
        <v>0</v>
      </c>
      <c r="F4230" t="str">
        <f>HYPERLINK("https://github.com/hzi-braunschweig/SORMAS-Project/issues/6571", "show")</f>
        <v>show</v>
      </c>
      <c r="G4230" t="str">
        <f>HYPERLINK("https://github.com/hzi-braunschweig/SORMAS-Project", "show")</f>
        <v>show</v>
      </c>
      <c r="H4230" t="str">
        <f>HYPERLINK("https://github.com/hzi-braunschweig/SORMAS-Project/releases", "show")</f>
        <v>show</v>
      </c>
      <c r="I4230">
        <v>1</v>
      </c>
      <c r="J4230">
        <v>1</v>
      </c>
      <c r="K4230">
        <v>0</v>
      </c>
      <c r="L4230">
        <v>1</v>
      </c>
      <c r="M4230" t="s">
        <v>1894</v>
      </c>
    </row>
    <row r="4231" spans="1:13" hidden="1" x14ac:dyDescent="0.15">
      <c r="A4231" t="s">
        <v>13407</v>
      </c>
      <c r="B4231" t="s">
        <v>13408</v>
      </c>
      <c r="C4231" t="s">
        <v>13409</v>
      </c>
      <c r="D4231" t="s">
        <v>13410</v>
      </c>
      <c r="E4231">
        <v>2</v>
      </c>
      <c r="F4231" t="str">
        <f>HYPERLINK("https://github.com/nextcloud/android/issues/8920", "show")</f>
        <v>show</v>
      </c>
      <c r="G4231" t="str">
        <f>HYPERLINK("https://github.com/nextcloud/android", "show")</f>
        <v>show</v>
      </c>
      <c r="H4231" t="str">
        <f>HYPERLINK("https://github.com/nextcloud/android/releases", "show")</f>
        <v>show</v>
      </c>
      <c r="I4231">
        <v>0</v>
      </c>
      <c r="J4231">
        <v>1</v>
      </c>
      <c r="K4231">
        <v>1</v>
      </c>
      <c r="L4231">
        <v>1</v>
      </c>
      <c r="M4231" t="s">
        <v>427</v>
      </c>
    </row>
    <row r="4232" spans="1:13" hidden="1" x14ac:dyDescent="0.15">
      <c r="A4232" t="s">
        <v>13411</v>
      </c>
      <c r="B4232" t="s">
        <v>13412</v>
      </c>
      <c r="C4232" t="s">
        <v>13413</v>
      </c>
      <c r="D4232" t="s">
        <v>13410</v>
      </c>
      <c r="E4232">
        <v>0</v>
      </c>
      <c r="F4232" t="str">
        <f>HYPERLINK("https://github.com/TeamNewPipe/NewPipe/issues/7034", "show")</f>
        <v>show</v>
      </c>
      <c r="G4232" t="str">
        <f>HYPERLINK("https://github.com/TeamNewPipe/NewPipe", "show")</f>
        <v>show</v>
      </c>
      <c r="H4232" t="str">
        <f>HYPERLINK("https://github.com/TeamNewPipe/NewPipe/releases", "show")</f>
        <v>show</v>
      </c>
      <c r="I4232">
        <v>1</v>
      </c>
      <c r="J4232">
        <v>1</v>
      </c>
      <c r="K4232">
        <v>0</v>
      </c>
      <c r="L4232">
        <v>0</v>
      </c>
      <c r="M4232" t="s">
        <v>48</v>
      </c>
    </row>
    <row r="4233" spans="1:13" hidden="1" x14ac:dyDescent="0.15">
      <c r="A4233" t="s">
        <v>13414</v>
      </c>
      <c r="B4233" t="s">
        <v>13415</v>
      </c>
      <c r="C4233" t="s">
        <v>13416</v>
      </c>
      <c r="D4233" t="s">
        <v>13410</v>
      </c>
      <c r="E4233">
        <v>100</v>
      </c>
      <c r="F4233" t="str">
        <f>HYPERLINK("https://github.com/nextcloud/android/issues/8918", "show")</f>
        <v>show</v>
      </c>
      <c r="G4233" t="str">
        <f>HYPERLINK("https://github.com/nextcloud/android", "show")</f>
        <v>show</v>
      </c>
      <c r="H4233" t="str">
        <f>HYPERLINK("https://github.com/nextcloud/android/releases", "show")</f>
        <v>show</v>
      </c>
      <c r="I4233">
        <v>1</v>
      </c>
      <c r="J4233">
        <v>1</v>
      </c>
      <c r="K4233">
        <v>0</v>
      </c>
      <c r="L4233">
        <v>0</v>
      </c>
      <c r="M4233" t="s">
        <v>48</v>
      </c>
    </row>
    <row r="4234" spans="1:13" hidden="1" x14ac:dyDescent="0.15">
      <c r="A4234" t="s">
        <v>13417</v>
      </c>
      <c r="B4234" t="s">
        <v>13418</v>
      </c>
      <c r="C4234" t="s">
        <v>13419</v>
      </c>
      <c r="D4234" t="s">
        <v>13410</v>
      </c>
      <c r="E4234">
        <v>7</v>
      </c>
      <c r="F4234" t="str">
        <f>HYPERLINK("https://github.com/hzi-braunschweig/SORMAS-Project/issues/6553", "show")</f>
        <v>show</v>
      </c>
      <c r="G4234" t="str">
        <f>HYPERLINK("https://github.com/hzi-braunschweig/SORMAS-Project", "show")</f>
        <v>show</v>
      </c>
      <c r="H4234" t="str">
        <f>HYPERLINK("https://github.com/hzi-braunschweig/SORMAS-Project/releases", "show")</f>
        <v>show</v>
      </c>
      <c r="I4234">
        <v>1</v>
      </c>
      <c r="J4234">
        <v>1</v>
      </c>
      <c r="K4234">
        <v>0</v>
      </c>
      <c r="L4234">
        <v>1</v>
      </c>
      <c r="M4234" t="s">
        <v>1894</v>
      </c>
    </row>
    <row r="4235" spans="1:13" hidden="1" x14ac:dyDescent="0.15">
      <c r="A4235" t="s">
        <v>13420</v>
      </c>
      <c r="B4235" t="s">
        <v>13421</v>
      </c>
      <c r="C4235" t="s">
        <v>13422</v>
      </c>
      <c r="D4235" t="s">
        <v>13423</v>
      </c>
      <c r="E4235">
        <v>0</v>
      </c>
      <c r="F4235" t="str">
        <f>HYPERLINK("https://github.com/PojavLauncherTeam/PojavLauncher/issues/1934", "show")</f>
        <v>show</v>
      </c>
      <c r="G4235" t="str">
        <f>HYPERLINK("https://github.com/PojavLauncherTeam/PojavLauncher", "show")</f>
        <v>show</v>
      </c>
      <c r="H4235" t="str">
        <f>HYPERLINK("https://github.com/PojavLauncherTeam/PojavLauncher/releases", "show")</f>
        <v>show</v>
      </c>
      <c r="I4235">
        <v>1</v>
      </c>
      <c r="J4235">
        <v>1</v>
      </c>
      <c r="K4235">
        <v>0</v>
      </c>
      <c r="L4235">
        <v>0</v>
      </c>
      <c r="M4235" t="s">
        <v>48</v>
      </c>
    </row>
    <row r="4236" spans="1:13" hidden="1" x14ac:dyDescent="0.15">
      <c r="A4236" t="s">
        <v>13424</v>
      </c>
      <c r="B4236" t="s">
        <v>10882</v>
      </c>
      <c r="C4236" t="s">
        <v>13422</v>
      </c>
      <c r="D4236" t="s">
        <v>13423</v>
      </c>
      <c r="E4236">
        <v>0</v>
      </c>
      <c r="F4236" t="str">
        <f>HYPERLINK("https://github.com/PojavLauncherTeam/PojavLauncher/issues/1933", "show")</f>
        <v>show</v>
      </c>
      <c r="G4236" t="str">
        <f>HYPERLINK("https://github.com/PojavLauncherTeam/PojavLauncher", "show")</f>
        <v>show</v>
      </c>
      <c r="H4236" t="str">
        <f>HYPERLINK("https://github.com/PojavLauncherTeam/PojavLauncher/releases", "show")</f>
        <v>show</v>
      </c>
      <c r="I4236">
        <v>1</v>
      </c>
      <c r="J4236">
        <v>1</v>
      </c>
      <c r="K4236">
        <v>0</v>
      </c>
      <c r="L4236">
        <v>0</v>
      </c>
      <c r="M4236" t="s">
        <v>48</v>
      </c>
    </row>
    <row r="4237" spans="1:13" hidden="1" x14ac:dyDescent="0.15">
      <c r="A4237" t="s">
        <v>13425</v>
      </c>
      <c r="B4237" t="s">
        <v>13426</v>
      </c>
      <c r="C4237" t="s">
        <v>13427</v>
      </c>
      <c r="D4237" t="s">
        <v>13423</v>
      </c>
      <c r="E4237">
        <v>150</v>
      </c>
      <c r="F4237" t="str">
        <f>HYPERLINK("https://github.com/commons-app/apps-android-commons/issues/4594", "show")</f>
        <v>show</v>
      </c>
      <c r="G4237" t="str">
        <f>HYPERLINK("https://github.com/commons-app/apps-android-commons", "show")</f>
        <v>show</v>
      </c>
      <c r="H4237" t="str">
        <f>HYPERLINK("https://github.com/commons-app/apps-android-commons/releases", "show")</f>
        <v>show</v>
      </c>
      <c r="I4237">
        <v>1</v>
      </c>
      <c r="J4237">
        <v>1</v>
      </c>
      <c r="K4237">
        <v>1</v>
      </c>
      <c r="L4237">
        <v>1</v>
      </c>
      <c r="M4237" t="s">
        <v>2875</v>
      </c>
    </row>
    <row r="4238" spans="1:13" hidden="1" x14ac:dyDescent="0.15">
      <c r="A4238" t="s">
        <v>13428</v>
      </c>
      <c r="B4238" t="s">
        <v>13429</v>
      </c>
      <c r="C4238" t="s">
        <v>13430</v>
      </c>
      <c r="D4238" t="s">
        <v>13423</v>
      </c>
      <c r="E4238">
        <v>1</v>
      </c>
      <c r="F4238" t="str">
        <f>HYPERLINK("https://github.com/TeamNewPipe/NewPipe/issues/7021", "show")</f>
        <v>show</v>
      </c>
      <c r="G4238" t="str">
        <f>HYPERLINK("https://github.com/TeamNewPipe/NewPipe", "show")</f>
        <v>show</v>
      </c>
      <c r="H4238" t="str">
        <f>HYPERLINK("https://github.com/TeamNewPipe/NewPipe/releases", "show")</f>
        <v>show</v>
      </c>
      <c r="I4238">
        <v>1</v>
      </c>
      <c r="J4238">
        <v>1</v>
      </c>
      <c r="K4238">
        <v>0</v>
      </c>
      <c r="L4238">
        <v>0</v>
      </c>
      <c r="M4238" t="s">
        <v>48</v>
      </c>
    </row>
    <row r="4239" spans="1:13" hidden="1" x14ac:dyDescent="0.15">
      <c r="A4239" t="s">
        <v>13431</v>
      </c>
      <c r="B4239" t="s">
        <v>13432</v>
      </c>
      <c r="C4239" t="s">
        <v>13433</v>
      </c>
      <c r="D4239" t="s">
        <v>13434</v>
      </c>
      <c r="E4239">
        <v>0</v>
      </c>
      <c r="F4239" t="str">
        <f>HYPERLINK("https://github.com/Anuken/Mindustry/issues/5896", "show")</f>
        <v>show</v>
      </c>
      <c r="G4239" t="str">
        <f>HYPERLINK("https://github.com/Anuken/Mindustry", "show")</f>
        <v>show</v>
      </c>
      <c r="H4239" t="str">
        <f>HYPERLINK("https://github.com/Anuken/Mindustry/releases", "show")</f>
        <v>show</v>
      </c>
      <c r="I4239">
        <v>1</v>
      </c>
      <c r="J4239">
        <v>1</v>
      </c>
      <c r="K4239">
        <v>0</v>
      </c>
      <c r="L4239">
        <v>0</v>
      </c>
      <c r="M4239" t="s">
        <v>48</v>
      </c>
    </row>
    <row r="4240" spans="1:13" hidden="1" x14ac:dyDescent="0.15">
      <c r="A4240" t="s">
        <v>13435</v>
      </c>
      <c r="B4240" t="s">
        <v>13436</v>
      </c>
      <c r="C4240" t="s">
        <v>13437</v>
      </c>
      <c r="D4240" t="s">
        <v>13434</v>
      </c>
      <c r="E4240">
        <v>4</v>
      </c>
      <c r="F4240" t="str">
        <f>HYPERLINK("https://github.com/nextcloud/android/issues/8912", "show")</f>
        <v>show</v>
      </c>
      <c r="G4240" t="str">
        <f>HYPERLINK("https://github.com/nextcloud/android", "show")</f>
        <v>show</v>
      </c>
      <c r="H4240" t="str">
        <f>HYPERLINK("https://github.com/nextcloud/android/releases", "show")</f>
        <v>show</v>
      </c>
      <c r="I4240">
        <v>0</v>
      </c>
      <c r="J4240">
        <v>1</v>
      </c>
      <c r="K4240">
        <v>1</v>
      </c>
      <c r="L4240">
        <v>0</v>
      </c>
      <c r="M4240" t="s">
        <v>699</v>
      </c>
    </row>
    <row r="4241" spans="1:13" hidden="1" x14ac:dyDescent="0.15">
      <c r="A4241" t="s">
        <v>13438</v>
      </c>
      <c r="B4241" t="s">
        <v>13439</v>
      </c>
      <c r="C4241" t="s">
        <v>13440</v>
      </c>
      <c r="D4241" t="s">
        <v>13434</v>
      </c>
      <c r="E4241">
        <v>0</v>
      </c>
      <c r="F4241" t="str">
        <f>HYPERLINK("https://github.com/jellyfin/jellyfin-androidtv/issues/1118", "show")</f>
        <v>show</v>
      </c>
      <c r="G4241" t="str">
        <f>HYPERLINK("https://github.com/jellyfin/jellyfin-androidtv", "show")</f>
        <v>show</v>
      </c>
      <c r="H4241" t="str">
        <f>HYPERLINK("https://github.com/jellyfin/jellyfin-androidtv/releases", "show")</f>
        <v>show</v>
      </c>
      <c r="I4241">
        <v>1</v>
      </c>
      <c r="J4241">
        <v>1</v>
      </c>
      <c r="K4241">
        <v>0</v>
      </c>
      <c r="L4241">
        <v>0</v>
      </c>
      <c r="M4241" t="s">
        <v>48</v>
      </c>
    </row>
    <row r="4242" spans="1:13" hidden="1" x14ac:dyDescent="0.15">
      <c r="A4242" t="s">
        <v>13441</v>
      </c>
      <c r="B4242" t="s">
        <v>13442</v>
      </c>
      <c r="C4242" t="s">
        <v>13443</v>
      </c>
      <c r="D4242" t="s">
        <v>13434</v>
      </c>
      <c r="E4242">
        <v>0</v>
      </c>
      <c r="F4242" t="str">
        <f>HYPERLINK("https://github.com/TeamNewPipe/NewPipe/issues/7012", "show")</f>
        <v>show</v>
      </c>
      <c r="G4242" t="str">
        <f>HYPERLINK("https://github.com/TeamNewPipe/NewPipe", "show")</f>
        <v>show</v>
      </c>
      <c r="H4242" t="str">
        <f>HYPERLINK("https://github.com/TeamNewPipe/NewPipe/releases", "show")</f>
        <v>show</v>
      </c>
      <c r="I4242">
        <v>1</v>
      </c>
      <c r="J4242">
        <v>0</v>
      </c>
      <c r="K4242">
        <v>0</v>
      </c>
      <c r="L4242">
        <v>0</v>
      </c>
      <c r="M4242" t="s">
        <v>17</v>
      </c>
    </row>
    <row r="4243" spans="1:13" hidden="1" x14ac:dyDescent="0.15">
      <c r="A4243" t="s">
        <v>13444</v>
      </c>
      <c r="B4243" t="s">
        <v>13445</v>
      </c>
      <c r="C4243" t="s">
        <v>13446</v>
      </c>
      <c r="D4243" t="s">
        <v>13447</v>
      </c>
      <c r="E4243">
        <v>131</v>
      </c>
      <c r="F4243" t="str">
        <f>HYPERLINK("https://github.com/PojavLauncherTeam/PojavLauncher/issues/1920", "show")</f>
        <v>show</v>
      </c>
      <c r="G4243" t="str">
        <f>HYPERLINK("https://github.com/PojavLauncherTeam/PojavLauncher", "show")</f>
        <v>show</v>
      </c>
      <c r="H4243" t="str">
        <f>HYPERLINK("https://github.com/PojavLauncherTeam/PojavLauncher/releases", "show")</f>
        <v>show</v>
      </c>
      <c r="I4243">
        <v>1</v>
      </c>
      <c r="J4243">
        <v>0</v>
      </c>
      <c r="K4243">
        <v>0</v>
      </c>
      <c r="L4243">
        <v>0</v>
      </c>
      <c r="M4243" t="s">
        <v>17</v>
      </c>
    </row>
    <row r="4244" spans="1:13" hidden="1" x14ac:dyDescent="0.15">
      <c r="A4244" t="s">
        <v>13448</v>
      </c>
      <c r="B4244" t="s">
        <v>13449</v>
      </c>
      <c r="C4244" t="s">
        <v>13450</v>
      </c>
      <c r="D4244" t="s">
        <v>13447</v>
      </c>
      <c r="E4244">
        <v>61</v>
      </c>
      <c r="F4244" t="str">
        <f>HYPERLINK("https://github.com/nextcloud/android/issues/8910", "show")</f>
        <v>show</v>
      </c>
      <c r="G4244" t="str">
        <f>HYPERLINK("https://github.com/nextcloud/android", "show")</f>
        <v>show</v>
      </c>
      <c r="H4244" t="str">
        <f>HYPERLINK("https://github.com/nextcloud/android/releases", "show")</f>
        <v>show</v>
      </c>
      <c r="I4244">
        <v>1</v>
      </c>
      <c r="J4244">
        <v>0</v>
      </c>
      <c r="K4244">
        <v>1</v>
      </c>
      <c r="L4244">
        <v>0</v>
      </c>
      <c r="M4244" t="s">
        <v>64</v>
      </c>
    </row>
    <row r="4245" spans="1:13" hidden="1" x14ac:dyDescent="0.15">
      <c r="A4245" t="s">
        <v>13451</v>
      </c>
      <c r="B4245" t="s">
        <v>13452</v>
      </c>
      <c r="C4245" t="s">
        <v>13453</v>
      </c>
      <c r="D4245" t="s">
        <v>13447</v>
      </c>
      <c r="E4245">
        <v>0</v>
      </c>
      <c r="F4245" t="str">
        <f>HYPERLINK("https://github.com/MuntashirAkon/AppManager/issues/566", "show")</f>
        <v>show</v>
      </c>
      <c r="G4245" t="str">
        <f>HYPERLINK("https://github.com/MuntashirAkon/AppManager", "show")</f>
        <v>show</v>
      </c>
      <c r="H4245" t="str">
        <f>HYPERLINK("https://github.com/MuntashirAkon/AppManager/releases", "show")</f>
        <v>show</v>
      </c>
      <c r="I4245">
        <v>1</v>
      </c>
      <c r="J4245">
        <v>1</v>
      </c>
      <c r="K4245">
        <v>1</v>
      </c>
      <c r="L4245">
        <v>0</v>
      </c>
      <c r="M4245" t="s">
        <v>59</v>
      </c>
    </row>
    <row r="4246" spans="1:13" hidden="1" x14ac:dyDescent="0.15">
      <c r="A4246" t="s">
        <v>13454</v>
      </c>
      <c r="B4246" t="s">
        <v>13455</v>
      </c>
      <c r="C4246" t="s">
        <v>13456</v>
      </c>
      <c r="D4246" t="s">
        <v>13447</v>
      </c>
      <c r="E4246">
        <v>75</v>
      </c>
      <c r="F4246" t="str">
        <f>HYPERLINK("https://github.com/PojavLauncherTeam/PojavLauncher/issues/1914", "show")</f>
        <v>show</v>
      </c>
      <c r="G4246" t="str">
        <f>HYPERLINK("https://github.com/PojavLauncherTeam/PojavLauncher", "show")</f>
        <v>show</v>
      </c>
      <c r="H4246" t="str">
        <f>HYPERLINK("https://github.com/PojavLauncherTeam/PojavLauncher/releases", "show")</f>
        <v>show</v>
      </c>
      <c r="I4246">
        <v>0</v>
      </c>
      <c r="J4246">
        <v>0</v>
      </c>
      <c r="K4246">
        <v>0</v>
      </c>
      <c r="L4246">
        <v>0</v>
      </c>
      <c r="M4246" t="s">
        <v>43</v>
      </c>
    </row>
    <row r="4247" spans="1:13" hidden="1" x14ac:dyDescent="0.15">
      <c r="A4247" t="s">
        <v>13457</v>
      </c>
      <c r="B4247" t="s">
        <v>13458</v>
      </c>
      <c r="C4247" t="s">
        <v>13459</v>
      </c>
      <c r="D4247" t="s">
        <v>13460</v>
      </c>
      <c r="E4247">
        <v>1</v>
      </c>
      <c r="F4247" t="str">
        <f>HYPERLINK("https://github.com/PojavLauncherTeam/PojavLauncher/issues/1913", "show")</f>
        <v>show</v>
      </c>
      <c r="G4247" t="str">
        <f>HYPERLINK("https://github.com/PojavLauncherTeam/PojavLauncher", "show")</f>
        <v>show</v>
      </c>
      <c r="H4247" t="str">
        <f>HYPERLINK("https://github.com/PojavLauncherTeam/PojavLauncher/releases", "show")</f>
        <v>show</v>
      </c>
      <c r="I4247">
        <v>1</v>
      </c>
      <c r="J4247">
        <v>0</v>
      </c>
      <c r="K4247">
        <v>0</v>
      </c>
      <c r="L4247">
        <v>0</v>
      </c>
      <c r="M4247" t="s">
        <v>17</v>
      </c>
    </row>
    <row r="4248" spans="1:13" hidden="1" x14ac:dyDescent="0.15">
      <c r="A4248" t="s">
        <v>13461</v>
      </c>
      <c r="B4248" t="s">
        <v>13462</v>
      </c>
      <c r="C4248" t="s">
        <v>13463</v>
      </c>
      <c r="D4248" t="s">
        <v>13460</v>
      </c>
      <c r="E4248">
        <v>107</v>
      </c>
      <c r="F4248" t="str">
        <f>HYPERLINK("https://github.com/cgeo/cgeo/issues/11558", "show")</f>
        <v>show</v>
      </c>
      <c r="G4248" t="str">
        <f>HYPERLINK("https://github.com/cgeo/cgeo", "show")</f>
        <v>show</v>
      </c>
      <c r="H4248" t="str">
        <f>HYPERLINK("https://github.com/cgeo/cgeo/releases", "show")</f>
        <v>show</v>
      </c>
      <c r="I4248">
        <v>1</v>
      </c>
      <c r="J4248">
        <v>1</v>
      </c>
      <c r="K4248">
        <v>1</v>
      </c>
      <c r="L4248">
        <v>0</v>
      </c>
      <c r="M4248" t="s">
        <v>59</v>
      </c>
    </row>
    <row r="4249" spans="1:13" x14ac:dyDescent="0.15">
      <c r="A4249" t="s">
        <v>13464</v>
      </c>
      <c r="B4249" t="s">
        <v>13465</v>
      </c>
      <c r="C4249" t="s">
        <v>13466</v>
      </c>
      <c r="D4249" t="s">
        <v>13467</v>
      </c>
      <c r="E4249">
        <v>40</v>
      </c>
      <c r="F4249" t="str">
        <f>HYPERLINK("https://github.com/deltachat/deltachat-android/issues/2043", "show")</f>
        <v>show</v>
      </c>
      <c r="G4249" t="str">
        <f>HYPERLINK("https://github.com/deltachat/deltachat-android", "show")</f>
        <v>show</v>
      </c>
      <c r="H4249" t="str">
        <f>HYPERLINK("https://github.com/deltachat/deltachat-android/releases", "show")</f>
        <v>show</v>
      </c>
      <c r="I4249">
        <v>0</v>
      </c>
      <c r="J4249">
        <v>1</v>
      </c>
      <c r="K4249">
        <v>0</v>
      </c>
      <c r="L4249">
        <v>0</v>
      </c>
      <c r="M4249" t="s">
        <v>139</v>
      </c>
    </row>
    <row r="4250" spans="1:13" hidden="1" x14ac:dyDescent="0.15">
      <c r="A4250" t="s">
        <v>13468</v>
      </c>
      <c r="B4250" t="s">
        <v>13469</v>
      </c>
      <c r="C4250" t="s">
        <v>13470</v>
      </c>
      <c r="D4250" t="s">
        <v>13467</v>
      </c>
      <c r="E4250">
        <v>0</v>
      </c>
      <c r="F4250" t="str">
        <f>HYPERLINK("https://github.com/LSPosed/LSPosed/issues/1017", "show")</f>
        <v>show</v>
      </c>
      <c r="G4250" t="str">
        <f>HYPERLINK("https://github.com/LSPosed/LSPosed", "show")</f>
        <v>show</v>
      </c>
      <c r="H4250" t="str">
        <f>HYPERLINK("https://github.com/LSPosed/LSPosed/releases", "show")</f>
        <v>show</v>
      </c>
      <c r="I4250">
        <v>1</v>
      </c>
      <c r="J4250">
        <v>0</v>
      </c>
      <c r="K4250">
        <v>1</v>
      </c>
      <c r="L4250">
        <v>0</v>
      </c>
      <c r="M4250" t="s">
        <v>64</v>
      </c>
    </row>
    <row r="4251" spans="1:13" hidden="1" x14ac:dyDescent="0.15">
      <c r="A4251" t="s">
        <v>13471</v>
      </c>
      <c r="B4251" t="s">
        <v>13472</v>
      </c>
      <c r="C4251" t="s">
        <v>13473</v>
      </c>
      <c r="D4251" t="s">
        <v>13467</v>
      </c>
      <c r="E4251">
        <v>14</v>
      </c>
      <c r="F4251" t="str">
        <f>HYPERLINK("https://github.com/nextcloud/android/issues/8902", "show")</f>
        <v>show</v>
      </c>
      <c r="G4251" t="str">
        <f>HYPERLINK("https://github.com/nextcloud/android", "show")</f>
        <v>show</v>
      </c>
      <c r="H4251" t="str">
        <f>HYPERLINK("https://github.com/nextcloud/android/releases", "show")</f>
        <v>show</v>
      </c>
      <c r="I4251">
        <v>0</v>
      </c>
      <c r="J4251">
        <v>1</v>
      </c>
      <c r="K4251">
        <v>1</v>
      </c>
      <c r="L4251">
        <v>0</v>
      </c>
      <c r="M4251" t="s">
        <v>699</v>
      </c>
    </row>
    <row r="4252" spans="1:13" hidden="1" x14ac:dyDescent="0.15">
      <c r="A4252" t="s">
        <v>13474</v>
      </c>
      <c r="B4252" t="s">
        <v>13475</v>
      </c>
      <c r="C4252" t="s">
        <v>13476</v>
      </c>
      <c r="D4252" t="s">
        <v>13467</v>
      </c>
      <c r="E4252">
        <v>0</v>
      </c>
      <c r="F4252" t="str">
        <f>HYPERLINK("https://github.com/Anuken/Mindustry/issues/5869", "show")</f>
        <v>show</v>
      </c>
      <c r="G4252" t="str">
        <f>HYPERLINK("https://github.com/Anuken/Mindustry", "show")</f>
        <v>show</v>
      </c>
      <c r="H4252" t="str">
        <f>HYPERLINK("https://github.com/Anuken/Mindustry/releases", "show")</f>
        <v>show</v>
      </c>
      <c r="I4252">
        <v>1</v>
      </c>
      <c r="J4252">
        <v>1</v>
      </c>
      <c r="K4252">
        <v>0</v>
      </c>
      <c r="L4252">
        <v>1</v>
      </c>
      <c r="M4252" t="s">
        <v>1894</v>
      </c>
    </row>
    <row r="4253" spans="1:13" hidden="1" x14ac:dyDescent="0.15">
      <c r="A4253" t="s">
        <v>13477</v>
      </c>
      <c r="B4253" t="s">
        <v>13478</v>
      </c>
      <c r="C4253" t="s">
        <v>13479</v>
      </c>
      <c r="D4253" t="s">
        <v>13467</v>
      </c>
      <c r="E4253">
        <v>14</v>
      </c>
      <c r="F4253" t="str">
        <f>HYPERLINK("https://github.com/nextcloud/android/issues/8901", "show")</f>
        <v>show</v>
      </c>
      <c r="G4253" t="str">
        <f>HYPERLINK("https://github.com/nextcloud/android", "show")</f>
        <v>show</v>
      </c>
      <c r="H4253" t="str">
        <f>HYPERLINK("https://github.com/nextcloud/android/releases", "show")</f>
        <v>show</v>
      </c>
      <c r="I4253">
        <v>1</v>
      </c>
      <c r="J4253">
        <v>1</v>
      </c>
      <c r="K4253">
        <v>1</v>
      </c>
      <c r="L4253">
        <v>0</v>
      </c>
      <c r="M4253" t="s">
        <v>59</v>
      </c>
    </row>
    <row r="4254" spans="1:13" hidden="1" x14ac:dyDescent="0.15">
      <c r="A4254" t="s">
        <v>13480</v>
      </c>
      <c r="B4254" t="s">
        <v>13481</v>
      </c>
      <c r="C4254" t="s">
        <v>13482</v>
      </c>
      <c r="D4254" t="s">
        <v>13467</v>
      </c>
      <c r="E4254">
        <v>2</v>
      </c>
      <c r="F4254" t="str">
        <f>HYPERLINK("https://github.com/TeamNewPipe/NewPipe/issues/6983", "show")</f>
        <v>show</v>
      </c>
      <c r="G4254" t="str">
        <f>HYPERLINK("https://github.com/TeamNewPipe/NewPipe", "show")</f>
        <v>show</v>
      </c>
      <c r="H4254" t="str">
        <f>HYPERLINK("https://github.com/TeamNewPipe/NewPipe/releases", "show")</f>
        <v>show</v>
      </c>
      <c r="I4254">
        <v>1</v>
      </c>
      <c r="J4254">
        <v>0</v>
      </c>
      <c r="K4254">
        <v>1</v>
      </c>
      <c r="L4254">
        <v>0</v>
      </c>
      <c r="M4254" t="s">
        <v>64</v>
      </c>
    </row>
    <row r="4255" spans="1:13" hidden="1" x14ac:dyDescent="0.15">
      <c r="A4255" t="s">
        <v>13483</v>
      </c>
      <c r="B4255" t="s">
        <v>13484</v>
      </c>
      <c r="C4255" t="s">
        <v>13485</v>
      </c>
      <c r="D4255" t="s">
        <v>13467</v>
      </c>
      <c r="E4255">
        <v>22</v>
      </c>
      <c r="F4255" t="str">
        <f>HYPERLINK("https://github.com/TeamNewPipe/NewPipe/issues/6977", "show")</f>
        <v>show</v>
      </c>
      <c r="G4255" t="str">
        <f>HYPERLINK("https://github.com/TeamNewPipe/NewPipe", "show")</f>
        <v>show</v>
      </c>
      <c r="H4255" t="str">
        <f>HYPERLINK("https://github.com/TeamNewPipe/NewPipe/releases", "show")</f>
        <v>show</v>
      </c>
      <c r="I4255">
        <v>1</v>
      </c>
      <c r="J4255">
        <v>1</v>
      </c>
      <c r="K4255">
        <v>0</v>
      </c>
      <c r="L4255">
        <v>0</v>
      </c>
      <c r="M4255" t="s">
        <v>48</v>
      </c>
    </row>
    <row r="4256" spans="1:13" hidden="1" x14ac:dyDescent="0.15">
      <c r="A4256" t="s">
        <v>13486</v>
      </c>
      <c r="B4256" t="s">
        <v>13487</v>
      </c>
      <c r="C4256" t="s">
        <v>13488</v>
      </c>
      <c r="D4256" t="s">
        <v>13489</v>
      </c>
      <c r="E4256">
        <v>0</v>
      </c>
      <c r="F4256" t="str">
        <f>HYPERLINK("https://github.com/PojavLauncherTeam/PojavLauncher/issues/1901", "show")</f>
        <v>show</v>
      </c>
      <c r="G4256" t="str">
        <f>HYPERLINK("https://github.com/PojavLauncherTeam/PojavLauncher", "show")</f>
        <v>show</v>
      </c>
      <c r="H4256" t="str">
        <f>HYPERLINK("https://github.com/PojavLauncherTeam/PojavLauncher/releases", "show")</f>
        <v>show</v>
      </c>
      <c r="I4256">
        <v>0</v>
      </c>
      <c r="J4256">
        <v>1</v>
      </c>
      <c r="K4256">
        <v>1</v>
      </c>
      <c r="L4256">
        <v>0</v>
      </c>
      <c r="M4256" t="s">
        <v>699</v>
      </c>
    </row>
    <row r="4257" spans="1:13" hidden="1" x14ac:dyDescent="0.15">
      <c r="A4257" t="s">
        <v>13490</v>
      </c>
      <c r="B4257" t="s">
        <v>13491</v>
      </c>
      <c r="C4257" t="s">
        <v>13492</v>
      </c>
      <c r="D4257" t="s">
        <v>13489</v>
      </c>
      <c r="E4257">
        <v>0</v>
      </c>
      <c r="F4257" t="str">
        <f>HYPERLINK("https://github.com/Anuken/Mindustry/issues/5857", "show")</f>
        <v>show</v>
      </c>
      <c r="G4257" t="str">
        <f>HYPERLINK("https://github.com/Anuken/Mindustry", "show")</f>
        <v>show</v>
      </c>
      <c r="H4257" t="str">
        <f>HYPERLINK("https://github.com/Anuken/Mindustry/releases", "show")</f>
        <v>show</v>
      </c>
      <c r="I4257">
        <v>1</v>
      </c>
      <c r="J4257">
        <v>1</v>
      </c>
      <c r="K4257">
        <v>0</v>
      </c>
      <c r="L4257">
        <v>0</v>
      </c>
      <c r="M4257" t="s">
        <v>48</v>
      </c>
    </row>
    <row r="4258" spans="1:13" hidden="1" x14ac:dyDescent="0.15">
      <c r="A4258" t="s">
        <v>13493</v>
      </c>
      <c r="B4258" t="s">
        <v>13494</v>
      </c>
      <c r="C4258" t="s">
        <v>13495</v>
      </c>
      <c r="D4258" t="s">
        <v>13496</v>
      </c>
      <c r="E4258">
        <v>2</v>
      </c>
      <c r="F4258" t="str">
        <f>HYPERLINK("https://github.com/Benji377/SocyMusic/issues/170", "show")</f>
        <v>show</v>
      </c>
      <c r="G4258" t="str">
        <f>HYPERLINK("https://github.com/Benji377/SocyMusic", "show")</f>
        <v>show</v>
      </c>
      <c r="H4258" t="str">
        <f>HYPERLINK("https://github.com/Benji377/SocyMusic/releases", "show")</f>
        <v>show</v>
      </c>
      <c r="I4258">
        <v>1</v>
      </c>
      <c r="J4258">
        <v>1</v>
      </c>
      <c r="K4258">
        <v>1</v>
      </c>
      <c r="L4258">
        <v>0</v>
      </c>
      <c r="M4258" t="s">
        <v>59</v>
      </c>
    </row>
    <row r="4259" spans="1:13" hidden="1" x14ac:dyDescent="0.15">
      <c r="A4259" t="s">
        <v>13497</v>
      </c>
      <c r="B4259" t="s">
        <v>13498</v>
      </c>
      <c r="C4259" t="s">
        <v>13499</v>
      </c>
      <c r="D4259" t="s">
        <v>13496</v>
      </c>
      <c r="E4259">
        <v>191</v>
      </c>
      <c r="F4259" t="str">
        <f>HYPERLINK("https://github.com/nextcloud/android/issues/8893", "show")</f>
        <v>show</v>
      </c>
      <c r="G4259" t="str">
        <f>HYPERLINK("https://github.com/nextcloud/android", "show")</f>
        <v>show</v>
      </c>
      <c r="H4259" t="str">
        <f>HYPERLINK("https://github.com/nextcloud/android/releases", "show")</f>
        <v>show</v>
      </c>
      <c r="I4259">
        <v>1</v>
      </c>
      <c r="J4259">
        <v>1</v>
      </c>
      <c r="K4259">
        <v>1</v>
      </c>
      <c r="L4259">
        <v>0</v>
      </c>
      <c r="M4259" t="s">
        <v>59</v>
      </c>
    </row>
    <row r="4260" spans="1:13" hidden="1" x14ac:dyDescent="0.15">
      <c r="A4260" t="s">
        <v>13500</v>
      </c>
      <c r="B4260" t="s">
        <v>13501</v>
      </c>
      <c r="C4260" t="s">
        <v>13502</v>
      </c>
      <c r="D4260" t="s">
        <v>13496</v>
      </c>
      <c r="E4260">
        <v>8</v>
      </c>
      <c r="F4260" t="str">
        <f>HYPERLINK("https://github.com/PojavLauncherTeam/PojavLauncher/issues/1892", "show")</f>
        <v>show</v>
      </c>
      <c r="G4260" t="str">
        <f>HYPERLINK("https://github.com/PojavLauncherTeam/PojavLauncher", "show")</f>
        <v>show</v>
      </c>
      <c r="H4260" t="str">
        <f>HYPERLINK("https://github.com/PojavLauncherTeam/PojavLauncher/releases", "show")</f>
        <v>show</v>
      </c>
      <c r="I4260">
        <v>1</v>
      </c>
      <c r="J4260">
        <v>0</v>
      </c>
      <c r="K4260">
        <v>0</v>
      </c>
      <c r="L4260">
        <v>0</v>
      </c>
      <c r="M4260" t="s">
        <v>17</v>
      </c>
    </row>
    <row r="4261" spans="1:13" hidden="1" x14ac:dyDescent="0.15">
      <c r="A4261" t="s">
        <v>13503</v>
      </c>
      <c r="B4261" t="s">
        <v>13504</v>
      </c>
      <c r="C4261" t="s">
        <v>13505</v>
      </c>
      <c r="D4261" t="s">
        <v>13496</v>
      </c>
      <c r="E4261">
        <v>8</v>
      </c>
      <c r="F4261" t="str">
        <f>HYPERLINK("https://github.com/PojavLauncherTeam/PojavLauncher/issues/1889", "show")</f>
        <v>show</v>
      </c>
      <c r="G4261" t="str">
        <f>HYPERLINK("https://github.com/PojavLauncherTeam/PojavLauncher", "show")</f>
        <v>show</v>
      </c>
      <c r="H4261" t="str">
        <f>HYPERLINK("https://github.com/PojavLauncherTeam/PojavLauncher/releases", "show")</f>
        <v>show</v>
      </c>
      <c r="I4261">
        <v>1</v>
      </c>
      <c r="J4261">
        <v>1</v>
      </c>
      <c r="K4261">
        <v>0</v>
      </c>
      <c r="L4261">
        <v>1</v>
      </c>
      <c r="M4261" t="s">
        <v>1894</v>
      </c>
    </row>
    <row r="4262" spans="1:13" hidden="1" x14ac:dyDescent="0.15">
      <c r="A4262" t="s">
        <v>13506</v>
      </c>
      <c r="B4262" t="s">
        <v>13507</v>
      </c>
      <c r="C4262" t="s">
        <v>13508</v>
      </c>
      <c r="D4262" t="s">
        <v>13496</v>
      </c>
      <c r="E4262">
        <v>0</v>
      </c>
      <c r="F4262" t="str">
        <f>HYPERLINK("https://github.com/Anuken/Mindustry/issues/5850", "show")</f>
        <v>show</v>
      </c>
      <c r="G4262" t="str">
        <f>HYPERLINK("https://github.com/Anuken/Mindustry", "show")</f>
        <v>show</v>
      </c>
      <c r="H4262" t="str">
        <f>HYPERLINK("https://github.com/Anuken/Mindustry/releases", "show")</f>
        <v>show</v>
      </c>
      <c r="I4262">
        <v>1</v>
      </c>
      <c r="J4262">
        <v>1</v>
      </c>
      <c r="K4262">
        <v>0</v>
      </c>
      <c r="L4262">
        <v>0</v>
      </c>
      <c r="M4262" t="s">
        <v>48</v>
      </c>
    </row>
    <row r="4263" spans="1:13" hidden="1" x14ac:dyDescent="0.15">
      <c r="A4263" t="s">
        <v>13509</v>
      </c>
      <c r="B4263" t="s">
        <v>13510</v>
      </c>
      <c r="C4263" t="s">
        <v>13511</v>
      </c>
      <c r="D4263" t="s">
        <v>13496</v>
      </c>
      <c r="E4263">
        <v>0</v>
      </c>
      <c r="F4263" t="str">
        <f>HYPERLINK("https://github.com/PojavLauncherTeam/PojavLauncher/issues/1887", "show")</f>
        <v>show</v>
      </c>
      <c r="G4263" t="str">
        <f>HYPERLINK("https://github.com/PojavLauncherTeam/PojavLauncher", "show")</f>
        <v>show</v>
      </c>
      <c r="H4263" t="str">
        <f>HYPERLINK("https://github.com/PojavLauncherTeam/PojavLauncher/releases", "show")</f>
        <v>show</v>
      </c>
      <c r="I4263">
        <v>0</v>
      </c>
      <c r="J4263">
        <v>0</v>
      </c>
      <c r="K4263">
        <v>0</v>
      </c>
      <c r="L4263">
        <v>0</v>
      </c>
      <c r="M4263" t="s">
        <v>43</v>
      </c>
    </row>
    <row r="4264" spans="1:13" hidden="1" x14ac:dyDescent="0.15">
      <c r="A4264" t="s">
        <v>13512</v>
      </c>
      <c r="B4264" t="s">
        <v>13513</v>
      </c>
      <c r="C4264" t="s">
        <v>13514</v>
      </c>
      <c r="D4264" t="s">
        <v>13515</v>
      </c>
      <c r="E4264">
        <v>0</v>
      </c>
      <c r="F4264" t="str">
        <f>HYPERLINK("https://github.com/Anuken/Mindustry/issues/5847", "show")</f>
        <v>show</v>
      </c>
      <c r="G4264" t="str">
        <f>HYPERLINK("https://github.com/Anuken/Mindustry", "show")</f>
        <v>show</v>
      </c>
      <c r="H4264" t="str">
        <f>HYPERLINK("https://github.com/Anuken/Mindustry/releases", "show")</f>
        <v>show</v>
      </c>
      <c r="I4264">
        <v>1</v>
      </c>
      <c r="J4264">
        <v>1</v>
      </c>
      <c r="K4264">
        <v>0</v>
      </c>
      <c r="L4264">
        <v>0</v>
      </c>
      <c r="M4264" t="s">
        <v>48</v>
      </c>
    </row>
    <row r="4265" spans="1:13" hidden="1" x14ac:dyDescent="0.15">
      <c r="A4265" t="s">
        <v>13516</v>
      </c>
      <c r="B4265" t="s">
        <v>13517</v>
      </c>
      <c r="C4265" t="s">
        <v>13518</v>
      </c>
      <c r="D4265" t="s">
        <v>13515</v>
      </c>
      <c r="E4265">
        <v>6</v>
      </c>
      <c r="F4265" t="str">
        <f>HYPERLINK("https://github.com/PojavLauncherTeam/PojavLauncher/issues/1886", "show")</f>
        <v>show</v>
      </c>
      <c r="G4265" t="str">
        <f>HYPERLINK("https://github.com/PojavLauncherTeam/PojavLauncher", "show")</f>
        <v>show</v>
      </c>
      <c r="H4265" t="str">
        <f>HYPERLINK("https://github.com/PojavLauncherTeam/PojavLauncher/releases", "show")</f>
        <v>show</v>
      </c>
      <c r="I4265">
        <v>1</v>
      </c>
      <c r="J4265">
        <v>1</v>
      </c>
      <c r="K4265">
        <v>0</v>
      </c>
      <c r="L4265">
        <v>0</v>
      </c>
      <c r="M4265" t="s">
        <v>48</v>
      </c>
    </row>
    <row r="4266" spans="1:13" hidden="1" x14ac:dyDescent="0.15">
      <c r="A4266" t="s">
        <v>13519</v>
      </c>
      <c r="B4266" t="s">
        <v>13520</v>
      </c>
      <c r="C4266" t="s">
        <v>13521</v>
      </c>
      <c r="D4266" t="s">
        <v>13515</v>
      </c>
      <c r="E4266">
        <v>0</v>
      </c>
      <c r="F4266" t="str">
        <f>HYPERLINK("https://github.com/ankidroid/Anki-Android/issues/9442", "show")</f>
        <v>show</v>
      </c>
      <c r="G4266" t="str">
        <f>HYPERLINK("https://github.com/ankidroid/Anki-Android", "show")</f>
        <v>show</v>
      </c>
      <c r="H4266" t="str">
        <f>HYPERLINK("https://github.com/ankidroid/Anki-Android/releases", "show")</f>
        <v>show</v>
      </c>
      <c r="I4266">
        <v>0</v>
      </c>
      <c r="J4266">
        <v>0</v>
      </c>
      <c r="K4266">
        <v>1</v>
      </c>
      <c r="L4266">
        <v>0</v>
      </c>
      <c r="M4266" t="s">
        <v>122</v>
      </c>
    </row>
    <row r="4267" spans="1:13" hidden="1" x14ac:dyDescent="0.15">
      <c r="A4267" t="s">
        <v>13522</v>
      </c>
      <c r="B4267" t="s">
        <v>13523</v>
      </c>
      <c r="C4267" t="s">
        <v>13524</v>
      </c>
      <c r="D4267" t="s">
        <v>13525</v>
      </c>
      <c r="E4267">
        <v>0</v>
      </c>
      <c r="F4267" t="str">
        <f>HYPERLINK("https://github.com/Anuken/Mindustry/issues/5838", "show")</f>
        <v>show</v>
      </c>
      <c r="G4267" t="str">
        <f>HYPERLINK("https://github.com/Anuken/Mindustry", "show")</f>
        <v>show</v>
      </c>
      <c r="H4267" t="str">
        <f>HYPERLINK("https://github.com/Anuken/Mindustry/releases", "show")</f>
        <v>show</v>
      </c>
      <c r="I4267">
        <v>1</v>
      </c>
      <c r="J4267">
        <v>1</v>
      </c>
      <c r="K4267">
        <v>0</v>
      </c>
      <c r="L4267">
        <v>0</v>
      </c>
      <c r="M4267" t="s">
        <v>48</v>
      </c>
    </row>
    <row r="4268" spans="1:13" x14ac:dyDescent="0.15">
      <c r="A4268" t="s">
        <v>13526</v>
      </c>
      <c r="B4268" t="s">
        <v>13527</v>
      </c>
      <c r="C4268" t="s">
        <v>13528</v>
      </c>
      <c r="D4268" t="s">
        <v>13525</v>
      </c>
      <c r="E4268">
        <v>1</v>
      </c>
      <c r="F4268" t="str">
        <f>HYPERLINK("https://github.com/PojavLauncherTeam/PojavLauncher/issues/1881", "show")</f>
        <v>show</v>
      </c>
      <c r="G4268" t="str">
        <f>HYPERLINK("https://github.com/PojavLauncherTeam/PojavLauncher", "show")</f>
        <v>show</v>
      </c>
      <c r="H4268" t="str">
        <f>HYPERLINK("https://github.com/PojavLauncherTeam/PojavLauncher/releases", "show")</f>
        <v>show</v>
      </c>
      <c r="I4268">
        <v>0</v>
      </c>
      <c r="J4268">
        <v>1</v>
      </c>
      <c r="K4268">
        <v>0</v>
      </c>
      <c r="L4268">
        <v>0</v>
      </c>
      <c r="M4268" t="s">
        <v>139</v>
      </c>
    </row>
    <row r="4269" spans="1:13" hidden="1" x14ac:dyDescent="0.15">
      <c r="A4269" t="s">
        <v>13529</v>
      </c>
      <c r="B4269" t="s">
        <v>13530</v>
      </c>
      <c r="C4269" t="s">
        <v>13531</v>
      </c>
      <c r="D4269" t="s">
        <v>13525</v>
      </c>
      <c r="E4269">
        <v>13</v>
      </c>
      <c r="F4269" t="str">
        <f>HYPERLINK("https://github.com/hackslash-nitp/Messsy-Admin/issues/52", "show")</f>
        <v>show</v>
      </c>
      <c r="G4269" t="str">
        <f>HYPERLINK("https://github.com/hackslash-nitp/Messsy-Admin", "show")</f>
        <v>show</v>
      </c>
      <c r="H4269" t="str">
        <f>HYPERLINK("https://github.com/hackslash-nitp/Messsy-Admin/releases", "show")</f>
        <v>show</v>
      </c>
      <c r="I4269">
        <v>1</v>
      </c>
      <c r="J4269">
        <v>0</v>
      </c>
      <c r="K4269">
        <v>0</v>
      </c>
      <c r="L4269">
        <v>0</v>
      </c>
      <c r="M4269" t="s">
        <v>17</v>
      </c>
    </row>
    <row r="4270" spans="1:13" hidden="1" x14ac:dyDescent="0.15">
      <c r="A4270" t="s">
        <v>13532</v>
      </c>
      <c r="B4270" t="s">
        <v>13533</v>
      </c>
      <c r="C4270" t="s">
        <v>13534</v>
      </c>
      <c r="D4270" t="s">
        <v>13525</v>
      </c>
      <c r="E4270">
        <v>0</v>
      </c>
      <c r="F4270" t="str">
        <f>HYPERLINK("https://github.com/k9mail/k-9/issues/5600", "show")</f>
        <v>show</v>
      </c>
      <c r="G4270" t="str">
        <f>HYPERLINK("https://github.com/k9mail/k-9", "show")</f>
        <v>show</v>
      </c>
      <c r="H4270" t="str">
        <f>HYPERLINK("https://github.com/k9mail/k-9/releases", "show")</f>
        <v>show</v>
      </c>
      <c r="I4270">
        <v>1</v>
      </c>
      <c r="J4270">
        <v>1</v>
      </c>
      <c r="K4270">
        <v>0</v>
      </c>
      <c r="L4270">
        <v>0</v>
      </c>
      <c r="M4270" t="s">
        <v>48</v>
      </c>
    </row>
    <row r="4271" spans="1:13" x14ac:dyDescent="0.15">
      <c r="A4271" t="s">
        <v>13535</v>
      </c>
      <c r="B4271" t="s">
        <v>13536</v>
      </c>
      <c r="C4271" t="s">
        <v>13537</v>
      </c>
      <c r="D4271" t="s">
        <v>13525</v>
      </c>
      <c r="E4271">
        <v>0</v>
      </c>
      <c r="F4271" t="str">
        <f>HYPERLINK("https://github.com/Anuken/Mindustry/issues/5833", "show")</f>
        <v>show</v>
      </c>
      <c r="G4271" t="str">
        <f>HYPERLINK("https://github.com/Anuken/Mindustry", "show")</f>
        <v>show</v>
      </c>
      <c r="H4271" t="str">
        <f>HYPERLINK("https://github.com/Anuken/Mindustry/releases", "show")</f>
        <v>show</v>
      </c>
      <c r="I4271">
        <v>0</v>
      </c>
      <c r="J4271">
        <v>1</v>
      </c>
      <c r="K4271">
        <v>0</v>
      </c>
      <c r="L4271">
        <v>0</v>
      </c>
      <c r="M4271" t="s">
        <v>139</v>
      </c>
    </row>
    <row r="4272" spans="1:13" hidden="1" x14ac:dyDescent="0.15">
      <c r="A4272" t="s">
        <v>13538</v>
      </c>
      <c r="B4272" t="s">
        <v>13539</v>
      </c>
      <c r="C4272" t="s">
        <v>11701</v>
      </c>
      <c r="D4272" t="s">
        <v>13540</v>
      </c>
      <c r="E4272">
        <v>0</v>
      </c>
      <c r="F4272" t="str">
        <f>HYPERLINK("https://github.com/Anuken/Mindustry/issues/5831", "show")</f>
        <v>show</v>
      </c>
      <c r="G4272" t="str">
        <f>HYPERLINK("https://github.com/Anuken/Mindustry", "show")</f>
        <v>show</v>
      </c>
      <c r="H4272" t="str">
        <f>HYPERLINK("https://github.com/Anuken/Mindustry/releases", "show")</f>
        <v>show</v>
      </c>
      <c r="I4272">
        <v>1</v>
      </c>
      <c r="J4272">
        <v>1</v>
      </c>
      <c r="K4272">
        <v>0</v>
      </c>
      <c r="L4272">
        <v>0</v>
      </c>
      <c r="M4272" t="s">
        <v>48</v>
      </c>
    </row>
    <row r="4273" spans="1:13" hidden="1" x14ac:dyDescent="0.15">
      <c r="A4273" t="s">
        <v>13541</v>
      </c>
      <c r="B4273" t="s">
        <v>13542</v>
      </c>
      <c r="C4273" t="s">
        <v>13543</v>
      </c>
      <c r="D4273" t="s">
        <v>13540</v>
      </c>
      <c r="E4273">
        <v>1</v>
      </c>
      <c r="F4273" t="str">
        <f>HYPERLINK("https://github.com/oliexdev/openScale/issues/768", "show")</f>
        <v>show</v>
      </c>
      <c r="G4273" t="str">
        <f>HYPERLINK("https://github.com/oliexdev/openScale", "show")</f>
        <v>show</v>
      </c>
      <c r="H4273" t="str">
        <f>HYPERLINK("https://github.com/oliexdev/openScale/releases", "show")</f>
        <v>show</v>
      </c>
      <c r="I4273">
        <v>1</v>
      </c>
      <c r="J4273">
        <v>1</v>
      </c>
      <c r="K4273">
        <v>1</v>
      </c>
      <c r="L4273">
        <v>0</v>
      </c>
      <c r="M4273" t="s">
        <v>59</v>
      </c>
    </row>
    <row r="4274" spans="1:13" hidden="1" x14ac:dyDescent="0.15">
      <c r="A4274" t="s">
        <v>13544</v>
      </c>
      <c r="B4274" t="s">
        <v>13545</v>
      </c>
      <c r="C4274" t="s">
        <v>13546</v>
      </c>
      <c r="D4274" t="s">
        <v>13540</v>
      </c>
      <c r="E4274">
        <v>0</v>
      </c>
      <c r="F4274" t="str">
        <f>HYPERLINK("https://github.com/Anuken/Mindustry/issues/5826", "show")</f>
        <v>show</v>
      </c>
      <c r="G4274" t="str">
        <f>HYPERLINK("https://github.com/Anuken/Mindustry", "show")</f>
        <v>show</v>
      </c>
      <c r="H4274" t="str">
        <f>HYPERLINK("https://github.com/Anuken/Mindustry/releases", "show")</f>
        <v>show</v>
      </c>
      <c r="I4274">
        <v>1</v>
      </c>
      <c r="J4274">
        <v>1</v>
      </c>
      <c r="K4274">
        <v>0</v>
      </c>
      <c r="L4274">
        <v>0</v>
      </c>
      <c r="M4274" t="s">
        <v>48</v>
      </c>
    </row>
    <row r="4275" spans="1:13" hidden="1" x14ac:dyDescent="0.15">
      <c r="A4275" t="s">
        <v>13547</v>
      </c>
      <c r="B4275" t="s">
        <v>13548</v>
      </c>
      <c r="C4275" t="s">
        <v>13549</v>
      </c>
      <c r="D4275" t="s">
        <v>13540</v>
      </c>
      <c r="E4275">
        <v>0</v>
      </c>
      <c r="F4275" t="str">
        <f>HYPERLINK("https://github.com/k9mail/k-9/issues/5595", "show")</f>
        <v>show</v>
      </c>
      <c r="G4275" t="str">
        <f>HYPERLINK("https://github.com/k9mail/k-9", "show")</f>
        <v>show</v>
      </c>
      <c r="H4275" t="str">
        <f>HYPERLINK("https://github.com/k9mail/k-9/releases", "show")</f>
        <v>show</v>
      </c>
      <c r="I4275">
        <v>1</v>
      </c>
      <c r="J4275">
        <v>1</v>
      </c>
      <c r="K4275">
        <v>0</v>
      </c>
      <c r="L4275">
        <v>0</v>
      </c>
      <c r="M4275" t="s">
        <v>48</v>
      </c>
    </row>
    <row r="4276" spans="1:13" hidden="1" x14ac:dyDescent="0.15">
      <c r="A4276" t="s">
        <v>13550</v>
      </c>
      <c r="B4276" t="s">
        <v>13551</v>
      </c>
      <c r="C4276" t="s">
        <v>13552</v>
      </c>
      <c r="D4276" t="s">
        <v>13540</v>
      </c>
      <c r="E4276">
        <v>1</v>
      </c>
      <c r="F4276" t="str">
        <f>HYPERLINK("https://github.com/PojavLauncherTeam/PojavLauncher/issues/1875", "show")</f>
        <v>show</v>
      </c>
      <c r="G4276" t="str">
        <f>HYPERLINK("https://github.com/PojavLauncherTeam/PojavLauncher", "show")</f>
        <v>show</v>
      </c>
      <c r="H4276" t="str">
        <f>HYPERLINK("https://github.com/PojavLauncherTeam/PojavLauncher/releases", "show")</f>
        <v>show</v>
      </c>
      <c r="I4276">
        <v>1</v>
      </c>
      <c r="J4276">
        <v>0</v>
      </c>
      <c r="K4276">
        <v>0</v>
      </c>
      <c r="L4276">
        <v>0</v>
      </c>
      <c r="M4276" t="s">
        <v>17</v>
      </c>
    </row>
    <row r="4277" spans="1:13" hidden="1" x14ac:dyDescent="0.15">
      <c r="A4277" t="s">
        <v>13553</v>
      </c>
      <c r="B4277" t="s">
        <v>13554</v>
      </c>
      <c r="C4277" t="s">
        <v>13555</v>
      </c>
      <c r="D4277" t="s">
        <v>13540</v>
      </c>
      <c r="E4277">
        <v>0</v>
      </c>
      <c r="F4277" t="str">
        <f>HYPERLINK("https://github.com/cgeo/cgeo/issues/11504", "show")</f>
        <v>show</v>
      </c>
      <c r="G4277" t="str">
        <f>HYPERLINK("https://github.com/cgeo/cgeo", "show")</f>
        <v>show</v>
      </c>
      <c r="H4277" t="str">
        <f>HYPERLINK("https://github.com/cgeo/cgeo/releases", "show")</f>
        <v>show</v>
      </c>
      <c r="I4277">
        <v>0</v>
      </c>
      <c r="J4277">
        <v>1</v>
      </c>
      <c r="K4277">
        <v>1</v>
      </c>
      <c r="L4277">
        <v>0</v>
      </c>
      <c r="M4277" t="s">
        <v>699</v>
      </c>
    </row>
    <row r="4278" spans="1:13" hidden="1" x14ac:dyDescent="0.15">
      <c r="A4278" t="s">
        <v>13556</v>
      </c>
      <c r="B4278" t="s">
        <v>13557</v>
      </c>
      <c r="C4278" t="s">
        <v>13558</v>
      </c>
      <c r="D4278" t="s">
        <v>13559</v>
      </c>
      <c r="E4278">
        <v>0</v>
      </c>
      <c r="F4278" t="str">
        <f>HYPERLINK("https://github.com/Anuken/Mindustry/issues/5821", "show")</f>
        <v>show</v>
      </c>
      <c r="G4278" t="str">
        <f>HYPERLINK("https://github.com/Anuken/Mindustry", "show")</f>
        <v>show</v>
      </c>
      <c r="H4278" t="str">
        <f>HYPERLINK("https://github.com/Anuken/Mindustry/releases", "show")</f>
        <v>show</v>
      </c>
      <c r="I4278">
        <v>1</v>
      </c>
      <c r="J4278">
        <v>1</v>
      </c>
      <c r="K4278">
        <v>0</v>
      </c>
      <c r="L4278">
        <v>0</v>
      </c>
      <c r="M4278" t="s">
        <v>48</v>
      </c>
    </row>
    <row r="4279" spans="1:13" hidden="1" x14ac:dyDescent="0.15">
      <c r="A4279" t="s">
        <v>13560</v>
      </c>
      <c r="B4279" t="s">
        <v>13561</v>
      </c>
      <c r="C4279" t="s">
        <v>13562</v>
      </c>
      <c r="D4279" t="s">
        <v>13559</v>
      </c>
      <c r="E4279">
        <v>0</v>
      </c>
      <c r="F4279" t="str">
        <f>HYPERLINK("https://github.com/Anuken/Mindustry/issues/5818", "show")</f>
        <v>show</v>
      </c>
      <c r="G4279" t="str">
        <f>HYPERLINK("https://github.com/Anuken/Mindustry", "show")</f>
        <v>show</v>
      </c>
      <c r="H4279" t="str">
        <f>HYPERLINK("https://github.com/Anuken/Mindustry/releases", "show")</f>
        <v>show</v>
      </c>
      <c r="I4279">
        <v>1</v>
      </c>
      <c r="J4279">
        <v>1</v>
      </c>
      <c r="K4279">
        <v>0</v>
      </c>
      <c r="L4279">
        <v>1</v>
      </c>
      <c r="M4279" t="s">
        <v>1894</v>
      </c>
    </row>
    <row r="4280" spans="1:13" hidden="1" x14ac:dyDescent="0.15">
      <c r="A4280" t="s">
        <v>13563</v>
      </c>
      <c r="B4280" t="s">
        <v>13564</v>
      </c>
      <c r="C4280" t="s">
        <v>13565</v>
      </c>
      <c r="D4280" t="s">
        <v>13559</v>
      </c>
      <c r="E4280">
        <v>230</v>
      </c>
      <c r="F4280" t="str">
        <f>HYPERLINK("https://github.com/NordicSemiconductor/Android-nRF-Mesh-Library/issues/447", "show")</f>
        <v>show</v>
      </c>
      <c r="G4280" t="str">
        <f>HYPERLINK("https://github.com/NordicSemiconductor/Android-nRF-Mesh-Library", "show")</f>
        <v>show</v>
      </c>
      <c r="H4280" t="str">
        <f>HYPERLINK("https://github.com/NordicSemiconductor/Android-nRF-Mesh-Library/releases", "show")</f>
        <v>show</v>
      </c>
      <c r="I4280">
        <v>0</v>
      </c>
      <c r="J4280">
        <v>0</v>
      </c>
      <c r="K4280">
        <v>1</v>
      </c>
      <c r="L4280">
        <v>0</v>
      </c>
      <c r="M4280" t="s">
        <v>122</v>
      </c>
    </row>
    <row r="4281" spans="1:13" hidden="1" x14ac:dyDescent="0.15">
      <c r="A4281" t="s">
        <v>13566</v>
      </c>
      <c r="B4281" t="s">
        <v>13567</v>
      </c>
      <c r="C4281" t="s">
        <v>13568</v>
      </c>
      <c r="D4281" t="s">
        <v>13559</v>
      </c>
      <c r="E4281">
        <v>4</v>
      </c>
      <c r="F4281" t="str">
        <f>HYPERLINK("https://github.com/muxinc/mux-stats-sdk-exoplayer/issues/144", "show")</f>
        <v>show</v>
      </c>
      <c r="G4281" t="str">
        <f>HYPERLINK("https://github.com/muxinc/mux-stats-sdk-exoplayer", "show")</f>
        <v>show</v>
      </c>
      <c r="H4281" t="str">
        <f>HYPERLINK("https://github.com/muxinc/mux-stats-sdk-exoplayer/releases", "show")</f>
        <v>show</v>
      </c>
      <c r="I4281">
        <v>0</v>
      </c>
      <c r="J4281">
        <v>0</v>
      </c>
      <c r="K4281">
        <v>0</v>
      </c>
      <c r="L4281">
        <v>0</v>
      </c>
      <c r="M4281" t="s">
        <v>43</v>
      </c>
    </row>
    <row r="4282" spans="1:13" hidden="1" x14ac:dyDescent="0.15">
      <c r="A4282" t="s">
        <v>13569</v>
      </c>
      <c r="B4282" t="s">
        <v>13570</v>
      </c>
      <c r="C4282" t="s">
        <v>13571</v>
      </c>
      <c r="D4282" t="s">
        <v>13572</v>
      </c>
      <c r="E4282">
        <v>0</v>
      </c>
      <c r="F4282" t="str">
        <f>HYPERLINK("https://github.com/Anuken/Mindustry/issues/5812", "show")</f>
        <v>show</v>
      </c>
      <c r="G4282" t="str">
        <f>HYPERLINK("https://github.com/Anuken/Mindustry", "show")</f>
        <v>show</v>
      </c>
      <c r="H4282" t="str">
        <f>HYPERLINK("https://github.com/Anuken/Mindustry/releases", "show")</f>
        <v>show</v>
      </c>
      <c r="I4282">
        <v>1</v>
      </c>
      <c r="J4282">
        <v>1</v>
      </c>
      <c r="K4282">
        <v>0</v>
      </c>
      <c r="L4282">
        <v>1</v>
      </c>
      <c r="M4282" t="s">
        <v>1894</v>
      </c>
    </row>
    <row r="4283" spans="1:13" hidden="1" x14ac:dyDescent="0.15">
      <c r="A4283" t="s">
        <v>13573</v>
      </c>
      <c r="B4283" t="s">
        <v>13574</v>
      </c>
      <c r="D4283" t="s">
        <v>13572</v>
      </c>
      <c r="E4283">
        <v>0</v>
      </c>
      <c r="F4283" t="str">
        <f>HYPERLINK("https://github.com/TeamNewPipe/NewPipe/issues/6943", "show")</f>
        <v>show</v>
      </c>
      <c r="G4283" t="str">
        <f>HYPERLINK("https://github.com/TeamNewPipe/NewPipe", "show")</f>
        <v>show</v>
      </c>
      <c r="H4283" t="str">
        <f>HYPERLINK("https://github.com/TeamNewPipe/NewPipe/releases", "show")</f>
        <v>show</v>
      </c>
      <c r="I4283">
        <v>0</v>
      </c>
      <c r="J4283">
        <v>0</v>
      </c>
      <c r="K4283">
        <v>0</v>
      </c>
      <c r="L4283">
        <v>0</v>
      </c>
      <c r="M4283" t="s">
        <v>43</v>
      </c>
    </row>
    <row r="4284" spans="1:13" hidden="1" x14ac:dyDescent="0.15">
      <c r="A4284" t="s">
        <v>13575</v>
      </c>
      <c r="B4284" t="s">
        <v>13576</v>
      </c>
      <c r="C4284" t="s">
        <v>13577</v>
      </c>
      <c r="D4284" t="s">
        <v>13572</v>
      </c>
      <c r="E4284">
        <v>0</v>
      </c>
      <c r="F4284" t="str">
        <f>HYPERLINK("https://github.com/Anuken/Mindustry/issues/5804", "show")</f>
        <v>show</v>
      </c>
      <c r="G4284" t="str">
        <f>HYPERLINK("https://github.com/Anuken/Mindustry", "show")</f>
        <v>show</v>
      </c>
      <c r="H4284" t="str">
        <f>HYPERLINK("https://github.com/Anuken/Mindustry/releases", "show")</f>
        <v>show</v>
      </c>
      <c r="I4284">
        <v>0</v>
      </c>
      <c r="J4284">
        <v>0</v>
      </c>
      <c r="K4284">
        <v>0</v>
      </c>
      <c r="L4284">
        <v>0</v>
      </c>
      <c r="M4284" t="s">
        <v>43</v>
      </c>
    </row>
    <row r="4285" spans="1:13" hidden="1" x14ac:dyDescent="0.15">
      <c r="A4285" t="s">
        <v>13578</v>
      </c>
      <c r="B4285" t="s">
        <v>13579</v>
      </c>
      <c r="C4285" t="s">
        <v>13580</v>
      </c>
      <c r="D4285" t="s">
        <v>13581</v>
      </c>
      <c r="E4285">
        <v>1</v>
      </c>
      <c r="F4285" t="str">
        <f>HYPERLINK("https://github.com/Anuken/Mindustry/issues/5803", "show")</f>
        <v>show</v>
      </c>
      <c r="G4285" t="str">
        <f>HYPERLINK("https://github.com/Anuken/Mindustry", "show")</f>
        <v>show</v>
      </c>
      <c r="H4285" t="str">
        <f>HYPERLINK("https://github.com/Anuken/Mindustry/releases", "show")</f>
        <v>show</v>
      </c>
      <c r="I4285">
        <v>1</v>
      </c>
      <c r="J4285">
        <v>1</v>
      </c>
      <c r="K4285">
        <v>1</v>
      </c>
      <c r="L4285">
        <v>0</v>
      </c>
      <c r="M4285" t="s">
        <v>59</v>
      </c>
    </row>
    <row r="4286" spans="1:13" hidden="1" x14ac:dyDescent="0.15">
      <c r="A4286" t="s">
        <v>13582</v>
      </c>
      <c r="B4286" t="s">
        <v>13583</v>
      </c>
      <c r="C4286" t="s">
        <v>13584</v>
      </c>
      <c r="D4286" t="s">
        <v>13581</v>
      </c>
      <c r="E4286">
        <v>0</v>
      </c>
      <c r="F4286" t="str">
        <f>HYPERLINK("https://github.com/Anuken/Mindustry/issues/5802", "show")</f>
        <v>show</v>
      </c>
      <c r="G4286" t="str">
        <f>HYPERLINK("https://github.com/Anuken/Mindustry", "show")</f>
        <v>show</v>
      </c>
      <c r="H4286" t="str">
        <f>HYPERLINK("https://github.com/Anuken/Mindustry/releases", "show")</f>
        <v>show</v>
      </c>
      <c r="I4286">
        <v>1</v>
      </c>
      <c r="J4286">
        <v>1</v>
      </c>
      <c r="K4286">
        <v>0</v>
      </c>
      <c r="L4286">
        <v>0</v>
      </c>
      <c r="M4286" t="s">
        <v>48</v>
      </c>
    </row>
    <row r="4287" spans="1:13" hidden="1" x14ac:dyDescent="0.15">
      <c r="A4287" t="s">
        <v>13585</v>
      </c>
      <c r="B4287" t="s">
        <v>13586</v>
      </c>
      <c r="C4287" t="s">
        <v>13587</v>
      </c>
      <c r="D4287" t="s">
        <v>13581</v>
      </c>
      <c r="E4287">
        <v>0</v>
      </c>
      <c r="F4287" t="str">
        <f>HYPERLINK("https://github.com/Anuken/Mindustry/issues/5797", "show")</f>
        <v>show</v>
      </c>
      <c r="G4287" t="str">
        <f>HYPERLINK("https://github.com/Anuken/Mindustry", "show")</f>
        <v>show</v>
      </c>
      <c r="H4287" t="str">
        <f>HYPERLINK("https://github.com/Anuken/Mindustry/releases", "show")</f>
        <v>show</v>
      </c>
      <c r="I4287">
        <v>1</v>
      </c>
      <c r="J4287">
        <v>1</v>
      </c>
      <c r="K4287">
        <v>0</v>
      </c>
      <c r="L4287">
        <v>0</v>
      </c>
      <c r="M4287" t="s">
        <v>48</v>
      </c>
    </row>
    <row r="4288" spans="1:13" hidden="1" x14ac:dyDescent="0.15">
      <c r="A4288" t="s">
        <v>13588</v>
      </c>
      <c r="B4288" t="s">
        <v>13589</v>
      </c>
      <c r="D4288" t="s">
        <v>13581</v>
      </c>
      <c r="E4288">
        <v>166</v>
      </c>
      <c r="F4288" t="str">
        <f>HYPERLINK("https://github.com/GoogleCloudPlatform/fda-mystudies/issues/4033", "show")</f>
        <v>show</v>
      </c>
      <c r="G4288" t="str">
        <f>HYPERLINK("https://github.com/GoogleCloudPlatform/fda-mystudies", "show")</f>
        <v>show</v>
      </c>
      <c r="H4288" t="str">
        <f>HYPERLINK("https://github.com/GoogleCloudPlatform/fda-mystudies/releases", "show")</f>
        <v>show</v>
      </c>
      <c r="I4288">
        <v>0</v>
      </c>
      <c r="J4288">
        <v>0</v>
      </c>
      <c r="K4288">
        <v>0</v>
      </c>
      <c r="L4288">
        <v>0</v>
      </c>
      <c r="M4288" t="s">
        <v>43</v>
      </c>
    </row>
    <row r="4289" spans="1:13" hidden="1" x14ac:dyDescent="0.15">
      <c r="A4289" t="s">
        <v>13590</v>
      </c>
      <c r="B4289" t="s">
        <v>13591</v>
      </c>
      <c r="C4289" t="s">
        <v>13592</v>
      </c>
      <c r="D4289" t="s">
        <v>13581</v>
      </c>
      <c r="E4289">
        <v>0</v>
      </c>
      <c r="F4289" t="str">
        <f>HYPERLINK("https://github.com/Anuken/Mindustry/issues/5796", "show")</f>
        <v>show</v>
      </c>
      <c r="G4289" t="str">
        <f>HYPERLINK("https://github.com/Anuken/Mindustry", "show")</f>
        <v>show</v>
      </c>
      <c r="H4289" t="str">
        <f>HYPERLINK("https://github.com/Anuken/Mindustry/releases", "show")</f>
        <v>show</v>
      </c>
      <c r="I4289">
        <v>0</v>
      </c>
      <c r="J4289">
        <v>0</v>
      </c>
      <c r="K4289">
        <v>0</v>
      </c>
      <c r="L4289">
        <v>0</v>
      </c>
      <c r="M4289" t="s">
        <v>43</v>
      </c>
    </row>
    <row r="4290" spans="1:13" hidden="1" x14ac:dyDescent="0.15">
      <c r="A4290" t="s">
        <v>13593</v>
      </c>
      <c r="B4290" t="s">
        <v>13594</v>
      </c>
      <c r="C4290" t="s">
        <v>13595</v>
      </c>
      <c r="D4290" t="s">
        <v>13581</v>
      </c>
      <c r="E4290">
        <v>30</v>
      </c>
      <c r="F4290" t="str">
        <f>HYPERLINK("https://github.com/material-components/material-components-android/issues/2339", "show")</f>
        <v>show</v>
      </c>
      <c r="G4290" t="str">
        <f>HYPERLINK("https://github.com/material-components/material-components-android", "show")</f>
        <v>show</v>
      </c>
      <c r="H4290" t="str">
        <f>HYPERLINK("https://github.com/material-components/material-components-android/releases", "show")</f>
        <v>show</v>
      </c>
      <c r="I4290">
        <v>1</v>
      </c>
      <c r="J4290">
        <v>0</v>
      </c>
      <c r="K4290">
        <v>1</v>
      </c>
      <c r="L4290">
        <v>0</v>
      </c>
      <c r="M4290" t="s">
        <v>64</v>
      </c>
    </row>
    <row r="4291" spans="1:13" hidden="1" x14ac:dyDescent="0.15">
      <c r="A4291" t="s">
        <v>13596</v>
      </c>
      <c r="B4291" t="s">
        <v>13597</v>
      </c>
      <c r="C4291" t="s">
        <v>13598</v>
      </c>
      <c r="D4291" t="s">
        <v>13599</v>
      </c>
      <c r="E4291">
        <v>3</v>
      </c>
      <c r="F4291" t="str">
        <f>HYPERLINK("https://github.com/guolindev/PermissionX/issues/116", "show")</f>
        <v>show</v>
      </c>
      <c r="G4291" t="str">
        <f>HYPERLINK("https://github.com/guolindev/PermissionX", "show")</f>
        <v>show</v>
      </c>
      <c r="H4291" t="str">
        <f>HYPERLINK("https://github.com/guolindev/PermissionX/releases", "show")</f>
        <v>show</v>
      </c>
      <c r="I4291">
        <v>1</v>
      </c>
      <c r="J4291">
        <v>0</v>
      </c>
      <c r="K4291">
        <v>1</v>
      </c>
      <c r="L4291">
        <v>0</v>
      </c>
      <c r="M4291" t="s">
        <v>64</v>
      </c>
    </row>
    <row r="4292" spans="1:13" hidden="1" x14ac:dyDescent="0.15">
      <c r="A4292" t="s">
        <v>13600</v>
      </c>
      <c r="B4292" t="s">
        <v>13601</v>
      </c>
      <c r="C4292" t="s">
        <v>13602</v>
      </c>
      <c r="D4292" t="s">
        <v>13603</v>
      </c>
      <c r="E4292">
        <v>0</v>
      </c>
      <c r="F4292" t="str">
        <f>HYPERLINK("https://github.com/Anuken/Mindustry/issues/5787", "show")</f>
        <v>show</v>
      </c>
      <c r="G4292" t="str">
        <f>HYPERLINK("https://github.com/Anuken/Mindustry", "show")</f>
        <v>show</v>
      </c>
      <c r="H4292" t="str">
        <f>HYPERLINK("https://github.com/Anuken/Mindustry/releases", "show")</f>
        <v>show</v>
      </c>
      <c r="I4292">
        <v>1</v>
      </c>
      <c r="J4292">
        <v>1</v>
      </c>
      <c r="K4292">
        <v>0</v>
      </c>
      <c r="L4292">
        <v>0</v>
      </c>
      <c r="M4292" t="s">
        <v>48</v>
      </c>
    </row>
    <row r="4293" spans="1:13" hidden="1" x14ac:dyDescent="0.15">
      <c r="A4293" t="s">
        <v>13604</v>
      </c>
      <c r="B4293" t="s">
        <v>13605</v>
      </c>
      <c r="C4293" t="s">
        <v>13606</v>
      </c>
      <c r="D4293" t="s">
        <v>13603</v>
      </c>
      <c r="E4293">
        <v>16</v>
      </c>
      <c r="F4293" t="str">
        <f>HYPERLINK("https://github.com/PojavLauncherTeam/PojavLauncher/issues/1855", "show")</f>
        <v>show</v>
      </c>
      <c r="G4293" t="str">
        <f>HYPERLINK("https://github.com/PojavLauncherTeam/PojavLauncher", "show")</f>
        <v>show</v>
      </c>
      <c r="H4293" t="str">
        <f>HYPERLINK("https://github.com/PojavLauncherTeam/PojavLauncher/releases", "show")</f>
        <v>show</v>
      </c>
      <c r="I4293">
        <v>1</v>
      </c>
      <c r="J4293">
        <v>0</v>
      </c>
      <c r="K4293">
        <v>0</v>
      </c>
      <c r="L4293">
        <v>0</v>
      </c>
      <c r="M4293" t="s">
        <v>17</v>
      </c>
    </row>
    <row r="4294" spans="1:13" hidden="1" x14ac:dyDescent="0.15">
      <c r="A4294" t="s">
        <v>13607</v>
      </c>
      <c r="B4294" t="s">
        <v>13608</v>
      </c>
      <c r="C4294" t="s">
        <v>13609</v>
      </c>
      <c r="D4294" t="s">
        <v>13603</v>
      </c>
      <c r="E4294">
        <v>53</v>
      </c>
      <c r="F4294" t="str">
        <f>HYPERLINK("https://github.com/Rapsssito/react-native-tcp-socket/issues/120", "show")</f>
        <v>show</v>
      </c>
      <c r="G4294" t="str">
        <f>HYPERLINK("https://github.com/Rapsssito/react-native-tcp-socket", "show")</f>
        <v>show</v>
      </c>
      <c r="H4294" t="str">
        <f>HYPERLINK("https://github.com/Rapsssito/react-native-tcp-socket/releases", "show")</f>
        <v>show</v>
      </c>
      <c r="I4294">
        <v>1</v>
      </c>
      <c r="J4294">
        <v>0</v>
      </c>
      <c r="K4294">
        <v>1</v>
      </c>
      <c r="L4294">
        <v>0</v>
      </c>
      <c r="M4294" t="s">
        <v>64</v>
      </c>
    </row>
    <row r="4295" spans="1:13" hidden="1" x14ac:dyDescent="0.15">
      <c r="A4295" t="s">
        <v>13610</v>
      </c>
      <c r="B4295" t="s">
        <v>13611</v>
      </c>
      <c r="C4295" t="s">
        <v>13612</v>
      </c>
      <c r="D4295" t="s">
        <v>13603</v>
      </c>
      <c r="E4295">
        <v>2</v>
      </c>
      <c r="F4295" t="str">
        <f>HYPERLINK("https://github.com/Anuken/Mindustry/issues/5784", "show")</f>
        <v>show</v>
      </c>
      <c r="G4295" t="str">
        <f>HYPERLINK("https://github.com/Anuken/Mindustry", "show")</f>
        <v>show</v>
      </c>
      <c r="H4295" t="str">
        <f>HYPERLINK("https://github.com/Anuken/Mindustry/releases", "show")</f>
        <v>show</v>
      </c>
      <c r="I4295">
        <v>1</v>
      </c>
      <c r="J4295">
        <v>1</v>
      </c>
      <c r="K4295">
        <v>0</v>
      </c>
      <c r="L4295">
        <v>1</v>
      </c>
      <c r="M4295" t="s">
        <v>1894</v>
      </c>
    </row>
    <row r="4296" spans="1:13" hidden="1" x14ac:dyDescent="0.15">
      <c r="A4296" t="s">
        <v>13613</v>
      </c>
      <c r="B4296" t="s">
        <v>13614</v>
      </c>
      <c r="C4296" t="s">
        <v>13615</v>
      </c>
      <c r="D4296" t="s">
        <v>13603</v>
      </c>
      <c r="E4296">
        <v>0</v>
      </c>
      <c r="F4296" t="str">
        <f>HYPERLINK("https://github.com/Anuken/Mindustry/issues/5783", "show")</f>
        <v>show</v>
      </c>
      <c r="G4296" t="str">
        <f>HYPERLINK("https://github.com/Anuken/Mindustry", "show")</f>
        <v>show</v>
      </c>
      <c r="H4296" t="str">
        <f>HYPERLINK("https://github.com/Anuken/Mindustry/releases", "show")</f>
        <v>show</v>
      </c>
      <c r="I4296">
        <v>1</v>
      </c>
      <c r="J4296">
        <v>0</v>
      </c>
      <c r="K4296">
        <v>1</v>
      </c>
      <c r="L4296">
        <v>0</v>
      </c>
      <c r="M4296" t="s">
        <v>64</v>
      </c>
    </row>
    <row r="4297" spans="1:13" hidden="1" x14ac:dyDescent="0.15">
      <c r="A4297" t="s">
        <v>13616</v>
      </c>
      <c r="B4297" t="s">
        <v>13617</v>
      </c>
      <c r="C4297" t="s">
        <v>13618</v>
      </c>
      <c r="D4297" t="s">
        <v>13603</v>
      </c>
      <c r="E4297">
        <v>44</v>
      </c>
      <c r="F4297" t="str">
        <f>HYPERLINK("https://github.com/Rapsssito/react-native-tcp-socket/issues/119", "show")</f>
        <v>show</v>
      </c>
      <c r="G4297" t="str">
        <f>HYPERLINK("https://github.com/Rapsssito/react-native-tcp-socket", "show")</f>
        <v>show</v>
      </c>
      <c r="H4297" t="str">
        <f>HYPERLINK("https://github.com/Rapsssito/react-native-tcp-socket/releases", "show")</f>
        <v>show</v>
      </c>
      <c r="I4297">
        <v>1</v>
      </c>
      <c r="J4297">
        <v>1</v>
      </c>
      <c r="K4297">
        <v>0</v>
      </c>
      <c r="L4297">
        <v>0</v>
      </c>
      <c r="M4297" t="s">
        <v>48</v>
      </c>
    </row>
    <row r="4298" spans="1:13" hidden="1" x14ac:dyDescent="0.15">
      <c r="A4298" t="s">
        <v>13619</v>
      </c>
      <c r="B4298" t="s">
        <v>13620</v>
      </c>
      <c r="C4298" t="s">
        <v>13289</v>
      </c>
      <c r="D4298" t="s">
        <v>13603</v>
      </c>
      <c r="E4298">
        <v>107</v>
      </c>
      <c r="F4298" t="str">
        <f>HYPERLINK("https://github.com/nextcloud/android/issues/8862", "show")</f>
        <v>show</v>
      </c>
      <c r="G4298" t="str">
        <f>HYPERLINK("https://github.com/nextcloud/android", "show")</f>
        <v>show</v>
      </c>
      <c r="H4298" t="str">
        <f>HYPERLINK("https://github.com/nextcloud/android/releases", "show")</f>
        <v>show</v>
      </c>
      <c r="I4298">
        <v>0</v>
      </c>
      <c r="J4298">
        <v>0</v>
      </c>
      <c r="K4298">
        <v>1</v>
      </c>
      <c r="L4298">
        <v>0</v>
      </c>
      <c r="M4298" t="s">
        <v>122</v>
      </c>
    </row>
    <row r="4299" spans="1:13" hidden="1" x14ac:dyDescent="0.15">
      <c r="A4299" t="s">
        <v>13621</v>
      </c>
      <c r="B4299" t="s">
        <v>13622</v>
      </c>
      <c r="C4299" t="s">
        <v>13623</v>
      </c>
      <c r="D4299" t="s">
        <v>13624</v>
      </c>
      <c r="E4299">
        <v>17</v>
      </c>
      <c r="F4299" t="str">
        <f>HYPERLINK("https://github.com/PojavLauncherTeam/PojavLauncher/issues/1852", "show")</f>
        <v>show</v>
      </c>
      <c r="G4299" t="str">
        <f>HYPERLINK("https://github.com/PojavLauncherTeam/PojavLauncher", "show")</f>
        <v>show</v>
      </c>
      <c r="H4299" t="str">
        <f>HYPERLINK("https://github.com/PojavLauncherTeam/PojavLauncher/releases", "show")</f>
        <v>show</v>
      </c>
      <c r="I4299">
        <v>1</v>
      </c>
      <c r="J4299">
        <v>1</v>
      </c>
      <c r="K4299">
        <v>0</v>
      </c>
      <c r="L4299">
        <v>0</v>
      </c>
      <c r="M4299" t="s">
        <v>48</v>
      </c>
    </row>
    <row r="4300" spans="1:13" hidden="1" x14ac:dyDescent="0.15">
      <c r="A4300" t="s">
        <v>13625</v>
      </c>
      <c r="B4300" t="s">
        <v>13626</v>
      </c>
      <c r="C4300" t="s">
        <v>13627</v>
      </c>
      <c r="D4300" t="s">
        <v>13628</v>
      </c>
      <c r="E4300">
        <v>0</v>
      </c>
      <c r="F4300" t="str">
        <f>HYPERLINK("https://github.com/Anuken/Mindustry/issues/5763", "show")</f>
        <v>show</v>
      </c>
      <c r="G4300" t="str">
        <f>HYPERLINK("https://github.com/Anuken/Mindustry", "show")</f>
        <v>show</v>
      </c>
      <c r="H4300" t="str">
        <f>HYPERLINK("https://github.com/Anuken/Mindustry/releases", "show")</f>
        <v>show</v>
      </c>
      <c r="I4300">
        <v>1</v>
      </c>
      <c r="J4300">
        <v>1</v>
      </c>
      <c r="K4300">
        <v>0</v>
      </c>
      <c r="L4300">
        <v>0</v>
      </c>
      <c r="M4300" t="s">
        <v>48</v>
      </c>
    </row>
    <row r="4301" spans="1:13" hidden="1" x14ac:dyDescent="0.15">
      <c r="A4301" t="s">
        <v>13629</v>
      </c>
      <c r="B4301" t="s">
        <v>13630</v>
      </c>
      <c r="C4301" t="s">
        <v>13631</v>
      </c>
      <c r="D4301" t="s">
        <v>13628</v>
      </c>
      <c r="E4301">
        <v>19</v>
      </c>
      <c r="F4301" t="str">
        <f>HYPERLINK("https://github.com/nextcloud/android/issues/8856", "show")</f>
        <v>show</v>
      </c>
      <c r="G4301" t="str">
        <f>HYPERLINK("https://github.com/nextcloud/android", "show")</f>
        <v>show</v>
      </c>
      <c r="H4301" t="str">
        <f>HYPERLINK("https://github.com/nextcloud/android/releases", "show")</f>
        <v>show</v>
      </c>
      <c r="I4301">
        <v>1</v>
      </c>
      <c r="J4301">
        <v>1</v>
      </c>
      <c r="K4301">
        <v>1</v>
      </c>
      <c r="L4301">
        <v>0</v>
      </c>
      <c r="M4301" t="s">
        <v>59</v>
      </c>
    </row>
    <row r="4302" spans="1:13" hidden="1" x14ac:dyDescent="0.15">
      <c r="A4302" t="s">
        <v>13632</v>
      </c>
      <c r="B4302" t="s">
        <v>13633</v>
      </c>
      <c r="C4302" t="s">
        <v>13634</v>
      </c>
      <c r="D4302" t="s">
        <v>13628</v>
      </c>
      <c r="E4302">
        <v>0</v>
      </c>
      <c r="F4302" t="str">
        <f>HYPERLINK("https://github.com/TeamNewPipe/NewPipe/issues/6920", "show")</f>
        <v>show</v>
      </c>
      <c r="G4302" t="str">
        <f>HYPERLINK("https://github.com/TeamNewPipe/NewPipe", "show")</f>
        <v>show</v>
      </c>
      <c r="H4302" t="str">
        <f>HYPERLINK("https://github.com/TeamNewPipe/NewPipe/releases", "show")</f>
        <v>show</v>
      </c>
      <c r="I4302">
        <v>1</v>
      </c>
      <c r="J4302">
        <v>0</v>
      </c>
      <c r="K4302">
        <v>1</v>
      </c>
      <c r="L4302">
        <v>0</v>
      </c>
      <c r="M4302" t="s">
        <v>64</v>
      </c>
    </row>
    <row r="4303" spans="1:13" hidden="1" x14ac:dyDescent="0.15">
      <c r="A4303" t="s">
        <v>13635</v>
      </c>
      <c r="B4303" t="s">
        <v>13636</v>
      </c>
      <c r="C4303" t="s">
        <v>13637</v>
      </c>
      <c r="D4303" t="s">
        <v>13638</v>
      </c>
      <c r="E4303">
        <v>0</v>
      </c>
      <c r="F4303" t="str">
        <f>HYPERLINK("https://github.com/Keidan/HexViewer/issues/102", "show")</f>
        <v>show</v>
      </c>
      <c r="G4303" t="str">
        <f>HYPERLINK("https://github.com/Keidan/HexViewer", "show")</f>
        <v>show</v>
      </c>
      <c r="H4303" t="str">
        <f>HYPERLINK("https://github.com/Keidan/HexViewer/releases", "show")</f>
        <v>show</v>
      </c>
      <c r="I4303">
        <v>1</v>
      </c>
      <c r="J4303">
        <v>1</v>
      </c>
      <c r="K4303">
        <v>0</v>
      </c>
      <c r="L4303">
        <v>0</v>
      </c>
      <c r="M4303" t="s">
        <v>48</v>
      </c>
    </row>
    <row r="4304" spans="1:13" x14ac:dyDescent="0.15">
      <c r="A4304" t="s">
        <v>13639</v>
      </c>
      <c r="B4304" t="s">
        <v>13640</v>
      </c>
      <c r="C4304" t="s">
        <v>13641</v>
      </c>
      <c r="D4304" t="s">
        <v>13638</v>
      </c>
      <c r="E4304">
        <v>0</v>
      </c>
      <c r="F4304" t="str">
        <f>HYPERLINK("https://github.com/Keidan/HexViewer/issues/96", "show")</f>
        <v>show</v>
      </c>
      <c r="G4304" t="str">
        <f>HYPERLINK("https://github.com/Keidan/HexViewer", "show")</f>
        <v>show</v>
      </c>
      <c r="H4304" t="str">
        <f>HYPERLINK("https://github.com/Keidan/HexViewer/releases", "show")</f>
        <v>show</v>
      </c>
      <c r="I4304">
        <v>0</v>
      </c>
      <c r="J4304">
        <v>1</v>
      </c>
      <c r="K4304">
        <v>0</v>
      </c>
      <c r="L4304">
        <v>0</v>
      </c>
      <c r="M4304" t="s">
        <v>139</v>
      </c>
    </row>
    <row r="4305" spans="1:13" hidden="1" x14ac:dyDescent="0.15">
      <c r="A4305" t="s">
        <v>13642</v>
      </c>
      <c r="B4305" t="s">
        <v>13643</v>
      </c>
      <c r="C4305" t="s">
        <v>13644</v>
      </c>
      <c r="D4305" t="s">
        <v>13638</v>
      </c>
      <c r="E4305">
        <v>0</v>
      </c>
      <c r="F4305" t="str">
        <f>HYPERLINK("https://github.com/Anuken/Mindustry/issues/5760", "show")</f>
        <v>show</v>
      </c>
      <c r="G4305" t="str">
        <f>HYPERLINK("https://github.com/Anuken/Mindustry", "show")</f>
        <v>show</v>
      </c>
      <c r="H4305" t="str">
        <f>HYPERLINK("https://github.com/Anuken/Mindustry/releases", "show")</f>
        <v>show</v>
      </c>
      <c r="I4305">
        <v>1</v>
      </c>
      <c r="J4305">
        <v>1</v>
      </c>
      <c r="K4305">
        <v>0</v>
      </c>
      <c r="L4305">
        <v>0</v>
      </c>
      <c r="M4305" t="s">
        <v>48</v>
      </c>
    </row>
    <row r="4306" spans="1:13" hidden="1" x14ac:dyDescent="0.15">
      <c r="A4306" t="s">
        <v>13645</v>
      </c>
      <c r="B4306" t="s">
        <v>13646</v>
      </c>
      <c r="C4306" t="s">
        <v>13647</v>
      </c>
      <c r="D4306" t="s">
        <v>13638</v>
      </c>
      <c r="E4306">
        <v>1</v>
      </c>
      <c r="F4306" t="str">
        <f>HYPERLINK("https://github.com/TeamNewPipe/NewPipe/issues/6916", "show")</f>
        <v>show</v>
      </c>
      <c r="G4306" t="str">
        <f>HYPERLINK("https://github.com/TeamNewPipe/NewPipe", "show")</f>
        <v>show</v>
      </c>
      <c r="H4306" t="str">
        <f>HYPERLINK("https://github.com/TeamNewPipe/NewPipe/releases", "show")</f>
        <v>show</v>
      </c>
      <c r="I4306">
        <v>0</v>
      </c>
      <c r="J4306">
        <v>0</v>
      </c>
      <c r="K4306">
        <v>1</v>
      </c>
      <c r="L4306">
        <v>0</v>
      </c>
      <c r="M4306" t="s">
        <v>122</v>
      </c>
    </row>
    <row r="4307" spans="1:13" hidden="1" x14ac:dyDescent="0.15">
      <c r="A4307" t="s">
        <v>13648</v>
      </c>
      <c r="B4307" t="s">
        <v>13649</v>
      </c>
      <c r="C4307" t="s">
        <v>13650</v>
      </c>
      <c r="D4307" t="s">
        <v>13638</v>
      </c>
      <c r="E4307">
        <v>191</v>
      </c>
      <c r="F4307" t="str">
        <f>HYPERLINK("https://github.com/nikita36078/J2ME-Loader/issues/821", "show")</f>
        <v>show</v>
      </c>
      <c r="G4307" t="str">
        <f>HYPERLINK("https://github.com/nikita36078/J2ME-Loader", "show")</f>
        <v>show</v>
      </c>
      <c r="H4307" t="str">
        <f>HYPERLINK("https://github.com/nikita36078/J2ME-Loader/releases", "show")</f>
        <v>show</v>
      </c>
      <c r="I4307">
        <v>1</v>
      </c>
      <c r="J4307">
        <v>0</v>
      </c>
      <c r="K4307">
        <v>0</v>
      </c>
      <c r="L4307">
        <v>0</v>
      </c>
      <c r="M4307" t="s">
        <v>17</v>
      </c>
    </row>
    <row r="4308" spans="1:13" hidden="1" x14ac:dyDescent="0.15">
      <c r="A4308" t="s">
        <v>13651</v>
      </c>
      <c r="B4308" t="s">
        <v>13652</v>
      </c>
      <c r="C4308" t="s">
        <v>13653</v>
      </c>
      <c r="D4308" t="s">
        <v>13654</v>
      </c>
      <c r="E4308">
        <v>1</v>
      </c>
      <c r="F4308" t="str">
        <f>HYPERLINK("https://github.com/Benji377/SocyMusic/issues/155", "show")</f>
        <v>show</v>
      </c>
      <c r="G4308" t="str">
        <f>HYPERLINK("https://github.com/Benji377/SocyMusic", "show")</f>
        <v>show</v>
      </c>
      <c r="H4308" t="str">
        <f>HYPERLINK("https://github.com/Benji377/SocyMusic/releases", "show")</f>
        <v>show</v>
      </c>
      <c r="I4308">
        <v>1</v>
      </c>
      <c r="J4308">
        <v>1</v>
      </c>
      <c r="K4308">
        <v>0</v>
      </c>
      <c r="L4308">
        <v>0</v>
      </c>
      <c r="M4308" t="s">
        <v>48</v>
      </c>
    </row>
    <row r="4309" spans="1:13" hidden="1" x14ac:dyDescent="0.15">
      <c r="A4309" t="s">
        <v>13655</v>
      </c>
      <c r="B4309" t="s">
        <v>13656</v>
      </c>
      <c r="C4309" t="s">
        <v>13657</v>
      </c>
      <c r="D4309" t="s">
        <v>13654</v>
      </c>
      <c r="E4309">
        <v>28</v>
      </c>
      <c r="F4309" t="str">
        <f>HYPERLINK("https://github.com/nextcloud/android/issues/8852", "show")</f>
        <v>show</v>
      </c>
      <c r="G4309" t="str">
        <f>HYPERLINK("https://github.com/nextcloud/android", "show")</f>
        <v>show</v>
      </c>
      <c r="H4309" t="str">
        <f>HYPERLINK("https://github.com/nextcloud/android/releases", "show")</f>
        <v>show</v>
      </c>
      <c r="I4309">
        <v>1</v>
      </c>
      <c r="J4309">
        <v>1</v>
      </c>
      <c r="K4309">
        <v>0</v>
      </c>
      <c r="L4309">
        <v>1</v>
      </c>
      <c r="M4309" t="s">
        <v>1894</v>
      </c>
    </row>
    <row r="4310" spans="1:13" hidden="1" x14ac:dyDescent="0.15">
      <c r="A4310" t="s">
        <v>13658</v>
      </c>
      <c r="B4310" t="s">
        <v>13659</v>
      </c>
      <c r="C4310" t="s">
        <v>13660</v>
      </c>
      <c r="D4310" t="s">
        <v>13654</v>
      </c>
      <c r="E4310">
        <v>0</v>
      </c>
      <c r="F4310" t="str">
        <f>HYPERLINK("https://github.com/Anuken/Mindustry/issues/5749", "show")</f>
        <v>show</v>
      </c>
      <c r="G4310" t="str">
        <f>HYPERLINK("https://github.com/Anuken/Mindustry", "show")</f>
        <v>show</v>
      </c>
      <c r="H4310" t="str">
        <f>HYPERLINK("https://github.com/Anuken/Mindustry/releases", "show")</f>
        <v>show</v>
      </c>
      <c r="I4310">
        <v>1</v>
      </c>
      <c r="J4310">
        <v>1</v>
      </c>
      <c r="K4310">
        <v>0</v>
      </c>
      <c r="L4310">
        <v>0</v>
      </c>
      <c r="M4310" t="s">
        <v>48</v>
      </c>
    </row>
    <row r="4311" spans="1:13" hidden="1" x14ac:dyDescent="0.15">
      <c r="A4311" t="s">
        <v>13661</v>
      </c>
      <c r="B4311" t="s">
        <v>13662</v>
      </c>
      <c r="C4311" t="s">
        <v>13663</v>
      </c>
      <c r="D4311" t="s">
        <v>13654</v>
      </c>
      <c r="E4311">
        <v>0</v>
      </c>
      <c r="F4311" t="str">
        <f>HYPERLINK("https://github.com/Anuken/Mindustry/issues/5746", "show")</f>
        <v>show</v>
      </c>
      <c r="G4311" t="str">
        <f>HYPERLINK("https://github.com/Anuken/Mindustry", "show")</f>
        <v>show</v>
      </c>
      <c r="H4311" t="str">
        <f>HYPERLINK("https://github.com/Anuken/Mindustry/releases", "show")</f>
        <v>show</v>
      </c>
      <c r="I4311">
        <v>1</v>
      </c>
      <c r="J4311">
        <v>1</v>
      </c>
      <c r="K4311">
        <v>0</v>
      </c>
      <c r="L4311">
        <v>0</v>
      </c>
      <c r="M4311" t="s">
        <v>48</v>
      </c>
    </row>
    <row r="4312" spans="1:13" hidden="1" x14ac:dyDescent="0.15">
      <c r="A4312" t="s">
        <v>13664</v>
      </c>
      <c r="B4312" t="s">
        <v>13665</v>
      </c>
      <c r="C4312" t="s">
        <v>13666</v>
      </c>
      <c r="D4312" t="s">
        <v>13667</v>
      </c>
      <c r="E4312">
        <v>15</v>
      </c>
      <c r="F4312" t="str">
        <f>HYPERLINK("https://github.com/dashevo/dash-wallet/issues/708", "show")</f>
        <v>show</v>
      </c>
      <c r="G4312" t="str">
        <f>HYPERLINK("https://github.com/dashevo/dash-wallet", "show")</f>
        <v>show</v>
      </c>
      <c r="H4312" t="str">
        <f>HYPERLINK("https://github.com/dashevo/dash-wallet/releases", "show")</f>
        <v>show</v>
      </c>
      <c r="I4312">
        <v>1</v>
      </c>
      <c r="J4312">
        <v>0</v>
      </c>
      <c r="K4312">
        <v>0</v>
      </c>
      <c r="L4312">
        <v>0</v>
      </c>
      <c r="M4312" t="s">
        <v>17</v>
      </c>
    </row>
    <row r="4313" spans="1:13" hidden="1" x14ac:dyDescent="0.15">
      <c r="A4313" t="s">
        <v>13668</v>
      </c>
      <c r="B4313" t="s">
        <v>13669</v>
      </c>
      <c r="C4313" t="s">
        <v>13670</v>
      </c>
      <c r="D4313" t="s">
        <v>13667</v>
      </c>
      <c r="E4313">
        <v>0</v>
      </c>
      <c r="F4313" t="str">
        <f>HYPERLINK("https://github.com/Anuken/Mindustry/issues/5742", "show")</f>
        <v>show</v>
      </c>
      <c r="G4313" t="str">
        <f>HYPERLINK("https://github.com/Anuken/Mindustry", "show")</f>
        <v>show</v>
      </c>
      <c r="H4313" t="str">
        <f>HYPERLINK("https://github.com/Anuken/Mindustry/releases", "show")</f>
        <v>show</v>
      </c>
      <c r="I4313">
        <v>1</v>
      </c>
      <c r="J4313">
        <v>1</v>
      </c>
      <c r="K4313">
        <v>0</v>
      </c>
      <c r="L4313">
        <v>0</v>
      </c>
      <c r="M4313" t="s">
        <v>48</v>
      </c>
    </row>
    <row r="4314" spans="1:13" x14ac:dyDescent="0.15">
      <c r="A4314" t="s">
        <v>13671</v>
      </c>
      <c r="B4314" t="s">
        <v>13672</v>
      </c>
      <c r="C4314" t="s">
        <v>13673</v>
      </c>
      <c r="D4314" t="s">
        <v>13667</v>
      </c>
      <c r="E4314">
        <v>75</v>
      </c>
      <c r="F4314" t="str">
        <f>HYPERLINK("https://github.com/twilio/video-quickstart-android/issues/668", "show")</f>
        <v>show</v>
      </c>
      <c r="G4314" t="str">
        <f>HYPERLINK("https://github.com/twilio/video-quickstart-android", "show")</f>
        <v>show</v>
      </c>
      <c r="H4314" t="str">
        <f>HYPERLINK("https://github.com/twilio/video-quickstart-android/releases", "show")</f>
        <v>show</v>
      </c>
      <c r="I4314">
        <v>0</v>
      </c>
      <c r="J4314">
        <v>1</v>
      </c>
      <c r="K4314">
        <v>0</v>
      </c>
      <c r="L4314">
        <v>0</v>
      </c>
      <c r="M4314" t="s">
        <v>139</v>
      </c>
    </row>
    <row r="4315" spans="1:13" hidden="1" x14ac:dyDescent="0.15">
      <c r="A4315" t="s">
        <v>13674</v>
      </c>
      <c r="B4315" t="s">
        <v>13675</v>
      </c>
      <c r="C4315" t="s">
        <v>13676</v>
      </c>
      <c r="D4315" t="s">
        <v>13667</v>
      </c>
      <c r="E4315">
        <v>0</v>
      </c>
      <c r="F4315" t="str">
        <f>HYPERLINK("https://github.com/TeamNewPipe/NewPipe/issues/6905", "show")</f>
        <v>show</v>
      </c>
      <c r="G4315" t="str">
        <f>HYPERLINK("https://github.com/TeamNewPipe/NewPipe", "show")</f>
        <v>show</v>
      </c>
      <c r="H4315" t="str">
        <f>HYPERLINK("https://github.com/TeamNewPipe/NewPipe/releases", "show")</f>
        <v>show</v>
      </c>
      <c r="I4315">
        <v>1</v>
      </c>
      <c r="J4315">
        <v>1</v>
      </c>
      <c r="K4315">
        <v>1</v>
      </c>
      <c r="L4315">
        <v>0</v>
      </c>
      <c r="M4315" t="s">
        <v>59</v>
      </c>
    </row>
    <row r="4316" spans="1:13" hidden="1" x14ac:dyDescent="0.15">
      <c r="A4316" t="s">
        <v>13677</v>
      </c>
      <c r="B4316" t="s">
        <v>13678</v>
      </c>
      <c r="C4316" t="s">
        <v>13679</v>
      </c>
      <c r="D4316" t="s">
        <v>13667</v>
      </c>
      <c r="E4316">
        <v>0</v>
      </c>
      <c r="F4316" t="str">
        <f>HYPERLINK("https://github.com/Anuken/Mindustry/issues/5738", "show")</f>
        <v>show</v>
      </c>
      <c r="G4316" t="str">
        <f>HYPERLINK("https://github.com/Anuken/Mindustry", "show")</f>
        <v>show</v>
      </c>
      <c r="H4316" t="str">
        <f>HYPERLINK("https://github.com/Anuken/Mindustry/releases", "show")</f>
        <v>show</v>
      </c>
      <c r="I4316">
        <v>1</v>
      </c>
      <c r="J4316">
        <v>0</v>
      </c>
      <c r="K4316">
        <v>1</v>
      </c>
      <c r="L4316">
        <v>1</v>
      </c>
      <c r="M4316" t="s">
        <v>1259</v>
      </c>
    </row>
    <row r="4317" spans="1:13" hidden="1" x14ac:dyDescent="0.15">
      <c r="A4317" t="s">
        <v>13680</v>
      </c>
      <c r="B4317" t="s">
        <v>13681</v>
      </c>
      <c r="C4317" t="s">
        <v>13682</v>
      </c>
      <c r="D4317" t="s">
        <v>13667</v>
      </c>
      <c r="E4317">
        <v>0</v>
      </c>
      <c r="F4317" t="str">
        <f>HYPERLINK("https://github.com/Anuken/Mindustry/issues/5737", "show")</f>
        <v>show</v>
      </c>
      <c r="G4317" t="str">
        <f>HYPERLINK("https://github.com/Anuken/Mindustry", "show")</f>
        <v>show</v>
      </c>
      <c r="H4317" t="str">
        <f>HYPERLINK("https://github.com/Anuken/Mindustry/releases", "show")</f>
        <v>show</v>
      </c>
      <c r="I4317">
        <v>1</v>
      </c>
      <c r="J4317">
        <v>1</v>
      </c>
      <c r="K4317">
        <v>0</v>
      </c>
      <c r="L4317">
        <v>0</v>
      </c>
      <c r="M4317" t="s">
        <v>48</v>
      </c>
    </row>
    <row r="4318" spans="1:13" hidden="1" x14ac:dyDescent="0.15">
      <c r="A4318" t="s">
        <v>13683</v>
      </c>
      <c r="B4318" t="s">
        <v>13684</v>
      </c>
      <c r="C4318" t="s">
        <v>13685</v>
      </c>
      <c r="D4318" t="s">
        <v>13686</v>
      </c>
      <c r="E4318">
        <v>19</v>
      </c>
      <c r="F4318" t="str">
        <f>HYPERLINK("https://github.com/cgeo/cgeo/issues/11452", "show")</f>
        <v>show</v>
      </c>
      <c r="G4318" t="str">
        <f>HYPERLINK("https://github.com/cgeo/cgeo", "show")</f>
        <v>show</v>
      </c>
      <c r="H4318" t="str">
        <f>HYPERLINK("https://github.com/cgeo/cgeo/releases", "show")</f>
        <v>show</v>
      </c>
      <c r="I4318">
        <v>1</v>
      </c>
      <c r="J4318">
        <v>0</v>
      </c>
      <c r="K4318">
        <v>0</v>
      </c>
      <c r="L4318">
        <v>0</v>
      </c>
      <c r="M4318" t="s">
        <v>17</v>
      </c>
    </row>
    <row r="4319" spans="1:13" hidden="1" x14ac:dyDescent="0.15">
      <c r="A4319" t="s">
        <v>13687</v>
      </c>
      <c r="B4319" t="s">
        <v>13688</v>
      </c>
      <c r="C4319" t="s">
        <v>13689</v>
      </c>
      <c r="D4319" t="s">
        <v>13690</v>
      </c>
      <c r="E4319">
        <v>0</v>
      </c>
      <c r="F4319" t="str">
        <f>HYPERLINK("https://github.com/Anuken/Mindustry/issues/5725", "show")</f>
        <v>show</v>
      </c>
      <c r="G4319" t="str">
        <f>HYPERLINK("https://github.com/Anuken/Mindustry", "show")</f>
        <v>show</v>
      </c>
      <c r="H4319" t="str">
        <f>HYPERLINK("https://github.com/Anuken/Mindustry/releases", "show")</f>
        <v>show</v>
      </c>
      <c r="I4319">
        <v>1</v>
      </c>
      <c r="J4319">
        <v>0</v>
      </c>
      <c r="K4319">
        <v>0</v>
      </c>
      <c r="L4319">
        <v>0</v>
      </c>
      <c r="M4319" t="s">
        <v>17</v>
      </c>
    </row>
    <row r="4320" spans="1:13" hidden="1" x14ac:dyDescent="0.15">
      <c r="A4320" t="s">
        <v>13691</v>
      </c>
      <c r="B4320" t="s">
        <v>13692</v>
      </c>
      <c r="C4320" t="s">
        <v>13693</v>
      </c>
      <c r="D4320" t="s">
        <v>13690</v>
      </c>
      <c r="E4320">
        <v>38</v>
      </c>
      <c r="F4320" t="str">
        <f>HYPERLINK("https://github.com/nextcloud/android/issues/8837", "show")</f>
        <v>show</v>
      </c>
      <c r="G4320" t="str">
        <f>HYPERLINK("https://github.com/nextcloud/android", "show")</f>
        <v>show</v>
      </c>
      <c r="H4320" t="str">
        <f>HYPERLINK("https://github.com/nextcloud/android/releases", "show")</f>
        <v>show</v>
      </c>
      <c r="I4320">
        <v>0</v>
      </c>
      <c r="J4320">
        <v>0</v>
      </c>
      <c r="K4320">
        <v>1</v>
      </c>
      <c r="L4320">
        <v>0</v>
      </c>
      <c r="M4320" t="s">
        <v>122</v>
      </c>
    </row>
    <row r="4321" spans="1:13" x14ac:dyDescent="0.15">
      <c r="A4321" t="s">
        <v>13694</v>
      </c>
      <c r="B4321" t="s">
        <v>13695</v>
      </c>
      <c r="C4321" t="s">
        <v>13696</v>
      </c>
      <c r="D4321" t="s">
        <v>13690</v>
      </c>
      <c r="E4321">
        <v>2</v>
      </c>
      <c r="F4321" t="str">
        <f>HYPERLINK("https://github.com/mahmudur85/PjDroid/issues/16", "show")</f>
        <v>show</v>
      </c>
      <c r="G4321" t="str">
        <f>HYPERLINK("https://github.com/mahmudur85/PjDroid", "show")</f>
        <v>show</v>
      </c>
      <c r="H4321" t="str">
        <f>HYPERLINK("https://github.com/mahmudur85/PjDroid/releases", "show")</f>
        <v>show</v>
      </c>
      <c r="I4321">
        <v>0</v>
      </c>
      <c r="J4321">
        <v>1</v>
      </c>
      <c r="K4321">
        <v>0</v>
      </c>
      <c r="L4321">
        <v>0</v>
      </c>
      <c r="M4321" t="s">
        <v>139</v>
      </c>
    </row>
    <row r="4322" spans="1:13" hidden="1" x14ac:dyDescent="0.15">
      <c r="A4322" t="s">
        <v>13697</v>
      </c>
      <c r="B4322" t="s">
        <v>13698</v>
      </c>
      <c r="C4322" t="s">
        <v>13699</v>
      </c>
      <c r="D4322" t="s">
        <v>13690</v>
      </c>
      <c r="E4322">
        <v>98</v>
      </c>
      <c r="F4322" t="str">
        <f>HYPERLINK("https://github.com/forrestguice/SuntimesCalendars/issues/43", "show")</f>
        <v>show</v>
      </c>
      <c r="G4322" t="str">
        <f>HYPERLINK("https://github.com/forrestguice/SuntimesCalendars", "show")</f>
        <v>show</v>
      </c>
      <c r="H4322" t="str">
        <f>HYPERLINK("https://github.com/forrestguice/SuntimesCalendars/releases", "show")</f>
        <v>show</v>
      </c>
      <c r="I4322">
        <v>1</v>
      </c>
      <c r="J4322">
        <v>1</v>
      </c>
      <c r="K4322">
        <v>1</v>
      </c>
      <c r="L4322">
        <v>1</v>
      </c>
      <c r="M4322" t="s">
        <v>2875</v>
      </c>
    </row>
    <row r="4323" spans="1:13" hidden="1" x14ac:dyDescent="0.15">
      <c r="A4323" t="s">
        <v>13700</v>
      </c>
      <c r="B4323" t="s">
        <v>13701</v>
      </c>
      <c r="C4323" t="s">
        <v>13702</v>
      </c>
      <c r="D4323" t="s">
        <v>13690</v>
      </c>
      <c r="E4323">
        <v>23</v>
      </c>
      <c r="F4323" t="str">
        <f>HYPERLINK("https://github.com/PojavLauncherTeam/PojavLauncher/issues/1814", "show")</f>
        <v>show</v>
      </c>
      <c r="G4323" t="str">
        <f>HYPERLINK("https://github.com/PojavLauncherTeam/PojavLauncher", "show")</f>
        <v>show</v>
      </c>
      <c r="H4323" t="str">
        <f>HYPERLINK("https://github.com/PojavLauncherTeam/PojavLauncher/releases", "show")</f>
        <v>show</v>
      </c>
      <c r="I4323">
        <v>0</v>
      </c>
      <c r="J4323">
        <v>1</v>
      </c>
      <c r="K4323">
        <v>0</v>
      </c>
      <c r="L4323">
        <v>1</v>
      </c>
      <c r="M4323" t="s">
        <v>1732</v>
      </c>
    </row>
    <row r="4324" spans="1:13" hidden="1" x14ac:dyDescent="0.15">
      <c r="A4324" t="s">
        <v>13703</v>
      </c>
      <c r="B4324" t="s">
        <v>13704</v>
      </c>
      <c r="C4324" t="s">
        <v>13705</v>
      </c>
      <c r="D4324" t="s">
        <v>13706</v>
      </c>
      <c r="E4324">
        <v>0</v>
      </c>
      <c r="F4324" t="str">
        <f>HYPERLINK("https://github.com/Anuken/Mindustry/issues/5713", "show")</f>
        <v>show</v>
      </c>
      <c r="G4324" t="str">
        <f>HYPERLINK("https://github.com/Anuken/Mindustry", "show")</f>
        <v>show</v>
      </c>
      <c r="H4324" t="str">
        <f>HYPERLINK("https://github.com/Anuken/Mindustry/releases", "show")</f>
        <v>show</v>
      </c>
      <c r="I4324">
        <v>1</v>
      </c>
      <c r="J4324">
        <v>1</v>
      </c>
      <c r="K4324">
        <v>0</v>
      </c>
      <c r="L4324">
        <v>0</v>
      </c>
      <c r="M4324" t="s">
        <v>48</v>
      </c>
    </row>
    <row r="4325" spans="1:13" hidden="1" x14ac:dyDescent="0.15">
      <c r="A4325" t="s">
        <v>13707</v>
      </c>
      <c r="B4325" t="s">
        <v>13708</v>
      </c>
      <c r="C4325" t="s">
        <v>13709</v>
      </c>
      <c r="D4325" t="s">
        <v>13706</v>
      </c>
      <c r="E4325">
        <v>2</v>
      </c>
      <c r="F4325" t="str">
        <f>HYPERLINK("https://github.com/PojavLauncherTeam/PojavLauncher/issues/1804", "show")</f>
        <v>show</v>
      </c>
      <c r="G4325" t="str">
        <f>HYPERLINK("https://github.com/PojavLauncherTeam/PojavLauncher", "show")</f>
        <v>show</v>
      </c>
      <c r="H4325" t="str">
        <f>HYPERLINK("https://github.com/PojavLauncherTeam/PojavLauncher/releases", "show")</f>
        <v>show</v>
      </c>
      <c r="I4325">
        <v>1</v>
      </c>
      <c r="J4325">
        <v>1</v>
      </c>
      <c r="K4325">
        <v>0</v>
      </c>
      <c r="L4325">
        <v>0</v>
      </c>
      <c r="M4325" t="s">
        <v>48</v>
      </c>
    </row>
    <row r="4326" spans="1:13" hidden="1" x14ac:dyDescent="0.15">
      <c r="A4326" t="s">
        <v>13710</v>
      </c>
      <c r="B4326" t="s">
        <v>13711</v>
      </c>
      <c r="C4326" t="s">
        <v>13712</v>
      </c>
      <c r="D4326" t="s">
        <v>13706</v>
      </c>
      <c r="E4326">
        <v>0</v>
      </c>
      <c r="F4326" t="str">
        <f>HYPERLINK("https://github.com/Anuken/Mindustry/issues/5710", "show")</f>
        <v>show</v>
      </c>
      <c r="G4326" t="str">
        <f>HYPERLINK("https://github.com/Anuken/Mindustry", "show")</f>
        <v>show</v>
      </c>
      <c r="H4326" t="str">
        <f>HYPERLINK("https://github.com/Anuken/Mindustry/releases", "show")</f>
        <v>show</v>
      </c>
      <c r="I4326">
        <v>1</v>
      </c>
      <c r="J4326">
        <v>1</v>
      </c>
      <c r="K4326">
        <v>0</v>
      </c>
      <c r="L4326">
        <v>1</v>
      </c>
      <c r="M4326" t="s">
        <v>1894</v>
      </c>
    </row>
    <row r="4327" spans="1:13" hidden="1" x14ac:dyDescent="0.15">
      <c r="A4327" t="s">
        <v>13713</v>
      </c>
      <c r="B4327" t="s">
        <v>13714</v>
      </c>
      <c r="C4327" t="s">
        <v>13715</v>
      </c>
      <c r="D4327" t="s">
        <v>13706</v>
      </c>
      <c r="E4327">
        <v>0</v>
      </c>
      <c r="F4327" t="str">
        <f>HYPERLINK("https://github.com/Anuken/Mindustry/issues/5706", "show")</f>
        <v>show</v>
      </c>
      <c r="G4327" t="str">
        <f>HYPERLINK("https://github.com/Anuken/Mindustry", "show")</f>
        <v>show</v>
      </c>
      <c r="H4327" t="str">
        <f>HYPERLINK("https://github.com/Anuken/Mindustry/releases", "show")</f>
        <v>show</v>
      </c>
      <c r="I4327">
        <v>0</v>
      </c>
      <c r="J4327">
        <v>0</v>
      </c>
      <c r="K4327">
        <v>1</v>
      </c>
      <c r="L4327">
        <v>0</v>
      </c>
      <c r="M4327" t="s">
        <v>122</v>
      </c>
    </row>
    <row r="4328" spans="1:13" hidden="1" x14ac:dyDescent="0.15">
      <c r="A4328" t="s">
        <v>13716</v>
      </c>
      <c r="B4328" t="s">
        <v>13717</v>
      </c>
      <c r="C4328" t="s">
        <v>13718</v>
      </c>
      <c r="D4328" t="s">
        <v>13719</v>
      </c>
      <c r="E4328">
        <v>0</v>
      </c>
      <c r="F4328" t="str">
        <f>HYPERLINK("https://github.com/Anuken/Mindustry/issues/5703", "show")</f>
        <v>show</v>
      </c>
      <c r="G4328" t="str">
        <f>HYPERLINK("https://github.com/Anuken/Mindustry", "show")</f>
        <v>show</v>
      </c>
      <c r="H4328" t="str">
        <f>HYPERLINK("https://github.com/Anuken/Mindustry/releases", "show")</f>
        <v>show</v>
      </c>
      <c r="I4328">
        <v>1</v>
      </c>
      <c r="J4328">
        <v>1</v>
      </c>
      <c r="K4328">
        <v>0</v>
      </c>
      <c r="L4328">
        <v>0</v>
      </c>
      <c r="M4328" t="s">
        <v>48</v>
      </c>
    </row>
    <row r="4329" spans="1:13" hidden="1" x14ac:dyDescent="0.15">
      <c r="A4329" t="s">
        <v>13720</v>
      </c>
      <c r="B4329" t="s">
        <v>13721</v>
      </c>
      <c r="C4329" t="s">
        <v>13722</v>
      </c>
      <c r="D4329" t="s">
        <v>13719</v>
      </c>
      <c r="E4329">
        <v>0</v>
      </c>
      <c r="F4329" t="str">
        <f>HYPERLINK("https://github.com/Anuken/Mindustry/issues/5702", "show")</f>
        <v>show</v>
      </c>
      <c r="G4329" t="str">
        <f>HYPERLINK("https://github.com/Anuken/Mindustry", "show")</f>
        <v>show</v>
      </c>
      <c r="H4329" t="str">
        <f>HYPERLINK("https://github.com/Anuken/Mindustry/releases", "show")</f>
        <v>show</v>
      </c>
      <c r="I4329">
        <v>1</v>
      </c>
      <c r="J4329">
        <v>1</v>
      </c>
      <c r="K4329">
        <v>0</v>
      </c>
      <c r="L4329">
        <v>1</v>
      </c>
      <c r="M4329" t="s">
        <v>1894</v>
      </c>
    </row>
    <row r="4330" spans="1:13" hidden="1" x14ac:dyDescent="0.15">
      <c r="A4330" t="s">
        <v>13723</v>
      </c>
      <c r="B4330" t="s">
        <v>13724</v>
      </c>
      <c r="C4330" t="s">
        <v>13725</v>
      </c>
      <c r="D4330" t="s">
        <v>13719</v>
      </c>
      <c r="E4330">
        <v>0</v>
      </c>
      <c r="F4330" t="str">
        <f>HYPERLINK("https://github.com/Anuken/Mindustry/issues/5701", "show")</f>
        <v>show</v>
      </c>
      <c r="G4330" t="str">
        <f>HYPERLINK("https://github.com/Anuken/Mindustry", "show")</f>
        <v>show</v>
      </c>
      <c r="H4330" t="str">
        <f>HYPERLINK("https://github.com/Anuken/Mindustry/releases", "show")</f>
        <v>show</v>
      </c>
      <c r="I4330">
        <v>1</v>
      </c>
      <c r="J4330">
        <v>1</v>
      </c>
      <c r="K4330">
        <v>0</v>
      </c>
      <c r="L4330">
        <v>0</v>
      </c>
      <c r="M4330" t="s">
        <v>48</v>
      </c>
    </row>
    <row r="4331" spans="1:13" hidden="1" x14ac:dyDescent="0.15">
      <c r="A4331" t="s">
        <v>13726</v>
      </c>
      <c r="B4331" t="s">
        <v>13727</v>
      </c>
      <c r="C4331" t="s">
        <v>13728</v>
      </c>
      <c r="D4331" t="s">
        <v>13729</v>
      </c>
      <c r="E4331">
        <v>5</v>
      </c>
      <c r="F4331" t="str">
        <f>HYPERLINK("https://github.com/GoogleCloudPlatform/fda-mystudies/issues/3996", "show")</f>
        <v>show</v>
      </c>
      <c r="G4331" t="str">
        <f>HYPERLINK("https://github.com/GoogleCloudPlatform/fda-mystudies", "show")</f>
        <v>show</v>
      </c>
      <c r="H4331" t="str">
        <f>HYPERLINK("https://github.com/GoogleCloudPlatform/fda-mystudies/releases", "show")</f>
        <v>show</v>
      </c>
      <c r="I4331">
        <v>1</v>
      </c>
      <c r="J4331">
        <v>1</v>
      </c>
      <c r="K4331">
        <v>0</v>
      </c>
      <c r="L4331">
        <v>0</v>
      </c>
      <c r="M4331" t="s">
        <v>48</v>
      </c>
    </row>
    <row r="4332" spans="1:13" hidden="1" x14ac:dyDescent="0.15">
      <c r="A4332" t="s">
        <v>13730</v>
      </c>
      <c r="B4332" t="s">
        <v>13731</v>
      </c>
      <c r="C4332" t="s">
        <v>13732</v>
      </c>
      <c r="D4332" t="s">
        <v>13729</v>
      </c>
      <c r="E4332">
        <v>5</v>
      </c>
      <c r="F4332" t="str">
        <f>HYPERLINK("https://github.com/GoogleCloudPlatform/fda-mystudies/issues/3991", "show")</f>
        <v>show</v>
      </c>
      <c r="G4332" t="str">
        <f>HYPERLINK("https://github.com/GoogleCloudPlatform/fda-mystudies", "show")</f>
        <v>show</v>
      </c>
      <c r="H4332" t="str">
        <f>HYPERLINK("https://github.com/GoogleCloudPlatform/fda-mystudies/releases", "show")</f>
        <v>show</v>
      </c>
      <c r="I4332">
        <v>1</v>
      </c>
      <c r="J4332">
        <v>1</v>
      </c>
      <c r="K4332">
        <v>0</v>
      </c>
      <c r="L4332">
        <v>0</v>
      </c>
      <c r="M4332" t="s">
        <v>48</v>
      </c>
    </row>
    <row r="4333" spans="1:13" hidden="1" x14ac:dyDescent="0.15">
      <c r="A4333" t="s">
        <v>13733</v>
      </c>
      <c r="B4333" t="s">
        <v>13734</v>
      </c>
      <c r="C4333" t="s">
        <v>13735</v>
      </c>
      <c r="D4333" t="s">
        <v>13729</v>
      </c>
      <c r="E4333">
        <v>4</v>
      </c>
      <c r="F4333" t="str">
        <f>HYPERLINK("https://github.com/hzi-braunschweig/SORMAS-Project/issues/6294", "show")</f>
        <v>show</v>
      </c>
      <c r="G4333" t="str">
        <f>HYPERLINK("https://github.com/hzi-braunschweig/SORMAS-Project", "show")</f>
        <v>show</v>
      </c>
      <c r="H4333" t="str">
        <f>HYPERLINK("https://github.com/hzi-braunschweig/SORMAS-Project/releases", "show")</f>
        <v>show</v>
      </c>
      <c r="I4333">
        <v>1</v>
      </c>
      <c r="J4333">
        <v>1</v>
      </c>
      <c r="K4333">
        <v>0</v>
      </c>
      <c r="L4333">
        <v>0</v>
      </c>
      <c r="M4333" t="s">
        <v>48</v>
      </c>
    </row>
    <row r="4334" spans="1:13" x14ac:dyDescent="0.15">
      <c r="A4334" t="s">
        <v>13736</v>
      </c>
      <c r="B4334" t="s">
        <v>13737</v>
      </c>
      <c r="C4334" t="s">
        <v>13738</v>
      </c>
      <c r="D4334" t="s">
        <v>13729</v>
      </c>
      <c r="E4334">
        <v>76</v>
      </c>
      <c r="F4334" t="str">
        <f>HYPERLINK("https://github.com/flutter-package/images_picker/issues/44", "show")</f>
        <v>show</v>
      </c>
      <c r="G4334" t="str">
        <f>HYPERLINK("https://github.com/flutter-package/images_picker", "show")</f>
        <v>show</v>
      </c>
      <c r="H4334" t="str">
        <f>HYPERLINK("https://github.com/flutter-package/images_picker/releases", "show")</f>
        <v>show</v>
      </c>
      <c r="I4334">
        <v>0</v>
      </c>
      <c r="J4334">
        <v>1</v>
      </c>
      <c r="K4334">
        <v>0</v>
      </c>
      <c r="L4334">
        <v>0</v>
      </c>
      <c r="M4334" t="s">
        <v>139</v>
      </c>
    </row>
    <row r="4335" spans="1:13" hidden="1" x14ac:dyDescent="0.15">
      <c r="A4335" t="s">
        <v>13739</v>
      </c>
      <c r="B4335" t="s">
        <v>13740</v>
      </c>
      <c r="C4335" t="s">
        <v>13741</v>
      </c>
      <c r="D4335" t="s">
        <v>13742</v>
      </c>
      <c r="E4335">
        <v>47</v>
      </c>
      <c r="F4335" t="str">
        <f>HYPERLINK("https://github.com/google/ExoPlayer/issues/9257", "show")</f>
        <v>show</v>
      </c>
      <c r="G4335" t="str">
        <f>HYPERLINK("https://github.com/google/ExoPlayer", "show")</f>
        <v>show</v>
      </c>
      <c r="H4335" t="str">
        <f>HYPERLINK("https://github.com/google/ExoPlayer/releases", "show")</f>
        <v>show</v>
      </c>
      <c r="I4335">
        <v>1</v>
      </c>
      <c r="J4335">
        <v>1</v>
      </c>
      <c r="K4335">
        <v>1</v>
      </c>
      <c r="L4335">
        <v>0</v>
      </c>
      <c r="M4335" t="s">
        <v>59</v>
      </c>
    </row>
    <row r="4336" spans="1:13" hidden="1" x14ac:dyDescent="0.15">
      <c r="A4336" t="s">
        <v>13743</v>
      </c>
      <c r="B4336" t="s">
        <v>13744</v>
      </c>
      <c r="C4336" t="s">
        <v>13745</v>
      </c>
      <c r="D4336" t="s">
        <v>13742</v>
      </c>
      <c r="E4336">
        <v>3</v>
      </c>
      <c r="F4336" t="str">
        <f>HYPERLINK("https://github.com/PojavLauncherTeam/PojavLauncher/issues/1790", "show")</f>
        <v>show</v>
      </c>
      <c r="G4336" t="str">
        <f>HYPERLINK("https://github.com/PojavLauncherTeam/PojavLauncher", "show")</f>
        <v>show</v>
      </c>
      <c r="H4336" t="str">
        <f>HYPERLINK("https://github.com/PojavLauncherTeam/PojavLauncher/releases", "show")</f>
        <v>show</v>
      </c>
      <c r="I4336">
        <v>1</v>
      </c>
      <c r="J4336">
        <v>1</v>
      </c>
      <c r="K4336">
        <v>0</v>
      </c>
      <c r="L4336">
        <v>0</v>
      </c>
      <c r="M4336" t="s">
        <v>48</v>
      </c>
    </row>
    <row r="4337" spans="1:13" x14ac:dyDescent="0.15">
      <c r="A4337" t="s">
        <v>13746</v>
      </c>
      <c r="B4337" t="s">
        <v>13747</v>
      </c>
      <c r="C4337" t="s">
        <v>13748</v>
      </c>
      <c r="D4337" t="s">
        <v>13742</v>
      </c>
      <c r="E4337">
        <v>0</v>
      </c>
      <c r="F4337" t="str">
        <f>HYPERLINK("https://github.com/Anuken/Mindustry/issues/5699", "show")</f>
        <v>show</v>
      </c>
      <c r="G4337" t="str">
        <f>HYPERLINK("https://github.com/Anuken/Mindustry", "show")</f>
        <v>show</v>
      </c>
      <c r="H4337" t="str">
        <f>HYPERLINK("https://github.com/Anuken/Mindustry/releases", "show")</f>
        <v>show</v>
      </c>
      <c r="I4337">
        <v>0</v>
      </c>
      <c r="J4337">
        <v>1</v>
      </c>
      <c r="K4337">
        <v>0</v>
      </c>
      <c r="L4337">
        <v>0</v>
      </c>
      <c r="M4337" t="s">
        <v>139</v>
      </c>
    </row>
    <row r="4338" spans="1:13" hidden="1" x14ac:dyDescent="0.15">
      <c r="A4338" t="s">
        <v>13749</v>
      </c>
      <c r="B4338" t="s">
        <v>13750</v>
      </c>
      <c r="C4338" t="s">
        <v>13751</v>
      </c>
      <c r="D4338" t="s">
        <v>13742</v>
      </c>
      <c r="E4338">
        <v>0</v>
      </c>
      <c r="F4338" t="str">
        <f>HYPERLINK("https://github.com/TeamNewPipe/NewPipe/issues/6843", "show")</f>
        <v>show</v>
      </c>
      <c r="G4338" t="str">
        <f>HYPERLINK("https://github.com/TeamNewPipe/NewPipe", "show")</f>
        <v>show</v>
      </c>
      <c r="H4338" t="str">
        <f>HYPERLINK("https://github.com/TeamNewPipe/NewPipe/releases", "show")</f>
        <v>show</v>
      </c>
      <c r="I4338">
        <v>1</v>
      </c>
      <c r="J4338">
        <v>1</v>
      </c>
      <c r="K4338">
        <v>0</v>
      </c>
      <c r="L4338">
        <v>0</v>
      </c>
      <c r="M4338" t="s">
        <v>48</v>
      </c>
    </row>
    <row r="4339" spans="1:13" hidden="1" x14ac:dyDescent="0.15">
      <c r="A4339" t="s">
        <v>13752</v>
      </c>
      <c r="B4339" t="s">
        <v>13753</v>
      </c>
      <c r="C4339" t="s">
        <v>13754</v>
      </c>
      <c r="D4339" t="s">
        <v>13742</v>
      </c>
      <c r="E4339">
        <v>1</v>
      </c>
      <c r="F4339" t="str">
        <f>HYPERLINK("https://github.com/cgeo/cgeo/issues/11412", "show")</f>
        <v>show</v>
      </c>
      <c r="G4339" t="str">
        <f>HYPERLINK("https://github.com/cgeo/cgeo", "show")</f>
        <v>show</v>
      </c>
      <c r="H4339" t="str">
        <f>HYPERLINK("https://github.com/cgeo/cgeo/releases", "show")</f>
        <v>show</v>
      </c>
      <c r="I4339">
        <v>1</v>
      </c>
      <c r="J4339">
        <v>1</v>
      </c>
      <c r="K4339">
        <v>1</v>
      </c>
      <c r="L4339">
        <v>0</v>
      </c>
      <c r="M4339" t="s">
        <v>59</v>
      </c>
    </row>
    <row r="4340" spans="1:13" hidden="1" x14ac:dyDescent="0.15">
      <c r="A4340" t="s">
        <v>13755</v>
      </c>
      <c r="B4340" t="s">
        <v>13542</v>
      </c>
      <c r="C4340" t="s">
        <v>13756</v>
      </c>
      <c r="D4340" t="s">
        <v>13742</v>
      </c>
      <c r="E4340">
        <v>0</v>
      </c>
      <c r="F4340" t="str">
        <f>HYPERLINK("https://github.com/Anuken/Mindustry/issues/5697", "show")</f>
        <v>show</v>
      </c>
      <c r="G4340" t="str">
        <f>HYPERLINK("https://github.com/Anuken/Mindustry", "show")</f>
        <v>show</v>
      </c>
      <c r="H4340" t="str">
        <f>HYPERLINK("https://github.com/Anuken/Mindustry/releases", "show")</f>
        <v>show</v>
      </c>
      <c r="I4340">
        <v>1</v>
      </c>
      <c r="J4340">
        <v>1</v>
      </c>
      <c r="K4340">
        <v>1</v>
      </c>
      <c r="L4340">
        <v>0</v>
      </c>
      <c r="M4340" t="s">
        <v>59</v>
      </c>
    </row>
    <row r="4341" spans="1:13" hidden="1" x14ac:dyDescent="0.15">
      <c r="A4341" t="s">
        <v>13757</v>
      </c>
      <c r="B4341" t="s">
        <v>13758</v>
      </c>
      <c r="C4341" t="s">
        <v>13759</v>
      </c>
      <c r="D4341" t="s">
        <v>13742</v>
      </c>
      <c r="E4341">
        <v>10</v>
      </c>
      <c r="F4341" t="str">
        <f>HYPERLINK("https://github.com/TeamNewPipe/NewPipe/issues/6842", "show")</f>
        <v>show</v>
      </c>
      <c r="G4341" t="str">
        <f>HYPERLINK("https://github.com/TeamNewPipe/NewPipe", "show")</f>
        <v>show</v>
      </c>
      <c r="H4341" t="str">
        <f>HYPERLINK("https://github.com/TeamNewPipe/NewPipe/releases", "show")</f>
        <v>show</v>
      </c>
      <c r="I4341">
        <v>1</v>
      </c>
      <c r="J4341">
        <v>1</v>
      </c>
      <c r="K4341">
        <v>0</v>
      </c>
      <c r="L4341">
        <v>1</v>
      </c>
      <c r="M4341" t="s">
        <v>1894</v>
      </c>
    </row>
    <row r="4342" spans="1:13" hidden="1" x14ac:dyDescent="0.15">
      <c r="A4342" t="s">
        <v>13760</v>
      </c>
      <c r="B4342" t="s">
        <v>13761</v>
      </c>
      <c r="C4342" t="s">
        <v>13762</v>
      </c>
      <c r="D4342" t="s">
        <v>13742</v>
      </c>
      <c r="E4342">
        <v>107</v>
      </c>
      <c r="F4342" t="str">
        <f>HYPERLINK("https://github.com/googleads/googleads-mobile-flutter/issues/330", "show")</f>
        <v>show</v>
      </c>
      <c r="G4342" t="str">
        <f>HYPERLINK("https://github.com/googleads/googleads-mobile-flutter", "show")</f>
        <v>show</v>
      </c>
      <c r="H4342" t="str">
        <f>HYPERLINK("https://github.com/googleads/googleads-mobile-flutter/releases", "show")</f>
        <v>show</v>
      </c>
      <c r="I4342">
        <v>1</v>
      </c>
      <c r="J4342">
        <v>0</v>
      </c>
      <c r="K4342">
        <v>0</v>
      </c>
      <c r="L4342">
        <v>0</v>
      </c>
      <c r="M4342" t="s">
        <v>17</v>
      </c>
    </row>
    <row r="4343" spans="1:13" hidden="1" x14ac:dyDescent="0.15">
      <c r="A4343" t="s">
        <v>13763</v>
      </c>
      <c r="B4343" t="s">
        <v>13764</v>
      </c>
      <c r="C4343" t="s">
        <v>13765</v>
      </c>
      <c r="D4343" t="s">
        <v>13742</v>
      </c>
      <c r="E4343">
        <v>10</v>
      </c>
      <c r="F4343" t="str">
        <f>HYPERLINK("https://github.com/PojavLauncherTeam/PojavLauncher/issues/1784", "show")</f>
        <v>show</v>
      </c>
      <c r="G4343" t="str">
        <f>HYPERLINK("https://github.com/PojavLauncherTeam/PojavLauncher", "show")</f>
        <v>show</v>
      </c>
      <c r="H4343" t="str">
        <f>HYPERLINK("https://github.com/PojavLauncherTeam/PojavLauncher/releases", "show")</f>
        <v>show</v>
      </c>
      <c r="I4343">
        <v>1</v>
      </c>
      <c r="J4343">
        <v>1</v>
      </c>
      <c r="K4343">
        <v>0</v>
      </c>
      <c r="L4343">
        <v>0</v>
      </c>
      <c r="M4343" t="s">
        <v>48</v>
      </c>
    </row>
    <row r="4344" spans="1:13" hidden="1" x14ac:dyDescent="0.15">
      <c r="A4344" t="s">
        <v>13766</v>
      </c>
      <c r="B4344" t="s">
        <v>13767</v>
      </c>
      <c r="C4344" t="s">
        <v>13768</v>
      </c>
      <c r="D4344" t="s">
        <v>13742</v>
      </c>
      <c r="E4344">
        <v>3</v>
      </c>
      <c r="F4344" t="str">
        <f>HYPERLINK("https://github.com/PojavLauncherTeam/PojavLauncher/issues/1783", "show")</f>
        <v>show</v>
      </c>
      <c r="G4344" t="str">
        <f>HYPERLINK("https://github.com/PojavLauncherTeam/PojavLauncher", "show")</f>
        <v>show</v>
      </c>
      <c r="H4344" t="str">
        <f>HYPERLINK("https://github.com/PojavLauncherTeam/PojavLauncher/releases", "show")</f>
        <v>show</v>
      </c>
      <c r="I4344">
        <v>0</v>
      </c>
      <c r="J4344">
        <v>0</v>
      </c>
      <c r="K4344">
        <v>0</v>
      </c>
      <c r="L4344">
        <v>0</v>
      </c>
      <c r="M4344" t="s">
        <v>43</v>
      </c>
    </row>
    <row r="4345" spans="1:13" hidden="1" x14ac:dyDescent="0.15">
      <c r="A4345" t="s">
        <v>13769</v>
      </c>
      <c r="B4345" t="s">
        <v>13770</v>
      </c>
      <c r="C4345" t="s">
        <v>13771</v>
      </c>
      <c r="D4345" t="s">
        <v>13742</v>
      </c>
      <c r="E4345">
        <v>7</v>
      </c>
      <c r="F4345" t="str">
        <f>HYPERLINK("https://github.com/nextcloud/android/issues/8804", "show")</f>
        <v>show</v>
      </c>
      <c r="G4345" t="str">
        <f>HYPERLINK("https://github.com/nextcloud/android", "show")</f>
        <v>show</v>
      </c>
      <c r="H4345" t="str">
        <f>HYPERLINK("https://github.com/nextcloud/android/releases", "show")</f>
        <v>show</v>
      </c>
      <c r="I4345">
        <v>1</v>
      </c>
      <c r="J4345">
        <v>0</v>
      </c>
      <c r="K4345">
        <v>1</v>
      </c>
      <c r="L4345">
        <v>0</v>
      </c>
      <c r="M4345" t="s">
        <v>64</v>
      </c>
    </row>
    <row r="4346" spans="1:13" hidden="1" x14ac:dyDescent="0.15">
      <c r="A4346" t="s">
        <v>13772</v>
      </c>
      <c r="B4346" t="s">
        <v>13773</v>
      </c>
      <c r="C4346" t="s">
        <v>13774</v>
      </c>
      <c r="D4346" t="s">
        <v>13742</v>
      </c>
      <c r="E4346">
        <v>1</v>
      </c>
      <c r="F4346" t="str">
        <f>HYPERLINK("https://github.com/material-components/material-components-android/issues/2324", "show")</f>
        <v>show</v>
      </c>
      <c r="G4346" t="str">
        <f>HYPERLINK("https://github.com/material-components/material-components-android", "show")</f>
        <v>show</v>
      </c>
      <c r="H4346" t="str">
        <f>HYPERLINK("https://github.com/material-components/material-components-android/releases", "show")</f>
        <v>show</v>
      </c>
      <c r="I4346">
        <v>1</v>
      </c>
      <c r="J4346">
        <v>0</v>
      </c>
      <c r="K4346">
        <v>1</v>
      </c>
      <c r="L4346">
        <v>0</v>
      </c>
      <c r="M4346" t="s">
        <v>64</v>
      </c>
    </row>
    <row r="4347" spans="1:13" hidden="1" x14ac:dyDescent="0.15">
      <c r="A4347" t="s">
        <v>13775</v>
      </c>
      <c r="B4347" t="s">
        <v>13776</v>
      </c>
      <c r="C4347" t="s">
        <v>13777</v>
      </c>
      <c r="D4347" t="s">
        <v>13742</v>
      </c>
      <c r="E4347">
        <v>0</v>
      </c>
      <c r="F4347" t="str">
        <f>HYPERLINK("https://github.com/deltachat/deltachat-android/issues/2012", "show")</f>
        <v>show</v>
      </c>
      <c r="G4347" t="str">
        <f>HYPERLINK("https://github.com/deltachat/deltachat-android", "show")</f>
        <v>show</v>
      </c>
      <c r="H4347" t="str">
        <f>HYPERLINK("https://github.com/deltachat/deltachat-android/releases", "show")</f>
        <v>show</v>
      </c>
      <c r="I4347">
        <v>1</v>
      </c>
      <c r="J4347">
        <v>0</v>
      </c>
      <c r="K4347">
        <v>1</v>
      </c>
      <c r="L4347">
        <v>0</v>
      </c>
      <c r="M4347" t="s">
        <v>64</v>
      </c>
    </row>
    <row r="4348" spans="1:13" hidden="1" x14ac:dyDescent="0.15">
      <c r="A4348" t="s">
        <v>13778</v>
      </c>
      <c r="B4348" t="s">
        <v>13779</v>
      </c>
      <c r="C4348" t="s">
        <v>13780</v>
      </c>
      <c r="D4348" t="s">
        <v>13781</v>
      </c>
      <c r="E4348">
        <v>0</v>
      </c>
      <c r="F4348" t="str">
        <f>HYPERLINK("https://github.com/Anuken/Mindustry/issues/5693", "show")</f>
        <v>show</v>
      </c>
      <c r="G4348" t="str">
        <f>HYPERLINK("https://github.com/Anuken/Mindustry", "show")</f>
        <v>show</v>
      </c>
      <c r="H4348" t="str">
        <f>HYPERLINK("https://github.com/Anuken/Mindustry/releases", "show")</f>
        <v>show</v>
      </c>
      <c r="I4348">
        <v>1</v>
      </c>
      <c r="J4348">
        <v>1</v>
      </c>
      <c r="K4348">
        <v>0</v>
      </c>
      <c r="L4348">
        <v>0</v>
      </c>
      <c r="M4348" t="s">
        <v>48</v>
      </c>
    </row>
    <row r="4349" spans="1:13" hidden="1" x14ac:dyDescent="0.15">
      <c r="A4349" t="s">
        <v>13782</v>
      </c>
      <c r="B4349" t="s">
        <v>13783</v>
      </c>
      <c r="C4349" t="s">
        <v>13784</v>
      </c>
      <c r="D4349" t="s">
        <v>13781</v>
      </c>
      <c r="E4349">
        <v>10</v>
      </c>
      <c r="F4349" t="str">
        <f>HYPERLINK("https://github.com/openid/AppAuth-Android/issues/726", "show")</f>
        <v>show</v>
      </c>
      <c r="G4349" t="str">
        <f>HYPERLINK("https://github.com/openid/AppAuth-Android", "show")</f>
        <v>show</v>
      </c>
      <c r="H4349" t="str">
        <f>HYPERLINK("https://github.com/openid/AppAuth-Android/releases", "show")</f>
        <v>show</v>
      </c>
      <c r="I4349">
        <v>0</v>
      </c>
      <c r="J4349">
        <v>1</v>
      </c>
      <c r="K4349">
        <v>1</v>
      </c>
      <c r="L4349">
        <v>0</v>
      </c>
      <c r="M4349" t="s">
        <v>699</v>
      </c>
    </row>
    <row r="4350" spans="1:13" hidden="1" x14ac:dyDescent="0.15">
      <c r="A4350" t="s">
        <v>13785</v>
      </c>
      <c r="B4350" t="s">
        <v>13786</v>
      </c>
      <c r="C4350" t="s">
        <v>13787</v>
      </c>
      <c r="D4350" t="s">
        <v>13781</v>
      </c>
      <c r="E4350">
        <v>0</v>
      </c>
      <c r="F4350" t="str">
        <f>HYPERLINK("https://github.com/Anuken/Mindustry/issues/5691", "show")</f>
        <v>show</v>
      </c>
      <c r="G4350" t="str">
        <f>HYPERLINK("https://github.com/Anuken/Mindustry", "show")</f>
        <v>show</v>
      </c>
      <c r="H4350" t="str">
        <f>HYPERLINK("https://github.com/Anuken/Mindustry/releases", "show")</f>
        <v>show</v>
      </c>
      <c r="I4350">
        <v>1</v>
      </c>
      <c r="J4350">
        <v>1</v>
      </c>
      <c r="K4350">
        <v>0</v>
      </c>
      <c r="L4350">
        <v>0</v>
      </c>
      <c r="M4350" t="s">
        <v>48</v>
      </c>
    </row>
    <row r="4351" spans="1:13" hidden="1" x14ac:dyDescent="0.15">
      <c r="A4351" t="s">
        <v>13788</v>
      </c>
      <c r="B4351" t="s">
        <v>13789</v>
      </c>
      <c r="C4351" t="s">
        <v>13790</v>
      </c>
      <c r="D4351" t="s">
        <v>13781</v>
      </c>
      <c r="E4351">
        <v>0</v>
      </c>
      <c r="F4351" t="str">
        <f>HYPERLINK("https://github.com/TeamNewPipe/NewPipe/issues/6831", "show")</f>
        <v>show</v>
      </c>
      <c r="G4351" t="str">
        <f>HYPERLINK("https://github.com/TeamNewPipe/NewPipe", "show")</f>
        <v>show</v>
      </c>
      <c r="H4351" t="str">
        <f>HYPERLINK("https://github.com/TeamNewPipe/NewPipe/releases", "show")</f>
        <v>show</v>
      </c>
      <c r="I4351">
        <v>0</v>
      </c>
      <c r="J4351">
        <v>0</v>
      </c>
      <c r="K4351">
        <v>0</v>
      </c>
      <c r="L4351">
        <v>0</v>
      </c>
      <c r="M4351" t="s">
        <v>43</v>
      </c>
    </row>
    <row r="4352" spans="1:13" hidden="1" x14ac:dyDescent="0.15">
      <c r="A4352" t="s">
        <v>13791</v>
      </c>
      <c r="B4352" t="s">
        <v>13792</v>
      </c>
      <c r="C4352" t="s">
        <v>13793</v>
      </c>
      <c r="D4352" t="s">
        <v>13794</v>
      </c>
      <c r="E4352">
        <v>4</v>
      </c>
      <c r="F4352" t="str">
        <f>HYPERLINK("https://github.com/JoseJuanSE/Neo-Alexandria/issues/96", "show")</f>
        <v>show</v>
      </c>
      <c r="G4352" t="str">
        <f>HYPERLINK("https://github.com/JoseJuanSE/Neo-Alexandria", "show")</f>
        <v>show</v>
      </c>
      <c r="H4352" t="str">
        <f>HYPERLINK("https://github.com/JoseJuanSE/Neo-Alexandria/releases", "show")</f>
        <v>show</v>
      </c>
      <c r="I4352">
        <v>0</v>
      </c>
      <c r="J4352">
        <v>0</v>
      </c>
      <c r="K4352">
        <v>0</v>
      </c>
      <c r="L4352">
        <v>0</v>
      </c>
      <c r="M4352" t="s">
        <v>43</v>
      </c>
    </row>
    <row r="4353" spans="1:13" hidden="1" x14ac:dyDescent="0.15">
      <c r="A4353" t="s">
        <v>13795</v>
      </c>
      <c r="B4353" t="s">
        <v>13796</v>
      </c>
      <c r="C4353" t="s">
        <v>13797</v>
      </c>
      <c r="D4353" t="s">
        <v>13794</v>
      </c>
      <c r="E4353">
        <v>46</v>
      </c>
      <c r="F4353" t="str">
        <f>HYPERLINK("https://github.com/gluonhq/substrate/issues/973", "show")</f>
        <v>show</v>
      </c>
      <c r="G4353" t="str">
        <f>HYPERLINK("https://github.com/gluonhq/substrate", "show")</f>
        <v>show</v>
      </c>
      <c r="H4353" t="str">
        <f>HYPERLINK("https://github.com/gluonhq/substrate/releases", "show")</f>
        <v>show</v>
      </c>
      <c r="I4353">
        <v>1</v>
      </c>
      <c r="J4353">
        <v>0</v>
      </c>
      <c r="K4353">
        <v>1</v>
      </c>
      <c r="L4353">
        <v>0</v>
      </c>
      <c r="M4353" t="s">
        <v>64</v>
      </c>
    </row>
    <row r="4354" spans="1:13" hidden="1" x14ac:dyDescent="0.15">
      <c r="A4354" t="s">
        <v>13798</v>
      </c>
      <c r="B4354" t="s">
        <v>13799</v>
      </c>
      <c r="C4354" t="s">
        <v>13800</v>
      </c>
      <c r="D4354" t="s">
        <v>13794</v>
      </c>
      <c r="E4354">
        <v>6</v>
      </c>
      <c r="F4354" t="str">
        <f>HYPERLINK("https://github.com/iNPUTmice/lttrs-android/issues/118", "show")</f>
        <v>show</v>
      </c>
      <c r="G4354" t="str">
        <f>HYPERLINK("https://github.com/iNPUTmice/lttrs-android", "show")</f>
        <v>show</v>
      </c>
      <c r="H4354" t="str">
        <f>HYPERLINK("https://github.com/iNPUTmice/lttrs-android/releases", "show")</f>
        <v>show</v>
      </c>
      <c r="I4354">
        <v>1</v>
      </c>
      <c r="J4354">
        <v>0</v>
      </c>
      <c r="K4354">
        <v>1</v>
      </c>
      <c r="L4354">
        <v>0</v>
      </c>
      <c r="M4354" t="s">
        <v>64</v>
      </c>
    </row>
    <row r="4355" spans="1:13" hidden="1" x14ac:dyDescent="0.15">
      <c r="A4355" t="s">
        <v>13801</v>
      </c>
      <c r="B4355" t="s">
        <v>13802</v>
      </c>
      <c r="C4355" t="s">
        <v>13803</v>
      </c>
      <c r="D4355" t="s">
        <v>13794</v>
      </c>
      <c r="E4355">
        <v>30</v>
      </c>
      <c r="F4355" t="str">
        <f>HYPERLINK("https://github.com/PojavLauncherTeam/PojavLauncher/issues/1771", "show")</f>
        <v>show</v>
      </c>
      <c r="G4355" t="str">
        <f>HYPERLINK("https://github.com/PojavLauncherTeam/PojavLauncher", "show")</f>
        <v>show</v>
      </c>
      <c r="H4355" t="str">
        <f>HYPERLINK("https://github.com/PojavLauncherTeam/PojavLauncher/releases", "show")</f>
        <v>show</v>
      </c>
      <c r="I4355">
        <v>1</v>
      </c>
      <c r="J4355">
        <v>0</v>
      </c>
      <c r="K4355">
        <v>0</v>
      </c>
      <c r="L4355">
        <v>0</v>
      </c>
      <c r="M4355" t="s">
        <v>17</v>
      </c>
    </row>
    <row r="4356" spans="1:13" hidden="1" x14ac:dyDescent="0.15">
      <c r="A4356" t="s">
        <v>13804</v>
      </c>
      <c r="B4356" t="s">
        <v>13805</v>
      </c>
      <c r="C4356" t="s">
        <v>13806</v>
      </c>
      <c r="D4356" t="s">
        <v>13807</v>
      </c>
      <c r="E4356">
        <v>0</v>
      </c>
      <c r="F4356" t="str">
        <f>HYPERLINK("https://github.com/TeamNewPipe/NewPipe/issues/6823", "show")</f>
        <v>show</v>
      </c>
      <c r="G4356" t="str">
        <f>HYPERLINK("https://github.com/TeamNewPipe/NewPipe", "show")</f>
        <v>show</v>
      </c>
      <c r="H4356" t="str">
        <f>HYPERLINK("https://github.com/TeamNewPipe/NewPipe/releases", "show")</f>
        <v>show</v>
      </c>
      <c r="I4356">
        <v>1</v>
      </c>
      <c r="J4356">
        <v>0</v>
      </c>
      <c r="K4356">
        <v>1</v>
      </c>
      <c r="L4356">
        <v>0</v>
      </c>
      <c r="M4356" t="s">
        <v>64</v>
      </c>
    </row>
    <row r="4357" spans="1:13" hidden="1" x14ac:dyDescent="0.15">
      <c r="A4357" t="s">
        <v>13808</v>
      </c>
      <c r="B4357" t="s">
        <v>13809</v>
      </c>
      <c r="C4357" t="s">
        <v>13810</v>
      </c>
      <c r="D4357" t="s">
        <v>13807</v>
      </c>
      <c r="E4357">
        <v>0</v>
      </c>
      <c r="F4357" t="str">
        <f>HYPERLINK("https://github.com/Anuken/Mindustry/issues/5685", "show")</f>
        <v>show</v>
      </c>
      <c r="G4357" t="str">
        <f>HYPERLINK("https://github.com/Anuken/Mindustry", "show")</f>
        <v>show</v>
      </c>
      <c r="H4357" t="str">
        <f>HYPERLINK("https://github.com/Anuken/Mindustry/releases", "show")</f>
        <v>show</v>
      </c>
      <c r="I4357">
        <v>0</v>
      </c>
      <c r="J4357">
        <v>0</v>
      </c>
      <c r="K4357">
        <v>0</v>
      </c>
      <c r="L4357">
        <v>1</v>
      </c>
      <c r="M4357" t="s">
        <v>581</v>
      </c>
    </row>
    <row r="4358" spans="1:13" hidden="1" x14ac:dyDescent="0.15">
      <c r="A4358" t="s">
        <v>13811</v>
      </c>
      <c r="B4358" t="s">
        <v>13812</v>
      </c>
      <c r="C4358" t="s">
        <v>13813</v>
      </c>
      <c r="D4358" t="s">
        <v>13807</v>
      </c>
      <c r="E4358">
        <v>0</v>
      </c>
      <c r="F4358" t="str">
        <f>HYPERLINK("https://github.com/Anuken/Mindustry/issues/5684", "show")</f>
        <v>show</v>
      </c>
      <c r="G4358" t="str">
        <f>HYPERLINK("https://github.com/Anuken/Mindustry", "show")</f>
        <v>show</v>
      </c>
      <c r="H4358" t="str">
        <f>HYPERLINK("https://github.com/Anuken/Mindustry/releases", "show")</f>
        <v>show</v>
      </c>
      <c r="I4358">
        <v>1</v>
      </c>
      <c r="J4358">
        <v>1</v>
      </c>
      <c r="K4358">
        <v>0</v>
      </c>
      <c r="L4358">
        <v>0</v>
      </c>
      <c r="M4358" t="s">
        <v>48</v>
      </c>
    </row>
    <row r="4359" spans="1:13" hidden="1" x14ac:dyDescent="0.15">
      <c r="A4359" t="s">
        <v>13814</v>
      </c>
      <c r="B4359" t="s">
        <v>13815</v>
      </c>
      <c r="C4359" t="s">
        <v>13816</v>
      </c>
      <c r="D4359" t="s">
        <v>13807</v>
      </c>
      <c r="E4359">
        <v>10</v>
      </c>
      <c r="F4359" t="str">
        <f>HYPERLINK("https://github.com/nextcloud/android/issues/8797", "show")</f>
        <v>show</v>
      </c>
      <c r="G4359" t="str">
        <f>HYPERLINK("https://github.com/nextcloud/android", "show")</f>
        <v>show</v>
      </c>
      <c r="H4359" t="str">
        <f>HYPERLINK("https://github.com/nextcloud/android/releases", "show")</f>
        <v>show</v>
      </c>
      <c r="I4359">
        <v>1</v>
      </c>
      <c r="J4359">
        <v>1</v>
      </c>
      <c r="K4359">
        <v>1</v>
      </c>
      <c r="L4359">
        <v>0</v>
      </c>
      <c r="M4359" t="s">
        <v>59</v>
      </c>
    </row>
    <row r="4360" spans="1:13" hidden="1" x14ac:dyDescent="0.15">
      <c r="A4360" t="s">
        <v>13817</v>
      </c>
      <c r="B4360" t="s">
        <v>13818</v>
      </c>
      <c r="C4360" t="s">
        <v>13819</v>
      </c>
      <c r="D4360" t="s">
        <v>13807</v>
      </c>
      <c r="E4360">
        <v>0</v>
      </c>
      <c r="F4360" t="str">
        <f>HYPERLINK("https://github.com/Anuken/Mindustry/issues/5681", "show")</f>
        <v>show</v>
      </c>
      <c r="G4360" t="str">
        <f>HYPERLINK("https://github.com/Anuken/Mindustry", "show")</f>
        <v>show</v>
      </c>
      <c r="H4360" t="str">
        <f>HYPERLINK("https://github.com/Anuken/Mindustry/releases", "show")</f>
        <v>show</v>
      </c>
      <c r="I4360">
        <v>1</v>
      </c>
      <c r="J4360">
        <v>1</v>
      </c>
      <c r="K4360">
        <v>0</v>
      </c>
      <c r="L4360">
        <v>1</v>
      </c>
      <c r="M4360" t="s">
        <v>1894</v>
      </c>
    </row>
    <row r="4361" spans="1:13" hidden="1" x14ac:dyDescent="0.15">
      <c r="A4361" t="s">
        <v>13820</v>
      </c>
      <c r="B4361" t="s">
        <v>13821</v>
      </c>
      <c r="C4361" t="s">
        <v>13822</v>
      </c>
      <c r="D4361" t="s">
        <v>13807</v>
      </c>
      <c r="E4361">
        <v>3</v>
      </c>
      <c r="F4361" t="str">
        <f>HYPERLINK("https://github.com/AHSAppDevTeam/Arcadia-High-Mobile-Android/issues/7", "show")</f>
        <v>show</v>
      </c>
      <c r="G4361" t="str">
        <f>HYPERLINK("https://github.com/AHSAppDevTeam/Arcadia-High-Mobile-Android", "show")</f>
        <v>show</v>
      </c>
      <c r="H4361" t="str">
        <f>HYPERLINK("https://github.com/AHSAppDevTeam/Arcadia-High-Mobile-Android/releases", "show")</f>
        <v>show</v>
      </c>
      <c r="I4361">
        <v>1</v>
      </c>
      <c r="J4361">
        <v>0</v>
      </c>
      <c r="K4361">
        <v>0</v>
      </c>
      <c r="L4361">
        <v>0</v>
      </c>
      <c r="M4361" t="s">
        <v>17</v>
      </c>
    </row>
    <row r="4362" spans="1:13" hidden="1" x14ac:dyDescent="0.15">
      <c r="A4362" t="s">
        <v>13823</v>
      </c>
      <c r="B4362" t="s">
        <v>13824</v>
      </c>
      <c r="C4362" t="s">
        <v>13825</v>
      </c>
      <c r="D4362" t="s">
        <v>13826</v>
      </c>
      <c r="E4362">
        <v>0</v>
      </c>
      <c r="F4362" t="str">
        <f>HYPERLINK("https://github.com/Anuken/Mindustry/issues/5679", "show")</f>
        <v>show</v>
      </c>
      <c r="G4362" t="str">
        <f>HYPERLINK("https://github.com/Anuken/Mindustry", "show")</f>
        <v>show</v>
      </c>
      <c r="H4362" t="str">
        <f>HYPERLINK("https://github.com/Anuken/Mindustry/releases", "show")</f>
        <v>show</v>
      </c>
      <c r="I4362">
        <v>1</v>
      </c>
      <c r="J4362">
        <v>1</v>
      </c>
      <c r="K4362">
        <v>0</v>
      </c>
      <c r="L4362">
        <v>0</v>
      </c>
      <c r="M4362" t="s">
        <v>48</v>
      </c>
    </row>
    <row r="4363" spans="1:13" hidden="1" x14ac:dyDescent="0.15">
      <c r="A4363" t="s">
        <v>13827</v>
      </c>
      <c r="B4363" t="s">
        <v>13828</v>
      </c>
      <c r="C4363" t="s">
        <v>13829</v>
      </c>
      <c r="D4363" t="s">
        <v>13826</v>
      </c>
      <c r="E4363">
        <v>0</v>
      </c>
      <c r="F4363" t="str">
        <f>HYPERLINK("https://github.com/Anuken/Mindustry/issues/5678", "show")</f>
        <v>show</v>
      </c>
      <c r="G4363" t="str">
        <f>HYPERLINK("https://github.com/Anuken/Mindustry", "show")</f>
        <v>show</v>
      </c>
      <c r="H4363" t="str">
        <f>HYPERLINK("https://github.com/Anuken/Mindustry/releases", "show")</f>
        <v>show</v>
      </c>
      <c r="I4363">
        <v>0</v>
      </c>
      <c r="J4363">
        <v>0</v>
      </c>
      <c r="K4363">
        <v>0</v>
      </c>
      <c r="L4363">
        <v>0</v>
      </c>
      <c r="M4363" t="s">
        <v>43</v>
      </c>
    </row>
    <row r="4364" spans="1:13" hidden="1" x14ac:dyDescent="0.15">
      <c r="A4364" t="s">
        <v>13830</v>
      </c>
      <c r="B4364" t="s">
        <v>13831</v>
      </c>
      <c r="C4364" t="s">
        <v>13832</v>
      </c>
      <c r="D4364" t="s">
        <v>13826</v>
      </c>
      <c r="E4364">
        <v>0</v>
      </c>
      <c r="F4364" t="str">
        <f>HYPERLINK("https://github.com/Anuken/Mindustry/issues/5677", "show")</f>
        <v>show</v>
      </c>
      <c r="G4364" t="str">
        <f>HYPERLINK("https://github.com/Anuken/Mindustry", "show")</f>
        <v>show</v>
      </c>
      <c r="H4364" t="str">
        <f>HYPERLINK("https://github.com/Anuken/Mindustry/releases", "show")</f>
        <v>show</v>
      </c>
      <c r="I4364">
        <v>1</v>
      </c>
      <c r="J4364">
        <v>1</v>
      </c>
      <c r="K4364">
        <v>1</v>
      </c>
      <c r="L4364">
        <v>0</v>
      </c>
      <c r="M4364" t="s">
        <v>59</v>
      </c>
    </row>
    <row r="4365" spans="1:13" hidden="1" x14ac:dyDescent="0.15">
      <c r="A4365" t="s">
        <v>13833</v>
      </c>
      <c r="B4365" t="s">
        <v>13834</v>
      </c>
      <c r="C4365" t="s">
        <v>13835</v>
      </c>
      <c r="D4365" t="s">
        <v>13836</v>
      </c>
      <c r="E4365">
        <v>82</v>
      </c>
      <c r="F4365" t="str">
        <f>HYPERLINK("https://github.com/flutter-package/images_picker/issues/41", "show")</f>
        <v>show</v>
      </c>
      <c r="G4365" t="str">
        <f>HYPERLINK("https://github.com/flutter-package/images_picker", "show")</f>
        <v>show</v>
      </c>
      <c r="H4365" t="str">
        <f>HYPERLINK("https://github.com/flutter-package/images_picker/releases", "show")</f>
        <v>show</v>
      </c>
      <c r="I4365">
        <v>1</v>
      </c>
      <c r="J4365">
        <v>1</v>
      </c>
      <c r="K4365">
        <v>0</v>
      </c>
      <c r="L4365">
        <v>0</v>
      </c>
      <c r="M4365" t="s">
        <v>48</v>
      </c>
    </row>
    <row r="4366" spans="1:13" hidden="1" x14ac:dyDescent="0.15">
      <c r="A4366" t="s">
        <v>13837</v>
      </c>
      <c r="B4366" t="s">
        <v>13838</v>
      </c>
      <c r="C4366" t="s">
        <v>13839</v>
      </c>
      <c r="D4366" t="s">
        <v>13836</v>
      </c>
      <c r="E4366">
        <v>0</v>
      </c>
      <c r="F4366" t="str">
        <f>HYPERLINK("https://github.com/nextcloud/android/issues/8793", "show")</f>
        <v>show</v>
      </c>
      <c r="G4366" t="str">
        <f>HYPERLINK("https://github.com/nextcloud/android", "show")</f>
        <v>show</v>
      </c>
      <c r="H4366" t="str">
        <f>HYPERLINK("https://github.com/nextcloud/android/releases", "show")</f>
        <v>show</v>
      </c>
      <c r="I4366">
        <v>1</v>
      </c>
      <c r="J4366">
        <v>0</v>
      </c>
      <c r="K4366">
        <v>1</v>
      </c>
      <c r="L4366">
        <v>0</v>
      </c>
      <c r="M4366" t="s">
        <v>64</v>
      </c>
    </row>
    <row r="4367" spans="1:13" hidden="1" x14ac:dyDescent="0.15">
      <c r="A4367" t="s">
        <v>13840</v>
      </c>
      <c r="B4367" t="s">
        <v>13841</v>
      </c>
      <c r="C4367" t="s">
        <v>13842</v>
      </c>
      <c r="D4367" t="s">
        <v>13836</v>
      </c>
      <c r="E4367">
        <v>0</v>
      </c>
      <c r="F4367" t="str">
        <f>HYPERLINK("https://github.com/Anuken/Mindustry/issues/5675", "show")</f>
        <v>show</v>
      </c>
      <c r="G4367" t="str">
        <f>HYPERLINK("https://github.com/Anuken/Mindustry", "show")</f>
        <v>show</v>
      </c>
      <c r="H4367" t="str">
        <f>HYPERLINK("https://github.com/Anuken/Mindustry/releases", "show")</f>
        <v>show</v>
      </c>
      <c r="I4367">
        <v>1</v>
      </c>
      <c r="J4367">
        <v>1</v>
      </c>
      <c r="K4367">
        <v>0</v>
      </c>
      <c r="L4367">
        <v>0</v>
      </c>
      <c r="M4367" t="s">
        <v>48</v>
      </c>
    </row>
    <row r="4368" spans="1:13" hidden="1" x14ac:dyDescent="0.15">
      <c r="A4368" t="s">
        <v>13843</v>
      </c>
      <c r="B4368" t="s">
        <v>13844</v>
      </c>
      <c r="C4368" t="s">
        <v>13845</v>
      </c>
      <c r="D4368" t="s">
        <v>13836</v>
      </c>
      <c r="E4368">
        <v>0</v>
      </c>
      <c r="F4368" t="str">
        <f>HYPERLINK("https://github.com/Anuken/Mindustry/issues/5672", "show")</f>
        <v>show</v>
      </c>
      <c r="G4368" t="str">
        <f>HYPERLINK("https://github.com/Anuken/Mindustry", "show")</f>
        <v>show</v>
      </c>
      <c r="H4368" t="str">
        <f>HYPERLINK("https://github.com/Anuken/Mindustry/releases", "show")</f>
        <v>show</v>
      </c>
      <c r="I4368">
        <v>0</v>
      </c>
      <c r="J4368">
        <v>0</v>
      </c>
      <c r="K4368">
        <v>0</v>
      </c>
      <c r="L4368">
        <v>0</v>
      </c>
      <c r="M4368" t="s">
        <v>43</v>
      </c>
    </row>
    <row r="4369" spans="1:13" hidden="1" x14ac:dyDescent="0.15">
      <c r="A4369" t="s">
        <v>13846</v>
      </c>
      <c r="B4369" t="s">
        <v>13847</v>
      </c>
      <c r="C4369" t="s">
        <v>13848</v>
      </c>
      <c r="D4369" t="s">
        <v>13836</v>
      </c>
      <c r="E4369">
        <v>1</v>
      </c>
      <c r="F4369" t="str">
        <f>HYPERLINK("https://github.com/PojavLauncherTeam/PojavLauncher/issues/1756", "show")</f>
        <v>show</v>
      </c>
      <c r="G4369" t="str">
        <f>HYPERLINK("https://github.com/PojavLauncherTeam/PojavLauncher", "show")</f>
        <v>show</v>
      </c>
      <c r="H4369" t="str">
        <f>HYPERLINK("https://github.com/PojavLauncherTeam/PojavLauncher/releases", "show")</f>
        <v>show</v>
      </c>
      <c r="I4369">
        <v>0</v>
      </c>
      <c r="J4369">
        <v>1</v>
      </c>
      <c r="K4369">
        <v>1</v>
      </c>
      <c r="L4369">
        <v>1</v>
      </c>
      <c r="M4369" t="s">
        <v>427</v>
      </c>
    </row>
    <row r="4370" spans="1:13" hidden="1" x14ac:dyDescent="0.15">
      <c r="A4370" t="s">
        <v>13849</v>
      </c>
      <c r="B4370" t="s">
        <v>13850</v>
      </c>
      <c r="C4370" t="s">
        <v>13851</v>
      </c>
      <c r="D4370" t="s">
        <v>13836</v>
      </c>
      <c r="E4370">
        <v>14</v>
      </c>
      <c r="F4370" t="str">
        <f>HYPERLINK("https://github.com/GoogleCloudPlatform/fda-mystudies/issues/3974", "show")</f>
        <v>show</v>
      </c>
      <c r="G4370" t="str">
        <f>HYPERLINK("https://github.com/GoogleCloudPlatform/fda-mystudies", "show")</f>
        <v>show</v>
      </c>
      <c r="H4370" t="str">
        <f>HYPERLINK("https://github.com/GoogleCloudPlatform/fda-mystudies/releases", "show")</f>
        <v>show</v>
      </c>
      <c r="I4370">
        <v>0</v>
      </c>
      <c r="J4370">
        <v>1</v>
      </c>
      <c r="K4370">
        <v>0</v>
      </c>
      <c r="L4370">
        <v>1</v>
      </c>
      <c r="M4370" t="s">
        <v>1732</v>
      </c>
    </row>
    <row r="4371" spans="1:13" hidden="1" x14ac:dyDescent="0.15">
      <c r="A4371" t="s">
        <v>13852</v>
      </c>
      <c r="B4371" t="s">
        <v>13853</v>
      </c>
      <c r="C4371" t="s">
        <v>13854</v>
      </c>
      <c r="D4371" t="s">
        <v>13836</v>
      </c>
      <c r="E4371">
        <v>1</v>
      </c>
      <c r="F4371" t="str">
        <f>HYPERLINK("https://github.com/MuntashirAkon/AppManager/issues/536", "show")</f>
        <v>show</v>
      </c>
      <c r="G4371" t="str">
        <f>HYPERLINK("https://github.com/MuntashirAkon/AppManager", "show")</f>
        <v>show</v>
      </c>
      <c r="H4371" t="str">
        <f>HYPERLINK("https://github.com/MuntashirAkon/AppManager/releases", "show")</f>
        <v>show</v>
      </c>
      <c r="I4371">
        <v>0</v>
      </c>
      <c r="J4371">
        <v>0</v>
      </c>
      <c r="K4371">
        <v>0</v>
      </c>
      <c r="L4371">
        <v>1</v>
      </c>
      <c r="M4371" t="s">
        <v>581</v>
      </c>
    </row>
    <row r="4372" spans="1:13" hidden="1" x14ac:dyDescent="0.15">
      <c r="A4372" t="s">
        <v>13855</v>
      </c>
      <c r="B4372" t="s">
        <v>13856</v>
      </c>
      <c r="C4372" t="s">
        <v>13857</v>
      </c>
      <c r="D4372" t="s">
        <v>13836</v>
      </c>
      <c r="E4372">
        <v>0</v>
      </c>
      <c r="F4372" t="str">
        <f>HYPERLINK("https://github.com/TeamNewPipe/NewPipe/issues/6806", "show")</f>
        <v>show</v>
      </c>
      <c r="G4372" t="str">
        <f>HYPERLINK("https://github.com/TeamNewPipe/NewPipe", "show")</f>
        <v>show</v>
      </c>
      <c r="H4372" t="str">
        <f>HYPERLINK("https://github.com/TeamNewPipe/NewPipe/releases", "show")</f>
        <v>show</v>
      </c>
      <c r="I4372">
        <v>1</v>
      </c>
      <c r="J4372">
        <v>1</v>
      </c>
      <c r="K4372">
        <v>1</v>
      </c>
      <c r="L4372">
        <v>0</v>
      </c>
      <c r="M4372" t="s">
        <v>59</v>
      </c>
    </row>
    <row r="4373" spans="1:13" hidden="1" x14ac:dyDescent="0.15">
      <c r="A4373" t="s">
        <v>13858</v>
      </c>
      <c r="B4373" t="s">
        <v>13859</v>
      </c>
      <c r="C4373" t="s">
        <v>13860</v>
      </c>
      <c r="D4373" t="s">
        <v>13861</v>
      </c>
      <c r="E4373">
        <v>1</v>
      </c>
      <c r="F4373" t="str">
        <f>HYPERLINK("https://github.com/TeamNewPipe/NewPipe/issues/6805", "show")</f>
        <v>show</v>
      </c>
      <c r="G4373" t="str">
        <f>HYPERLINK("https://github.com/TeamNewPipe/NewPipe", "show")</f>
        <v>show</v>
      </c>
      <c r="H4373" t="str">
        <f>HYPERLINK("https://github.com/TeamNewPipe/NewPipe/releases", "show")</f>
        <v>show</v>
      </c>
      <c r="I4373">
        <v>1</v>
      </c>
      <c r="J4373">
        <v>1</v>
      </c>
      <c r="K4373">
        <v>1</v>
      </c>
      <c r="L4373">
        <v>0</v>
      </c>
      <c r="M4373" t="s">
        <v>59</v>
      </c>
    </row>
    <row r="4374" spans="1:13" hidden="1" x14ac:dyDescent="0.15">
      <c r="A4374" t="s">
        <v>13862</v>
      </c>
      <c r="B4374" t="s">
        <v>13863</v>
      </c>
      <c r="C4374" t="s">
        <v>13864</v>
      </c>
      <c r="D4374" t="s">
        <v>13861</v>
      </c>
      <c r="E4374">
        <v>95</v>
      </c>
      <c r="F4374" t="str">
        <f>HYPERLINK("https://github.com/PhenoApps/Field-Book/issues/299", "show")</f>
        <v>show</v>
      </c>
      <c r="G4374" t="str">
        <f>HYPERLINK("https://github.com/PhenoApps/Field-Book", "show")</f>
        <v>show</v>
      </c>
      <c r="H4374" t="str">
        <f>HYPERLINK("https://github.com/PhenoApps/Field-Book/releases", "show")</f>
        <v>show</v>
      </c>
      <c r="I4374">
        <v>1</v>
      </c>
      <c r="J4374">
        <v>1</v>
      </c>
      <c r="K4374">
        <v>0</v>
      </c>
      <c r="L4374">
        <v>0</v>
      </c>
      <c r="M4374" t="s">
        <v>48</v>
      </c>
    </row>
    <row r="4375" spans="1:13" hidden="1" x14ac:dyDescent="0.15">
      <c r="A4375" t="s">
        <v>13865</v>
      </c>
      <c r="B4375" t="s">
        <v>13866</v>
      </c>
      <c r="C4375" t="s">
        <v>13867</v>
      </c>
      <c r="D4375" t="s">
        <v>13861</v>
      </c>
      <c r="E4375">
        <v>0</v>
      </c>
      <c r="F4375" t="str">
        <f>HYPERLINK("https://github.com/nextcloud/android/issues/8785", "show")</f>
        <v>show</v>
      </c>
      <c r="G4375" t="str">
        <f>HYPERLINK("https://github.com/nextcloud/android", "show")</f>
        <v>show</v>
      </c>
      <c r="H4375" t="str">
        <f>HYPERLINK("https://github.com/nextcloud/android/releases", "show")</f>
        <v>show</v>
      </c>
      <c r="I4375">
        <v>1</v>
      </c>
      <c r="J4375">
        <v>1</v>
      </c>
      <c r="K4375">
        <v>1</v>
      </c>
      <c r="L4375">
        <v>0</v>
      </c>
      <c r="M4375" t="s">
        <v>59</v>
      </c>
    </row>
    <row r="4376" spans="1:13" hidden="1" x14ac:dyDescent="0.15">
      <c r="A4376" t="s">
        <v>13868</v>
      </c>
      <c r="B4376" t="s">
        <v>13869</v>
      </c>
      <c r="C4376" t="s">
        <v>13870</v>
      </c>
      <c r="D4376" t="s">
        <v>13861</v>
      </c>
      <c r="E4376">
        <v>6</v>
      </c>
      <c r="F4376" t="str">
        <f>HYPERLINK("https://github.com/XiangRongLin/NewPipe-preuinified/issues/6", "show")</f>
        <v>show</v>
      </c>
      <c r="G4376" t="str">
        <f>HYPERLINK("https://github.com/XiangRongLin/NewPipe-preuinified", "show")</f>
        <v>show</v>
      </c>
      <c r="H4376" t="str">
        <f>HYPERLINK("https://github.com/XiangRongLin/NewPipe-preuinified/releases", "show")</f>
        <v>show</v>
      </c>
      <c r="I4376">
        <v>1</v>
      </c>
      <c r="J4376">
        <v>1</v>
      </c>
      <c r="K4376">
        <v>1</v>
      </c>
      <c r="L4376">
        <v>0</v>
      </c>
      <c r="M4376" t="s">
        <v>59</v>
      </c>
    </row>
    <row r="4377" spans="1:13" hidden="1" x14ac:dyDescent="0.15">
      <c r="A4377" t="s">
        <v>13871</v>
      </c>
      <c r="B4377" t="s">
        <v>13872</v>
      </c>
      <c r="C4377" t="s">
        <v>13873</v>
      </c>
      <c r="D4377" t="s">
        <v>13861</v>
      </c>
      <c r="E4377">
        <v>34</v>
      </c>
      <c r="F4377" t="str">
        <f>HYPERLINK("https://github.com/PojavLauncherTeam/PojavLauncher/issues/1745", "show")</f>
        <v>show</v>
      </c>
      <c r="G4377" t="str">
        <f>HYPERLINK("https://github.com/PojavLauncherTeam/PojavLauncher", "show")</f>
        <v>show</v>
      </c>
      <c r="H4377" t="str">
        <f>HYPERLINK("https://github.com/PojavLauncherTeam/PojavLauncher/releases", "show")</f>
        <v>show</v>
      </c>
      <c r="I4377">
        <v>0</v>
      </c>
      <c r="J4377">
        <v>0</v>
      </c>
      <c r="K4377">
        <v>0</v>
      </c>
      <c r="L4377">
        <v>0</v>
      </c>
      <c r="M4377" t="s">
        <v>43</v>
      </c>
    </row>
    <row r="4378" spans="1:13" hidden="1" x14ac:dyDescent="0.15">
      <c r="A4378" t="s">
        <v>13874</v>
      </c>
      <c r="B4378" t="s">
        <v>13875</v>
      </c>
      <c r="C4378" t="s">
        <v>13876</v>
      </c>
      <c r="D4378" t="s">
        <v>13877</v>
      </c>
      <c r="E4378">
        <v>1</v>
      </c>
      <c r="F4378" t="str">
        <f>HYPERLINK("https://github.com/getodk/collect/issues/4747", "show")</f>
        <v>show</v>
      </c>
      <c r="G4378" t="str">
        <f>HYPERLINK("https://github.com/getodk/collect", "show")</f>
        <v>show</v>
      </c>
      <c r="H4378" t="str">
        <f>HYPERLINK("https://github.com/getodk/collect/releases", "show")</f>
        <v>show</v>
      </c>
      <c r="I4378">
        <v>1</v>
      </c>
      <c r="J4378">
        <v>0</v>
      </c>
      <c r="K4378">
        <v>0</v>
      </c>
      <c r="L4378">
        <v>0</v>
      </c>
      <c r="M4378" t="s">
        <v>17</v>
      </c>
    </row>
    <row r="4379" spans="1:13" hidden="1" x14ac:dyDescent="0.15">
      <c r="A4379" t="s">
        <v>13878</v>
      </c>
      <c r="B4379" t="s">
        <v>13879</v>
      </c>
      <c r="C4379" t="s">
        <v>13880</v>
      </c>
      <c r="D4379" t="s">
        <v>13877</v>
      </c>
      <c r="E4379">
        <v>45</v>
      </c>
      <c r="F4379" t="str">
        <f>HYPERLINK("https://github.com/stefan-niedermann/nextcloud-notes/issues/1308", "show")</f>
        <v>show</v>
      </c>
      <c r="G4379" t="str">
        <f>HYPERLINK("https://github.com/stefan-niedermann/nextcloud-notes", "show")</f>
        <v>show</v>
      </c>
      <c r="H4379" t="str">
        <f>HYPERLINK("https://github.com/stefan-niedermann/nextcloud-notes/releases", "show")</f>
        <v>show</v>
      </c>
      <c r="I4379">
        <v>1</v>
      </c>
      <c r="J4379">
        <v>1</v>
      </c>
      <c r="K4379">
        <v>1</v>
      </c>
      <c r="L4379">
        <v>0</v>
      </c>
      <c r="M4379" t="s">
        <v>59</v>
      </c>
    </row>
    <row r="4380" spans="1:13" hidden="1" x14ac:dyDescent="0.15">
      <c r="A4380" t="s">
        <v>13881</v>
      </c>
      <c r="B4380" t="s">
        <v>13882</v>
      </c>
      <c r="C4380" t="s">
        <v>13883</v>
      </c>
      <c r="D4380" t="s">
        <v>13877</v>
      </c>
      <c r="E4380">
        <v>145</v>
      </c>
      <c r="F4380" t="str">
        <f>HYPERLINK("https://github.com/getodk/collect/issues/4743", "show")</f>
        <v>show</v>
      </c>
      <c r="G4380" t="str">
        <f>HYPERLINK("https://github.com/getodk/collect", "show")</f>
        <v>show</v>
      </c>
      <c r="H4380" t="str">
        <f>HYPERLINK("https://github.com/getodk/collect/releases", "show")</f>
        <v>show</v>
      </c>
      <c r="I4380">
        <v>1</v>
      </c>
      <c r="J4380">
        <v>1</v>
      </c>
      <c r="K4380">
        <v>1</v>
      </c>
      <c r="L4380">
        <v>0</v>
      </c>
      <c r="M4380" t="s">
        <v>59</v>
      </c>
    </row>
    <row r="4381" spans="1:13" hidden="1" x14ac:dyDescent="0.15">
      <c r="A4381" t="s">
        <v>13884</v>
      </c>
      <c r="B4381" t="s">
        <v>13885</v>
      </c>
      <c r="C4381" t="s">
        <v>13886</v>
      </c>
      <c r="D4381" t="s">
        <v>13877</v>
      </c>
      <c r="E4381">
        <v>1</v>
      </c>
      <c r="F4381" t="str">
        <f>HYPERLINK("https://github.com/gluonhq/substrate/issues/970", "show")</f>
        <v>show</v>
      </c>
      <c r="G4381" t="str">
        <f>HYPERLINK("https://github.com/gluonhq/substrate", "show")</f>
        <v>show</v>
      </c>
      <c r="H4381" t="str">
        <f>HYPERLINK("https://github.com/gluonhq/substrate/releases", "show")</f>
        <v>show</v>
      </c>
      <c r="I4381">
        <v>1</v>
      </c>
      <c r="J4381">
        <v>0</v>
      </c>
      <c r="K4381">
        <v>1</v>
      </c>
      <c r="L4381">
        <v>0</v>
      </c>
      <c r="M4381" t="s">
        <v>64</v>
      </c>
    </row>
    <row r="4382" spans="1:13" hidden="1" x14ac:dyDescent="0.15">
      <c r="A4382" t="s">
        <v>13887</v>
      </c>
      <c r="B4382" t="s">
        <v>13888</v>
      </c>
      <c r="C4382" t="s">
        <v>13889</v>
      </c>
      <c r="D4382" t="s">
        <v>13877</v>
      </c>
      <c r="E4382">
        <v>1</v>
      </c>
      <c r="F4382" t="str">
        <f>HYPERLINK("https://github.com/getodk/collect/issues/4741", "show")</f>
        <v>show</v>
      </c>
      <c r="G4382" t="str">
        <f>HYPERLINK("https://github.com/getodk/collect", "show")</f>
        <v>show</v>
      </c>
      <c r="H4382" t="str">
        <f>HYPERLINK("https://github.com/getodk/collect/releases", "show")</f>
        <v>show</v>
      </c>
      <c r="I4382">
        <v>1</v>
      </c>
      <c r="J4382">
        <v>1</v>
      </c>
      <c r="K4382">
        <v>1</v>
      </c>
      <c r="L4382">
        <v>0</v>
      </c>
      <c r="M4382" t="s">
        <v>59</v>
      </c>
    </row>
    <row r="4383" spans="1:13" hidden="1" x14ac:dyDescent="0.15">
      <c r="A4383" t="s">
        <v>13890</v>
      </c>
      <c r="B4383" t="s">
        <v>13891</v>
      </c>
      <c r="C4383" t="s">
        <v>13892</v>
      </c>
      <c r="D4383" t="s">
        <v>13877</v>
      </c>
      <c r="E4383">
        <v>2</v>
      </c>
      <c r="F4383" t="str">
        <f>HYPERLINK("https://github.com/opensrp/opensrp-client-chw/issues/1842", "show")</f>
        <v>show</v>
      </c>
      <c r="G4383" t="str">
        <f>HYPERLINK("https://github.com/opensrp/opensrp-client-chw", "show")</f>
        <v>show</v>
      </c>
      <c r="H4383" t="str">
        <f>HYPERLINK("https://github.com/opensrp/opensrp-client-chw/releases", "show")</f>
        <v>show</v>
      </c>
      <c r="I4383">
        <v>1</v>
      </c>
      <c r="J4383">
        <v>0</v>
      </c>
      <c r="K4383">
        <v>0</v>
      </c>
      <c r="L4383">
        <v>0</v>
      </c>
      <c r="M4383" t="s">
        <v>17</v>
      </c>
    </row>
    <row r="4384" spans="1:13" hidden="1" x14ac:dyDescent="0.15">
      <c r="A4384" t="s">
        <v>13893</v>
      </c>
      <c r="B4384" t="s">
        <v>13894</v>
      </c>
      <c r="C4384" t="s">
        <v>13895</v>
      </c>
      <c r="D4384" t="s">
        <v>13896</v>
      </c>
      <c r="E4384">
        <v>30</v>
      </c>
      <c r="F4384" t="str">
        <f>HYPERLINK("https://github.com/TeamNewPipe/NewPipe/issues/6783", "show")</f>
        <v>show</v>
      </c>
      <c r="G4384" t="str">
        <f>HYPERLINK("https://github.com/TeamNewPipe/NewPipe", "show")</f>
        <v>show</v>
      </c>
      <c r="H4384" t="str">
        <f>HYPERLINK("https://github.com/TeamNewPipe/NewPipe/releases", "show")</f>
        <v>show</v>
      </c>
      <c r="I4384">
        <v>1</v>
      </c>
      <c r="J4384">
        <v>1</v>
      </c>
      <c r="K4384">
        <v>0</v>
      </c>
      <c r="L4384">
        <v>0</v>
      </c>
      <c r="M4384" t="s">
        <v>48</v>
      </c>
    </row>
    <row r="4385" spans="1:13" hidden="1" x14ac:dyDescent="0.15">
      <c r="A4385" t="s">
        <v>13897</v>
      </c>
      <c r="B4385" t="s">
        <v>13898</v>
      </c>
      <c r="C4385" t="s">
        <v>13899</v>
      </c>
      <c r="D4385" t="s">
        <v>13896</v>
      </c>
      <c r="E4385">
        <v>45</v>
      </c>
      <c r="F4385" t="str">
        <f>HYPERLINK("https://github.com/nextcloud/android/issues/8772", "show")</f>
        <v>show</v>
      </c>
      <c r="G4385" t="str">
        <f>HYPERLINK("https://github.com/nextcloud/android", "show")</f>
        <v>show</v>
      </c>
      <c r="H4385" t="str">
        <f>HYPERLINK("https://github.com/nextcloud/android/releases", "show")</f>
        <v>show</v>
      </c>
      <c r="I4385">
        <v>1</v>
      </c>
      <c r="J4385">
        <v>1</v>
      </c>
      <c r="K4385">
        <v>0</v>
      </c>
      <c r="L4385">
        <v>0</v>
      </c>
      <c r="M4385" t="s">
        <v>48</v>
      </c>
    </row>
    <row r="4386" spans="1:13" hidden="1" x14ac:dyDescent="0.15">
      <c r="A4386" t="s">
        <v>13900</v>
      </c>
      <c r="B4386" t="s">
        <v>13901</v>
      </c>
      <c r="C4386" t="s">
        <v>13902</v>
      </c>
      <c r="D4386" t="s">
        <v>13896</v>
      </c>
      <c r="E4386">
        <v>9</v>
      </c>
      <c r="F4386" t="str">
        <f>HYPERLINK("https://github.com/PhenoApps/Field-Book/issues/295", "show")</f>
        <v>show</v>
      </c>
      <c r="G4386" t="str">
        <f>HYPERLINK("https://github.com/PhenoApps/Field-Book", "show")</f>
        <v>show</v>
      </c>
      <c r="H4386" t="str">
        <f>HYPERLINK("https://github.com/PhenoApps/Field-Book/releases", "show")</f>
        <v>show</v>
      </c>
      <c r="I4386">
        <v>1</v>
      </c>
      <c r="J4386">
        <v>0</v>
      </c>
      <c r="K4386">
        <v>0</v>
      </c>
      <c r="L4386">
        <v>0</v>
      </c>
      <c r="M4386" t="s">
        <v>17</v>
      </c>
    </row>
    <row r="4387" spans="1:13" hidden="1" x14ac:dyDescent="0.15">
      <c r="A4387" t="s">
        <v>13903</v>
      </c>
      <c r="B4387" t="s">
        <v>13904</v>
      </c>
      <c r="C4387" t="s">
        <v>13905</v>
      </c>
      <c r="D4387" t="s">
        <v>13896</v>
      </c>
      <c r="E4387">
        <v>2</v>
      </c>
      <c r="F4387" t="str">
        <f>HYPERLINK("https://github.com/k9mail/k-9/issues/5457", "show")</f>
        <v>show</v>
      </c>
      <c r="G4387" t="str">
        <f>HYPERLINK("https://github.com/k9mail/k-9", "show")</f>
        <v>show</v>
      </c>
      <c r="H4387" t="str">
        <f>HYPERLINK("https://github.com/k9mail/k-9/releases", "show")</f>
        <v>show</v>
      </c>
      <c r="I4387">
        <v>1</v>
      </c>
      <c r="J4387">
        <v>1</v>
      </c>
      <c r="K4387">
        <v>1</v>
      </c>
      <c r="L4387">
        <v>0</v>
      </c>
      <c r="M4387" t="s">
        <v>59</v>
      </c>
    </row>
    <row r="4388" spans="1:13" hidden="1" x14ac:dyDescent="0.15">
      <c r="A4388" t="s">
        <v>13906</v>
      </c>
      <c r="B4388" t="s">
        <v>13907</v>
      </c>
      <c r="C4388" t="s">
        <v>13908</v>
      </c>
      <c r="D4388" t="s">
        <v>13896</v>
      </c>
      <c r="E4388">
        <v>0</v>
      </c>
      <c r="F4388" t="str">
        <f>HYPERLINK("https://github.com/TeamNewPipe/NewPipe/issues/6779", "show")</f>
        <v>show</v>
      </c>
      <c r="G4388" t="str">
        <f>HYPERLINK("https://github.com/TeamNewPipe/NewPipe", "show")</f>
        <v>show</v>
      </c>
      <c r="H4388" t="str">
        <f>HYPERLINK("https://github.com/TeamNewPipe/NewPipe/releases", "show")</f>
        <v>show</v>
      </c>
      <c r="I4388">
        <v>0</v>
      </c>
      <c r="J4388">
        <v>0</v>
      </c>
      <c r="K4388">
        <v>1</v>
      </c>
      <c r="L4388">
        <v>0</v>
      </c>
      <c r="M4388" t="s">
        <v>122</v>
      </c>
    </row>
    <row r="4389" spans="1:13" hidden="1" x14ac:dyDescent="0.15">
      <c r="A4389" t="s">
        <v>13909</v>
      </c>
      <c r="B4389" t="s">
        <v>13910</v>
      </c>
      <c r="C4389" t="s">
        <v>13911</v>
      </c>
      <c r="D4389" t="s">
        <v>13896</v>
      </c>
      <c r="E4389">
        <v>2</v>
      </c>
      <c r="F4389" t="str">
        <f>HYPERLINK("https://github.com/nextcloud/android/issues/8771", "show")</f>
        <v>show</v>
      </c>
      <c r="G4389" t="str">
        <f>HYPERLINK("https://github.com/nextcloud/android", "show")</f>
        <v>show</v>
      </c>
      <c r="H4389" t="str">
        <f>HYPERLINK("https://github.com/nextcloud/android/releases", "show")</f>
        <v>show</v>
      </c>
      <c r="I4389">
        <v>0</v>
      </c>
      <c r="J4389">
        <v>1</v>
      </c>
      <c r="K4389">
        <v>1</v>
      </c>
      <c r="L4389">
        <v>0</v>
      </c>
      <c r="M4389" t="s">
        <v>699</v>
      </c>
    </row>
    <row r="4390" spans="1:13" x14ac:dyDescent="0.15">
      <c r="A4390" t="s">
        <v>13912</v>
      </c>
      <c r="B4390" t="s">
        <v>13913</v>
      </c>
      <c r="C4390" t="s">
        <v>11582</v>
      </c>
      <c r="D4390" t="s">
        <v>13896</v>
      </c>
      <c r="E4390">
        <v>135</v>
      </c>
      <c r="F4390" t="str">
        <f>HYPERLINK("https://github.com/nextcloud/android/issues/8769", "show")</f>
        <v>show</v>
      </c>
      <c r="G4390" t="str">
        <f>HYPERLINK("https://github.com/nextcloud/android", "show")</f>
        <v>show</v>
      </c>
      <c r="H4390" t="str">
        <f>HYPERLINK("https://github.com/nextcloud/android/releases", "show")</f>
        <v>show</v>
      </c>
      <c r="I4390">
        <v>0</v>
      </c>
      <c r="J4390">
        <v>1</v>
      </c>
      <c r="K4390">
        <v>0</v>
      </c>
      <c r="L4390">
        <v>0</v>
      </c>
      <c r="M4390" t="s">
        <v>139</v>
      </c>
    </row>
    <row r="4391" spans="1:13" hidden="1" x14ac:dyDescent="0.15">
      <c r="A4391" t="s">
        <v>13914</v>
      </c>
      <c r="B4391" t="s">
        <v>13915</v>
      </c>
      <c r="C4391" t="s">
        <v>13916</v>
      </c>
      <c r="D4391" t="s">
        <v>13896</v>
      </c>
      <c r="E4391">
        <v>41</v>
      </c>
      <c r="F4391" t="str">
        <f>HYPERLINK("https://github.com/google/ExoPlayer/issues/9227", "show")</f>
        <v>show</v>
      </c>
      <c r="G4391" t="str">
        <f>HYPERLINK("https://github.com/google/ExoPlayer", "show")</f>
        <v>show</v>
      </c>
      <c r="H4391" t="str">
        <f>HYPERLINK("https://github.com/google/ExoPlayer/releases", "show")</f>
        <v>show</v>
      </c>
      <c r="I4391">
        <v>1</v>
      </c>
      <c r="J4391">
        <v>0</v>
      </c>
      <c r="K4391">
        <v>0</v>
      </c>
      <c r="L4391">
        <v>0</v>
      </c>
      <c r="M4391" t="s">
        <v>17</v>
      </c>
    </row>
    <row r="4392" spans="1:13" hidden="1" x14ac:dyDescent="0.15">
      <c r="A4392" t="s">
        <v>13917</v>
      </c>
      <c r="B4392" t="s">
        <v>13918</v>
      </c>
      <c r="C4392" t="s">
        <v>11701</v>
      </c>
      <c r="D4392" t="s">
        <v>13896</v>
      </c>
      <c r="E4392">
        <v>0</v>
      </c>
      <c r="F4392" t="str">
        <f>HYPERLINK("https://github.com/Anuken/Mindustry/issues/5654", "show")</f>
        <v>show</v>
      </c>
      <c r="G4392" t="str">
        <f>HYPERLINK("https://github.com/Anuken/Mindustry", "show")</f>
        <v>show</v>
      </c>
      <c r="H4392" t="str">
        <f>HYPERLINK("https://github.com/Anuken/Mindustry/releases", "show")</f>
        <v>show</v>
      </c>
      <c r="I4392">
        <v>1</v>
      </c>
      <c r="J4392">
        <v>1</v>
      </c>
      <c r="K4392">
        <v>0</v>
      </c>
      <c r="L4392">
        <v>0</v>
      </c>
      <c r="M4392" t="s">
        <v>48</v>
      </c>
    </row>
    <row r="4393" spans="1:13" x14ac:dyDescent="0.15">
      <c r="A4393" t="s">
        <v>13919</v>
      </c>
      <c r="B4393" t="s">
        <v>13920</v>
      </c>
      <c r="C4393" t="s">
        <v>13921</v>
      </c>
      <c r="D4393" t="s">
        <v>13922</v>
      </c>
      <c r="E4393">
        <v>12</v>
      </c>
      <c r="F4393" t="str">
        <f>HYPERLINK("https://github.com/PojavLauncherTeam/PojavLauncher/issues/1734", "show")</f>
        <v>show</v>
      </c>
      <c r="G4393" t="str">
        <f>HYPERLINK("https://github.com/PojavLauncherTeam/PojavLauncher", "show")</f>
        <v>show</v>
      </c>
      <c r="H4393" t="str">
        <f>HYPERLINK("https://github.com/PojavLauncherTeam/PojavLauncher/releases", "show")</f>
        <v>show</v>
      </c>
      <c r="I4393">
        <v>0</v>
      </c>
      <c r="J4393">
        <v>1</v>
      </c>
      <c r="K4393">
        <v>0</v>
      </c>
      <c r="L4393">
        <v>0</v>
      </c>
      <c r="M4393" t="s">
        <v>139</v>
      </c>
    </row>
    <row r="4394" spans="1:13" hidden="1" x14ac:dyDescent="0.15">
      <c r="A4394" t="s">
        <v>13923</v>
      </c>
      <c r="B4394" t="s">
        <v>13924</v>
      </c>
      <c r="C4394" t="s">
        <v>13925</v>
      </c>
      <c r="D4394" t="s">
        <v>13922</v>
      </c>
      <c r="E4394">
        <v>1</v>
      </c>
      <c r="F4394" t="str">
        <f>HYPERLINK("https://github.com/cgeo/cgeo/issues/11332", "show")</f>
        <v>show</v>
      </c>
      <c r="G4394" t="str">
        <f>HYPERLINK("https://github.com/cgeo/cgeo", "show")</f>
        <v>show</v>
      </c>
      <c r="H4394" t="str">
        <f>HYPERLINK("https://github.com/cgeo/cgeo/releases", "show")</f>
        <v>show</v>
      </c>
      <c r="I4394">
        <v>1</v>
      </c>
      <c r="J4394">
        <v>0</v>
      </c>
      <c r="K4394">
        <v>1</v>
      </c>
      <c r="L4394">
        <v>0</v>
      </c>
      <c r="M4394" t="s">
        <v>64</v>
      </c>
    </row>
    <row r="4395" spans="1:13" hidden="1" x14ac:dyDescent="0.15">
      <c r="A4395" t="s">
        <v>13926</v>
      </c>
      <c r="B4395" t="s">
        <v>13927</v>
      </c>
      <c r="C4395" t="s">
        <v>13928</v>
      </c>
      <c r="D4395" t="s">
        <v>13922</v>
      </c>
      <c r="E4395">
        <v>18</v>
      </c>
      <c r="F4395" t="str">
        <f>HYPERLINK("https://github.com/Benji377/SocyMusic/issues/134", "show")</f>
        <v>show</v>
      </c>
      <c r="G4395" t="str">
        <f>HYPERLINK("https://github.com/Benji377/SocyMusic", "show")</f>
        <v>show</v>
      </c>
      <c r="H4395" t="str">
        <f>HYPERLINK("https://github.com/Benji377/SocyMusic/releases", "show")</f>
        <v>show</v>
      </c>
      <c r="I4395">
        <v>0</v>
      </c>
      <c r="J4395">
        <v>0</v>
      </c>
      <c r="K4395">
        <v>0</v>
      </c>
      <c r="L4395">
        <v>0</v>
      </c>
      <c r="M4395" t="s">
        <v>43</v>
      </c>
    </row>
    <row r="4396" spans="1:13" hidden="1" x14ac:dyDescent="0.15">
      <c r="A4396" t="s">
        <v>13929</v>
      </c>
      <c r="B4396" t="s">
        <v>13930</v>
      </c>
      <c r="C4396" t="s">
        <v>13931</v>
      </c>
      <c r="D4396" t="s">
        <v>13922</v>
      </c>
      <c r="E4396">
        <v>0</v>
      </c>
      <c r="F4396" t="str">
        <f>HYPERLINK("https://github.com/Anuken/Mindustry/issues/5650", "show")</f>
        <v>show</v>
      </c>
      <c r="G4396" t="str">
        <f>HYPERLINK("https://github.com/Anuken/Mindustry", "show")</f>
        <v>show</v>
      </c>
      <c r="H4396" t="str">
        <f>HYPERLINK("https://github.com/Anuken/Mindustry/releases", "show")</f>
        <v>show</v>
      </c>
      <c r="I4396">
        <v>1</v>
      </c>
      <c r="J4396">
        <v>1</v>
      </c>
      <c r="K4396">
        <v>0</v>
      </c>
      <c r="L4396">
        <v>0</v>
      </c>
      <c r="M4396" t="s">
        <v>48</v>
      </c>
    </row>
    <row r="4397" spans="1:13" hidden="1" x14ac:dyDescent="0.15">
      <c r="A4397" t="s">
        <v>13932</v>
      </c>
      <c r="B4397" t="s">
        <v>13933</v>
      </c>
      <c r="C4397" t="s">
        <v>13934</v>
      </c>
      <c r="D4397" t="s">
        <v>13922</v>
      </c>
      <c r="E4397">
        <v>0</v>
      </c>
      <c r="F4397" t="str">
        <f>HYPERLINK("https://github.com/TeamNewPipe/NewPipe/issues/6767", "show")</f>
        <v>show</v>
      </c>
      <c r="G4397" t="str">
        <f>HYPERLINK("https://github.com/TeamNewPipe/NewPipe", "show")</f>
        <v>show</v>
      </c>
      <c r="H4397" t="str">
        <f>HYPERLINK("https://github.com/TeamNewPipe/NewPipe/releases", "show")</f>
        <v>show</v>
      </c>
      <c r="I4397">
        <v>1</v>
      </c>
      <c r="J4397">
        <v>1</v>
      </c>
      <c r="K4397">
        <v>1</v>
      </c>
      <c r="L4397">
        <v>0</v>
      </c>
      <c r="M4397" t="s">
        <v>59</v>
      </c>
    </row>
    <row r="4398" spans="1:13" hidden="1" x14ac:dyDescent="0.15">
      <c r="A4398" t="s">
        <v>13935</v>
      </c>
      <c r="B4398" t="s">
        <v>13936</v>
      </c>
      <c r="C4398" t="s">
        <v>13937</v>
      </c>
      <c r="D4398" t="s">
        <v>13922</v>
      </c>
      <c r="E4398">
        <v>1</v>
      </c>
      <c r="F4398" t="str">
        <f>HYPERLINK("https://github.com/k9mail/k-9/issues/5446", "show")</f>
        <v>show</v>
      </c>
      <c r="G4398" t="str">
        <f>HYPERLINK("https://github.com/k9mail/k-9", "show")</f>
        <v>show</v>
      </c>
      <c r="H4398" t="str">
        <f>HYPERLINK("https://github.com/k9mail/k-9/releases", "show")</f>
        <v>show</v>
      </c>
      <c r="I4398">
        <v>1</v>
      </c>
      <c r="J4398">
        <v>1</v>
      </c>
      <c r="K4398">
        <v>0</v>
      </c>
      <c r="L4398">
        <v>0</v>
      </c>
      <c r="M4398" t="s">
        <v>48</v>
      </c>
    </row>
    <row r="4399" spans="1:13" hidden="1" x14ac:dyDescent="0.15">
      <c r="A4399" t="s">
        <v>13938</v>
      </c>
      <c r="B4399" t="s">
        <v>13939</v>
      </c>
      <c r="C4399" t="s">
        <v>13940</v>
      </c>
      <c r="D4399" t="s">
        <v>13922</v>
      </c>
      <c r="E4399">
        <v>6</v>
      </c>
      <c r="F4399" t="str">
        <f>HYPERLINK("https://github.com/sachuss/Raksha-SOS-Alert-/issues/23", "show")</f>
        <v>show</v>
      </c>
      <c r="G4399" t="str">
        <f>HYPERLINK("https://github.com/sachuss/Raksha-SOS-Alert-", "show")</f>
        <v>show</v>
      </c>
      <c r="H4399" t="str">
        <f>HYPERLINK("https://github.com/sachuss/Raksha-SOS-Alert-/releases", "show")</f>
        <v>show</v>
      </c>
      <c r="I4399">
        <v>1</v>
      </c>
      <c r="J4399">
        <v>1</v>
      </c>
      <c r="K4399">
        <v>0</v>
      </c>
      <c r="L4399">
        <v>0</v>
      </c>
      <c r="M4399" t="s">
        <v>48</v>
      </c>
    </row>
    <row r="4400" spans="1:13" hidden="1" x14ac:dyDescent="0.15">
      <c r="A4400" t="s">
        <v>13941</v>
      </c>
      <c r="B4400" t="s">
        <v>13942</v>
      </c>
      <c r="C4400" t="s">
        <v>13943</v>
      </c>
      <c r="D4400" t="s">
        <v>13922</v>
      </c>
      <c r="E4400">
        <v>38</v>
      </c>
      <c r="F4400" t="str">
        <f>HYPERLINK("https://github.com/CTemplar/android/issues/399", "show")</f>
        <v>show</v>
      </c>
      <c r="G4400" t="str">
        <f>HYPERLINK("https://github.com/CTemplar/android", "show")</f>
        <v>show</v>
      </c>
      <c r="H4400" t="str">
        <f>HYPERLINK("https://github.com/CTemplar/android/releases", "show")</f>
        <v>show</v>
      </c>
      <c r="I4400">
        <v>1</v>
      </c>
      <c r="J4400">
        <v>1</v>
      </c>
      <c r="K4400">
        <v>0</v>
      </c>
      <c r="L4400">
        <v>0</v>
      </c>
      <c r="M4400" t="s">
        <v>48</v>
      </c>
    </row>
    <row r="4401" spans="1:13" hidden="1" x14ac:dyDescent="0.15">
      <c r="A4401" t="s">
        <v>13944</v>
      </c>
      <c r="B4401" t="s">
        <v>13945</v>
      </c>
      <c r="C4401" t="s">
        <v>13946</v>
      </c>
      <c r="D4401" t="s">
        <v>13922</v>
      </c>
      <c r="E4401">
        <v>0</v>
      </c>
      <c r="F4401" t="str">
        <f>HYPERLINK("https://github.com/Anuken/Mindustry/issues/5648", "show")</f>
        <v>show</v>
      </c>
      <c r="G4401" t="str">
        <f>HYPERLINK("https://github.com/Anuken/Mindustry", "show")</f>
        <v>show</v>
      </c>
      <c r="H4401" t="str">
        <f>HYPERLINK("https://github.com/Anuken/Mindustry/releases", "show")</f>
        <v>show</v>
      </c>
      <c r="I4401">
        <v>1</v>
      </c>
      <c r="J4401">
        <v>1</v>
      </c>
      <c r="K4401">
        <v>0</v>
      </c>
      <c r="L4401">
        <v>0</v>
      </c>
      <c r="M4401" t="s">
        <v>48</v>
      </c>
    </row>
    <row r="4402" spans="1:13" hidden="1" x14ac:dyDescent="0.15">
      <c r="A4402" t="s">
        <v>13947</v>
      </c>
      <c r="B4402" t="s">
        <v>13948</v>
      </c>
      <c r="C4402" t="s">
        <v>13949</v>
      </c>
      <c r="D4402" t="s">
        <v>13922</v>
      </c>
      <c r="E4402">
        <v>0</v>
      </c>
      <c r="F4402" t="str">
        <f>HYPERLINK("https://github.com/Anuken/Mindustry/issues/5647", "show")</f>
        <v>show</v>
      </c>
      <c r="G4402" t="str">
        <f>HYPERLINK("https://github.com/Anuken/Mindustry", "show")</f>
        <v>show</v>
      </c>
      <c r="H4402" t="str">
        <f>HYPERLINK("https://github.com/Anuken/Mindustry/releases", "show")</f>
        <v>show</v>
      </c>
      <c r="I4402">
        <v>1</v>
      </c>
      <c r="J4402">
        <v>1</v>
      </c>
      <c r="K4402">
        <v>0</v>
      </c>
      <c r="L4402">
        <v>0</v>
      </c>
      <c r="M4402" t="s">
        <v>48</v>
      </c>
    </row>
    <row r="4403" spans="1:13" x14ac:dyDescent="0.15">
      <c r="A4403" t="s">
        <v>13950</v>
      </c>
      <c r="B4403" t="s">
        <v>13951</v>
      </c>
      <c r="C4403" t="s">
        <v>13952</v>
      </c>
      <c r="D4403" t="s">
        <v>13953</v>
      </c>
      <c r="E4403">
        <v>0</v>
      </c>
      <c r="F4403" t="str">
        <f>HYPERLINK("https://github.com/Anuken/Mindustry/issues/5646", "show")</f>
        <v>show</v>
      </c>
      <c r="G4403" t="str">
        <f>HYPERLINK("https://github.com/Anuken/Mindustry", "show")</f>
        <v>show</v>
      </c>
      <c r="H4403" t="str">
        <f>HYPERLINK("https://github.com/Anuken/Mindustry/releases", "show")</f>
        <v>show</v>
      </c>
      <c r="I4403">
        <v>0</v>
      </c>
      <c r="J4403">
        <v>1</v>
      </c>
      <c r="K4403">
        <v>0</v>
      </c>
      <c r="L4403">
        <v>0</v>
      </c>
      <c r="M4403" t="s">
        <v>139</v>
      </c>
    </row>
    <row r="4404" spans="1:13" hidden="1" x14ac:dyDescent="0.15">
      <c r="A4404" t="s">
        <v>13954</v>
      </c>
      <c r="B4404" t="s">
        <v>13955</v>
      </c>
      <c r="C4404" t="s">
        <v>13956</v>
      </c>
      <c r="D4404" t="s">
        <v>13953</v>
      </c>
      <c r="E4404">
        <v>13</v>
      </c>
      <c r="F4404" t="str">
        <f>HYPERLINK("https://github.com/k9mail/k-9/issues/5442", "show")</f>
        <v>show</v>
      </c>
      <c r="G4404" t="str">
        <f>HYPERLINK("https://github.com/k9mail/k-9", "show")</f>
        <v>show</v>
      </c>
      <c r="H4404" t="str">
        <f>HYPERLINK("https://github.com/k9mail/k-9/releases", "show")</f>
        <v>show</v>
      </c>
      <c r="I4404">
        <v>1</v>
      </c>
      <c r="J4404">
        <v>1</v>
      </c>
      <c r="K4404">
        <v>0</v>
      </c>
      <c r="L4404">
        <v>0</v>
      </c>
      <c r="M4404" t="s">
        <v>48</v>
      </c>
    </row>
    <row r="4405" spans="1:13" hidden="1" x14ac:dyDescent="0.15">
      <c r="A4405" t="s">
        <v>13957</v>
      </c>
      <c r="B4405" t="s">
        <v>13958</v>
      </c>
      <c r="C4405" t="s">
        <v>13959</v>
      </c>
      <c r="D4405" t="s">
        <v>13953</v>
      </c>
      <c r="E4405">
        <v>4</v>
      </c>
      <c r="F4405" t="str">
        <f>HYPERLINK("https://github.com/k9mail/k-9/issues/5433", "show")</f>
        <v>show</v>
      </c>
      <c r="G4405" t="str">
        <f>HYPERLINK("https://github.com/k9mail/k-9", "show")</f>
        <v>show</v>
      </c>
      <c r="H4405" t="str">
        <f>HYPERLINK("https://github.com/k9mail/k-9/releases", "show")</f>
        <v>show</v>
      </c>
      <c r="I4405">
        <v>0</v>
      </c>
      <c r="J4405">
        <v>0</v>
      </c>
      <c r="K4405">
        <v>1</v>
      </c>
      <c r="L4405">
        <v>0</v>
      </c>
      <c r="M4405" t="s">
        <v>122</v>
      </c>
    </row>
    <row r="4406" spans="1:13" hidden="1" x14ac:dyDescent="0.15">
      <c r="A4406" t="s">
        <v>13960</v>
      </c>
      <c r="B4406" t="s">
        <v>13961</v>
      </c>
      <c r="C4406" t="s">
        <v>13962</v>
      </c>
      <c r="D4406" t="s">
        <v>13953</v>
      </c>
      <c r="E4406">
        <v>0</v>
      </c>
      <c r="F4406" t="str">
        <f>HYPERLINK("https://github.com/TeamNewPipe/NewPipe/issues/6761", "show")</f>
        <v>show</v>
      </c>
      <c r="G4406" t="str">
        <f>HYPERLINK("https://github.com/TeamNewPipe/NewPipe", "show")</f>
        <v>show</v>
      </c>
      <c r="H4406" t="str">
        <f>HYPERLINK("https://github.com/TeamNewPipe/NewPipe/releases", "show")</f>
        <v>show</v>
      </c>
      <c r="I4406">
        <v>1</v>
      </c>
      <c r="J4406">
        <v>0</v>
      </c>
      <c r="K4406">
        <v>1</v>
      </c>
      <c r="L4406">
        <v>0</v>
      </c>
      <c r="M4406" t="s">
        <v>64</v>
      </c>
    </row>
    <row r="4407" spans="1:13" x14ac:dyDescent="0.15">
      <c r="A4407" t="s">
        <v>13963</v>
      </c>
      <c r="B4407" t="s">
        <v>13964</v>
      </c>
      <c r="C4407" t="s">
        <v>13965</v>
      </c>
      <c r="D4407" t="s">
        <v>13953</v>
      </c>
      <c r="E4407">
        <v>0</v>
      </c>
      <c r="F4407" t="str">
        <f>HYPERLINK("https://github.com/Anuken/Mindustry/issues/5643", "show")</f>
        <v>show</v>
      </c>
      <c r="G4407" t="str">
        <f>HYPERLINK("https://github.com/Anuken/Mindustry", "show")</f>
        <v>show</v>
      </c>
      <c r="H4407" t="str">
        <f>HYPERLINK("https://github.com/Anuken/Mindustry/releases", "show")</f>
        <v>show</v>
      </c>
      <c r="I4407">
        <v>0</v>
      </c>
      <c r="J4407">
        <v>1</v>
      </c>
      <c r="K4407">
        <v>0</v>
      </c>
      <c r="L4407">
        <v>0</v>
      </c>
      <c r="M4407" t="s">
        <v>139</v>
      </c>
    </row>
    <row r="4408" spans="1:13" hidden="1" x14ac:dyDescent="0.15">
      <c r="A4408" t="s">
        <v>13966</v>
      </c>
      <c r="B4408" t="s">
        <v>13967</v>
      </c>
      <c r="C4408" t="s">
        <v>13968</v>
      </c>
      <c r="D4408" t="s">
        <v>13953</v>
      </c>
      <c r="E4408">
        <v>0</v>
      </c>
      <c r="F4408" t="str">
        <f>HYPERLINK("https://github.com/Anuken/Mindustry/issues/5642", "show")</f>
        <v>show</v>
      </c>
      <c r="G4408" t="str">
        <f>HYPERLINK("https://github.com/Anuken/Mindustry", "show")</f>
        <v>show</v>
      </c>
      <c r="H4408" t="str">
        <f>HYPERLINK("https://github.com/Anuken/Mindustry/releases", "show")</f>
        <v>show</v>
      </c>
      <c r="I4408">
        <v>1</v>
      </c>
      <c r="J4408">
        <v>1</v>
      </c>
      <c r="K4408">
        <v>0</v>
      </c>
      <c r="L4408">
        <v>0</v>
      </c>
      <c r="M4408" t="s">
        <v>48</v>
      </c>
    </row>
    <row r="4409" spans="1:13" hidden="1" x14ac:dyDescent="0.15">
      <c r="A4409" t="s">
        <v>13969</v>
      </c>
      <c r="B4409" t="s">
        <v>13970</v>
      </c>
      <c r="C4409" t="s">
        <v>13971</v>
      </c>
      <c r="D4409" t="s">
        <v>13972</v>
      </c>
      <c r="E4409">
        <v>39</v>
      </c>
      <c r="F4409" t="str">
        <f>HYPERLINK("https://github.com/PojavLauncherTeam/PojavLauncher/issues/1728", "show")</f>
        <v>show</v>
      </c>
      <c r="G4409" t="str">
        <f>HYPERLINK("https://github.com/PojavLauncherTeam/PojavLauncher", "show")</f>
        <v>show</v>
      </c>
      <c r="H4409" t="str">
        <f>HYPERLINK("https://github.com/PojavLauncherTeam/PojavLauncher/releases", "show")</f>
        <v>show</v>
      </c>
      <c r="I4409">
        <v>1</v>
      </c>
      <c r="J4409">
        <v>1</v>
      </c>
      <c r="K4409">
        <v>0</v>
      </c>
      <c r="L4409">
        <v>0</v>
      </c>
      <c r="M4409" t="s">
        <v>48</v>
      </c>
    </row>
    <row r="4410" spans="1:13" hidden="1" x14ac:dyDescent="0.15">
      <c r="A4410" t="s">
        <v>13973</v>
      </c>
      <c r="B4410" t="s">
        <v>13974</v>
      </c>
      <c r="C4410" t="s">
        <v>13975</v>
      </c>
      <c r="D4410" t="s">
        <v>13972</v>
      </c>
      <c r="E4410">
        <v>222</v>
      </c>
      <c r="F4410" t="str">
        <f>HYPERLINK("https://github.com/nextcloud/android/issues/8764", "show")</f>
        <v>show</v>
      </c>
      <c r="G4410" t="str">
        <f>HYPERLINK("https://github.com/nextcloud/android", "show")</f>
        <v>show</v>
      </c>
      <c r="H4410" t="str">
        <f>HYPERLINK("https://github.com/nextcloud/android/releases", "show")</f>
        <v>show</v>
      </c>
      <c r="I4410">
        <v>1</v>
      </c>
      <c r="J4410">
        <v>0</v>
      </c>
      <c r="K4410">
        <v>1</v>
      </c>
      <c r="L4410">
        <v>0</v>
      </c>
      <c r="M4410" t="s">
        <v>64</v>
      </c>
    </row>
    <row r="4411" spans="1:13" hidden="1" x14ac:dyDescent="0.15">
      <c r="A4411" t="s">
        <v>13976</v>
      </c>
      <c r="B4411" t="s">
        <v>13977</v>
      </c>
      <c r="C4411" t="s">
        <v>13978</v>
      </c>
      <c r="D4411" t="s">
        <v>13979</v>
      </c>
      <c r="E4411">
        <v>177</v>
      </c>
      <c r="F4411" t="str">
        <f>HYPERLINK("https://github.com/doublesymmetry/react-native-track-player/issues/1210", "show")</f>
        <v>show</v>
      </c>
      <c r="G4411" t="str">
        <f>HYPERLINK("https://github.com/doublesymmetry/react-native-track-player", "show")</f>
        <v>show</v>
      </c>
      <c r="H4411" t="str">
        <f>HYPERLINK("https://github.com/doublesymmetry/react-native-track-player/releases", "show")</f>
        <v>show</v>
      </c>
      <c r="I4411">
        <v>1</v>
      </c>
      <c r="J4411">
        <v>0</v>
      </c>
      <c r="K4411">
        <v>1</v>
      </c>
      <c r="L4411">
        <v>0</v>
      </c>
      <c r="M4411" t="s">
        <v>64</v>
      </c>
    </row>
    <row r="4412" spans="1:13" hidden="1" x14ac:dyDescent="0.15">
      <c r="A4412" t="s">
        <v>13980</v>
      </c>
      <c r="B4412" t="s">
        <v>13981</v>
      </c>
      <c r="C4412" t="s">
        <v>13982</v>
      </c>
      <c r="D4412" t="s">
        <v>13979</v>
      </c>
      <c r="E4412">
        <v>40</v>
      </c>
      <c r="F4412" t="str">
        <f>HYPERLINK("https://github.com/PojavLauncherTeam/PojavLauncher/issues/1723", "show")</f>
        <v>show</v>
      </c>
      <c r="G4412" t="str">
        <f>HYPERLINK("https://github.com/PojavLauncherTeam/PojavLauncher", "show")</f>
        <v>show</v>
      </c>
      <c r="H4412" t="str">
        <f>HYPERLINK("https://github.com/PojavLauncherTeam/PojavLauncher/releases", "show")</f>
        <v>show</v>
      </c>
      <c r="I4412">
        <v>0</v>
      </c>
      <c r="J4412">
        <v>0</v>
      </c>
      <c r="K4412">
        <v>0</v>
      </c>
      <c r="L4412">
        <v>0</v>
      </c>
      <c r="M4412" t="s">
        <v>43</v>
      </c>
    </row>
    <row r="4413" spans="1:13" hidden="1" x14ac:dyDescent="0.15">
      <c r="A4413" t="s">
        <v>13983</v>
      </c>
      <c r="B4413" t="s">
        <v>13984</v>
      </c>
      <c r="C4413" t="s">
        <v>13985</v>
      </c>
      <c r="D4413" t="s">
        <v>13979</v>
      </c>
      <c r="E4413">
        <v>0</v>
      </c>
      <c r="F4413" t="str">
        <f>HYPERLINK("https://github.com/MuntashirAkon/AppManager/issues/525", "show")</f>
        <v>show</v>
      </c>
      <c r="G4413" t="str">
        <f>HYPERLINK("https://github.com/MuntashirAkon/AppManager", "show")</f>
        <v>show</v>
      </c>
      <c r="H4413" t="str">
        <f>HYPERLINK("https://github.com/MuntashirAkon/AppManager/releases", "show")</f>
        <v>show</v>
      </c>
      <c r="I4413">
        <v>1</v>
      </c>
      <c r="J4413">
        <v>0</v>
      </c>
      <c r="K4413">
        <v>1</v>
      </c>
      <c r="L4413">
        <v>0</v>
      </c>
      <c r="M4413" t="s">
        <v>64</v>
      </c>
    </row>
    <row r="4414" spans="1:13" hidden="1" x14ac:dyDescent="0.15">
      <c r="A4414" t="s">
        <v>13986</v>
      </c>
      <c r="B4414" t="s">
        <v>13987</v>
      </c>
      <c r="C4414" t="s">
        <v>13988</v>
      </c>
      <c r="D4414" t="s">
        <v>13979</v>
      </c>
      <c r="E4414">
        <v>0</v>
      </c>
      <c r="F4414" t="str">
        <f>HYPERLINK("https://github.com/Anuken/Mindustry/issues/5633", "show")</f>
        <v>show</v>
      </c>
      <c r="G4414" t="str">
        <f>HYPERLINK("https://github.com/Anuken/Mindustry", "show")</f>
        <v>show</v>
      </c>
      <c r="H4414" t="str">
        <f>HYPERLINK("https://github.com/Anuken/Mindustry/releases", "show")</f>
        <v>show</v>
      </c>
      <c r="I4414">
        <v>1</v>
      </c>
      <c r="J4414">
        <v>1</v>
      </c>
      <c r="K4414">
        <v>0</v>
      </c>
      <c r="L4414">
        <v>0</v>
      </c>
      <c r="M4414" t="s">
        <v>48</v>
      </c>
    </row>
    <row r="4415" spans="1:13" hidden="1" x14ac:dyDescent="0.15">
      <c r="A4415" t="s">
        <v>13989</v>
      </c>
      <c r="B4415" t="s">
        <v>13990</v>
      </c>
      <c r="C4415" t="s">
        <v>13991</v>
      </c>
      <c r="D4415" t="s">
        <v>13992</v>
      </c>
      <c r="E4415">
        <v>253</v>
      </c>
      <c r="F4415" t="str">
        <f>HYPERLINK("https://github.com/PojavLauncherTeam/PojavLauncher/issues/1713", "show")</f>
        <v>show</v>
      </c>
      <c r="G4415" t="str">
        <f>HYPERLINK("https://github.com/PojavLauncherTeam/PojavLauncher", "show")</f>
        <v>show</v>
      </c>
      <c r="H4415" t="str">
        <f>HYPERLINK("https://github.com/PojavLauncherTeam/PojavLauncher/releases", "show")</f>
        <v>show</v>
      </c>
      <c r="I4415">
        <v>0</v>
      </c>
      <c r="J4415">
        <v>0</v>
      </c>
      <c r="K4415">
        <v>0</v>
      </c>
      <c r="L4415">
        <v>0</v>
      </c>
      <c r="M4415" t="s">
        <v>43</v>
      </c>
    </row>
    <row r="4416" spans="1:13" hidden="1" x14ac:dyDescent="0.15">
      <c r="A4416" t="s">
        <v>13993</v>
      </c>
      <c r="B4416" t="s">
        <v>13994</v>
      </c>
      <c r="C4416" t="s">
        <v>13995</v>
      </c>
      <c r="D4416" t="s">
        <v>13992</v>
      </c>
      <c r="E4416">
        <v>178</v>
      </c>
      <c r="F4416" t="str">
        <f>HYPERLINK("https://github.com/TeamNewPipe/NewPipe/issues/6736", "show")</f>
        <v>show</v>
      </c>
      <c r="G4416" t="str">
        <f>HYPERLINK("https://github.com/TeamNewPipe/NewPipe", "show")</f>
        <v>show</v>
      </c>
      <c r="H4416" t="str">
        <f>HYPERLINK("https://github.com/TeamNewPipe/NewPipe/releases", "show")</f>
        <v>show</v>
      </c>
      <c r="I4416">
        <v>1</v>
      </c>
      <c r="J4416">
        <v>1</v>
      </c>
      <c r="K4416">
        <v>1</v>
      </c>
      <c r="L4416">
        <v>0</v>
      </c>
      <c r="M4416" t="s">
        <v>59</v>
      </c>
    </row>
    <row r="4417" spans="1:13" hidden="1" x14ac:dyDescent="0.15">
      <c r="A4417" t="s">
        <v>13996</v>
      </c>
      <c r="B4417" t="s">
        <v>13997</v>
      </c>
      <c r="C4417" t="s">
        <v>13998</v>
      </c>
      <c r="D4417" t="s">
        <v>13992</v>
      </c>
      <c r="E4417">
        <v>0</v>
      </c>
      <c r="F4417" t="str">
        <f>HYPERLINK("https://github.com/isl-org/OpenBot/issues/211", "show")</f>
        <v>show</v>
      </c>
      <c r="G4417" t="str">
        <f>HYPERLINK("https://github.com/isl-org/OpenBot", "show")</f>
        <v>show</v>
      </c>
      <c r="H4417" t="str">
        <f>HYPERLINK("https://github.com/isl-org/OpenBot/releases", "show")</f>
        <v>show</v>
      </c>
      <c r="I4417">
        <v>1</v>
      </c>
      <c r="J4417">
        <v>1</v>
      </c>
      <c r="K4417">
        <v>1</v>
      </c>
      <c r="L4417">
        <v>1</v>
      </c>
      <c r="M4417" t="s">
        <v>2875</v>
      </c>
    </row>
    <row r="4418" spans="1:13" hidden="1" x14ac:dyDescent="0.15">
      <c r="A4418" t="s">
        <v>13999</v>
      </c>
      <c r="B4418" t="s">
        <v>14000</v>
      </c>
      <c r="C4418" t="s">
        <v>14001</v>
      </c>
      <c r="D4418" t="s">
        <v>13992</v>
      </c>
      <c r="E4418">
        <v>0</v>
      </c>
      <c r="F4418" t="str">
        <f>HYPERLINK("https://github.com/isl-org/OpenBot/issues/209", "show")</f>
        <v>show</v>
      </c>
      <c r="G4418" t="str">
        <f>HYPERLINK("https://github.com/isl-org/OpenBot", "show")</f>
        <v>show</v>
      </c>
      <c r="H4418" t="str">
        <f>HYPERLINK("https://github.com/isl-org/OpenBot/releases", "show")</f>
        <v>show</v>
      </c>
      <c r="I4418">
        <v>1</v>
      </c>
      <c r="J4418">
        <v>1</v>
      </c>
      <c r="K4418">
        <v>1</v>
      </c>
      <c r="L4418">
        <v>1</v>
      </c>
      <c r="M4418" t="s">
        <v>2875</v>
      </c>
    </row>
    <row r="4419" spans="1:13" hidden="1" x14ac:dyDescent="0.15">
      <c r="A4419" t="s">
        <v>14002</v>
      </c>
      <c r="B4419" t="s">
        <v>14003</v>
      </c>
      <c r="C4419" t="s">
        <v>14004</v>
      </c>
      <c r="D4419" t="s">
        <v>14005</v>
      </c>
      <c r="E4419">
        <v>4</v>
      </c>
      <c r="F4419" t="str">
        <f>HYPERLINK("https://github.com/TeamNewPipe/NewPipe/issues/6729", "show")</f>
        <v>show</v>
      </c>
      <c r="G4419" t="str">
        <f>HYPERLINK("https://github.com/TeamNewPipe/NewPipe", "show")</f>
        <v>show</v>
      </c>
      <c r="H4419" t="str">
        <f>HYPERLINK("https://github.com/TeamNewPipe/NewPipe/releases", "show")</f>
        <v>show</v>
      </c>
      <c r="I4419">
        <v>1</v>
      </c>
      <c r="J4419">
        <v>1</v>
      </c>
      <c r="K4419">
        <v>1</v>
      </c>
      <c r="L4419">
        <v>0</v>
      </c>
      <c r="M4419" t="s">
        <v>59</v>
      </c>
    </row>
    <row r="4420" spans="1:13" hidden="1" x14ac:dyDescent="0.15">
      <c r="A4420" t="s">
        <v>14006</v>
      </c>
      <c r="B4420" t="s">
        <v>14007</v>
      </c>
      <c r="C4420" t="s">
        <v>14008</v>
      </c>
      <c r="D4420" t="s">
        <v>14005</v>
      </c>
      <c r="E4420">
        <v>0</v>
      </c>
      <c r="F4420" t="str">
        <f>HYPERLINK("https://github.com/Anuken/Mindustry/issues/5630", "show")</f>
        <v>show</v>
      </c>
      <c r="G4420" t="str">
        <f>HYPERLINK("https://github.com/Anuken/Mindustry", "show")</f>
        <v>show</v>
      </c>
      <c r="H4420" t="str">
        <f>HYPERLINK("https://github.com/Anuken/Mindustry/releases", "show")</f>
        <v>show</v>
      </c>
      <c r="I4420">
        <v>1</v>
      </c>
      <c r="J4420">
        <v>1</v>
      </c>
      <c r="K4420">
        <v>0</v>
      </c>
      <c r="L4420">
        <v>0</v>
      </c>
      <c r="M4420" t="s">
        <v>48</v>
      </c>
    </row>
    <row r="4421" spans="1:13" x14ac:dyDescent="0.15">
      <c r="A4421" t="s">
        <v>14009</v>
      </c>
      <c r="B4421" t="s">
        <v>3180</v>
      </c>
      <c r="C4421" t="s">
        <v>11582</v>
      </c>
      <c r="D4421" t="s">
        <v>14005</v>
      </c>
      <c r="E4421">
        <v>1</v>
      </c>
      <c r="F4421" t="str">
        <f>HYPERLINK("https://github.com/nextcloud/android/issues/8747", "show")</f>
        <v>show</v>
      </c>
      <c r="G4421" t="str">
        <f>HYPERLINK("https://github.com/nextcloud/android", "show")</f>
        <v>show</v>
      </c>
      <c r="H4421" t="str">
        <f>HYPERLINK("https://github.com/nextcloud/android/releases", "show")</f>
        <v>show</v>
      </c>
      <c r="I4421">
        <v>0</v>
      </c>
      <c r="J4421">
        <v>1</v>
      </c>
      <c r="K4421">
        <v>0</v>
      </c>
      <c r="L4421">
        <v>0</v>
      </c>
      <c r="M4421" t="s">
        <v>139</v>
      </c>
    </row>
    <row r="4422" spans="1:13" hidden="1" x14ac:dyDescent="0.15">
      <c r="A4422" t="s">
        <v>14010</v>
      </c>
      <c r="B4422" t="s">
        <v>14011</v>
      </c>
      <c r="C4422" t="s">
        <v>14012</v>
      </c>
      <c r="D4422" t="s">
        <v>14005</v>
      </c>
      <c r="E4422">
        <v>0</v>
      </c>
      <c r="F4422" t="str">
        <f>HYPERLINK("https://github.com/Anuken/Mindustry/issues/5628", "show")</f>
        <v>show</v>
      </c>
      <c r="G4422" t="str">
        <f>HYPERLINK("https://github.com/Anuken/Mindustry", "show")</f>
        <v>show</v>
      </c>
      <c r="H4422" t="str">
        <f>HYPERLINK("https://github.com/Anuken/Mindustry/releases", "show")</f>
        <v>show</v>
      </c>
      <c r="I4422">
        <v>1</v>
      </c>
      <c r="J4422">
        <v>1</v>
      </c>
      <c r="K4422">
        <v>0</v>
      </c>
      <c r="L4422">
        <v>0</v>
      </c>
      <c r="M4422" t="s">
        <v>48</v>
      </c>
    </row>
    <row r="4423" spans="1:13" hidden="1" x14ac:dyDescent="0.15">
      <c r="A4423" t="s">
        <v>14013</v>
      </c>
      <c r="B4423" t="s">
        <v>14014</v>
      </c>
      <c r="C4423" t="s">
        <v>14015</v>
      </c>
      <c r="D4423" t="s">
        <v>14005</v>
      </c>
      <c r="E4423">
        <v>2</v>
      </c>
      <c r="F4423" t="str">
        <f>HYPERLINK("https://github.com/nextcloud/android/issues/8745", "show")</f>
        <v>show</v>
      </c>
      <c r="G4423" t="str">
        <f>HYPERLINK("https://github.com/nextcloud/android", "show")</f>
        <v>show</v>
      </c>
      <c r="H4423" t="str">
        <f>HYPERLINK("https://github.com/nextcloud/android/releases", "show")</f>
        <v>show</v>
      </c>
      <c r="I4423">
        <v>1</v>
      </c>
      <c r="J4423">
        <v>1</v>
      </c>
      <c r="K4423">
        <v>1</v>
      </c>
      <c r="L4423">
        <v>0</v>
      </c>
      <c r="M4423" t="s">
        <v>59</v>
      </c>
    </row>
    <row r="4424" spans="1:13" hidden="1" x14ac:dyDescent="0.15">
      <c r="A4424" t="s">
        <v>14016</v>
      </c>
      <c r="B4424" t="s">
        <v>14017</v>
      </c>
      <c r="C4424" t="s">
        <v>14018</v>
      </c>
      <c r="D4424" t="s">
        <v>14005</v>
      </c>
      <c r="E4424">
        <v>0</v>
      </c>
      <c r="F4424" t="str">
        <f>HYPERLINK("https://github.com/nextcloud/android/issues/8744", "show")</f>
        <v>show</v>
      </c>
      <c r="G4424" t="str">
        <f>HYPERLINK("https://github.com/nextcloud/android", "show")</f>
        <v>show</v>
      </c>
      <c r="H4424" t="str">
        <f>HYPERLINK("https://github.com/nextcloud/android/releases", "show")</f>
        <v>show</v>
      </c>
      <c r="I4424">
        <v>1</v>
      </c>
      <c r="J4424">
        <v>1</v>
      </c>
      <c r="K4424">
        <v>1</v>
      </c>
      <c r="L4424">
        <v>0</v>
      </c>
      <c r="M4424" t="s">
        <v>59</v>
      </c>
    </row>
    <row r="4425" spans="1:13" hidden="1" x14ac:dyDescent="0.15">
      <c r="A4425" t="s">
        <v>14019</v>
      </c>
      <c r="B4425" t="s">
        <v>14020</v>
      </c>
      <c r="C4425" t="s">
        <v>14021</v>
      </c>
      <c r="D4425" t="s">
        <v>14022</v>
      </c>
      <c r="E4425">
        <v>43</v>
      </c>
      <c r="F4425" t="str">
        <f>HYPERLINK("https://github.com/PojavLauncherTeam/PojavLauncher/issues/1705", "show")</f>
        <v>show</v>
      </c>
      <c r="G4425" t="str">
        <f>HYPERLINK("https://github.com/PojavLauncherTeam/PojavLauncher", "show")</f>
        <v>show</v>
      </c>
      <c r="H4425" t="str">
        <f>HYPERLINK("https://github.com/PojavLauncherTeam/PojavLauncher/releases", "show")</f>
        <v>show</v>
      </c>
      <c r="I4425">
        <v>1</v>
      </c>
      <c r="J4425">
        <v>1</v>
      </c>
      <c r="K4425">
        <v>0</v>
      </c>
      <c r="L4425">
        <v>0</v>
      </c>
      <c r="M4425" t="s">
        <v>48</v>
      </c>
    </row>
    <row r="4426" spans="1:13" hidden="1" x14ac:dyDescent="0.15">
      <c r="A4426" t="s">
        <v>14023</v>
      </c>
      <c r="B4426" t="s">
        <v>14024</v>
      </c>
      <c r="C4426" t="s">
        <v>14025</v>
      </c>
      <c r="D4426" t="s">
        <v>14022</v>
      </c>
      <c r="E4426">
        <v>1</v>
      </c>
      <c r="F4426" t="str">
        <f>HYPERLINK("https://github.com/mhulyalkar/2fit/issues/19", "show")</f>
        <v>show</v>
      </c>
      <c r="G4426" t="str">
        <f>HYPERLINK("https://github.com/mhulyalkar/2fit", "show")</f>
        <v>show</v>
      </c>
      <c r="H4426" t="str">
        <f>HYPERLINK("https://github.com/mhulyalkar/2fit/releases", "show")</f>
        <v>show</v>
      </c>
      <c r="I4426">
        <v>0</v>
      </c>
      <c r="J4426">
        <v>0</v>
      </c>
      <c r="K4426">
        <v>0</v>
      </c>
      <c r="L4426">
        <v>0</v>
      </c>
      <c r="M4426" t="s">
        <v>43</v>
      </c>
    </row>
    <row r="4427" spans="1:13" hidden="1" x14ac:dyDescent="0.15">
      <c r="A4427" t="s">
        <v>14026</v>
      </c>
      <c r="B4427" t="s">
        <v>14027</v>
      </c>
      <c r="C4427" t="s">
        <v>14028</v>
      </c>
      <c r="D4427" t="s">
        <v>14022</v>
      </c>
      <c r="E4427">
        <v>2</v>
      </c>
      <c r="F4427" t="str">
        <f>HYPERLINK("https://github.com/material-components/material-components-android/issues/2309", "show")</f>
        <v>show</v>
      </c>
      <c r="G4427" t="str">
        <f>HYPERLINK("https://github.com/material-components/material-components-android", "show")</f>
        <v>show</v>
      </c>
      <c r="H4427" t="str">
        <f>HYPERLINK("https://github.com/material-components/material-components-android/releases", "show")</f>
        <v>show</v>
      </c>
      <c r="I4427">
        <v>1</v>
      </c>
      <c r="J4427">
        <v>0</v>
      </c>
      <c r="K4427">
        <v>1</v>
      </c>
      <c r="L4427">
        <v>1</v>
      </c>
      <c r="M4427" t="s">
        <v>1259</v>
      </c>
    </row>
    <row r="4428" spans="1:13" hidden="1" x14ac:dyDescent="0.15">
      <c r="A4428" t="s">
        <v>14029</v>
      </c>
      <c r="B4428" t="s">
        <v>14030</v>
      </c>
      <c r="C4428" t="s">
        <v>14031</v>
      </c>
      <c r="D4428" t="s">
        <v>14022</v>
      </c>
      <c r="E4428">
        <v>0</v>
      </c>
      <c r="F4428" t="str">
        <f>HYPERLINK("https://github.com/Anuken/Mindustry/issues/5623", "show")</f>
        <v>show</v>
      </c>
      <c r="G4428" t="str">
        <f>HYPERLINK("https://github.com/Anuken/Mindustry", "show")</f>
        <v>show</v>
      </c>
      <c r="H4428" t="str">
        <f>HYPERLINK("https://github.com/Anuken/Mindustry/releases", "show")</f>
        <v>show</v>
      </c>
      <c r="I4428">
        <v>0</v>
      </c>
      <c r="J4428">
        <v>0</v>
      </c>
      <c r="K4428">
        <v>0</v>
      </c>
      <c r="L4428">
        <v>0</v>
      </c>
      <c r="M4428" t="s">
        <v>43</v>
      </c>
    </row>
    <row r="4429" spans="1:13" hidden="1" x14ac:dyDescent="0.15">
      <c r="A4429" t="s">
        <v>14032</v>
      </c>
      <c r="B4429" t="s">
        <v>14033</v>
      </c>
      <c r="C4429" t="s">
        <v>14034</v>
      </c>
      <c r="D4429" t="s">
        <v>14022</v>
      </c>
      <c r="E4429">
        <v>0</v>
      </c>
      <c r="F4429" t="str">
        <f>HYPERLINK("https://github.com/Anuken/Mindustry/issues/5622", "show")</f>
        <v>show</v>
      </c>
      <c r="G4429" t="str">
        <f>HYPERLINK("https://github.com/Anuken/Mindustry", "show")</f>
        <v>show</v>
      </c>
      <c r="H4429" t="str">
        <f>HYPERLINK("https://github.com/Anuken/Mindustry/releases", "show")</f>
        <v>show</v>
      </c>
      <c r="I4429">
        <v>1</v>
      </c>
      <c r="J4429">
        <v>0</v>
      </c>
      <c r="K4429">
        <v>0</v>
      </c>
      <c r="L4429">
        <v>0</v>
      </c>
      <c r="M4429" t="s">
        <v>17</v>
      </c>
    </row>
    <row r="4430" spans="1:13" hidden="1" x14ac:dyDescent="0.15">
      <c r="A4430" t="s">
        <v>14035</v>
      </c>
      <c r="B4430" t="s">
        <v>14036</v>
      </c>
      <c r="C4430" t="s">
        <v>14037</v>
      </c>
      <c r="D4430" t="s">
        <v>14022</v>
      </c>
      <c r="E4430">
        <v>9</v>
      </c>
      <c r="F4430" t="str">
        <f>HYPERLINK("https://github.com/k9mail/k-9/issues/5420", "show")</f>
        <v>show</v>
      </c>
      <c r="G4430" t="str">
        <f>HYPERLINK("https://github.com/k9mail/k-9", "show")</f>
        <v>show</v>
      </c>
      <c r="H4430" t="str">
        <f>HYPERLINK("https://github.com/k9mail/k-9/releases", "show")</f>
        <v>show</v>
      </c>
      <c r="I4430">
        <v>0</v>
      </c>
      <c r="J4430">
        <v>0</v>
      </c>
      <c r="K4430">
        <v>0</v>
      </c>
      <c r="L4430">
        <v>0</v>
      </c>
      <c r="M4430" t="s">
        <v>43</v>
      </c>
    </row>
    <row r="4431" spans="1:13" hidden="1" x14ac:dyDescent="0.15">
      <c r="A4431" t="s">
        <v>14038</v>
      </c>
      <c r="B4431" t="s">
        <v>14039</v>
      </c>
      <c r="C4431" t="s">
        <v>14040</v>
      </c>
      <c r="D4431" t="s">
        <v>14022</v>
      </c>
      <c r="E4431">
        <v>24</v>
      </c>
      <c r="F4431" t="str">
        <f>HYPERLINK("https://github.com/nextcloud/android/issues/8735", "show")</f>
        <v>show</v>
      </c>
      <c r="G4431" t="str">
        <f>HYPERLINK("https://github.com/nextcloud/android", "show")</f>
        <v>show</v>
      </c>
      <c r="H4431" t="str">
        <f>HYPERLINK("https://github.com/nextcloud/android/releases", "show")</f>
        <v>show</v>
      </c>
      <c r="I4431">
        <v>1</v>
      </c>
      <c r="J4431">
        <v>1</v>
      </c>
      <c r="K4431">
        <v>1</v>
      </c>
      <c r="L4431">
        <v>0</v>
      </c>
      <c r="M4431" t="s">
        <v>59</v>
      </c>
    </row>
    <row r="4432" spans="1:13" hidden="1" x14ac:dyDescent="0.15">
      <c r="A4432" t="s">
        <v>14041</v>
      </c>
      <c r="B4432" t="s">
        <v>14042</v>
      </c>
      <c r="C4432" t="s">
        <v>14043</v>
      </c>
      <c r="D4432" t="s">
        <v>14044</v>
      </c>
      <c r="E4432">
        <v>2</v>
      </c>
      <c r="F4432" t="str">
        <f>HYPERLINK("https://github.com/Benji377/SocyMusic/issues/118", "show")</f>
        <v>show</v>
      </c>
      <c r="G4432" t="str">
        <f>HYPERLINK("https://github.com/Benji377/SocyMusic", "show")</f>
        <v>show</v>
      </c>
      <c r="H4432" t="str">
        <f>HYPERLINK("https://github.com/Benji377/SocyMusic/releases", "show")</f>
        <v>show</v>
      </c>
      <c r="I4432">
        <v>1</v>
      </c>
      <c r="J4432">
        <v>1</v>
      </c>
      <c r="K4432">
        <v>0</v>
      </c>
      <c r="L4432">
        <v>0</v>
      </c>
      <c r="M4432" t="s">
        <v>48</v>
      </c>
    </row>
    <row r="4433" spans="1:13" hidden="1" x14ac:dyDescent="0.15">
      <c r="A4433" t="s">
        <v>14045</v>
      </c>
      <c r="B4433" t="s">
        <v>14046</v>
      </c>
      <c r="C4433" t="s">
        <v>12185</v>
      </c>
      <c r="D4433" t="s">
        <v>14044</v>
      </c>
      <c r="E4433">
        <v>2</v>
      </c>
      <c r="F4433" t="str">
        <f>HYPERLINK("https://github.com/nextcloud/android/issues/8733", "show")</f>
        <v>show</v>
      </c>
      <c r="G4433" t="str">
        <f>HYPERLINK("https://github.com/nextcloud/android", "show")</f>
        <v>show</v>
      </c>
      <c r="H4433" t="str">
        <f>HYPERLINK("https://github.com/nextcloud/android/releases", "show")</f>
        <v>show</v>
      </c>
      <c r="I4433">
        <v>0</v>
      </c>
      <c r="J4433">
        <v>0</v>
      </c>
      <c r="K4433">
        <v>1</v>
      </c>
      <c r="L4433">
        <v>0</v>
      </c>
      <c r="M4433" t="s">
        <v>122</v>
      </c>
    </row>
    <row r="4434" spans="1:13" hidden="1" x14ac:dyDescent="0.15">
      <c r="A4434" t="s">
        <v>14047</v>
      </c>
      <c r="B4434" t="s">
        <v>14048</v>
      </c>
      <c r="C4434" t="s">
        <v>14049</v>
      </c>
      <c r="D4434" t="s">
        <v>14044</v>
      </c>
      <c r="E4434">
        <v>0</v>
      </c>
      <c r="F4434" t="str">
        <f>HYPERLINK("https://github.com/PojavLauncherTeam/PojavLauncher/issues/1699", "show")</f>
        <v>show</v>
      </c>
      <c r="G4434" t="str">
        <f>HYPERLINK("https://github.com/PojavLauncherTeam/PojavLauncher", "show")</f>
        <v>show</v>
      </c>
      <c r="H4434" t="str">
        <f>HYPERLINK("https://github.com/PojavLauncherTeam/PojavLauncher/releases", "show")</f>
        <v>show</v>
      </c>
      <c r="I4434">
        <v>0</v>
      </c>
      <c r="J4434">
        <v>1</v>
      </c>
      <c r="K4434">
        <v>0</v>
      </c>
      <c r="L4434">
        <v>1</v>
      </c>
      <c r="M4434" t="s">
        <v>1732</v>
      </c>
    </row>
    <row r="4435" spans="1:13" hidden="1" x14ac:dyDescent="0.15">
      <c r="A4435" t="s">
        <v>14050</v>
      </c>
      <c r="B4435" t="s">
        <v>14051</v>
      </c>
      <c r="C4435" t="s">
        <v>14052</v>
      </c>
      <c r="D4435" t="s">
        <v>14044</v>
      </c>
      <c r="E4435">
        <v>0</v>
      </c>
      <c r="F4435" t="str">
        <f>HYPERLINK("https://github.com/Anuken/Mindustry/issues/5616", "show")</f>
        <v>show</v>
      </c>
      <c r="G4435" t="str">
        <f>HYPERLINK("https://github.com/Anuken/Mindustry", "show")</f>
        <v>show</v>
      </c>
      <c r="H4435" t="str">
        <f>HYPERLINK("https://github.com/Anuken/Mindustry/releases", "show")</f>
        <v>show</v>
      </c>
      <c r="I4435">
        <v>1</v>
      </c>
      <c r="J4435">
        <v>1</v>
      </c>
      <c r="K4435">
        <v>0</v>
      </c>
      <c r="L4435">
        <v>0</v>
      </c>
      <c r="M4435" t="s">
        <v>48</v>
      </c>
    </row>
    <row r="4436" spans="1:13" hidden="1" x14ac:dyDescent="0.15">
      <c r="A4436" t="s">
        <v>14053</v>
      </c>
      <c r="B4436" t="s">
        <v>14054</v>
      </c>
      <c r="C4436" t="s">
        <v>14055</v>
      </c>
      <c r="D4436" t="s">
        <v>14044</v>
      </c>
      <c r="E4436">
        <v>189</v>
      </c>
      <c r="F4436" t="str">
        <f>HYPERLINK("https://github.com/jellyfin/jellyfin-androidtv/issues/1027", "show")</f>
        <v>show</v>
      </c>
      <c r="G4436" t="str">
        <f>HYPERLINK("https://github.com/jellyfin/jellyfin-androidtv", "show")</f>
        <v>show</v>
      </c>
      <c r="H4436" t="str">
        <f>HYPERLINK("https://github.com/jellyfin/jellyfin-androidtv/releases", "show")</f>
        <v>show</v>
      </c>
      <c r="I4436">
        <v>1</v>
      </c>
      <c r="J4436">
        <v>1</v>
      </c>
      <c r="K4436">
        <v>1</v>
      </c>
      <c r="L4436">
        <v>0</v>
      </c>
      <c r="M4436" t="s">
        <v>59</v>
      </c>
    </row>
    <row r="4437" spans="1:13" hidden="1" x14ac:dyDescent="0.15">
      <c r="A4437" t="s">
        <v>14056</v>
      </c>
      <c r="B4437" t="s">
        <v>14057</v>
      </c>
      <c r="C4437" t="s">
        <v>14058</v>
      </c>
      <c r="D4437" t="s">
        <v>14044</v>
      </c>
      <c r="E4437">
        <v>0</v>
      </c>
      <c r="F4437" t="str">
        <f>HYPERLINK("https://github.com/nextcloud/android/issues/8732", "show")</f>
        <v>show</v>
      </c>
      <c r="G4437" t="str">
        <f>HYPERLINK("https://github.com/nextcloud/android", "show")</f>
        <v>show</v>
      </c>
      <c r="H4437" t="str">
        <f>HYPERLINK("https://github.com/nextcloud/android/releases", "show")</f>
        <v>show</v>
      </c>
      <c r="I4437">
        <v>1</v>
      </c>
      <c r="J4437">
        <v>1</v>
      </c>
      <c r="K4437">
        <v>1</v>
      </c>
      <c r="L4437">
        <v>0</v>
      </c>
      <c r="M4437" t="s">
        <v>59</v>
      </c>
    </row>
    <row r="4438" spans="1:13" hidden="1" x14ac:dyDescent="0.15">
      <c r="A4438" t="s">
        <v>14059</v>
      </c>
      <c r="B4438" t="s">
        <v>14060</v>
      </c>
      <c r="C4438" t="s">
        <v>14061</v>
      </c>
      <c r="D4438" t="s">
        <v>14062</v>
      </c>
      <c r="E4438">
        <v>0</v>
      </c>
      <c r="F4438" t="str">
        <f>HYPERLINK("https://github.com/Anuken/Mindustry/issues/5610", "show")</f>
        <v>show</v>
      </c>
      <c r="G4438" t="str">
        <f>HYPERLINK("https://github.com/Anuken/Mindustry", "show")</f>
        <v>show</v>
      </c>
      <c r="H4438" t="str">
        <f>HYPERLINK("https://github.com/Anuken/Mindustry/releases", "show")</f>
        <v>show</v>
      </c>
      <c r="I4438">
        <v>1</v>
      </c>
      <c r="J4438">
        <v>1</v>
      </c>
      <c r="K4438">
        <v>0</v>
      </c>
      <c r="L4438">
        <v>1</v>
      </c>
      <c r="M4438" t="s">
        <v>1894</v>
      </c>
    </row>
    <row r="4439" spans="1:13" hidden="1" x14ac:dyDescent="0.15">
      <c r="A4439" t="s">
        <v>14063</v>
      </c>
      <c r="B4439" t="s">
        <v>14064</v>
      </c>
      <c r="C4439" t="s">
        <v>14065</v>
      </c>
      <c r="D4439" t="s">
        <v>14062</v>
      </c>
      <c r="E4439">
        <v>0</v>
      </c>
      <c r="F4439" t="str">
        <f>HYPERLINK("https://github.com/Anuken/Mindustry/issues/5609", "show")</f>
        <v>show</v>
      </c>
      <c r="G4439" t="str">
        <f>HYPERLINK("https://github.com/Anuken/Mindustry", "show")</f>
        <v>show</v>
      </c>
      <c r="H4439" t="str">
        <f>HYPERLINK("https://github.com/Anuken/Mindustry/releases", "show")</f>
        <v>show</v>
      </c>
      <c r="I4439">
        <v>1</v>
      </c>
      <c r="J4439">
        <v>1</v>
      </c>
      <c r="K4439">
        <v>0</v>
      </c>
      <c r="L4439">
        <v>0</v>
      </c>
      <c r="M4439" t="s">
        <v>48</v>
      </c>
    </row>
    <row r="4440" spans="1:13" hidden="1" x14ac:dyDescent="0.15">
      <c r="A4440" t="s">
        <v>14066</v>
      </c>
      <c r="B4440" t="s">
        <v>14067</v>
      </c>
      <c r="C4440" t="s">
        <v>11701</v>
      </c>
      <c r="D4440" t="s">
        <v>14062</v>
      </c>
      <c r="E4440">
        <v>0</v>
      </c>
      <c r="F4440" t="str">
        <f>HYPERLINK("https://github.com/Anuken/Mindustry/issues/5607", "show")</f>
        <v>show</v>
      </c>
      <c r="G4440" t="str">
        <f>HYPERLINK("https://github.com/Anuken/Mindustry", "show")</f>
        <v>show</v>
      </c>
      <c r="H4440" t="str">
        <f>HYPERLINK("https://github.com/Anuken/Mindustry/releases", "show")</f>
        <v>show</v>
      </c>
      <c r="I4440">
        <v>1</v>
      </c>
      <c r="J4440">
        <v>1</v>
      </c>
      <c r="K4440">
        <v>0</v>
      </c>
      <c r="L4440">
        <v>0</v>
      </c>
      <c r="M4440" t="s">
        <v>48</v>
      </c>
    </row>
    <row r="4441" spans="1:13" hidden="1" x14ac:dyDescent="0.15">
      <c r="A4441" t="s">
        <v>14068</v>
      </c>
      <c r="B4441" t="s">
        <v>14069</v>
      </c>
      <c r="C4441" t="s">
        <v>14070</v>
      </c>
      <c r="D4441" t="s">
        <v>14062</v>
      </c>
      <c r="E4441">
        <v>0</v>
      </c>
      <c r="F4441" t="str">
        <f>HYPERLINK("https://github.com/PojavLauncherTeam/PojavLauncher/issues/1689", "show")</f>
        <v>show</v>
      </c>
      <c r="G4441" t="str">
        <f>HYPERLINK("https://github.com/PojavLauncherTeam/PojavLauncher", "show")</f>
        <v>show</v>
      </c>
      <c r="H4441" t="str">
        <f>HYPERLINK("https://github.com/PojavLauncherTeam/PojavLauncher/releases", "show")</f>
        <v>show</v>
      </c>
      <c r="I4441">
        <v>1</v>
      </c>
      <c r="J4441">
        <v>0</v>
      </c>
      <c r="K4441">
        <v>1</v>
      </c>
      <c r="L4441">
        <v>0</v>
      </c>
      <c r="M4441" t="s">
        <v>64</v>
      </c>
    </row>
    <row r="4442" spans="1:13" hidden="1" x14ac:dyDescent="0.15">
      <c r="A4442" t="s">
        <v>14071</v>
      </c>
      <c r="B4442" t="s">
        <v>14072</v>
      </c>
      <c r="C4442" t="s">
        <v>14073</v>
      </c>
      <c r="D4442" t="s">
        <v>14062</v>
      </c>
      <c r="E4442">
        <v>0</v>
      </c>
      <c r="F4442" t="str">
        <f>HYPERLINK("https://github.com/Anuken/Mindustry/issues/5606", "show")</f>
        <v>show</v>
      </c>
      <c r="G4442" t="str">
        <f>HYPERLINK("https://github.com/Anuken/Mindustry", "show")</f>
        <v>show</v>
      </c>
      <c r="H4442" t="str">
        <f>HYPERLINK("https://github.com/Anuken/Mindustry/releases", "show")</f>
        <v>show</v>
      </c>
      <c r="I4442">
        <v>1</v>
      </c>
      <c r="J4442">
        <v>1</v>
      </c>
      <c r="K4442">
        <v>0</v>
      </c>
      <c r="L4442">
        <v>0</v>
      </c>
      <c r="M4442" t="s">
        <v>48</v>
      </c>
    </row>
    <row r="4443" spans="1:13" hidden="1" x14ac:dyDescent="0.15">
      <c r="A4443" t="s">
        <v>14074</v>
      </c>
      <c r="B4443" t="s">
        <v>14075</v>
      </c>
      <c r="C4443" t="s">
        <v>14076</v>
      </c>
      <c r="D4443" t="s">
        <v>14062</v>
      </c>
      <c r="E4443">
        <v>0</v>
      </c>
      <c r="F4443" t="str">
        <f>HYPERLINK("https://github.com/Anuken/Mindustry/issues/5603", "show")</f>
        <v>show</v>
      </c>
      <c r="G4443" t="str">
        <f>HYPERLINK("https://github.com/Anuken/Mindustry", "show")</f>
        <v>show</v>
      </c>
      <c r="H4443" t="str">
        <f>HYPERLINK("https://github.com/Anuken/Mindustry/releases", "show")</f>
        <v>show</v>
      </c>
      <c r="I4443">
        <v>1</v>
      </c>
      <c r="J4443">
        <v>1</v>
      </c>
      <c r="K4443">
        <v>0</v>
      </c>
      <c r="L4443">
        <v>0</v>
      </c>
      <c r="M4443" t="s">
        <v>48</v>
      </c>
    </row>
    <row r="4444" spans="1:13" hidden="1" x14ac:dyDescent="0.15">
      <c r="A4444" t="s">
        <v>14077</v>
      </c>
      <c r="B4444" t="s">
        <v>14078</v>
      </c>
      <c r="D4444" t="s">
        <v>14062</v>
      </c>
      <c r="E4444">
        <v>0</v>
      </c>
      <c r="F4444" t="str">
        <f>HYPERLINK("https://github.com/GitKj/RxmindApp/issues/1", "show")</f>
        <v>show</v>
      </c>
      <c r="G4444" t="str">
        <f>HYPERLINK("https://github.com/GitKj/RxmindApp", "show")</f>
        <v>show</v>
      </c>
      <c r="H4444" t="str">
        <f>HYPERLINK("https://github.com/GitKj/RxmindApp/releases", "show")</f>
        <v>show</v>
      </c>
      <c r="I4444">
        <v>0</v>
      </c>
      <c r="J4444">
        <v>0</v>
      </c>
      <c r="K4444">
        <v>0</v>
      </c>
      <c r="L4444">
        <v>0</v>
      </c>
      <c r="M4444" t="s">
        <v>43</v>
      </c>
    </row>
    <row r="4445" spans="1:13" hidden="1" x14ac:dyDescent="0.15">
      <c r="A4445" t="s">
        <v>14079</v>
      </c>
      <c r="B4445" t="s">
        <v>14080</v>
      </c>
      <c r="C4445" t="s">
        <v>14081</v>
      </c>
      <c r="D4445" t="s">
        <v>14062</v>
      </c>
      <c r="E4445">
        <v>24</v>
      </c>
      <c r="F4445" t="str">
        <f>HYPERLINK("https://github.com/nextcloud/android/issues/8728", "show")</f>
        <v>show</v>
      </c>
      <c r="G4445" t="str">
        <f>HYPERLINK("https://github.com/nextcloud/android", "show")</f>
        <v>show</v>
      </c>
      <c r="H4445" t="str">
        <f>HYPERLINK("https://github.com/nextcloud/android/releases", "show")</f>
        <v>show</v>
      </c>
      <c r="I4445">
        <v>1</v>
      </c>
      <c r="J4445">
        <v>1</v>
      </c>
      <c r="K4445">
        <v>1</v>
      </c>
      <c r="L4445">
        <v>0</v>
      </c>
      <c r="M4445" t="s">
        <v>59</v>
      </c>
    </row>
    <row r="4446" spans="1:13" hidden="1" x14ac:dyDescent="0.15">
      <c r="A4446" t="s">
        <v>14082</v>
      </c>
      <c r="B4446" t="s">
        <v>14083</v>
      </c>
      <c r="C4446" t="s">
        <v>14084</v>
      </c>
      <c r="D4446" t="s">
        <v>14085</v>
      </c>
      <c r="E4446">
        <v>0</v>
      </c>
      <c r="F4446" t="str">
        <f>HYPERLINK("https://github.com/nextcloud/android/issues/8725", "show")</f>
        <v>show</v>
      </c>
      <c r="G4446" t="str">
        <f>HYPERLINK("https://github.com/nextcloud/android", "show")</f>
        <v>show</v>
      </c>
      <c r="H4446" t="str">
        <f>HYPERLINK("https://github.com/nextcloud/android/releases", "show")</f>
        <v>show</v>
      </c>
      <c r="I4446">
        <v>1</v>
      </c>
      <c r="J4446">
        <v>0</v>
      </c>
      <c r="K4446">
        <v>1</v>
      </c>
      <c r="L4446">
        <v>0</v>
      </c>
      <c r="M4446" t="s">
        <v>64</v>
      </c>
    </row>
    <row r="4447" spans="1:13" hidden="1" x14ac:dyDescent="0.15">
      <c r="A4447" t="s">
        <v>14086</v>
      </c>
      <c r="B4447" t="s">
        <v>14087</v>
      </c>
      <c r="C4447" t="s">
        <v>14088</v>
      </c>
      <c r="D4447" t="s">
        <v>14085</v>
      </c>
      <c r="E4447">
        <v>17</v>
      </c>
      <c r="F4447" t="str">
        <f>HYPERLINK("https://github.com/cgeo/cgeo/issues/11251", "show")</f>
        <v>show</v>
      </c>
      <c r="G4447" t="str">
        <f>HYPERLINK("https://github.com/cgeo/cgeo", "show")</f>
        <v>show</v>
      </c>
      <c r="H4447" t="str">
        <f>HYPERLINK("https://github.com/cgeo/cgeo/releases", "show")</f>
        <v>show</v>
      </c>
      <c r="I4447">
        <v>0</v>
      </c>
      <c r="J4447">
        <v>0</v>
      </c>
      <c r="K4447">
        <v>1</v>
      </c>
      <c r="L4447">
        <v>0</v>
      </c>
      <c r="M4447" t="s">
        <v>122</v>
      </c>
    </row>
    <row r="4448" spans="1:13" hidden="1" x14ac:dyDescent="0.15">
      <c r="A4448" t="s">
        <v>14089</v>
      </c>
      <c r="B4448" t="s">
        <v>14090</v>
      </c>
      <c r="C4448" t="s">
        <v>14091</v>
      </c>
      <c r="D4448" t="s">
        <v>14085</v>
      </c>
      <c r="E4448">
        <v>0</v>
      </c>
      <c r="F4448" t="str">
        <f>HYPERLINK("https://github.com/Anuken/Mindustry/issues/5596", "show")</f>
        <v>show</v>
      </c>
      <c r="G4448" t="str">
        <f>HYPERLINK("https://github.com/Anuken/Mindustry", "show")</f>
        <v>show</v>
      </c>
      <c r="H4448" t="str">
        <f>HYPERLINK("https://github.com/Anuken/Mindustry/releases", "show")</f>
        <v>show</v>
      </c>
      <c r="I4448">
        <v>1</v>
      </c>
      <c r="J4448">
        <v>1</v>
      </c>
      <c r="K4448">
        <v>0</v>
      </c>
      <c r="L4448">
        <v>0</v>
      </c>
      <c r="M4448" t="s">
        <v>48</v>
      </c>
    </row>
    <row r="4449" spans="1:13" hidden="1" x14ac:dyDescent="0.15">
      <c r="A4449" t="s">
        <v>14092</v>
      </c>
      <c r="B4449" t="s">
        <v>14093</v>
      </c>
      <c r="C4449" t="s">
        <v>14094</v>
      </c>
      <c r="D4449" t="s">
        <v>14085</v>
      </c>
      <c r="E4449">
        <v>5</v>
      </c>
      <c r="F4449" t="str">
        <f>HYPERLINK("https://github.com/TeamNewPipe/NewPipe/issues/6687", "show")</f>
        <v>show</v>
      </c>
      <c r="G4449" t="str">
        <f>HYPERLINK("https://github.com/TeamNewPipe/NewPipe", "show")</f>
        <v>show</v>
      </c>
      <c r="H4449" t="str">
        <f>HYPERLINK("https://github.com/TeamNewPipe/NewPipe/releases", "show")</f>
        <v>show</v>
      </c>
      <c r="I4449">
        <v>1</v>
      </c>
      <c r="J4449">
        <v>1</v>
      </c>
      <c r="K4449">
        <v>1</v>
      </c>
      <c r="L4449">
        <v>0</v>
      </c>
      <c r="M4449" t="s">
        <v>59</v>
      </c>
    </row>
    <row r="4450" spans="1:13" hidden="1" x14ac:dyDescent="0.15">
      <c r="A4450" t="s">
        <v>14095</v>
      </c>
      <c r="B4450" t="s">
        <v>14096</v>
      </c>
      <c r="C4450" t="s">
        <v>14097</v>
      </c>
      <c r="D4450" t="s">
        <v>14085</v>
      </c>
      <c r="E4450">
        <v>5</v>
      </c>
      <c r="F4450" t="str">
        <f>HYPERLINK("https://github.com/PojavLauncherTeam/PojavLauncher/issues/1682", "show")</f>
        <v>show</v>
      </c>
      <c r="G4450" t="str">
        <f>HYPERLINK("https://github.com/PojavLauncherTeam/PojavLauncher", "show")</f>
        <v>show</v>
      </c>
      <c r="H4450" t="str">
        <f>HYPERLINK("https://github.com/PojavLauncherTeam/PojavLauncher/releases", "show")</f>
        <v>show</v>
      </c>
      <c r="I4450">
        <v>1</v>
      </c>
      <c r="J4450">
        <v>0</v>
      </c>
      <c r="K4450">
        <v>0</v>
      </c>
      <c r="L4450">
        <v>0</v>
      </c>
      <c r="M4450" t="s">
        <v>17</v>
      </c>
    </row>
    <row r="4451" spans="1:13" hidden="1" x14ac:dyDescent="0.15">
      <c r="A4451" t="s">
        <v>14098</v>
      </c>
      <c r="B4451" t="s">
        <v>14099</v>
      </c>
      <c r="C4451" t="s">
        <v>14100</v>
      </c>
      <c r="D4451" t="s">
        <v>14085</v>
      </c>
      <c r="E4451">
        <v>0</v>
      </c>
      <c r="F4451" t="str">
        <f>HYPERLINK("https://github.com/Anuken/Mindustry/issues/5595", "show")</f>
        <v>show</v>
      </c>
      <c r="G4451" t="str">
        <f>HYPERLINK("https://github.com/Anuken/Mindustry", "show")</f>
        <v>show</v>
      </c>
      <c r="H4451" t="str">
        <f>HYPERLINK("https://github.com/Anuken/Mindustry/releases", "show")</f>
        <v>show</v>
      </c>
      <c r="I4451">
        <v>1</v>
      </c>
      <c r="J4451">
        <v>1</v>
      </c>
      <c r="K4451">
        <v>0</v>
      </c>
      <c r="L4451">
        <v>0</v>
      </c>
      <c r="M4451" t="s">
        <v>48</v>
      </c>
    </row>
    <row r="4452" spans="1:13" hidden="1" x14ac:dyDescent="0.15">
      <c r="A4452" t="s">
        <v>14101</v>
      </c>
      <c r="B4452" t="s">
        <v>14102</v>
      </c>
      <c r="C4452" t="s">
        <v>14103</v>
      </c>
      <c r="D4452" t="s">
        <v>14104</v>
      </c>
      <c r="E4452">
        <v>0</v>
      </c>
      <c r="F4452" t="str">
        <f>HYPERLINK("https://github.com/cgeo/cgeo/issues/11248", "show")</f>
        <v>show</v>
      </c>
      <c r="G4452" t="str">
        <f>HYPERLINK("https://github.com/cgeo/cgeo", "show")</f>
        <v>show</v>
      </c>
      <c r="H4452" t="str">
        <f>HYPERLINK("https://github.com/cgeo/cgeo/releases", "show")</f>
        <v>show</v>
      </c>
      <c r="I4452">
        <v>1</v>
      </c>
      <c r="J4452">
        <v>0</v>
      </c>
      <c r="K4452">
        <v>0</v>
      </c>
      <c r="L4452">
        <v>0</v>
      </c>
      <c r="M4452" t="s">
        <v>17</v>
      </c>
    </row>
    <row r="4453" spans="1:13" hidden="1" x14ac:dyDescent="0.15">
      <c r="A4453" t="s">
        <v>14105</v>
      </c>
      <c r="B4453" t="s">
        <v>14106</v>
      </c>
      <c r="C4453" t="s">
        <v>14107</v>
      </c>
      <c r="D4453" t="s">
        <v>14104</v>
      </c>
      <c r="E4453">
        <v>1</v>
      </c>
      <c r="F4453" t="str">
        <f>HYPERLINK("https://github.com/nextcloud/android/issues/8716", "show")</f>
        <v>show</v>
      </c>
      <c r="G4453" t="str">
        <f>HYPERLINK("https://github.com/nextcloud/android", "show")</f>
        <v>show</v>
      </c>
      <c r="H4453" t="str">
        <f>HYPERLINK("https://github.com/nextcloud/android/releases", "show")</f>
        <v>show</v>
      </c>
      <c r="I4453">
        <v>1</v>
      </c>
      <c r="J4453">
        <v>1</v>
      </c>
      <c r="K4453">
        <v>1</v>
      </c>
      <c r="L4453">
        <v>0</v>
      </c>
      <c r="M4453" t="s">
        <v>59</v>
      </c>
    </row>
    <row r="4454" spans="1:13" hidden="1" x14ac:dyDescent="0.15">
      <c r="A4454" t="s">
        <v>14108</v>
      </c>
      <c r="B4454" t="s">
        <v>14109</v>
      </c>
      <c r="C4454" t="s">
        <v>14110</v>
      </c>
      <c r="D4454" t="s">
        <v>14104</v>
      </c>
      <c r="E4454">
        <v>1</v>
      </c>
      <c r="F4454" t="str">
        <f>HYPERLINK("https://github.com/TeamNewPipe/NewPipe/issues/6682", "show")</f>
        <v>show</v>
      </c>
      <c r="G4454" t="str">
        <f>HYPERLINK("https://github.com/TeamNewPipe/NewPipe", "show")</f>
        <v>show</v>
      </c>
      <c r="H4454" t="str">
        <f>HYPERLINK("https://github.com/TeamNewPipe/NewPipe/releases", "show")</f>
        <v>show</v>
      </c>
      <c r="I4454">
        <v>1</v>
      </c>
      <c r="J4454">
        <v>1</v>
      </c>
      <c r="K4454">
        <v>0</v>
      </c>
      <c r="L4454">
        <v>0</v>
      </c>
      <c r="M4454" t="s">
        <v>48</v>
      </c>
    </row>
    <row r="4455" spans="1:13" hidden="1" x14ac:dyDescent="0.15">
      <c r="A4455" t="s">
        <v>14111</v>
      </c>
      <c r="B4455" t="s">
        <v>14112</v>
      </c>
      <c r="C4455" t="s">
        <v>14113</v>
      </c>
      <c r="D4455" t="s">
        <v>14104</v>
      </c>
      <c r="E4455">
        <v>0</v>
      </c>
      <c r="F4455" t="str">
        <f>HYPERLINK("https://github.com/TeamNewPipe/NewPipe/issues/6680", "show")</f>
        <v>show</v>
      </c>
      <c r="G4455" t="str">
        <f>HYPERLINK("https://github.com/TeamNewPipe/NewPipe", "show")</f>
        <v>show</v>
      </c>
      <c r="H4455" t="str">
        <f>HYPERLINK("https://github.com/TeamNewPipe/NewPipe/releases", "show")</f>
        <v>show</v>
      </c>
      <c r="I4455">
        <v>1</v>
      </c>
      <c r="J4455">
        <v>1</v>
      </c>
      <c r="K4455">
        <v>0</v>
      </c>
      <c r="L4455">
        <v>0</v>
      </c>
      <c r="M4455" t="s">
        <v>48</v>
      </c>
    </row>
    <row r="4456" spans="1:13" hidden="1" x14ac:dyDescent="0.15">
      <c r="A4456" t="s">
        <v>14114</v>
      </c>
      <c r="B4456" t="s">
        <v>14115</v>
      </c>
      <c r="C4456" t="s">
        <v>14116</v>
      </c>
      <c r="D4456" t="s">
        <v>14117</v>
      </c>
      <c r="E4456">
        <v>137</v>
      </c>
      <c r="F4456" t="str">
        <f>HYPERLINK("https://github.com/TeamNewPipe/NewPipe/issues/6669", "show")</f>
        <v>show</v>
      </c>
      <c r="G4456" t="str">
        <f>HYPERLINK("https://github.com/TeamNewPipe/NewPipe", "show")</f>
        <v>show</v>
      </c>
      <c r="H4456" t="str">
        <f>HYPERLINK("https://github.com/TeamNewPipe/NewPipe/releases", "show")</f>
        <v>show</v>
      </c>
      <c r="I4456">
        <v>1</v>
      </c>
      <c r="J4456">
        <v>1</v>
      </c>
      <c r="K4456">
        <v>1</v>
      </c>
      <c r="L4456">
        <v>0</v>
      </c>
      <c r="M4456" t="s">
        <v>59</v>
      </c>
    </row>
    <row r="4457" spans="1:13" hidden="1" x14ac:dyDescent="0.15">
      <c r="A4457" t="s">
        <v>14118</v>
      </c>
      <c r="B4457" t="s">
        <v>14119</v>
      </c>
      <c r="C4457" t="s">
        <v>14120</v>
      </c>
      <c r="D4457" t="s">
        <v>14117</v>
      </c>
      <c r="E4457">
        <v>0</v>
      </c>
      <c r="F4457" t="str">
        <f>HYPERLINK("https://github.com/Anuken/Mindustry/issues/5585", "show")</f>
        <v>show</v>
      </c>
      <c r="G4457" t="str">
        <f>HYPERLINK("https://github.com/Anuken/Mindustry", "show")</f>
        <v>show</v>
      </c>
      <c r="H4457" t="str">
        <f>HYPERLINK("https://github.com/Anuken/Mindustry/releases", "show")</f>
        <v>show</v>
      </c>
      <c r="I4457">
        <v>1</v>
      </c>
      <c r="J4457">
        <v>0</v>
      </c>
      <c r="K4457">
        <v>1</v>
      </c>
      <c r="L4457">
        <v>0</v>
      </c>
      <c r="M4457" t="s">
        <v>64</v>
      </c>
    </row>
    <row r="4458" spans="1:13" hidden="1" x14ac:dyDescent="0.15">
      <c r="A4458" t="s">
        <v>14121</v>
      </c>
      <c r="B4458" t="s">
        <v>14122</v>
      </c>
      <c r="C4458" t="s">
        <v>14123</v>
      </c>
      <c r="D4458" t="s">
        <v>14117</v>
      </c>
      <c r="E4458">
        <v>2</v>
      </c>
      <c r="F4458" t="str">
        <f>HYPERLINK("https://github.com/nextcloud/android/issues/8706", "show")</f>
        <v>show</v>
      </c>
      <c r="G4458" t="str">
        <f>HYPERLINK("https://github.com/nextcloud/android", "show")</f>
        <v>show</v>
      </c>
      <c r="H4458" t="str">
        <f>HYPERLINK("https://github.com/nextcloud/android/releases", "show")</f>
        <v>show</v>
      </c>
      <c r="I4458">
        <v>0</v>
      </c>
      <c r="J4458">
        <v>0</v>
      </c>
      <c r="K4458">
        <v>1</v>
      </c>
      <c r="L4458">
        <v>0</v>
      </c>
      <c r="M4458" t="s">
        <v>122</v>
      </c>
    </row>
    <row r="4459" spans="1:13" hidden="1" x14ac:dyDescent="0.15">
      <c r="A4459" t="s">
        <v>14124</v>
      </c>
      <c r="B4459" t="s">
        <v>14125</v>
      </c>
      <c r="C4459" t="s">
        <v>14126</v>
      </c>
      <c r="D4459" t="s">
        <v>14117</v>
      </c>
      <c r="E4459">
        <v>21</v>
      </c>
      <c r="F4459" t="str">
        <f>HYPERLINK("https://github.com/ably/ably-java/issues/686", "show")</f>
        <v>show</v>
      </c>
      <c r="G4459" t="str">
        <f>HYPERLINK("https://github.com/ably/ably-java", "show")</f>
        <v>show</v>
      </c>
      <c r="H4459" t="str">
        <f>HYPERLINK("https://github.com/ably/ably-java/releases", "show")</f>
        <v>show</v>
      </c>
      <c r="I4459">
        <v>0</v>
      </c>
      <c r="J4459">
        <v>0</v>
      </c>
      <c r="K4459">
        <v>0</v>
      </c>
      <c r="L4459">
        <v>0</v>
      </c>
      <c r="M4459" t="s">
        <v>43</v>
      </c>
    </row>
    <row r="4460" spans="1:13" hidden="1" x14ac:dyDescent="0.15">
      <c r="A4460" t="s">
        <v>14127</v>
      </c>
      <c r="B4460" t="s">
        <v>14128</v>
      </c>
      <c r="C4460" t="s">
        <v>14129</v>
      </c>
      <c r="D4460" t="s">
        <v>14117</v>
      </c>
      <c r="E4460">
        <v>21</v>
      </c>
      <c r="F4460" t="str">
        <f>HYPERLINK("https://github.com/ably/ably-java/issues/685", "show")</f>
        <v>show</v>
      </c>
      <c r="G4460" t="str">
        <f>HYPERLINK("https://github.com/ably/ably-java", "show")</f>
        <v>show</v>
      </c>
      <c r="H4460" t="str">
        <f>HYPERLINK("https://github.com/ably/ably-java/releases", "show")</f>
        <v>show</v>
      </c>
      <c r="I4460">
        <v>1</v>
      </c>
      <c r="J4460">
        <v>0</v>
      </c>
      <c r="K4460">
        <v>0</v>
      </c>
      <c r="L4460">
        <v>0</v>
      </c>
      <c r="M4460" t="s">
        <v>17</v>
      </c>
    </row>
    <row r="4461" spans="1:13" hidden="1" x14ac:dyDescent="0.15">
      <c r="A4461" t="s">
        <v>14130</v>
      </c>
      <c r="B4461" t="s">
        <v>14131</v>
      </c>
      <c r="C4461" t="s">
        <v>14132</v>
      </c>
      <c r="D4461" t="s">
        <v>14117</v>
      </c>
      <c r="E4461">
        <v>0</v>
      </c>
      <c r="F4461" t="str">
        <f>HYPERLINK("https://github.com/Anuken/Mindustry/issues/5583", "show")</f>
        <v>show</v>
      </c>
      <c r="G4461" t="str">
        <f>HYPERLINK("https://github.com/Anuken/Mindustry", "show")</f>
        <v>show</v>
      </c>
      <c r="H4461" t="str">
        <f>HYPERLINK("https://github.com/Anuken/Mindustry/releases", "show")</f>
        <v>show</v>
      </c>
      <c r="I4461">
        <v>0</v>
      </c>
      <c r="J4461">
        <v>1</v>
      </c>
      <c r="K4461">
        <v>1</v>
      </c>
      <c r="L4461">
        <v>0</v>
      </c>
      <c r="M4461" t="s">
        <v>699</v>
      </c>
    </row>
    <row r="4462" spans="1:13" hidden="1" x14ac:dyDescent="0.15">
      <c r="A4462" t="s">
        <v>14133</v>
      </c>
      <c r="B4462" t="s">
        <v>14134</v>
      </c>
      <c r="C4462" t="s">
        <v>14135</v>
      </c>
      <c r="D4462" t="s">
        <v>14117</v>
      </c>
      <c r="E4462">
        <v>6</v>
      </c>
      <c r="F4462" t="str">
        <f>HYPERLINK("https://github.com/google/ExoPlayer/issues/9193", "show")</f>
        <v>show</v>
      </c>
      <c r="G4462" t="str">
        <f>HYPERLINK("https://github.com/google/ExoPlayer", "show")</f>
        <v>show</v>
      </c>
      <c r="H4462" t="str">
        <f>HYPERLINK("https://github.com/google/ExoPlayer/releases", "show")</f>
        <v>show</v>
      </c>
      <c r="I4462">
        <v>0</v>
      </c>
      <c r="J4462">
        <v>0</v>
      </c>
      <c r="K4462">
        <v>1</v>
      </c>
      <c r="L4462">
        <v>0</v>
      </c>
      <c r="M4462" t="s">
        <v>122</v>
      </c>
    </row>
    <row r="4463" spans="1:13" x14ac:dyDescent="0.15">
      <c r="A4463" t="s">
        <v>14136</v>
      </c>
      <c r="B4463" t="s">
        <v>4312</v>
      </c>
      <c r="C4463" t="s">
        <v>11582</v>
      </c>
      <c r="D4463" t="s">
        <v>14137</v>
      </c>
      <c r="E4463">
        <v>0</v>
      </c>
      <c r="F4463" t="str">
        <f>HYPERLINK("https://github.com/nextcloud/android/issues/8700", "show")</f>
        <v>show</v>
      </c>
      <c r="G4463" t="str">
        <f>HYPERLINK("https://github.com/nextcloud/android", "show")</f>
        <v>show</v>
      </c>
      <c r="H4463" t="str">
        <f>HYPERLINK("https://github.com/nextcloud/android/releases", "show")</f>
        <v>show</v>
      </c>
      <c r="I4463">
        <v>0</v>
      </c>
      <c r="J4463">
        <v>1</v>
      </c>
      <c r="K4463">
        <v>0</v>
      </c>
      <c r="L4463">
        <v>0</v>
      </c>
      <c r="M4463" t="s">
        <v>139</v>
      </c>
    </row>
    <row r="4464" spans="1:13" x14ac:dyDescent="0.15">
      <c r="A4464" t="s">
        <v>14138</v>
      </c>
      <c r="B4464" t="s">
        <v>14139</v>
      </c>
      <c r="C4464" t="s">
        <v>14140</v>
      </c>
      <c r="D4464" t="s">
        <v>14137</v>
      </c>
      <c r="E4464">
        <v>0</v>
      </c>
      <c r="F4464" t="str">
        <f>HYPERLINK("https://github.com/PojavLauncherTeam/PojavLauncher/issues/1673", "show")</f>
        <v>show</v>
      </c>
      <c r="G4464" t="str">
        <f>HYPERLINK("https://github.com/PojavLauncherTeam/PojavLauncher", "show")</f>
        <v>show</v>
      </c>
      <c r="H4464" t="str">
        <f>HYPERLINK("https://github.com/PojavLauncherTeam/PojavLauncher/releases", "show")</f>
        <v>show</v>
      </c>
      <c r="I4464">
        <v>0</v>
      </c>
      <c r="J4464">
        <v>1</v>
      </c>
      <c r="K4464">
        <v>0</v>
      </c>
      <c r="L4464">
        <v>0</v>
      </c>
      <c r="M4464" t="s">
        <v>139</v>
      </c>
    </row>
    <row r="4465" spans="1:13" hidden="1" x14ac:dyDescent="0.15">
      <c r="A4465" t="s">
        <v>14141</v>
      </c>
      <c r="B4465" t="s">
        <v>14142</v>
      </c>
      <c r="C4465" t="s">
        <v>14143</v>
      </c>
      <c r="D4465" t="s">
        <v>14137</v>
      </c>
      <c r="E4465">
        <v>65</v>
      </c>
      <c r="F4465" t="str">
        <f>HYPERLINK("https://github.com/nextcloud/android/issues/8699", "show")</f>
        <v>show</v>
      </c>
      <c r="G4465" t="str">
        <f>HYPERLINK("https://github.com/nextcloud/android", "show")</f>
        <v>show</v>
      </c>
      <c r="H4465" t="str">
        <f>HYPERLINK("https://github.com/nextcloud/android/releases", "show")</f>
        <v>show</v>
      </c>
      <c r="I4465">
        <v>1</v>
      </c>
      <c r="J4465">
        <v>1</v>
      </c>
      <c r="K4465">
        <v>0</v>
      </c>
      <c r="L4465">
        <v>1</v>
      </c>
      <c r="M4465" t="s">
        <v>1894</v>
      </c>
    </row>
    <row r="4466" spans="1:13" hidden="1" x14ac:dyDescent="0.15">
      <c r="A4466" t="s">
        <v>14144</v>
      </c>
      <c r="B4466" t="s">
        <v>14145</v>
      </c>
      <c r="C4466" t="s">
        <v>14146</v>
      </c>
      <c r="D4466" t="s">
        <v>14137</v>
      </c>
      <c r="E4466">
        <v>0</v>
      </c>
      <c r="F4466" t="str">
        <f>HYPERLINK("https://github.com/Anuken/Mindustry/issues/5579", "show")</f>
        <v>show</v>
      </c>
      <c r="G4466" t="str">
        <f>HYPERLINK("https://github.com/Anuken/Mindustry", "show")</f>
        <v>show</v>
      </c>
      <c r="H4466" t="str">
        <f>HYPERLINK("https://github.com/Anuken/Mindustry/releases", "show")</f>
        <v>show</v>
      </c>
      <c r="I4466">
        <v>1</v>
      </c>
      <c r="J4466">
        <v>1</v>
      </c>
      <c r="K4466">
        <v>0</v>
      </c>
      <c r="L4466">
        <v>0</v>
      </c>
      <c r="M4466" t="s">
        <v>48</v>
      </c>
    </row>
    <row r="4467" spans="1:13" hidden="1" x14ac:dyDescent="0.15">
      <c r="A4467" t="s">
        <v>14147</v>
      </c>
      <c r="B4467" t="s">
        <v>14148</v>
      </c>
      <c r="C4467" t="s">
        <v>14149</v>
      </c>
      <c r="D4467" t="s">
        <v>14137</v>
      </c>
      <c r="E4467">
        <v>0</v>
      </c>
      <c r="F4467" t="str">
        <f>HYPERLINK("https://github.com/lisawray/groupie/issues/398", "show")</f>
        <v>show</v>
      </c>
      <c r="G4467" t="str">
        <f>HYPERLINK("https://github.com/lisawray/groupie", "show")</f>
        <v>show</v>
      </c>
      <c r="H4467" t="str">
        <f>HYPERLINK("https://github.com/lisawray/groupie/releases", "show")</f>
        <v>show</v>
      </c>
      <c r="I4467">
        <v>1</v>
      </c>
      <c r="J4467">
        <v>0</v>
      </c>
      <c r="K4467">
        <v>1</v>
      </c>
      <c r="L4467">
        <v>0</v>
      </c>
      <c r="M4467" t="s">
        <v>64</v>
      </c>
    </row>
    <row r="4468" spans="1:13" hidden="1" x14ac:dyDescent="0.15">
      <c r="A4468" t="s">
        <v>14150</v>
      </c>
      <c r="B4468" t="s">
        <v>14151</v>
      </c>
      <c r="C4468" t="s">
        <v>14152</v>
      </c>
      <c r="D4468" t="s">
        <v>14137</v>
      </c>
      <c r="E4468">
        <v>0</v>
      </c>
      <c r="F4468" t="str">
        <f>HYPERLINK("https://github.com/Anuken/Mindustry/issues/5577", "show")</f>
        <v>show</v>
      </c>
      <c r="G4468" t="str">
        <f>HYPERLINK("https://github.com/Anuken/Mindustry", "show")</f>
        <v>show</v>
      </c>
      <c r="H4468" t="str">
        <f>HYPERLINK("https://github.com/Anuken/Mindustry/releases", "show")</f>
        <v>show</v>
      </c>
      <c r="I4468">
        <v>1</v>
      </c>
      <c r="J4468">
        <v>1</v>
      </c>
      <c r="K4468">
        <v>0</v>
      </c>
      <c r="L4468">
        <v>1</v>
      </c>
      <c r="M4468" t="s">
        <v>1894</v>
      </c>
    </row>
    <row r="4469" spans="1:13" hidden="1" x14ac:dyDescent="0.15">
      <c r="A4469" t="s">
        <v>14153</v>
      </c>
      <c r="B4469" t="s">
        <v>14154</v>
      </c>
      <c r="C4469" t="s">
        <v>14155</v>
      </c>
      <c r="D4469" t="s">
        <v>14156</v>
      </c>
      <c r="E4469">
        <v>1</v>
      </c>
      <c r="F4469" t="str">
        <f>HYPERLINK("https://github.com/commons-app/apps-android-commons/issues/4503", "show")</f>
        <v>show</v>
      </c>
      <c r="G4469" t="str">
        <f>HYPERLINK("https://github.com/commons-app/apps-android-commons", "show")</f>
        <v>show</v>
      </c>
      <c r="H4469" t="str">
        <f>HYPERLINK("https://github.com/commons-app/apps-android-commons/releases", "show")</f>
        <v>show</v>
      </c>
      <c r="I4469">
        <v>1</v>
      </c>
      <c r="J4469">
        <v>0</v>
      </c>
      <c r="K4469">
        <v>0</v>
      </c>
      <c r="L4469">
        <v>0</v>
      </c>
      <c r="M4469" t="s">
        <v>17</v>
      </c>
    </row>
    <row r="4470" spans="1:13" hidden="1" x14ac:dyDescent="0.15">
      <c r="A4470" t="s">
        <v>14157</v>
      </c>
      <c r="B4470" t="s">
        <v>14158</v>
      </c>
      <c r="C4470" t="s">
        <v>14159</v>
      </c>
      <c r="D4470" t="s">
        <v>14156</v>
      </c>
      <c r="E4470">
        <v>148</v>
      </c>
      <c r="F4470" t="str">
        <f>HYPERLINK("https://github.com/iZettle/sdk-android/issues/36", "show")</f>
        <v>show</v>
      </c>
      <c r="G4470" t="str">
        <f>HYPERLINK("https://github.com/iZettle/sdk-android", "show")</f>
        <v>show</v>
      </c>
      <c r="H4470" t="str">
        <f>HYPERLINK("https://github.com/iZettle/sdk-android/releases", "show")</f>
        <v>show</v>
      </c>
      <c r="I4470">
        <v>1</v>
      </c>
      <c r="J4470">
        <v>0</v>
      </c>
      <c r="K4470">
        <v>1</v>
      </c>
      <c r="L4470">
        <v>0</v>
      </c>
      <c r="M4470" t="s">
        <v>64</v>
      </c>
    </row>
    <row r="4471" spans="1:13" hidden="1" x14ac:dyDescent="0.15">
      <c r="A4471" t="s">
        <v>14160</v>
      </c>
      <c r="B4471" t="s">
        <v>14161</v>
      </c>
      <c r="C4471" t="s">
        <v>14162</v>
      </c>
      <c r="D4471" t="s">
        <v>14156</v>
      </c>
      <c r="E4471">
        <v>0</v>
      </c>
      <c r="F4471" t="str">
        <f>HYPERLINK("https://github.com/jellyfin/jellyfin-androidtv/issues/1015", "show")</f>
        <v>show</v>
      </c>
      <c r="G4471" t="str">
        <f>HYPERLINK("https://github.com/jellyfin/jellyfin-androidtv", "show")</f>
        <v>show</v>
      </c>
      <c r="H4471" t="str">
        <f>HYPERLINK("https://github.com/jellyfin/jellyfin-androidtv/releases", "show")</f>
        <v>show</v>
      </c>
      <c r="I4471">
        <v>1</v>
      </c>
      <c r="J4471">
        <v>0</v>
      </c>
      <c r="K4471">
        <v>0</v>
      </c>
      <c r="L4471">
        <v>0</v>
      </c>
      <c r="M4471" t="s">
        <v>17</v>
      </c>
    </row>
    <row r="4472" spans="1:13" hidden="1" x14ac:dyDescent="0.15">
      <c r="A4472" t="s">
        <v>14163</v>
      </c>
      <c r="B4472" t="s">
        <v>14164</v>
      </c>
      <c r="C4472" t="s">
        <v>14165</v>
      </c>
      <c r="D4472" t="s">
        <v>14156</v>
      </c>
      <c r="E4472">
        <v>165</v>
      </c>
      <c r="F4472" t="str">
        <f>HYPERLINK("https://github.com/avluis/Hentoid/issues/810", "show")</f>
        <v>show</v>
      </c>
      <c r="G4472" t="str">
        <f>HYPERLINK("https://github.com/avluis/Hentoid", "show")</f>
        <v>show</v>
      </c>
      <c r="H4472" t="str">
        <f>HYPERLINK("https://github.com/avluis/Hentoid/releases", "show")</f>
        <v>show</v>
      </c>
      <c r="I4472">
        <v>1</v>
      </c>
      <c r="J4472">
        <v>1</v>
      </c>
      <c r="K4472">
        <v>0</v>
      </c>
      <c r="L4472">
        <v>0</v>
      </c>
      <c r="M4472" t="s">
        <v>48</v>
      </c>
    </row>
    <row r="4473" spans="1:13" hidden="1" x14ac:dyDescent="0.15">
      <c r="A4473" t="s">
        <v>14166</v>
      </c>
      <c r="B4473" t="s">
        <v>14167</v>
      </c>
      <c r="C4473" t="s">
        <v>14168</v>
      </c>
      <c r="D4473" t="s">
        <v>14169</v>
      </c>
      <c r="E4473">
        <v>0</v>
      </c>
      <c r="F4473" t="str">
        <f>HYPERLINK("https://github.com/Anuken/Mindustry/issues/5571", "show")</f>
        <v>show</v>
      </c>
      <c r="G4473" t="str">
        <f>HYPERLINK("https://github.com/Anuken/Mindustry", "show")</f>
        <v>show</v>
      </c>
      <c r="H4473" t="str">
        <f>HYPERLINK("https://github.com/Anuken/Mindustry/releases", "show")</f>
        <v>show</v>
      </c>
      <c r="I4473">
        <v>1</v>
      </c>
      <c r="J4473">
        <v>1</v>
      </c>
      <c r="K4473">
        <v>0</v>
      </c>
      <c r="L4473">
        <v>0</v>
      </c>
      <c r="M4473" t="s">
        <v>48</v>
      </c>
    </row>
    <row r="4474" spans="1:13" hidden="1" x14ac:dyDescent="0.15">
      <c r="A4474" t="s">
        <v>14170</v>
      </c>
      <c r="B4474" t="s">
        <v>14171</v>
      </c>
      <c r="C4474" t="s">
        <v>14172</v>
      </c>
      <c r="D4474" t="s">
        <v>14169</v>
      </c>
      <c r="E4474">
        <v>51</v>
      </c>
      <c r="F4474" t="str">
        <f>HYPERLINK("https://github.com/PojavLauncherTeam/PojavLauncher/issues/1667", "show")</f>
        <v>show</v>
      </c>
      <c r="G4474" t="str">
        <f>HYPERLINK("https://github.com/PojavLauncherTeam/PojavLauncher", "show")</f>
        <v>show</v>
      </c>
      <c r="H4474" t="str">
        <f>HYPERLINK("https://github.com/PojavLauncherTeam/PojavLauncher/releases", "show")</f>
        <v>show</v>
      </c>
      <c r="I4474">
        <v>0</v>
      </c>
      <c r="J4474">
        <v>0</v>
      </c>
      <c r="K4474">
        <v>0</v>
      </c>
      <c r="L4474">
        <v>0</v>
      </c>
      <c r="M4474" t="s">
        <v>43</v>
      </c>
    </row>
    <row r="4475" spans="1:13" hidden="1" x14ac:dyDescent="0.15">
      <c r="A4475" t="s">
        <v>14173</v>
      </c>
      <c r="B4475" t="s">
        <v>14174</v>
      </c>
      <c r="C4475" t="s">
        <v>14175</v>
      </c>
      <c r="D4475" t="s">
        <v>14169</v>
      </c>
      <c r="E4475">
        <v>5</v>
      </c>
      <c r="F4475" t="str">
        <f>HYPERLINK("https://github.com/opensrp/opensrp-client-giz-malawi/issues/402", "show")</f>
        <v>show</v>
      </c>
      <c r="G4475" t="str">
        <f>HYPERLINK("https://github.com/opensrp/opensrp-client-giz-malawi", "show")</f>
        <v>show</v>
      </c>
      <c r="H4475" t="str">
        <f>HYPERLINK("https://github.com/opensrp/opensrp-client-giz-malawi/releases", "show")</f>
        <v>show</v>
      </c>
      <c r="I4475">
        <v>1</v>
      </c>
      <c r="J4475">
        <v>0</v>
      </c>
      <c r="K4475">
        <v>0</v>
      </c>
      <c r="L4475">
        <v>0</v>
      </c>
      <c r="M4475" t="s">
        <v>17</v>
      </c>
    </row>
    <row r="4476" spans="1:13" hidden="1" x14ac:dyDescent="0.15">
      <c r="A4476" t="s">
        <v>14176</v>
      </c>
      <c r="B4476" t="s">
        <v>14177</v>
      </c>
      <c r="C4476" t="s">
        <v>14178</v>
      </c>
      <c r="D4476" t="s">
        <v>14179</v>
      </c>
      <c r="E4476">
        <v>52</v>
      </c>
      <c r="F4476" t="str">
        <f>HYPERLINK("https://github.com/PojavLauncherTeam/PojavLauncher/issues/1661", "show")</f>
        <v>show</v>
      </c>
      <c r="G4476" t="str">
        <f>HYPERLINK("https://github.com/PojavLauncherTeam/PojavLauncher", "show")</f>
        <v>show</v>
      </c>
      <c r="H4476" t="str">
        <f>HYPERLINK("https://github.com/PojavLauncherTeam/PojavLauncher/releases", "show")</f>
        <v>show</v>
      </c>
      <c r="I4476">
        <v>0</v>
      </c>
      <c r="J4476">
        <v>0</v>
      </c>
      <c r="K4476">
        <v>0</v>
      </c>
      <c r="L4476">
        <v>0</v>
      </c>
      <c r="M4476" t="s">
        <v>43</v>
      </c>
    </row>
    <row r="4477" spans="1:13" hidden="1" x14ac:dyDescent="0.15">
      <c r="A4477" t="s">
        <v>14180</v>
      </c>
      <c r="B4477" t="s">
        <v>14181</v>
      </c>
      <c r="C4477" t="s">
        <v>14182</v>
      </c>
      <c r="D4477" t="s">
        <v>14179</v>
      </c>
      <c r="E4477">
        <v>127</v>
      </c>
      <c r="F4477" t="str">
        <f>HYPERLINK("https://github.com/nextcloud/android/issues/8686", "show")</f>
        <v>show</v>
      </c>
      <c r="G4477" t="str">
        <f>HYPERLINK("https://github.com/nextcloud/android", "show")</f>
        <v>show</v>
      </c>
      <c r="H4477" t="str">
        <f>HYPERLINK("https://github.com/nextcloud/android/releases", "show")</f>
        <v>show</v>
      </c>
      <c r="I4477">
        <v>1</v>
      </c>
      <c r="J4477">
        <v>1</v>
      </c>
      <c r="K4477">
        <v>1</v>
      </c>
      <c r="L4477">
        <v>0</v>
      </c>
      <c r="M4477" t="s">
        <v>59</v>
      </c>
    </row>
    <row r="4478" spans="1:13" x14ac:dyDescent="0.15">
      <c r="A4478" t="s">
        <v>14183</v>
      </c>
      <c r="B4478" t="s">
        <v>14184</v>
      </c>
      <c r="C4478" t="s">
        <v>14185</v>
      </c>
      <c r="D4478" t="s">
        <v>14179</v>
      </c>
      <c r="E4478">
        <v>7</v>
      </c>
      <c r="F4478" t="str">
        <f>HYPERLINK("https://github.com/PojavLauncherTeam/PojavLauncher/issues/1658", "show")</f>
        <v>show</v>
      </c>
      <c r="G4478" t="str">
        <f>HYPERLINK("https://github.com/PojavLauncherTeam/PojavLauncher", "show")</f>
        <v>show</v>
      </c>
      <c r="H4478" t="str">
        <f>HYPERLINK("https://github.com/PojavLauncherTeam/PojavLauncher/releases", "show")</f>
        <v>show</v>
      </c>
      <c r="I4478">
        <v>0</v>
      </c>
      <c r="J4478">
        <v>1</v>
      </c>
      <c r="K4478">
        <v>0</v>
      </c>
      <c r="L4478">
        <v>0</v>
      </c>
      <c r="M4478" t="s">
        <v>139</v>
      </c>
    </row>
    <row r="4479" spans="1:13" hidden="1" x14ac:dyDescent="0.15">
      <c r="A4479" t="s">
        <v>14186</v>
      </c>
      <c r="B4479" t="s">
        <v>14187</v>
      </c>
      <c r="C4479" t="s">
        <v>14188</v>
      </c>
      <c r="D4479" t="s">
        <v>14189</v>
      </c>
      <c r="E4479">
        <v>0</v>
      </c>
      <c r="F4479" t="str">
        <f>HYPERLINK("https://github.com/Anuken/Mindustry/issues/5562", "show")</f>
        <v>show</v>
      </c>
      <c r="G4479" t="str">
        <f>HYPERLINK("https://github.com/Anuken/Mindustry", "show")</f>
        <v>show</v>
      </c>
      <c r="H4479" t="str">
        <f>HYPERLINK("https://github.com/Anuken/Mindustry/releases", "show")</f>
        <v>show</v>
      </c>
      <c r="I4479">
        <v>1</v>
      </c>
      <c r="J4479">
        <v>1</v>
      </c>
      <c r="K4479">
        <v>0</v>
      </c>
      <c r="L4479">
        <v>0</v>
      </c>
      <c r="M4479" t="s">
        <v>48</v>
      </c>
    </row>
    <row r="4480" spans="1:13" hidden="1" x14ac:dyDescent="0.15">
      <c r="A4480" t="s">
        <v>14190</v>
      </c>
      <c r="B4480" t="s">
        <v>14191</v>
      </c>
      <c r="C4480" t="s">
        <v>14192</v>
      </c>
      <c r="D4480" t="s">
        <v>14189</v>
      </c>
      <c r="E4480">
        <v>108</v>
      </c>
      <c r="F4480" t="str">
        <f>HYPERLINK("https://github.com/nextcloud/android/issues/8685", "show")</f>
        <v>show</v>
      </c>
      <c r="G4480" t="str">
        <f>HYPERLINK("https://github.com/nextcloud/android", "show")</f>
        <v>show</v>
      </c>
      <c r="H4480" t="str">
        <f>HYPERLINK("https://github.com/nextcloud/android/releases", "show")</f>
        <v>show</v>
      </c>
      <c r="I4480">
        <v>0</v>
      </c>
      <c r="J4480">
        <v>0</v>
      </c>
      <c r="K4480">
        <v>1</v>
      </c>
      <c r="L4480">
        <v>0</v>
      </c>
      <c r="M4480" t="s">
        <v>122</v>
      </c>
    </row>
    <row r="4481" spans="1:13" hidden="1" x14ac:dyDescent="0.15">
      <c r="A4481" t="s">
        <v>14193</v>
      </c>
      <c r="B4481" t="s">
        <v>14194</v>
      </c>
      <c r="C4481" t="s">
        <v>14195</v>
      </c>
      <c r="D4481" t="s">
        <v>14189</v>
      </c>
      <c r="E4481">
        <v>0</v>
      </c>
      <c r="F4481" t="str">
        <f>HYPERLINK("https://github.com/Anuken/Mindustry/issues/5561", "show")</f>
        <v>show</v>
      </c>
      <c r="G4481" t="str">
        <f>HYPERLINK("https://github.com/Anuken/Mindustry", "show")</f>
        <v>show</v>
      </c>
      <c r="H4481" t="str">
        <f>HYPERLINK("https://github.com/Anuken/Mindustry/releases", "show")</f>
        <v>show</v>
      </c>
      <c r="I4481">
        <v>1</v>
      </c>
      <c r="J4481">
        <v>1</v>
      </c>
      <c r="K4481">
        <v>0</v>
      </c>
      <c r="L4481">
        <v>0</v>
      </c>
      <c r="M4481" t="s">
        <v>48</v>
      </c>
    </row>
    <row r="4482" spans="1:13" hidden="1" x14ac:dyDescent="0.15">
      <c r="A4482" t="s">
        <v>14196</v>
      </c>
      <c r="B4482" t="s">
        <v>14197</v>
      </c>
      <c r="C4482" t="s">
        <v>14198</v>
      </c>
      <c r="D4482" t="s">
        <v>14189</v>
      </c>
      <c r="E4482">
        <v>0</v>
      </c>
      <c r="F4482" t="str">
        <f>HYPERLINK("https://github.com/Anuken/Mindustry/issues/5560", "show")</f>
        <v>show</v>
      </c>
      <c r="G4482" t="str">
        <f>HYPERLINK("https://github.com/Anuken/Mindustry", "show")</f>
        <v>show</v>
      </c>
      <c r="H4482" t="str">
        <f>HYPERLINK("https://github.com/Anuken/Mindustry/releases", "show")</f>
        <v>show</v>
      </c>
      <c r="I4482">
        <v>1</v>
      </c>
      <c r="J4482">
        <v>1</v>
      </c>
      <c r="K4482">
        <v>0</v>
      </c>
      <c r="L4482">
        <v>1</v>
      </c>
      <c r="M4482" t="s">
        <v>1894</v>
      </c>
    </row>
    <row r="4483" spans="1:13" hidden="1" x14ac:dyDescent="0.15">
      <c r="A4483" t="s">
        <v>14199</v>
      </c>
      <c r="B4483" t="s">
        <v>14200</v>
      </c>
      <c r="C4483" t="s">
        <v>14201</v>
      </c>
      <c r="D4483" t="s">
        <v>14189</v>
      </c>
      <c r="E4483">
        <v>0</v>
      </c>
      <c r="F4483" t="str">
        <f>HYPERLINK("https://github.com/TeamNewPipe/NewPipe/issues/6639", "show")</f>
        <v>show</v>
      </c>
      <c r="G4483" t="str">
        <f>HYPERLINK("https://github.com/TeamNewPipe/NewPipe", "show")</f>
        <v>show</v>
      </c>
      <c r="H4483" t="str">
        <f>HYPERLINK("https://github.com/TeamNewPipe/NewPipe/releases", "show")</f>
        <v>show</v>
      </c>
      <c r="I4483">
        <v>1</v>
      </c>
      <c r="J4483">
        <v>1</v>
      </c>
      <c r="K4483">
        <v>1</v>
      </c>
      <c r="L4483">
        <v>0</v>
      </c>
      <c r="M4483" t="s">
        <v>59</v>
      </c>
    </row>
    <row r="4484" spans="1:13" x14ac:dyDescent="0.15">
      <c r="A4484" t="s">
        <v>14202</v>
      </c>
      <c r="B4484" t="s">
        <v>14203</v>
      </c>
      <c r="C4484" t="s">
        <v>14204</v>
      </c>
      <c r="D4484" t="s">
        <v>14189</v>
      </c>
      <c r="E4484">
        <v>0</v>
      </c>
      <c r="F4484" t="str">
        <f>HYPERLINK("https://github.com/PojavLauncherTeam/PojavLauncher/issues/1651", "show")</f>
        <v>show</v>
      </c>
      <c r="G4484" t="str">
        <f>HYPERLINK("https://github.com/PojavLauncherTeam/PojavLauncher", "show")</f>
        <v>show</v>
      </c>
      <c r="H4484" t="str">
        <f>HYPERLINK("https://github.com/PojavLauncherTeam/PojavLauncher/releases", "show")</f>
        <v>show</v>
      </c>
      <c r="I4484">
        <v>0</v>
      </c>
      <c r="J4484">
        <v>1</v>
      </c>
      <c r="K4484">
        <v>0</v>
      </c>
      <c r="L4484">
        <v>0</v>
      </c>
      <c r="M4484" t="s">
        <v>139</v>
      </c>
    </row>
    <row r="4485" spans="1:13" hidden="1" x14ac:dyDescent="0.15">
      <c r="A4485" t="s">
        <v>14205</v>
      </c>
      <c r="B4485" t="s">
        <v>14206</v>
      </c>
      <c r="C4485" t="s">
        <v>14207</v>
      </c>
      <c r="D4485" t="s">
        <v>14189</v>
      </c>
      <c r="E4485">
        <v>124</v>
      </c>
      <c r="F4485" t="str">
        <f>HYPERLINK("https://github.com/PojavLauncherTeam/PojavLauncher/issues/1649", "show")</f>
        <v>show</v>
      </c>
      <c r="G4485" t="str">
        <f>HYPERLINK("https://github.com/PojavLauncherTeam/PojavLauncher", "show")</f>
        <v>show</v>
      </c>
      <c r="H4485" t="str">
        <f>HYPERLINK("https://github.com/PojavLauncherTeam/PojavLauncher/releases", "show")</f>
        <v>show</v>
      </c>
      <c r="I4485">
        <v>1</v>
      </c>
      <c r="J4485">
        <v>1</v>
      </c>
      <c r="K4485">
        <v>0</v>
      </c>
      <c r="L4485">
        <v>1</v>
      </c>
      <c r="M4485" t="s">
        <v>1894</v>
      </c>
    </row>
    <row r="4486" spans="1:13" hidden="1" x14ac:dyDescent="0.15">
      <c r="A4486" t="s">
        <v>14208</v>
      </c>
      <c r="B4486" t="s">
        <v>14209</v>
      </c>
      <c r="C4486" t="s">
        <v>14210</v>
      </c>
      <c r="D4486" t="s">
        <v>14211</v>
      </c>
      <c r="E4486">
        <v>3</v>
      </c>
      <c r="F4486" t="str">
        <f>HYPERLINK("https://github.com/theheraldproject/herald-for-android/issues/217", "show")</f>
        <v>show</v>
      </c>
      <c r="G4486" t="str">
        <f>HYPERLINK("https://github.com/theheraldproject/herald-for-android", "show")</f>
        <v>show</v>
      </c>
      <c r="H4486" t="str">
        <f>HYPERLINK("https://github.com/theheraldproject/herald-for-android/releases", "show")</f>
        <v>show</v>
      </c>
      <c r="I4486">
        <v>1</v>
      </c>
      <c r="J4486">
        <v>1</v>
      </c>
      <c r="K4486">
        <v>1</v>
      </c>
      <c r="L4486">
        <v>0</v>
      </c>
      <c r="M4486" t="s">
        <v>59</v>
      </c>
    </row>
    <row r="4487" spans="1:13" hidden="1" x14ac:dyDescent="0.15">
      <c r="A4487" t="s">
        <v>14212</v>
      </c>
      <c r="B4487" t="s">
        <v>14213</v>
      </c>
      <c r="C4487" t="s">
        <v>14214</v>
      </c>
      <c r="D4487" t="s">
        <v>14211</v>
      </c>
      <c r="E4487">
        <v>229</v>
      </c>
      <c r="F4487" t="str">
        <f>HYPERLINK("https://github.com/opensrp/opensrp-client-chw/issues/1829", "show")</f>
        <v>show</v>
      </c>
      <c r="G4487" t="str">
        <f>HYPERLINK("https://github.com/opensrp/opensrp-client-chw", "show")</f>
        <v>show</v>
      </c>
      <c r="H4487" t="str">
        <f>HYPERLINK("https://github.com/opensrp/opensrp-client-chw/releases", "show")</f>
        <v>show</v>
      </c>
      <c r="I4487">
        <v>1</v>
      </c>
      <c r="J4487">
        <v>1</v>
      </c>
      <c r="K4487">
        <v>0</v>
      </c>
      <c r="L4487">
        <v>0</v>
      </c>
      <c r="M4487" t="s">
        <v>48</v>
      </c>
    </row>
    <row r="4488" spans="1:13" hidden="1" x14ac:dyDescent="0.15">
      <c r="A4488" t="s">
        <v>14215</v>
      </c>
      <c r="B4488" t="s">
        <v>14216</v>
      </c>
      <c r="C4488" t="s">
        <v>14217</v>
      </c>
      <c r="D4488" t="s">
        <v>14211</v>
      </c>
      <c r="E4488">
        <v>0</v>
      </c>
      <c r="F4488" t="str">
        <f>HYPERLINK("https://github.com/nextcloud/talk-android/issues/1439", "show")</f>
        <v>show</v>
      </c>
      <c r="G4488" t="str">
        <f>HYPERLINK("https://github.com/nextcloud/talk-android", "show")</f>
        <v>show</v>
      </c>
      <c r="H4488" t="str">
        <f>HYPERLINK("https://github.com/nextcloud/talk-android/releases", "show")</f>
        <v>show</v>
      </c>
      <c r="I4488">
        <v>1</v>
      </c>
      <c r="J4488">
        <v>0</v>
      </c>
      <c r="K4488">
        <v>0</v>
      </c>
      <c r="L4488">
        <v>0</v>
      </c>
      <c r="M4488" t="s">
        <v>17</v>
      </c>
    </row>
    <row r="4489" spans="1:13" hidden="1" x14ac:dyDescent="0.15">
      <c r="A4489" t="s">
        <v>14218</v>
      </c>
      <c r="B4489" t="s">
        <v>14219</v>
      </c>
      <c r="C4489" t="s">
        <v>14220</v>
      </c>
      <c r="D4489" t="s">
        <v>14211</v>
      </c>
      <c r="E4489">
        <v>235</v>
      </c>
      <c r="F4489" t="str">
        <f>HYPERLINK("https://github.com/nextcloud/talk-android/issues/1435", "show")</f>
        <v>show</v>
      </c>
      <c r="G4489" t="str">
        <f>HYPERLINK("https://github.com/nextcloud/talk-android", "show")</f>
        <v>show</v>
      </c>
      <c r="H4489" t="str">
        <f>HYPERLINK("https://github.com/nextcloud/talk-android/releases", "show")</f>
        <v>show</v>
      </c>
      <c r="I4489">
        <v>1</v>
      </c>
      <c r="J4489">
        <v>0</v>
      </c>
      <c r="K4489">
        <v>1</v>
      </c>
      <c r="L4489">
        <v>0</v>
      </c>
      <c r="M4489" t="s">
        <v>64</v>
      </c>
    </row>
    <row r="4490" spans="1:13" hidden="1" x14ac:dyDescent="0.15">
      <c r="A4490" t="s">
        <v>14221</v>
      </c>
      <c r="B4490" t="s">
        <v>14222</v>
      </c>
      <c r="C4490" t="s">
        <v>14223</v>
      </c>
      <c r="D4490" t="s">
        <v>14211</v>
      </c>
      <c r="E4490">
        <v>0</v>
      </c>
      <c r="F4490" t="str">
        <f>HYPERLINK("https://github.com/nextcloud/talk-android/issues/1429", "show")</f>
        <v>show</v>
      </c>
      <c r="G4490" t="str">
        <f>HYPERLINK("https://github.com/nextcloud/talk-android", "show")</f>
        <v>show</v>
      </c>
      <c r="H4490" t="str">
        <f>HYPERLINK("https://github.com/nextcloud/talk-android/releases", "show")</f>
        <v>show</v>
      </c>
      <c r="I4490">
        <v>1</v>
      </c>
      <c r="J4490">
        <v>0</v>
      </c>
      <c r="K4490">
        <v>1</v>
      </c>
      <c r="L4490">
        <v>0</v>
      </c>
      <c r="M4490" t="s">
        <v>64</v>
      </c>
    </row>
    <row r="4491" spans="1:13" hidden="1" x14ac:dyDescent="0.15">
      <c r="A4491" t="s">
        <v>14224</v>
      </c>
      <c r="B4491" t="s">
        <v>5283</v>
      </c>
      <c r="C4491" t="s">
        <v>14225</v>
      </c>
      <c r="D4491" t="s">
        <v>14211</v>
      </c>
      <c r="E4491">
        <v>0</v>
      </c>
      <c r="F4491" t="str">
        <f>HYPERLINK("https://github.com/norkator/apcupsd-monitor/issues/40", "show")</f>
        <v>show</v>
      </c>
      <c r="G4491" t="str">
        <f>HYPERLINK("https://github.com/norkator/apcupsd-monitor", "show")</f>
        <v>show</v>
      </c>
      <c r="H4491" t="str">
        <f>HYPERLINK("https://github.com/norkator/apcupsd-monitor/releases", "show")</f>
        <v>show</v>
      </c>
      <c r="I4491">
        <v>1</v>
      </c>
      <c r="J4491">
        <v>0</v>
      </c>
      <c r="K4491">
        <v>1</v>
      </c>
      <c r="L4491">
        <v>0</v>
      </c>
      <c r="M4491" t="s">
        <v>64</v>
      </c>
    </row>
    <row r="4492" spans="1:13" hidden="1" x14ac:dyDescent="0.15">
      <c r="A4492" t="s">
        <v>14226</v>
      </c>
      <c r="B4492" t="s">
        <v>14227</v>
      </c>
      <c r="C4492" t="s">
        <v>14228</v>
      </c>
      <c r="D4492" t="s">
        <v>14211</v>
      </c>
      <c r="E4492">
        <v>0</v>
      </c>
      <c r="F4492" t="str">
        <f>HYPERLINK("https://github.com/PojavLauncherTeam/PojavLauncher/issues/1644", "show")</f>
        <v>show</v>
      </c>
      <c r="G4492" t="str">
        <f>HYPERLINK("https://github.com/PojavLauncherTeam/PojavLauncher", "show")</f>
        <v>show</v>
      </c>
      <c r="H4492" t="str">
        <f>HYPERLINK("https://github.com/PojavLauncherTeam/PojavLauncher/releases", "show")</f>
        <v>show</v>
      </c>
      <c r="I4492">
        <v>0</v>
      </c>
      <c r="J4492">
        <v>0</v>
      </c>
      <c r="K4492">
        <v>0</v>
      </c>
      <c r="L4492">
        <v>0</v>
      </c>
      <c r="M4492" t="s">
        <v>43</v>
      </c>
    </row>
    <row r="4493" spans="1:13" hidden="1" x14ac:dyDescent="0.15">
      <c r="A4493" t="s">
        <v>14229</v>
      </c>
      <c r="B4493" t="s">
        <v>14230</v>
      </c>
      <c r="C4493" t="s">
        <v>14231</v>
      </c>
      <c r="D4493" t="s">
        <v>14232</v>
      </c>
      <c r="E4493">
        <v>0</v>
      </c>
      <c r="F4493" t="str">
        <f>HYPERLINK("https://github.com/Anuken/Mindustry/issues/5555", "show")</f>
        <v>show</v>
      </c>
      <c r="G4493" t="str">
        <f>HYPERLINK("https://github.com/Anuken/Mindustry", "show")</f>
        <v>show</v>
      </c>
      <c r="H4493" t="str">
        <f>HYPERLINK("https://github.com/Anuken/Mindustry/releases", "show")</f>
        <v>show</v>
      </c>
      <c r="I4493">
        <v>1</v>
      </c>
      <c r="J4493">
        <v>1</v>
      </c>
      <c r="K4493">
        <v>0</v>
      </c>
      <c r="L4493">
        <v>0</v>
      </c>
      <c r="M4493" t="s">
        <v>48</v>
      </c>
    </row>
    <row r="4494" spans="1:13" hidden="1" x14ac:dyDescent="0.15">
      <c r="A4494" t="s">
        <v>14233</v>
      </c>
      <c r="B4494" t="s">
        <v>14234</v>
      </c>
      <c r="C4494" t="s">
        <v>14235</v>
      </c>
      <c r="D4494" t="s">
        <v>14232</v>
      </c>
      <c r="E4494">
        <v>0</v>
      </c>
      <c r="F4494" t="str">
        <f>HYPERLINK("https://github.com/Anuken/Mindustry/issues/5553", "show")</f>
        <v>show</v>
      </c>
      <c r="G4494" t="str">
        <f>HYPERLINK("https://github.com/Anuken/Mindustry", "show")</f>
        <v>show</v>
      </c>
      <c r="H4494" t="str">
        <f>HYPERLINK("https://github.com/Anuken/Mindustry/releases", "show")</f>
        <v>show</v>
      </c>
      <c r="I4494">
        <v>1</v>
      </c>
      <c r="J4494">
        <v>1</v>
      </c>
      <c r="K4494">
        <v>0</v>
      </c>
      <c r="L4494">
        <v>1</v>
      </c>
      <c r="M4494" t="s">
        <v>1894</v>
      </c>
    </row>
    <row r="4495" spans="1:13" x14ac:dyDescent="0.15">
      <c r="A4495" t="s">
        <v>14236</v>
      </c>
      <c r="B4495" t="s">
        <v>14237</v>
      </c>
      <c r="C4495" t="s">
        <v>14238</v>
      </c>
      <c r="D4495" t="s">
        <v>14232</v>
      </c>
      <c r="E4495">
        <v>0</v>
      </c>
      <c r="F4495" t="str">
        <f>HYPERLINK("https://github.com/nextcloud/android/issues/8680", "show")</f>
        <v>show</v>
      </c>
      <c r="G4495" t="str">
        <f>HYPERLINK("https://github.com/nextcloud/android", "show")</f>
        <v>show</v>
      </c>
      <c r="H4495" t="str">
        <f>HYPERLINK("https://github.com/nextcloud/android/releases", "show")</f>
        <v>show</v>
      </c>
      <c r="I4495">
        <v>0</v>
      </c>
      <c r="J4495">
        <v>1</v>
      </c>
      <c r="K4495">
        <v>0</v>
      </c>
      <c r="L4495">
        <v>0</v>
      </c>
      <c r="M4495" t="s">
        <v>139</v>
      </c>
    </row>
    <row r="4496" spans="1:13" hidden="1" x14ac:dyDescent="0.15">
      <c r="A4496" t="s">
        <v>14239</v>
      </c>
      <c r="B4496" t="s">
        <v>14240</v>
      </c>
      <c r="C4496" t="s">
        <v>14241</v>
      </c>
      <c r="D4496" t="s">
        <v>14232</v>
      </c>
      <c r="E4496">
        <v>0</v>
      </c>
      <c r="F4496" t="str">
        <f>HYPERLINK("https://github.com/Anuken/Mindustry/issues/5552", "show")</f>
        <v>show</v>
      </c>
      <c r="G4496" t="str">
        <f>HYPERLINK("https://github.com/Anuken/Mindustry", "show")</f>
        <v>show</v>
      </c>
      <c r="H4496" t="str">
        <f>HYPERLINK("https://github.com/Anuken/Mindustry/releases", "show")</f>
        <v>show</v>
      </c>
      <c r="I4496">
        <v>1</v>
      </c>
      <c r="J4496">
        <v>1</v>
      </c>
      <c r="K4496">
        <v>0</v>
      </c>
      <c r="L4496">
        <v>1</v>
      </c>
      <c r="M4496" t="s">
        <v>1894</v>
      </c>
    </row>
    <row r="4497" spans="1:13" hidden="1" x14ac:dyDescent="0.15">
      <c r="A4497" t="s">
        <v>14242</v>
      </c>
      <c r="B4497" t="s">
        <v>14243</v>
      </c>
      <c r="C4497" t="s">
        <v>14244</v>
      </c>
      <c r="D4497" t="s">
        <v>14232</v>
      </c>
      <c r="E4497">
        <v>27</v>
      </c>
      <c r="F4497" t="str">
        <f>HYPERLINK("https://github.com/dariuszseweryn/RxAndroidBle/issues/758", "show")</f>
        <v>show</v>
      </c>
      <c r="G4497" t="str">
        <f>HYPERLINK("https://github.com/dariuszseweryn/RxAndroidBle", "show")</f>
        <v>show</v>
      </c>
      <c r="H4497" t="str">
        <f>HYPERLINK("https://github.com/dariuszseweryn/RxAndroidBle/releases", "show")</f>
        <v>show</v>
      </c>
      <c r="I4497">
        <v>0</v>
      </c>
      <c r="J4497">
        <v>0</v>
      </c>
      <c r="K4497">
        <v>1</v>
      </c>
      <c r="L4497">
        <v>0</v>
      </c>
      <c r="M4497" t="s">
        <v>122</v>
      </c>
    </row>
    <row r="4498" spans="1:13" hidden="1" x14ac:dyDescent="0.15">
      <c r="A4498" t="s">
        <v>14245</v>
      </c>
      <c r="B4498" t="s">
        <v>14246</v>
      </c>
      <c r="C4498" t="s">
        <v>14247</v>
      </c>
      <c r="D4498" t="s">
        <v>14232</v>
      </c>
      <c r="E4498">
        <v>0</v>
      </c>
      <c r="F4498" t="str">
        <f>HYPERLINK("https://github.com/TeamNewPipe/NewPipe/issues/6622", "show")</f>
        <v>show</v>
      </c>
      <c r="G4498" t="str">
        <f>HYPERLINK("https://github.com/TeamNewPipe/NewPipe", "show")</f>
        <v>show</v>
      </c>
      <c r="H4498" t="str">
        <f>HYPERLINK("https://github.com/TeamNewPipe/NewPipe/releases", "show")</f>
        <v>show</v>
      </c>
      <c r="I4498">
        <v>1</v>
      </c>
      <c r="J4498">
        <v>1</v>
      </c>
      <c r="K4498">
        <v>0</v>
      </c>
      <c r="L4498">
        <v>0</v>
      </c>
      <c r="M4498" t="s">
        <v>48</v>
      </c>
    </row>
    <row r="4499" spans="1:13" hidden="1" x14ac:dyDescent="0.15">
      <c r="A4499" t="s">
        <v>14248</v>
      </c>
      <c r="B4499" t="s">
        <v>14249</v>
      </c>
      <c r="C4499" t="s">
        <v>14250</v>
      </c>
      <c r="D4499" t="s">
        <v>14232</v>
      </c>
      <c r="E4499">
        <v>7</v>
      </c>
      <c r="F4499" t="str">
        <f>HYPERLINK("https://github.com/Blankj/AndroidUtilCode/issues/1517", "show")</f>
        <v>show</v>
      </c>
      <c r="G4499" t="str">
        <f>HYPERLINK("https://github.com/Blankj/AndroidUtilCode", "show")</f>
        <v>show</v>
      </c>
      <c r="H4499" t="str">
        <f>HYPERLINK("https://github.com/Blankj/AndroidUtilCode/releases", "show")</f>
        <v>show</v>
      </c>
      <c r="I4499">
        <v>1</v>
      </c>
      <c r="J4499">
        <v>0</v>
      </c>
      <c r="K4499">
        <v>1</v>
      </c>
      <c r="L4499">
        <v>1</v>
      </c>
      <c r="M4499" t="s">
        <v>1259</v>
      </c>
    </row>
    <row r="4500" spans="1:13" hidden="1" x14ac:dyDescent="0.15">
      <c r="A4500" t="s">
        <v>14251</v>
      </c>
      <c r="B4500" t="s">
        <v>14252</v>
      </c>
      <c r="C4500" t="s">
        <v>14253</v>
      </c>
      <c r="D4500" t="s">
        <v>14254</v>
      </c>
      <c r="E4500">
        <v>2</v>
      </c>
      <c r="F4500" t="str">
        <f>HYPERLINK("https://github.com/nextcloud/talk-android/issues/1417", "show")</f>
        <v>show</v>
      </c>
      <c r="G4500" t="str">
        <f>HYPERLINK("https://github.com/nextcloud/talk-android", "show")</f>
        <v>show</v>
      </c>
      <c r="H4500" t="str">
        <f>HYPERLINK("https://github.com/nextcloud/talk-android/releases", "show")</f>
        <v>show</v>
      </c>
      <c r="I4500">
        <v>1</v>
      </c>
      <c r="J4500">
        <v>1</v>
      </c>
      <c r="K4500">
        <v>0</v>
      </c>
      <c r="L4500">
        <v>0</v>
      </c>
      <c r="M4500" t="s">
        <v>48</v>
      </c>
    </row>
    <row r="4501" spans="1:13" hidden="1" x14ac:dyDescent="0.15">
      <c r="A4501" t="s">
        <v>14255</v>
      </c>
      <c r="B4501" t="s">
        <v>14256</v>
      </c>
      <c r="C4501" t="s">
        <v>14257</v>
      </c>
      <c r="D4501" t="s">
        <v>14254</v>
      </c>
      <c r="E4501">
        <v>1</v>
      </c>
      <c r="F4501" t="str">
        <f>HYPERLINK("https://github.com/Keidan/HexViewer/issues/67", "show")</f>
        <v>show</v>
      </c>
      <c r="G4501" t="str">
        <f>HYPERLINK("https://github.com/Keidan/HexViewer", "show")</f>
        <v>show</v>
      </c>
      <c r="H4501" t="str">
        <f>HYPERLINK("https://github.com/Keidan/HexViewer/releases", "show")</f>
        <v>show</v>
      </c>
      <c r="I4501">
        <v>1</v>
      </c>
      <c r="J4501">
        <v>0</v>
      </c>
      <c r="K4501">
        <v>0</v>
      </c>
      <c r="L4501">
        <v>0</v>
      </c>
      <c r="M4501" t="s">
        <v>17</v>
      </c>
    </row>
    <row r="4502" spans="1:13" hidden="1" x14ac:dyDescent="0.15">
      <c r="A4502" t="s">
        <v>14258</v>
      </c>
      <c r="B4502" t="s">
        <v>14259</v>
      </c>
      <c r="C4502" t="s">
        <v>14260</v>
      </c>
      <c r="D4502" t="s">
        <v>14254</v>
      </c>
      <c r="E4502">
        <v>2</v>
      </c>
      <c r="F4502" t="str">
        <f>HYPERLINK("https://github.com/cgeo/cgeo/issues/11140", "show")</f>
        <v>show</v>
      </c>
      <c r="G4502" t="str">
        <f>HYPERLINK("https://github.com/cgeo/cgeo", "show")</f>
        <v>show</v>
      </c>
      <c r="H4502" t="str">
        <f>HYPERLINK("https://github.com/cgeo/cgeo/releases", "show")</f>
        <v>show</v>
      </c>
      <c r="I4502">
        <v>1</v>
      </c>
      <c r="J4502">
        <v>1</v>
      </c>
      <c r="K4502">
        <v>1</v>
      </c>
      <c r="L4502">
        <v>0</v>
      </c>
      <c r="M4502" t="s">
        <v>59</v>
      </c>
    </row>
    <row r="4503" spans="1:13" hidden="1" x14ac:dyDescent="0.15">
      <c r="A4503" t="s">
        <v>14261</v>
      </c>
      <c r="B4503" t="s">
        <v>14262</v>
      </c>
      <c r="C4503" t="s">
        <v>14263</v>
      </c>
      <c r="D4503" t="s">
        <v>14254</v>
      </c>
      <c r="E4503">
        <v>115</v>
      </c>
      <c r="F4503" t="str">
        <f>HYPERLINK("https://github.com/trackerforce/splitmate-android-app/issues/43", "show")</f>
        <v>show</v>
      </c>
      <c r="G4503" t="str">
        <f>HYPERLINK("https://github.com/trackerforce/splitmate-android-app", "show")</f>
        <v>show</v>
      </c>
      <c r="H4503" t="str">
        <f>HYPERLINK("https://github.com/trackerforce/splitmate-android-app/releases", "show")</f>
        <v>show</v>
      </c>
      <c r="I4503">
        <v>1</v>
      </c>
      <c r="J4503">
        <v>0</v>
      </c>
      <c r="K4503">
        <v>0</v>
      </c>
      <c r="L4503">
        <v>0</v>
      </c>
      <c r="M4503" t="s">
        <v>17</v>
      </c>
    </row>
    <row r="4504" spans="1:13" hidden="1" x14ac:dyDescent="0.15">
      <c r="A4504" t="s">
        <v>14264</v>
      </c>
      <c r="B4504" t="s">
        <v>14265</v>
      </c>
      <c r="C4504" t="s">
        <v>14266</v>
      </c>
      <c r="D4504" t="s">
        <v>14254</v>
      </c>
      <c r="E4504">
        <v>0</v>
      </c>
      <c r="F4504" t="str">
        <f>HYPERLINK("https://github.com/cgeo/cgeo/issues/11136", "show")</f>
        <v>show</v>
      </c>
      <c r="G4504" t="str">
        <f>HYPERLINK("https://github.com/cgeo/cgeo", "show")</f>
        <v>show</v>
      </c>
      <c r="H4504" t="str">
        <f>HYPERLINK("https://github.com/cgeo/cgeo/releases", "show")</f>
        <v>show</v>
      </c>
      <c r="I4504">
        <v>1</v>
      </c>
      <c r="J4504">
        <v>0</v>
      </c>
      <c r="K4504">
        <v>0</v>
      </c>
      <c r="L4504">
        <v>0</v>
      </c>
      <c r="M4504" t="s">
        <v>17</v>
      </c>
    </row>
    <row r="4505" spans="1:13" x14ac:dyDescent="0.15">
      <c r="A4505" t="s">
        <v>14267</v>
      </c>
      <c r="B4505" t="s">
        <v>14268</v>
      </c>
      <c r="C4505" t="s">
        <v>14269</v>
      </c>
      <c r="D4505" t="s">
        <v>14254</v>
      </c>
      <c r="E4505">
        <v>0</v>
      </c>
      <c r="F4505" t="str">
        <f>HYPERLINK("https://github.com/Keidan/HexViewer/issues/63", "show")</f>
        <v>show</v>
      </c>
      <c r="G4505" t="str">
        <f>HYPERLINK("https://github.com/Keidan/HexViewer", "show")</f>
        <v>show</v>
      </c>
      <c r="H4505" t="str">
        <f>HYPERLINK("https://github.com/Keidan/HexViewer/releases", "show")</f>
        <v>show</v>
      </c>
      <c r="I4505">
        <v>0</v>
      </c>
      <c r="J4505">
        <v>1</v>
      </c>
      <c r="K4505">
        <v>0</v>
      </c>
      <c r="L4505">
        <v>0</v>
      </c>
      <c r="M4505" t="s">
        <v>139</v>
      </c>
    </row>
    <row r="4506" spans="1:13" hidden="1" x14ac:dyDescent="0.15">
      <c r="A4506" t="s">
        <v>14270</v>
      </c>
      <c r="B4506" t="s">
        <v>14271</v>
      </c>
      <c r="C4506" t="s">
        <v>14272</v>
      </c>
      <c r="D4506" t="s">
        <v>14254</v>
      </c>
      <c r="E4506">
        <v>0</v>
      </c>
      <c r="F4506" t="str">
        <f>HYPERLINK("https://github.com/Anuken/Mindustry/issues/5549", "show")</f>
        <v>show</v>
      </c>
      <c r="G4506" t="str">
        <f>HYPERLINK("https://github.com/Anuken/Mindustry", "show")</f>
        <v>show</v>
      </c>
      <c r="H4506" t="str">
        <f>HYPERLINK("https://github.com/Anuken/Mindustry/releases", "show")</f>
        <v>show</v>
      </c>
      <c r="I4506">
        <v>1</v>
      </c>
      <c r="J4506">
        <v>1</v>
      </c>
      <c r="K4506">
        <v>0</v>
      </c>
      <c r="L4506">
        <v>0</v>
      </c>
      <c r="M4506" t="s">
        <v>48</v>
      </c>
    </row>
    <row r="4507" spans="1:13" hidden="1" x14ac:dyDescent="0.15">
      <c r="A4507" t="s">
        <v>14273</v>
      </c>
      <c r="B4507" t="s">
        <v>14274</v>
      </c>
      <c r="C4507" t="s">
        <v>14275</v>
      </c>
      <c r="D4507" t="s">
        <v>14254</v>
      </c>
      <c r="E4507">
        <v>0</v>
      </c>
      <c r="F4507" t="str">
        <f>HYPERLINK("https://github.com/Marmo/debitum/issues/35", "show")</f>
        <v>show</v>
      </c>
      <c r="G4507" t="str">
        <f>HYPERLINK("https://github.com/Marmo/debitum", "show")</f>
        <v>show</v>
      </c>
      <c r="H4507" t="str">
        <f>HYPERLINK("https://github.com/Marmo/debitum/releases", "show")</f>
        <v>show</v>
      </c>
      <c r="I4507">
        <v>1</v>
      </c>
      <c r="J4507">
        <v>0</v>
      </c>
      <c r="K4507">
        <v>0</v>
      </c>
      <c r="L4507">
        <v>0</v>
      </c>
      <c r="M4507" t="s">
        <v>17</v>
      </c>
    </row>
    <row r="4508" spans="1:13" hidden="1" x14ac:dyDescent="0.15">
      <c r="A4508" t="s">
        <v>14276</v>
      </c>
      <c r="B4508" t="s">
        <v>14277</v>
      </c>
      <c r="C4508" t="s">
        <v>14278</v>
      </c>
      <c r="D4508" t="s">
        <v>14254</v>
      </c>
      <c r="E4508">
        <v>202</v>
      </c>
      <c r="F4508" t="str">
        <f>HYPERLINK("https://github.com/commons-app/apps-android-commons/issues/4498", "show")</f>
        <v>show</v>
      </c>
      <c r="G4508" t="str">
        <f>HYPERLINK("https://github.com/commons-app/apps-android-commons", "show")</f>
        <v>show</v>
      </c>
      <c r="H4508" t="str">
        <f>HYPERLINK("https://github.com/commons-app/apps-android-commons/releases", "show")</f>
        <v>show</v>
      </c>
      <c r="I4508">
        <v>1</v>
      </c>
      <c r="J4508">
        <v>1</v>
      </c>
      <c r="K4508">
        <v>1</v>
      </c>
      <c r="L4508">
        <v>1</v>
      </c>
      <c r="M4508" t="s">
        <v>2875</v>
      </c>
    </row>
    <row r="4509" spans="1:13" hidden="1" x14ac:dyDescent="0.15">
      <c r="A4509" t="s">
        <v>14279</v>
      </c>
      <c r="B4509" t="s">
        <v>14280</v>
      </c>
      <c r="C4509" t="s">
        <v>14281</v>
      </c>
      <c r="D4509" t="s">
        <v>14254</v>
      </c>
      <c r="E4509">
        <v>20</v>
      </c>
      <c r="F4509" t="str">
        <f>HYPERLINK("https://github.com/mvysny/aedict/issues/962", "show")</f>
        <v>show</v>
      </c>
      <c r="G4509" t="str">
        <f>HYPERLINK("https://github.com/mvysny/aedict", "show")</f>
        <v>show</v>
      </c>
      <c r="H4509" t="str">
        <f>HYPERLINK("https://github.com/mvysny/aedict/releases", "show")</f>
        <v>show</v>
      </c>
      <c r="I4509">
        <v>1</v>
      </c>
      <c r="J4509">
        <v>0</v>
      </c>
      <c r="K4509">
        <v>0</v>
      </c>
      <c r="L4509">
        <v>0</v>
      </c>
      <c r="M4509" t="s">
        <v>17</v>
      </c>
    </row>
    <row r="4510" spans="1:13" hidden="1" x14ac:dyDescent="0.15">
      <c r="A4510" t="s">
        <v>14282</v>
      </c>
      <c r="B4510" t="s">
        <v>14283</v>
      </c>
      <c r="C4510" t="s">
        <v>14284</v>
      </c>
      <c r="D4510" t="s">
        <v>14285</v>
      </c>
      <c r="E4510">
        <v>0</v>
      </c>
      <c r="F4510" t="str">
        <f>HYPERLINK("https://github.com/Anuken/Mindustry/issues/5548", "show")</f>
        <v>show</v>
      </c>
      <c r="G4510" t="str">
        <f>HYPERLINK("https://github.com/Anuken/Mindustry", "show")</f>
        <v>show</v>
      </c>
      <c r="H4510" t="str">
        <f>HYPERLINK("https://github.com/Anuken/Mindustry/releases", "show")</f>
        <v>show</v>
      </c>
      <c r="I4510">
        <v>1</v>
      </c>
      <c r="J4510">
        <v>1</v>
      </c>
      <c r="K4510">
        <v>0</v>
      </c>
      <c r="L4510">
        <v>0</v>
      </c>
      <c r="M4510" t="s">
        <v>48</v>
      </c>
    </row>
    <row r="4511" spans="1:13" hidden="1" x14ac:dyDescent="0.15">
      <c r="A4511" t="s">
        <v>14286</v>
      </c>
      <c r="B4511" t="s">
        <v>14287</v>
      </c>
      <c r="C4511" t="s">
        <v>14288</v>
      </c>
      <c r="D4511" t="s">
        <v>14285</v>
      </c>
      <c r="E4511">
        <v>2</v>
      </c>
      <c r="F4511" t="str">
        <f>HYPERLINK("https://github.com/PojavLauncherTeam/PojavLauncher/issues/1630", "show")</f>
        <v>show</v>
      </c>
      <c r="G4511" t="str">
        <f>HYPERLINK("https://github.com/PojavLauncherTeam/PojavLauncher", "show")</f>
        <v>show</v>
      </c>
      <c r="H4511" t="str">
        <f>HYPERLINK("https://github.com/PojavLauncherTeam/PojavLauncher/releases", "show")</f>
        <v>show</v>
      </c>
      <c r="I4511">
        <v>0</v>
      </c>
      <c r="J4511">
        <v>1</v>
      </c>
      <c r="K4511">
        <v>0</v>
      </c>
      <c r="L4511">
        <v>1</v>
      </c>
      <c r="M4511" t="s">
        <v>1732</v>
      </c>
    </row>
    <row r="4512" spans="1:13" x14ac:dyDescent="0.15">
      <c r="A4512" t="s">
        <v>14289</v>
      </c>
      <c r="B4512" t="s">
        <v>14290</v>
      </c>
      <c r="C4512" t="s">
        <v>14291</v>
      </c>
      <c r="D4512" t="s">
        <v>14285</v>
      </c>
      <c r="E4512">
        <v>4</v>
      </c>
      <c r="F4512" t="str">
        <f>HYPERLINK("https://github.com/PojavLauncherTeam/PojavLauncher/issues/1627", "show")</f>
        <v>show</v>
      </c>
      <c r="G4512" t="str">
        <f>HYPERLINK("https://github.com/PojavLauncherTeam/PojavLauncher", "show")</f>
        <v>show</v>
      </c>
      <c r="H4512" t="str">
        <f>HYPERLINK("https://github.com/PojavLauncherTeam/PojavLauncher/releases", "show")</f>
        <v>show</v>
      </c>
      <c r="I4512">
        <v>0</v>
      </c>
      <c r="J4512">
        <v>1</v>
      </c>
      <c r="K4512">
        <v>0</v>
      </c>
      <c r="L4512">
        <v>0</v>
      </c>
      <c r="M4512" t="s">
        <v>139</v>
      </c>
    </row>
    <row r="4513" spans="1:13" hidden="1" x14ac:dyDescent="0.15">
      <c r="A4513" t="s">
        <v>14292</v>
      </c>
      <c r="B4513" t="s">
        <v>14293</v>
      </c>
      <c r="C4513" t="s">
        <v>14291</v>
      </c>
      <c r="D4513" t="s">
        <v>14285</v>
      </c>
      <c r="E4513">
        <v>0</v>
      </c>
      <c r="F4513" t="str">
        <f>HYPERLINK("https://github.com/PojavLauncherTeam/PojavLauncher/issues/1626", "show")</f>
        <v>show</v>
      </c>
      <c r="G4513" t="str">
        <f>HYPERLINK("https://github.com/PojavLauncherTeam/PojavLauncher", "show")</f>
        <v>show</v>
      </c>
      <c r="H4513" t="str">
        <f>HYPERLINK("https://github.com/PojavLauncherTeam/PojavLauncher/releases", "show")</f>
        <v>show</v>
      </c>
      <c r="I4513">
        <v>1</v>
      </c>
      <c r="J4513">
        <v>1</v>
      </c>
      <c r="K4513">
        <v>0</v>
      </c>
      <c r="L4513">
        <v>1</v>
      </c>
      <c r="M4513" t="s">
        <v>1894</v>
      </c>
    </row>
    <row r="4514" spans="1:13" hidden="1" x14ac:dyDescent="0.15">
      <c r="A4514" t="s">
        <v>14294</v>
      </c>
      <c r="B4514" t="s">
        <v>14295</v>
      </c>
      <c r="C4514" t="s">
        <v>14296</v>
      </c>
      <c r="D4514" t="s">
        <v>14297</v>
      </c>
      <c r="E4514">
        <v>45</v>
      </c>
      <c r="F4514" t="str">
        <f>HYPERLINK("https://github.com/BugBattle/Android-SDK/issues/11", "show")</f>
        <v>show</v>
      </c>
      <c r="G4514" t="str">
        <f>HYPERLINK("https://github.com/BugBattle/Android-SDK", "show")</f>
        <v>show</v>
      </c>
      <c r="H4514" t="str">
        <f>HYPERLINK("https://github.com/BugBattle/Android-SDK/releases", "show")</f>
        <v>show</v>
      </c>
      <c r="I4514">
        <v>1</v>
      </c>
      <c r="J4514">
        <v>0</v>
      </c>
      <c r="K4514">
        <v>1</v>
      </c>
      <c r="L4514">
        <v>0</v>
      </c>
      <c r="M4514" t="s">
        <v>64</v>
      </c>
    </row>
    <row r="4515" spans="1:13" hidden="1" x14ac:dyDescent="0.15">
      <c r="A4515" t="s">
        <v>14298</v>
      </c>
      <c r="B4515" t="s">
        <v>14299</v>
      </c>
      <c r="C4515" t="s">
        <v>14300</v>
      </c>
      <c r="D4515" t="s">
        <v>14297</v>
      </c>
      <c r="E4515">
        <v>0</v>
      </c>
      <c r="F4515" t="str">
        <f>HYPERLINK("https://github.com/proyecto26/react-native-inappbrowser/issues/284", "show")</f>
        <v>show</v>
      </c>
      <c r="G4515" t="str">
        <f>HYPERLINK("https://github.com/proyecto26/react-native-inappbrowser", "show")</f>
        <v>show</v>
      </c>
      <c r="H4515" t="str">
        <f>HYPERLINK("https://github.com/proyecto26/react-native-inappbrowser/releases", "show")</f>
        <v>show</v>
      </c>
      <c r="I4515">
        <v>1</v>
      </c>
      <c r="J4515">
        <v>1</v>
      </c>
      <c r="K4515">
        <v>0</v>
      </c>
      <c r="L4515">
        <v>0</v>
      </c>
      <c r="M4515" t="s">
        <v>48</v>
      </c>
    </row>
    <row r="4516" spans="1:13" hidden="1" x14ac:dyDescent="0.15">
      <c r="A4516" t="s">
        <v>14301</v>
      </c>
      <c r="B4516" t="s">
        <v>14302</v>
      </c>
      <c r="C4516" t="s">
        <v>14303</v>
      </c>
      <c r="D4516" t="s">
        <v>14297</v>
      </c>
      <c r="E4516">
        <v>7</v>
      </c>
      <c r="F4516" t="str">
        <f>HYPERLINK("https://github.com/material-components/material-components-android/issues/2285", "show")</f>
        <v>show</v>
      </c>
      <c r="G4516" t="str">
        <f>HYPERLINK("https://github.com/material-components/material-components-android", "show")</f>
        <v>show</v>
      </c>
      <c r="H4516" t="str">
        <f>HYPERLINK("https://github.com/material-components/material-components-android/releases", "show")</f>
        <v>show</v>
      </c>
      <c r="I4516">
        <v>1</v>
      </c>
      <c r="J4516">
        <v>0</v>
      </c>
      <c r="K4516">
        <v>0</v>
      </c>
      <c r="L4516">
        <v>0</v>
      </c>
      <c r="M4516" t="s">
        <v>17</v>
      </c>
    </row>
    <row r="4517" spans="1:13" hidden="1" x14ac:dyDescent="0.15">
      <c r="A4517" t="s">
        <v>14304</v>
      </c>
      <c r="B4517" t="s">
        <v>14305</v>
      </c>
      <c r="C4517" t="s">
        <v>14306</v>
      </c>
      <c r="D4517" t="s">
        <v>14297</v>
      </c>
      <c r="E4517">
        <v>0</v>
      </c>
      <c r="F4517" t="str">
        <f>HYPERLINK("https://github.com/Anuken/Mindustry/issues/5543", "show")</f>
        <v>show</v>
      </c>
      <c r="G4517" t="str">
        <f>HYPERLINK("https://github.com/Anuken/Mindustry", "show")</f>
        <v>show</v>
      </c>
      <c r="H4517" t="str">
        <f>HYPERLINK("https://github.com/Anuken/Mindustry/releases", "show")</f>
        <v>show</v>
      </c>
      <c r="I4517">
        <v>1</v>
      </c>
      <c r="J4517">
        <v>0</v>
      </c>
      <c r="K4517">
        <v>0</v>
      </c>
      <c r="L4517">
        <v>0</v>
      </c>
      <c r="M4517" t="s">
        <v>17</v>
      </c>
    </row>
    <row r="4518" spans="1:13" hidden="1" x14ac:dyDescent="0.15">
      <c r="A4518" t="s">
        <v>14307</v>
      </c>
      <c r="B4518" t="s">
        <v>14308</v>
      </c>
      <c r="C4518" t="s">
        <v>14309</v>
      </c>
      <c r="D4518" t="s">
        <v>14310</v>
      </c>
      <c r="E4518">
        <v>0</v>
      </c>
      <c r="F4518" t="str">
        <f>HYPERLINK("https://github.com/mtotschnig/MyExpenses/issues/852", "show")</f>
        <v>show</v>
      </c>
      <c r="G4518" t="str">
        <f>HYPERLINK("https://github.com/mtotschnig/MyExpenses", "show")</f>
        <v>show</v>
      </c>
      <c r="H4518" t="str">
        <f>HYPERLINK("https://github.com/mtotschnig/MyExpenses/releases", "show")</f>
        <v>show</v>
      </c>
      <c r="I4518">
        <v>0</v>
      </c>
      <c r="J4518">
        <v>0</v>
      </c>
      <c r="K4518">
        <v>0</v>
      </c>
      <c r="L4518">
        <v>0</v>
      </c>
      <c r="M4518" t="s">
        <v>43</v>
      </c>
    </row>
    <row r="4519" spans="1:13" hidden="1" x14ac:dyDescent="0.15">
      <c r="A4519" t="s">
        <v>14311</v>
      </c>
      <c r="B4519" t="s">
        <v>14312</v>
      </c>
      <c r="C4519" t="s">
        <v>14313</v>
      </c>
      <c r="D4519" t="s">
        <v>14310</v>
      </c>
      <c r="E4519">
        <v>0</v>
      </c>
      <c r="F4519" t="str">
        <f>HYPERLINK("https://github.com/Anuken/Mindustry/issues/5541", "show")</f>
        <v>show</v>
      </c>
      <c r="G4519" t="str">
        <f>HYPERLINK("https://github.com/Anuken/Mindustry", "show")</f>
        <v>show</v>
      </c>
      <c r="H4519" t="str">
        <f>HYPERLINK("https://github.com/Anuken/Mindustry/releases", "show")</f>
        <v>show</v>
      </c>
      <c r="I4519">
        <v>1</v>
      </c>
      <c r="J4519">
        <v>1</v>
      </c>
      <c r="K4519">
        <v>0</v>
      </c>
      <c r="L4519">
        <v>1</v>
      </c>
      <c r="M4519" t="s">
        <v>1894</v>
      </c>
    </row>
    <row r="4520" spans="1:13" hidden="1" x14ac:dyDescent="0.15">
      <c r="A4520" t="s">
        <v>14314</v>
      </c>
      <c r="B4520" t="s">
        <v>14315</v>
      </c>
      <c r="C4520" t="s">
        <v>14316</v>
      </c>
      <c r="D4520" t="s">
        <v>14310</v>
      </c>
      <c r="E4520">
        <v>2</v>
      </c>
      <c r="F4520" t="str">
        <f>HYPERLINK("https://github.com/PojavLauncherTeam/PojavLauncher/issues/1620", "show")</f>
        <v>show</v>
      </c>
      <c r="G4520" t="str">
        <f>HYPERLINK("https://github.com/PojavLauncherTeam/PojavLauncher", "show")</f>
        <v>show</v>
      </c>
      <c r="H4520" t="str">
        <f>HYPERLINK("https://github.com/PojavLauncherTeam/PojavLauncher/releases", "show")</f>
        <v>show</v>
      </c>
      <c r="I4520">
        <v>0</v>
      </c>
      <c r="J4520">
        <v>0</v>
      </c>
      <c r="K4520">
        <v>0</v>
      </c>
      <c r="L4520">
        <v>0</v>
      </c>
      <c r="M4520" t="s">
        <v>43</v>
      </c>
    </row>
    <row r="4521" spans="1:13" hidden="1" x14ac:dyDescent="0.15">
      <c r="A4521" t="s">
        <v>14317</v>
      </c>
      <c r="B4521" t="s">
        <v>14318</v>
      </c>
      <c r="C4521" t="s">
        <v>14291</v>
      </c>
      <c r="D4521" t="s">
        <v>14310</v>
      </c>
      <c r="E4521">
        <v>59</v>
      </c>
      <c r="F4521" t="str">
        <f>HYPERLINK("https://github.com/PojavLauncherTeam/PojavLauncher/issues/1618", "show")</f>
        <v>show</v>
      </c>
      <c r="G4521" t="str">
        <f>HYPERLINK("https://github.com/PojavLauncherTeam/PojavLauncher", "show")</f>
        <v>show</v>
      </c>
      <c r="H4521" t="str">
        <f>HYPERLINK("https://github.com/PojavLauncherTeam/PojavLauncher/releases", "show")</f>
        <v>show</v>
      </c>
      <c r="I4521">
        <v>1</v>
      </c>
      <c r="J4521">
        <v>1</v>
      </c>
      <c r="K4521">
        <v>0</v>
      </c>
      <c r="L4521">
        <v>0</v>
      </c>
      <c r="M4521" t="s">
        <v>48</v>
      </c>
    </row>
    <row r="4522" spans="1:13" hidden="1" x14ac:dyDescent="0.15">
      <c r="A4522" t="s">
        <v>14319</v>
      </c>
      <c r="B4522" t="s">
        <v>14320</v>
      </c>
      <c r="C4522" t="s">
        <v>14321</v>
      </c>
      <c r="D4522" t="s">
        <v>14310</v>
      </c>
      <c r="E4522">
        <v>0</v>
      </c>
      <c r="F4522" t="str">
        <f>HYPERLINK("https://github.com/MuntashirAkon/AppManager/issues/505", "show")</f>
        <v>show</v>
      </c>
      <c r="G4522" t="str">
        <f>HYPERLINK("https://github.com/MuntashirAkon/AppManager", "show")</f>
        <v>show</v>
      </c>
      <c r="H4522" t="str">
        <f>HYPERLINK("https://github.com/MuntashirAkon/AppManager/releases", "show")</f>
        <v>show</v>
      </c>
      <c r="I4522">
        <v>0</v>
      </c>
      <c r="J4522">
        <v>1</v>
      </c>
      <c r="K4522">
        <v>1</v>
      </c>
      <c r="L4522">
        <v>0</v>
      </c>
      <c r="M4522" t="s">
        <v>699</v>
      </c>
    </row>
    <row r="4523" spans="1:13" hidden="1" x14ac:dyDescent="0.15">
      <c r="A4523" t="s">
        <v>14322</v>
      </c>
      <c r="B4523" t="s">
        <v>14323</v>
      </c>
      <c r="C4523" t="s">
        <v>14324</v>
      </c>
      <c r="D4523" t="s">
        <v>14310</v>
      </c>
      <c r="E4523">
        <v>59</v>
      </c>
      <c r="F4523" t="str">
        <f>HYPERLINK("https://github.com/PojavLauncherTeam/PojavLauncher/issues/1617", "show")</f>
        <v>show</v>
      </c>
      <c r="G4523" t="str">
        <f>HYPERLINK("https://github.com/PojavLauncherTeam/PojavLauncher", "show")</f>
        <v>show</v>
      </c>
      <c r="H4523" t="str">
        <f>HYPERLINK("https://github.com/PojavLauncherTeam/PojavLauncher/releases", "show")</f>
        <v>show</v>
      </c>
      <c r="I4523">
        <v>0</v>
      </c>
      <c r="J4523">
        <v>0</v>
      </c>
      <c r="K4523">
        <v>0</v>
      </c>
      <c r="L4523">
        <v>0</v>
      </c>
      <c r="M4523" t="s">
        <v>43</v>
      </c>
    </row>
    <row r="4524" spans="1:13" hidden="1" x14ac:dyDescent="0.15">
      <c r="A4524" t="s">
        <v>14325</v>
      </c>
      <c r="B4524" t="s">
        <v>14326</v>
      </c>
      <c r="C4524" t="s">
        <v>14327</v>
      </c>
      <c r="D4524" t="s">
        <v>14328</v>
      </c>
      <c r="E4524">
        <v>0</v>
      </c>
      <c r="F4524" t="str">
        <f>HYPERLINK("https://github.com/Anuken/Mindustry/issues/5528", "show")</f>
        <v>show</v>
      </c>
      <c r="G4524" t="str">
        <f>HYPERLINK("https://github.com/Anuken/Mindustry", "show")</f>
        <v>show</v>
      </c>
      <c r="H4524" t="str">
        <f>HYPERLINK("https://github.com/Anuken/Mindustry/releases", "show")</f>
        <v>show</v>
      </c>
      <c r="I4524">
        <v>0</v>
      </c>
      <c r="J4524">
        <v>0</v>
      </c>
      <c r="K4524">
        <v>1</v>
      </c>
      <c r="L4524">
        <v>0</v>
      </c>
      <c r="M4524" t="s">
        <v>122</v>
      </c>
    </row>
    <row r="4525" spans="1:13" hidden="1" x14ac:dyDescent="0.15">
      <c r="A4525" t="s">
        <v>14329</v>
      </c>
      <c r="B4525" t="s">
        <v>14330</v>
      </c>
      <c r="C4525" t="s">
        <v>14331</v>
      </c>
      <c r="D4525" t="s">
        <v>14328</v>
      </c>
      <c r="E4525">
        <v>0</v>
      </c>
      <c r="F4525" t="str">
        <f>HYPERLINK("https://github.com/MuntashirAkon/AppManager/issues/504", "show")</f>
        <v>show</v>
      </c>
      <c r="G4525" t="str">
        <f>HYPERLINK("https://github.com/MuntashirAkon/AppManager", "show")</f>
        <v>show</v>
      </c>
      <c r="H4525" t="str">
        <f>HYPERLINK("https://github.com/MuntashirAkon/AppManager/releases", "show")</f>
        <v>show</v>
      </c>
      <c r="I4525">
        <v>1</v>
      </c>
      <c r="J4525">
        <v>1</v>
      </c>
      <c r="K4525">
        <v>1</v>
      </c>
      <c r="L4525">
        <v>1</v>
      </c>
      <c r="M4525" t="s">
        <v>2875</v>
      </c>
    </row>
    <row r="4526" spans="1:13" hidden="1" x14ac:dyDescent="0.15">
      <c r="A4526" t="s">
        <v>14332</v>
      </c>
      <c r="B4526" t="s">
        <v>14333</v>
      </c>
      <c r="C4526" t="s">
        <v>14334</v>
      </c>
      <c r="D4526" t="s">
        <v>14335</v>
      </c>
      <c r="E4526">
        <v>0</v>
      </c>
      <c r="F4526" t="str">
        <f>HYPERLINK("https://github.com/amplitude/Amplitude-Android/issues/286", "show")</f>
        <v>show</v>
      </c>
      <c r="G4526" t="str">
        <f>HYPERLINK("https://github.com/amplitude/Amplitude-Android", "show")</f>
        <v>show</v>
      </c>
      <c r="H4526" t="str">
        <f>HYPERLINK("https://github.com/amplitude/Amplitude-Android/releases", "show")</f>
        <v>show</v>
      </c>
      <c r="I4526">
        <v>0</v>
      </c>
      <c r="J4526">
        <v>0</v>
      </c>
      <c r="K4526">
        <v>1</v>
      </c>
      <c r="L4526">
        <v>0</v>
      </c>
      <c r="M4526" t="s">
        <v>122</v>
      </c>
    </row>
    <row r="4527" spans="1:13" hidden="1" x14ac:dyDescent="0.15">
      <c r="A4527" t="s">
        <v>14336</v>
      </c>
      <c r="B4527" t="s">
        <v>14337</v>
      </c>
      <c r="C4527" t="s">
        <v>14338</v>
      </c>
      <c r="D4527" t="s">
        <v>14335</v>
      </c>
      <c r="E4527">
        <v>0</v>
      </c>
      <c r="F4527" t="str">
        <f>HYPERLINK("https://github.com/Anuken/Mindustry/issues/5524", "show")</f>
        <v>show</v>
      </c>
      <c r="G4527" t="str">
        <f>HYPERLINK("https://github.com/Anuken/Mindustry", "show")</f>
        <v>show</v>
      </c>
      <c r="H4527" t="str">
        <f>HYPERLINK("https://github.com/Anuken/Mindustry/releases", "show")</f>
        <v>show</v>
      </c>
      <c r="I4527">
        <v>0</v>
      </c>
      <c r="J4527">
        <v>0</v>
      </c>
      <c r="K4527">
        <v>0</v>
      </c>
      <c r="L4527">
        <v>0</v>
      </c>
      <c r="M4527" t="s">
        <v>43</v>
      </c>
    </row>
    <row r="4528" spans="1:13" hidden="1" x14ac:dyDescent="0.15">
      <c r="A4528" t="s">
        <v>14339</v>
      </c>
      <c r="B4528" t="s">
        <v>14340</v>
      </c>
      <c r="C4528" t="s">
        <v>14341</v>
      </c>
      <c r="D4528" t="s">
        <v>14342</v>
      </c>
      <c r="E4528">
        <v>0</v>
      </c>
      <c r="F4528" t="str">
        <f>HYPERLINK("https://github.com/Anuken/Mindustry/issues/5521", "show")</f>
        <v>show</v>
      </c>
      <c r="G4528" t="str">
        <f>HYPERLINK("https://github.com/Anuken/Mindustry", "show")</f>
        <v>show</v>
      </c>
      <c r="H4528" t="str">
        <f>HYPERLINK("https://github.com/Anuken/Mindustry/releases", "show")</f>
        <v>show</v>
      </c>
      <c r="I4528">
        <v>0</v>
      </c>
      <c r="J4528">
        <v>0</v>
      </c>
      <c r="K4528">
        <v>0</v>
      </c>
      <c r="L4528">
        <v>0</v>
      </c>
      <c r="M4528" t="s">
        <v>43</v>
      </c>
    </row>
    <row r="4529" spans="1:13" hidden="1" x14ac:dyDescent="0.15">
      <c r="A4529" t="s">
        <v>14343</v>
      </c>
      <c r="B4529" t="s">
        <v>14344</v>
      </c>
      <c r="C4529" t="s">
        <v>14345</v>
      </c>
      <c r="D4529" t="s">
        <v>14342</v>
      </c>
      <c r="E4529">
        <v>0</v>
      </c>
      <c r="F4529" t="str">
        <f>HYPERLINK("https://github.com/nextcloud/android/issues/8648", "show")</f>
        <v>show</v>
      </c>
      <c r="G4529" t="str">
        <f>HYPERLINK("https://github.com/nextcloud/android", "show")</f>
        <v>show</v>
      </c>
      <c r="H4529" t="str">
        <f>HYPERLINK("https://github.com/nextcloud/android/releases", "show")</f>
        <v>show</v>
      </c>
      <c r="I4529">
        <v>0</v>
      </c>
      <c r="J4529">
        <v>0</v>
      </c>
      <c r="K4529">
        <v>1</v>
      </c>
      <c r="L4529">
        <v>0</v>
      </c>
      <c r="M4529" t="s">
        <v>122</v>
      </c>
    </row>
    <row r="4530" spans="1:13" hidden="1" x14ac:dyDescent="0.15">
      <c r="A4530" t="s">
        <v>14346</v>
      </c>
      <c r="B4530" t="s">
        <v>14347</v>
      </c>
      <c r="C4530" t="s">
        <v>14348</v>
      </c>
      <c r="D4530" t="s">
        <v>14342</v>
      </c>
      <c r="E4530">
        <v>0</v>
      </c>
      <c r="F4530" t="str">
        <f>HYPERLINK("https://github.com/microg/GmsCore/issues/1506", "show")</f>
        <v>show</v>
      </c>
      <c r="G4530" t="str">
        <f>HYPERLINK("https://github.com/microg/GmsCore", "show")</f>
        <v>show</v>
      </c>
      <c r="H4530" t="str">
        <f>HYPERLINK("https://github.com/microg/GmsCore/releases", "show")</f>
        <v>show</v>
      </c>
      <c r="I4530">
        <v>1</v>
      </c>
      <c r="J4530">
        <v>0</v>
      </c>
      <c r="K4530">
        <v>0</v>
      </c>
      <c r="L4530">
        <v>0</v>
      </c>
      <c r="M4530" t="s">
        <v>17</v>
      </c>
    </row>
    <row r="4531" spans="1:13" hidden="1" x14ac:dyDescent="0.15">
      <c r="A4531" t="s">
        <v>14349</v>
      </c>
      <c r="B4531" t="s">
        <v>14350</v>
      </c>
      <c r="C4531" t="s">
        <v>14351</v>
      </c>
      <c r="D4531" t="s">
        <v>14342</v>
      </c>
      <c r="E4531">
        <v>0</v>
      </c>
      <c r="F4531" t="str">
        <f>HYPERLINK("https://github.com/Anuken/Mindustry/issues/5519", "show")</f>
        <v>show</v>
      </c>
      <c r="G4531" t="str">
        <f>HYPERLINK("https://github.com/Anuken/Mindustry", "show")</f>
        <v>show</v>
      </c>
      <c r="H4531" t="str">
        <f>HYPERLINK("https://github.com/Anuken/Mindustry/releases", "show")</f>
        <v>show</v>
      </c>
      <c r="I4531">
        <v>1</v>
      </c>
      <c r="J4531">
        <v>1</v>
      </c>
      <c r="K4531">
        <v>0</v>
      </c>
      <c r="L4531">
        <v>1</v>
      </c>
      <c r="M4531" t="s">
        <v>1894</v>
      </c>
    </row>
    <row r="4532" spans="1:13" hidden="1" x14ac:dyDescent="0.15">
      <c r="A4532" t="s">
        <v>14352</v>
      </c>
      <c r="B4532" t="s">
        <v>14353</v>
      </c>
      <c r="C4532" t="s">
        <v>14354</v>
      </c>
      <c r="D4532" t="s">
        <v>14342</v>
      </c>
      <c r="E4532">
        <v>1</v>
      </c>
      <c r="F4532" t="str">
        <f>HYPERLINK("https://github.com/trackerforce/splitmate-android-app/issues/40", "show")</f>
        <v>show</v>
      </c>
      <c r="G4532" t="str">
        <f>HYPERLINK("https://github.com/trackerforce/splitmate-android-app", "show")</f>
        <v>show</v>
      </c>
      <c r="H4532" t="str">
        <f>HYPERLINK("https://github.com/trackerforce/splitmate-android-app/releases", "show")</f>
        <v>show</v>
      </c>
      <c r="I4532">
        <v>1</v>
      </c>
      <c r="J4532">
        <v>0</v>
      </c>
      <c r="K4532">
        <v>0</v>
      </c>
      <c r="L4532">
        <v>0</v>
      </c>
      <c r="M4532" t="s">
        <v>17</v>
      </c>
    </row>
    <row r="4533" spans="1:13" hidden="1" x14ac:dyDescent="0.15">
      <c r="A4533" t="s">
        <v>14355</v>
      </c>
      <c r="B4533" t="s">
        <v>14356</v>
      </c>
      <c r="C4533" t="s">
        <v>14357</v>
      </c>
      <c r="D4533" t="s">
        <v>14358</v>
      </c>
      <c r="E4533">
        <v>0</v>
      </c>
      <c r="F4533" t="str">
        <f>HYPERLINK("https://github.com/nextcloud/android/issues/8645", "show")</f>
        <v>show</v>
      </c>
      <c r="G4533" t="str">
        <f>HYPERLINK("https://github.com/nextcloud/android", "show")</f>
        <v>show</v>
      </c>
      <c r="H4533" t="str">
        <f>HYPERLINK("https://github.com/nextcloud/android/releases", "show")</f>
        <v>show</v>
      </c>
      <c r="I4533">
        <v>1</v>
      </c>
      <c r="J4533">
        <v>1</v>
      </c>
      <c r="K4533">
        <v>1</v>
      </c>
      <c r="L4533">
        <v>0</v>
      </c>
      <c r="M4533" t="s">
        <v>59</v>
      </c>
    </row>
    <row r="4534" spans="1:13" hidden="1" x14ac:dyDescent="0.15">
      <c r="A4534" t="s">
        <v>14359</v>
      </c>
      <c r="B4534" t="s">
        <v>14360</v>
      </c>
      <c r="C4534" t="s">
        <v>14361</v>
      </c>
      <c r="D4534" t="s">
        <v>14358</v>
      </c>
      <c r="E4534">
        <v>106</v>
      </c>
      <c r="F4534" t="str">
        <f>HYPERLINK("https://github.com/jellyfin/jellyfin-androidtv/issues/989", "show")</f>
        <v>show</v>
      </c>
      <c r="G4534" t="str">
        <f>HYPERLINK("https://github.com/jellyfin/jellyfin-androidtv", "show")</f>
        <v>show</v>
      </c>
      <c r="H4534" t="str">
        <f>HYPERLINK("https://github.com/jellyfin/jellyfin-androidtv/releases", "show")</f>
        <v>show</v>
      </c>
      <c r="I4534">
        <v>1</v>
      </c>
      <c r="J4534">
        <v>0</v>
      </c>
      <c r="K4534">
        <v>0</v>
      </c>
      <c r="L4534">
        <v>0</v>
      </c>
      <c r="M4534" t="s">
        <v>17</v>
      </c>
    </row>
    <row r="4535" spans="1:13" hidden="1" x14ac:dyDescent="0.15">
      <c r="A4535" t="s">
        <v>14362</v>
      </c>
      <c r="B4535" t="s">
        <v>14363</v>
      </c>
      <c r="C4535" t="s">
        <v>14364</v>
      </c>
      <c r="D4535" t="s">
        <v>14358</v>
      </c>
      <c r="E4535">
        <v>29</v>
      </c>
      <c r="F4535" t="str">
        <f>HYPERLINK("https://github.com/k9mail/k-9/issues/5374", "show")</f>
        <v>show</v>
      </c>
      <c r="G4535" t="str">
        <f>HYPERLINK("https://github.com/k9mail/k-9", "show")</f>
        <v>show</v>
      </c>
      <c r="H4535" t="str">
        <f>HYPERLINK("https://github.com/k9mail/k-9/releases", "show")</f>
        <v>show</v>
      </c>
      <c r="I4535">
        <v>1</v>
      </c>
      <c r="J4535">
        <v>1</v>
      </c>
      <c r="K4535">
        <v>1</v>
      </c>
      <c r="L4535">
        <v>0</v>
      </c>
      <c r="M4535" t="s">
        <v>59</v>
      </c>
    </row>
    <row r="4536" spans="1:13" hidden="1" x14ac:dyDescent="0.15">
      <c r="A4536" t="s">
        <v>14365</v>
      </c>
      <c r="B4536" t="s">
        <v>14366</v>
      </c>
      <c r="C4536" t="s">
        <v>14367</v>
      </c>
      <c r="D4536" t="s">
        <v>14358</v>
      </c>
      <c r="E4536">
        <v>0</v>
      </c>
      <c r="F4536" t="str">
        <f>HYPERLINK("https://github.com/k9mail/k-9/issues/5373", "show")</f>
        <v>show</v>
      </c>
      <c r="G4536" t="str">
        <f>HYPERLINK("https://github.com/k9mail/k-9", "show")</f>
        <v>show</v>
      </c>
      <c r="H4536" t="str">
        <f>HYPERLINK("https://github.com/k9mail/k-9/releases", "show")</f>
        <v>show</v>
      </c>
      <c r="I4536">
        <v>0</v>
      </c>
      <c r="J4536">
        <v>0</v>
      </c>
      <c r="K4536">
        <v>1</v>
      </c>
      <c r="L4536">
        <v>0</v>
      </c>
      <c r="M4536" t="s">
        <v>122</v>
      </c>
    </row>
    <row r="4537" spans="1:13" hidden="1" x14ac:dyDescent="0.15">
      <c r="A4537" t="s">
        <v>14368</v>
      </c>
      <c r="B4537" t="s">
        <v>14369</v>
      </c>
      <c r="C4537" t="s">
        <v>14370</v>
      </c>
      <c r="D4537" t="s">
        <v>14358</v>
      </c>
      <c r="E4537">
        <v>16</v>
      </c>
      <c r="F4537" t="str">
        <f>HYPERLINK("https://github.com/hariimurti/NontonTV/issues/5", "show")</f>
        <v>show</v>
      </c>
      <c r="G4537" t="str">
        <f>HYPERLINK("https://github.com/hariimurti/NontonTV", "show")</f>
        <v>show</v>
      </c>
      <c r="H4537" t="str">
        <f>HYPERLINK("https://github.com/hariimurti/NontonTV/releases", "show")</f>
        <v>show</v>
      </c>
      <c r="I4537">
        <v>1</v>
      </c>
      <c r="J4537">
        <v>0</v>
      </c>
      <c r="K4537">
        <v>0</v>
      </c>
      <c r="L4537">
        <v>0</v>
      </c>
      <c r="M4537" t="s">
        <v>17</v>
      </c>
    </row>
    <row r="4538" spans="1:13" hidden="1" x14ac:dyDescent="0.15">
      <c r="A4538" t="s">
        <v>14371</v>
      </c>
      <c r="B4538" t="s">
        <v>14372</v>
      </c>
      <c r="C4538" t="s">
        <v>14373</v>
      </c>
      <c r="D4538" t="s">
        <v>14358</v>
      </c>
      <c r="E4538">
        <v>47</v>
      </c>
      <c r="F4538" t="str">
        <f>HYPERLINK("https://github.com/opensrp/opensrp-client-reveal/issues/1464", "show")</f>
        <v>show</v>
      </c>
      <c r="G4538" t="str">
        <f>HYPERLINK("https://github.com/opensrp/opensrp-client-reveal", "show")</f>
        <v>show</v>
      </c>
      <c r="H4538" t="str">
        <f>HYPERLINK("https://github.com/opensrp/opensrp-client-reveal/releases", "show")</f>
        <v>show</v>
      </c>
      <c r="I4538">
        <v>1</v>
      </c>
      <c r="J4538">
        <v>0</v>
      </c>
      <c r="K4538">
        <v>0</v>
      </c>
      <c r="L4538">
        <v>0</v>
      </c>
      <c r="M4538" t="s">
        <v>17</v>
      </c>
    </row>
    <row r="4539" spans="1:13" hidden="1" x14ac:dyDescent="0.15">
      <c r="A4539" t="s">
        <v>14374</v>
      </c>
      <c r="B4539" t="s">
        <v>14375</v>
      </c>
      <c r="C4539" t="s">
        <v>14376</v>
      </c>
      <c r="D4539" t="s">
        <v>14358</v>
      </c>
      <c r="E4539">
        <v>0</v>
      </c>
      <c r="F4539" t="str">
        <f>HYPERLINK("https://github.com/bttv-android/bttv/issues/166", "show")</f>
        <v>show</v>
      </c>
      <c r="G4539" t="str">
        <f>HYPERLINK("https://github.com/bttv-android/bttv", "show")</f>
        <v>show</v>
      </c>
      <c r="H4539" t="str">
        <f>HYPERLINK("https://github.com/bttv-android/bttv/releases", "show")</f>
        <v>show</v>
      </c>
      <c r="I4539">
        <v>1</v>
      </c>
      <c r="J4539">
        <v>0</v>
      </c>
      <c r="K4539">
        <v>0</v>
      </c>
      <c r="L4539">
        <v>0</v>
      </c>
      <c r="M4539" t="s">
        <v>17</v>
      </c>
    </row>
    <row r="4540" spans="1:13" x14ac:dyDescent="0.15">
      <c r="A4540" t="s">
        <v>14377</v>
      </c>
      <c r="B4540" t="s">
        <v>14378</v>
      </c>
      <c r="C4540" t="s">
        <v>14379</v>
      </c>
      <c r="D4540" t="s">
        <v>14380</v>
      </c>
      <c r="E4540">
        <v>0</v>
      </c>
      <c r="F4540" t="str">
        <f>HYPERLINK("https://github.com/Anuken/Mindustry/issues/5511", "show")</f>
        <v>show</v>
      </c>
      <c r="G4540" t="str">
        <f>HYPERLINK("https://github.com/Anuken/Mindustry", "show")</f>
        <v>show</v>
      </c>
      <c r="H4540" t="str">
        <f>HYPERLINK("https://github.com/Anuken/Mindustry/releases", "show")</f>
        <v>show</v>
      </c>
      <c r="I4540">
        <v>0</v>
      </c>
      <c r="J4540">
        <v>1</v>
      </c>
      <c r="K4540">
        <v>0</v>
      </c>
      <c r="L4540">
        <v>0</v>
      </c>
      <c r="M4540" t="s">
        <v>139</v>
      </c>
    </row>
    <row r="4541" spans="1:13" hidden="1" x14ac:dyDescent="0.15">
      <c r="A4541" t="s">
        <v>14381</v>
      </c>
      <c r="B4541" t="s">
        <v>14382</v>
      </c>
      <c r="C4541" t="s">
        <v>14383</v>
      </c>
      <c r="D4541" t="s">
        <v>14380</v>
      </c>
      <c r="E4541">
        <v>2</v>
      </c>
      <c r="F4541" t="str">
        <f>HYPERLINK("https://github.com/ankidroid/Anki-Android/issues/9164", "show")</f>
        <v>show</v>
      </c>
      <c r="G4541" t="str">
        <f>HYPERLINK("https://github.com/ankidroid/Anki-Android", "show")</f>
        <v>show</v>
      </c>
      <c r="H4541" t="str">
        <f>HYPERLINK("https://github.com/ankidroid/Anki-Android/releases", "show")</f>
        <v>show</v>
      </c>
      <c r="I4541">
        <v>1</v>
      </c>
      <c r="J4541">
        <v>1</v>
      </c>
      <c r="K4541">
        <v>0</v>
      </c>
      <c r="L4541">
        <v>0</v>
      </c>
      <c r="M4541" t="s">
        <v>48</v>
      </c>
    </row>
    <row r="4542" spans="1:13" hidden="1" x14ac:dyDescent="0.15">
      <c r="A4542" t="s">
        <v>14384</v>
      </c>
      <c r="B4542" t="s">
        <v>14385</v>
      </c>
      <c r="C4542" t="s">
        <v>14386</v>
      </c>
      <c r="D4542" t="s">
        <v>14380</v>
      </c>
      <c r="E4542">
        <v>0</v>
      </c>
      <c r="F4542" t="str">
        <f>HYPERLINK("https://github.com/Anuken/Mindustry/issues/5510", "show")</f>
        <v>show</v>
      </c>
      <c r="G4542" t="str">
        <f>HYPERLINK("https://github.com/Anuken/Mindustry", "show")</f>
        <v>show</v>
      </c>
      <c r="H4542" t="str">
        <f>HYPERLINK("https://github.com/Anuken/Mindustry/releases", "show")</f>
        <v>show</v>
      </c>
      <c r="I4542">
        <v>1</v>
      </c>
      <c r="J4542">
        <v>1</v>
      </c>
      <c r="K4542">
        <v>0</v>
      </c>
      <c r="L4542">
        <v>0</v>
      </c>
      <c r="M4542" t="s">
        <v>48</v>
      </c>
    </row>
    <row r="4543" spans="1:13" hidden="1" x14ac:dyDescent="0.15">
      <c r="A4543" t="s">
        <v>14387</v>
      </c>
      <c r="B4543" t="s">
        <v>14388</v>
      </c>
      <c r="C4543" t="s">
        <v>14389</v>
      </c>
      <c r="D4543" t="s">
        <v>14380</v>
      </c>
      <c r="E4543">
        <v>0</v>
      </c>
      <c r="F4543" t="str">
        <f>HYPERLINK("https://github.com/Anuken/Mindustry/issues/5508", "show")</f>
        <v>show</v>
      </c>
      <c r="G4543" t="str">
        <f>HYPERLINK("https://github.com/Anuken/Mindustry", "show")</f>
        <v>show</v>
      </c>
      <c r="H4543" t="str">
        <f>HYPERLINK("https://github.com/Anuken/Mindustry/releases", "show")</f>
        <v>show</v>
      </c>
      <c r="I4543">
        <v>1</v>
      </c>
      <c r="J4543">
        <v>1</v>
      </c>
      <c r="K4543">
        <v>0</v>
      </c>
      <c r="L4543">
        <v>0</v>
      </c>
      <c r="M4543" t="s">
        <v>48</v>
      </c>
    </row>
    <row r="4544" spans="1:13" hidden="1" x14ac:dyDescent="0.15">
      <c r="A4544" t="s">
        <v>14390</v>
      </c>
      <c r="B4544" t="s">
        <v>14391</v>
      </c>
      <c r="C4544" t="s">
        <v>14392</v>
      </c>
      <c r="D4544" t="s">
        <v>14380</v>
      </c>
      <c r="E4544">
        <v>0</v>
      </c>
      <c r="F4544" t="str">
        <f>HYPERLINK("https://github.com/Anuken/Mindustry/issues/5507", "show")</f>
        <v>show</v>
      </c>
      <c r="G4544" t="str">
        <f>HYPERLINK("https://github.com/Anuken/Mindustry", "show")</f>
        <v>show</v>
      </c>
      <c r="H4544" t="str">
        <f>HYPERLINK("https://github.com/Anuken/Mindustry/releases", "show")</f>
        <v>show</v>
      </c>
      <c r="I4544">
        <v>1</v>
      </c>
      <c r="J4544">
        <v>1</v>
      </c>
      <c r="K4544">
        <v>0</v>
      </c>
      <c r="L4544">
        <v>0</v>
      </c>
      <c r="M4544" t="s">
        <v>48</v>
      </c>
    </row>
    <row r="4545" spans="1:13" hidden="1" x14ac:dyDescent="0.15">
      <c r="A4545" t="s">
        <v>14393</v>
      </c>
      <c r="B4545" t="s">
        <v>14394</v>
      </c>
      <c r="C4545" t="s">
        <v>14395</v>
      </c>
      <c r="D4545" t="s">
        <v>14380</v>
      </c>
      <c r="E4545">
        <v>14</v>
      </c>
      <c r="F4545" t="str">
        <f>HYPERLINK("https://github.com/defold/extension-gpgs/issues/37", "show")</f>
        <v>show</v>
      </c>
      <c r="G4545" t="str">
        <f>HYPERLINK("https://github.com/defold/extension-gpgs", "show")</f>
        <v>show</v>
      </c>
      <c r="H4545" t="str">
        <f>HYPERLINK("https://github.com/defold/extension-gpgs/releases", "show")</f>
        <v>show</v>
      </c>
      <c r="I4545">
        <v>0</v>
      </c>
      <c r="J4545">
        <v>0</v>
      </c>
      <c r="K4545">
        <v>0</v>
      </c>
      <c r="L4545">
        <v>0</v>
      </c>
      <c r="M4545" t="s">
        <v>43</v>
      </c>
    </row>
    <row r="4546" spans="1:13" hidden="1" x14ac:dyDescent="0.15">
      <c r="A4546" t="s">
        <v>14396</v>
      </c>
      <c r="B4546" t="s">
        <v>14397</v>
      </c>
      <c r="C4546" t="s">
        <v>14398</v>
      </c>
      <c r="D4546" t="s">
        <v>14380</v>
      </c>
      <c r="E4546">
        <v>15</v>
      </c>
      <c r="F4546" t="str">
        <f>HYPERLINK("https://github.com/ankidroid/Anki-Android/issues/9161", "show")</f>
        <v>show</v>
      </c>
      <c r="G4546" t="str">
        <f>HYPERLINK("https://github.com/ankidroid/Anki-Android", "show")</f>
        <v>show</v>
      </c>
      <c r="H4546" t="str">
        <f>HYPERLINK("https://github.com/ankidroid/Anki-Android/releases", "show")</f>
        <v>show</v>
      </c>
      <c r="I4546">
        <v>0</v>
      </c>
      <c r="J4546">
        <v>0</v>
      </c>
      <c r="K4546">
        <v>1</v>
      </c>
      <c r="L4546">
        <v>0</v>
      </c>
      <c r="M4546" t="s">
        <v>122</v>
      </c>
    </row>
    <row r="4547" spans="1:13" hidden="1" x14ac:dyDescent="0.15">
      <c r="A4547" t="s">
        <v>14399</v>
      </c>
      <c r="B4547" t="s">
        <v>14400</v>
      </c>
      <c r="C4547" t="s">
        <v>14401</v>
      </c>
      <c r="D4547" t="s">
        <v>14380</v>
      </c>
      <c r="E4547">
        <v>1</v>
      </c>
      <c r="F4547" t="str">
        <f>HYPERLINK("https://github.com/nataly-milman/os-planner/issues/31", "show")</f>
        <v>show</v>
      </c>
      <c r="G4547" t="str">
        <f>HYPERLINK("https://github.com/nataly-milman/os-planner", "show")</f>
        <v>show</v>
      </c>
      <c r="H4547" t="str">
        <f>HYPERLINK("https://github.com/nataly-milman/os-planner/releases", "show")</f>
        <v>show</v>
      </c>
      <c r="I4547">
        <v>0</v>
      </c>
      <c r="J4547">
        <v>0</v>
      </c>
      <c r="K4547">
        <v>1</v>
      </c>
      <c r="L4547">
        <v>0</v>
      </c>
      <c r="M4547" t="s">
        <v>122</v>
      </c>
    </row>
    <row r="4548" spans="1:13" hidden="1" x14ac:dyDescent="0.15">
      <c r="A4548" t="s">
        <v>14402</v>
      </c>
      <c r="B4548" t="s">
        <v>14403</v>
      </c>
      <c r="C4548" t="s">
        <v>14404</v>
      </c>
      <c r="D4548" t="s">
        <v>14380</v>
      </c>
      <c r="E4548">
        <v>0</v>
      </c>
      <c r="F4548" t="str">
        <f>HYPERLINK("https://github.com/Anuken/Mindustry/issues/5506", "show")</f>
        <v>show</v>
      </c>
      <c r="G4548" t="str">
        <f>HYPERLINK("https://github.com/Anuken/Mindustry", "show")</f>
        <v>show</v>
      </c>
      <c r="H4548" t="str">
        <f>HYPERLINK("https://github.com/Anuken/Mindustry/releases", "show")</f>
        <v>show</v>
      </c>
      <c r="I4548">
        <v>1</v>
      </c>
      <c r="J4548">
        <v>1</v>
      </c>
      <c r="K4548">
        <v>0</v>
      </c>
      <c r="L4548">
        <v>1</v>
      </c>
      <c r="M4548" t="s">
        <v>1894</v>
      </c>
    </row>
    <row r="4549" spans="1:13" hidden="1" x14ac:dyDescent="0.15">
      <c r="A4549" t="s">
        <v>14405</v>
      </c>
      <c r="B4549" t="s">
        <v>14406</v>
      </c>
      <c r="C4549" t="s">
        <v>14407</v>
      </c>
      <c r="D4549" t="s">
        <v>14408</v>
      </c>
      <c r="E4549">
        <v>0</v>
      </c>
      <c r="F4549" t="str">
        <f>HYPERLINK("https://github.com/Anuken/Mindustry/issues/5500", "show")</f>
        <v>show</v>
      </c>
      <c r="G4549" t="str">
        <f>HYPERLINK("https://github.com/Anuken/Mindustry", "show")</f>
        <v>show</v>
      </c>
      <c r="H4549" t="str">
        <f>HYPERLINK("https://github.com/Anuken/Mindustry/releases", "show")</f>
        <v>show</v>
      </c>
      <c r="I4549">
        <v>0</v>
      </c>
      <c r="J4549">
        <v>0</v>
      </c>
      <c r="K4549">
        <v>0</v>
      </c>
      <c r="L4549">
        <v>1</v>
      </c>
      <c r="M4549" t="s">
        <v>581</v>
      </c>
    </row>
    <row r="4550" spans="1:13" hidden="1" x14ac:dyDescent="0.15">
      <c r="A4550" t="s">
        <v>14409</v>
      </c>
      <c r="B4550" t="s">
        <v>14410</v>
      </c>
      <c r="C4550" t="s">
        <v>14411</v>
      </c>
      <c r="D4550" t="s">
        <v>14408</v>
      </c>
      <c r="E4550">
        <v>0</v>
      </c>
      <c r="F4550" t="str">
        <f>HYPERLINK("https://github.com/Anuken/Mindustry/issues/5498", "show")</f>
        <v>show</v>
      </c>
      <c r="G4550" t="str">
        <f>HYPERLINK("https://github.com/Anuken/Mindustry", "show")</f>
        <v>show</v>
      </c>
      <c r="H4550" t="str">
        <f>HYPERLINK("https://github.com/Anuken/Mindustry/releases", "show")</f>
        <v>show</v>
      </c>
      <c r="I4550">
        <v>0</v>
      </c>
      <c r="J4550">
        <v>0</v>
      </c>
      <c r="K4550">
        <v>0</v>
      </c>
      <c r="L4550">
        <v>1</v>
      </c>
      <c r="M4550" t="s">
        <v>581</v>
      </c>
    </row>
    <row r="4551" spans="1:13" hidden="1" x14ac:dyDescent="0.15">
      <c r="A4551" t="s">
        <v>14412</v>
      </c>
      <c r="B4551" t="s">
        <v>14413</v>
      </c>
      <c r="C4551" t="s">
        <v>14414</v>
      </c>
      <c r="D4551" t="s">
        <v>14408</v>
      </c>
      <c r="E4551">
        <v>61</v>
      </c>
      <c r="F4551" t="str">
        <f>HYPERLINK("https://github.com/nextcloud/android/issues/8633", "show")</f>
        <v>show</v>
      </c>
      <c r="G4551" t="str">
        <f>HYPERLINK("https://github.com/nextcloud/android", "show")</f>
        <v>show</v>
      </c>
      <c r="H4551" t="str">
        <f>HYPERLINK("https://github.com/nextcloud/android/releases", "show")</f>
        <v>show</v>
      </c>
      <c r="I4551">
        <v>0</v>
      </c>
      <c r="J4551">
        <v>1</v>
      </c>
      <c r="K4551">
        <v>1</v>
      </c>
      <c r="L4551">
        <v>0</v>
      </c>
      <c r="M4551" t="s">
        <v>699</v>
      </c>
    </row>
    <row r="4552" spans="1:13" hidden="1" x14ac:dyDescent="0.15">
      <c r="A4552" t="s">
        <v>14415</v>
      </c>
      <c r="B4552" t="s">
        <v>14416</v>
      </c>
      <c r="D4552" t="s">
        <v>14408</v>
      </c>
      <c r="E4552">
        <v>4</v>
      </c>
      <c r="F4552" t="str">
        <f>HYPERLINK("https://github.com/PojavLauncherTeam/PojavLauncher/issues/1599", "show")</f>
        <v>show</v>
      </c>
      <c r="G4552" t="str">
        <f>HYPERLINK("https://github.com/PojavLauncherTeam/PojavLauncher", "show")</f>
        <v>show</v>
      </c>
      <c r="H4552" t="str">
        <f>HYPERLINK("https://github.com/PojavLauncherTeam/PojavLauncher/releases", "show")</f>
        <v>show</v>
      </c>
      <c r="I4552">
        <v>0</v>
      </c>
      <c r="J4552">
        <v>0</v>
      </c>
      <c r="K4552">
        <v>0</v>
      </c>
      <c r="L4552">
        <v>0</v>
      </c>
      <c r="M4552" t="s">
        <v>43</v>
      </c>
    </row>
    <row r="4553" spans="1:13" hidden="1" x14ac:dyDescent="0.15">
      <c r="A4553" t="s">
        <v>14417</v>
      </c>
      <c r="B4553" t="s">
        <v>14418</v>
      </c>
      <c r="C4553" t="s">
        <v>14419</v>
      </c>
      <c r="D4553" t="s">
        <v>14408</v>
      </c>
      <c r="E4553">
        <v>16</v>
      </c>
      <c r="F4553" t="str">
        <f>HYPERLINK("https://github.com/google/ExoPlayer/issues/9124", "show")</f>
        <v>show</v>
      </c>
      <c r="G4553" t="str">
        <f>HYPERLINK("https://github.com/google/ExoPlayer", "show")</f>
        <v>show</v>
      </c>
      <c r="H4553" t="str">
        <f>HYPERLINK("https://github.com/google/ExoPlayer/releases", "show")</f>
        <v>show</v>
      </c>
      <c r="I4553">
        <v>1</v>
      </c>
      <c r="J4553">
        <v>0</v>
      </c>
      <c r="K4553">
        <v>1</v>
      </c>
      <c r="L4553">
        <v>0</v>
      </c>
      <c r="M4553" t="s">
        <v>64</v>
      </c>
    </row>
    <row r="4554" spans="1:13" hidden="1" x14ac:dyDescent="0.15">
      <c r="A4554" t="s">
        <v>14420</v>
      </c>
      <c r="B4554" t="s">
        <v>14421</v>
      </c>
      <c r="C4554" t="s">
        <v>14422</v>
      </c>
      <c r="D4554" t="s">
        <v>14408</v>
      </c>
      <c r="E4554">
        <v>0</v>
      </c>
      <c r="F4554" t="str">
        <f>HYPERLINK("https://github.com/TeamNewPipe/NewPipe/issues/6584", "show")</f>
        <v>show</v>
      </c>
      <c r="G4554" t="str">
        <f>HYPERLINK("https://github.com/TeamNewPipe/NewPipe", "show")</f>
        <v>show</v>
      </c>
      <c r="H4554" t="str">
        <f>HYPERLINK("https://github.com/TeamNewPipe/NewPipe/releases", "show")</f>
        <v>show</v>
      </c>
      <c r="I4554">
        <v>1</v>
      </c>
      <c r="J4554">
        <v>1</v>
      </c>
      <c r="K4554">
        <v>1</v>
      </c>
      <c r="L4554">
        <v>0</v>
      </c>
      <c r="M4554" t="s">
        <v>59</v>
      </c>
    </row>
    <row r="4555" spans="1:13" hidden="1" x14ac:dyDescent="0.15">
      <c r="A4555" t="s">
        <v>14423</v>
      </c>
      <c r="B4555" t="s">
        <v>14424</v>
      </c>
      <c r="C4555" t="s">
        <v>14425</v>
      </c>
      <c r="D4555" t="s">
        <v>14426</v>
      </c>
      <c r="E4555">
        <v>2</v>
      </c>
      <c r="F4555" t="str">
        <f>HYPERLINK("https://github.com/TeamNewPipe/NewPipe/issues/6582", "show")</f>
        <v>show</v>
      </c>
      <c r="G4555" t="str">
        <f>HYPERLINK("https://github.com/TeamNewPipe/NewPipe", "show")</f>
        <v>show</v>
      </c>
      <c r="H4555" t="str">
        <f>HYPERLINK("https://github.com/TeamNewPipe/NewPipe/releases", "show")</f>
        <v>show</v>
      </c>
      <c r="I4555">
        <v>1</v>
      </c>
      <c r="J4555">
        <v>1</v>
      </c>
      <c r="K4555">
        <v>1</v>
      </c>
      <c r="L4555">
        <v>0</v>
      </c>
      <c r="M4555" t="s">
        <v>59</v>
      </c>
    </row>
    <row r="4556" spans="1:13" hidden="1" x14ac:dyDescent="0.15">
      <c r="A4556" t="s">
        <v>14427</v>
      </c>
      <c r="B4556" t="s">
        <v>14428</v>
      </c>
      <c r="C4556" t="s">
        <v>14429</v>
      </c>
      <c r="D4556" t="s">
        <v>14426</v>
      </c>
      <c r="E4556">
        <v>0</v>
      </c>
      <c r="F4556" t="str">
        <f>HYPERLINK("https://github.com/AEFeinstein/mtg-familiar/issues/549", "show")</f>
        <v>show</v>
      </c>
      <c r="G4556" t="str">
        <f>HYPERLINK("https://github.com/AEFeinstein/mtg-familiar", "show")</f>
        <v>show</v>
      </c>
      <c r="H4556" t="str">
        <f>HYPERLINK("https://github.com/AEFeinstein/mtg-familiar/releases", "show")</f>
        <v>show</v>
      </c>
      <c r="I4556">
        <v>0</v>
      </c>
      <c r="J4556">
        <v>0</v>
      </c>
      <c r="K4556">
        <v>1</v>
      </c>
      <c r="L4556">
        <v>0</v>
      </c>
      <c r="M4556" t="s">
        <v>122</v>
      </c>
    </row>
    <row r="4557" spans="1:13" hidden="1" x14ac:dyDescent="0.15">
      <c r="A4557" t="s">
        <v>14430</v>
      </c>
      <c r="B4557" t="s">
        <v>14431</v>
      </c>
      <c r="C4557" t="s">
        <v>14432</v>
      </c>
      <c r="D4557" t="s">
        <v>14426</v>
      </c>
      <c r="E4557">
        <v>0</v>
      </c>
      <c r="F4557" t="str">
        <f>HYPERLINK("https://github.com/Anuken/Mindustry/issues/5492", "show")</f>
        <v>show</v>
      </c>
      <c r="G4557" t="str">
        <f>HYPERLINK("https://github.com/Anuken/Mindustry", "show")</f>
        <v>show</v>
      </c>
      <c r="H4557" t="str">
        <f>HYPERLINK("https://github.com/Anuken/Mindustry/releases", "show")</f>
        <v>show</v>
      </c>
      <c r="I4557">
        <v>1</v>
      </c>
      <c r="J4557">
        <v>0</v>
      </c>
      <c r="K4557">
        <v>0</v>
      </c>
      <c r="L4557">
        <v>0</v>
      </c>
      <c r="M4557" t="s">
        <v>17</v>
      </c>
    </row>
    <row r="4558" spans="1:13" hidden="1" x14ac:dyDescent="0.15">
      <c r="A4558" t="s">
        <v>14433</v>
      </c>
      <c r="B4558" t="s">
        <v>14434</v>
      </c>
      <c r="C4558" t="s">
        <v>14291</v>
      </c>
      <c r="D4558" t="s">
        <v>14426</v>
      </c>
      <c r="E4558">
        <v>0</v>
      </c>
      <c r="F4558" t="str">
        <f>HYPERLINK("https://github.com/PojavLauncherTeam/PojavLauncher/issues/1595", "show")</f>
        <v>show</v>
      </c>
      <c r="G4558" t="str">
        <f>HYPERLINK("https://github.com/PojavLauncherTeam/PojavLauncher", "show")</f>
        <v>show</v>
      </c>
      <c r="H4558" t="str">
        <f>HYPERLINK("https://github.com/PojavLauncherTeam/PojavLauncher/releases", "show")</f>
        <v>show</v>
      </c>
      <c r="I4558">
        <v>1</v>
      </c>
      <c r="J4558">
        <v>1</v>
      </c>
      <c r="K4558">
        <v>0</v>
      </c>
      <c r="L4558">
        <v>0</v>
      </c>
      <c r="M4558" t="s">
        <v>48</v>
      </c>
    </row>
    <row r="4559" spans="1:13" hidden="1" x14ac:dyDescent="0.15">
      <c r="A4559" t="s">
        <v>14435</v>
      </c>
      <c r="B4559" t="s">
        <v>4690</v>
      </c>
      <c r="C4559" t="s">
        <v>14436</v>
      </c>
      <c r="D4559" t="s">
        <v>14437</v>
      </c>
      <c r="E4559">
        <v>53</v>
      </c>
      <c r="F4559" t="str">
        <f>HYPERLINK("https://github.com/TeamNewPipe/NewPipe/issues/6578", "show")</f>
        <v>show</v>
      </c>
      <c r="G4559" t="str">
        <f>HYPERLINK("https://github.com/TeamNewPipe/NewPipe", "show")</f>
        <v>show</v>
      </c>
      <c r="H4559" t="str">
        <f>HYPERLINK("https://github.com/TeamNewPipe/NewPipe/releases", "show")</f>
        <v>show</v>
      </c>
      <c r="I4559">
        <v>0</v>
      </c>
      <c r="J4559">
        <v>0</v>
      </c>
      <c r="K4559">
        <v>1</v>
      </c>
      <c r="L4559">
        <v>0</v>
      </c>
      <c r="M4559" t="s">
        <v>122</v>
      </c>
    </row>
    <row r="4560" spans="1:13" hidden="1" x14ac:dyDescent="0.15">
      <c r="A4560" t="s">
        <v>14438</v>
      </c>
      <c r="B4560" t="s">
        <v>14439</v>
      </c>
      <c r="C4560" t="s">
        <v>14440</v>
      </c>
      <c r="D4560" t="s">
        <v>14437</v>
      </c>
      <c r="E4560">
        <v>0</v>
      </c>
      <c r="F4560" t="str">
        <f>HYPERLINK("https://github.com/Anuken/Mindustry/issues/5485", "show")</f>
        <v>show</v>
      </c>
      <c r="G4560" t="str">
        <f>HYPERLINK("https://github.com/Anuken/Mindustry", "show")</f>
        <v>show</v>
      </c>
      <c r="H4560" t="str">
        <f>HYPERLINK("https://github.com/Anuken/Mindustry/releases", "show")</f>
        <v>show</v>
      </c>
      <c r="I4560">
        <v>1</v>
      </c>
      <c r="J4560">
        <v>0</v>
      </c>
      <c r="K4560">
        <v>1</v>
      </c>
      <c r="L4560">
        <v>0</v>
      </c>
      <c r="M4560" t="s">
        <v>64</v>
      </c>
    </row>
    <row r="4561" spans="1:13" hidden="1" x14ac:dyDescent="0.15">
      <c r="A4561" t="s">
        <v>14441</v>
      </c>
      <c r="B4561" t="s">
        <v>14442</v>
      </c>
      <c r="C4561" t="s">
        <v>14443</v>
      </c>
      <c r="D4561" t="s">
        <v>14437</v>
      </c>
      <c r="E4561">
        <v>0</v>
      </c>
      <c r="F4561" t="str">
        <f>HYPERLINK("https://github.com/Anuken/Mindustry/issues/5482", "show")</f>
        <v>show</v>
      </c>
      <c r="G4561" t="str">
        <f>HYPERLINK("https://github.com/Anuken/Mindustry", "show")</f>
        <v>show</v>
      </c>
      <c r="H4561" t="str">
        <f>HYPERLINK("https://github.com/Anuken/Mindustry/releases", "show")</f>
        <v>show</v>
      </c>
      <c r="I4561">
        <v>1</v>
      </c>
      <c r="J4561">
        <v>1</v>
      </c>
      <c r="K4561">
        <v>0</v>
      </c>
      <c r="L4561">
        <v>0</v>
      </c>
      <c r="M4561" t="s">
        <v>48</v>
      </c>
    </row>
    <row r="4562" spans="1:13" hidden="1" x14ac:dyDescent="0.15">
      <c r="A4562" t="s">
        <v>14444</v>
      </c>
      <c r="B4562" t="s">
        <v>14445</v>
      </c>
      <c r="C4562" t="s">
        <v>14446</v>
      </c>
      <c r="D4562" t="s">
        <v>14437</v>
      </c>
      <c r="E4562">
        <v>0</v>
      </c>
      <c r="F4562" t="str">
        <f>HYPERLINK("https://github.com/Anuken/Mindustry/issues/5481", "show")</f>
        <v>show</v>
      </c>
      <c r="G4562" t="str">
        <f>HYPERLINK("https://github.com/Anuken/Mindustry", "show")</f>
        <v>show</v>
      </c>
      <c r="H4562" t="str">
        <f>HYPERLINK("https://github.com/Anuken/Mindustry/releases", "show")</f>
        <v>show</v>
      </c>
      <c r="I4562">
        <v>0</v>
      </c>
      <c r="J4562">
        <v>0</v>
      </c>
      <c r="K4562">
        <v>0</v>
      </c>
      <c r="L4562">
        <v>0</v>
      </c>
      <c r="M4562" t="s">
        <v>43</v>
      </c>
    </row>
    <row r="4563" spans="1:13" hidden="1" x14ac:dyDescent="0.15">
      <c r="A4563" t="s">
        <v>14447</v>
      </c>
      <c r="B4563" t="s">
        <v>14448</v>
      </c>
      <c r="C4563" t="s">
        <v>14449</v>
      </c>
      <c r="D4563" t="s">
        <v>14437</v>
      </c>
      <c r="E4563">
        <v>0</v>
      </c>
      <c r="F4563" t="str">
        <f>HYPERLINK("https://github.com/Anuken/Mindustry/issues/5478", "show")</f>
        <v>show</v>
      </c>
      <c r="G4563" t="str">
        <f>HYPERLINK("https://github.com/Anuken/Mindustry", "show")</f>
        <v>show</v>
      </c>
      <c r="H4563" t="str">
        <f>HYPERLINK("https://github.com/Anuken/Mindustry/releases", "show")</f>
        <v>show</v>
      </c>
      <c r="I4563">
        <v>1</v>
      </c>
      <c r="J4563">
        <v>1</v>
      </c>
      <c r="K4563">
        <v>1</v>
      </c>
      <c r="L4563">
        <v>0</v>
      </c>
      <c r="M4563" t="s">
        <v>59</v>
      </c>
    </row>
    <row r="4564" spans="1:13" hidden="1" x14ac:dyDescent="0.15">
      <c r="A4564" t="s">
        <v>14450</v>
      </c>
      <c r="B4564" t="s">
        <v>14451</v>
      </c>
      <c r="C4564" t="s">
        <v>14452</v>
      </c>
      <c r="D4564" t="s">
        <v>14437</v>
      </c>
      <c r="E4564">
        <v>3</v>
      </c>
      <c r="F4564" t="str">
        <f>HYPERLINK("https://github.com/commons-app/apps-android-commons/issues/4482", "show")</f>
        <v>show</v>
      </c>
      <c r="G4564" t="str">
        <f>HYPERLINK("https://github.com/commons-app/apps-android-commons", "show")</f>
        <v>show</v>
      </c>
      <c r="H4564" t="str">
        <f>HYPERLINK("https://github.com/commons-app/apps-android-commons/releases", "show")</f>
        <v>show</v>
      </c>
      <c r="I4564">
        <v>1</v>
      </c>
      <c r="J4564">
        <v>0</v>
      </c>
      <c r="K4564">
        <v>1</v>
      </c>
      <c r="L4564">
        <v>0</v>
      </c>
      <c r="M4564" t="s">
        <v>64</v>
      </c>
    </row>
    <row r="4565" spans="1:13" hidden="1" x14ac:dyDescent="0.15">
      <c r="A4565" t="s">
        <v>14453</v>
      </c>
      <c r="B4565" t="s">
        <v>14454</v>
      </c>
      <c r="C4565" t="s">
        <v>14291</v>
      </c>
      <c r="D4565" t="s">
        <v>14437</v>
      </c>
      <c r="E4565">
        <v>2</v>
      </c>
      <c r="F4565" t="str">
        <f>HYPERLINK("https://github.com/PojavLauncherTeam/PojavLauncher/issues/1591", "show")</f>
        <v>show</v>
      </c>
      <c r="G4565" t="str">
        <f>HYPERLINK("https://github.com/PojavLauncherTeam/PojavLauncher", "show")</f>
        <v>show</v>
      </c>
      <c r="H4565" t="str">
        <f>HYPERLINK("https://github.com/PojavLauncherTeam/PojavLauncher/releases", "show")</f>
        <v>show</v>
      </c>
      <c r="I4565">
        <v>0</v>
      </c>
      <c r="J4565">
        <v>1</v>
      </c>
      <c r="K4565">
        <v>1</v>
      </c>
      <c r="L4565">
        <v>0</v>
      </c>
      <c r="M4565" t="s">
        <v>699</v>
      </c>
    </row>
    <row r="4566" spans="1:13" hidden="1" x14ac:dyDescent="0.15">
      <c r="A4566" t="s">
        <v>14455</v>
      </c>
      <c r="B4566" t="s">
        <v>14456</v>
      </c>
      <c r="C4566" t="s">
        <v>14457</v>
      </c>
      <c r="D4566" t="s">
        <v>14437</v>
      </c>
      <c r="E4566">
        <v>0</v>
      </c>
      <c r="F4566" t="str">
        <f>HYPERLINK("https://github.com/Anuken/Mindustry/issues/5476", "show")</f>
        <v>show</v>
      </c>
      <c r="G4566" t="str">
        <f>HYPERLINK("https://github.com/Anuken/Mindustry", "show")</f>
        <v>show</v>
      </c>
      <c r="H4566" t="str">
        <f>HYPERLINK("https://github.com/Anuken/Mindustry/releases", "show")</f>
        <v>show</v>
      </c>
      <c r="I4566">
        <v>1</v>
      </c>
      <c r="J4566">
        <v>1</v>
      </c>
      <c r="K4566">
        <v>0</v>
      </c>
      <c r="L4566">
        <v>0</v>
      </c>
      <c r="M4566" t="s">
        <v>48</v>
      </c>
    </row>
    <row r="4567" spans="1:13" hidden="1" x14ac:dyDescent="0.15">
      <c r="A4567" t="s">
        <v>14458</v>
      </c>
      <c r="B4567" t="s">
        <v>14459</v>
      </c>
      <c r="C4567" t="s">
        <v>14460</v>
      </c>
      <c r="D4567" t="s">
        <v>14461</v>
      </c>
      <c r="E4567">
        <v>0</v>
      </c>
      <c r="F4567" t="str">
        <f>HYPERLINK("https://github.com/Anuken/Mindustry/issues/5474", "show")</f>
        <v>show</v>
      </c>
      <c r="G4567" t="str">
        <f>HYPERLINK("https://github.com/Anuken/Mindustry", "show")</f>
        <v>show</v>
      </c>
      <c r="H4567" t="str">
        <f>HYPERLINK("https://github.com/Anuken/Mindustry/releases", "show")</f>
        <v>show</v>
      </c>
      <c r="I4567">
        <v>1</v>
      </c>
      <c r="J4567">
        <v>1</v>
      </c>
      <c r="K4567">
        <v>0</v>
      </c>
      <c r="L4567">
        <v>0</v>
      </c>
      <c r="M4567" t="s">
        <v>48</v>
      </c>
    </row>
    <row r="4568" spans="1:13" hidden="1" x14ac:dyDescent="0.15">
      <c r="A4568" t="s">
        <v>14462</v>
      </c>
      <c r="B4568" t="s">
        <v>14463</v>
      </c>
      <c r="C4568" t="s">
        <v>14464</v>
      </c>
      <c r="D4568" t="s">
        <v>14461</v>
      </c>
      <c r="E4568">
        <v>0</v>
      </c>
      <c r="F4568" t="str">
        <f>HYPERLINK("https://github.com/Anuken/Mindustry/issues/5467", "show")</f>
        <v>show</v>
      </c>
      <c r="G4568" t="str">
        <f>HYPERLINK("https://github.com/Anuken/Mindustry", "show")</f>
        <v>show</v>
      </c>
      <c r="H4568" t="str">
        <f>HYPERLINK("https://github.com/Anuken/Mindustry/releases", "show")</f>
        <v>show</v>
      </c>
      <c r="I4568">
        <v>1</v>
      </c>
      <c r="J4568">
        <v>1</v>
      </c>
      <c r="K4568">
        <v>0</v>
      </c>
      <c r="L4568">
        <v>0</v>
      </c>
      <c r="M4568" t="s">
        <v>48</v>
      </c>
    </row>
    <row r="4569" spans="1:13" hidden="1" x14ac:dyDescent="0.15">
      <c r="A4569" t="s">
        <v>14465</v>
      </c>
      <c r="B4569" t="s">
        <v>14466</v>
      </c>
      <c r="C4569" t="s">
        <v>14467</v>
      </c>
      <c r="D4569" t="s">
        <v>14461</v>
      </c>
      <c r="E4569">
        <v>0</v>
      </c>
      <c r="F4569" t="str">
        <f>HYPERLINK("https://github.com/Anuken/Mindustry/issues/5463", "show")</f>
        <v>show</v>
      </c>
      <c r="G4569" t="str">
        <f>HYPERLINK("https://github.com/Anuken/Mindustry", "show")</f>
        <v>show</v>
      </c>
      <c r="H4569" t="str">
        <f>HYPERLINK("https://github.com/Anuken/Mindustry/releases", "show")</f>
        <v>show</v>
      </c>
      <c r="I4569">
        <v>1</v>
      </c>
      <c r="J4569">
        <v>1</v>
      </c>
      <c r="K4569">
        <v>0</v>
      </c>
      <c r="L4569">
        <v>0</v>
      </c>
      <c r="M4569" t="s">
        <v>48</v>
      </c>
    </row>
    <row r="4570" spans="1:13" x14ac:dyDescent="0.15">
      <c r="A4570" t="s">
        <v>14468</v>
      </c>
      <c r="B4570" t="s">
        <v>14469</v>
      </c>
      <c r="C4570" t="s">
        <v>14291</v>
      </c>
      <c r="D4570" t="s">
        <v>14461</v>
      </c>
      <c r="E4570">
        <v>2</v>
      </c>
      <c r="F4570" t="str">
        <f>HYPERLINK("https://github.com/PojavLauncherTeam/PojavLauncher/issues/1589", "show")</f>
        <v>show</v>
      </c>
      <c r="G4570" t="str">
        <f>HYPERLINK("https://github.com/PojavLauncherTeam/PojavLauncher", "show")</f>
        <v>show</v>
      </c>
      <c r="H4570" t="str">
        <f>HYPERLINK("https://github.com/PojavLauncherTeam/PojavLauncher/releases", "show")</f>
        <v>show</v>
      </c>
      <c r="I4570">
        <v>0</v>
      </c>
      <c r="J4570">
        <v>1</v>
      </c>
      <c r="K4570">
        <v>0</v>
      </c>
      <c r="L4570">
        <v>0</v>
      </c>
      <c r="M4570" t="s">
        <v>139</v>
      </c>
    </row>
    <row r="4571" spans="1:13" hidden="1" x14ac:dyDescent="0.15">
      <c r="A4571" t="s">
        <v>14470</v>
      </c>
      <c r="B4571" t="s">
        <v>14471</v>
      </c>
      <c r="C4571" t="s">
        <v>14472</v>
      </c>
      <c r="D4571" t="s">
        <v>14461</v>
      </c>
      <c r="E4571">
        <v>8</v>
      </c>
      <c r="F4571" t="str">
        <f>HYPERLINK("https://github.com/TeamNewPipe/NewPipe/issues/6570", "show")</f>
        <v>show</v>
      </c>
      <c r="G4571" t="str">
        <f>HYPERLINK("https://github.com/TeamNewPipe/NewPipe", "show")</f>
        <v>show</v>
      </c>
      <c r="H4571" t="str">
        <f>HYPERLINK("https://github.com/TeamNewPipe/NewPipe/releases", "show")</f>
        <v>show</v>
      </c>
      <c r="I4571">
        <v>1</v>
      </c>
      <c r="J4571">
        <v>1</v>
      </c>
      <c r="K4571">
        <v>0</v>
      </c>
      <c r="L4571">
        <v>0</v>
      </c>
      <c r="M4571" t="s">
        <v>48</v>
      </c>
    </row>
    <row r="4572" spans="1:13" hidden="1" x14ac:dyDescent="0.15">
      <c r="A4572" t="s">
        <v>14473</v>
      </c>
      <c r="B4572" t="s">
        <v>14474</v>
      </c>
      <c r="C4572" t="s">
        <v>14475</v>
      </c>
      <c r="D4572" t="s">
        <v>14476</v>
      </c>
      <c r="E4572">
        <v>1</v>
      </c>
      <c r="F4572" t="str">
        <f>HYPERLINK("https://github.com/nextcloud/android/issues/8626", "show")</f>
        <v>show</v>
      </c>
      <c r="G4572" t="str">
        <f>HYPERLINK("https://github.com/nextcloud/android", "show")</f>
        <v>show</v>
      </c>
      <c r="H4572" t="str">
        <f>HYPERLINK("https://github.com/nextcloud/android/releases", "show")</f>
        <v>show</v>
      </c>
      <c r="I4572">
        <v>1</v>
      </c>
      <c r="J4572">
        <v>1</v>
      </c>
      <c r="K4572">
        <v>0</v>
      </c>
      <c r="L4572">
        <v>0</v>
      </c>
      <c r="M4572" t="s">
        <v>48</v>
      </c>
    </row>
    <row r="4573" spans="1:13" hidden="1" x14ac:dyDescent="0.15">
      <c r="A4573" t="s">
        <v>14477</v>
      </c>
      <c r="B4573" t="s">
        <v>14478</v>
      </c>
      <c r="C4573" t="s">
        <v>14479</v>
      </c>
      <c r="D4573" t="s">
        <v>14476</v>
      </c>
      <c r="E4573">
        <v>0</v>
      </c>
      <c r="F4573" t="str">
        <f>HYPERLINK("https://github.com/Anuken/Mindustry/issues/5457", "show")</f>
        <v>show</v>
      </c>
      <c r="G4573" t="str">
        <f>HYPERLINK("https://github.com/Anuken/Mindustry", "show")</f>
        <v>show</v>
      </c>
      <c r="H4573" t="str">
        <f>HYPERLINK("https://github.com/Anuken/Mindustry/releases", "show")</f>
        <v>show</v>
      </c>
      <c r="I4573">
        <v>0</v>
      </c>
      <c r="J4573">
        <v>0</v>
      </c>
      <c r="K4573">
        <v>0</v>
      </c>
      <c r="L4573">
        <v>0</v>
      </c>
      <c r="M4573" t="s">
        <v>43</v>
      </c>
    </row>
    <row r="4574" spans="1:13" hidden="1" x14ac:dyDescent="0.15">
      <c r="A4574" t="s">
        <v>14480</v>
      </c>
      <c r="B4574" t="s">
        <v>14481</v>
      </c>
      <c r="C4574" t="s">
        <v>14482</v>
      </c>
      <c r="D4574" t="s">
        <v>14476</v>
      </c>
      <c r="E4574">
        <v>0</v>
      </c>
      <c r="F4574" t="str">
        <f>HYPERLINK("https://github.com/Blankj/AndroidUtilCode/issues/1515", "show")</f>
        <v>show</v>
      </c>
      <c r="G4574" t="str">
        <f>HYPERLINK("https://github.com/Blankj/AndroidUtilCode", "show")</f>
        <v>show</v>
      </c>
      <c r="H4574" t="str">
        <f>HYPERLINK("https://github.com/Blankj/AndroidUtilCode/releases", "show")</f>
        <v>show</v>
      </c>
      <c r="I4574">
        <v>1</v>
      </c>
      <c r="J4574">
        <v>0</v>
      </c>
      <c r="K4574">
        <v>1</v>
      </c>
      <c r="L4574">
        <v>0</v>
      </c>
      <c r="M4574" t="s">
        <v>64</v>
      </c>
    </row>
    <row r="4575" spans="1:13" x14ac:dyDescent="0.15">
      <c r="A4575" t="s">
        <v>14483</v>
      </c>
      <c r="B4575" t="s">
        <v>14484</v>
      </c>
      <c r="C4575" t="s">
        <v>14485</v>
      </c>
      <c r="D4575" t="s">
        <v>14476</v>
      </c>
      <c r="E4575">
        <v>69</v>
      </c>
      <c r="F4575" t="str">
        <f>HYPERLINK("https://github.com/PojavLauncherTeam/PojavLauncher/issues/1583", "show")</f>
        <v>show</v>
      </c>
      <c r="G4575" t="str">
        <f>HYPERLINK("https://github.com/PojavLauncherTeam/PojavLauncher", "show")</f>
        <v>show</v>
      </c>
      <c r="H4575" t="str">
        <f>HYPERLINK("https://github.com/PojavLauncherTeam/PojavLauncher/releases", "show")</f>
        <v>show</v>
      </c>
      <c r="I4575">
        <v>0</v>
      </c>
      <c r="J4575">
        <v>1</v>
      </c>
      <c r="K4575">
        <v>0</v>
      </c>
      <c r="L4575">
        <v>0</v>
      </c>
      <c r="M4575" t="s">
        <v>139</v>
      </c>
    </row>
    <row r="4576" spans="1:13" hidden="1" x14ac:dyDescent="0.15">
      <c r="A4576" t="s">
        <v>14486</v>
      </c>
      <c r="B4576" t="s">
        <v>14487</v>
      </c>
      <c r="C4576" t="s">
        <v>14488</v>
      </c>
      <c r="D4576" t="s">
        <v>14476</v>
      </c>
      <c r="E4576">
        <v>18</v>
      </c>
      <c r="F4576" t="str">
        <f>HYPERLINK("https://github.com/material-components/material-components-android/issues/2272", "show")</f>
        <v>show</v>
      </c>
      <c r="G4576" t="str">
        <f>HYPERLINK("https://github.com/material-components/material-components-android", "show")</f>
        <v>show</v>
      </c>
      <c r="H4576" t="str">
        <f>HYPERLINK("https://github.com/material-components/material-components-android/releases", "show")</f>
        <v>show</v>
      </c>
      <c r="I4576">
        <v>1</v>
      </c>
      <c r="J4576">
        <v>0</v>
      </c>
      <c r="K4576">
        <v>1</v>
      </c>
      <c r="L4576">
        <v>0</v>
      </c>
      <c r="M4576" t="s">
        <v>64</v>
      </c>
    </row>
    <row r="4577" spans="1:13" hidden="1" x14ac:dyDescent="0.15">
      <c r="A4577" t="s">
        <v>14489</v>
      </c>
      <c r="B4577" t="s">
        <v>14490</v>
      </c>
      <c r="C4577" t="s">
        <v>14491</v>
      </c>
      <c r="D4577" t="s">
        <v>14476</v>
      </c>
      <c r="E4577">
        <v>5</v>
      </c>
      <c r="F4577" t="str">
        <f>HYPERLINK("https://github.com/PojavLauncherTeam/PojavLauncher/issues/1582", "show")</f>
        <v>show</v>
      </c>
      <c r="G4577" t="str">
        <f>HYPERLINK("https://github.com/PojavLauncherTeam/PojavLauncher", "show")</f>
        <v>show</v>
      </c>
      <c r="H4577" t="str">
        <f>HYPERLINK("https://github.com/PojavLauncherTeam/PojavLauncher/releases", "show")</f>
        <v>show</v>
      </c>
      <c r="I4577">
        <v>1</v>
      </c>
      <c r="J4577">
        <v>0</v>
      </c>
      <c r="K4577">
        <v>1</v>
      </c>
      <c r="L4577">
        <v>0</v>
      </c>
      <c r="M4577" t="s">
        <v>64</v>
      </c>
    </row>
    <row r="4578" spans="1:13" hidden="1" x14ac:dyDescent="0.15">
      <c r="A4578" t="s">
        <v>14492</v>
      </c>
      <c r="B4578" t="s">
        <v>14493</v>
      </c>
      <c r="C4578" t="s">
        <v>14494</v>
      </c>
      <c r="D4578" t="s">
        <v>14495</v>
      </c>
      <c r="E4578">
        <v>97</v>
      </c>
      <c r="F4578" t="str">
        <f>HYPERLINK("https://github.com/morenoh149/react-native-contacts/issues/625", "show")</f>
        <v>show</v>
      </c>
      <c r="G4578" t="str">
        <f>HYPERLINK("https://github.com/morenoh149/react-native-contacts", "show")</f>
        <v>show</v>
      </c>
      <c r="H4578" t="str">
        <f>HYPERLINK("https://github.com/morenoh149/react-native-contacts/releases", "show")</f>
        <v>show</v>
      </c>
      <c r="I4578">
        <v>1</v>
      </c>
      <c r="J4578">
        <v>0</v>
      </c>
      <c r="K4578">
        <v>0</v>
      </c>
      <c r="L4578">
        <v>0</v>
      </c>
      <c r="M4578" t="s">
        <v>17</v>
      </c>
    </row>
    <row r="4579" spans="1:13" hidden="1" x14ac:dyDescent="0.15">
      <c r="A4579" t="s">
        <v>14496</v>
      </c>
      <c r="B4579" t="s">
        <v>14497</v>
      </c>
      <c r="C4579" t="s">
        <v>14498</v>
      </c>
      <c r="D4579" t="s">
        <v>14495</v>
      </c>
      <c r="E4579">
        <v>70</v>
      </c>
      <c r="F4579" t="str">
        <f>HYPERLINK("https://github.com/PojavLauncherTeam/PojavLauncher/issues/1579", "show")</f>
        <v>show</v>
      </c>
      <c r="G4579" t="str">
        <f>HYPERLINK("https://github.com/PojavLauncherTeam/PojavLauncher", "show")</f>
        <v>show</v>
      </c>
      <c r="H4579" t="str">
        <f>HYPERLINK("https://github.com/PojavLauncherTeam/PojavLauncher/releases", "show")</f>
        <v>show</v>
      </c>
      <c r="I4579">
        <v>1</v>
      </c>
      <c r="J4579">
        <v>1</v>
      </c>
      <c r="K4579">
        <v>0</v>
      </c>
      <c r="L4579">
        <v>0</v>
      </c>
      <c r="M4579" t="s">
        <v>48</v>
      </c>
    </row>
    <row r="4580" spans="1:13" hidden="1" x14ac:dyDescent="0.15">
      <c r="A4580" t="s">
        <v>14499</v>
      </c>
      <c r="B4580" t="s">
        <v>14500</v>
      </c>
      <c r="C4580" t="s">
        <v>14501</v>
      </c>
      <c r="D4580" t="s">
        <v>14495</v>
      </c>
      <c r="E4580">
        <v>1</v>
      </c>
      <c r="F4580" t="str">
        <f>HYPERLINK("https://github.com/TeamNewPipe/NewPipe/issues/6558", "show")</f>
        <v>show</v>
      </c>
      <c r="G4580" t="str">
        <f>HYPERLINK("https://github.com/TeamNewPipe/NewPipe", "show")</f>
        <v>show</v>
      </c>
      <c r="H4580" t="str">
        <f>HYPERLINK("https://github.com/TeamNewPipe/NewPipe/releases", "show")</f>
        <v>show</v>
      </c>
      <c r="I4580">
        <v>1</v>
      </c>
      <c r="J4580">
        <v>1</v>
      </c>
      <c r="K4580">
        <v>0</v>
      </c>
      <c r="L4580">
        <v>0</v>
      </c>
      <c r="M4580" t="s">
        <v>48</v>
      </c>
    </row>
    <row r="4581" spans="1:13" hidden="1" x14ac:dyDescent="0.15">
      <c r="A4581" t="s">
        <v>14502</v>
      </c>
      <c r="B4581" t="s">
        <v>14503</v>
      </c>
      <c r="C4581" t="s">
        <v>14504</v>
      </c>
      <c r="D4581" t="s">
        <v>14495</v>
      </c>
      <c r="E4581">
        <v>13</v>
      </c>
      <c r="F4581" t="str">
        <f>HYPERLINK("https://github.com/muxinc/mux-stats-sdk-exoplayer/issues/116", "show")</f>
        <v>show</v>
      </c>
      <c r="G4581" t="str">
        <f>HYPERLINK("https://github.com/muxinc/mux-stats-sdk-exoplayer", "show")</f>
        <v>show</v>
      </c>
      <c r="H4581" t="str">
        <f>HYPERLINK("https://github.com/muxinc/mux-stats-sdk-exoplayer/releases", "show")</f>
        <v>show</v>
      </c>
      <c r="I4581">
        <v>0</v>
      </c>
      <c r="J4581">
        <v>0</v>
      </c>
      <c r="K4581">
        <v>0</v>
      </c>
      <c r="L4581">
        <v>0</v>
      </c>
      <c r="M4581" t="s">
        <v>43</v>
      </c>
    </row>
    <row r="4582" spans="1:13" hidden="1" x14ac:dyDescent="0.15">
      <c r="A4582" t="s">
        <v>14505</v>
      </c>
      <c r="B4582" t="s">
        <v>14506</v>
      </c>
      <c r="C4582" t="s">
        <v>14507</v>
      </c>
      <c r="D4582" t="s">
        <v>14508</v>
      </c>
      <c r="E4582">
        <v>1</v>
      </c>
      <c r="F4582" t="str">
        <f>HYPERLINK("https://github.com/PojavLauncherTeam/PojavLauncher/issues/1577", "show")</f>
        <v>show</v>
      </c>
      <c r="G4582" t="str">
        <f>HYPERLINK("https://github.com/PojavLauncherTeam/PojavLauncher", "show")</f>
        <v>show</v>
      </c>
      <c r="H4582" t="str">
        <f>HYPERLINK("https://github.com/PojavLauncherTeam/PojavLauncher/releases", "show")</f>
        <v>show</v>
      </c>
      <c r="I4582">
        <v>1</v>
      </c>
      <c r="J4582">
        <v>1</v>
      </c>
      <c r="K4582">
        <v>0</v>
      </c>
      <c r="L4582">
        <v>0</v>
      </c>
      <c r="M4582" t="s">
        <v>48</v>
      </c>
    </row>
    <row r="4583" spans="1:13" hidden="1" x14ac:dyDescent="0.15">
      <c r="A4583" t="s">
        <v>14509</v>
      </c>
      <c r="B4583" t="s">
        <v>14510</v>
      </c>
      <c r="C4583" t="s">
        <v>14511</v>
      </c>
      <c r="D4583" t="s">
        <v>14508</v>
      </c>
      <c r="E4583">
        <v>57</v>
      </c>
      <c r="F4583" t="str">
        <f>HYPERLINK("https://github.com/inaturalist/react-native-inat-camera/issues/67", "show")</f>
        <v>show</v>
      </c>
      <c r="G4583" t="str">
        <f>HYPERLINK("https://github.com/inaturalist/react-native-inat-camera", "show")</f>
        <v>show</v>
      </c>
      <c r="H4583" t="str">
        <f>HYPERLINK("https://github.com/inaturalist/react-native-inat-camera/releases", "show")</f>
        <v>show</v>
      </c>
      <c r="I4583">
        <v>0</v>
      </c>
      <c r="J4583">
        <v>0</v>
      </c>
      <c r="K4583">
        <v>0</v>
      </c>
      <c r="L4583">
        <v>1</v>
      </c>
      <c r="M4583" t="s">
        <v>581</v>
      </c>
    </row>
    <row r="4584" spans="1:13" hidden="1" x14ac:dyDescent="0.15">
      <c r="A4584" t="s">
        <v>14512</v>
      </c>
      <c r="B4584" t="s">
        <v>14513</v>
      </c>
      <c r="C4584" t="s">
        <v>14514</v>
      </c>
      <c r="D4584" t="s">
        <v>14508</v>
      </c>
      <c r="E4584">
        <v>1</v>
      </c>
      <c r="F4584" t="str">
        <f>HYPERLINK("https://github.com/Anuken/Mindustry/issues/5448", "show")</f>
        <v>show</v>
      </c>
      <c r="G4584" t="str">
        <f>HYPERLINK("https://github.com/Anuken/Mindustry", "show")</f>
        <v>show</v>
      </c>
      <c r="H4584" t="str">
        <f>HYPERLINK("https://github.com/Anuken/Mindustry/releases", "show")</f>
        <v>show</v>
      </c>
      <c r="I4584">
        <v>1</v>
      </c>
      <c r="J4584">
        <v>1</v>
      </c>
      <c r="K4584">
        <v>0</v>
      </c>
      <c r="L4584">
        <v>1</v>
      </c>
      <c r="M4584" t="s">
        <v>1894</v>
      </c>
    </row>
    <row r="4585" spans="1:13" hidden="1" x14ac:dyDescent="0.15">
      <c r="A4585" t="s">
        <v>14515</v>
      </c>
      <c r="B4585" t="s">
        <v>14516</v>
      </c>
      <c r="C4585" t="s">
        <v>14517</v>
      </c>
      <c r="D4585" t="s">
        <v>14508</v>
      </c>
      <c r="E4585">
        <v>1</v>
      </c>
      <c r="F4585" t="str">
        <f>HYPERLINK("https://github.com/IdoSagiv/CommuniDog/issues/103", "show")</f>
        <v>show</v>
      </c>
      <c r="G4585" t="str">
        <f>HYPERLINK("https://github.com/IdoSagiv/CommuniDog", "show")</f>
        <v>show</v>
      </c>
      <c r="H4585" t="str">
        <f>HYPERLINK("https://github.com/IdoSagiv/CommuniDog/releases", "show")</f>
        <v>show</v>
      </c>
      <c r="I4585">
        <v>1</v>
      </c>
      <c r="J4585">
        <v>0</v>
      </c>
      <c r="K4585">
        <v>0</v>
      </c>
      <c r="L4585">
        <v>1</v>
      </c>
      <c r="M4585" t="s">
        <v>29</v>
      </c>
    </row>
    <row r="4586" spans="1:13" hidden="1" x14ac:dyDescent="0.15">
      <c r="A4586" t="s">
        <v>14518</v>
      </c>
      <c r="B4586" t="s">
        <v>14519</v>
      </c>
      <c r="C4586" t="s">
        <v>14520</v>
      </c>
      <c r="D4586" t="s">
        <v>14508</v>
      </c>
      <c r="E4586">
        <v>1</v>
      </c>
      <c r="F4586" t="str">
        <f>HYPERLINK("https://github.com/IdoSagiv/CommuniDog/issues/101", "show")</f>
        <v>show</v>
      </c>
      <c r="G4586" t="str">
        <f>HYPERLINK("https://github.com/IdoSagiv/CommuniDog", "show")</f>
        <v>show</v>
      </c>
      <c r="H4586" t="str">
        <f>HYPERLINK("https://github.com/IdoSagiv/CommuniDog/releases", "show")</f>
        <v>show</v>
      </c>
      <c r="I4586">
        <v>0</v>
      </c>
      <c r="J4586">
        <v>0</v>
      </c>
      <c r="K4586">
        <v>0</v>
      </c>
      <c r="L4586">
        <v>1</v>
      </c>
      <c r="M4586" t="s">
        <v>581</v>
      </c>
    </row>
    <row r="4587" spans="1:13" hidden="1" x14ac:dyDescent="0.15">
      <c r="A4587" t="s">
        <v>14521</v>
      </c>
      <c r="B4587" t="s">
        <v>14522</v>
      </c>
      <c r="C4587" t="s">
        <v>14523</v>
      </c>
      <c r="D4587" t="s">
        <v>14508</v>
      </c>
      <c r="E4587">
        <v>0</v>
      </c>
      <c r="F4587" t="str">
        <f>HYPERLINK("https://github.com/Anuken/Mindustry/issues/5447", "show")</f>
        <v>show</v>
      </c>
      <c r="G4587" t="str">
        <f>HYPERLINK("https://github.com/Anuken/Mindustry", "show")</f>
        <v>show</v>
      </c>
      <c r="H4587" t="str">
        <f>HYPERLINK("https://github.com/Anuken/Mindustry/releases", "show")</f>
        <v>show</v>
      </c>
      <c r="I4587">
        <v>1</v>
      </c>
      <c r="J4587">
        <v>1</v>
      </c>
      <c r="K4587">
        <v>0</v>
      </c>
      <c r="L4587">
        <v>1</v>
      </c>
      <c r="M4587" t="s">
        <v>1894</v>
      </c>
    </row>
    <row r="4588" spans="1:13" hidden="1" x14ac:dyDescent="0.15">
      <c r="A4588" t="s">
        <v>14524</v>
      </c>
      <c r="B4588" t="s">
        <v>14525</v>
      </c>
      <c r="C4588" t="s">
        <v>14526</v>
      </c>
      <c r="D4588" t="s">
        <v>14508</v>
      </c>
      <c r="E4588">
        <v>8</v>
      </c>
      <c r="F4588" t="str">
        <f>HYPERLINK("https://github.com/Rapsssito/react-native-background-actions/issues/91", "show")</f>
        <v>show</v>
      </c>
      <c r="G4588" t="str">
        <f>HYPERLINK("https://github.com/Rapsssito/react-native-background-actions", "show")</f>
        <v>show</v>
      </c>
      <c r="H4588" t="str">
        <f>HYPERLINK("https://github.com/Rapsssito/react-native-background-actions/releases", "show")</f>
        <v>show</v>
      </c>
      <c r="I4588">
        <v>0</v>
      </c>
      <c r="J4588">
        <v>0</v>
      </c>
      <c r="K4588">
        <v>1</v>
      </c>
      <c r="L4588">
        <v>0</v>
      </c>
      <c r="M4588" t="s">
        <v>122</v>
      </c>
    </row>
    <row r="4589" spans="1:13" hidden="1" x14ac:dyDescent="0.15">
      <c r="A4589" t="s">
        <v>14527</v>
      </c>
      <c r="B4589" t="s">
        <v>14528</v>
      </c>
      <c r="C4589" t="s">
        <v>14529</v>
      </c>
      <c r="D4589" t="s">
        <v>14530</v>
      </c>
      <c r="E4589">
        <v>0</v>
      </c>
      <c r="F4589" t="str">
        <f>HYPERLINK("https://github.com/MuntashirAkon/AppManager/issues/486", "show")</f>
        <v>show</v>
      </c>
      <c r="G4589" t="str">
        <f>HYPERLINK("https://github.com/MuntashirAkon/AppManager", "show")</f>
        <v>show</v>
      </c>
      <c r="H4589" t="str">
        <f>HYPERLINK("https://github.com/MuntashirAkon/AppManager/releases", "show")</f>
        <v>show</v>
      </c>
      <c r="I4589">
        <v>0</v>
      </c>
      <c r="J4589">
        <v>0</v>
      </c>
      <c r="K4589">
        <v>0</v>
      </c>
      <c r="L4589">
        <v>0</v>
      </c>
      <c r="M4589" t="s">
        <v>43</v>
      </c>
    </row>
    <row r="4590" spans="1:13" hidden="1" x14ac:dyDescent="0.15">
      <c r="A4590" t="s">
        <v>14531</v>
      </c>
      <c r="B4590" t="s">
        <v>14532</v>
      </c>
      <c r="C4590" t="s">
        <v>14533</v>
      </c>
      <c r="D4590" t="s">
        <v>14530</v>
      </c>
      <c r="E4590">
        <v>0</v>
      </c>
      <c r="F4590" t="str">
        <f>HYPERLINK("https://github.com/MuntashirAkon/AppManager/issues/485", "show")</f>
        <v>show</v>
      </c>
      <c r="G4590" t="str">
        <f>HYPERLINK("https://github.com/MuntashirAkon/AppManager", "show")</f>
        <v>show</v>
      </c>
      <c r="H4590" t="str">
        <f>HYPERLINK("https://github.com/MuntashirAkon/AppManager/releases", "show")</f>
        <v>show</v>
      </c>
      <c r="I4590">
        <v>1</v>
      </c>
      <c r="J4590">
        <v>1</v>
      </c>
      <c r="K4590">
        <v>0</v>
      </c>
      <c r="L4590">
        <v>0</v>
      </c>
      <c r="M4590" t="s">
        <v>48</v>
      </c>
    </row>
    <row r="4591" spans="1:13" hidden="1" x14ac:dyDescent="0.15">
      <c r="A4591" t="s">
        <v>14534</v>
      </c>
      <c r="B4591" t="s">
        <v>14535</v>
      </c>
      <c r="C4591" t="s">
        <v>14536</v>
      </c>
      <c r="D4591" t="s">
        <v>14537</v>
      </c>
      <c r="E4591">
        <v>1</v>
      </c>
      <c r="F4591" t="str">
        <f>HYPERLINK("https://github.com/nextcloud/android/issues/8608", "show")</f>
        <v>show</v>
      </c>
      <c r="G4591" t="str">
        <f>HYPERLINK("https://github.com/nextcloud/android", "show")</f>
        <v>show</v>
      </c>
      <c r="H4591" t="str">
        <f>HYPERLINK("https://github.com/nextcloud/android/releases", "show")</f>
        <v>show</v>
      </c>
      <c r="I4591">
        <v>0</v>
      </c>
      <c r="J4591">
        <v>0</v>
      </c>
      <c r="K4591">
        <v>1</v>
      </c>
      <c r="L4591">
        <v>0</v>
      </c>
      <c r="M4591" t="s">
        <v>122</v>
      </c>
    </row>
    <row r="4592" spans="1:13" hidden="1" x14ac:dyDescent="0.15">
      <c r="A4592" t="s">
        <v>14538</v>
      </c>
      <c r="B4592" t="s">
        <v>14539</v>
      </c>
      <c r="C4592" t="s">
        <v>14540</v>
      </c>
      <c r="D4592" t="s">
        <v>14537</v>
      </c>
      <c r="E4592">
        <v>252</v>
      </c>
      <c r="F4592" t="str">
        <f>HYPERLINK("https://github.com/TeamNewPipe/NewPipe/issues/6537", "show")</f>
        <v>show</v>
      </c>
      <c r="G4592" t="str">
        <f>HYPERLINK("https://github.com/TeamNewPipe/NewPipe", "show")</f>
        <v>show</v>
      </c>
      <c r="H4592" t="str">
        <f>HYPERLINK("https://github.com/TeamNewPipe/NewPipe/releases", "show")</f>
        <v>show</v>
      </c>
      <c r="I4592">
        <v>1</v>
      </c>
      <c r="J4592">
        <v>1</v>
      </c>
      <c r="K4592">
        <v>0</v>
      </c>
      <c r="L4592">
        <v>0</v>
      </c>
      <c r="M4592" t="s">
        <v>48</v>
      </c>
    </row>
    <row r="4593" spans="1:13" x14ac:dyDescent="0.15">
      <c r="A4593" t="s">
        <v>14541</v>
      </c>
      <c r="B4593" t="s">
        <v>14542</v>
      </c>
      <c r="C4593" t="s">
        <v>14543</v>
      </c>
      <c r="D4593" t="s">
        <v>14537</v>
      </c>
      <c r="E4593">
        <v>73</v>
      </c>
      <c r="F4593" t="str">
        <f>HYPERLINK("https://github.com/PojavLauncherTeam/PojavLauncher/issues/1570", "show")</f>
        <v>show</v>
      </c>
      <c r="G4593" t="str">
        <f>HYPERLINK("https://github.com/PojavLauncherTeam/PojavLauncher", "show")</f>
        <v>show</v>
      </c>
      <c r="H4593" t="str">
        <f>HYPERLINK("https://github.com/PojavLauncherTeam/PojavLauncher/releases", "show")</f>
        <v>show</v>
      </c>
      <c r="I4593">
        <v>0</v>
      </c>
      <c r="J4593">
        <v>1</v>
      </c>
      <c r="K4593">
        <v>0</v>
      </c>
      <c r="L4593">
        <v>0</v>
      </c>
      <c r="M4593" t="s">
        <v>139</v>
      </c>
    </row>
    <row r="4594" spans="1:13" hidden="1" x14ac:dyDescent="0.15">
      <c r="A4594" t="s">
        <v>14544</v>
      </c>
      <c r="B4594" t="s">
        <v>14545</v>
      </c>
      <c r="C4594" t="s">
        <v>14546</v>
      </c>
      <c r="D4594" t="s">
        <v>14537</v>
      </c>
      <c r="E4594">
        <v>16</v>
      </c>
      <c r="F4594" t="str">
        <f>HYPERLINK("https://github.com/PojavLauncherTeam/PojavLauncher/issues/1569", "show")</f>
        <v>show</v>
      </c>
      <c r="G4594" t="str">
        <f>HYPERLINK("https://github.com/PojavLauncherTeam/PojavLauncher", "show")</f>
        <v>show</v>
      </c>
      <c r="H4594" t="str">
        <f>HYPERLINK("https://github.com/PojavLauncherTeam/PojavLauncher/releases", "show")</f>
        <v>show</v>
      </c>
      <c r="I4594">
        <v>1</v>
      </c>
      <c r="J4594">
        <v>1</v>
      </c>
      <c r="K4594">
        <v>0</v>
      </c>
      <c r="L4594">
        <v>0</v>
      </c>
      <c r="M4594" t="s">
        <v>48</v>
      </c>
    </row>
    <row r="4595" spans="1:13" hidden="1" x14ac:dyDescent="0.15">
      <c r="A4595" t="s">
        <v>14547</v>
      </c>
      <c r="B4595" t="s">
        <v>14548</v>
      </c>
      <c r="C4595" t="s">
        <v>14549</v>
      </c>
      <c r="D4595" t="s">
        <v>14550</v>
      </c>
      <c r="E4595">
        <v>5</v>
      </c>
      <c r="F4595" t="str">
        <f>HYPERLINK("https://github.com/TeamNewPipe/NewPipe/issues/6522", "show")</f>
        <v>show</v>
      </c>
      <c r="G4595" t="str">
        <f>HYPERLINK("https://github.com/TeamNewPipe/NewPipe", "show")</f>
        <v>show</v>
      </c>
      <c r="H4595" t="str">
        <f>HYPERLINK("https://github.com/TeamNewPipe/NewPipe/releases", "show")</f>
        <v>show</v>
      </c>
      <c r="I4595">
        <v>1</v>
      </c>
      <c r="J4595">
        <v>1</v>
      </c>
      <c r="K4595">
        <v>1</v>
      </c>
      <c r="L4595">
        <v>0</v>
      </c>
      <c r="M4595" t="s">
        <v>59</v>
      </c>
    </row>
    <row r="4596" spans="1:13" hidden="1" x14ac:dyDescent="0.15">
      <c r="A4596" t="s">
        <v>14551</v>
      </c>
      <c r="B4596" t="s">
        <v>14552</v>
      </c>
      <c r="C4596" t="s">
        <v>14553</v>
      </c>
      <c r="D4596" t="s">
        <v>14550</v>
      </c>
      <c r="E4596">
        <v>85</v>
      </c>
      <c r="F4596" t="str">
        <f>HYPERLINK("https://github.com/patzly/grocy-android/issues/426", "show")</f>
        <v>show</v>
      </c>
      <c r="G4596" t="str">
        <f>HYPERLINK("https://github.com/patzly/grocy-android", "show")</f>
        <v>show</v>
      </c>
      <c r="H4596" t="str">
        <f>HYPERLINK("https://github.com/patzly/grocy-android/releases", "show")</f>
        <v>show</v>
      </c>
      <c r="I4596">
        <v>1</v>
      </c>
      <c r="J4596">
        <v>1</v>
      </c>
      <c r="K4596">
        <v>1</v>
      </c>
      <c r="L4596">
        <v>0</v>
      </c>
      <c r="M4596" t="s">
        <v>59</v>
      </c>
    </row>
    <row r="4597" spans="1:13" x14ac:dyDescent="0.15">
      <c r="A4597" t="s">
        <v>14554</v>
      </c>
      <c r="B4597" t="s">
        <v>14555</v>
      </c>
      <c r="C4597" t="s">
        <v>11582</v>
      </c>
      <c r="D4597" t="s">
        <v>14550</v>
      </c>
      <c r="E4597">
        <v>0</v>
      </c>
      <c r="F4597" t="str">
        <f>HYPERLINK("https://github.com/nextcloud/android/issues/8603", "show")</f>
        <v>show</v>
      </c>
      <c r="G4597" t="str">
        <f>HYPERLINK("https://github.com/nextcloud/android", "show")</f>
        <v>show</v>
      </c>
      <c r="H4597" t="str">
        <f>HYPERLINK("https://github.com/nextcloud/android/releases", "show")</f>
        <v>show</v>
      </c>
      <c r="I4597">
        <v>0</v>
      </c>
      <c r="J4597">
        <v>1</v>
      </c>
      <c r="K4597">
        <v>0</v>
      </c>
      <c r="L4597">
        <v>0</v>
      </c>
      <c r="M4597" t="s">
        <v>139</v>
      </c>
    </row>
    <row r="4598" spans="1:13" x14ac:dyDescent="0.15">
      <c r="A4598" t="s">
        <v>14556</v>
      </c>
      <c r="B4598" t="s">
        <v>14557</v>
      </c>
      <c r="C4598" t="s">
        <v>11582</v>
      </c>
      <c r="D4598" t="s">
        <v>14550</v>
      </c>
      <c r="E4598">
        <v>2</v>
      </c>
      <c r="F4598" t="str">
        <f>HYPERLINK("https://github.com/nextcloud/android/issues/8602", "show")</f>
        <v>show</v>
      </c>
      <c r="G4598" t="str">
        <f>HYPERLINK("https://github.com/nextcloud/android", "show")</f>
        <v>show</v>
      </c>
      <c r="H4598" t="str">
        <f>HYPERLINK("https://github.com/nextcloud/android/releases", "show")</f>
        <v>show</v>
      </c>
      <c r="I4598">
        <v>0</v>
      </c>
      <c r="J4598">
        <v>1</v>
      </c>
      <c r="K4598">
        <v>0</v>
      </c>
      <c r="L4598">
        <v>0</v>
      </c>
      <c r="M4598" t="s">
        <v>139</v>
      </c>
    </row>
    <row r="4599" spans="1:13" hidden="1" x14ac:dyDescent="0.15">
      <c r="A4599" t="s">
        <v>14558</v>
      </c>
      <c r="B4599" t="s">
        <v>14559</v>
      </c>
      <c r="C4599" t="s">
        <v>14560</v>
      </c>
      <c r="D4599" t="s">
        <v>14550</v>
      </c>
      <c r="E4599">
        <v>0</v>
      </c>
      <c r="F4599" t="str">
        <f>HYPERLINK("https://github.com/PojavLauncherTeam/PojavLauncher/issues/1564", "show")</f>
        <v>show</v>
      </c>
      <c r="G4599" t="str">
        <f>HYPERLINK("https://github.com/PojavLauncherTeam/PojavLauncher", "show")</f>
        <v>show</v>
      </c>
      <c r="H4599" t="str">
        <f>HYPERLINK("https://github.com/PojavLauncherTeam/PojavLauncher/releases", "show")</f>
        <v>show</v>
      </c>
      <c r="I4599">
        <v>0</v>
      </c>
      <c r="J4599">
        <v>1</v>
      </c>
      <c r="K4599">
        <v>1</v>
      </c>
      <c r="L4599">
        <v>0</v>
      </c>
      <c r="M4599" t="s">
        <v>699</v>
      </c>
    </row>
    <row r="4600" spans="1:13" hidden="1" x14ac:dyDescent="0.15">
      <c r="A4600" t="s">
        <v>14561</v>
      </c>
      <c r="B4600" t="s">
        <v>14562</v>
      </c>
      <c r="C4600" t="s">
        <v>14563</v>
      </c>
      <c r="D4600" t="s">
        <v>14550</v>
      </c>
      <c r="E4600">
        <v>0</v>
      </c>
      <c r="F4600" t="str">
        <f>HYPERLINK("https://github.com/TeamNewPipe/NewPipe/issues/6519", "show")</f>
        <v>show</v>
      </c>
      <c r="G4600" t="str">
        <f>HYPERLINK("https://github.com/TeamNewPipe/NewPipe", "show")</f>
        <v>show</v>
      </c>
      <c r="H4600" t="str">
        <f>HYPERLINK("https://github.com/TeamNewPipe/NewPipe/releases", "show")</f>
        <v>show</v>
      </c>
      <c r="I4600">
        <v>1</v>
      </c>
      <c r="J4600">
        <v>1</v>
      </c>
      <c r="K4600">
        <v>1</v>
      </c>
      <c r="L4600">
        <v>0</v>
      </c>
      <c r="M4600" t="s">
        <v>59</v>
      </c>
    </row>
    <row r="4601" spans="1:13" hidden="1" x14ac:dyDescent="0.15">
      <c r="A4601" t="s">
        <v>14564</v>
      </c>
      <c r="B4601" t="s">
        <v>14565</v>
      </c>
      <c r="C4601" t="s">
        <v>14566</v>
      </c>
      <c r="D4601" t="s">
        <v>14567</v>
      </c>
      <c r="E4601">
        <v>59</v>
      </c>
      <c r="F4601" t="str">
        <f>HYPERLINK("https://github.com/nextcloud/android/issues/8600", "show")</f>
        <v>show</v>
      </c>
      <c r="G4601" t="str">
        <f>HYPERLINK("https://github.com/nextcloud/android", "show")</f>
        <v>show</v>
      </c>
      <c r="H4601" t="str">
        <f>HYPERLINK("https://github.com/nextcloud/android/releases", "show")</f>
        <v>show</v>
      </c>
      <c r="I4601">
        <v>1</v>
      </c>
      <c r="J4601">
        <v>1</v>
      </c>
      <c r="K4601">
        <v>1</v>
      </c>
      <c r="L4601">
        <v>0</v>
      </c>
      <c r="M4601" t="s">
        <v>59</v>
      </c>
    </row>
    <row r="4602" spans="1:13" hidden="1" x14ac:dyDescent="0.15">
      <c r="A4602" t="s">
        <v>14568</v>
      </c>
      <c r="B4602" t="s">
        <v>14569</v>
      </c>
      <c r="C4602" t="s">
        <v>14570</v>
      </c>
      <c r="D4602" t="s">
        <v>14567</v>
      </c>
      <c r="E4602">
        <v>1</v>
      </c>
      <c r="F4602" t="str">
        <f>HYPERLINK("https://github.com/MuntashirAkon/AppManager/issues/483", "show")</f>
        <v>show</v>
      </c>
      <c r="G4602" t="str">
        <f>HYPERLINK("https://github.com/MuntashirAkon/AppManager", "show")</f>
        <v>show</v>
      </c>
      <c r="H4602" t="str">
        <f>HYPERLINK("https://github.com/MuntashirAkon/AppManager/releases", "show")</f>
        <v>show</v>
      </c>
      <c r="I4602">
        <v>1</v>
      </c>
      <c r="J4602">
        <v>1</v>
      </c>
      <c r="K4602">
        <v>1</v>
      </c>
      <c r="L4602">
        <v>0</v>
      </c>
      <c r="M4602" t="s">
        <v>59</v>
      </c>
    </row>
    <row r="4603" spans="1:13" hidden="1" x14ac:dyDescent="0.15">
      <c r="A4603" t="s">
        <v>14571</v>
      </c>
      <c r="B4603" t="s">
        <v>14572</v>
      </c>
      <c r="C4603" t="s">
        <v>14573</v>
      </c>
      <c r="D4603" t="s">
        <v>14567</v>
      </c>
      <c r="E4603">
        <v>100</v>
      </c>
      <c r="F4603" t="str">
        <f>HYPERLINK("https://github.com/nikita36078/J2ME-Loader/issues/802", "show")</f>
        <v>show</v>
      </c>
      <c r="G4603" t="str">
        <f>HYPERLINK("https://github.com/nikita36078/J2ME-Loader", "show")</f>
        <v>show</v>
      </c>
      <c r="H4603" t="str">
        <f>HYPERLINK("https://github.com/nikita36078/J2ME-Loader/releases", "show")</f>
        <v>show</v>
      </c>
      <c r="I4603">
        <v>1</v>
      </c>
      <c r="J4603">
        <v>1</v>
      </c>
      <c r="K4603">
        <v>0</v>
      </c>
      <c r="L4603">
        <v>0</v>
      </c>
      <c r="M4603" t="s">
        <v>48</v>
      </c>
    </row>
    <row r="4604" spans="1:13" hidden="1" x14ac:dyDescent="0.15">
      <c r="A4604" t="s">
        <v>14574</v>
      </c>
      <c r="B4604" t="s">
        <v>14575</v>
      </c>
      <c r="C4604" t="s">
        <v>14576</v>
      </c>
      <c r="D4604" t="s">
        <v>14577</v>
      </c>
      <c r="E4604">
        <v>0</v>
      </c>
      <c r="F4604" t="str">
        <f>HYPERLINK("https://github.com/MuntashirAkon/AppManager/issues/482", "show")</f>
        <v>show</v>
      </c>
      <c r="G4604" t="str">
        <f>HYPERLINK("https://github.com/MuntashirAkon/AppManager", "show")</f>
        <v>show</v>
      </c>
      <c r="H4604" t="str">
        <f>HYPERLINK("https://github.com/MuntashirAkon/AppManager/releases", "show")</f>
        <v>show</v>
      </c>
      <c r="I4604">
        <v>0</v>
      </c>
      <c r="J4604">
        <v>0</v>
      </c>
      <c r="K4604">
        <v>1</v>
      </c>
      <c r="L4604">
        <v>0</v>
      </c>
      <c r="M4604" t="s">
        <v>122</v>
      </c>
    </row>
    <row r="4605" spans="1:13" hidden="1" x14ac:dyDescent="0.15">
      <c r="A4605" t="s">
        <v>14578</v>
      </c>
      <c r="B4605" t="s">
        <v>14579</v>
      </c>
      <c r="C4605" t="s">
        <v>14580</v>
      </c>
      <c r="D4605" t="s">
        <v>14577</v>
      </c>
      <c r="E4605">
        <v>0</v>
      </c>
      <c r="F4605" t="str">
        <f>HYPERLINK("https://github.com/Anuken/Mindustry/issues/5434", "show")</f>
        <v>show</v>
      </c>
      <c r="G4605" t="str">
        <f>HYPERLINK("https://github.com/Anuken/Mindustry", "show")</f>
        <v>show</v>
      </c>
      <c r="H4605" t="str">
        <f>HYPERLINK("https://github.com/Anuken/Mindustry/releases", "show")</f>
        <v>show</v>
      </c>
      <c r="I4605">
        <v>1</v>
      </c>
      <c r="J4605">
        <v>1</v>
      </c>
      <c r="K4605">
        <v>0</v>
      </c>
      <c r="L4605">
        <v>0</v>
      </c>
      <c r="M4605" t="s">
        <v>48</v>
      </c>
    </row>
    <row r="4606" spans="1:13" hidden="1" x14ac:dyDescent="0.15">
      <c r="A4606" t="s">
        <v>14581</v>
      </c>
      <c r="B4606" t="s">
        <v>4312</v>
      </c>
      <c r="C4606" t="s">
        <v>14582</v>
      </c>
      <c r="D4606" t="s">
        <v>14577</v>
      </c>
      <c r="E4606">
        <v>11</v>
      </c>
      <c r="F4606" t="str">
        <f>HYPERLINK("https://github.com/IanPeake/FatMaxxer/issues/4", "show")</f>
        <v>show</v>
      </c>
      <c r="G4606" t="str">
        <f>HYPERLINK("https://github.com/IanPeake/FatMaxxer", "show")</f>
        <v>show</v>
      </c>
      <c r="H4606" t="str">
        <f>HYPERLINK("https://github.com/IanPeake/FatMaxxer/releases", "show")</f>
        <v>show</v>
      </c>
      <c r="I4606">
        <v>1</v>
      </c>
      <c r="J4606">
        <v>0</v>
      </c>
      <c r="K4606">
        <v>0</v>
      </c>
      <c r="L4606">
        <v>0</v>
      </c>
      <c r="M4606" t="s">
        <v>17</v>
      </c>
    </row>
    <row r="4607" spans="1:13" hidden="1" x14ac:dyDescent="0.15">
      <c r="A4607" t="s">
        <v>14583</v>
      </c>
      <c r="B4607" t="s">
        <v>14584</v>
      </c>
      <c r="C4607" t="s">
        <v>14585</v>
      </c>
      <c r="D4607" t="s">
        <v>14577</v>
      </c>
      <c r="E4607">
        <v>8</v>
      </c>
      <c r="F4607" t="str">
        <f>HYPERLINK("https://github.com/hzi-braunschweig/SORMAS-Project/issues/5849", "show")</f>
        <v>show</v>
      </c>
      <c r="G4607" t="str">
        <f>HYPERLINK("https://github.com/hzi-braunschweig/SORMAS-Project", "show")</f>
        <v>show</v>
      </c>
      <c r="H4607" t="str">
        <f>HYPERLINK("https://github.com/hzi-braunschweig/SORMAS-Project/releases", "show")</f>
        <v>show</v>
      </c>
      <c r="I4607">
        <v>0</v>
      </c>
      <c r="J4607">
        <v>0</v>
      </c>
      <c r="K4607">
        <v>0</v>
      </c>
      <c r="L4607">
        <v>0</v>
      </c>
      <c r="M4607" t="s">
        <v>43</v>
      </c>
    </row>
    <row r="4608" spans="1:13" hidden="1" x14ac:dyDescent="0.15">
      <c r="A4608" t="s">
        <v>14586</v>
      </c>
      <c r="B4608" t="s">
        <v>14587</v>
      </c>
      <c r="C4608" t="s">
        <v>14291</v>
      </c>
      <c r="D4608" t="s">
        <v>14577</v>
      </c>
      <c r="E4608">
        <v>10</v>
      </c>
      <c r="F4608" t="str">
        <f>HYPERLINK("https://github.com/PojavLauncherTeam/PojavLauncher/issues/1555", "show")</f>
        <v>show</v>
      </c>
      <c r="G4608" t="str">
        <f>HYPERLINK("https://github.com/PojavLauncherTeam/PojavLauncher", "show")</f>
        <v>show</v>
      </c>
      <c r="H4608" t="str">
        <f>HYPERLINK("https://github.com/PojavLauncherTeam/PojavLauncher/releases", "show")</f>
        <v>show</v>
      </c>
      <c r="I4608">
        <v>1</v>
      </c>
      <c r="J4608">
        <v>1</v>
      </c>
      <c r="K4608">
        <v>0</v>
      </c>
      <c r="L4608">
        <v>0</v>
      </c>
      <c r="M4608" t="s">
        <v>48</v>
      </c>
    </row>
    <row r="4609" spans="1:13" hidden="1" x14ac:dyDescent="0.15">
      <c r="A4609" t="s">
        <v>14588</v>
      </c>
      <c r="B4609" t="s">
        <v>14589</v>
      </c>
      <c r="C4609" t="s">
        <v>14590</v>
      </c>
      <c r="D4609" t="s">
        <v>14577</v>
      </c>
      <c r="E4609">
        <v>1</v>
      </c>
      <c r="F4609" t="str">
        <f>HYPERLINK("https://github.com/PojavLauncherTeam/PojavLauncher/issues/1554", "show")</f>
        <v>show</v>
      </c>
      <c r="G4609" t="str">
        <f>HYPERLINK("https://github.com/PojavLauncherTeam/PojavLauncher", "show")</f>
        <v>show</v>
      </c>
      <c r="H4609" t="str">
        <f>HYPERLINK("https://github.com/PojavLauncherTeam/PojavLauncher/releases", "show")</f>
        <v>show</v>
      </c>
      <c r="I4609">
        <v>1</v>
      </c>
      <c r="J4609">
        <v>0</v>
      </c>
      <c r="K4609">
        <v>1</v>
      </c>
      <c r="L4609">
        <v>0</v>
      </c>
      <c r="M4609" t="s">
        <v>64</v>
      </c>
    </row>
    <row r="4610" spans="1:13" hidden="1" x14ac:dyDescent="0.15">
      <c r="A4610" t="s">
        <v>14591</v>
      </c>
      <c r="B4610" t="s">
        <v>14592</v>
      </c>
      <c r="C4610" t="s">
        <v>14593</v>
      </c>
      <c r="D4610" t="s">
        <v>14594</v>
      </c>
      <c r="E4610">
        <v>218</v>
      </c>
      <c r="F4610" t="str">
        <f>HYPERLINK("https://github.com/deepjavalibrary/djl/issues/1026", "show")</f>
        <v>show</v>
      </c>
      <c r="G4610" t="str">
        <f>HYPERLINK("https://github.com/deepjavalibrary/djl", "show")</f>
        <v>show</v>
      </c>
      <c r="H4610" t="str">
        <f>HYPERLINK("https://github.com/deepjavalibrary/djl/releases", "show")</f>
        <v>show</v>
      </c>
      <c r="I4610">
        <v>1</v>
      </c>
      <c r="J4610">
        <v>0</v>
      </c>
      <c r="K4610">
        <v>0</v>
      </c>
      <c r="L4610">
        <v>0</v>
      </c>
      <c r="M4610" t="s">
        <v>17</v>
      </c>
    </row>
    <row r="4611" spans="1:13" hidden="1" x14ac:dyDescent="0.15">
      <c r="A4611" t="s">
        <v>14595</v>
      </c>
      <c r="B4611" t="s">
        <v>14596</v>
      </c>
      <c r="C4611" t="s">
        <v>14597</v>
      </c>
      <c r="D4611" t="s">
        <v>14594</v>
      </c>
      <c r="E4611">
        <v>29</v>
      </c>
      <c r="F4611" t="str">
        <f>HYPERLINK("https://github.com/TeamNewPipe/NewPipe/issues/6497", "show")</f>
        <v>show</v>
      </c>
      <c r="G4611" t="str">
        <f>HYPERLINK("https://github.com/TeamNewPipe/NewPipe", "show")</f>
        <v>show</v>
      </c>
      <c r="H4611" t="str">
        <f>HYPERLINK("https://github.com/TeamNewPipe/NewPipe/releases", "show")</f>
        <v>show</v>
      </c>
      <c r="I4611">
        <v>1</v>
      </c>
      <c r="J4611">
        <v>1</v>
      </c>
      <c r="K4611">
        <v>0</v>
      </c>
      <c r="L4611">
        <v>0</v>
      </c>
      <c r="M4611" t="s">
        <v>48</v>
      </c>
    </row>
    <row r="4612" spans="1:13" hidden="1" x14ac:dyDescent="0.15">
      <c r="A4612" t="s">
        <v>14598</v>
      </c>
      <c r="B4612" t="s">
        <v>14599</v>
      </c>
      <c r="C4612" t="s">
        <v>14600</v>
      </c>
      <c r="D4612" t="s">
        <v>14594</v>
      </c>
      <c r="E4612">
        <v>1</v>
      </c>
      <c r="F4612" t="str">
        <f>HYPERLINK("https://github.com/PojavLauncherTeam/PojavLauncher/issues/1549", "show")</f>
        <v>show</v>
      </c>
      <c r="G4612" t="str">
        <f>HYPERLINK("https://github.com/PojavLauncherTeam/PojavLauncher", "show")</f>
        <v>show</v>
      </c>
      <c r="H4612" t="str">
        <f>HYPERLINK("https://github.com/PojavLauncherTeam/PojavLauncher/releases", "show")</f>
        <v>show</v>
      </c>
      <c r="I4612">
        <v>1</v>
      </c>
      <c r="J4612">
        <v>1</v>
      </c>
      <c r="K4612">
        <v>0</v>
      </c>
      <c r="L4612">
        <v>0</v>
      </c>
      <c r="M4612" t="s">
        <v>48</v>
      </c>
    </row>
    <row r="4613" spans="1:13" hidden="1" x14ac:dyDescent="0.15">
      <c r="A4613" t="s">
        <v>14601</v>
      </c>
      <c r="B4613" t="s">
        <v>14602</v>
      </c>
      <c r="C4613" t="s">
        <v>14603</v>
      </c>
      <c r="D4613" t="s">
        <v>14594</v>
      </c>
      <c r="E4613">
        <v>2</v>
      </c>
      <c r="F4613" t="str">
        <f>HYPERLINK("https://github.com/Poing-Studios/godot-admob-android/issues/79", "show")</f>
        <v>show</v>
      </c>
      <c r="G4613" t="str">
        <f>HYPERLINK("https://github.com/Poing-Studios/godot-admob-android", "show")</f>
        <v>show</v>
      </c>
      <c r="H4613" t="str">
        <f>HYPERLINK("https://github.com/Poing-Studios/godot-admob-android/releases", "show")</f>
        <v>show</v>
      </c>
      <c r="I4613">
        <v>1</v>
      </c>
      <c r="J4613">
        <v>1</v>
      </c>
      <c r="K4613">
        <v>0</v>
      </c>
      <c r="L4613">
        <v>1</v>
      </c>
      <c r="M4613" t="s">
        <v>1894</v>
      </c>
    </row>
    <row r="4614" spans="1:13" hidden="1" x14ac:dyDescent="0.15">
      <c r="A4614" t="s">
        <v>14604</v>
      </c>
      <c r="B4614" t="s">
        <v>14605</v>
      </c>
      <c r="C4614" t="s">
        <v>13289</v>
      </c>
      <c r="D4614" t="s">
        <v>14606</v>
      </c>
      <c r="E4614">
        <v>2</v>
      </c>
      <c r="F4614" t="str">
        <f>HYPERLINK("https://github.com/nextcloud/android/issues/8588", "show")</f>
        <v>show</v>
      </c>
      <c r="G4614" t="str">
        <f>HYPERLINK("https://github.com/nextcloud/android", "show")</f>
        <v>show</v>
      </c>
      <c r="H4614" t="str">
        <f>HYPERLINK("https://github.com/nextcloud/android/releases", "show")</f>
        <v>show</v>
      </c>
      <c r="I4614">
        <v>0</v>
      </c>
      <c r="J4614">
        <v>0</v>
      </c>
      <c r="K4614">
        <v>1</v>
      </c>
      <c r="L4614">
        <v>0</v>
      </c>
      <c r="M4614" t="s">
        <v>122</v>
      </c>
    </row>
    <row r="4615" spans="1:13" hidden="1" x14ac:dyDescent="0.15">
      <c r="A4615" t="s">
        <v>14607</v>
      </c>
      <c r="B4615" t="s">
        <v>14608</v>
      </c>
      <c r="C4615" t="s">
        <v>14609</v>
      </c>
      <c r="D4615" t="s">
        <v>14606</v>
      </c>
      <c r="E4615">
        <v>0</v>
      </c>
      <c r="F4615" t="str">
        <f>HYPERLINK("https://github.com/PojavLauncherTeam/PojavLauncher/issues/1547", "show")</f>
        <v>show</v>
      </c>
      <c r="G4615" t="str">
        <f>HYPERLINK("https://github.com/PojavLauncherTeam/PojavLauncher", "show")</f>
        <v>show</v>
      </c>
      <c r="H4615" t="str">
        <f>HYPERLINK("https://github.com/PojavLauncherTeam/PojavLauncher/releases", "show")</f>
        <v>show</v>
      </c>
      <c r="I4615">
        <v>1</v>
      </c>
      <c r="J4615">
        <v>1</v>
      </c>
      <c r="K4615">
        <v>0</v>
      </c>
      <c r="L4615">
        <v>1</v>
      </c>
      <c r="M4615" t="s">
        <v>1894</v>
      </c>
    </row>
    <row r="4616" spans="1:13" hidden="1" x14ac:dyDescent="0.15">
      <c r="A4616" t="s">
        <v>14610</v>
      </c>
      <c r="B4616" t="s">
        <v>14611</v>
      </c>
      <c r="C4616" t="s">
        <v>14612</v>
      </c>
      <c r="D4616" t="s">
        <v>14606</v>
      </c>
      <c r="E4616">
        <v>7</v>
      </c>
      <c r="F4616" t="str">
        <f>HYPERLINK("https://github.com/muxinc/mux-stats-sdk-exoplayer/issues/114", "show")</f>
        <v>show</v>
      </c>
      <c r="G4616" t="str">
        <f>HYPERLINK("https://github.com/muxinc/mux-stats-sdk-exoplayer", "show")</f>
        <v>show</v>
      </c>
      <c r="H4616" t="str">
        <f>HYPERLINK("https://github.com/muxinc/mux-stats-sdk-exoplayer/releases", "show")</f>
        <v>show</v>
      </c>
      <c r="I4616">
        <v>1</v>
      </c>
      <c r="J4616">
        <v>0</v>
      </c>
      <c r="K4616">
        <v>0</v>
      </c>
      <c r="L4616">
        <v>0</v>
      </c>
      <c r="M4616" t="s">
        <v>17</v>
      </c>
    </row>
    <row r="4617" spans="1:13" hidden="1" x14ac:dyDescent="0.15">
      <c r="A4617" t="s">
        <v>14613</v>
      </c>
      <c r="B4617" t="s">
        <v>14614</v>
      </c>
      <c r="C4617" t="s">
        <v>14615</v>
      </c>
      <c r="D4617" t="s">
        <v>14606</v>
      </c>
      <c r="E4617">
        <v>0</v>
      </c>
      <c r="F4617" t="str">
        <f>HYPERLINK("https://github.com/TeamNewPipe/NewPipe/issues/6492", "show")</f>
        <v>show</v>
      </c>
      <c r="G4617" t="str">
        <f>HYPERLINK("https://github.com/TeamNewPipe/NewPipe", "show")</f>
        <v>show</v>
      </c>
      <c r="H4617" t="str">
        <f>HYPERLINK("https://github.com/TeamNewPipe/NewPipe/releases", "show")</f>
        <v>show</v>
      </c>
      <c r="I4617">
        <v>1</v>
      </c>
      <c r="J4617">
        <v>1</v>
      </c>
      <c r="K4617">
        <v>0</v>
      </c>
      <c r="L4617">
        <v>1</v>
      </c>
      <c r="M4617" t="s">
        <v>1894</v>
      </c>
    </row>
    <row r="4618" spans="1:13" hidden="1" x14ac:dyDescent="0.15">
      <c r="A4618" t="s">
        <v>14616</v>
      </c>
      <c r="B4618" t="s">
        <v>14617</v>
      </c>
      <c r="C4618" t="s">
        <v>14618</v>
      </c>
      <c r="D4618" t="s">
        <v>14606</v>
      </c>
      <c r="E4618">
        <v>2</v>
      </c>
      <c r="F4618" t="str">
        <f>HYPERLINK("https://github.com/k9mail/k-9/issues/5343", "show")</f>
        <v>show</v>
      </c>
      <c r="G4618" t="str">
        <f>HYPERLINK("https://github.com/k9mail/k-9", "show")</f>
        <v>show</v>
      </c>
      <c r="H4618" t="str">
        <f>HYPERLINK("https://github.com/k9mail/k-9/releases", "show")</f>
        <v>show</v>
      </c>
      <c r="I4618">
        <v>0</v>
      </c>
      <c r="J4618">
        <v>1</v>
      </c>
      <c r="K4618">
        <v>1</v>
      </c>
      <c r="L4618">
        <v>0</v>
      </c>
      <c r="M4618" t="s">
        <v>699</v>
      </c>
    </row>
    <row r="4619" spans="1:13" hidden="1" x14ac:dyDescent="0.15">
      <c r="A4619" t="s">
        <v>14619</v>
      </c>
      <c r="B4619" t="s">
        <v>14620</v>
      </c>
      <c r="C4619" t="s">
        <v>14621</v>
      </c>
      <c r="D4619" t="s">
        <v>14606</v>
      </c>
      <c r="E4619">
        <v>0</v>
      </c>
      <c r="F4619" t="str">
        <f>HYPERLINK("https://github.com/PojavLauncherTeam/PojavLauncher/issues/1544", "show")</f>
        <v>show</v>
      </c>
      <c r="G4619" t="str">
        <f>HYPERLINK("https://github.com/PojavLauncherTeam/PojavLauncher", "show")</f>
        <v>show</v>
      </c>
      <c r="H4619" t="str">
        <f>HYPERLINK("https://github.com/PojavLauncherTeam/PojavLauncher/releases", "show")</f>
        <v>show</v>
      </c>
      <c r="I4619">
        <v>1</v>
      </c>
      <c r="J4619">
        <v>0</v>
      </c>
      <c r="K4619">
        <v>0</v>
      </c>
      <c r="L4619">
        <v>0</v>
      </c>
      <c r="M4619" t="s">
        <v>17</v>
      </c>
    </row>
    <row r="4620" spans="1:13" hidden="1" x14ac:dyDescent="0.15">
      <c r="A4620" t="s">
        <v>14622</v>
      </c>
      <c r="B4620" t="s">
        <v>14623</v>
      </c>
      <c r="C4620" t="s">
        <v>14624</v>
      </c>
      <c r="D4620" t="s">
        <v>14625</v>
      </c>
      <c r="E4620">
        <v>0</v>
      </c>
      <c r="F4620" t="str">
        <f>HYPERLINK("https://github.com/nextcloud/android/issues/8578", "show")</f>
        <v>show</v>
      </c>
      <c r="G4620" t="str">
        <f>HYPERLINK("https://github.com/nextcloud/android", "show")</f>
        <v>show</v>
      </c>
      <c r="H4620" t="str">
        <f>HYPERLINK("https://github.com/nextcloud/android/releases", "show")</f>
        <v>show</v>
      </c>
      <c r="I4620">
        <v>1</v>
      </c>
      <c r="J4620">
        <v>1</v>
      </c>
      <c r="K4620">
        <v>1</v>
      </c>
      <c r="L4620">
        <v>0</v>
      </c>
      <c r="M4620" t="s">
        <v>59</v>
      </c>
    </row>
    <row r="4621" spans="1:13" hidden="1" x14ac:dyDescent="0.15">
      <c r="A4621" t="s">
        <v>14626</v>
      </c>
      <c r="B4621" t="s">
        <v>14627</v>
      </c>
      <c r="C4621" t="s">
        <v>14628</v>
      </c>
      <c r="D4621" t="s">
        <v>14625</v>
      </c>
      <c r="E4621">
        <v>0</v>
      </c>
      <c r="F4621" t="str">
        <f>HYPERLINK("https://github.com/andOTP/andOTP/issues/856", "show")</f>
        <v>show</v>
      </c>
      <c r="G4621" t="str">
        <f>HYPERLINK("https://github.com/andOTP/andOTP", "show")</f>
        <v>show</v>
      </c>
      <c r="H4621" t="str">
        <f>HYPERLINK("https://github.com/andOTP/andOTP/releases", "show")</f>
        <v>show</v>
      </c>
      <c r="I4621">
        <v>0</v>
      </c>
      <c r="J4621">
        <v>1</v>
      </c>
      <c r="K4621">
        <v>1</v>
      </c>
      <c r="L4621">
        <v>0</v>
      </c>
      <c r="M4621" t="s">
        <v>699</v>
      </c>
    </row>
    <row r="4622" spans="1:13" hidden="1" x14ac:dyDescent="0.15">
      <c r="A4622" t="s">
        <v>14629</v>
      </c>
      <c r="B4622" t="s">
        <v>14589</v>
      </c>
      <c r="C4622" t="s">
        <v>14630</v>
      </c>
      <c r="D4622" t="s">
        <v>14631</v>
      </c>
      <c r="E4622">
        <v>6</v>
      </c>
      <c r="F4622" t="str">
        <f>HYPERLINK("https://github.com/StoyanTinchev/musicial-tesla-coil/issues/35", "show")</f>
        <v>show</v>
      </c>
      <c r="G4622" t="str">
        <f>HYPERLINK("https://github.com/StoyanTinchev/musicial-tesla-coil", "show")</f>
        <v>show</v>
      </c>
      <c r="H4622" t="str">
        <f>HYPERLINK("https://github.com/StoyanTinchev/musicial-tesla-coil/releases", "show")</f>
        <v>show</v>
      </c>
      <c r="I4622">
        <v>1</v>
      </c>
      <c r="J4622">
        <v>1</v>
      </c>
      <c r="K4622">
        <v>0</v>
      </c>
      <c r="L4622">
        <v>1</v>
      </c>
      <c r="M4622" t="s">
        <v>1894</v>
      </c>
    </row>
    <row r="4623" spans="1:13" hidden="1" x14ac:dyDescent="0.15">
      <c r="A4623" t="s">
        <v>14632</v>
      </c>
      <c r="B4623" t="s">
        <v>14633</v>
      </c>
      <c r="C4623" t="s">
        <v>14634</v>
      </c>
      <c r="D4623" t="s">
        <v>14631</v>
      </c>
      <c r="E4623">
        <v>9</v>
      </c>
      <c r="F4623" t="str">
        <f>HYPERLINK("https://github.com/IdoSagiv/CommuniDog/issues/13", "show")</f>
        <v>show</v>
      </c>
      <c r="G4623" t="str">
        <f>HYPERLINK("https://github.com/IdoSagiv/CommuniDog", "show")</f>
        <v>show</v>
      </c>
      <c r="H4623" t="str">
        <f>HYPERLINK("https://github.com/IdoSagiv/CommuniDog/releases", "show")</f>
        <v>show</v>
      </c>
      <c r="I4623">
        <v>1</v>
      </c>
      <c r="J4623">
        <v>0</v>
      </c>
      <c r="K4623">
        <v>0</v>
      </c>
      <c r="L4623">
        <v>0</v>
      </c>
      <c r="M4623" t="s">
        <v>17</v>
      </c>
    </row>
    <row r="4624" spans="1:13" hidden="1" x14ac:dyDescent="0.15">
      <c r="A4624" t="s">
        <v>14635</v>
      </c>
      <c r="B4624" t="s">
        <v>14636</v>
      </c>
      <c r="C4624" t="s">
        <v>14637</v>
      </c>
      <c r="D4624" t="s">
        <v>14631</v>
      </c>
      <c r="E4624">
        <v>0</v>
      </c>
      <c r="F4624" t="str">
        <f>HYPERLINK("https://github.com/Anuken/Mindustry/issues/5417", "show")</f>
        <v>show</v>
      </c>
      <c r="G4624" t="str">
        <f>HYPERLINK("https://github.com/Anuken/Mindustry", "show")</f>
        <v>show</v>
      </c>
      <c r="H4624" t="str">
        <f>HYPERLINK("https://github.com/Anuken/Mindustry/releases", "show")</f>
        <v>show</v>
      </c>
      <c r="I4624">
        <v>1</v>
      </c>
      <c r="J4624">
        <v>0</v>
      </c>
      <c r="K4624">
        <v>0</v>
      </c>
      <c r="L4624">
        <v>0</v>
      </c>
      <c r="M4624" t="s">
        <v>17</v>
      </c>
    </row>
    <row r="4625" spans="1:13" hidden="1" x14ac:dyDescent="0.15">
      <c r="A4625" t="s">
        <v>14638</v>
      </c>
      <c r="B4625" t="s">
        <v>14639</v>
      </c>
      <c r="C4625" t="s">
        <v>14640</v>
      </c>
      <c r="D4625" t="s">
        <v>14631</v>
      </c>
      <c r="E4625">
        <v>29</v>
      </c>
      <c r="F4625" t="str">
        <f>HYPERLINK("https://github.com/nextcloud/android/issues/8572", "show")</f>
        <v>show</v>
      </c>
      <c r="G4625" t="str">
        <f>HYPERLINK("https://github.com/nextcloud/android", "show")</f>
        <v>show</v>
      </c>
      <c r="H4625" t="str">
        <f>HYPERLINK("https://github.com/nextcloud/android/releases", "show")</f>
        <v>show</v>
      </c>
      <c r="I4625">
        <v>0</v>
      </c>
      <c r="J4625">
        <v>1</v>
      </c>
      <c r="K4625">
        <v>1</v>
      </c>
      <c r="L4625">
        <v>0</v>
      </c>
      <c r="M4625" t="s">
        <v>699</v>
      </c>
    </row>
    <row r="4626" spans="1:13" x14ac:dyDescent="0.15">
      <c r="A4626" t="s">
        <v>14641</v>
      </c>
      <c r="B4626" t="s">
        <v>14605</v>
      </c>
      <c r="C4626" t="s">
        <v>11582</v>
      </c>
      <c r="D4626" t="s">
        <v>14642</v>
      </c>
      <c r="E4626">
        <v>5</v>
      </c>
      <c r="F4626" t="str">
        <f>HYPERLINK("https://github.com/nextcloud/android/issues/8570", "show")</f>
        <v>show</v>
      </c>
      <c r="G4626" t="str">
        <f>HYPERLINK("https://github.com/nextcloud/android", "show")</f>
        <v>show</v>
      </c>
      <c r="H4626" t="str">
        <f>HYPERLINK("https://github.com/nextcloud/android/releases", "show")</f>
        <v>show</v>
      </c>
      <c r="I4626">
        <v>0</v>
      </c>
      <c r="J4626">
        <v>1</v>
      </c>
      <c r="K4626">
        <v>0</v>
      </c>
      <c r="L4626">
        <v>0</v>
      </c>
      <c r="M4626" t="s">
        <v>139</v>
      </c>
    </row>
    <row r="4627" spans="1:13" hidden="1" x14ac:dyDescent="0.15">
      <c r="A4627" t="s">
        <v>14643</v>
      </c>
      <c r="B4627" t="s">
        <v>14644</v>
      </c>
      <c r="C4627" t="s">
        <v>14645</v>
      </c>
      <c r="D4627" t="s">
        <v>14642</v>
      </c>
      <c r="E4627">
        <v>122</v>
      </c>
      <c r="F4627" t="str">
        <f>HYPERLINK("https://github.com/MuntashirAkon/AppManager/issues/476", "show")</f>
        <v>show</v>
      </c>
      <c r="G4627" t="str">
        <f>HYPERLINK("https://github.com/MuntashirAkon/AppManager", "show")</f>
        <v>show</v>
      </c>
      <c r="H4627" t="str">
        <f>HYPERLINK("https://github.com/MuntashirAkon/AppManager/releases", "show")</f>
        <v>show</v>
      </c>
      <c r="I4627">
        <v>0</v>
      </c>
      <c r="J4627">
        <v>0</v>
      </c>
      <c r="K4627">
        <v>1</v>
      </c>
      <c r="L4627">
        <v>0</v>
      </c>
      <c r="M4627" t="s">
        <v>122</v>
      </c>
    </row>
    <row r="4628" spans="1:13" hidden="1" x14ac:dyDescent="0.15">
      <c r="A4628" t="s">
        <v>14646</v>
      </c>
      <c r="B4628" t="s">
        <v>14647</v>
      </c>
      <c r="C4628" t="s">
        <v>12185</v>
      </c>
      <c r="D4628" t="s">
        <v>14642</v>
      </c>
      <c r="E4628">
        <v>5</v>
      </c>
      <c r="F4628" t="str">
        <f>HYPERLINK("https://github.com/nextcloud/android/issues/8569", "show")</f>
        <v>show</v>
      </c>
      <c r="G4628" t="str">
        <f>HYPERLINK("https://github.com/nextcloud/android", "show")</f>
        <v>show</v>
      </c>
      <c r="H4628" t="str">
        <f>HYPERLINK("https://github.com/nextcloud/android/releases", "show")</f>
        <v>show</v>
      </c>
      <c r="I4628">
        <v>0</v>
      </c>
      <c r="J4628">
        <v>0</v>
      </c>
      <c r="K4628">
        <v>1</v>
      </c>
      <c r="L4628">
        <v>0</v>
      </c>
      <c r="M4628" t="s">
        <v>122</v>
      </c>
    </row>
    <row r="4629" spans="1:13" hidden="1" x14ac:dyDescent="0.15">
      <c r="A4629" t="s">
        <v>14648</v>
      </c>
      <c r="B4629" t="s">
        <v>14649</v>
      </c>
      <c r="C4629" t="s">
        <v>14650</v>
      </c>
      <c r="D4629" t="s">
        <v>14651</v>
      </c>
      <c r="E4629">
        <v>1</v>
      </c>
      <c r="F4629" t="str">
        <f>HYPERLINK("https://github.com/Benji377/SocyMusic/issues/56", "show")</f>
        <v>show</v>
      </c>
      <c r="G4629" t="str">
        <f>HYPERLINK("https://github.com/Benji377/SocyMusic", "show")</f>
        <v>show</v>
      </c>
      <c r="H4629" t="str">
        <f>HYPERLINK("https://github.com/Benji377/SocyMusic/releases", "show")</f>
        <v>show</v>
      </c>
      <c r="I4629">
        <v>0</v>
      </c>
      <c r="J4629">
        <v>0</v>
      </c>
      <c r="K4629">
        <v>0</v>
      </c>
      <c r="L4629">
        <v>0</v>
      </c>
      <c r="M4629" t="s">
        <v>43</v>
      </c>
    </row>
    <row r="4630" spans="1:13" hidden="1" x14ac:dyDescent="0.15">
      <c r="A4630" t="s">
        <v>14652</v>
      </c>
      <c r="B4630" t="s">
        <v>14653</v>
      </c>
      <c r="C4630" t="s">
        <v>14654</v>
      </c>
      <c r="D4630" t="s">
        <v>14651</v>
      </c>
      <c r="E4630">
        <v>1</v>
      </c>
      <c r="F4630" t="str">
        <f>HYPERLINK("https://github.com/TeamNewPipe/NewPipe/issues/6480", "show")</f>
        <v>show</v>
      </c>
      <c r="G4630" t="str">
        <f>HYPERLINK("https://github.com/TeamNewPipe/NewPipe", "show")</f>
        <v>show</v>
      </c>
      <c r="H4630" t="str">
        <f>HYPERLINK("https://github.com/TeamNewPipe/NewPipe/releases", "show")</f>
        <v>show</v>
      </c>
      <c r="I4630">
        <v>1</v>
      </c>
      <c r="J4630">
        <v>0</v>
      </c>
      <c r="K4630">
        <v>0</v>
      </c>
      <c r="L4630">
        <v>0</v>
      </c>
      <c r="M4630" t="s">
        <v>17</v>
      </c>
    </row>
    <row r="4631" spans="1:13" x14ac:dyDescent="0.15">
      <c r="A4631" t="s">
        <v>14655</v>
      </c>
      <c r="B4631" t="s">
        <v>14656</v>
      </c>
      <c r="C4631" t="s">
        <v>14657</v>
      </c>
      <c r="D4631" t="s">
        <v>14651</v>
      </c>
      <c r="E4631">
        <v>0</v>
      </c>
      <c r="F4631" t="str">
        <f>HYPERLINK("https://github.com/PojavLauncherTeam/PojavLauncher/issues/1523", "show")</f>
        <v>show</v>
      </c>
      <c r="G4631" t="str">
        <f>HYPERLINK("https://github.com/PojavLauncherTeam/PojavLauncher", "show")</f>
        <v>show</v>
      </c>
      <c r="H4631" t="str">
        <f>HYPERLINK("https://github.com/PojavLauncherTeam/PojavLauncher/releases", "show")</f>
        <v>show</v>
      </c>
      <c r="I4631">
        <v>0</v>
      </c>
      <c r="J4631">
        <v>1</v>
      </c>
      <c r="K4631">
        <v>0</v>
      </c>
      <c r="L4631">
        <v>0</v>
      </c>
      <c r="M4631" t="s">
        <v>139</v>
      </c>
    </row>
    <row r="4632" spans="1:13" hidden="1" x14ac:dyDescent="0.15">
      <c r="A4632" t="s">
        <v>14658</v>
      </c>
      <c r="B4632" t="s">
        <v>14659</v>
      </c>
      <c r="C4632" t="s">
        <v>14660</v>
      </c>
      <c r="D4632" t="s">
        <v>14651</v>
      </c>
      <c r="E4632">
        <v>3</v>
      </c>
      <c r="F4632" t="str">
        <f>HYPERLINK("https://github.com/thebergamo/react-native-fbsdk-next/issues/54", "show")</f>
        <v>show</v>
      </c>
      <c r="G4632" t="str">
        <f>HYPERLINK("https://github.com/thebergamo/react-native-fbsdk-next", "show")</f>
        <v>show</v>
      </c>
      <c r="H4632" t="str">
        <f>HYPERLINK("https://github.com/thebergamo/react-native-fbsdk-next/releases", "show")</f>
        <v>show</v>
      </c>
      <c r="I4632">
        <v>1</v>
      </c>
      <c r="J4632">
        <v>0</v>
      </c>
      <c r="K4632">
        <v>0</v>
      </c>
      <c r="L4632">
        <v>0</v>
      </c>
      <c r="M4632" t="s">
        <v>17</v>
      </c>
    </row>
    <row r="4633" spans="1:13" hidden="1" x14ac:dyDescent="0.15">
      <c r="A4633" t="s">
        <v>14661</v>
      </c>
      <c r="B4633" t="s">
        <v>14662</v>
      </c>
      <c r="C4633" t="s">
        <v>14663</v>
      </c>
      <c r="D4633" t="s">
        <v>14651</v>
      </c>
      <c r="E4633">
        <v>121</v>
      </c>
      <c r="F4633" t="str">
        <f>HYPERLINK("https://github.com/oliexdev/openScale/issues/740", "show")</f>
        <v>show</v>
      </c>
      <c r="G4633" t="str">
        <f>HYPERLINK("https://github.com/oliexdev/openScale", "show")</f>
        <v>show</v>
      </c>
      <c r="H4633" t="str">
        <f>HYPERLINK("https://github.com/oliexdev/openScale/releases", "show")</f>
        <v>show</v>
      </c>
      <c r="I4633">
        <v>1</v>
      </c>
      <c r="J4633">
        <v>0</v>
      </c>
      <c r="K4633">
        <v>0</v>
      </c>
      <c r="L4633">
        <v>0</v>
      </c>
      <c r="M4633" t="s">
        <v>17</v>
      </c>
    </row>
    <row r="4634" spans="1:13" hidden="1" x14ac:dyDescent="0.15">
      <c r="A4634" t="s">
        <v>14664</v>
      </c>
      <c r="B4634" t="s">
        <v>14665</v>
      </c>
      <c r="C4634" t="s">
        <v>14666</v>
      </c>
      <c r="D4634" t="s">
        <v>14651</v>
      </c>
      <c r="E4634">
        <v>6</v>
      </c>
      <c r="F4634" t="str">
        <f>HYPERLINK("https://github.com/TeamNewPipe/NewPipe/issues/6473", "show")</f>
        <v>show</v>
      </c>
      <c r="G4634" t="str">
        <f>HYPERLINK("https://github.com/TeamNewPipe/NewPipe", "show")</f>
        <v>show</v>
      </c>
      <c r="H4634" t="str">
        <f>HYPERLINK("https://github.com/TeamNewPipe/NewPipe/releases", "show")</f>
        <v>show</v>
      </c>
      <c r="I4634">
        <v>1</v>
      </c>
      <c r="J4634">
        <v>1</v>
      </c>
      <c r="K4634">
        <v>1</v>
      </c>
      <c r="L4634">
        <v>0</v>
      </c>
      <c r="M4634" t="s">
        <v>59</v>
      </c>
    </row>
    <row r="4635" spans="1:13" hidden="1" x14ac:dyDescent="0.15">
      <c r="A4635" t="s">
        <v>14667</v>
      </c>
      <c r="B4635" t="s">
        <v>14668</v>
      </c>
      <c r="C4635" t="s">
        <v>14669</v>
      </c>
      <c r="D4635" t="s">
        <v>14651</v>
      </c>
      <c r="E4635">
        <v>0</v>
      </c>
      <c r="F4635" t="str">
        <f>HYPERLINK("https://github.com/square/okhttp/issues/6701", "show")</f>
        <v>show</v>
      </c>
      <c r="G4635" t="str">
        <f>HYPERLINK("https://github.com/square/okhttp", "show")</f>
        <v>show</v>
      </c>
      <c r="H4635" t="str">
        <f>HYPERLINK("https://github.com/square/okhttp/releases", "show")</f>
        <v>show</v>
      </c>
      <c r="I4635">
        <v>1</v>
      </c>
      <c r="J4635">
        <v>0</v>
      </c>
      <c r="K4635">
        <v>1</v>
      </c>
      <c r="L4635">
        <v>0</v>
      </c>
      <c r="M4635" t="s">
        <v>64</v>
      </c>
    </row>
    <row r="4636" spans="1:13" hidden="1" x14ac:dyDescent="0.15">
      <c r="A4636" t="s">
        <v>14670</v>
      </c>
      <c r="B4636" t="s">
        <v>14671</v>
      </c>
      <c r="C4636" t="s">
        <v>14672</v>
      </c>
      <c r="D4636" t="s">
        <v>14651</v>
      </c>
      <c r="E4636">
        <v>0</v>
      </c>
      <c r="F4636" t="str">
        <f>HYPERLINK("https://github.com/nextcloud/android/issues/8561", "show")</f>
        <v>show</v>
      </c>
      <c r="G4636" t="str">
        <f>HYPERLINK("https://github.com/nextcloud/android", "show")</f>
        <v>show</v>
      </c>
      <c r="H4636" t="str">
        <f>HYPERLINK("https://github.com/nextcloud/android/releases", "show")</f>
        <v>show</v>
      </c>
      <c r="I4636">
        <v>1</v>
      </c>
      <c r="J4636">
        <v>1</v>
      </c>
      <c r="K4636">
        <v>1</v>
      </c>
      <c r="L4636">
        <v>0</v>
      </c>
      <c r="M4636" t="s">
        <v>59</v>
      </c>
    </row>
    <row r="4637" spans="1:13" hidden="1" x14ac:dyDescent="0.15">
      <c r="A4637" t="s">
        <v>14673</v>
      </c>
      <c r="B4637" t="s">
        <v>14674</v>
      </c>
      <c r="C4637" t="s">
        <v>14675</v>
      </c>
      <c r="D4637" t="s">
        <v>14676</v>
      </c>
      <c r="E4637">
        <v>1</v>
      </c>
      <c r="F4637" t="str">
        <f>HYPERLINK("https://github.com/nextcloud/android/issues/8560", "show")</f>
        <v>show</v>
      </c>
      <c r="G4637" t="str">
        <f>HYPERLINK("https://github.com/nextcloud/android", "show")</f>
        <v>show</v>
      </c>
      <c r="H4637" t="str">
        <f>HYPERLINK("https://github.com/nextcloud/android/releases", "show")</f>
        <v>show</v>
      </c>
      <c r="I4637">
        <v>1</v>
      </c>
      <c r="J4637">
        <v>1</v>
      </c>
      <c r="K4637">
        <v>1</v>
      </c>
      <c r="L4637">
        <v>0</v>
      </c>
      <c r="M4637" t="s">
        <v>59</v>
      </c>
    </row>
    <row r="4638" spans="1:13" hidden="1" x14ac:dyDescent="0.15">
      <c r="A4638" t="s">
        <v>14677</v>
      </c>
      <c r="B4638" t="s">
        <v>14678</v>
      </c>
      <c r="C4638" t="s">
        <v>14679</v>
      </c>
      <c r="D4638" t="s">
        <v>14676</v>
      </c>
      <c r="E4638">
        <v>2</v>
      </c>
      <c r="F4638" t="str">
        <f>HYPERLINK("https://github.com/Benji377/SocyMusic/issues/54", "show")</f>
        <v>show</v>
      </c>
      <c r="G4638" t="str">
        <f>HYPERLINK("https://github.com/Benji377/SocyMusic", "show")</f>
        <v>show</v>
      </c>
      <c r="H4638" t="str">
        <f>HYPERLINK("https://github.com/Benji377/SocyMusic/releases", "show")</f>
        <v>show</v>
      </c>
      <c r="I4638">
        <v>1</v>
      </c>
      <c r="J4638">
        <v>0</v>
      </c>
      <c r="K4638">
        <v>0</v>
      </c>
      <c r="L4638">
        <v>0</v>
      </c>
      <c r="M4638" t="s">
        <v>17</v>
      </c>
    </row>
    <row r="4639" spans="1:13" hidden="1" x14ac:dyDescent="0.15">
      <c r="A4639" t="s">
        <v>14680</v>
      </c>
      <c r="B4639" t="s">
        <v>14681</v>
      </c>
      <c r="C4639" t="s">
        <v>14682</v>
      </c>
      <c r="D4639" t="s">
        <v>14676</v>
      </c>
      <c r="E4639">
        <v>1</v>
      </c>
      <c r="F4639" t="str">
        <f>HYPERLINK("https://github.com/nextcloud/android/issues/8559", "show")</f>
        <v>show</v>
      </c>
      <c r="G4639" t="str">
        <f>HYPERLINK("https://github.com/nextcloud/android", "show")</f>
        <v>show</v>
      </c>
      <c r="H4639" t="str">
        <f>HYPERLINK("https://github.com/nextcloud/android/releases", "show")</f>
        <v>show</v>
      </c>
      <c r="I4639">
        <v>0</v>
      </c>
      <c r="J4639">
        <v>1</v>
      </c>
      <c r="K4639">
        <v>1</v>
      </c>
      <c r="L4639">
        <v>0</v>
      </c>
      <c r="M4639" t="s">
        <v>699</v>
      </c>
    </row>
    <row r="4640" spans="1:13" hidden="1" x14ac:dyDescent="0.15">
      <c r="A4640" t="s">
        <v>14683</v>
      </c>
      <c r="B4640" t="s">
        <v>14684</v>
      </c>
      <c r="C4640" t="s">
        <v>14685</v>
      </c>
      <c r="D4640" t="s">
        <v>14676</v>
      </c>
      <c r="E4640">
        <v>87</v>
      </c>
      <c r="F4640" t="str">
        <f>HYPERLINK("https://github.com/PojavLauncherTeam/PojavLauncher/issues/1518", "show")</f>
        <v>show</v>
      </c>
      <c r="G4640" t="str">
        <f>HYPERLINK("https://github.com/PojavLauncherTeam/PojavLauncher", "show")</f>
        <v>show</v>
      </c>
      <c r="H4640" t="str">
        <f>HYPERLINK("https://github.com/PojavLauncherTeam/PojavLauncher/releases", "show")</f>
        <v>show</v>
      </c>
      <c r="I4640">
        <v>1</v>
      </c>
      <c r="J4640">
        <v>1</v>
      </c>
      <c r="K4640">
        <v>0</v>
      </c>
      <c r="L4640">
        <v>0</v>
      </c>
      <c r="M4640" t="s">
        <v>48</v>
      </c>
    </row>
    <row r="4641" spans="1:13" hidden="1" x14ac:dyDescent="0.15">
      <c r="A4641" t="s">
        <v>14686</v>
      </c>
      <c r="B4641" t="s">
        <v>14687</v>
      </c>
      <c r="C4641" t="s">
        <v>14688</v>
      </c>
      <c r="D4641" t="s">
        <v>14676</v>
      </c>
      <c r="E4641">
        <v>49</v>
      </c>
      <c r="F4641" t="str">
        <f>HYPERLINK("https://github.com/nextcloud/android/issues/8558", "show")</f>
        <v>show</v>
      </c>
      <c r="G4641" t="str">
        <f>HYPERLINK("https://github.com/nextcloud/android", "show")</f>
        <v>show</v>
      </c>
      <c r="H4641" t="str">
        <f>HYPERLINK("https://github.com/nextcloud/android/releases", "show")</f>
        <v>show</v>
      </c>
      <c r="I4641">
        <v>0</v>
      </c>
      <c r="J4641">
        <v>1</v>
      </c>
      <c r="K4641">
        <v>1</v>
      </c>
      <c r="L4641">
        <v>0</v>
      </c>
      <c r="M4641" t="s">
        <v>699</v>
      </c>
    </row>
    <row r="4642" spans="1:13" hidden="1" x14ac:dyDescent="0.15">
      <c r="A4642" t="s">
        <v>14689</v>
      </c>
      <c r="B4642" t="s">
        <v>14690</v>
      </c>
      <c r="C4642" t="s">
        <v>14691</v>
      </c>
      <c r="D4642" t="s">
        <v>14676</v>
      </c>
      <c r="E4642">
        <v>0</v>
      </c>
      <c r="F4642" t="str">
        <f>HYPERLINK("https://github.com/Anuken/Mindustry/issues/5410", "show")</f>
        <v>show</v>
      </c>
      <c r="G4642" t="str">
        <f>HYPERLINK("https://github.com/Anuken/Mindustry", "show")</f>
        <v>show</v>
      </c>
      <c r="H4642" t="str">
        <f>HYPERLINK("https://github.com/Anuken/Mindustry/releases", "show")</f>
        <v>show</v>
      </c>
      <c r="I4642">
        <v>1</v>
      </c>
      <c r="J4642">
        <v>1</v>
      </c>
      <c r="K4642">
        <v>0</v>
      </c>
      <c r="L4642">
        <v>1</v>
      </c>
      <c r="M4642" t="s">
        <v>1894</v>
      </c>
    </row>
    <row r="4643" spans="1:13" hidden="1" x14ac:dyDescent="0.15">
      <c r="A4643" t="s">
        <v>14692</v>
      </c>
      <c r="B4643" t="s">
        <v>14693</v>
      </c>
      <c r="C4643" t="s">
        <v>14694</v>
      </c>
      <c r="D4643" t="s">
        <v>14676</v>
      </c>
      <c r="E4643">
        <v>1</v>
      </c>
      <c r="F4643" t="str">
        <f>HYPERLINK("https://github.com/Benji377/SocyMusic/issues/53", "show")</f>
        <v>show</v>
      </c>
      <c r="G4643" t="str">
        <f>HYPERLINK("https://github.com/Benji377/SocyMusic", "show")</f>
        <v>show</v>
      </c>
      <c r="H4643" t="str">
        <f>HYPERLINK("https://github.com/Benji377/SocyMusic/releases", "show")</f>
        <v>show</v>
      </c>
      <c r="I4643">
        <v>1</v>
      </c>
      <c r="J4643">
        <v>0</v>
      </c>
      <c r="K4643">
        <v>0</v>
      </c>
      <c r="L4643">
        <v>0</v>
      </c>
      <c r="M4643" t="s">
        <v>17</v>
      </c>
    </row>
    <row r="4644" spans="1:13" hidden="1" x14ac:dyDescent="0.15">
      <c r="A4644" t="s">
        <v>14695</v>
      </c>
      <c r="B4644" t="s">
        <v>14696</v>
      </c>
      <c r="C4644" t="s">
        <v>14697</v>
      </c>
      <c r="D4644" t="s">
        <v>14676</v>
      </c>
      <c r="E4644">
        <v>256</v>
      </c>
      <c r="F4644" t="str">
        <f>HYPERLINK("https://github.com/patzly/grocy-android/issues/425", "show")</f>
        <v>show</v>
      </c>
      <c r="G4644" t="str">
        <f>HYPERLINK("https://github.com/patzly/grocy-android", "show")</f>
        <v>show</v>
      </c>
      <c r="H4644" t="str">
        <f>HYPERLINK("https://github.com/patzly/grocy-android/releases", "show")</f>
        <v>show</v>
      </c>
      <c r="I4644">
        <v>1</v>
      </c>
      <c r="J4644">
        <v>0</v>
      </c>
      <c r="K4644">
        <v>0</v>
      </c>
      <c r="L4644">
        <v>0</v>
      </c>
      <c r="M4644" t="s">
        <v>17</v>
      </c>
    </row>
    <row r="4645" spans="1:13" hidden="1" x14ac:dyDescent="0.15">
      <c r="A4645" t="s">
        <v>14698</v>
      </c>
      <c r="B4645" t="s">
        <v>14699</v>
      </c>
      <c r="C4645" t="s">
        <v>14700</v>
      </c>
      <c r="D4645" t="s">
        <v>14676</v>
      </c>
      <c r="E4645">
        <v>49</v>
      </c>
      <c r="F4645" t="str">
        <f>HYPERLINK("https://github.com/nextcloud/android/issues/8557", "show")</f>
        <v>show</v>
      </c>
      <c r="G4645" t="str">
        <f>HYPERLINK("https://github.com/nextcloud/android", "show")</f>
        <v>show</v>
      </c>
      <c r="H4645" t="str">
        <f>HYPERLINK("https://github.com/nextcloud/android/releases", "show")</f>
        <v>show</v>
      </c>
      <c r="I4645">
        <v>0</v>
      </c>
      <c r="J4645">
        <v>0</v>
      </c>
      <c r="K4645">
        <v>1</v>
      </c>
      <c r="L4645">
        <v>0</v>
      </c>
      <c r="M4645" t="s">
        <v>122</v>
      </c>
    </row>
    <row r="4646" spans="1:13" hidden="1" x14ac:dyDescent="0.15">
      <c r="A4646" t="s">
        <v>14701</v>
      </c>
      <c r="B4646" t="s">
        <v>14702</v>
      </c>
      <c r="C4646" t="s">
        <v>14703</v>
      </c>
      <c r="D4646" t="s">
        <v>14676</v>
      </c>
      <c r="E4646">
        <v>0</v>
      </c>
      <c r="F4646" t="str">
        <f>HYPERLINK("https://github.com/nextcloud/android/issues/8555", "show")</f>
        <v>show</v>
      </c>
      <c r="G4646" t="str">
        <f>HYPERLINK("https://github.com/nextcloud/android", "show")</f>
        <v>show</v>
      </c>
      <c r="H4646" t="str">
        <f>HYPERLINK("https://github.com/nextcloud/android/releases", "show")</f>
        <v>show</v>
      </c>
      <c r="I4646">
        <v>1</v>
      </c>
      <c r="J4646">
        <v>1</v>
      </c>
      <c r="K4646">
        <v>1</v>
      </c>
      <c r="L4646">
        <v>0</v>
      </c>
      <c r="M4646" t="s">
        <v>59</v>
      </c>
    </row>
    <row r="4647" spans="1:13" x14ac:dyDescent="0.15">
      <c r="A4647" t="s">
        <v>14704</v>
      </c>
      <c r="B4647" t="s">
        <v>14705</v>
      </c>
      <c r="C4647" t="s">
        <v>14706</v>
      </c>
      <c r="D4647" t="s">
        <v>14676</v>
      </c>
      <c r="E4647">
        <v>0</v>
      </c>
      <c r="F4647" t="str">
        <f>HYPERLINK("https://github.com/telenordigital/connect-android-sdk/issues/239", "show")</f>
        <v>show</v>
      </c>
      <c r="G4647" t="str">
        <f>HYPERLINK("https://github.com/telenordigital/connect-android-sdk", "show")</f>
        <v>show</v>
      </c>
      <c r="H4647" t="str">
        <f>HYPERLINK("https://github.com/telenordigital/connect-android-sdk/releases", "show")</f>
        <v>show</v>
      </c>
      <c r="I4647">
        <v>0</v>
      </c>
      <c r="J4647">
        <v>1</v>
      </c>
      <c r="K4647">
        <v>0</v>
      </c>
      <c r="L4647">
        <v>0</v>
      </c>
      <c r="M4647" t="s">
        <v>139</v>
      </c>
    </row>
    <row r="4648" spans="1:13" hidden="1" x14ac:dyDescent="0.15">
      <c r="A4648" t="s">
        <v>14707</v>
      </c>
      <c r="B4648" t="s">
        <v>14708</v>
      </c>
      <c r="C4648" t="s">
        <v>14709</v>
      </c>
      <c r="D4648" t="s">
        <v>14676</v>
      </c>
      <c r="E4648">
        <v>0</v>
      </c>
      <c r="F4648" t="str">
        <f>HYPERLINK("https://github.com/Leap-Sample/leap-android/issues/2", "show")</f>
        <v>show</v>
      </c>
      <c r="G4648" t="str">
        <f>HYPERLINK("https://github.com/Leap-Sample/leap-android", "show")</f>
        <v>show</v>
      </c>
      <c r="H4648" t="str">
        <f>HYPERLINK("https://github.com/Leap-Sample/leap-android/releases", "show")</f>
        <v>show</v>
      </c>
      <c r="I4648">
        <v>0</v>
      </c>
      <c r="J4648">
        <v>0</v>
      </c>
      <c r="K4648">
        <v>0</v>
      </c>
      <c r="L4648">
        <v>0</v>
      </c>
      <c r="M4648" t="s">
        <v>43</v>
      </c>
    </row>
    <row r="4649" spans="1:13" hidden="1" x14ac:dyDescent="0.15">
      <c r="A4649" t="s">
        <v>14710</v>
      </c>
      <c r="B4649" t="s">
        <v>14711</v>
      </c>
      <c r="C4649" t="s">
        <v>14712</v>
      </c>
      <c r="D4649" t="s">
        <v>14676</v>
      </c>
      <c r="E4649">
        <v>0</v>
      </c>
      <c r="F4649" t="str">
        <f>HYPERLINK("https://github.com/Anuken/Mindustry/issues/5406", "show")</f>
        <v>show</v>
      </c>
      <c r="G4649" t="str">
        <f>HYPERLINK("https://github.com/Anuken/Mindustry", "show")</f>
        <v>show</v>
      </c>
      <c r="H4649" t="str">
        <f>HYPERLINK("https://github.com/Anuken/Mindustry/releases", "show")</f>
        <v>show</v>
      </c>
      <c r="I4649">
        <v>1</v>
      </c>
      <c r="J4649">
        <v>1</v>
      </c>
      <c r="K4649">
        <v>0</v>
      </c>
      <c r="L4649">
        <v>0</v>
      </c>
      <c r="M4649" t="s">
        <v>48</v>
      </c>
    </row>
    <row r="4650" spans="1:13" x14ac:dyDescent="0.15">
      <c r="A4650" t="s">
        <v>14713</v>
      </c>
      <c r="B4650" t="s">
        <v>14714</v>
      </c>
      <c r="C4650" t="s">
        <v>14291</v>
      </c>
      <c r="D4650" t="s">
        <v>14676</v>
      </c>
      <c r="E4650">
        <v>2</v>
      </c>
      <c r="F4650" t="str">
        <f>HYPERLINK("https://github.com/PojavLauncherTeam/PojavLauncher/issues/1515", "show")</f>
        <v>show</v>
      </c>
      <c r="G4650" t="str">
        <f>HYPERLINK("https://github.com/PojavLauncherTeam/PojavLauncher", "show")</f>
        <v>show</v>
      </c>
      <c r="H4650" t="str">
        <f>HYPERLINK("https://github.com/PojavLauncherTeam/PojavLauncher/releases", "show")</f>
        <v>show</v>
      </c>
      <c r="I4650">
        <v>0</v>
      </c>
      <c r="J4650">
        <v>1</v>
      </c>
      <c r="K4650">
        <v>0</v>
      </c>
      <c r="L4650">
        <v>0</v>
      </c>
      <c r="M4650" t="s">
        <v>139</v>
      </c>
    </row>
    <row r="4651" spans="1:13" hidden="1" x14ac:dyDescent="0.15">
      <c r="A4651" t="s">
        <v>14715</v>
      </c>
      <c r="B4651" t="s">
        <v>14716</v>
      </c>
      <c r="C4651" t="s">
        <v>14717</v>
      </c>
      <c r="D4651" t="s">
        <v>14718</v>
      </c>
      <c r="E4651">
        <v>1</v>
      </c>
      <c r="F4651" t="str">
        <f>HYPERLINK("https://github.com/PojavLauncherTeam/PojavLauncher/issues/1514", "show")</f>
        <v>show</v>
      </c>
      <c r="G4651" t="str">
        <f>HYPERLINK("https://github.com/PojavLauncherTeam/PojavLauncher", "show")</f>
        <v>show</v>
      </c>
      <c r="H4651" t="str">
        <f>HYPERLINK("https://github.com/PojavLauncherTeam/PojavLauncher/releases", "show")</f>
        <v>show</v>
      </c>
      <c r="I4651">
        <v>0</v>
      </c>
      <c r="J4651">
        <v>0</v>
      </c>
      <c r="K4651">
        <v>0</v>
      </c>
      <c r="L4651">
        <v>0</v>
      </c>
      <c r="M4651" t="s">
        <v>43</v>
      </c>
    </row>
    <row r="4652" spans="1:13" hidden="1" x14ac:dyDescent="0.15">
      <c r="A4652" t="s">
        <v>14719</v>
      </c>
      <c r="B4652" t="s">
        <v>14720</v>
      </c>
      <c r="C4652" t="s">
        <v>14721</v>
      </c>
      <c r="D4652" t="s">
        <v>14718</v>
      </c>
      <c r="E4652">
        <v>0</v>
      </c>
      <c r="F4652" t="str">
        <f>HYPERLINK("https://github.com/nextcloud/android/issues/8551", "show")</f>
        <v>show</v>
      </c>
      <c r="G4652" t="str">
        <f>HYPERLINK("https://github.com/nextcloud/android", "show")</f>
        <v>show</v>
      </c>
      <c r="H4652" t="str">
        <f>HYPERLINK("https://github.com/nextcloud/android/releases", "show")</f>
        <v>show</v>
      </c>
      <c r="I4652">
        <v>1</v>
      </c>
      <c r="J4652">
        <v>1</v>
      </c>
      <c r="K4652">
        <v>0</v>
      </c>
      <c r="L4652">
        <v>0</v>
      </c>
      <c r="M4652" t="s">
        <v>48</v>
      </c>
    </row>
    <row r="4653" spans="1:13" hidden="1" x14ac:dyDescent="0.15">
      <c r="A4653" t="s">
        <v>14722</v>
      </c>
      <c r="B4653" t="s">
        <v>14723</v>
      </c>
      <c r="C4653" t="s">
        <v>14724</v>
      </c>
      <c r="D4653" t="s">
        <v>14718</v>
      </c>
      <c r="E4653">
        <v>0</v>
      </c>
      <c r="F4653" t="str">
        <f>HYPERLINK("https://github.com/DLMousey/just-a-shopping-list-app/issues/17", "show")</f>
        <v>show</v>
      </c>
      <c r="G4653" t="str">
        <f>HYPERLINK("https://github.com/DLMousey/just-a-shopping-list-app", "show")</f>
        <v>show</v>
      </c>
      <c r="H4653" t="str">
        <f>HYPERLINK("https://github.com/DLMousey/just-a-shopping-list-app/releases", "show")</f>
        <v>show</v>
      </c>
      <c r="I4653">
        <v>1</v>
      </c>
      <c r="J4653">
        <v>0</v>
      </c>
      <c r="K4653">
        <v>0</v>
      </c>
      <c r="L4653">
        <v>0</v>
      </c>
      <c r="M4653" t="s">
        <v>17</v>
      </c>
    </row>
    <row r="4654" spans="1:13" x14ac:dyDescent="0.15">
      <c r="A4654" t="s">
        <v>14725</v>
      </c>
      <c r="B4654" t="s">
        <v>14726</v>
      </c>
      <c r="C4654" t="s">
        <v>14727</v>
      </c>
      <c r="D4654" t="s">
        <v>14718</v>
      </c>
      <c r="E4654">
        <v>15</v>
      </c>
      <c r="F4654" t="str">
        <f>HYPERLINK("https://github.com/nextcloud/talk-android/issues/1314", "show")</f>
        <v>show</v>
      </c>
      <c r="G4654" t="str">
        <f>HYPERLINK("https://github.com/nextcloud/talk-android", "show")</f>
        <v>show</v>
      </c>
      <c r="H4654" t="str">
        <f>HYPERLINK("https://github.com/nextcloud/talk-android/releases", "show")</f>
        <v>show</v>
      </c>
      <c r="I4654">
        <v>0</v>
      </c>
      <c r="J4654">
        <v>1</v>
      </c>
      <c r="K4654">
        <v>0</v>
      </c>
      <c r="L4654">
        <v>0</v>
      </c>
      <c r="M4654" t="s">
        <v>139</v>
      </c>
    </row>
    <row r="4655" spans="1:13" hidden="1" x14ac:dyDescent="0.15">
      <c r="A4655" t="s">
        <v>14728</v>
      </c>
      <c r="B4655" t="s">
        <v>14729</v>
      </c>
      <c r="C4655" t="s">
        <v>14730</v>
      </c>
      <c r="D4655" t="s">
        <v>14718</v>
      </c>
      <c r="E4655">
        <v>313</v>
      </c>
      <c r="F4655" t="str">
        <f>HYPERLINK("https://github.com/TeamNewPipe/NewPipe/issues/6462", "show")</f>
        <v>show</v>
      </c>
      <c r="G4655" t="str">
        <f>HYPERLINK("https://github.com/TeamNewPipe/NewPipe", "show")</f>
        <v>show</v>
      </c>
      <c r="H4655" t="str">
        <f>HYPERLINK("https://github.com/TeamNewPipe/NewPipe/releases", "show")</f>
        <v>show</v>
      </c>
      <c r="I4655">
        <v>1</v>
      </c>
      <c r="J4655">
        <v>1</v>
      </c>
      <c r="K4655">
        <v>1</v>
      </c>
      <c r="L4655">
        <v>0</v>
      </c>
      <c r="M4655" t="s">
        <v>59</v>
      </c>
    </row>
    <row r="4656" spans="1:13" hidden="1" x14ac:dyDescent="0.15">
      <c r="A4656" t="s">
        <v>14731</v>
      </c>
      <c r="B4656" t="s">
        <v>14732</v>
      </c>
      <c r="C4656" t="s">
        <v>14733</v>
      </c>
      <c r="D4656" t="s">
        <v>14734</v>
      </c>
      <c r="E4656">
        <v>1</v>
      </c>
      <c r="F4656" t="str">
        <f>HYPERLINK("https://github.com/Benji377/SocyMusic/issues/43", "show")</f>
        <v>show</v>
      </c>
      <c r="G4656" t="str">
        <f>HYPERLINK("https://github.com/Benji377/SocyMusic", "show")</f>
        <v>show</v>
      </c>
      <c r="H4656" t="str">
        <f>HYPERLINK("https://github.com/Benji377/SocyMusic/releases", "show")</f>
        <v>show</v>
      </c>
      <c r="I4656">
        <v>0</v>
      </c>
      <c r="J4656">
        <v>0</v>
      </c>
      <c r="K4656">
        <v>0</v>
      </c>
      <c r="L4656">
        <v>0</v>
      </c>
      <c r="M4656" t="s">
        <v>43</v>
      </c>
    </row>
    <row r="4657" spans="1:13" hidden="1" x14ac:dyDescent="0.15">
      <c r="A4657" t="s">
        <v>14735</v>
      </c>
      <c r="B4657" t="s">
        <v>7086</v>
      </c>
      <c r="C4657" t="s">
        <v>14736</v>
      </c>
      <c r="D4657" t="s">
        <v>14734</v>
      </c>
      <c r="E4657">
        <v>0</v>
      </c>
      <c r="F4657" t="str">
        <f>HYPERLINK("https://github.com/nextcloud/android/issues/8547", "show")</f>
        <v>show</v>
      </c>
      <c r="G4657" t="str">
        <f>HYPERLINK("https://github.com/nextcloud/android", "show")</f>
        <v>show</v>
      </c>
      <c r="H4657" t="str">
        <f>HYPERLINK("https://github.com/nextcloud/android/releases", "show")</f>
        <v>show</v>
      </c>
      <c r="I4657">
        <v>0</v>
      </c>
      <c r="J4657">
        <v>0</v>
      </c>
      <c r="K4657">
        <v>1</v>
      </c>
      <c r="L4657">
        <v>0</v>
      </c>
      <c r="M4657" t="s">
        <v>122</v>
      </c>
    </row>
    <row r="4658" spans="1:13" hidden="1" x14ac:dyDescent="0.15">
      <c r="A4658" t="s">
        <v>14737</v>
      </c>
      <c r="B4658" t="s">
        <v>14738</v>
      </c>
      <c r="C4658" t="s">
        <v>14739</v>
      </c>
      <c r="D4658" t="s">
        <v>14734</v>
      </c>
      <c r="E4658">
        <v>212</v>
      </c>
      <c r="F4658" t="str">
        <f>HYPERLINK("https://github.com/alexvasilkov/GestureViews/issues/172", "show")</f>
        <v>show</v>
      </c>
      <c r="G4658" t="str">
        <f>HYPERLINK("https://github.com/alexvasilkov/GestureViews", "show")</f>
        <v>show</v>
      </c>
      <c r="H4658" t="str">
        <f>HYPERLINK("https://github.com/alexvasilkov/GestureViews/releases", "show")</f>
        <v>show</v>
      </c>
      <c r="I4658">
        <v>1</v>
      </c>
      <c r="J4658">
        <v>0</v>
      </c>
      <c r="K4658">
        <v>0</v>
      </c>
      <c r="L4658">
        <v>0</v>
      </c>
      <c r="M4658" t="s">
        <v>17</v>
      </c>
    </row>
    <row r="4659" spans="1:13" hidden="1" x14ac:dyDescent="0.15">
      <c r="A4659" t="s">
        <v>14740</v>
      </c>
      <c r="B4659" t="s">
        <v>14741</v>
      </c>
      <c r="C4659" t="s">
        <v>14742</v>
      </c>
      <c r="D4659" t="s">
        <v>14734</v>
      </c>
      <c r="E4659">
        <v>1</v>
      </c>
      <c r="F4659" t="str">
        <f>HYPERLINK("https://github.com/CleverTap/clevertap-cordova/issues/102", "show")</f>
        <v>show</v>
      </c>
      <c r="G4659" t="str">
        <f>HYPERLINK("https://github.com/CleverTap/clevertap-cordova", "show")</f>
        <v>show</v>
      </c>
      <c r="H4659" t="str">
        <f>HYPERLINK("https://github.com/CleverTap/clevertap-cordova/releases", "show")</f>
        <v>show</v>
      </c>
      <c r="I4659">
        <v>0</v>
      </c>
      <c r="J4659">
        <v>0</v>
      </c>
      <c r="K4659">
        <v>0</v>
      </c>
      <c r="L4659">
        <v>0</v>
      </c>
      <c r="M4659" t="s">
        <v>43</v>
      </c>
    </row>
    <row r="4660" spans="1:13" hidden="1" x14ac:dyDescent="0.15">
      <c r="A4660" t="s">
        <v>14743</v>
      </c>
      <c r="B4660" t="s">
        <v>3180</v>
      </c>
      <c r="C4660" t="s">
        <v>14744</v>
      </c>
      <c r="D4660" t="s">
        <v>14734</v>
      </c>
      <c r="E4660">
        <v>1</v>
      </c>
      <c r="F4660" t="str">
        <f>HYPERLINK("https://github.com/PojavLauncherTeam/PojavLauncher/issues/1505", "show")</f>
        <v>show</v>
      </c>
      <c r="G4660" t="str">
        <f>HYPERLINK("https://github.com/PojavLauncherTeam/PojavLauncher", "show")</f>
        <v>show</v>
      </c>
      <c r="H4660" t="str">
        <f>HYPERLINK("https://github.com/PojavLauncherTeam/PojavLauncher/releases", "show")</f>
        <v>show</v>
      </c>
      <c r="I4660">
        <v>0</v>
      </c>
      <c r="J4660">
        <v>0</v>
      </c>
      <c r="K4660">
        <v>0</v>
      </c>
      <c r="L4660">
        <v>0</v>
      </c>
      <c r="M4660" t="s">
        <v>43</v>
      </c>
    </row>
    <row r="4661" spans="1:13" hidden="1" x14ac:dyDescent="0.15">
      <c r="A4661" t="s">
        <v>14745</v>
      </c>
      <c r="B4661" t="s">
        <v>14746</v>
      </c>
      <c r="C4661" t="s">
        <v>14747</v>
      </c>
      <c r="D4661" t="s">
        <v>14734</v>
      </c>
      <c r="E4661">
        <v>0</v>
      </c>
      <c r="F4661" t="str">
        <f>HYPERLINK("https://github.com/TeamNewPipe/NewPipe/issues/6450", "show")</f>
        <v>show</v>
      </c>
      <c r="G4661" t="str">
        <f>HYPERLINK("https://github.com/TeamNewPipe/NewPipe", "show")</f>
        <v>show</v>
      </c>
      <c r="H4661" t="str">
        <f>HYPERLINK("https://github.com/TeamNewPipe/NewPipe/releases", "show")</f>
        <v>show</v>
      </c>
      <c r="I4661">
        <v>1</v>
      </c>
      <c r="J4661">
        <v>1</v>
      </c>
      <c r="K4661">
        <v>1</v>
      </c>
      <c r="L4661">
        <v>0</v>
      </c>
      <c r="M4661" t="s">
        <v>59</v>
      </c>
    </row>
    <row r="4662" spans="1:13" hidden="1" x14ac:dyDescent="0.15">
      <c r="A4662" t="s">
        <v>14748</v>
      </c>
      <c r="B4662" t="s">
        <v>14749</v>
      </c>
      <c r="C4662" t="s">
        <v>14750</v>
      </c>
      <c r="D4662" t="s">
        <v>14734</v>
      </c>
      <c r="E4662">
        <v>1</v>
      </c>
      <c r="F4662" t="str">
        <f>HYPERLINK("https://github.com/lchua2314/Game-News-App/issues/12", "show")</f>
        <v>show</v>
      </c>
      <c r="G4662" t="str">
        <f>HYPERLINK("https://github.com/lchua2314/Game-News-App", "show")</f>
        <v>show</v>
      </c>
      <c r="H4662" t="str">
        <f>HYPERLINK("https://github.com/lchua2314/Game-News-App/releases", "show")</f>
        <v>show</v>
      </c>
      <c r="I4662">
        <v>1</v>
      </c>
      <c r="J4662">
        <v>0</v>
      </c>
      <c r="K4662">
        <v>0</v>
      </c>
      <c r="L4662">
        <v>0</v>
      </c>
      <c r="M4662" t="s">
        <v>17</v>
      </c>
    </row>
    <row r="4663" spans="1:13" hidden="1" x14ac:dyDescent="0.15">
      <c r="A4663" t="s">
        <v>14751</v>
      </c>
      <c r="B4663" t="s">
        <v>14752</v>
      </c>
      <c r="C4663" t="s">
        <v>14753</v>
      </c>
      <c r="D4663" t="s">
        <v>14734</v>
      </c>
      <c r="E4663">
        <v>85</v>
      </c>
      <c r="F4663" t="str">
        <f>HYPERLINK("https://github.com/PojavLauncherTeam/PojavLauncher/issues/1503", "show")</f>
        <v>show</v>
      </c>
      <c r="G4663" t="str">
        <f>HYPERLINK("https://github.com/PojavLauncherTeam/PojavLauncher", "show")</f>
        <v>show</v>
      </c>
      <c r="H4663" t="str">
        <f>HYPERLINK("https://github.com/PojavLauncherTeam/PojavLauncher/releases", "show")</f>
        <v>show</v>
      </c>
      <c r="I4663">
        <v>1</v>
      </c>
      <c r="J4663">
        <v>1</v>
      </c>
      <c r="K4663">
        <v>0</v>
      </c>
      <c r="L4663">
        <v>0</v>
      </c>
      <c r="M4663" t="s">
        <v>48</v>
      </c>
    </row>
    <row r="4664" spans="1:13" x14ac:dyDescent="0.15">
      <c r="A4664" t="s">
        <v>14754</v>
      </c>
      <c r="B4664" t="s">
        <v>14755</v>
      </c>
      <c r="C4664" t="s">
        <v>14756</v>
      </c>
      <c r="D4664" t="s">
        <v>14757</v>
      </c>
      <c r="E4664">
        <v>24</v>
      </c>
      <c r="F4664" t="str">
        <f>HYPERLINK("https://github.com/Karumi/Dexter/issues/279", "show")</f>
        <v>show</v>
      </c>
      <c r="G4664" t="str">
        <f>HYPERLINK("https://github.com/Karumi/Dexter", "show")</f>
        <v>show</v>
      </c>
      <c r="H4664" t="str">
        <f>HYPERLINK("https://github.com/Karumi/Dexter/releases", "show")</f>
        <v>show</v>
      </c>
      <c r="I4664">
        <v>0</v>
      </c>
      <c r="J4664">
        <v>1</v>
      </c>
      <c r="K4664">
        <v>0</v>
      </c>
      <c r="L4664">
        <v>0</v>
      </c>
      <c r="M4664" t="s">
        <v>139</v>
      </c>
    </row>
    <row r="4665" spans="1:13" hidden="1" x14ac:dyDescent="0.15">
      <c r="A4665" t="s">
        <v>14758</v>
      </c>
      <c r="B4665" t="s">
        <v>14759</v>
      </c>
      <c r="C4665" t="s">
        <v>14760</v>
      </c>
      <c r="D4665" t="s">
        <v>14757</v>
      </c>
      <c r="E4665">
        <v>0</v>
      </c>
      <c r="F4665" t="str">
        <f>HYPERLINK("https://github.com/MuntashirAkon/AppManager/issues/472", "show")</f>
        <v>show</v>
      </c>
      <c r="G4665" t="str">
        <f>HYPERLINK("https://github.com/MuntashirAkon/AppManager", "show")</f>
        <v>show</v>
      </c>
      <c r="H4665" t="str">
        <f>HYPERLINK("https://github.com/MuntashirAkon/AppManager/releases", "show")</f>
        <v>show</v>
      </c>
      <c r="I4665">
        <v>0</v>
      </c>
      <c r="J4665">
        <v>1</v>
      </c>
      <c r="K4665">
        <v>0</v>
      </c>
      <c r="L4665">
        <v>1</v>
      </c>
      <c r="M4665" t="s">
        <v>1732</v>
      </c>
    </row>
    <row r="4666" spans="1:13" hidden="1" x14ac:dyDescent="0.15">
      <c r="A4666" t="s">
        <v>14761</v>
      </c>
      <c r="B4666" t="s">
        <v>14762</v>
      </c>
      <c r="C4666" t="s">
        <v>14763</v>
      </c>
      <c r="D4666" t="s">
        <v>14757</v>
      </c>
      <c r="E4666">
        <v>0</v>
      </c>
      <c r="F4666" t="str">
        <f>HYPERLINK("https://github.com/Anuken/Mindustry/issues/5393", "show")</f>
        <v>show</v>
      </c>
      <c r="G4666" t="str">
        <f>HYPERLINK("https://github.com/Anuken/Mindustry", "show")</f>
        <v>show</v>
      </c>
      <c r="H4666" t="str">
        <f>HYPERLINK("https://github.com/Anuken/Mindustry/releases", "show")</f>
        <v>show</v>
      </c>
      <c r="I4666">
        <v>1</v>
      </c>
      <c r="J4666">
        <v>1</v>
      </c>
      <c r="K4666">
        <v>0</v>
      </c>
      <c r="L4666">
        <v>1</v>
      </c>
      <c r="M4666" t="s">
        <v>1894</v>
      </c>
    </row>
    <row r="4667" spans="1:13" hidden="1" x14ac:dyDescent="0.15">
      <c r="A4667" t="s">
        <v>14764</v>
      </c>
      <c r="B4667" t="s">
        <v>14765</v>
      </c>
      <c r="C4667" t="s">
        <v>14766</v>
      </c>
      <c r="D4667" t="s">
        <v>14757</v>
      </c>
      <c r="E4667">
        <v>56</v>
      </c>
      <c r="F4667" t="str">
        <f>HYPERLINK("https://github.com/nextcloud/android/issues/8539", "show")</f>
        <v>show</v>
      </c>
      <c r="G4667" t="str">
        <f>HYPERLINK("https://github.com/nextcloud/android", "show")</f>
        <v>show</v>
      </c>
      <c r="H4667" t="str">
        <f>HYPERLINK("https://github.com/nextcloud/android/releases", "show")</f>
        <v>show</v>
      </c>
      <c r="I4667">
        <v>1</v>
      </c>
      <c r="J4667">
        <v>1</v>
      </c>
      <c r="K4667">
        <v>1</v>
      </c>
      <c r="L4667">
        <v>0</v>
      </c>
      <c r="M4667" t="s">
        <v>59</v>
      </c>
    </row>
    <row r="4668" spans="1:13" hidden="1" x14ac:dyDescent="0.15">
      <c r="A4668" t="s">
        <v>14767</v>
      </c>
      <c r="B4668" t="s">
        <v>14768</v>
      </c>
      <c r="C4668" t="s">
        <v>14769</v>
      </c>
      <c r="D4668" t="s">
        <v>14757</v>
      </c>
      <c r="E4668">
        <v>4</v>
      </c>
      <c r="F4668" t="str">
        <f>HYPERLINK("https://github.com/material-components/material-components-android/issues/2242", "show")</f>
        <v>show</v>
      </c>
      <c r="G4668" t="str">
        <f>HYPERLINK("https://github.com/material-components/material-components-android", "show")</f>
        <v>show</v>
      </c>
      <c r="H4668" t="str">
        <f>HYPERLINK("https://github.com/material-components/material-components-android/releases", "show")</f>
        <v>show</v>
      </c>
      <c r="I4668">
        <v>1</v>
      </c>
      <c r="J4668">
        <v>0</v>
      </c>
      <c r="K4668">
        <v>1</v>
      </c>
      <c r="L4668">
        <v>1</v>
      </c>
      <c r="M4668" t="s">
        <v>1259</v>
      </c>
    </row>
    <row r="4669" spans="1:13" hidden="1" x14ac:dyDescent="0.15">
      <c r="A4669" t="s">
        <v>14770</v>
      </c>
      <c r="B4669" t="s">
        <v>14771</v>
      </c>
      <c r="C4669" t="s">
        <v>14772</v>
      </c>
      <c r="D4669" t="s">
        <v>14757</v>
      </c>
      <c r="E4669">
        <v>1</v>
      </c>
      <c r="F4669" t="str">
        <f>HYPERLINK("https://github.com/PojavLauncherTeam/PojavLauncher/issues/1499", "show")</f>
        <v>show</v>
      </c>
      <c r="G4669" t="str">
        <f>HYPERLINK("https://github.com/PojavLauncherTeam/PojavLauncher", "show")</f>
        <v>show</v>
      </c>
      <c r="H4669" t="str">
        <f>HYPERLINK("https://github.com/PojavLauncherTeam/PojavLauncher/releases", "show")</f>
        <v>show</v>
      </c>
      <c r="I4669">
        <v>1</v>
      </c>
      <c r="J4669">
        <v>1</v>
      </c>
      <c r="K4669">
        <v>0</v>
      </c>
      <c r="L4669">
        <v>0</v>
      </c>
      <c r="M4669" t="s">
        <v>48</v>
      </c>
    </row>
    <row r="4670" spans="1:13" hidden="1" x14ac:dyDescent="0.15">
      <c r="A4670" t="s">
        <v>14773</v>
      </c>
      <c r="B4670" t="s">
        <v>14774</v>
      </c>
      <c r="C4670" t="s">
        <v>14775</v>
      </c>
      <c r="D4670" t="s">
        <v>14776</v>
      </c>
      <c r="E4670">
        <v>10</v>
      </c>
      <c r="F4670" t="str">
        <f>HYPERLINK("https://github.com/nextcloud/android/issues/8534", "show")</f>
        <v>show</v>
      </c>
      <c r="G4670" t="str">
        <f>HYPERLINK("https://github.com/nextcloud/android", "show")</f>
        <v>show</v>
      </c>
      <c r="H4670" t="str">
        <f>HYPERLINK("https://github.com/nextcloud/android/releases", "show")</f>
        <v>show</v>
      </c>
      <c r="I4670">
        <v>0</v>
      </c>
      <c r="J4670">
        <v>1</v>
      </c>
      <c r="K4670">
        <v>1</v>
      </c>
      <c r="L4670">
        <v>0</v>
      </c>
      <c r="M4670" t="s">
        <v>699</v>
      </c>
    </row>
    <row r="4671" spans="1:13" hidden="1" x14ac:dyDescent="0.15">
      <c r="A4671" t="s">
        <v>14777</v>
      </c>
      <c r="B4671" t="s">
        <v>14778</v>
      </c>
      <c r="C4671" t="s">
        <v>14779</v>
      </c>
      <c r="D4671" t="s">
        <v>14776</v>
      </c>
      <c r="E4671">
        <v>0</v>
      </c>
      <c r="F4671" t="str">
        <f>HYPERLINK("https://github.com/nextcloud/android/issues/8533", "show")</f>
        <v>show</v>
      </c>
      <c r="G4671" t="str">
        <f>HYPERLINK("https://github.com/nextcloud/android", "show")</f>
        <v>show</v>
      </c>
      <c r="H4671" t="str">
        <f>HYPERLINK("https://github.com/nextcloud/android/releases", "show")</f>
        <v>show</v>
      </c>
      <c r="I4671">
        <v>0</v>
      </c>
      <c r="J4671">
        <v>0</v>
      </c>
      <c r="K4671">
        <v>1</v>
      </c>
      <c r="L4671">
        <v>0</v>
      </c>
      <c r="M4671" t="s">
        <v>122</v>
      </c>
    </row>
    <row r="4672" spans="1:13" hidden="1" x14ac:dyDescent="0.15">
      <c r="A4672" t="s">
        <v>14780</v>
      </c>
      <c r="B4672" t="s">
        <v>14781</v>
      </c>
      <c r="C4672" t="s">
        <v>14782</v>
      </c>
      <c r="D4672" t="s">
        <v>14776</v>
      </c>
      <c r="E4672">
        <v>1</v>
      </c>
      <c r="F4672" t="str">
        <f>HYPERLINK("https://github.com/MuntashirAkon/AppManager/issues/471", "show")</f>
        <v>show</v>
      </c>
      <c r="G4672" t="str">
        <f>HYPERLINK("https://github.com/MuntashirAkon/AppManager", "show")</f>
        <v>show</v>
      </c>
      <c r="H4672" t="str">
        <f>HYPERLINK("https://github.com/MuntashirAkon/AppManager/releases", "show")</f>
        <v>show</v>
      </c>
      <c r="I4672">
        <v>0</v>
      </c>
      <c r="J4672">
        <v>1</v>
      </c>
      <c r="K4672">
        <v>1</v>
      </c>
      <c r="L4672">
        <v>0</v>
      </c>
      <c r="M4672" t="s">
        <v>699</v>
      </c>
    </row>
    <row r="4673" spans="1:13" hidden="1" x14ac:dyDescent="0.15">
      <c r="A4673" t="s">
        <v>14783</v>
      </c>
      <c r="B4673" t="s">
        <v>14784</v>
      </c>
      <c r="C4673" t="s">
        <v>14785</v>
      </c>
      <c r="D4673" t="s">
        <v>14776</v>
      </c>
      <c r="E4673">
        <v>0</v>
      </c>
      <c r="F4673" t="str">
        <f>HYPERLINK("https://github.com/PojavLauncherTeam/PojavLauncher/issues/1497", "show")</f>
        <v>show</v>
      </c>
      <c r="G4673" t="str">
        <f>HYPERLINK("https://github.com/PojavLauncherTeam/PojavLauncher", "show")</f>
        <v>show</v>
      </c>
      <c r="H4673" t="str">
        <f>HYPERLINK("https://github.com/PojavLauncherTeam/PojavLauncher/releases", "show")</f>
        <v>show</v>
      </c>
      <c r="I4673">
        <v>1</v>
      </c>
      <c r="J4673">
        <v>0</v>
      </c>
      <c r="K4673">
        <v>0</v>
      </c>
      <c r="L4673">
        <v>0</v>
      </c>
      <c r="M4673" t="s">
        <v>17</v>
      </c>
    </row>
    <row r="4674" spans="1:13" hidden="1" x14ac:dyDescent="0.15">
      <c r="A4674" t="s">
        <v>14786</v>
      </c>
      <c r="B4674" t="s">
        <v>14787</v>
      </c>
      <c r="C4674" t="s">
        <v>14788</v>
      </c>
      <c r="D4674" t="s">
        <v>14776</v>
      </c>
      <c r="E4674">
        <v>0</v>
      </c>
      <c r="F4674" t="str">
        <f>HYPERLINK("https://github.com/PojavLauncherTeam/PojavLauncher/issues/1496", "show")</f>
        <v>show</v>
      </c>
      <c r="G4674" t="str">
        <f>HYPERLINK("https://github.com/PojavLauncherTeam/PojavLauncher", "show")</f>
        <v>show</v>
      </c>
      <c r="H4674" t="str">
        <f>HYPERLINK("https://github.com/PojavLauncherTeam/PojavLauncher/releases", "show")</f>
        <v>show</v>
      </c>
      <c r="I4674">
        <v>0</v>
      </c>
      <c r="J4674">
        <v>1</v>
      </c>
      <c r="K4674">
        <v>1</v>
      </c>
      <c r="L4674">
        <v>0</v>
      </c>
      <c r="M4674" t="s">
        <v>699</v>
      </c>
    </row>
    <row r="4675" spans="1:13" hidden="1" x14ac:dyDescent="0.15">
      <c r="A4675" t="s">
        <v>14789</v>
      </c>
      <c r="B4675" t="s">
        <v>14790</v>
      </c>
      <c r="C4675" t="s">
        <v>14791</v>
      </c>
      <c r="D4675" t="s">
        <v>14776</v>
      </c>
      <c r="E4675">
        <v>0</v>
      </c>
      <c r="F4675" t="str">
        <f>HYPERLINK("https://github.com/Anuken/Mindustry/issues/5377", "show")</f>
        <v>show</v>
      </c>
      <c r="G4675" t="str">
        <f>HYPERLINK("https://github.com/Anuken/Mindustry", "show")</f>
        <v>show</v>
      </c>
      <c r="H4675" t="str">
        <f>HYPERLINK("https://github.com/Anuken/Mindustry/releases", "show")</f>
        <v>show</v>
      </c>
      <c r="I4675">
        <v>1</v>
      </c>
      <c r="J4675">
        <v>1</v>
      </c>
      <c r="K4675">
        <v>0</v>
      </c>
      <c r="L4675">
        <v>0</v>
      </c>
      <c r="M4675" t="s">
        <v>48</v>
      </c>
    </row>
    <row r="4676" spans="1:13" hidden="1" x14ac:dyDescent="0.15">
      <c r="A4676" t="s">
        <v>14792</v>
      </c>
      <c r="B4676" t="s">
        <v>14793</v>
      </c>
      <c r="C4676" t="s">
        <v>14794</v>
      </c>
      <c r="D4676" t="s">
        <v>14776</v>
      </c>
      <c r="E4676">
        <v>0</v>
      </c>
      <c r="F4676" t="str">
        <f>HYPERLINK("https://github.com/Anuken/Mindustry/issues/5373", "show")</f>
        <v>show</v>
      </c>
      <c r="G4676" t="str">
        <f>HYPERLINK("https://github.com/Anuken/Mindustry", "show")</f>
        <v>show</v>
      </c>
      <c r="H4676" t="str">
        <f>HYPERLINK("https://github.com/Anuken/Mindustry/releases", "show")</f>
        <v>show</v>
      </c>
      <c r="I4676">
        <v>1</v>
      </c>
      <c r="J4676">
        <v>1</v>
      </c>
      <c r="K4676">
        <v>0</v>
      </c>
      <c r="L4676">
        <v>1</v>
      </c>
      <c r="M4676" t="s">
        <v>1894</v>
      </c>
    </row>
    <row r="4677" spans="1:13" hidden="1" x14ac:dyDescent="0.15">
      <c r="A4677" t="s">
        <v>14795</v>
      </c>
      <c r="B4677" t="s">
        <v>14796</v>
      </c>
      <c r="C4677" t="s">
        <v>14797</v>
      </c>
      <c r="D4677" t="s">
        <v>14776</v>
      </c>
      <c r="E4677">
        <v>0</v>
      </c>
      <c r="F4677" t="str">
        <f>HYPERLINK("https://github.com/PojavLauncherTeam/PojavLauncher/issues/1493", "show")</f>
        <v>show</v>
      </c>
      <c r="G4677" t="str">
        <f>HYPERLINK("https://github.com/PojavLauncherTeam/PojavLauncher", "show")</f>
        <v>show</v>
      </c>
      <c r="H4677" t="str">
        <f>HYPERLINK("https://github.com/PojavLauncherTeam/PojavLauncher/releases", "show")</f>
        <v>show</v>
      </c>
      <c r="I4677">
        <v>1</v>
      </c>
      <c r="J4677">
        <v>1</v>
      </c>
      <c r="K4677">
        <v>1</v>
      </c>
      <c r="L4677">
        <v>0</v>
      </c>
      <c r="M4677" t="s">
        <v>59</v>
      </c>
    </row>
    <row r="4678" spans="1:13" hidden="1" x14ac:dyDescent="0.15">
      <c r="A4678" t="s">
        <v>14798</v>
      </c>
      <c r="B4678" t="s">
        <v>14799</v>
      </c>
      <c r="C4678" t="s">
        <v>14800</v>
      </c>
      <c r="D4678" t="s">
        <v>14776</v>
      </c>
      <c r="E4678">
        <v>53</v>
      </c>
      <c r="F4678" t="str">
        <f>HYPERLINK("https://github.com/nextcloud/android/issues/8530", "show")</f>
        <v>show</v>
      </c>
      <c r="G4678" t="str">
        <f>HYPERLINK("https://github.com/nextcloud/android", "show")</f>
        <v>show</v>
      </c>
      <c r="H4678" t="str">
        <f>HYPERLINK("https://github.com/nextcloud/android/releases", "show")</f>
        <v>show</v>
      </c>
      <c r="I4678">
        <v>1</v>
      </c>
      <c r="J4678">
        <v>0</v>
      </c>
      <c r="K4678">
        <v>1</v>
      </c>
      <c r="L4678">
        <v>0</v>
      </c>
      <c r="M4678" t="s">
        <v>64</v>
      </c>
    </row>
    <row r="4679" spans="1:13" hidden="1" x14ac:dyDescent="0.15">
      <c r="A4679" t="s">
        <v>14801</v>
      </c>
      <c r="B4679" t="s">
        <v>14802</v>
      </c>
      <c r="C4679" t="s">
        <v>14803</v>
      </c>
      <c r="D4679" t="s">
        <v>14804</v>
      </c>
      <c r="E4679">
        <v>0</v>
      </c>
      <c r="F4679" t="str">
        <f>HYPERLINK("https://github.com/Anuken/Mindustry/issues/5371", "show")</f>
        <v>show</v>
      </c>
      <c r="G4679" t="str">
        <f>HYPERLINK("https://github.com/Anuken/Mindustry", "show")</f>
        <v>show</v>
      </c>
      <c r="H4679" t="str">
        <f>HYPERLINK("https://github.com/Anuken/Mindustry/releases", "show")</f>
        <v>show</v>
      </c>
      <c r="I4679">
        <v>1</v>
      </c>
      <c r="J4679">
        <v>1</v>
      </c>
      <c r="K4679">
        <v>0</v>
      </c>
      <c r="L4679">
        <v>1</v>
      </c>
      <c r="M4679" t="s">
        <v>1894</v>
      </c>
    </row>
    <row r="4680" spans="1:13" hidden="1" x14ac:dyDescent="0.15">
      <c r="A4680" t="s">
        <v>14805</v>
      </c>
      <c r="B4680" t="s">
        <v>14806</v>
      </c>
      <c r="C4680" t="s">
        <v>14807</v>
      </c>
      <c r="D4680" t="s">
        <v>14804</v>
      </c>
      <c r="E4680">
        <v>6</v>
      </c>
      <c r="F4680" t="str">
        <f>HYPERLINK("https://github.com/falzonv/discreet-launcher/issues/64", "show")</f>
        <v>show</v>
      </c>
      <c r="G4680" t="str">
        <f>HYPERLINK("https://github.com/falzonv/discreet-launcher", "show")</f>
        <v>show</v>
      </c>
      <c r="H4680" t="str">
        <f>HYPERLINK("https://github.com/falzonv/discreet-launcher/releases", "show")</f>
        <v>show</v>
      </c>
      <c r="I4680">
        <v>1</v>
      </c>
      <c r="J4680">
        <v>1</v>
      </c>
      <c r="K4680">
        <v>0</v>
      </c>
      <c r="L4680">
        <v>0</v>
      </c>
      <c r="M4680" t="s">
        <v>48</v>
      </c>
    </row>
    <row r="4681" spans="1:13" hidden="1" x14ac:dyDescent="0.15">
      <c r="A4681" t="s">
        <v>14808</v>
      </c>
      <c r="B4681" t="s">
        <v>14809</v>
      </c>
      <c r="C4681" t="s">
        <v>14810</v>
      </c>
      <c r="D4681" t="s">
        <v>14804</v>
      </c>
      <c r="E4681">
        <v>1</v>
      </c>
      <c r="F4681" t="str">
        <f>HYPERLINK("https://github.com/Rosemoe/sora-editor/issues/67", "show")</f>
        <v>show</v>
      </c>
      <c r="G4681" t="str">
        <f>HYPERLINK("https://github.com/Rosemoe/sora-editor", "show")</f>
        <v>show</v>
      </c>
      <c r="H4681" t="str">
        <f>HYPERLINK("https://github.com/Rosemoe/sora-editor/releases", "show")</f>
        <v>show</v>
      </c>
      <c r="I4681">
        <v>1</v>
      </c>
      <c r="J4681">
        <v>0</v>
      </c>
      <c r="K4681">
        <v>0</v>
      </c>
      <c r="L4681">
        <v>1</v>
      </c>
      <c r="M4681" t="s">
        <v>29</v>
      </c>
    </row>
    <row r="4682" spans="1:13" hidden="1" x14ac:dyDescent="0.15">
      <c r="A4682" t="s">
        <v>14811</v>
      </c>
      <c r="B4682" t="s">
        <v>14812</v>
      </c>
      <c r="C4682" t="s">
        <v>14813</v>
      </c>
      <c r="D4682" t="s">
        <v>14804</v>
      </c>
      <c r="E4682">
        <v>17</v>
      </c>
      <c r="F4682" t="str">
        <f>HYPERLINK("https://github.com/GoogleCloudPlatform/fda-mystudies/issues/3697", "show")</f>
        <v>show</v>
      </c>
      <c r="G4682" t="str">
        <f>HYPERLINK("https://github.com/GoogleCloudPlatform/fda-mystudies", "show")</f>
        <v>show</v>
      </c>
      <c r="H4682" t="str">
        <f>HYPERLINK("https://github.com/GoogleCloudPlatform/fda-mystudies/releases", "show")</f>
        <v>show</v>
      </c>
      <c r="I4682">
        <v>0</v>
      </c>
      <c r="J4682">
        <v>1</v>
      </c>
      <c r="K4682">
        <v>0</v>
      </c>
      <c r="L4682">
        <v>1</v>
      </c>
      <c r="M4682" t="s">
        <v>1732</v>
      </c>
    </row>
    <row r="4683" spans="1:13" hidden="1" x14ac:dyDescent="0.15">
      <c r="A4683" t="s">
        <v>14814</v>
      </c>
      <c r="B4683" t="s">
        <v>14815</v>
      </c>
      <c r="C4683" t="s">
        <v>14816</v>
      </c>
      <c r="D4683" t="s">
        <v>14804</v>
      </c>
      <c r="E4683">
        <v>0</v>
      </c>
      <c r="F4683" t="str">
        <f>HYPERLINK("https://github.com/Anuken/Mindustry/issues/5366", "show")</f>
        <v>show</v>
      </c>
      <c r="G4683" t="str">
        <f>HYPERLINK("https://github.com/Anuken/Mindustry", "show")</f>
        <v>show</v>
      </c>
      <c r="H4683" t="str">
        <f>HYPERLINK("https://github.com/Anuken/Mindustry/releases", "show")</f>
        <v>show</v>
      </c>
      <c r="I4683">
        <v>1</v>
      </c>
      <c r="J4683">
        <v>0</v>
      </c>
      <c r="K4683">
        <v>0</v>
      </c>
      <c r="L4683">
        <v>0</v>
      </c>
      <c r="M4683" t="s">
        <v>17</v>
      </c>
    </row>
    <row r="4684" spans="1:13" hidden="1" x14ac:dyDescent="0.15">
      <c r="A4684" t="s">
        <v>14817</v>
      </c>
      <c r="B4684" t="s">
        <v>14818</v>
      </c>
      <c r="C4684" t="s">
        <v>14819</v>
      </c>
      <c r="D4684" t="s">
        <v>14804</v>
      </c>
      <c r="E4684">
        <v>1</v>
      </c>
      <c r="F4684" t="str">
        <f>HYPERLINK("https://github.com/nextcloud/android/issues/8526", "show")</f>
        <v>show</v>
      </c>
      <c r="G4684" t="str">
        <f>HYPERLINK("https://github.com/nextcloud/android", "show")</f>
        <v>show</v>
      </c>
      <c r="H4684" t="str">
        <f>HYPERLINK("https://github.com/nextcloud/android/releases", "show")</f>
        <v>show</v>
      </c>
      <c r="I4684">
        <v>1</v>
      </c>
      <c r="J4684">
        <v>1</v>
      </c>
      <c r="K4684">
        <v>1</v>
      </c>
      <c r="L4684">
        <v>0</v>
      </c>
      <c r="M4684" t="s">
        <v>59</v>
      </c>
    </row>
    <row r="4685" spans="1:13" hidden="1" x14ac:dyDescent="0.15">
      <c r="A4685" t="s">
        <v>14820</v>
      </c>
      <c r="B4685" t="s">
        <v>6008</v>
      </c>
      <c r="C4685" t="s">
        <v>14821</v>
      </c>
      <c r="D4685" t="s">
        <v>14804</v>
      </c>
      <c r="E4685">
        <v>2</v>
      </c>
      <c r="F4685" t="str">
        <f>HYPERLINK("https://github.com/nextcloud/android/issues/8525", "show")</f>
        <v>show</v>
      </c>
      <c r="G4685" t="str">
        <f>HYPERLINK("https://github.com/nextcloud/android", "show")</f>
        <v>show</v>
      </c>
      <c r="H4685" t="str">
        <f>HYPERLINK("https://github.com/nextcloud/android/releases", "show")</f>
        <v>show</v>
      </c>
      <c r="I4685">
        <v>1</v>
      </c>
      <c r="J4685">
        <v>1</v>
      </c>
      <c r="K4685">
        <v>1</v>
      </c>
      <c r="L4685">
        <v>0</v>
      </c>
      <c r="M4685" t="s">
        <v>59</v>
      </c>
    </row>
    <row r="4686" spans="1:13" hidden="1" x14ac:dyDescent="0.15">
      <c r="A4686" t="s">
        <v>14822</v>
      </c>
      <c r="B4686" t="s">
        <v>14823</v>
      </c>
      <c r="C4686" t="s">
        <v>14824</v>
      </c>
      <c r="D4686" t="s">
        <v>14825</v>
      </c>
      <c r="E4686">
        <v>0</v>
      </c>
      <c r="F4686" t="str">
        <f>HYPERLINK("https://github.com/mtotschnig/MyExpenses/issues/841", "show")</f>
        <v>show</v>
      </c>
      <c r="G4686" t="str">
        <f>HYPERLINK("https://github.com/mtotschnig/MyExpenses", "show")</f>
        <v>show</v>
      </c>
      <c r="H4686" t="str">
        <f>HYPERLINK("https://github.com/mtotschnig/MyExpenses/releases", "show")</f>
        <v>show</v>
      </c>
      <c r="I4686">
        <v>1</v>
      </c>
      <c r="J4686">
        <v>1</v>
      </c>
      <c r="K4686">
        <v>0</v>
      </c>
      <c r="L4686">
        <v>0</v>
      </c>
      <c r="M4686" t="s">
        <v>48</v>
      </c>
    </row>
    <row r="4687" spans="1:13" hidden="1" x14ac:dyDescent="0.15">
      <c r="A4687" t="s">
        <v>14826</v>
      </c>
      <c r="B4687" t="s">
        <v>14827</v>
      </c>
      <c r="C4687" t="s">
        <v>14828</v>
      </c>
      <c r="D4687" t="s">
        <v>14825</v>
      </c>
      <c r="E4687">
        <v>0</v>
      </c>
      <c r="F4687" t="str">
        <f>HYPERLINK("https://github.com/jellyfin/jellyfin-androidtv/issues/934", "show")</f>
        <v>show</v>
      </c>
      <c r="G4687" t="str">
        <f>HYPERLINK("https://github.com/jellyfin/jellyfin-androidtv", "show")</f>
        <v>show</v>
      </c>
      <c r="H4687" t="str">
        <f>HYPERLINK("https://github.com/jellyfin/jellyfin-androidtv/releases", "show")</f>
        <v>show</v>
      </c>
      <c r="I4687">
        <v>1</v>
      </c>
      <c r="J4687">
        <v>0</v>
      </c>
      <c r="K4687">
        <v>0</v>
      </c>
      <c r="L4687">
        <v>0</v>
      </c>
      <c r="M4687" t="s">
        <v>17</v>
      </c>
    </row>
    <row r="4688" spans="1:13" hidden="1" x14ac:dyDescent="0.15">
      <c r="A4688" t="s">
        <v>14829</v>
      </c>
      <c r="B4688" t="s">
        <v>14830</v>
      </c>
      <c r="C4688" t="s">
        <v>14831</v>
      </c>
      <c r="D4688" t="s">
        <v>14825</v>
      </c>
      <c r="E4688">
        <v>0</v>
      </c>
      <c r="F4688" t="str">
        <f>HYPERLINK("https://github.com/Anuken/Mindustry/issues/5358", "show")</f>
        <v>show</v>
      </c>
      <c r="G4688" t="str">
        <f>HYPERLINK("https://github.com/Anuken/Mindustry", "show")</f>
        <v>show</v>
      </c>
      <c r="H4688" t="str">
        <f>HYPERLINK("https://github.com/Anuken/Mindustry/releases", "show")</f>
        <v>show</v>
      </c>
      <c r="I4688">
        <v>1</v>
      </c>
      <c r="J4688">
        <v>1</v>
      </c>
      <c r="K4688">
        <v>0</v>
      </c>
      <c r="L4688">
        <v>1</v>
      </c>
      <c r="M4688" t="s">
        <v>1894</v>
      </c>
    </row>
    <row r="4689" spans="1:13" hidden="1" x14ac:dyDescent="0.15">
      <c r="A4689" t="s">
        <v>14832</v>
      </c>
      <c r="B4689" t="s">
        <v>14833</v>
      </c>
      <c r="C4689" t="s">
        <v>14834</v>
      </c>
      <c r="D4689" t="s">
        <v>14825</v>
      </c>
      <c r="E4689">
        <v>0</v>
      </c>
      <c r="F4689" t="str">
        <f>HYPERLINK("https://github.com/Anuken/Mindustry/issues/5356", "show")</f>
        <v>show</v>
      </c>
      <c r="G4689" t="str">
        <f>HYPERLINK("https://github.com/Anuken/Mindustry", "show")</f>
        <v>show</v>
      </c>
      <c r="H4689" t="str">
        <f>HYPERLINK("https://github.com/Anuken/Mindustry/releases", "show")</f>
        <v>show</v>
      </c>
      <c r="I4689">
        <v>1</v>
      </c>
      <c r="J4689">
        <v>0</v>
      </c>
      <c r="K4689">
        <v>0</v>
      </c>
      <c r="L4689">
        <v>0</v>
      </c>
      <c r="M4689" t="s">
        <v>17</v>
      </c>
    </row>
    <row r="4690" spans="1:13" hidden="1" x14ac:dyDescent="0.15">
      <c r="A4690" t="s">
        <v>14835</v>
      </c>
      <c r="B4690" t="s">
        <v>14836</v>
      </c>
      <c r="C4690" t="s">
        <v>14837</v>
      </c>
      <c r="D4690" t="s">
        <v>14825</v>
      </c>
      <c r="E4690">
        <v>0</v>
      </c>
      <c r="F4690" t="str">
        <f>HYPERLINK("https://github.com/bttv-android/bttv/issues/85", "show")</f>
        <v>show</v>
      </c>
      <c r="G4690" t="str">
        <f>HYPERLINK("https://github.com/bttv-android/bttv", "show")</f>
        <v>show</v>
      </c>
      <c r="H4690" t="str">
        <f>HYPERLINK("https://github.com/bttv-android/bttv/releases", "show")</f>
        <v>show</v>
      </c>
      <c r="I4690">
        <v>1</v>
      </c>
      <c r="J4690">
        <v>0</v>
      </c>
      <c r="K4690">
        <v>0</v>
      </c>
      <c r="L4690">
        <v>0</v>
      </c>
      <c r="M4690" t="s">
        <v>17</v>
      </c>
    </row>
    <row r="4691" spans="1:13" hidden="1" x14ac:dyDescent="0.15">
      <c r="A4691" t="s">
        <v>14838</v>
      </c>
      <c r="B4691" t="s">
        <v>14839</v>
      </c>
      <c r="C4691" t="s">
        <v>14840</v>
      </c>
      <c r="D4691" t="s">
        <v>14825</v>
      </c>
      <c r="E4691">
        <v>0</v>
      </c>
      <c r="F4691" t="str">
        <f>HYPERLINK("https://github.com/Benji377/SocyMusic/issues/26", "show")</f>
        <v>show</v>
      </c>
      <c r="G4691" t="str">
        <f>HYPERLINK("https://github.com/Benji377/SocyMusic", "show")</f>
        <v>show</v>
      </c>
      <c r="H4691" t="str">
        <f>HYPERLINK("https://github.com/Benji377/SocyMusic/releases", "show")</f>
        <v>show</v>
      </c>
      <c r="I4691">
        <v>1</v>
      </c>
      <c r="J4691">
        <v>0</v>
      </c>
      <c r="K4691">
        <v>0</v>
      </c>
      <c r="L4691">
        <v>0</v>
      </c>
      <c r="M4691" t="s">
        <v>17</v>
      </c>
    </row>
    <row r="4692" spans="1:13" hidden="1" x14ac:dyDescent="0.15">
      <c r="A4692" t="s">
        <v>14841</v>
      </c>
      <c r="B4692" t="s">
        <v>14842</v>
      </c>
      <c r="D4692" t="s">
        <v>14825</v>
      </c>
      <c r="E4692">
        <v>0</v>
      </c>
      <c r="F4692" t="str">
        <f>HYPERLINK("https://github.com/mtotschnig/MyExpenses/issues/839", "show")</f>
        <v>show</v>
      </c>
      <c r="G4692" t="str">
        <f>HYPERLINK("https://github.com/mtotschnig/MyExpenses", "show")</f>
        <v>show</v>
      </c>
      <c r="H4692" t="str">
        <f>HYPERLINK("https://github.com/mtotschnig/MyExpenses/releases", "show")</f>
        <v>show</v>
      </c>
      <c r="I4692">
        <v>1</v>
      </c>
      <c r="J4692">
        <v>0</v>
      </c>
      <c r="K4692">
        <v>0</v>
      </c>
      <c r="L4692">
        <v>0</v>
      </c>
      <c r="M4692" t="s">
        <v>17</v>
      </c>
    </row>
    <row r="4693" spans="1:13" hidden="1" x14ac:dyDescent="0.15">
      <c r="A4693" t="s">
        <v>14843</v>
      </c>
      <c r="B4693" t="s">
        <v>14844</v>
      </c>
      <c r="C4693" t="s">
        <v>14845</v>
      </c>
      <c r="D4693" t="s">
        <v>14825</v>
      </c>
      <c r="E4693">
        <v>0</v>
      </c>
      <c r="F4693" t="str">
        <f>HYPERLINK("https://github.com/Anuken/Mindustry/issues/5348", "show")</f>
        <v>show</v>
      </c>
      <c r="G4693" t="str">
        <f>HYPERLINK("https://github.com/Anuken/Mindustry", "show")</f>
        <v>show</v>
      </c>
      <c r="H4693" t="str">
        <f>HYPERLINK("https://github.com/Anuken/Mindustry/releases", "show")</f>
        <v>show</v>
      </c>
      <c r="I4693">
        <v>1</v>
      </c>
      <c r="J4693">
        <v>0</v>
      </c>
      <c r="K4693">
        <v>1</v>
      </c>
      <c r="L4693">
        <v>0</v>
      </c>
      <c r="M4693" t="s">
        <v>64</v>
      </c>
    </row>
    <row r="4694" spans="1:13" hidden="1" x14ac:dyDescent="0.15">
      <c r="A4694" t="s">
        <v>14846</v>
      </c>
      <c r="B4694" t="s">
        <v>14847</v>
      </c>
      <c r="C4694" t="s">
        <v>14848</v>
      </c>
      <c r="D4694" t="s">
        <v>14849</v>
      </c>
      <c r="E4694">
        <v>1</v>
      </c>
      <c r="F4694" t="str">
        <f>HYPERLINK("https://github.com/Benji377/SocyMusic/issues/20", "show")</f>
        <v>show</v>
      </c>
      <c r="G4694" t="str">
        <f>HYPERLINK("https://github.com/Benji377/SocyMusic", "show")</f>
        <v>show</v>
      </c>
      <c r="H4694" t="str">
        <f>HYPERLINK("https://github.com/Benji377/SocyMusic/releases", "show")</f>
        <v>show</v>
      </c>
      <c r="I4694">
        <v>1</v>
      </c>
      <c r="J4694">
        <v>0</v>
      </c>
      <c r="K4694">
        <v>0</v>
      </c>
      <c r="L4694">
        <v>0</v>
      </c>
      <c r="M4694" t="s">
        <v>17</v>
      </c>
    </row>
    <row r="4695" spans="1:13" hidden="1" x14ac:dyDescent="0.15">
      <c r="A4695" t="s">
        <v>14850</v>
      </c>
      <c r="B4695" t="s">
        <v>14851</v>
      </c>
      <c r="C4695" t="s">
        <v>14852</v>
      </c>
      <c r="D4695" t="s">
        <v>14849</v>
      </c>
      <c r="E4695">
        <v>0</v>
      </c>
      <c r="F4695" t="str">
        <f>HYPERLINK("https://github.com/Anuken/Mindustry/issues/5343", "show")</f>
        <v>show</v>
      </c>
      <c r="G4695" t="str">
        <f>HYPERLINK("https://github.com/Anuken/Mindustry", "show")</f>
        <v>show</v>
      </c>
      <c r="H4695" t="str">
        <f>HYPERLINK("https://github.com/Anuken/Mindustry/releases", "show")</f>
        <v>show</v>
      </c>
      <c r="I4695">
        <v>1</v>
      </c>
      <c r="J4695">
        <v>1</v>
      </c>
      <c r="K4695">
        <v>0</v>
      </c>
      <c r="L4695">
        <v>1</v>
      </c>
      <c r="M4695" t="s">
        <v>1894</v>
      </c>
    </row>
    <row r="4696" spans="1:13" hidden="1" x14ac:dyDescent="0.15">
      <c r="A4696" t="s">
        <v>14853</v>
      </c>
      <c r="B4696" t="s">
        <v>14854</v>
      </c>
      <c r="C4696" t="s">
        <v>14855</v>
      </c>
      <c r="D4696" t="s">
        <v>14849</v>
      </c>
      <c r="E4696">
        <v>16</v>
      </c>
      <c r="F4696" t="str">
        <f>HYPERLINK("https://github.com/StoyanTinchev/musicial-tesla-coil/issues/33", "show")</f>
        <v>show</v>
      </c>
      <c r="G4696" t="str">
        <f>HYPERLINK("https://github.com/StoyanTinchev/musicial-tesla-coil", "show")</f>
        <v>show</v>
      </c>
      <c r="H4696" t="str">
        <f>HYPERLINK("https://github.com/StoyanTinchev/musicial-tesla-coil/releases", "show")</f>
        <v>show</v>
      </c>
      <c r="I4696">
        <v>1</v>
      </c>
      <c r="J4696">
        <v>0</v>
      </c>
      <c r="K4696">
        <v>0</v>
      </c>
      <c r="L4696">
        <v>0</v>
      </c>
      <c r="M4696" t="s">
        <v>17</v>
      </c>
    </row>
    <row r="4697" spans="1:13" hidden="1" x14ac:dyDescent="0.15">
      <c r="A4697" t="s">
        <v>14856</v>
      </c>
      <c r="B4697" t="s">
        <v>14857</v>
      </c>
      <c r="C4697" t="s">
        <v>14858</v>
      </c>
      <c r="D4697" t="s">
        <v>14849</v>
      </c>
      <c r="E4697">
        <v>0</v>
      </c>
      <c r="F4697" t="str">
        <f>HYPERLINK("https://github.com/Anuken/Mindustry/issues/5337", "show")</f>
        <v>show</v>
      </c>
      <c r="G4697" t="str">
        <f>HYPERLINK("https://github.com/Anuken/Mindustry", "show")</f>
        <v>show</v>
      </c>
      <c r="H4697" t="str">
        <f>HYPERLINK("https://github.com/Anuken/Mindustry/releases", "show")</f>
        <v>show</v>
      </c>
      <c r="I4697">
        <v>0</v>
      </c>
      <c r="J4697">
        <v>0</v>
      </c>
      <c r="K4697">
        <v>0</v>
      </c>
      <c r="L4697">
        <v>0</v>
      </c>
      <c r="M4697" t="s">
        <v>43</v>
      </c>
    </row>
    <row r="4698" spans="1:13" hidden="1" x14ac:dyDescent="0.15">
      <c r="A4698" t="s">
        <v>14859</v>
      </c>
      <c r="B4698" t="s">
        <v>14860</v>
      </c>
      <c r="C4698" t="s">
        <v>12185</v>
      </c>
      <c r="D4698" t="s">
        <v>14849</v>
      </c>
      <c r="E4698">
        <v>0</v>
      </c>
      <c r="F4698" t="str">
        <f>HYPERLINK("https://github.com/nextcloud/android/issues/8520", "show")</f>
        <v>show</v>
      </c>
      <c r="G4698" t="str">
        <f>HYPERLINK("https://github.com/nextcloud/android", "show")</f>
        <v>show</v>
      </c>
      <c r="H4698" t="str">
        <f>HYPERLINK("https://github.com/nextcloud/android/releases", "show")</f>
        <v>show</v>
      </c>
      <c r="I4698">
        <v>0</v>
      </c>
      <c r="J4698">
        <v>0</v>
      </c>
      <c r="K4698">
        <v>1</v>
      </c>
      <c r="L4698">
        <v>0</v>
      </c>
      <c r="M4698" t="s">
        <v>122</v>
      </c>
    </row>
    <row r="4699" spans="1:13" hidden="1" x14ac:dyDescent="0.15">
      <c r="A4699" t="s">
        <v>14861</v>
      </c>
      <c r="B4699" t="s">
        <v>14862</v>
      </c>
      <c r="C4699" t="s">
        <v>14863</v>
      </c>
      <c r="D4699" t="s">
        <v>14849</v>
      </c>
      <c r="E4699">
        <v>0</v>
      </c>
      <c r="F4699" t="str">
        <f>HYPERLINK("https://github.com/mtotschnig/MyExpenses/issues/836", "show")</f>
        <v>show</v>
      </c>
      <c r="G4699" t="str">
        <f>HYPERLINK("https://github.com/mtotschnig/MyExpenses", "show")</f>
        <v>show</v>
      </c>
      <c r="H4699" t="str">
        <f>HYPERLINK("https://github.com/mtotschnig/MyExpenses/releases", "show")</f>
        <v>show</v>
      </c>
      <c r="I4699">
        <v>1</v>
      </c>
      <c r="J4699">
        <v>0</v>
      </c>
      <c r="K4699">
        <v>0</v>
      </c>
      <c r="L4699">
        <v>0</v>
      </c>
      <c r="M4699" t="s">
        <v>17</v>
      </c>
    </row>
    <row r="4700" spans="1:13" hidden="1" x14ac:dyDescent="0.15">
      <c r="A4700" t="s">
        <v>14864</v>
      </c>
      <c r="B4700" t="s">
        <v>14865</v>
      </c>
      <c r="C4700" t="s">
        <v>14866</v>
      </c>
      <c r="D4700" t="s">
        <v>14849</v>
      </c>
      <c r="E4700">
        <v>14</v>
      </c>
      <c r="F4700" t="str">
        <f>HYPERLINK("https://github.com/commons-app/apps-android-commons/issues/4435", "show")</f>
        <v>show</v>
      </c>
      <c r="G4700" t="str">
        <f>HYPERLINK("https://github.com/commons-app/apps-android-commons", "show")</f>
        <v>show</v>
      </c>
      <c r="H4700" t="str">
        <f>HYPERLINK("https://github.com/commons-app/apps-android-commons/releases", "show")</f>
        <v>show</v>
      </c>
      <c r="I4700">
        <v>1</v>
      </c>
      <c r="J4700">
        <v>0</v>
      </c>
      <c r="K4700">
        <v>0</v>
      </c>
      <c r="L4700">
        <v>0</v>
      </c>
      <c r="M4700" t="s">
        <v>17</v>
      </c>
    </row>
    <row r="4701" spans="1:13" hidden="1" x14ac:dyDescent="0.15">
      <c r="A4701" t="s">
        <v>14867</v>
      </c>
      <c r="B4701" t="s">
        <v>14868</v>
      </c>
      <c r="C4701" t="s">
        <v>14869</v>
      </c>
      <c r="D4701" t="s">
        <v>14849</v>
      </c>
      <c r="E4701">
        <v>0</v>
      </c>
      <c r="F4701" t="str">
        <f>HYPERLINK("https://github.com/Anuken/Mindustry/issues/5331", "show")</f>
        <v>show</v>
      </c>
      <c r="G4701" t="str">
        <f>HYPERLINK("https://github.com/Anuken/Mindustry", "show")</f>
        <v>show</v>
      </c>
      <c r="H4701" t="str">
        <f>HYPERLINK("https://github.com/Anuken/Mindustry/releases", "show")</f>
        <v>show</v>
      </c>
      <c r="I4701">
        <v>1</v>
      </c>
      <c r="J4701">
        <v>1</v>
      </c>
      <c r="K4701">
        <v>0</v>
      </c>
      <c r="L4701">
        <v>0</v>
      </c>
      <c r="M4701" t="s">
        <v>48</v>
      </c>
    </row>
    <row r="4702" spans="1:13" hidden="1" x14ac:dyDescent="0.15">
      <c r="A4702" t="s">
        <v>14870</v>
      </c>
      <c r="B4702" t="s">
        <v>14871</v>
      </c>
      <c r="C4702" t="s">
        <v>14872</v>
      </c>
      <c r="D4702" t="s">
        <v>14849</v>
      </c>
      <c r="E4702">
        <v>7</v>
      </c>
      <c r="F4702" t="str">
        <f>HYPERLINK("https://github.com/MuntashirAkon/AppManager/issues/466", "show")</f>
        <v>show</v>
      </c>
      <c r="G4702" t="str">
        <f>HYPERLINK("https://github.com/MuntashirAkon/AppManager", "show")</f>
        <v>show</v>
      </c>
      <c r="H4702" t="str">
        <f>HYPERLINK("https://github.com/MuntashirAkon/AppManager/releases", "show")</f>
        <v>show</v>
      </c>
      <c r="I4702">
        <v>1</v>
      </c>
      <c r="J4702">
        <v>1</v>
      </c>
      <c r="K4702">
        <v>0</v>
      </c>
      <c r="L4702">
        <v>0</v>
      </c>
      <c r="M4702" t="s">
        <v>48</v>
      </c>
    </row>
    <row r="4703" spans="1:13" hidden="1" x14ac:dyDescent="0.15">
      <c r="A4703" t="s">
        <v>14873</v>
      </c>
      <c r="B4703" t="s">
        <v>14874</v>
      </c>
      <c r="D4703" t="s">
        <v>14875</v>
      </c>
      <c r="E4703">
        <v>0</v>
      </c>
      <c r="F4703" t="str">
        <f>HYPERLINK("https://github.com/mtotschnig/MyExpenses/issues/835", "show")</f>
        <v>show</v>
      </c>
      <c r="G4703" t="str">
        <f>HYPERLINK("https://github.com/mtotschnig/MyExpenses", "show")</f>
        <v>show</v>
      </c>
      <c r="H4703" t="str">
        <f>HYPERLINK("https://github.com/mtotschnig/MyExpenses/releases", "show")</f>
        <v>show</v>
      </c>
      <c r="I4703">
        <v>1</v>
      </c>
      <c r="J4703">
        <v>0</v>
      </c>
      <c r="K4703">
        <v>0</v>
      </c>
      <c r="L4703">
        <v>0</v>
      </c>
      <c r="M4703" t="s">
        <v>17</v>
      </c>
    </row>
    <row r="4704" spans="1:13" hidden="1" x14ac:dyDescent="0.15">
      <c r="A4704" t="s">
        <v>14876</v>
      </c>
      <c r="B4704" t="s">
        <v>14877</v>
      </c>
      <c r="C4704" t="s">
        <v>14878</v>
      </c>
      <c r="D4704" t="s">
        <v>14875</v>
      </c>
      <c r="E4704">
        <v>0</v>
      </c>
      <c r="F4704" t="str">
        <f>HYPERLINK("https://github.com/Anuken/Mindustry/issues/5330", "show")</f>
        <v>show</v>
      </c>
      <c r="G4704" t="str">
        <f>HYPERLINK("https://github.com/Anuken/Mindustry", "show")</f>
        <v>show</v>
      </c>
      <c r="H4704" t="str">
        <f>HYPERLINK("https://github.com/Anuken/Mindustry/releases", "show")</f>
        <v>show</v>
      </c>
      <c r="I4704">
        <v>0</v>
      </c>
      <c r="J4704">
        <v>0</v>
      </c>
      <c r="K4704">
        <v>0</v>
      </c>
      <c r="L4704">
        <v>0</v>
      </c>
      <c r="M4704" t="s">
        <v>43</v>
      </c>
    </row>
    <row r="4705" spans="1:13" hidden="1" x14ac:dyDescent="0.15">
      <c r="A4705" t="s">
        <v>14879</v>
      </c>
      <c r="B4705" t="s">
        <v>14880</v>
      </c>
      <c r="D4705" t="s">
        <v>14875</v>
      </c>
      <c r="E4705">
        <v>35</v>
      </c>
      <c r="F4705" t="str">
        <f>HYPERLINK("https://github.com/AlphaWallet/alpha-wallet-android/issues/1889", "show")</f>
        <v>show</v>
      </c>
      <c r="G4705" t="str">
        <f>HYPERLINK("https://github.com/AlphaWallet/alpha-wallet-android", "show")</f>
        <v>show</v>
      </c>
      <c r="H4705" t="str">
        <f>HYPERLINK("https://github.com/AlphaWallet/alpha-wallet-android/releases", "show")</f>
        <v>show</v>
      </c>
      <c r="I4705">
        <v>1</v>
      </c>
      <c r="J4705">
        <v>0</v>
      </c>
      <c r="K4705">
        <v>0</v>
      </c>
      <c r="L4705">
        <v>1</v>
      </c>
      <c r="M4705" t="s">
        <v>29</v>
      </c>
    </row>
    <row r="4706" spans="1:13" hidden="1" x14ac:dyDescent="0.15">
      <c r="A4706" t="s">
        <v>14881</v>
      </c>
      <c r="B4706" t="s">
        <v>14882</v>
      </c>
      <c r="C4706" t="s">
        <v>14883</v>
      </c>
      <c r="D4706" t="s">
        <v>14884</v>
      </c>
      <c r="E4706">
        <v>0</v>
      </c>
      <c r="F4706" t="str">
        <f>HYPERLINK("https://github.com/Anuken/Mindustry/issues/5326", "show")</f>
        <v>show</v>
      </c>
      <c r="G4706" t="str">
        <f>HYPERLINK("https://github.com/Anuken/Mindustry", "show")</f>
        <v>show</v>
      </c>
      <c r="H4706" t="str">
        <f>HYPERLINK("https://github.com/Anuken/Mindustry/releases", "show")</f>
        <v>show</v>
      </c>
      <c r="I4706">
        <v>1</v>
      </c>
      <c r="J4706">
        <v>1</v>
      </c>
      <c r="K4706">
        <v>0</v>
      </c>
      <c r="L4706">
        <v>0</v>
      </c>
      <c r="M4706" t="s">
        <v>48</v>
      </c>
    </row>
    <row r="4707" spans="1:13" hidden="1" x14ac:dyDescent="0.15">
      <c r="A4707" t="s">
        <v>14885</v>
      </c>
      <c r="B4707" t="s">
        <v>14886</v>
      </c>
      <c r="C4707" t="s">
        <v>14887</v>
      </c>
      <c r="D4707" t="s">
        <v>14884</v>
      </c>
      <c r="E4707">
        <v>44</v>
      </c>
      <c r="F4707" t="str">
        <f>HYPERLINK("https://github.com/nextcloud/android/issues/8510", "show")</f>
        <v>show</v>
      </c>
      <c r="G4707" t="str">
        <f>HYPERLINK("https://github.com/nextcloud/android", "show")</f>
        <v>show</v>
      </c>
      <c r="H4707" t="str">
        <f>HYPERLINK("https://github.com/nextcloud/android/releases", "show")</f>
        <v>show</v>
      </c>
      <c r="I4707">
        <v>0</v>
      </c>
      <c r="J4707">
        <v>0</v>
      </c>
      <c r="K4707">
        <v>1</v>
      </c>
      <c r="L4707">
        <v>0</v>
      </c>
      <c r="M4707" t="s">
        <v>122</v>
      </c>
    </row>
    <row r="4708" spans="1:13" hidden="1" x14ac:dyDescent="0.15">
      <c r="A4708" t="s">
        <v>14888</v>
      </c>
      <c r="B4708" t="s">
        <v>14889</v>
      </c>
      <c r="C4708" t="s">
        <v>14890</v>
      </c>
      <c r="D4708" t="s">
        <v>14884</v>
      </c>
      <c r="E4708">
        <v>3</v>
      </c>
      <c r="F4708" t="str">
        <f>HYPERLINK("https://github.com/k9mail/k-9/issues/5324", "show")</f>
        <v>show</v>
      </c>
      <c r="G4708" t="str">
        <f>HYPERLINK("https://github.com/k9mail/k-9", "show")</f>
        <v>show</v>
      </c>
      <c r="H4708" t="str">
        <f>HYPERLINK("https://github.com/k9mail/k-9/releases", "show")</f>
        <v>show</v>
      </c>
      <c r="I4708">
        <v>0</v>
      </c>
      <c r="J4708">
        <v>1</v>
      </c>
      <c r="K4708">
        <v>1</v>
      </c>
      <c r="L4708">
        <v>0</v>
      </c>
      <c r="M4708" t="s">
        <v>699</v>
      </c>
    </row>
    <row r="4709" spans="1:13" hidden="1" x14ac:dyDescent="0.15">
      <c r="A4709" t="s">
        <v>14891</v>
      </c>
      <c r="B4709" t="s">
        <v>14892</v>
      </c>
      <c r="C4709" t="s">
        <v>14893</v>
      </c>
      <c r="D4709" t="s">
        <v>14884</v>
      </c>
      <c r="E4709">
        <v>7</v>
      </c>
      <c r="F4709" t="str">
        <f>HYPERLINK("https://github.com/mI-PIV/app/issues/112", "show")</f>
        <v>show</v>
      </c>
      <c r="G4709" t="str">
        <f>HYPERLINK("https://github.com/mI-PIV/app", "show")</f>
        <v>show</v>
      </c>
      <c r="H4709" t="str">
        <f>HYPERLINK("https://github.com/mI-PIV/app/releases", "show")</f>
        <v>show</v>
      </c>
      <c r="I4709">
        <v>0</v>
      </c>
      <c r="J4709">
        <v>0</v>
      </c>
      <c r="K4709">
        <v>0</v>
      </c>
      <c r="L4709">
        <v>0</v>
      </c>
      <c r="M4709" t="s">
        <v>43</v>
      </c>
    </row>
    <row r="4710" spans="1:13" hidden="1" x14ac:dyDescent="0.15">
      <c r="A4710" t="s">
        <v>14894</v>
      </c>
      <c r="B4710" t="s">
        <v>14895</v>
      </c>
      <c r="C4710" t="s">
        <v>14896</v>
      </c>
      <c r="D4710" t="s">
        <v>14884</v>
      </c>
      <c r="E4710">
        <v>98</v>
      </c>
      <c r="F4710" t="str">
        <f>HYPERLINK("https://github.com/google/ExoPlayer/issues/9002", "show")</f>
        <v>show</v>
      </c>
      <c r="G4710" t="str">
        <f>HYPERLINK("https://github.com/google/ExoPlayer", "show")</f>
        <v>show</v>
      </c>
      <c r="H4710" t="str">
        <f>HYPERLINK("https://github.com/google/ExoPlayer/releases", "show")</f>
        <v>show</v>
      </c>
      <c r="I4710">
        <v>1</v>
      </c>
      <c r="J4710">
        <v>0</v>
      </c>
      <c r="K4710">
        <v>1</v>
      </c>
      <c r="L4710">
        <v>0</v>
      </c>
      <c r="M4710" t="s">
        <v>64</v>
      </c>
    </row>
    <row r="4711" spans="1:13" hidden="1" x14ac:dyDescent="0.15">
      <c r="A4711" t="s">
        <v>14897</v>
      </c>
      <c r="B4711" t="s">
        <v>14898</v>
      </c>
      <c r="C4711" t="s">
        <v>14899</v>
      </c>
      <c r="D4711" t="s">
        <v>14884</v>
      </c>
      <c r="E4711">
        <v>37</v>
      </c>
      <c r="F4711" t="str">
        <f>HYPERLINK("https://github.com/Azure/azure-iot-sdk-java/issues/1225", "show")</f>
        <v>show</v>
      </c>
      <c r="G4711" t="str">
        <f>HYPERLINK("https://github.com/Azure/azure-iot-sdk-java", "show")</f>
        <v>show</v>
      </c>
      <c r="H4711" t="str">
        <f>HYPERLINK("https://github.com/Azure/azure-iot-sdk-java/releases", "show")</f>
        <v>show</v>
      </c>
      <c r="I4711">
        <v>0</v>
      </c>
      <c r="J4711">
        <v>0</v>
      </c>
      <c r="K4711">
        <v>1</v>
      </c>
      <c r="L4711">
        <v>0</v>
      </c>
      <c r="M4711" t="s">
        <v>122</v>
      </c>
    </row>
    <row r="4712" spans="1:13" hidden="1" x14ac:dyDescent="0.15">
      <c r="A4712" t="s">
        <v>14900</v>
      </c>
      <c r="B4712" t="s">
        <v>14901</v>
      </c>
      <c r="C4712" t="s">
        <v>14902</v>
      </c>
      <c r="D4712" t="s">
        <v>14903</v>
      </c>
      <c r="E4712">
        <v>110</v>
      </c>
      <c r="F4712" t="str">
        <f>HYPERLINK("https://github.com/TeamNewPipe/NewPipe/issues/6407", "show")</f>
        <v>show</v>
      </c>
      <c r="G4712" t="str">
        <f>HYPERLINK("https://github.com/TeamNewPipe/NewPipe", "show")</f>
        <v>show</v>
      </c>
      <c r="H4712" t="str">
        <f>HYPERLINK("https://github.com/TeamNewPipe/NewPipe/releases", "show")</f>
        <v>show</v>
      </c>
      <c r="I4712">
        <v>1</v>
      </c>
      <c r="J4712">
        <v>1</v>
      </c>
      <c r="K4712">
        <v>1</v>
      </c>
      <c r="L4712">
        <v>0</v>
      </c>
      <c r="M4712" t="s">
        <v>59</v>
      </c>
    </row>
    <row r="4713" spans="1:13" hidden="1" x14ac:dyDescent="0.15">
      <c r="A4713" t="s">
        <v>14904</v>
      </c>
      <c r="B4713" t="s">
        <v>14905</v>
      </c>
      <c r="C4713" t="s">
        <v>14906</v>
      </c>
      <c r="D4713" t="s">
        <v>14903</v>
      </c>
      <c r="E4713">
        <v>1</v>
      </c>
      <c r="F4713" t="str">
        <f>HYPERLINK("https://github.com/k9mail/k-9/issues/5322", "show")</f>
        <v>show</v>
      </c>
      <c r="G4713" t="str">
        <f>HYPERLINK("https://github.com/k9mail/k-9", "show")</f>
        <v>show</v>
      </c>
      <c r="H4713" t="str">
        <f>HYPERLINK("https://github.com/k9mail/k-9/releases", "show")</f>
        <v>show</v>
      </c>
      <c r="I4713">
        <v>1</v>
      </c>
      <c r="J4713">
        <v>1</v>
      </c>
      <c r="K4713">
        <v>0</v>
      </c>
      <c r="L4713">
        <v>0</v>
      </c>
      <c r="M4713" t="s">
        <v>48</v>
      </c>
    </row>
    <row r="4714" spans="1:13" hidden="1" x14ac:dyDescent="0.15">
      <c r="A4714" t="s">
        <v>14907</v>
      </c>
      <c r="B4714" t="s">
        <v>14908</v>
      </c>
      <c r="C4714" t="s">
        <v>14909</v>
      </c>
      <c r="D4714" t="s">
        <v>14903</v>
      </c>
      <c r="E4714">
        <v>1</v>
      </c>
      <c r="F4714" t="str">
        <f>HYPERLINK("https://github.com/voxeet/voxeet-uxkit-reactnative/issues/35", "show")</f>
        <v>show</v>
      </c>
      <c r="G4714" t="str">
        <f>HYPERLINK("https://github.com/voxeet/voxeet-uxkit-reactnative", "show")</f>
        <v>show</v>
      </c>
      <c r="H4714" t="str">
        <f>HYPERLINK("https://github.com/voxeet/voxeet-uxkit-reactnative/releases", "show")</f>
        <v>show</v>
      </c>
      <c r="I4714">
        <v>1</v>
      </c>
      <c r="J4714">
        <v>0</v>
      </c>
      <c r="K4714">
        <v>0</v>
      </c>
      <c r="L4714">
        <v>1</v>
      </c>
      <c r="M4714" t="s">
        <v>29</v>
      </c>
    </row>
    <row r="4715" spans="1:13" hidden="1" x14ac:dyDescent="0.15">
      <c r="A4715" t="s">
        <v>14910</v>
      </c>
      <c r="B4715" t="s">
        <v>14911</v>
      </c>
      <c r="C4715" t="s">
        <v>14912</v>
      </c>
      <c r="D4715" t="s">
        <v>14913</v>
      </c>
      <c r="E4715">
        <v>43</v>
      </c>
      <c r="F4715" t="str">
        <f>HYPERLINK("https://github.com/nextcloud/android/issues/8500", "show")</f>
        <v>show</v>
      </c>
      <c r="G4715" t="str">
        <f>HYPERLINK("https://github.com/nextcloud/android", "show")</f>
        <v>show</v>
      </c>
      <c r="H4715" t="str">
        <f>HYPERLINK("https://github.com/nextcloud/android/releases", "show")</f>
        <v>show</v>
      </c>
      <c r="I4715">
        <v>1</v>
      </c>
      <c r="J4715">
        <v>1</v>
      </c>
      <c r="K4715">
        <v>0</v>
      </c>
      <c r="L4715">
        <v>0</v>
      </c>
      <c r="M4715" t="s">
        <v>48</v>
      </c>
    </row>
    <row r="4716" spans="1:13" hidden="1" x14ac:dyDescent="0.15">
      <c r="A4716" t="s">
        <v>14914</v>
      </c>
      <c r="B4716" t="s">
        <v>14915</v>
      </c>
      <c r="C4716" t="s">
        <v>14916</v>
      </c>
      <c r="D4716" t="s">
        <v>14913</v>
      </c>
      <c r="E4716">
        <v>162</v>
      </c>
      <c r="F4716" t="str">
        <f>HYPERLINK("https://github.com/scoute-dich/browser/issues/515", "show")</f>
        <v>show</v>
      </c>
      <c r="G4716" t="str">
        <f>HYPERLINK("https://github.com/scoute-dich/browser", "show")</f>
        <v>show</v>
      </c>
      <c r="H4716" t="str">
        <f>HYPERLINK("https://github.com/scoute-dich/browser/releases", "show")</f>
        <v>show</v>
      </c>
      <c r="I4716">
        <v>1</v>
      </c>
      <c r="J4716">
        <v>0</v>
      </c>
      <c r="K4716">
        <v>0</v>
      </c>
      <c r="L4716">
        <v>0</v>
      </c>
      <c r="M4716" t="s">
        <v>17</v>
      </c>
    </row>
    <row r="4717" spans="1:13" hidden="1" x14ac:dyDescent="0.15">
      <c r="A4717" t="s">
        <v>14917</v>
      </c>
      <c r="B4717" t="s">
        <v>14918</v>
      </c>
      <c r="C4717" t="s">
        <v>14919</v>
      </c>
      <c r="D4717" t="s">
        <v>14913</v>
      </c>
      <c r="E4717">
        <v>1</v>
      </c>
      <c r="F4717" t="str">
        <f>HYPERLINK("https://github.com/Benji377/SocyMusic/issues/17", "show")</f>
        <v>show</v>
      </c>
      <c r="G4717" t="str">
        <f>HYPERLINK("https://github.com/Benji377/SocyMusic", "show")</f>
        <v>show</v>
      </c>
      <c r="H4717" t="str">
        <f>HYPERLINK("https://github.com/Benji377/SocyMusic/releases", "show")</f>
        <v>show</v>
      </c>
      <c r="I4717">
        <v>1</v>
      </c>
      <c r="J4717">
        <v>0</v>
      </c>
      <c r="K4717">
        <v>1</v>
      </c>
      <c r="L4717">
        <v>0</v>
      </c>
      <c r="M4717" t="s">
        <v>64</v>
      </c>
    </row>
    <row r="4718" spans="1:13" hidden="1" x14ac:dyDescent="0.15">
      <c r="A4718" t="s">
        <v>14920</v>
      </c>
      <c r="B4718" t="s">
        <v>14921</v>
      </c>
      <c r="C4718" t="s">
        <v>14922</v>
      </c>
      <c r="D4718" t="s">
        <v>14923</v>
      </c>
      <c r="E4718">
        <v>6</v>
      </c>
      <c r="F4718" t="str">
        <f>HYPERLINK("https://github.com/TeamNewPipe/NewPipe/issues/6397", "show")</f>
        <v>show</v>
      </c>
      <c r="G4718" t="str">
        <f>HYPERLINK("https://github.com/TeamNewPipe/NewPipe", "show")</f>
        <v>show</v>
      </c>
      <c r="H4718" t="str">
        <f>HYPERLINK("https://github.com/TeamNewPipe/NewPipe/releases", "show")</f>
        <v>show</v>
      </c>
      <c r="I4718">
        <v>1</v>
      </c>
      <c r="J4718">
        <v>1</v>
      </c>
      <c r="K4718">
        <v>0</v>
      </c>
      <c r="L4718">
        <v>0</v>
      </c>
      <c r="M4718" t="s">
        <v>48</v>
      </c>
    </row>
    <row r="4719" spans="1:13" hidden="1" x14ac:dyDescent="0.15">
      <c r="A4719" t="s">
        <v>14924</v>
      </c>
      <c r="B4719" t="s">
        <v>14925</v>
      </c>
      <c r="C4719" t="s">
        <v>14926</v>
      </c>
      <c r="D4719" t="s">
        <v>14923</v>
      </c>
      <c r="E4719">
        <v>1</v>
      </c>
      <c r="F4719" t="str">
        <f>HYPERLINK("https://github.com/DIT112-V21/group-10/issues/110", "show")</f>
        <v>show</v>
      </c>
      <c r="G4719" t="str">
        <f>HYPERLINK("https://github.com/DIT112-V21/group-10", "show")</f>
        <v>show</v>
      </c>
      <c r="H4719" t="str">
        <f>HYPERLINK("https://github.com/DIT112-V21/group-10/releases", "show")</f>
        <v>show</v>
      </c>
      <c r="I4719">
        <v>0</v>
      </c>
      <c r="J4719">
        <v>0</v>
      </c>
      <c r="K4719">
        <v>0</v>
      </c>
      <c r="L4719">
        <v>1</v>
      </c>
      <c r="M4719" t="s">
        <v>581</v>
      </c>
    </row>
    <row r="4720" spans="1:13" hidden="1" x14ac:dyDescent="0.15">
      <c r="A4720" t="s">
        <v>14927</v>
      </c>
      <c r="B4720" t="s">
        <v>14928</v>
      </c>
      <c r="C4720" t="s">
        <v>14929</v>
      </c>
      <c r="D4720" t="s">
        <v>14923</v>
      </c>
      <c r="E4720">
        <v>121</v>
      </c>
      <c r="F4720" t="str">
        <f>HYPERLINK("https://github.com/TeamNewPipe/NewPipe/issues/6392", "show")</f>
        <v>show</v>
      </c>
      <c r="G4720" t="str">
        <f>HYPERLINK("https://github.com/TeamNewPipe/NewPipe", "show")</f>
        <v>show</v>
      </c>
      <c r="H4720" t="str">
        <f>HYPERLINK("https://github.com/TeamNewPipe/NewPipe/releases", "show")</f>
        <v>show</v>
      </c>
      <c r="I4720">
        <v>1</v>
      </c>
      <c r="J4720">
        <v>1</v>
      </c>
      <c r="K4720">
        <v>0</v>
      </c>
      <c r="L4720">
        <v>0</v>
      </c>
      <c r="M4720" t="s">
        <v>48</v>
      </c>
    </row>
    <row r="4721" spans="1:13" x14ac:dyDescent="0.15">
      <c r="A4721" t="s">
        <v>14930</v>
      </c>
      <c r="B4721" t="s">
        <v>14931</v>
      </c>
      <c r="C4721" t="s">
        <v>11582</v>
      </c>
      <c r="D4721" t="s">
        <v>14932</v>
      </c>
      <c r="E4721">
        <v>0</v>
      </c>
      <c r="F4721" t="str">
        <f>HYPERLINK("https://github.com/nextcloud/android/issues/8492", "show")</f>
        <v>show</v>
      </c>
      <c r="G4721" t="str">
        <f>HYPERLINK("https://github.com/nextcloud/android", "show")</f>
        <v>show</v>
      </c>
      <c r="H4721" t="str">
        <f>HYPERLINK("https://github.com/nextcloud/android/releases", "show")</f>
        <v>show</v>
      </c>
      <c r="I4721">
        <v>0</v>
      </c>
      <c r="J4721">
        <v>1</v>
      </c>
      <c r="K4721">
        <v>0</v>
      </c>
      <c r="L4721">
        <v>0</v>
      </c>
      <c r="M4721" t="s">
        <v>139</v>
      </c>
    </row>
    <row r="4722" spans="1:13" x14ac:dyDescent="0.15">
      <c r="A4722" t="s">
        <v>14933</v>
      </c>
      <c r="B4722" t="s">
        <v>14934</v>
      </c>
      <c r="C4722" t="s">
        <v>14291</v>
      </c>
      <c r="D4722" t="s">
        <v>14932</v>
      </c>
      <c r="E4722">
        <v>0</v>
      </c>
      <c r="F4722" t="str">
        <f>HYPERLINK("https://github.com/PojavLauncherTeam/PojavLauncher/issues/1439", "show")</f>
        <v>show</v>
      </c>
      <c r="G4722" t="str">
        <f>HYPERLINK("https://github.com/PojavLauncherTeam/PojavLauncher", "show")</f>
        <v>show</v>
      </c>
      <c r="H4722" t="str">
        <f>HYPERLINK("https://github.com/PojavLauncherTeam/PojavLauncher/releases", "show")</f>
        <v>show</v>
      </c>
      <c r="I4722">
        <v>0</v>
      </c>
      <c r="J4722">
        <v>1</v>
      </c>
      <c r="K4722">
        <v>0</v>
      </c>
      <c r="L4722">
        <v>0</v>
      </c>
      <c r="M4722" t="s">
        <v>139</v>
      </c>
    </row>
    <row r="4723" spans="1:13" hidden="1" x14ac:dyDescent="0.15">
      <c r="A4723" t="s">
        <v>14935</v>
      </c>
      <c r="B4723" t="s">
        <v>14936</v>
      </c>
      <c r="C4723" t="s">
        <v>14937</v>
      </c>
      <c r="D4723" t="s">
        <v>14932</v>
      </c>
      <c r="E4723">
        <v>7</v>
      </c>
      <c r="F4723" t="str">
        <f>HYPERLINK("https://github.com/nextcloud/news-android/issues/964", "show")</f>
        <v>show</v>
      </c>
      <c r="G4723" t="str">
        <f>HYPERLINK("https://github.com/nextcloud/news-android", "show")</f>
        <v>show</v>
      </c>
      <c r="H4723" t="str">
        <f>HYPERLINK("https://github.com/nextcloud/news-android/releases", "show")</f>
        <v>show</v>
      </c>
      <c r="I4723">
        <v>1</v>
      </c>
      <c r="J4723">
        <v>1</v>
      </c>
      <c r="K4723">
        <v>1</v>
      </c>
      <c r="L4723">
        <v>0</v>
      </c>
      <c r="M4723" t="s">
        <v>59</v>
      </c>
    </row>
    <row r="4724" spans="1:13" hidden="1" x14ac:dyDescent="0.15">
      <c r="A4724" t="s">
        <v>14938</v>
      </c>
      <c r="B4724" t="s">
        <v>14939</v>
      </c>
      <c r="C4724" t="s">
        <v>14940</v>
      </c>
      <c r="D4724" t="s">
        <v>14932</v>
      </c>
      <c r="E4724">
        <v>280</v>
      </c>
      <c r="F4724" t="str">
        <f>HYPERLINK("https://github.com/nextcloud/android/issues/8485", "show")</f>
        <v>show</v>
      </c>
      <c r="G4724" t="str">
        <f>HYPERLINK("https://github.com/nextcloud/android", "show")</f>
        <v>show</v>
      </c>
      <c r="H4724" t="str">
        <f>HYPERLINK("https://github.com/nextcloud/android/releases", "show")</f>
        <v>show</v>
      </c>
      <c r="I4724">
        <v>1</v>
      </c>
      <c r="J4724">
        <v>1</v>
      </c>
      <c r="K4724">
        <v>1</v>
      </c>
      <c r="L4724">
        <v>0</v>
      </c>
      <c r="M4724" t="s">
        <v>59</v>
      </c>
    </row>
    <row r="4725" spans="1:13" hidden="1" x14ac:dyDescent="0.15">
      <c r="A4725" t="s">
        <v>14941</v>
      </c>
      <c r="B4725" t="s">
        <v>14942</v>
      </c>
      <c r="C4725" t="s">
        <v>14943</v>
      </c>
      <c r="D4725" t="s">
        <v>14944</v>
      </c>
      <c r="E4725">
        <v>3</v>
      </c>
      <c r="F4725" t="str">
        <f>HYPERLINK("https://github.com/DIT112-V21/group-17/issues/136", "show")</f>
        <v>show</v>
      </c>
      <c r="G4725" t="str">
        <f>HYPERLINK("https://github.com/DIT112-V21/group-17", "show")</f>
        <v>show</v>
      </c>
      <c r="H4725" t="str">
        <f>HYPERLINK("https://github.com/DIT112-V21/group-17/releases", "show")</f>
        <v>show</v>
      </c>
      <c r="I4725">
        <v>0</v>
      </c>
      <c r="J4725">
        <v>0</v>
      </c>
      <c r="K4725">
        <v>0</v>
      </c>
      <c r="L4725">
        <v>0</v>
      </c>
      <c r="M4725" t="s">
        <v>43</v>
      </c>
    </row>
    <row r="4726" spans="1:13" hidden="1" x14ac:dyDescent="0.15">
      <c r="A4726" t="s">
        <v>14945</v>
      </c>
      <c r="B4726" t="s">
        <v>14946</v>
      </c>
      <c r="C4726" t="s">
        <v>14947</v>
      </c>
      <c r="D4726" t="s">
        <v>14944</v>
      </c>
      <c r="E4726">
        <v>1</v>
      </c>
      <c r="F4726" t="str">
        <f>HYPERLINK("https://github.com/DIT112-V21/group-17/issues/135", "show")</f>
        <v>show</v>
      </c>
      <c r="G4726" t="str">
        <f>HYPERLINK("https://github.com/DIT112-V21/group-17", "show")</f>
        <v>show</v>
      </c>
      <c r="H4726" t="str">
        <f>HYPERLINK("https://github.com/DIT112-V21/group-17/releases", "show")</f>
        <v>show</v>
      </c>
      <c r="I4726">
        <v>0</v>
      </c>
      <c r="J4726">
        <v>0</v>
      </c>
      <c r="K4726">
        <v>0</v>
      </c>
      <c r="L4726">
        <v>0</v>
      </c>
      <c r="M4726" t="s">
        <v>43</v>
      </c>
    </row>
    <row r="4727" spans="1:13" hidden="1" x14ac:dyDescent="0.15">
      <c r="A4727" t="s">
        <v>14948</v>
      </c>
      <c r="B4727" t="s">
        <v>14949</v>
      </c>
      <c r="C4727" t="s">
        <v>14950</v>
      </c>
      <c r="D4727" t="s">
        <v>14944</v>
      </c>
      <c r="E4727">
        <v>0</v>
      </c>
      <c r="F4727" t="str">
        <f>HYPERLINK("https://github.com/DIT112-V21/group-17/issues/132", "show")</f>
        <v>show</v>
      </c>
      <c r="G4727" t="str">
        <f>HYPERLINK("https://github.com/DIT112-V21/group-17", "show")</f>
        <v>show</v>
      </c>
      <c r="H4727" t="str">
        <f>HYPERLINK("https://github.com/DIT112-V21/group-17/releases", "show")</f>
        <v>show</v>
      </c>
      <c r="I4727">
        <v>0</v>
      </c>
      <c r="J4727">
        <v>0</v>
      </c>
      <c r="K4727">
        <v>0</v>
      </c>
      <c r="L4727">
        <v>0</v>
      </c>
      <c r="M4727" t="s">
        <v>43</v>
      </c>
    </row>
    <row r="4728" spans="1:13" hidden="1" x14ac:dyDescent="0.15">
      <c r="A4728" t="s">
        <v>14951</v>
      </c>
      <c r="B4728" t="s">
        <v>14952</v>
      </c>
      <c r="C4728" t="s">
        <v>14953</v>
      </c>
      <c r="D4728" t="s">
        <v>14944</v>
      </c>
      <c r="E4728">
        <v>0</v>
      </c>
      <c r="F4728" t="str">
        <f>HYPERLINK("https://github.com/DIT112-V21/group-05/issues/64", "show")</f>
        <v>show</v>
      </c>
      <c r="G4728" t="str">
        <f>HYPERLINK("https://github.com/DIT112-V21/group-05", "show")</f>
        <v>show</v>
      </c>
      <c r="H4728" t="str">
        <f>HYPERLINK("https://github.com/DIT112-V21/group-05/releases", "show")</f>
        <v>show</v>
      </c>
      <c r="I4728">
        <v>0</v>
      </c>
      <c r="J4728">
        <v>0</v>
      </c>
      <c r="K4728">
        <v>0</v>
      </c>
      <c r="L4728">
        <v>0</v>
      </c>
      <c r="M4728" t="s">
        <v>43</v>
      </c>
    </row>
    <row r="4729" spans="1:13" hidden="1" x14ac:dyDescent="0.15">
      <c r="A4729" t="s">
        <v>14954</v>
      </c>
      <c r="B4729" t="s">
        <v>14955</v>
      </c>
      <c r="C4729" t="s">
        <v>14956</v>
      </c>
      <c r="D4729" t="s">
        <v>14944</v>
      </c>
      <c r="E4729">
        <v>0</v>
      </c>
      <c r="F4729" t="str">
        <f>HYPERLINK("https://github.com/DIT112-V21/group-17/issues/129", "show")</f>
        <v>show</v>
      </c>
      <c r="G4729" t="str">
        <f>HYPERLINK("https://github.com/DIT112-V21/group-17", "show")</f>
        <v>show</v>
      </c>
      <c r="H4729" t="str">
        <f>HYPERLINK("https://github.com/DIT112-V21/group-17/releases", "show")</f>
        <v>show</v>
      </c>
      <c r="I4729">
        <v>1</v>
      </c>
      <c r="J4729">
        <v>0</v>
      </c>
      <c r="K4729">
        <v>0</v>
      </c>
      <c r="L4729">
        <v>0</v>
      </c>
      <c r="M4729" t="s">
        <v>17</v>
      </c>
    </row>
    <row r="4730" spans="1:13" hidden="1" x14ac:dyDescent="0.15">
      <c r="A4730" t="s">
        <v>14957</v>
      </c>
      <c r="B4730" t="s">
        <v>14958</v>
      </c>
      <c r="C4730" t="s">
        <v>14959</v>
      </c>
      <c r="D4730" t="s">
        <v>14944</v>
      </c>
      <c r="E4730">
        <v>27</v>
      </c>
      <c r="F4730" t="str">
        <f>HYPERLINK("https://github.com/KramerJProg/MathQuizApp/issues/22", "show")</f>
        <v>show</v>
      </c>
      <c r="G4730" t="str">
        <f>HYPERLINK("https://github.com/KramerJProg/MathQuizApp", "show")</f>
        <v>show</v>
      </c>
      <c r="H4730" t="str">
        <f>HYPERLINK("https://github.com/KramerJProg/MathQuizApp/releases", "show")</f>
        <v>show</v>
      </c>
      <c r="I4730">
        <v>0</v>
      </c>
      <c r="J4730">
        <v>0</v>
      </c>
      <c r="K4730">
        <v>0</v>
      </c>
      <c r="L4730">
        <v>0</v>
      </c>
      <c r="M4730" t="s">
        <v>43</v>
      </c>
    </row>
    <row r="4731" spans="1:13" hidden="1" x14ac:dyDescent="0.15">
      <c r="A4731" t="s">
        <v>14960</v>
      </c>
      <c r="B4731" t="s">
        <v>14961</v>
      </c>
      <c r="C4731" t="s">
        <v>14962</v>
      </c>
      <c r="D4731" t="s">
        <v>14944</v>
      </c>
      <c r="E4731">
        <v>1</v>
      </c>
      <c r="F4731" t="str">
        <f>HYPERLINK("https://github.com/nextcloud/talk-android/issues/1294", "show")</f>
        <v>show</v>
      </c>
      <c r="G4731" t="str">
        <f>HYPERLINK("https://github.com/nextcloud/talk-android", "show")</f>
        <v>show</v>
      </c>
      <c r="H4731" t="str">
        <f>HYPERLINK("https://github.com/nextcloud/talk-android/releases", "show")</f>
        <v>show</v>
      </c>
      <c r="I4731">
        <v>1</v>
      </c>
      <c r="J4731">
        <v>0</v>
      </c>
      <c r="K4731">
        <v>0</v>
      </c>
      <c r="L4731">
        <v>0</v>
      </c>
      <c r="M4731" t="s">
        <v>17</v>
      </c>
    </row>
    <row r="4732" spans="1:13" hidden="1" x14ac:dyDescent="0.15">
      <c r="A4732" t="s">
        <v>14963</v>
      </c>
      <c r="B4732" t="s">
        <v>14964</v>
      </c>
      <c r="C4732" t="s">
        <v>14965</v>
      </c>
      <c r="D4732" t="s">
        <v>14944</v>
      </c>
      <c r="E4732">
        <v>0</v>
      </c>
      <c r="F4732" t="str">
        <f>HYPERLINK("https://github.com/DIT112-V21/group-17/issues/123", "show")</f>
        <v>show</v>
      </c>
      <c r="G4732" t="str">
        <f>HYPERLINK("https://github.com/DIT112-V21/group-17", "show")</f>
        <v>show</v>
      </c>
      <c r="H4732" t="str">
        <f>HYPERLINK("https://github.com/DIT112-V21/group-17/releases", "show")</f>
        <v>show</v>
      </c>
      <c r="I4732">
        <v>1</v>
      </c>
      <c r="J4732">
        <v>0</v>
      </c>
      <c r="K4732">
        <v>0</v>
      </c>
      <c r="L4732">
        <v>0</v>
      </c>
      <c r="M4732" t="s">
        <v>17</v>
      </c>
    </row>
    <row r="4733" spans="1:13" hidden="1" x14ac:dyDescent="0.15">
      <c r="A4733" t="s">
        <v>14966</v>
      </c>
      <c r="B4733" t="s">
        <v>14967</v>
      </c>
      <c r="C4733" t="s">
        <v>14968</v>
      </c>
      <c r="D4733" t="s">
        <v>14944</v>
      </c>
      <c r="E4733">
        <v>5</v>
      </c>
      <c r="F4733" t="str">
        <f>HYPERLINK("https://github.com/opensrp/opensrp-client-chw/issues/1786", "show")</f>
        <v>show</v>
      </c>
      <c r="G4733" t="str">
        <f>HYPERLINK("https://github.com/opensrp/opensrp-client-chw", "show")</f>
        <v>show</v>
      </c>
      <c r="H4733" t="str">
        <f>HYPERLINK("https://github.com/opensrp/opensrp-client-chw/releases", "show")</f>
        <v>show</v>
      </c>
      <c r="I4733">
        <v>1</v>
      </c>
      <c r="J4733">
        <v>0</v>
      </c>
      <c r="K4733">
        <v>0</v>
      </c>
      <c r="L4733">
        <v>0</v>
      </c>
      <c r="M4733" t="s">
        <v>17</v>
      </c>
    </row>
    <row r="4734" spans="1:13" hidden="1" x14ac:dyDescent="0.15">
      <c r="A4734" t="s">
        <v>14969</v>
      </c>
      <c r="B4734" t="s">
        <v>14970</v>
      </c>
      <c r="C4734" t="s">
        <v>14971</v>
      </c>
      <c r="D4734" t="s">
        <v>14944</v>
      </c>
      <c r="E4734">
        <v>0</v>
      </c>
      <c r="F4734" t="str">
        <f>HYPERLINK("https://github.com/nextcloud/android/issues/8479", "show")</f>
        <v>show</v>
      </c>
      <c r="G4734" t="str">
        <f>HYPERLINK("https://github.com/nextcloud/android", "show")</f>
        <v>show</v>
      </c>
      <c r="H4734" t="str">
        <f>HYPERLINK("https://github.com/nextcloud/android/releases", "show")</f>
        <v>show</v>
      </c>
      <c r="I4734">
        <v>1</v>
      </c>
      <c r="J4734">
        <v>1</v>
      </c>
      <c r="K4734">
        <v>1</v>
      </c>
      <c r="L4734">
        <v>0</v>
      </c>
      <c r="M4734" t="s">
        <v>59</v>
      </c>
    </row>
    <row r="4735" spans="1:13" hidden="1" x14ac:dyDescent="0.15">
      <c r="A4735" t="s">
        <v>14972</v>
      </c>
      <c r="B4735" t="s">
        <v>14973</v>
      </c>
      <c r="C4735" t="s">
        <v>14974</v>
      </c>
      <c r="D4735" t="s">
        <v>14975</v>
      </c>
      <c r="E4735">
        <v>2</v>
      </c>
      <c r="F4735" t="str">
        <f>HYPERLINK("https://github.com/mit-cml/appinventor-sources/issues/2490", "show")</f>
        <v>show</v>
      </c>
      <c r="G4735" t="str">
        <f>HYPERLINK("https://github.com/mit-cml/appinventor-sources", "show")</f>
        <v>show</v>
      </c>
      <c r="H4735" t="str">
        <f>HYPERLINK("https://github.com/mit-cml/appinventor-sources/releases", "show")</f>
        <v>show</v>
      </c>
      <c r="I4735">
        <v>1</v>
      </c>
      <c r="J4735">
        <v>0</v>
      </c>
      <c r="K4735">
        <v>0</v>
      </c>
      <c r="L4735">
        <v>0</v>
      </c>
      <c r="M4735" t="s">
        <v>17</v>
      </c>
    </row>
    <row r="4736" spans="1:13" hidden="1" x14ac:dyDescent="0.15">
      <c r="A4736" t="s">
        <v>14976</v>
      </c>
      <c r="B4736" t="s">
        <v>14977</v>
      </c>
      <c r="C4736" t="s">
        <v>14978</v>
      </c>
      <c r="D4736" t="s">
        <v>14975</v>
      </c>
      <c r="E4736">
        <v>3</v>
      </c>
      <c r="F4736" t="str">
        <f>HYPERLINK("https://github.com/Bible-Translation-Tools/BTT-Writer-Android/issues/18", "show")</f>
        <v>show</v>
      </c>
      <c r="G4736" t="str">
        <f>HYPERLINK("https://github.com/Bible-Translation-Tools/BTT-Writer-Android", "show")</f>
        <v>show</v>
      </c>
      <c r="H4736" t="str">
        <f>HYPERLINK("https://github.com/Bible-Translation-Tools/BTT-Writer-Android/releases", "show")</f>
        <v>show</v>
      </c>
      <c r="I4736">
        <v>1</v>
      </c>
      <c r="J4736">
        <v>0</v>
      </c>
      <c r="K4736">
        <v>0</v>
      </c>
      <c r="L4736">
        <v>1</v>
      </c>
      <c r="M4736" t="s">
        <v>29</v>
      </c>
    </row>
    <row r="4737" spans="1:13" hidden="1" x14ac:dyDescent="0.15">
      <c r="A4737" t="s">
        <v>14979</v>
      </c>
      <c r="B4737" t="s">
        <v>14980</v>
      </c>
      <c r="D4737" t="s">
        <v>14975</v>
      </c>
      <c r="E4737">
        <v>0</v>
      </c>
      <c r="F4737" t="str">
        <f>HYPERLINK("https://github.com/SE2-SS21-Gruppe2/moving-maze/issues/79", "show")</f>
        <v>show</v>
      </c>
      <c r="G4737" t="str">
        <f>HYPERLINK("https://github.com/SE2-SS21-Gruppe2/moving-maze", "show")</f>
        <v>show</v>
      </c>
      <c r="H4737" t="str">
        <f>HYPERLINK("https://github.com/SE2-SS21-Gruppe2/moving-maze/releases", "show")</f>
        <v>show</v>
      </c>
      <c r="I4737">
        <v>1</v>
      </c>
      <c r="J4737">
        <v>0</v>
      </c>
      <c r="K4737">
        <v>0</v>
      </c>
      <c r="L4737">
        <v>0</v>
      </c>
      <c r="M4737" t="s">
        <v>17</v>
      </c>
    </row>
    <row r="4738" spans="1:13" hidden="1" x14ac:dyDescent="0.15">
      <c r="A4738" t="s">
        <v>14981</v>
      </c>
      <c r="B4738" t="s">
        <v>14982</v>
      </c>
      <c r="C4738" t="s">
        <v>14983</v>
      </c>
      <c r="D4738" t="s">
        <v>14975</v>
      </c>
      <c r="E4738">
        <v>0</v>
      </c>
      <c r="F4738" t="str">
        <f>HYPERLINK("https://github.com/ankidroid/Anki-Android/issues/8931", "show")</f>
        <v>show</v>
      </c>
      <c r="G4738" t="str">
        <f>HYPERLINK("https://github.com/ankidroid/Anki-Android", "show")</f>
        <v>show</v>
      </c>
      <c r="H4738" t="str">
        <f>HYPERLINK("https://github.com/ankidroid/Anki-Android/releases", "show")</f>
        <v>show</v>
      </c>
      <c r="I4738">
        <v>1</v>
      </c>
      <c r="J4738">
        <v>0</v>
      </c>
      <c r="K4738">
        <v>0</v>
      </c>
      <c r="L4738">
        <v>0</v>
      </c>
      <c r="M4738" t="s">
        <v>17</v>
      </c>
    </row>
    <row r="4739" spans="1:13" hidden="1" x14ac:dyDescent="0.15">
      <c r="A4739" t="s">
        <v>14984</v>
      </c>
      <c r="B4739" t="s">
        <v>14985</v>
      </c>
      <c r="C4739" t="s">
        <v>14986</v>
      </c>
      <c r="D4739" t="s">
        <v>14975</v>
      </c>
      <c r="E4739">
        <v>0</v>
      </c>
      <c r="F4739" t="str">
        <f>HYPERLINK("https://github.com/k9mail/k-9/issues/5308", "show")</f>
        <v>show</v>
      </c>
      <c r="G4739" t="str">
        <f>HYPERLINK("https://github.com/k9mail/k-9", "show")</f>
        <v>show</v>
      </c>
      <c r="H4739" t="str">
        <f>HYPERLINK("https://github.com/k9mail/k-9/releases", "show")</f>
        <v>show</v>
      </c>
      <c r="I4739">
        <v>1</v>
      </c>
      <c r="J4739">
        <v>1</v>
      </c>
      <c r="K4739">
        <v>0</v>
      </c>
      <c r="L4739">
        <v>0</v>
      </c>
      <c r="M4739" t="s">
        <v>48</v>
      </c>
    </row>
    <row r="4740" spans="1:13" x14ac:dyDescent="0.15">
      <c r="A4740" t="s">
        <v>14987</v>
      </c>
      <c r="B4740" t="s">
        <v>12409</v>
      </c>
      <c r="C4740" t="s">
        <v>11582</v>
      </c>
      <c r="D4740" t="s">
        <v>14975</v>
      </c>
      <c r="E4740">
        <v>1</v>
      </c>
      <c r="F4740" t="str">
        <f>HYPERLINK("https://github.com/nextcloud/android/issues/8473", "show")</f>
        <v>show</v>
      </c>
      <c r="G4740" t="str">
        <f>HYPERLINK("https://github.com/nextcloud/android", "show")</f>
        <v>show</v>
      </c>
      <c r="H4740" t="str">
        <f>HYPERLINK("https://github.com/nextcloud/android/releases", "show")</f>
        <v>show</v>
      </c>
      <c r="I4740">
        <v>0</v>
      </c>
      <c r="J4740">
        <v>1</v>
      </c>
      <c r="K4740">
        <v>0</v>
      </c>
      <c r="L4740">
        <v>0</v>
      </c>
      <c r="M4740" t="s">
        <v>139</v>
      </c>
    </row>
    <row r="4741" spans="1:13" hidden="1" x14ac:dyDescent="0.15">
      <c r="A4741" t="s">
        <v>14988</v>
      </c>
      <c r="B4741" t="s">
        <v>14989</v>
      </c>
      <c r="C4741" t="s">
        <v>14990</v>
      </c>
      <c r="D4741" t="s">
        <v>14975</v>
      </c>
      <c r="E4741">
        <v>19</v>
      </c>
      <c r="F4741" t="str">
        <f>HYPERLINK("https://github.com/TeamNewPipe/NewPipe/issues/6368", "show")</f>
        <v>show</v>
      </c>
      <c r="G4741" t="str">
        <f>HYPERLINK("https://github.com/TeamNewPipe/NewPipe", "show")</f>
        <v>show</v>
      </c>
      <c r="H4741" t="str">
        <f>HYPERLINK("https://github.com/TeamNewPipe/NewPipe/releases", "show")</f>
        <v>show</v>
      </c>
      <c r="I4741">
        <v>1</v>
      </c>
      <c r="J4741">
        <v>1</v>
      </c>
      <c r="K4741">
        <v>0</v>
      </c>
      <c r="L4741">
        <v>0</v>
      </c>
      <c r="M4741" t="s">
        <v>48</v>
      </c>
    </row>
    <row r="4742" spans="1:13" hidden="1" x14ac:dyDescent="0.15">
      <c r="A4742" t="s">
        <v>14991</v>
      </c>
      <c r="B4742" t="s">
        <v>14992</v>
      </c>
      <c r="C4742" t="s">
        <v>14993</v>
      </c>
      <c r="D4742" t="s">
        <v>14975</v>
      </c>
      <c r="E4742">
        <v>0</v>
      </c>
      <c r="F4742" t="str">
        <f>HYPERLINK("https://github.com/Anuken/Mindustry/issues/5290", "show")</f>
        <v>show</v>
      </c>
      <c r="G4742" t="str">
        <f>HYPERLINK("https://github.com/Anuken/Mindustry", "show")</f>
        <v>show</v>
      </c>
      <c r="H4742" t="str">
        <f>HYPERLINK("https://github.com/Anuken/Mindustry/releases", "show")</f>
        <v>show</v>
      </c>
      <c r="I4742">
        <v>1</v>
      </c>
      <c r="J4742">
        <v>1</v>
      </c>
      <c r="K4742">
        <v>0</v>
      </c>
      <c r="L4742">
        <v>0</v>
      </c>
      <c r="M4742" t="s">
        <v>48</v>
      </c>
    </row>
    <row r="4743" spans="1:13" x14ac:dyDescent="0.15">
      <c r="A4743" t="s">
        <v>14994</v>
      </c>
      <c r="B4743" t="s">
        <v>14995</v>
      </c>
      <c r="C4743" t="s">
        <v>14996</v>
      </c>
      <c r="D4743" t="s">
        <v>14997</v>
      </c>
      <c r="E4743">
        <v>0</v>
      </c>
      <c r="F4743" t="str">
        <f>HYPERLINK("https://github.com/Anuken/Mindustry/issues/5289", "show")</f>
        <v>show</v>
      </c>
      <c r="G4743" t="str">
        <f>HYPERLINK("https://github.com/Anuken/Mindustry", "show")</f>
        <v>show</v>
      </c>
      <c r="H4743" t="str">
        <f>HYPERLINK("https://github.com/Anuken/Mindustry/releases", "show")</f>
        <v>show</v>
      </c>
      <c r="I4743">
        <v>0</v>
      </c>
      <c r="J4743">
        <v>1</v>
      </c>
      <c r="K4743">
        <v>0</v>
      </c>
      <c r="L4743">
        <v>0</v>
      </c>
      <c r="M4743" t="s">
        <v>139</v>
      </c>
    </row>
    <row r="4744" spans="1:13" hidden="1" x14ac:dyDescent="0.15">
      <c r="A4744" t="s">
        <v>14998</v>
      </c>
      <c r="B4744" t="s">
        <v>14999</v>
      </c>
      <c r="C4744" t="s">
        <v>15000</v>
      </c>
      <c r="D4744" t="s">
        <v>14997</v>
      </c>
      <c r="E4744">
        <v>111</v>
      </c>
      <c r="F4744" t="str">
        <f>HYPERLINK("https://github.com/TeamNewPipe/NewPipe/issues/6364", "show")</f>
        <v>show</v>
      </c>
      <c r="G4744" t="str">
        <f>HYPERLINK("https://github.com/TeamNewPipe/NewPipe", "show")</f>
        <v>show</v>
      </c>
      <c r="H4744" t="str">
        <f>HYPERLINK("https://github.com/TeamNewPipe/NewPipe/releases", "show")</f>
        <v>show</v>
      </c>
      <c r="I4744">
        <v>1</v>
      </c>
      <c r="J4744">
        <v>1</v>
      </c>
      <c r="K4744">
        <v>1</v>
      </c>
      <c r="L4744">
        <v>0</v>
      </c>
      <c r="M4744" t="s">
        <v>59</v>
      </c>
    </row>
    <row r="4745" spans="1:13" hidden="1" x14ac:dyDescent="0.15">
      <c r="A4745" t="s">
        <v>15001</v>
      </c>
      <c r="B4745" t="s">
        <v>15002</v>
      </c>
      <c r="C4745" t="s">
        <v>15003</v>
      </c>
      <c r="D4745" t="s">
        <v>14997</v>
      </c>
      <c r="E4745">
        <v>1</v>
      </c>
      <c r="F4745" t="str">
        <f>HYPERLINK("https://github.com/nextcloud/android/issues/8460", "show")</f>
        <v>show</v>
      </c>
      <c r="G4745" t="str">
        <f>HYPERLINK("https://github.com/nextcloud/android", "show")</f>
        <v>show</v>
      </c>
      <c r="H4745" t="str">
        <f>HYPERLINK("https://github.com/nextcloud/android/releases", "show")</f>
        <v>show</v>
      </c>
      <c r="I4745">
        <v>0</v>
      </c>
      <c r="J4745">
        <v>1</v>
      </c>
      <c r="K4745">
        <v>1</v>
      </c>
      <c r="L4745">
        <v>0</v>
      </c>
      <c r="M4745" t="s">
        <v>699</v>
      </c>
    </row>
    <row r="4746" spans="1:13" hidden="1" x14ac:dyDescent="0.15">
      <c r="A4746" t="s">
        <v>15004</v>
      </c>
      <c r="B4746" t="s">
        <v>15005</v>
      </c>
      <c r="C4746" t="s">
        <v>15006</v>
      </c>
      <c r="D4746" t="s">
        <v>14997</v>
      </c>
      <c r="E4746">
        <v>0</v>
      </c>
      <c r="F4746" t="str">
        <f>HYPERLINK("https://github.com/muxinc/mux-stats-sdk-exoplayer/issues/112", "show")</f>
        <v>show</v>
      </c>
      <c r="G4746" t="str">
        <f>HYPERLINK("https://github.com/muxinc/mux-stats-sdk-exoplayer", "show")</f>
        <v>show</v>
      </c>
      <c r="H4746" t="str">
        <f>HYPERLINK("https://github.com/muxinc/mux-stats-sdk-exoplayer/releases", "show")</f>
        <v>show</v>
      </c>
      <c r="I4746">
        <v>0</v>
      </c>
      <c r="J4746">
        <v>0</v>
      </c>
      <c r="K4746">
        <v>0</v>
      </c>
      <c r="L4746">
        <v>0</v>
      </c>
      <c r="M4746" t="s">
        <v>43</v>
      </c>
    </row>
    <row r="4747" spans="1:13" hidden="1" x14ac:dyDescent="0.15">
      <c r="A4747" t="s">
        <v>15007</v>
      </c>
      <c r="B4747" t="s">
        <v>15008</v>
      </c>
      <c r="C4747" t="s">
        <v>15009</v>
      </c>
      <c r="D4747" t="s">
        <v>14997</v>
      </c>
      <c r="E4747">
        <v>1</v>
      </c>
      <c r="F4747" t="str">
        <f>HYPERLINK("https://github.com/MuntashirAkon/AppManager/issues/452", "show")</f>
        <v>show</v>
      </c>
      <c r="G4747" t="str">
        <f>HYPERLINK("https://github.com/MuntashirAkon/AppManager", "show")</f>
        <v>show</v>
      </c>
      <c r="H4747" t="str">
        <f>HYPERLINK("https://github.com/MuntashirAkon/AppManager/releases", "show")</f>
        <v>show</v>
      </c>
      <c r="I4747">
        <v>1</v>
      </c>
      <c r="J4747">
        <v>0</v>
      </c>
      <c r="K4747">
        <v>1</v>
      </c>
      <c r="L4747">
        <v>0</v>
      </c>
      <c r="M4747" t="s">
        <v>64</v>
      </c>
    </row>
    <row r="4748" spans="1:13" hidden="1" x14ac:dyDescent="0.15">
      <c r="A4748" t="s">
        <v>15010</v>
      </c>
      <c r="B4748" t="s">
        <v>15011</v>
      </c>
      <c r="C4748" t="s">
        <v>15012</v>
      </c>
      <c r="D4748" t="s">
        <v>14997</v>
      </c>
      <c r="E4748">
        <v>0</v>
      </c>
      <c r="F4748" t="str">
        <f>HYPERLINK("https://github.com/Chimerapps/niddler/issues/26", "show")</f>
        <v>show</v>
      </c>
      <c r="G4748" t="str">
        <f>HYPERLINK("https://github.com/Chimerapps/niddler", "show")</f>
        <v>show</v>
      </c>
      <c r="H4748" t="str">
        <f>HYPERLINK("https://github.com/Chimerapps/niddler/releases", "show")</f>
        <v>show</v>
      </c>
      <c r="I4748">
        <v>0</v>
      </c>
      <c r="J4748">
        <v>0</v>
      </c>
      <c r="K4748">
        <v>1</v>
      </c>
      <c r="L4748">
        <v>0</v>
      </c>
      <c r="M4748" t="s">
        <v>122</v>
      </c>
    </row>
    <row r="4749" spans="1:13" hidden="1" x14ac:dyDescent="0.15">
      <c r="A4749" t="s">
        <v>15013</v>
      </c>
      <c r="B4749" t="s">
        <v>15014</v>
      </c>
      <c r="C4749" t="s">
        <v>15015</v>
      </c>
      <c r="D4749" t="s">
        <v>14997</v>
      </c>
      <c r="E4749">
        <v>44</v>
      </c>
      <c r="F4749" t="str">
        <f>HYPERLINK("https://github.com/nextcloud/android/issues/8459", "show")</f>
        <v>show</v>
      </c>
      <c r="G4749" t="str">
        <f>HYPERLINK("https://github.com/nextcloud/android", "show")</f>
        <v>show</v>
      </c>
      <c r="H4749" t="str">
        <f>HYPERLINK("https://github.com/nextcloud/android/releases", "show")</f>
        <v>show</v>
      </c>
      <c r="I4749">
        <v>1</v>
      </c>
      <c r="J4749">
        <v>0</v>
      </c>
      <c r="K4749">
        <v>1</v>
      </c>
      <c r="L4749">
        <v>0</v>
      </c>
      <c r="M4749" t="s">
        <v>64</v>
      </c>
    </row>
    <row r="4750" spans="1:13" hidden="1" x14ac:dyDescent="0.15">
      <c r="A4750" t="s">
        <v>15016</v>
      </c>
      <c r="B4750" t="s">
        <v>15017</v>
      </c>
      <c r="C4750" t="s">
        <v>15018</v>
      </c>
      <c r="D4750" t="s">
        <v>14997</v>
      </c>
      <c r="E4750">
        <v>1</v>
      </c>
      <c r="F4750" t="str">
        <f>HYPERLINK("https://github.com/nextcloud/android/issues/8458", "show")</f>
        <v>show</v>
      </c>
      <c r="G4750" t="str">
        <f>HYPERLINK("https://github.com/nextcloud/android", "show")</f>
        <v>show</v>
      </c>
      <c r="H4750" t="str">
        <f>HYPERLINK("https://github.com/nextcloud/android/releases", "show")</f>
        <v>show</v>
      </c>
      <c r="I4750">
        <v>0</v>
      </c>
      <c r="J4750">
        <v>0</v>
      </c>
      <c r="K4750">
        <v>1</v>
      </c>
      <c r="L4750">
        <v>0</v>
      </c>
      <c r="M4750" t="s">
        <v>122</v>
      </c>
    </row>
    <row r="4751" spans="1:13" hidden="1" x14ac:dyDescent="0.15">
      <c r="A4751" t="s">
        <v>15019</v>
      </c>
      <c r="B4751" t="s">
        <v>15020</v>
      </c>
      <c r="C4751" t="s">
        <v>15021</v>
      </c>
      <c r="D4751" t="s">
        <v>15022</v>
      </c>
      <c r="E4751">
        <v>99</v>
      </c>
      <c r="F4751" t="str">
        <f>HYPERLINK("https://github.com/enviroCar/enviroCar-app/issues/740", "show")</f>
        <v>show</v>
      </c>
      <c r="G4751" t="str">
        <f>HYPERLINK("https://github.com/enviroCar/enviroCar-app", "show")</f>
        <v>show</v>
      </c>
      <c r="H4751" t="str">
        <f>HYPERLINK("https://github.com/enviroCar/enviroCar-app/releases", "show")</f>
        <v>show</v>
      </c>
      <c r="I4751">
        <v>1</v>
      </c>
      <c r="J4751">
        <v>0</v>
      </c>
      <c r="K4751">
        <v>0</v>
      </c>
      <c r="L4751">
        <v>0</v>
      </c>
      <c r="M4751" t="s">
        <v>17</v>
      </c>
    </row>
    <row r="4752" spans="1:13" hidden="1" x14ac:dyDescent="0.15">
      <c r="A4752" t="s">
        <v>15023</v>
      </c>
      <c r="B4752" t="s">
        <v>15024</v>
      </c>
      <c r="C4752" t="s">
        <v>15025</v>
      </c>
      <c r="D4752" t="s">
        <v>15022</v>
      </c>
      <c r="E4752">
        <v>156</v>
      </c>
      <c r="F4752" t="str">
        <f>HYPERLINK("https://github.com/flutter-package/images_picker/issues/28", "show")</f>
        <v>show</v>
      </c>
      <c r="G4752" t="str">
        <f>HYPERLINK("https://github.com/flutter-package/images_picker", "show")</f>
        <v>show</v>
      </c>
      <c r="H4752" t="str">
        <f>HYPERLINK("https://github.com/flutter-package/images_picker/releases", "show")</f>
        <v>show</v>
      </c>
      <c r="I4752">
        <v>0</v>
      </c>
      <c r="J4752">
        <v>0</v>
      </c>
      <c r="K4752">
        <v>0</v>
      </c>
      <c r="L4752">
        <v>0</v>
      </c>
      <c r="M4752" t="s">
        <v>43</v>
      </c>
    </row>
    <row r="4753" spans="1:13" hidden="1" x14ac:dyDescent="0.15">
      <c r="A4753" t="s">
        <v>15026</v>
      </c>
      <c r="B4753" t="s">
        <v>15027</v>
      </c>
      <c r="C4753" t="s">
        <v>15028</v>
      </c>
      <c r="D4753" t="s">
        <v>15022</v>
      </c>
      <c r="E4753">
        <v>0</v>
      </c>
      <c r="F4753" t="str">
        <f>HYPERLINK("https://github.com/Anuken/Mindustry/issues/5285", "show")</f>
        <v>show</v>
      </c>
      <c r="G4753" t="str">
        <f>HYPERLINK("https://github.com/Anuken/Mindustry", "show")</f>
        <v>show</v>
      </c>
      <c r="H4753" t="str">
        <f>HYPERLINK("https://github.com/Anuken/Mindustry/releases", "show")</f>
        <v>show</v>
      </c>
      <c r="I4753">
        <v>1</v>
      </c>
      <c r="J4753">
        <v>1</v>
      </c>
      <c r="K4753">
        <v>0</v>
      </c>
      <c r="L4753">
        <v>0</v>
      </c>
      <c r="M4753" t="s">
        <v>48</v>
      </c>
    </row>
    <row r="4754" spans="1:13" x14ac:dyDescent="0.15">
      <c r="A4754" t="s">
        <v>15029</v>
      </c>
      <c r="B4754" t="s">
        <v>15030</v>
      </c>
      <c r="C4754" t="s">
        <v>14291</v>
      </c>
      <c r="D4754" t="s">
        <v>15022</v>
      </c>
      <c r="E4754">
        <v>0</v>
      </c>
      <c r="F4754" t="str">
        <f>HYPERLINK("https://github.com/PojavLauncherTeam/PojavLauncher/issues/1418", "show")</f>
        <v>show</v>
      </c>
      <c r="G4754" t="str">
        <f>HYPERLINK("https://github.com/PojavLauncherTeam/PojavLauncher", "show")</f>
        <v>show</v>
      </c>
      <c r="H4754" t="str">
        <f>HYPERLINK("https://github.com/PojavLauncherTeam/PojavLauncher/releases", "show")</f>
        <v>show</v>
      </c>
      <c r="I4754">
        <v>0</v>
      </c>
      <c r="J4754">
        <v>1</v>
      </c>
      <c r="K4754">
        <v>0</v>
      </c>
      <c r="L4754">
        <v>0</v>
      </c>
      <c r="M4754" t="s">
        <v>139</v>
      </c>
    </row>
    <row r="4755" spans="1:13" hidden="1" x14ac:dyDescent="0.15">
      <c r="A4755" t="s">
        <v>15031</v>
      </c>
      <c r="B4755" t="s">
        <v>15032</v>
      </c>
      <c r="C4755" t="s">
        <v>15033</v>
      </c>
      <c r="D4755" t="s">
        <v>15034</v>
      </c>
      <c r="E4755">
        <v>28</v>
      </c>
      <c r="F4755" t="str">
        <f>HYPERLINK("https://github.com/deltachat/deltachat-android/issues/1936", "show")</f>
        <v>show</v>
      </c>
      <c r="G4755" t="str">
        <f>HYPERLINK("https://github.com/deltachat/deltachat-android", "show")</f>
        <v>show</v>
      </c>
      <c r="H4755" t="str">
        <f>HYPERLINK("https://github.com/deltachat/deltachat-android/releases", "show")</f>
        <v>show</v>
      </c>
      <c r="I4755">
        <v>1</v>
      </c>
      <c r="J4755">
        <v>0</v>
      </c>
      <c r="K4755">
        <v>1</v>
      </c>
      <c r="L4755">
        <v>0</v>
      </c>
      <c r="M4755" t="s">
        <v>64</v>
      </c>
    </row>
    <row r="4756" spans="1:13" hidden="1" x14ac:dyDescent="0.15">
      <c r="A4756" t="s">
        <v>15035</v>
      </c>
      <c r="B4756" t="s">
        <v>15036</v>
      </c>
      <c r="C4756" t="s">
        <v>15037</v>
      </c>
      <c r="D4756" t="s">
        <v>15034</v>
      </c>
      <c r="E4756">
        <v>0</v>
      </c>
      <c r="F4756" t="str">
        <f>HYPERLINK("https://github.com/Anuken/Mindustry/issues/5281", "show")</f>
        <v>show</v>
      </c>
      <c r="G4756" t="str">
        <f>HYPERLINK("https://github.com/Anuken/Mindustry", "show")</f>
        <v>show</v>
      </c>
      <c r="H4756" t="str">
        <f>HYPERLINK("https://github.com/Anuken/Mindustry/releases", "show")</f>
        <v>show</v>
      </c>
      <c r="I4756">
        <v>1</v>
      </c>
      <c r="J4756">
        <v>1</v>
      </c>
      <c r="K4756">
        <v>0</v>
      </c>
      <c r="L4756">
        <v>0</v>
      </c>
      <c r="M4756" t="s">
        <v>48</v>
      </c>
    </row>
    <row r="4757" spans="1:13" hidden="1" x14ac:dyDescent="0.15">
      <c r="A4757" t="s">
        <v>15038</v>
      </c>
      <c r="B4757" t="s">
        <v>15039</v>
      </c>
      <c r="C4757" t="s">
        <v>12056</v>
      </c>
      <c r="D4757" t="s">
        <v>15040</v>
      </c>
      <c r="E4757">
        <v>47</v>
      </c>
      <c r="F4757" t="str">
        <f>HYPERLINK("https://github.com/nextcloud/android/issues/8454", "show")</f>
        <v>show</v>
      </c>
      <c r="G4757" t="str">
        <f>HYPERLINK("https://github.com/nextcloud/android", "show")</f>
        <v>show</v>
      </c>
      <c r="H4757" t="str">
        <f>HYPERLINK("https://github.com/nextcloud/android/releases", "show")</f>
        <v>show</v>
      </c>
      <c r="I4757">
        <v>0</v>
      </c>
      <c r="J4757">
        <v>1</v>
      </c>
      <c r="K4757">
        <v>1</v>
      </c>
      <c r="L4757">
        <v>0</v>
      </c>
      <c r="M4757" t="s">
        <v>699</v>
      </c>
    </row>
    <row r="4758" spans="1:13" hidden="1" x14ac:dyDescent="0.15">
      <c r="A4758" t="s">
        <v>15041</v>
      </c>
      <c r="B4758" t="s">
        <v>15042</v>
      </c>
      <c r="C4758" t="s">
        <v>15043</v>
      </c>
      <c r="D4758" t="s">
        <v>15040</v>
      </c>
      <c r="E4758">
        <v>3</v>
      </c>
      <c r="F4758" t="str">
        <f>HYPERLINK("https://github.com/mapbox/mapbox-events-android/issues/530", "show")</f>
        <v>show</v>
      </c>
      <c r="G4758" t="str">
        <f>HYPERLINK("https://github.com/mapbox/mapbox-events-android", "show")</f>
        <v>show</v>
      </c>
      <c r="H4758" t="str">
        <f>HYPERLINK("https://github.com/mapbox/mapbox-events-android/releases", "show")</f>
        <v>show</v>
      </c>
      <c r="I4758">
        <v>1</v>
      </c>
      <c r="J4758">
        <v>0</v>
      </c>
      <c r="K4758">
        <v>1</v>
      </c>
      <c r="L4758">
        <v>0</v>
      </c>
      <c r="M4758" t="s">
        <v>64</v>
      </c>
    </row>
    <row r="4759" spans="1:13" hidden="1" x14ac:dyDescent="0.15">
      <c r="A4759" t="s">
        <v>15044</v>
      </c>
      <c r="B4759" t="s">
        <v>15045</v>
      </c>
      <c r="C4759" t="s">
        <v>15046</v>
      </c>
      <c r="D4759" t="s">
        <v>15040</v>
      </c>
      <c r="E4759">
        <v>0</v>
      </c>
      <c r="F4759" t="str">
        <f>HYPERLINK("https://github.com/OpenTracksApp/OpenTracks/issues/787", "show")</f>
        <v>show</v>
      </c>
      <c r="G4759" t="str">
        <f>HYPERLINK("https://github.com/OpenTracksApp/OpenTracks", "show")</f>
        <v>show</v>
      </c>
      <c r="H4759" t="str">
        <f>HYPERLINK("https://github.com/OpenTracksApp/OpenTracks/releases", "show")</f>
        <v>show</v>
      </c>
      <c r="I4759">
        <v>1</v>
      </c>
      <c r="J4759">
        <v>1</v>
      </c>
      <c r="K4759">
        <v>1</v>
      </c>
      <c r="L4759">
        <v>0</v>
      </c>
      <c r="M4759" t="s">
        <v>59</v>
      </c>
    </row>
    <row r="4760" spans="1:13" hidden="1" x14ac:dyDescent="0.15">
      <c r="A4760" t="s">
        <v>15047</v>
      </c>
      <c r="B4760" t="s">
        <v>15048</v>
      </c>
      <c r="C4760" t="s">
        <v>15049</v>
      </c>
      <c r="D4760" t="s">
        <v>15040</v>
      </c>
      <c r="E4760">
        <v>2</v>
      </c>
      <c r="F4760" t="str">
        <f>HYPERLINK("https://github.com/PojavLauncherTeam/PojavLauncher/issues/1410", "show")</f>
        <v>show</v>
      </c>
      <c r="G4760" t="str">
        <f>HYPERLINK("https://github.com/PojavLauncherTeam/PojavLauncher", "show")</f>
        <v>show</v>
      </c>
      <c r="H4760" t="str">
        <f>HYPERLINK("https://github.com/PojavLauncherTeam/PojavLauncher/releases", "show")</f>
        <v>show</v>
      </c>
      <c r="I4760">
        <v>1</v>
      </c>
      <c r="J4760">
        <v>0</v>
      </c>
      <c r="K4760">
        <v>0</v>
      </c>
      <c r="L4760">
        <v>0</v>
      </c>
      <c r="M4760" t="s">
        <v>17</v>
      </c>
    </row>
    <row r="4761" spans="1:13" hidden="1" x14ac:dyDescent="0.15">
      <c r="A4761" t="s">
        <v>15050</v>
      </c>
      <c r="B4761" t="s">
        <v>15051</v>
      </c>
      <c r="C4761" t="s">
        <v>15052</v>
      </c>
      <c r="D4761" t="s">
        <v>15053</v>
      </c>
      <c r="E4761">
        <v>137</v>
      </c>
      <c r="F4761" t="str">
        <f>HYPERLINK("https://github.com/Rapsssito/react-native-background-actions/issues/88", "show")</f>
        <v>show</v>
      </c>
      <c r="G4761" t="str">
        <f>HYPERLINK("https://github.com/Rapsssito/react-native-background-actions", "show")</f>
        <v>show</v>
      </c>
      <c r="H4761" t="str">
        <f>HYPERLINK("https://github.com/Rapsssito/react-native-background-actions/releases", "show")</f>
        <v>show</v>
      </c>
      <c r="I4761">
        <v>1</v>
      </c>
      <c r="J4761">
        <v>0</v>
      </c>
      <c r="K4761">
        <v>0</v>
      </c>
      <c r="L4761">
        <v>0</v>
      </c>
      <c r="M4761" t="s">
        <v>17</v>
      </c>
    </row>
    <row r="4762" spans="1:13" hidden="1" x14ac:dyDescent="0.15">
      <c r="A4762" t="s">
        <v>15054</v>
      </c>
      <c r="B4762" t="s">
        <v>15055</v>
      </c>
      <c r="C4762" t="s">
        <v>15056</v>
      </c>
      <c r="D4762" t="s">
        <v>15053</v>
      </c>
      <c r="E4762">
        <v>35</v>
      </c>
      <c r="F4762" t="str">
        <f>HYPERLINK("https://github.com/twilio/video-quickstart-android/issues/639", "show")</f>
        <v>show</v>
      </c>
      <c r="G4762" t="str">
        <f>HYPERLINK("https://github.com/twilio/video-quickstart-android", "show")</f>
        <v>show</v>
      </c>
      <c r="H4762" t="str">
        <f>HYPERLINK("https://github.com/twilio/video-quickstart-android/releases", "show")</f>
        <v>show</v>
      </c>
      <c r="I4762">
        <v>1</v>
      </c>
      <c r="J4762">
        <v>0</v>
      </c>
      <c r="K4762">
        <v>1</v>
      </c>
      <c r="L4762">
        <v>0</v>
      </c>
      <c r="M4762" t="s">
        <v>64</v>
      </c>
    </row>
    <row r="4763" spans="1:13" hidden="1" x14ac:dyDescent="0.15">
      <c r="A4763" t="s">
        <v>15057</v>
      </c>
      <c r="B4763" t="s">
        <v>15058</v>
      </c>
      <c r="C4763" t="s">
        <v>15059</v>
      </c>
      <c r="D4763" t="s">
        <v>15053</v>
      </c>
      <c r="E4763">
        <v>109</v>
      </c>
      <c r="F4763" t="str">
        <f>HYPERLINK("https://github.com/TeamNewPipe/NewPipe/issues/6333", "show")</f>
        <v>show</v>
      </c>
      <c r="G4763" t="str">
        <f>HYPERLINK("https://github.com/TeamNewPipe/NewPipe", "show")</f>
        <v>show</v>
      </c>
      <c r="H4763" t="str">
        <f>HYPERLINK("https://github.com/TeamNewPipe/NewPipe/releases", "show")</f>
        <v>show</v>
      </c>
      <c r="I4763">
        <v>1</v>
      </c>
      <c r="J4763">
        <v>1</v>
      </c>
      <c r="K4763">
        <v>0</v>
      </c>
      <c r="L4763">
        <v>1</v>
      </c>
      <c r="M4763" t="s">
        <v>1894</v>
      </c>
    </row>
    <row r="4764" spans="1:13" hidden="1" x14ac:dyDescent="0.15">
      <c r="A4764" t="s">
        <v>15060</v>
      </c>
      <c r="B4764" t="s">
        <v>15061</v>
      </c>
      <c r="C4764" t="s">
        <v>15062</v>
      </c>
      <c r="D4764" t="s">
        <v>15053</v>
      </c>
      <c r="E4764">
        <v>0</v>
      </c>
      <c r="F4764" t="str">
        <f>HYPERLINK("https://github.com/Anuken/Mindustry/issues/5275", "show")</f>
        <v>show</v>
      </c>
      <c r="G4764" t="str">
        <f>HYPERLINK("https://github.com/Anuken/Mindustry", "show")</f>
        <v>show</v>
      </c>
      <c r="H4764" t="str">
        <f>HYPERLINK("https://github.com/Anuken/Mindustry/releases", "show")</f>
        <v>show</v>
      </c>
      <c r="I4764">
        <v>1</v>
      </c>
      <c r="J4764">
        <v>0</v>
      </c>
      <c r="K4764">
        <v>0</v>
      </c>
      <c r="L4764">
        <v>0</v>
      </c>
      <c r="M4764" t="s">
        <v>17</v>
      </c>
    </row>
    <row r="4765" spans="1:13" hidden="1" x14ac:dyDescent="0.15">
      <c r="A4765" t="s">
        <v>15063</v>
      </c>
      <c r="B4765" t="s">
        <v>15064</v>
      </c>
      <c r="C4765" t="s">
        <v>15065</v>
      </c>
      <c r="D4765" t="s">
        <v>15053</v>
      </c>
      <c r="E4765">
        <v>33</v>
      </c>
      <c r="F4765" t="str">
        <f>HYPERLINK("https://github.com/falzonv/discreet-launcher/issues/55", "show")</f>
        <v>show</v>
      </c>
      <c r="G4765" t="str">
        <f>HYPERLINK("https://github.com/falzonv/discreet-launcher", "show")</f>
        <v>show</v>
      </c>
      <c r="H4765" t="str">
        <f>HYPERLINK("https://github.com/falzonv/discreet-launcher/releases", "show")</f>
        <v>show</v>
      </c>
      <c r="I4765">
        <v>1</v>
      </c>
      <c r="J4765">
        <v>0</v>
      </c>
      <c r="K4765">
        <v>0</v>
      </c>
      <c r="L4765">
        <v>0</v>
      </c>
      <c r="M4765" t="s">
        <v>17</v>
      </c>
    </row>
    <row r="4766" spans="1:13" hidden="1" x14ac:dyDescent="0.15">
      <c r="A4766" t="s">
        <v>15066</v>
      </c>
      <c r="B4766" t="s">
        <v>15067</v>
      </c>
      <c r="C4766" t="s">
        <v>15068</v>
      </c>
      <c r="D4766" t="s">
        <v>15069</v>
      </c>
      <c r="E4766">
        <v>3</v>
      </c>
      <c r="F4766" t="str">
        <f>HYPERLINK("https://github.com/ankidroid/Anki-Android/issues/8879", "show")</f>
        <v>show</v>
      </c>
      <c r="G4766" t="str">
        <f>HYPERLINK("https://github.com/ankidroid/Anki-Android", "show")</f>
        <v>show</v>
      </c>
      <c r="H4766" t="str">
        <f>HYPERLINK("https://github.com/ankidroid/Anki-Android/releases", "show")</f>
        <v>show</v>
      </c>
      <c r="I4766">
        <v>0</v>
      </c>
      <c r="J4766">
        <v>0</v>
      </c>
      <c r="K4766">
        <v>1</v>
      </c>
      <c r="L4766">
        <v>0</v>
      </c>
      <c r="M4766" t="s">
        <v>122</v>
      </c>
    </row>
    <row r="4767" spans="1:13" hidden="1" x14ac:dyDescent="0.15">
      <c r="A4767" t="s">
        <v>15070</v>
      </c>
      <c r="B4767" t="s">
        <v>15071</v>
      </c>
      <c r="C4767" t="s">
        <v>15072</v>
      </c>
      <c r="D4767" t="s">
        <v>15069</v>
      </c>
      <c r="E4767">
        <v>34</v>
      </c>
      <c r="F4767" t="str">
        <f>HYPERLINK("https://github.com/k9mail/k-9/issues/5302", "show")</f>
        <v>show</v>
      </c>
      <c r="G4767" t="str">
        <f>HYPERLINK("https://github.com/k9mail/k-9", "show")</f>
        <v>show</v>
      </c>
      <c r="H4767" t="str">
        <f>HYPERLINK("https://github.com/k9mail/k-9/releases", "show")</f>
        <v>show</v>
      </c>
      <c r="I4767">
        <v>1</v>
      </c>
      <c r="J4767">
        <v>1</v>
      </c>
      <c r="K4767">
        <v>0</v>
      </c>
      <c r="L4767">
        <v>0</v>
      </c>
      <c r="M4767" t="s">
        <v>48</v>
      </c>
    </row>
    <row r="4768" spans="1:13" hidden="1" x14ac:dyDescent="0.15">
      <c r="A4768" t="s">
        <v>15073</v>
      </c>
      <c r="B4768" t="s">
        <v>15074</v>
      </c>
      <c r="C4768" t="s">
        <v>15075</v>
      </c>
      <c r="D4768" t="s">
        <v>15069</v>
      </c>
      <c r="E4768">
        <v>0</v>
      </c>
      <c r="F4768" t="str">
        <f>HYPERLINK("https://github.com/Anuken/Mindustry/issues/5274", "show")</f>
        <v>show</v>
      </c>
      <c r="G4768" t="str">
        <f>HYPERLINK("https://github.com/Anuken/Mindustry", "show")</f>
        <v>show</v>
      </c>
      <c r="H4768" t="str">
        <f>HYPERLINK("https://github.com/Anuken/Mindustry/releases", "show")</f>
        <v>show</v>
      </c>
      <c r="I4768">
        <v>0</v>
      </c>
      <c r="J4768">
        <v>0</v>
      </c>
      <c r="K4768">
        <v>0</v>
      </c>
      <c r="L4768">
        <v>0</v>
      </c>
      <c r="M4768" t="s">
        <v>43</v>
      </c>
    </row>
    <row r="4769" spans="1:13" hidden="1" x14ac:dyDescent="0.15">
      <c r="A4769" t="s">
        <v>15076</v>
      </c>
      <c r="B4769" t="s">
        <v>15077</v>
      </c>
      <c r="C4769" t="s">
        <v>15078</v>
      </c>
      <c r="D4769" t="s">
        <v>15069</v>
      </c>
      <c r="E4769">
        <v>2</v>
      </c>
      <c r="F4769" t="str">
        <f>HYPERLINK("https://github.com/libgdx/gdx-pay/issues/240", "show")</f>
        <v>show</v>
      </c>
      <c r="G4769" t="str">
        <f>HYPERLINK("https://github.com/libgdx/gdx-pay", "show")</f>
        <v>show</v>
      </c>
      <c r="H4769" t="str">
        <f>HYPERLINK("https://github.com/libgdx/gdx-pay/releases", "show")</f>
        <v>show</v>
      </c>
      <c r="I4769">
        <v>1</v>
      </c>
      <c r="J4769">
        <v>0</v>
      </c>
      <c r="K4769">
        <v>0</v>
      </c>
      <c r="L4769">
        <v>0</v>
      </c>
      <c r="M4769" t="s">
        <v>17</v>
      </c>
    </row>
    <row r="4770" spans="1:13" hidden="1" x14ac:dyDescent="0.15">
      <c r="A4770" t="s">
        <v>15079</v>
      </c>
      <c r="B4770" t="s">
        <v>15080</v>
      </c>
      <c r="C4770" t="s">
        <v>15081</v>
      </c>
      <c r="D4770" t="s">
        <v>15069</v>
      </c>
      <c r="E4770">
        <v>0</v>
      </c>
      <c r="F4770" t="str">
        <f>HYPERLINK("https://github.com/nextcloud/android/issues/8437", "show")</f>
        <v>show</v>
      </c>
      <c r="G4770" t="str">
        <f>HYPERLINK("https://github.com/nextcloud/android", "show")</f>
        <v>show</v>
      </c>
      <c r="H4770" t="str">
        <f>HYPERLINK("https://github.com/nextcloud/android/releases", "show")</f>
        <v>show</v>
      </c>
      <c r="I4770">
        <v>0</v>
      </c>
      <c r="J4770">
        <v>1</v>
      </c>
      <c r="K4770">
        <v>1</v>
      </c>
      <c r="L4770">
        <v>0</v>
      </c>
      <c r="M4770" t="s">
        <v>699</v>
      </c>
    </row>
    <row r="4771" spans="1:13" hidden="1" x14ac:dyDescent="0.15">
      <c r="A4771" t="s">
        <v>15082</v>
      </c>
      <c r="B4771" t="s">
        <v>15083</v>
      </c>
      <c r="C4771" t="s">
        <v>15084</v>
      </c>
      <c r="D4771" t="s">
        <v>15069</v>
      </c>
      <c r="E4771">
        <v>0</v>
      </c>
      <c r="F4771" t="str">
        <f>HYPERLINK("https://github.com/PojavLauncherTeam/PojavLauncher/issues/1399", "show")</f>
        <v>show</v>
      </c>
      <c r="G4771" t="str">
        <f>HYPERLINK("https://github.com/PojavLauncherTeam/PojavLauncher", "show")</f>
        <v>show</v>
      </c>
      <c r="H4771" t="str">
        <f>HYPERLINK("https://github.com/PojavLauncherTeam/PojavLauncher/releases", "show")</f>
        <v>show</v>
      </c>
      <c r="I4771">
        <v>1</v>
      </c>
      <c r="J4771">
        <v>1</v>
      </c>
      <c r="K4771">
        <v>0</v>
      </c>
      <c r="L4771">
        <v>0</v>
      </c>
      <c r="M4771" t="s">
        <v>48</v>
      </c>
    </row>
    <row r="4772" spans="1:13" hidden="1" x14ac:dyDescent="0.15">
      <c r="A4772" t="s">
        <v>15085</v>
      </c>
      <c r="B4772" t="s">
        <v>15086</v>
      </c>
      <c r="C4772" t="s">
        <v>11701</v>
      </c>
      <c r="D4772" t="s">
        <v>15069</v>
      </c>
      <c r="E4772">
        <v>0</v>
      </c>
      <c r="F4772" t="str">
        <f>HYPERLINK("https://github.com/Anuken/Mindustry/issues/5271", "show")</f>
        <v>show</v>
      </c>
      <c r="G4772" t="str">
        <f>HYPERLINK("https://github.com/Anuken/Mindustry", "show")</f>
        <v>show</v>
      </c>
      <c r="H4772" t="str">
        <f>HYPERLINK("https://github.com/Anuken/Mindustry/releases", "show")</f>
        <v>show</v>
      </c>
      <c r="I4772">
        <v>1</v>
      </c>
      <c r="J4772">
        <v>1</v>
      </c>
      <c r="K4772">
        <v>0</v>
      </c>
      <c r="L4772">
        <v>0</v>
      </c>
      <c r="M4772" t="s">
        <v>48</v>
      </c>
    </row>
    <row r="4773" spans="1:13" hidden="1" x14ac:dyDescent="0.15">
      <c r="A4773" t="s">
        <v>15087</v>
      </c>
      <c r="B4773" t="s">
        <v>15088</v>
      </c>
      <c r="C4773" t="s">
        <v>15089</v>
      </c>
      <c r="D4773" t="s">
        <v>15090</v>
      </c>
      <c r="E4773">
        <v>1</v>
      </c>
      <c r="F4773" t="str">
        <f>HYPERLINK("https://github.com/Anuken/Mindustry/issues/5270", "show")</f>
        <v>show</v>
      </c>
      <c r="G4773" t="str">
        <f>HYPERLINK("https://github.com/Anuken/Mindustry", "show")</f>
        <v>show</v>
      </c>
      <c r="H4773" t="str">
        <f>HYPERLINK("https://github.com/Anuken/Mindustry/releases", "show")</f>
        <v>show</v>
      </c>
      <c r="I4773">
        <v>1</v>
      </c>
      <c r="J4773">
        <v>1</v>
      </c>
      <c r="K4773">
        <v>0</v>
      </c>
      <c r="L4773">
        <v>0</v>
      </c>
      <c r="M4773" t="s">
        <v>48</v>
      </c>
    </row>
    <row r="4774" spans="1:13" hidden="1" x14ac:dyDescent="0.15">
      <c r="A4774" t="s">
        <v>15091</v>
      </c>
      <c r="B4774" t="s">
        <v>15092</v>
      </c>
      <c r="C4774" t="s">
        <v>15093</v>
      </c>
      <c r="D4774" t="s">
        <v>15090</v>
      </c>
      <c r="E4774">
        <v>0</v>
      </c>
      <c r="F4774" t="str">
        <f>HYPERLINK("https://github.com/Anuken/Mindustry/issues/5268", "show")</f>
        <v>show</v>
      </c>
      <c r="G4774" t="str">
        <f>HYPERLINK("https://github.com/Anuken/Mindustry", "show")</f>
        <v>show</v>
      </c>
      <c r="H4774" t="str">
        <f>HYPERLINK("https://github.com/Anuken/Mindustry/releases", "show")</f>
        <v>show</v>
      </c>
      <c r="I4774">
        <v>0</v>
      </c>
      <c r="J4774">
        <v>0</v>
      </c>
      <c r="K4774">
        <v>0</v>
      </c>
      <c r="L4774">
        <v>0</v>
      </c>
      <c r="M4774" t="s">
        <v>43</v>
      </c>
    </row>
    <row r="4775" spans="1:13" hidden="1" x14ac:dyDescent="0.15">
      <c r="A4775" t="s">
        <v>15094</v>
      </c>
      <c r="B4775" t="s">
        <v>15095</v>
      </c>
      <c r="C4775" t="s">
        <v>15096</v>
      </c>
      <c r="D4775" t="s">
        <v>15090</v>
      </c>
      <c r="E4775">
        <v>313</v>
      </c>
      <c r="F4775" t="str">
        <f>HYPERLINK("https://github.com/tom-anders/Easy_xkcd/issues/258", "show")</f>
        <v>show</v>
      </c>
      <c r="G4775" t="str">
        <f>HYPERLINK("https://github.com/tom-anders/Easy_xkcd", "show")</f>
        <v>show</v>
      </c>
      <c r="H4775" t="str">
        <f>HYPERLINK("https://github.com/tom-anders/Easy_xkcd/releases", "show")</f>
        <v>show</v>
      </c>
      <c r="I4775">
        <v>1</v>
      </c>
      <c r="J4775">
        <v>1</v>
      </c>
      <c r="K4775">
        <v>1</v>
      </c>
      <c r="L4775">
        <v>0</v>
      </c>
      <c r="M4775" t="s">
        <v>59</v>
      </c>
    </row>
    <row r="4776" spans="1:13" hidden="1" x14ac:dyDescent="0.15">
      <c r="A4776" t="s">
        <v>15097</v>
      </c>
      <c r="B4776" t="s">
        <v>15098</v>
      </c>
      <c r="C4776" t="s">
        <v>15099</v>
      </c>
      <c r="D4776" t="s">
        <v>15090</v>
      </c>
      <c r="E4776">
        <v>2</v>
      </c>
      <c r="F4776" t="str">
        <f>HYPERLINK("https://github.com/prebid/prebid-mobile-android/issues/263", "show")</f>
        <v>show</v>
      </c>
      <c r="G4776" t="str">
        <f>HYPERLINK("https://github.com/prebid/prebid-mobile-android", "show")</f>
        <v>show</v>
      </c>
      <c r="H4776" t="str">
        <f>HYPERLINK("https://github.com/prebid/prebid-mobile-android/releases", "show")</f>
        <v>show</v>
      </c>
      <c r="I4776">
        <v>0</v>
      </c>
      <c r="J4776">
        <v>0</v>
      </c>
      <c r="K4776">
        <v>1</v>
      </c>
      <c r="L4776">
        <v>1</v>
      </c>
      <c r="M4776" t="s">
        <v>351</v>
      </c>
    </row>
    <row r="4777" spans="1:13" hidden="1" x14ac:dyDescent="0.15">
      <c r="A4777" t="s">
        <v>15100</v>
      </c>
      <c r="B4777" t="s">
        <v>15101</v>
      </c>
      <c r="C4777" t="s">
        <v>15102</v>
      </c>
      <c r="D4777" t="s">
        <v>15090</v>
      </c>
      <c r="E4777">
        <v>37</v>
      </c>
      <c r="F4777" t="str">
        <f>HYPERLINK("https://github.com/Scodun/Bop-It/issues/72", "show")</f>
        <v>show</v>
      </c>
      <c r="G4777" t="str">
        <f>HYPERLINK("https://github.com/Scodun/Bop-It", "show")</f>
        <v>show</v>
      </c>
      <c r="H4777" t="str">
        <f>HYPERLINK("https://github.com/Scodun/Bop-It/releases", "show")</f>
        <v>show</v>
      </c>
      <c r="I4777">
        <v>1</v>
      </c>
      <c r="J4777">
        <v>0</v>
      </c>
      <c r="K4777">
        <v>1</v>
      </c>
      <c r="L4777">
        <v>0</v>
      </c>
      <c r="M4777" t="s">
        <v>64</v>
      </c>
    </row>
    <row r="4778" spans="1:13" hidden="1" x14ac:dyDescent="0.15">
      <c r="A4778" t="s">
        <v>15103</v>
      </c>
      <c r="B4778" t="s">
        <v>15104</v>
      </c>
      <c r="C4778" t="s">
        <v>15105</v>
      </c>
      <c r="D4778" t="s">
        <v>15090</v>
      </c>
      <c r="E4778">
        <v>19</v>
      </c>
      <c r="F4778" t="str">
        <f>HYPERLINK("https://github.com/JohnFai91/com.jason.kslo/issues/45", "show")</f>
        <v>show</v>
      </c>
      <c r="G4778" t="str">
        <f>HYPERLINK("https://github.com/JohnFai91/com.jason.kslo", "show")</f>
        <v>show</v>
      </c>
      <c r="H4778" t="str">
        <f>HYPERLINK("https://github.com/JohnFai91/com.jason.kslo/releases", "show")</f>
        <v>show</v>
      </c>
      <c r="I4778">
        <v>0</v>
      </c>
      <c r="J4778">
        <v>0</v>
      </c>
      <c r="K4778">
        <v>1</v>
      </c>
      <c r="L4778">
        <v>0</v>
      </c>
      <c r="M4778" t="s">
        <v>122</v>
      </c>
    </row>
    <row r="4779" spans="1:13" x14ac:dyDescent="0.15">
      <c r="A4779" t="s">
        <v>15106</v>
      </c>
      <c r="B4779" t="s">
        <v>15107</v>
      </c>
      <c r="C4779" t="s">
        <v>14291</v>
      </c>
      <c r="D4779" t="s">
        <v>15090</v>
      </c>
      <c r="E4779">
        <v>0</v>
      </c>
      <c r="F4779" t="str">
        <f>HYPERLINK("https://github.com/PojavLauncherTeam/PojavLauncher/issues/1394", "show")</f>
        <v>show</v>
      </c>
      <c r="G4779" t="str">
        <f>HYPERLINK("https://github.com/PojavLauncherTeam/PojavLauncher", "show")</f>
        <v>show</v>
      </c>
      <c r="H4779" t="str">
        <f>HYPERLINK("https://github.com/PojavLauncherTeam/PojavLauncher/releases", "show")</f>
        <v>show</v>
      </c>
      <c r="I4779">
        <v>0</v>
      </c>
      <c r="J4779">
        <v>1</v>
      </c>
      <c r="K4779">
        <v>0</v>
      </c>
      <c r="L4779">
        <v>0</v>
      </c>
      <c r="M4779" t="s">
        <v>139</v>
      </c>
    </row>
    <row r="4780" spans="1:13" x14ac:dyDescent="0.15">
      <c r="A4780" t="s">
        <v>15108</v>
      </c>
      <c r="B4780" t="s">
        <v>15109</v>
      </c>
      <c r="C4780" t="s">
        <v>15110</v>
      </c>
      <c r="D4780" t="s">
        <v>15090</v>
      </c>
      <c r="E4780">
        <v>5</v>
      </c>
      <c r="F4780" t="str">
        <f>HYPERLINK("https://github.com/PojavLauncherTeam/PojavLauncher/issues/1392", "show")</f>
        <v>show</v>
      </c>
      <c r="G4780" t="str">
        <f>HYPERLINK("https://github.com/PojavLauncherTeam/PojavLauncher", "show")</f>
        <v>show</v>
      </c>
      <c r="H4780" t="str">
        <f>HYPERLINK("https://github.com/PojavLauncherTeam/PojavLauncher/releases", "show")</f>
        <v>show</v>
      </c>
      <c r="I4780">
        <v>0</v>
      </c>
      <c r="J4780">
        <v>1</v>
      </c>
      <c r="K4780">
        <v>0</v>
      </c>
      <c r="L4780">
        <v>0</v>
      </c>
      <c r="M4780" t="s">
        <v>139</v>
      </c>
    </row>
    <row r="4781" spans="1:13" hidden="1" x14ac:dyDescent="0.15">
      <c r="A4781" t="s">
        <v>15111</v>
      </c>
      <c r="B4781" t="s">
        <v>15112</v>
      </c>
      <c r="C4781" t="s">
        <v>15113</v>
      </c>
      <c r="D4781" t="s">
        <v>15114</v>
      </c>
      <c r="E4781">
        <v>0</v>
      </c>
      <c r="F4781" t="str">
        <f>HYPERLINK("https://github.com/mtotschnig/MyExpenses/issues/825", "show")</f>
        <v>show</v>
      </c>
      <c r="G4781" t="str">
        <f>HYPERLINK("https://github.com/mtotschnig/MyExpenses", "show")</f>
        <v>show</v>
      </c>
      <c r="H4781" t="str">
        <f>HYPERLINK("https://github.com/mtotschnig/MyExpenses/releases", "show")</f>
        <v>show</v>
      </c>
      <c r="I4781">
        <v>1</v>
      </c>
      <c r="J4781">
        <v>0</v>
      </c>
      <c r="K4781">
        <v>0</v>
      </c>
      <c r="L4781">
        <v>0</v>
      </c>
      <c r="M4781" t="s">
        <v>17</v>
      </c>
    </row>
    <row r="4782" spans="1:13" hidden="1" x14ac:dyDescent="0.15">
      <c r="A4782" t="s">
        <v>15115</v>
      </c>
      <c r="B4782" t="s">
        <v>15116</v>
      </c>
      <c r="C4782" t="s">
        <v>15117</v>
      </c>
      <c r="D4782" t="s">
        <v>15114</v>
      </c>
      <c r="E4782">
        <v>1</v>
      </c>
      <c r="F4782" t="str">
        <f>HYPERLINK("https://github.com/cgeo/cgeo/issues/10668", "show")</f>
        <v>show</v>
      </c>
      <c r="G4782" t="str">
        <f>HYPERLINK("https://github.com/cgeo/cgeo", "show")</f>
        <v>show</v>
      </c>
      <c r="H4782" t="str">
        <f>HYPERLINK("https://github.com/cgeo/cgeo/releases", "show")</f>
        <v>show</v>
      </c>
      <c r="I4782">
        <v>1</v>
      </c>
      <c r="J4782">
        <v>1</v>
      </c>
      <c r="K4782">
        <v>0</v>
      </c>
      <c r="L4782">
        <v>0</v>
      </c>
      <c r="M4782" t="s">
        <v>48</v>
      </c>
    </row>
    <row r="4783" spans="1:13" hidden="1" x14ac:dyDescent="0.15">
      <c r="A4783" t="s">
        <v>15118</v>
      </c>
      <c r="B4783" t="s">
        <v>15119</v>
      </c>
      <c r="C4783" t="s">
        <v>15120</v>
      </c>
      <c r="D4783" t="s">
        <v>15114</v>
      </c>
      <c r="E4783">
        <v>0</v>
      </c>
      <c r="F4783" t="str">
        <f>HYPERLINK("https://github.com/Anuken/Mindustry/issues/5260", "show")</f>
        <v>show</v>
      </c>
      <c r="G4783" t="str">
        <f>HYPERLINK("https://github.com/Anuken/Mindustry", "show")</f>
        <v>show</v>
      </c>
      <c r="H4783" t="str">
        <f>HYPERLINK("https://github.com/Anuken/Mindustry/releases", "show")</f>
        <v>show</v>
      </c>
      <c r="I4783">
        <v>0</v>
      </c>
      <c r="J4783">
        <v>0</v>
      </c>
      <c r="K4783">
        <v>0</v>
      </c>
      <c r="L4783">
        <v>1</v>
      </c>
      <c r="M4783" t="s">
        <v>581</v>
      </c>
    </row>
    <row r="4784" spans="1:13" hidden="1" x14ac:dyDescent="0.15">
      <c r="A4784" t="s">
        <v>15121</v>
      </c>
      <c r="B4784" t="s">
        <v>15122</v>
      </c>
      <c r="C4784" t="s">
        <v>15123</v>
      </c>
      <c r="D4784" t="s">
        <v>15114</v>
      </c>
      <c r="E4784">
        <v>4</v>
      </c>
      <c r="F4784" t="str">
        <f>HYPERLINK("https://github.com/square/okhttp/issues/6681", "show")</f>
        <v>show</v>
      </c>
      <c r="G4784" t="str">
        <f>HYPERLINK("https://github.com/square/okhttp", "show")</f>
        <v>show</v>
      </c>
      <c r="H4784" t="str">
        <f>HYPERLINK("https://github.com/square/okhttp/releases", "show")</f>
        <v>show</v>
      </c>
      <c r="I4784">
        <v>1</v>
      </c>
      <c r="J4784">
        <v>0</v>
      </c>
      <c r="K4784">
        <v>0</v>
      </c>
      <c r="L4784">
        <v>0</v>
      </c>
      <c r="M4784" t="s">
        <v>17</v>
      </c>
    </row>
    <row r="4785" spans="1:13" hidden="1" x14ac:dyDescent="0.15">
      <c r="A4785" t="s">
        <v>15124</v>
      </c>
      <c r="B4785" t="s">
        <v>15125</v>
      </c>
      <c r="C4785" t="s">
        <v>15126</v>
      </c>
      <c r="D4785" t="s">
        <v>15114</v>
      </c>
      <c r="E4785">
        <v>1</v>
      </c>
      <c r="F4785" t="str">
        <f>HYPERLINK("https://github.com/patzly/grocy-android/issues/407", "show")</f>
        <v>show</v>
      </c>
      <c r="G4785" t="str">
        <f>HYPERLINK("https://github.com/patzly/grocy-android", "show")</f>
        <v>show</v>
      </c>
      <c r="H4785" t="str">
        <f>HYPERLINK("https://github.com/patzly/grocy-android/releases", "show")</f>
        <v>show</v>
      </c>
      <c r="I4785">
        <v>1</v>
      </c>
      <c r="J4785">
        <v>0</v>
      </c>
      <c r="K4785">
        <v>0</v>
      </c>
      <c r="L4785">
        <v>0</v>
      </c>
      <c r="M4785" t="s">
        <v>17</v>
      </c>
    </row>
    <row r="4786" spans="1:13" hidden="1" x14ac:dyDescent="0.15">
      <c r="A4786" t="s">
        <v>15127</v>
      </c>
      <c r="B4786" t="s">
        <v>15128</v>
      </c>
      <c r="C4786" t="s">
        <v>15129</v>
      </c>
      <c r="D4786" t="s">
        <v>15114</v>
      </c>
      <c r="E4786">
        <v>0</v>
      </c>
      <c r="F4786" t="str">
        <f>HYPERLINK("https://github.com/PojavLauncherTeam/PojavLauncher/issues/1384", "show")</f>
        <v>show</v>
      </c>
      <c r="G4786" t="str">
        <f>HYPERLINK("https://github.com/PojavLauncherTeam/PojavLauncher", "show")</f>
        <v>show</v>
      </c>
      <c r="H4786" t="str">
        <f>HYPERLINK("https://github.com/PojavLauncherTeam/PojavLauncher/releases", "show")</f>
        <v>show</v>
      </c>
      <c r="I4786">
        <v>0</v>
      </c>
      <c r="J4786">
        <v>0</v>
      </c>
      <c r="K4786">
        <v>0</v>
      </c>
      <c r="L4786">
        <v>0</v>
      </c>
      <c r="M4786" t="s">
        <v>43</v>
      </c>
    </row>
    <row r="4787" spans="1:13" hidden="1" x14ac:dyDescent="0.15">
      <c r="A4787" t="s">
        <v>15130</v>
      </c>
      <c r="B4787" t="s">
        <v>15131</v>
      </c>
      <c r="C4787" t="s">
        <v>15132</v>
      </c>
      <c r="D4787" t="s">
        <v>15114</v>
      </c>
      <c r="E4787">
        <v>0</v>
      </c>
      <c r="F4787" t="str">
        <f>HYPERLINK("https://github.com/Anuken/Mindustry/issues/5255", "show")</f>
        <v>show</v>
      </c>
      <c r="G4787" t="str">
        <f>HYPERLINK("https://github.com/Anuken/Mindustry", "show")</f>
        <v>show</v>
      </c>
      <c r="H4787" t="str">
        <f>HYPERLINK("https://github.com/Anuken/Mindustry/releases", "show")</f>
        <v>show</v>
      </c>
      <c r="I4787">
        <v>0</v>
      </c>
      <c r="J4787">
        <v>0</v>
      </c>
      <c r="K4787">
        <v>0</v>
      </c>
      <c r="L4787">
        <v>1</v>
      </c>
      <c r="M4787" t="s">
        <v>581</v>
      </c>
    </row>
    <row r="4788" spans="1:13" hidden="1" x14ac:dyDescent="0.15">
      <c r="A4788" t="s">
        <v>15133</v>
      </c>
      <c r="B4788" t="s">
        <v>15134</v>
      </c>
      <c r="C4788" t="s">
        <v>15135</v>
      </c>
      <c r="D4788" t="s">
        <v>15114</v>
      </c>
      <c r="E4788">
        <v>0</v>
      </c>
      <c r="F4788" t="str">
        <f>HYPERLINK("https://github.com/Anuken/Mindustry/issues/5254", "show")</f>
        <v>show</v>
      </c>
      <c r="G4788" t="str">
        <f>HYPERLINK("https://github.com/Anuken/Mindustry", "show")</f>
        <v>show</v>
      </c>
      <c r="H4788" t="str">
        <f>HYPERLINK("https://github.com/Anuken/Mindustry/releases", "show")</f>
        <v>show</v>
      </c>
      <c r="I4788">
        <v>0</v>
      </c>
      <c r="J4788">
        <v>0</v>
      </c>
      <c r="K4788">
        <v>0</v>
      </c>
      <c r="L4788">
        <v>1</v>
      </c>
      <c r="M4788" t="s">
        <v>581</v>
      </c>
    </row>
    <row r="4789" spans="1:13" hidden="1" x14ac:dyDescent="0.15">
      <c r="A4789" t="s">
        <v>15136</v>
      </c>
      <c r="B4789" t="s">
        <v>15137</v>
      </c>
      <c r="C4789" t="s">
        <v>15138</v>
      </c>
      <c r="D4789" t="s">
        <v>15139</v>
      </c>
      <c r="E4789">
        <v>1</v>
      </c>
      <c r="F4789" t="str">
        <f>HYPERLINK("https://github.com/nextcloud/android/issues/8426", "show")</f>
        <v>show</v>
      </c>
      <c r="G4789" t="str">
        <f>HYPERLINK("https://github.com/nextcloud/android", "show")</f>
        <v>show</v>
      </c>
      <c r="H4789" t="str">
        <f>HYPERLINK("https://github.com/nextcloud/android/releases", "show")</f>
        <v>show</v>
      </c>
      <c r="I4789">
        <v>1</v>
      </c>
      <c r="J4789">
        <v>0</v>
      </c>
      <c r="K4789">
        <v>1</v>
      </c>
      <c r="L4789">
        <v>0</v>
      </c>
      <c r="M4789" t="s">
        <v>64</v>
      </c>
    </row>
    <row r="4790" spans="1:13" hidden="1" x14ac:dyDescent="0.15">
      <c r="A4790" t="s">
        <v>15140</v>
      </c>
      <c r="B4790" t="s">
        <v>15141</v>
      </c>
      <c r="C4790" t="s">
        <v>15142</v>
      </c>
      <c r="D4790" t="s">
        <v>15139</v>
      </c>
      <c r="E4790">
        <v>0</v>
      </c>
      <c r="F4790" t="str">
        <f>HYPERLINK("https://github.com/capacitor-community/admob/issues/102", "show")</f>
        <v>show</v>
      </c>
      <c r="G4790" t="str">
        <f>HYPERLINK("https://github.com/capacitor-community/admob", "show")</f>
        <v>show</v>
      </c>
      <c r="H4790" t="str">
        <f>HYPERLINK("https://github.com/capacitor-community/admob/releases", "show")</f>
        <v>show</v>
      </c>
      <c r="I4790">
        <v>1</v>
      </c>
      <c r="J4790">
        <v>0</v>
      </c>
      <c r="K4790">
        <v>0</v>
      </c>
      <c r="L4790">
        <v>1</v>
      </c>
      <c r="M4790" t="s">
        <v>29</v>
      </c>
    </row>
    <row r="4791" spans="1:13" hidden="1" x14ac:dyDescent="0.15">
      <c r="A4791" t="s">
        <v>15143</v>
      </c>
      <c r="B4791" t="s">
        <v>15144</v>
      </c>
      <c r="C4791" t="s">
        <v>15145</v>
      </c>
      <c r="D4791" t="s">
        <v>15139</v>
      </c>
      <c r="E4791">
        <v>1</v>
      </c>
      <c r="F4791" t="str">
        <f>HYPERLINK("https://github.com/MuntashirAkon/AppManager/issues/442", "show")</f>
        <v>show</v>
      </c>
      <c r="G4791" t="str">
        <f>HYPERLINK("https://github.com/MuntashirAkon/AppManager", "show")</f>
        <v>show</v>
      </c>
      <c r="H4791" t="str">
        <f>HYPERLINK("https://github.com/MuntashirAkon/AppManager/releases", "show")</f>
        <v>show</v>
      </c>
      <c r="I4791">
        <v>1</v>
      </c>
      <c r="J4791">
        <v>1</v>
      </c>
      <c r="K4791">
        <v>1</v>
      </c>
      <c r="L4791">
        <v>1</v>
      </c>
      <c r="M4791" t="s">
        <v>2875</v>
      </c>
    </row>
    <row r="4792" spans="1:13" hidden="1" x14ac:dyDescent="0.15">
      <c r="A4792" t="s">
        <v>15146</v>
      </c>
      <c r="B4792" t="s">
        <v>15147</v>
      </c>
      <c r="C4792" t="s">
        <v>15148</v>
      </c>
      <c r="D4792" t="s">
        <v>15139</v>
      </c>
      <c r="E4792">
        <v>1</v>
      </c>
      <c r="F4792" t="str">
        <f>HYPERLINK("https://github.com/nextcloud/android/issues/8420", "show")</f>
        <v>show</v>
      </c>
      <c r="G4792" t="str">
        <f>HYPERLINK("https://github.com/nextcloud/android", "show")</f>
        <v>show</v>
      </c>
      <c r="H4792" t="str">
        <f>HYPERLINK("https://github.com/nextcloud/android/releases", "show")</f>
        <v>show</v>
      </c>
      <c r="I4792">
        <v>1</v>
      </c>
      <c r="J4792">
        <v>1</v>
      </c>
      <c r="K4792">
        <v>1</v>
      </c>
      <c r="L4792">
        <v>0</v>
      </c>
      <c r="M4792" t="s">
        <v>59</v>
      </c>
    </row>
    <row r="4793" spans="1:13" hidden="1" x14ac:dyDescent="0.15">
      <c r="A4793" t="s">
        <v>15149</v>
      </c>
      <c r="B4793" t="s">
        <v>15150</v>
      </c>
      <c r="C4793" t="s">
        <v>15151</v>
      </c>
      <c r="D4793" t="s">
        <v>15139</v>
      </c>
      <c r="E4793">
        <v>0</v>
      </c>
      <c r="F4793" t="str">
        <f>HYPERLINK("https://github.com/Anuken/Mindustry/issues/5250", "show")</f>
        <v>show</v>
      </c>
      <c r="G4793" t="str">
        <f>HYPERLINK("https://github.com/Anuken/Mindustry", "show")</f>
        <v>show</v>
      </c>
      <c r="H4793" t="str">
        <f>HYPERLINK("https://github.com/Anuken/Mindustry/releases", "show")</f>
        <v>show</v>
      </c>
      <c r="I4793">
        <v>1</v>
      </c>
      <c r="J4793">
        <v>1</v>
      </c>
      <c r="K4793">
        <v>0</v>
      </c>
      <c r="L4793">
        <v>0</v>
      </c>
      <c r="M4793" t="s">
        <v>48</v>
      </c>
    </row>
    <row r="4794" spans="1:13" hidden="1" x14ac:dyDescent="0.15">
      <c r="A4794" t="s">
        <v>15152</v>
      </c>
      <c r="B4794" t="s">
        <v>15153</v>
      </c>
      <c r="C4794" t="s">
        <v>15154</v>
      </c>
      <c r="D4794" t="s">
        <v>15139</v>
      </c>
      <c r="E4794">
        <v>1</v>
      </c>
      <c r="F4794" t="str">
        <f>HYPERLINK("https://github.com/MuntashirAkon/AppManager/issues/441", "show")</f>
        <v>show</v>
      </c>
      <c r="G4794" t="str">
        <f>HYPERLINK("https://github.com/MuntashirAkon/AppManager", "show")</f>
        <v>show</v>
      </c>
      <c r="H4794" t="str">
        <f>HYPERLINK("https://github.com/MuntashirAkon/AppManager/releases", "show")</f>
        <v>show</v>
      </c>
      <c r="I4794">
        <v>1</v>
      </c>
      <c r="J4794">
        <v>1</v>
      </c>
      <c r="K4794">
        <v>0</v>
      </c>
      <c r="L4794">
        <v>0</v>
      </c>
      <c r="M4794" t="s">
        <v>48</v>
      </c>
    </row>
    <row r="4795" spans="1:13" hidden="1" x14ac:dyDescent="0.15">
      <c r="A4795" t="s">
        <v>15155</v>
      </c>
      <c r="B4795" t="s">
        <v>15156</v>
      </c>
      <c r="C4795" t="s">
        <v>15157</v>
      </c>
      <c r="D4795" t="s">
        <v>15139</v>
      </c>
      <c r="E4795">
        <v>0</v>
      </c>
      <c r="F4795" t="str">
        <f>HYPERLINK("https://github.com/Anuken/Mindustry/issues/5249", "show")</f>
        <v>show</v>
      </c>
      <c r="G4795" t="str">
        <f>HYPERLINK("https://github.com/Anuken/Mindustry", "show")</f>
        <v>show</v>
      </c>
      <c r="H4795" t="str">
        <f>HYPERLINK("https://github.com/Anuken/Mindustry/releases", "show")</f>
        <v>show</v>
      </c>
      <c r="I4795">
        <v>1</v>
      </c>
      <c r="J4795">
        <v>1</v>
      </c>
      <c r="K4795">
        <v>0</v>
      </c>
      <c r="L4795">
        <v>0</v>
      </c>
      <c r="M4795" t="s">
        <v>48</v>
      </c>
    </row>
    <row r="4796" spans="1:13" hidden="1" x14ac:dyDescent="0.15">
      <c r="A4796" t="s">
        <v>15158</v>
      </c>
      <c r="B4796" t="s">
        <v>15159</v>
      </c>
      <c r="C4796" t="s">
        <v>15160</v>
      </c>
      <c r="D4796" t="s">
        <v>15161</v>
      </c>
      <c r="E4796">
        <v>44</v>
      </c>
      <c r="F4796" t="str">
        <f>HYPERLINK("https://github.com/mvysny/aedict/issues/957", "show")</f>
        <v>show</v>
      </c>
      <c r="G4796" t="str">
        <f>HYPERLINK("https://github.com/mvysny/aedict", "show")</f>
        <v>show</v>
      </c>
      <c r="H4796" t="str">
        <f>HYPERLINK("https://github.com/mvysny/aedict/releases", "show")</f>
        <v>show</v>
      </c>
      <c r="I4796">
        <v>1</v>
      </c>
      <c r="J4796">
        <v>0</v>
      </c>
      <c r="K4796">
        <v>0</v>
      </c>
      <c r="L4796">
        <v>1</v>
      </c>
      <c r="M4796" t="s">
        <v>29</v>
      </c>
    </row>
    <row r="4797" spans="1:13" x14ac:dyDescent="0.15">
      <c r="A4797" t="s">
        <v>15162</v>
      </c>
      <c r="B4797" t="s">
        <v>15163</v>
      </c>
      <c r="C4797" t="s">
        <v>15164</v>
      </c>
      <c r="D4797" t="s">
        <v>15161</v>
      </c>
      <c r="E4797">
        <v>44</v>
      </c>
      <c r="F4797" t="str">
        <f>HYPERLINK("https://github.com/nextcloud/android/issues/8417", "show")</f>
        <v>show</v>
      </c>
      <c r="G4797" t="str">
        <f>HYPERLINK("https://github.com/nextcloud/android", "show")</f>
        <v>show</v>
      </c>
      <c r="H4797" t="str">
        <f>HYPERLINK("https://github.com/nextcloud/android/releases", "show")</f>
        <v>show</v>
      </c>
      <c r="I4797">
        <v>0</v>
      </c>
      <c r="J4797">
        <v>1</v>
      </c>
      <c r="K4797">
        <v>0</v>
      </c>
      <c r="L4797">
        <v>0</v>
      </c>
      <c r="M4797" t="s">
        <v>139</v>
      </c>
    </row>
    <row r="4798" spans="1:13" hidden="1" x14ac:dyDescent="0.15">
      <c r="A4798" t="s">
        <v>15165</v>
      </c>
      <c r="B4798" t="s">
        <v>15166</v>
      </c>
      <c r="C4798" t="s">
        <v>15167</v>
      </c>
      <c r="D4798" t="s">
        <v>15161</v>
      </c>
      <c r="E4798">
        <v>0</v>
      </c>
      <c r="F4798" t="str">
        <f>HYPERLINK("https://github.com/MuntashirAkon/AppManager/issues/440", "show")</f>
        <v>show</v>
      </c>
      <c r="G4798" t="str">
        <f>HYPERLINK("https://github.com/MuntashirAkon/AppManager", "show")</f>
        <v>show</v>
      </c>
      <c r="H4798" t="str">
        <f>HYPERLINK("https://github.com/MuntashirAkon/AppManager/releases", "show")</f>
        <v>show</v>
      </c>
      <c r="I4798">
        <v>1</v>
      </c>
      <c r="J4798">
        <v>1</v>
      </c>
      <c r="K4798">
        <v>1</v>
      </c>
      <c r="L4798">
        <v>0</v>
      </c>
      <c r="M4798" t="s">
        <v>59</v>
      </c>
    </row>
    <row r="4799" spans="1:13" hidden="1" x14ac:dyDescent="0.15">
      <c r="A4799" t="s">
        <v>15168</v>
      </c>
      <c r="B4799" t="s">
        <v>15169</v>
      </c>
      <c r="C4799" t="s">
        <v>15170</v>
      </c>
      <c r="D4799" t="s">
        <v>15171</v>
      </c>
      <c r="E4799">
        <v>60</v>
      </c>
      <c r="F4799" t="str">
        <f>HYPERLINK("https://github.com/material-components/material-components-android/issues/2209", "show")</f>
        <v>show</v>
      </c>
      <c r="G4799" t="str">
        <f>HYPERLINK("https://github.com/material-components/material-components-android", "show")</f>
        <v>show</v>
      </c>
      <c r="H4799" t="str">
        <f>HYPERLINK("https://github.com/material-components/material-components-android/releases", "show")</f>
        <v>show</v>
      </c>
      <c r="I4799">
        <v>1</v>
      </c>
      <c r="J4799">
        <v>0</v>
      </c>
      <c r="K4799">
        <v>0</v>
      </c>
      <c r="L4799">
        <v>0</v>
      </c>
      <c r="M4799" t="s">
        <v>17</v>
      </c>
    </row>
    <row r="4800" spans="1:13" hidden="1" x14ac:dyDescent="0.15">
      <c r="A4800" t="s">
        <v>15172</v>
      </c>
      <c r="B4800" t="s">
        <v>15173</v>
      </c>
      <c r="C4800" t="s">
        <v>15174</v>
      </c>
      <c r="D4800" t="s">
        <v>15171</v>
      </c>
      <c r="E4800">
        <v>121</v>
      </c>
      <c r="F4800" t="str">
        <f>HYPERLINK("https://github.com/TeamNewPipe/NewPipe/issues/6300", "show")</f>
        <v>show</v>
      </c>
      <c r="G4800" t="str">
        <f>HYPERLINK("https://github.com/TeamNewPipe/NewPipe", "show")</f>
        <v>show</v>
      </c>
      <c r="H4800" t="str">
        <f>HYPERLINK("https://github.com/TeamNewPipe/NewPipe/releases", "show")</f>
        <v>show</v>
      </c>
      <c r="I4800">
        <v>1</v>
      </c>
      <c r="J4800">
        <v>1</v>
      </c>
      <c r="K4800">
        <v>1</v>
      </c>
      <c r="L4800">
        <v>0</v>
      </c>
      <c r="M4800" t="s">
        <v>59</v>
      </c>
    </row>
    <row r="4801" spans="1:13" hidden="1" x14ac:dyDescent="0.15">
      <c r="A4801" t="s">
        <v>15175</v>
      </c>
      <c r="B4801" t="s">
        <v>15176</v>
      </c>
      <c r="C4801" t="s">
        <v>15177</v>
      </c>
      <c r="D4801" t="s">
        <v>15171</v>
      </c>
      <c r="E4801">
        <v>0</v>
      </c>
      <c r="F4801" t="str">
        <f>HYPERLINK("https://github.com/Kira060200/banking_app/issues/18", "show")</f>
        <v>show</v>
      </c>
      <c r="G4801" t="str">
        <f>HYPERLINK("https://github.com/Kira060200/banking_app", "show")</f>
        <v>show</v>
      </c>
      <c r="H4801" t="str">
        <f>HYPERLINK("https://github.com/Kira060200/banking_app/releases", "show")</f>
        <v>show</v>
      </c>
      <c r="I4801">
        <v>1</v>
      </c>
      <c r="J4801">
        <v>0</v>
      </c>
      <c r="K4801">
        <v>0</v>
      </c>
      <c r="L4801">
        <v>0</v>
      </c>
      <c r="M4801" t="s">
        <v>17</v>
      </c>
    </row>
    <row r="4802" spans="1:13" hidden="1" x14ac:dyDescent="0.15">
      <c r="A4802" t="s">
        <v>15178</v>
      </c>
      <c r="B4802" t="s">
        <v>15179</v>
      </c>
      <c r="C4802" t="s">
        <v>15180</v>
      </c>
      <c r="D4802" t="s">
        <v>15171</v>
      </c>
      <c r="E4802">
        <v>43</v>
      </c>
      <c r="F4802" t="str">
        <f>HYPERLINK("https://github.com/nextcloud/android/issues/8403", "show")</f>
        <v>show</v>
      </c>
      <c r="G4802" t="str">
        <f>HYPERLINK("https://github.com/nextcloud/android", "show")</f>
        <v>show</v>
      </c>
      <c r="H4802" t="str">
        <f>HYPERLINK("https://github.com/nextcloud/android/releases", "show")</f>
        <v>show</v>
      </c>
      <c r="I4802">
        <v>1</v>
      </c>
      <c r="J4802">
        <v>0</v>
      </c>
      <c r="K4802">
        <v>1</v>
      </c>
      <c r="L4802">
        <v>0</v>
      </c>
      <c r="M4802" t="s">
        <v>64</v>
      </c>
    </row>
    <row r="4803" spans="1:13" hidden="1" x14ac:dyDescent="0.15">
      <c r="A4803" t="s">
        <v>15181</v>
      </c>
      <c r="B4803" t="s">
        <v>15182</v>
      </c>
      <c r="C4803" t="s">
        <v>15183</v>
      </c>
      <c r="D4803" t="s">
        <v>15171</v>
      </c>
      <c r="E4803">
        <v>1</v>
      </c>
      <c r="F4803" t="str">
        <f>HYPERLINK("https://github.com/nextcloud/android/issues/8400", "show")</f>
        <v>show</v>
      </c>
      <c r="G4803" t="str">
        <f>HYPERLINK("https://github.com/nextcloud/android", "show")</f>
        <v>show</v>
      </c>
      <c r="H4803" t="str">
        <f>HYPERLINK("https://github.com/nextcloud/android/releases", "show")</f>
        <v>show</v>
      </c>
      <c r="I4803">
        <v>1</v>
      </c>
      <c r="J4803">
        <v>1</v>
      </c>
      <c r="K4803">
        <v>1</v>
      </c>
      <c r="L4803">
        <v>0</v>
      </c>
      <c r="M4803" t="s">
        <v>59</v>
      </c>
    </row>
    <row r="4804" spans="1:13" hidden="1" x14ac:dyDescent="0.15">
      <c r="A4804" t="s">
        <v>15184</v>
      </c>
      <c r="B4804" t="s">
        <v>15185</v>
      </c>
      <c r="C4804" t="s">
        <v>15186</v>
      </c>
      <c r="D4804" t="s">
        <v>15171</v>
      </c>
      <c r="E4804">
        <v>1</v>
      </c>
      <c r="F4804" t="str">
        <f>HYPERLINK("https://github.com/hauke96/GeoNotes/issues/32", "show")</f>
        <v>show</v>
      </c>
      <c r="G4804" t="str">
        <f>HYPERLINK("https://github.com/hauke96/GeoNotes", "show")</f>
        <v>show</v>
      </c>
      <c r="H4804" t="str">
        <f>HYPERLINK("https://github.com/hauke96/GeoNotes/releases", "show")</f>
        <v>show</v>
      </c>
      <c r="I4804">
        <v>1</v>
      </c>
      <c r="J4804">
        <v>0</v>
      </c>
      <c r="K4804">
        <v>0</v>
      </c>
      <c r="L4804">
        <v>0</v>
      </c>
      <c r="M4804" t="s">
        <v>17</v>
      </c>
    </row>
    <row r="4805" spans="1:13" hidden="1" x14ac:dyDescent="0.15">
      <c r="A4805" t="s">
        <v>15187</v>
      </c>
      <c r="B4805" t="s">
        <v>15188</v>
      </c>
      <c r="C4805" t="s">
        <v>15189</v>
      </c>
      <c r="D4805" t="s">
        <v>15190</v>
      </c>
      <c r="E4805">
        <v>0</v>
      </c>
      <c r="F4805" t="str">
        <f>HYPERLINK("https://github.com/Anuken/Mindustry/issues/5241", "show")</f>
        <v>show</v>
      </c>
      <c r="G4805" t="str">
        <f>HYPERLINK("https://github.com/Anuken/Mindustry", "show")</f>
        <v>show</v>
      </c>
      <c r="H4805" t="str">
        <f>HYPERLINK("https://github.com/Anuken/Mindustry/releases", "show")</f>
        <v>show</v>
      </c>
      <c r="I4805">
        <v>0</v>
      </c>
      <c r="J4805">
        <v>0</v>
      </c>
      <c r="K4805">
        <v>0</v>
      </c>
      <c r="L4805">
        <v>0</v>
      </c>
      <c r="M4805" t="s">
        <v>43</v>
      </c>
    </row>
    <row r="4806" spans="1:13" hidden="1" x14ac:dyDescent="0.15">
      <c r="A4806" t="s">
        <v>15191</v>
      </c>
      <c r="B4806" t="s">
        <v>15192</v>
      </c>
      <c r="C4806" t="s">
        <v>15193</v>
      </c>
      <c r="D4806" t="s">
        <v>15190</v>
      </c>
      <c r="E4806">
        <v>1</v>
      </c>
      <c r="F4806" t="str">
        <f>HYPERLINK("https://github.com/ankidroid/Anki-Android/issues/8822", "show")</f>
        <v>show</v>
      </c>
      <c r="G4806" t="str">
        <f>HYPERLINK("https://github.com/ankidroid/Anki-Android", "show")</f>
        <v>show</v>
      </c>
      <c r="H4806" t="str">
        <f>HYPERLINK("https://github.com/ankidroid/Anki-Android/releases", "show")</f>
        <v>show</v>
      </c>
      <c r="I4806">
        <v>1</v>
      </c>
      <c r="J4806">
        <v>0</v>
      </c>
      <c r="K4806">
        <v>1</v>
      </c>
      <c r="L4806">
        <v>0</v>
      </c>
      <c r="M4806" t="s">
        <v>64</v>
      </c>
    </row>
    <row r="4807" spans="1:13" hidden="1" x14ac:dyDescent="0.15">
      <c r="A4807" t="s">
        <v>15194</v>
      </c>
      <c r="B4807" t="s">
        <v>15195</v>
      </c>
      <c r="C4807" t="s">
        <v>15196</v>
      </c>
      <c r="D4807" t="s">
        <v>15190</v>
      </c>
      <c r="E4807">
        <v>87</v>
      </c>
      <c r="F4807" t="str">
        <f>HYPERLINK("https://github.com/ankidroid/Anki-Android/issues/8821", "show")</f>
        <v>show</v>
      </c>
      <c r="G4807" t="str">
        <f>HYPERLINK("https://github.com/ankidroid/Anki-Android", "show")</f>
        <v>show</v>
      </c>
      <c r="H4807" t="str">
        <f>HYPERLINK("https://github.com/ankidroid/Anki-Android/releases", "show")</f>
        <v>show</v>
      </c>
      <c r="I4807">
        <v>0</v>
      </c>
      <c r="J4807">
        <v>0</v>
      </c>
      <c r="K4807">
        <v>1</v>
      </c>
      <c r="L4807">
        <v>0</v>
      </c>
      <c r="M4807" t="s">
        <v>122</v>
      </c>
    </row>
    <row r="4808" spans="1:13" hidden="1" x14ac:dyDescent="0.15">
      <c r="A4808" t="s">
        <v>15197</v>
      </c>
      <c r="B4808" t="s">
        <v>15198</v>
      </c>
      <c r="C4808" t="s">
        <v>15199</v>
      </c>
      <c r="D4808" t="s">
        <v>15190</v>
      </c>
      <c r="E4808">
        <v>6</v>
      </c>
      <c r="F4808" t="str">
        <f>HYPERLINK("https://github.com/jellyfin/jellyfin-androidtv/issues/885", "show")</f>
        <v>show</v>
      </c>
      <c r="G4808" t="str">
        <f>HYPERLINK("https://github.com/jellyfin/jellyfin-androidtv", "show")</f>
        <v>show</v>
      </c>
      <c r="H4808" t="str">
        <f>HYPERLINK("https://github.com/jellyfin/jellyfin-androidtv/releases", "show")</f>
        <v>show</v>
      </c>
      <c r="I4808">
        <v>1</v>
      </c>
      <c r="J4808">
        <v>0</v>
      </c>
      <c r="K4808">
        <v>0</v>
      </c>
      <c r="L4808">
        <v>0</v>
      </c>
      <c r="M4808" t="s">
        <v>17</v>
      </c>
    </row>
    <row r="4809" spans="1:13" hidden="1" x14ac:dyDescent="0.15">
      <c r="A4809" t="s">
        <v>15200</v>
      </c>
      <c r="B4809" t="s">
        <v>15201</v>
      </c>
      <c r="C4809" t="s">
        <v>15202</v>
      </c>
      <c r="D4809" t="s">
        <v>15190</v>
      </c>
      <c r="E4809">
        <v>6</v>
      </c>
      <c r="F4809" t="str">
        <f>HYPERLINK("https://github.com/miguelpruivo/flutter_file_picker/issues/708", "show")</f>
        <v>show</v>
      </c>
      <c r="G4809" t="str">
        <f>HYPERLINK("https://github.com/miguelpruivo/flutter_file_picker", "show")</f>
        <v>show</v>
      </c>
      <c r="H4809" t="str">
        <f>HYPERLINK("https://github.com/miguelpruivo/flutter_file_picker/releases", "show")</f>
        <v>show</v>
      </c>
      <c r="I4809">
        <v>1</v>
      </c>
      <c r="J4809">
        <v>0</v>
      </c>
      <c r="K4809">
        <v>1</v>
      </c>
      <c r="L4809">
        <v>0</v>
      </c>
      <c r="M4809" t="s">
        <v>64</v>
      </c>
    </row>
    <row r="4810" spans="1:13" x14ac:dyDescent="0.15">
      <c r="A4810" t="s">
        <v>15203</v>
      </c>
      <c r="B4810" t="s">
        <v>15204</v>
      </c>
      <c r="C4810" t="s">
        <v>15205</v>
      </c>
      <c r="D4810" t="s">
        <v>15190</v>
      </c>
      <c r="E4810">
        <v>0</v>
      </c>
      <c r="F4810" t="str">
        <f>HYPERLINK("https://github.com/PojavLauncherTeam/PojavLauncher/issues/1369", "show")</f>
        <v>show</v>
      </c>
      <c r="G4810" t="str">
        <f>HYPERLINK("https://github.com/PojavLauncherTeam/PojavLauncher", "show")</f>
        <v>show</v>
      </c>
      <c r="H4810" t="str">
        <f>HYPERLINK("https://github.com/PojavLauncherTeam/PojavLauncher/releases", "show")</f>
        <v>show</v>
      </c>
      <c r="I4810">
        <v>0</v>
      </c>
      <c r="J4810">
        <v>1</v>
      </c>
      <c r="K4810">
        <v>0</v>
      </c>
      <c r="L4810">
        <v>0</v>
      </c>
      <c r="M4810" t="s">
        <v>139</v>
      </c>
    </row>
    <row r="4811" spans="1:13" hidden="1" x14ac:dyDescent="0.15">
      <c r="A4811" t="s">
        <v>15206</v>
      </c>
      <c r="B4811" t="s">
        <v>15207</v>
      </c>
      <c r="C4811" t="s">
        <v>15208</v>
      </c>
      <c r="D4811" t="s">
        <v>15190</v>
      </c>
      <c r="E4811">
        <v>11</v>
      </c>
      <c r="F4811" t="str">
        <f>HYPERLINK("https://github.com/voxeet/voxeet-uxkit-reactnative/issues/33", "show")</f>
        <v>show</v>
      </c>
      <c r="G4811" t="str">
        <f>HYPERLINK("https://github.com/voxeet/voxeet-uxkit-reactnative", "show")</f>
        <v>show</v>
      </c>
      <c r="H4811" t="str">
        <f>HYPERLINK("https://github.com/voxeet/voxeet-uxkit-reactnative/releases", "show")</f>
        <v>show</v>
      </c>
      <c r="I4811">
        <v>1</v>
      </c>
      <c r="J4811">
        <v>0</v>
      </c>
      <c r="K4811">
        <v>0</v>
      </c>
      <c r="L4811">
        <v>1</v>
      </c>
      <c r="M4811" t="s">
        <v>29</v>
      </c>
    </row>
    <row r="4812" spans="1:13" hidden="1" x14ac:dyDescent="0.15">
      <c r="A4812" t="s">
        <v>15209</v>
      </c>
      <c r="B4812" t="s">
        <v>15210</v>
      </c>
      <c r="C4812" t="s">
        <v>15211</v>
      </c>
      <c r="D4812" t="s">
        <v>15190</v>
      </c>
      <c r="E4812">
        <v>0</v>
      </c>
      <c r="F4812" t="str">
        <f>HYPERLINK("https://github.com/PojavLauncherTeam/PojavLauncher/issues/1368", "show")</f>
        <v>show</v>
      </c>
      <c r="G4812" t="str">
        <f>HYPERLINK("https://github.com/PojavLauncherTeam/PojavLauncher", "show")</f>
        <v>show</v>
      </c>
      <c r="H4812" t="str">
        <f>HYPERLINK("https://github.com/PojavLauncherTeam/PojavLauncher/releases", "show")</f>
        <v>show</v>
      </c>
      <c r="I4812">
        <v>1</v>
      </c>
      <c r="J4812">
        <v>1</v>
      </c>
      <c r="K4812">
        <v>0</v>
      </c>
      <c r="L4812">
        <v>0</v>
      </c>
      <c r="M4812" t="s">
        <v>48</v>
      </c>
    </row>
    <row r="4813" spans="1:13" x14ac:dyDescent="0.15">
      <c r="A4813" t="s">
        <v>15212</v>
      </c>
      <c r="B4813" t="s">
        <v>15213</v>
      </c>
      <c r="C4813" t="s">
        <v>11582</v>
      </c>
      <c r="D4813" t="s">
        <v>15190</v>
      </c>
      <c r="E4813">
        <v>0</v>
      </c>
      <c r="F4813" t="str">
        <f>HYPERLINK("https://github.com/nextcloud/android/issues/8395", "show")</f>
        <v>show</v>
      </c>
      <c r="G4813" t="str">
        <f>HYPERLINK("https://github.com/nextcloud/android", "show")</f>
        <v>show</v>
      </c>
      <c r="H4813" t="str">
        <f>HYPERLINK("https://github.com/nextcloud/android/releases", "show")</f>
        <v>show</v>
      </c>
      <c r="I4813">
        <v>0</v>
      </c>
      <c r="J4813">
        <v>1</v>
      </c>
      <c r="K4813">
        <v>0</v>
      </c>
      <c r="L4813">
        <v>0</v>
      </c>
      <c r="M4813" t="s">
        <v>139</v>
      </c>
    </row>
    <row r="4814" spans="1:13" hidden="1" x14ac:dyDescent="0.15">
      <c r="A4814" t="s">
        <v>15214</v>
      </c>
      <c r="B4814" t="s">
        <v>15215</v>
      </c>
      <c r="C4814" t="s">
        <v>15216</v>
      </c>
      <c r="D4814" t="s">
        <v>15217</v>
      </c>
      <c r="E4814">
        <v>75</v>
      </c>
      <c r="F4814" t="str">
        <f>HYPERLINK("https://github.com/inaturalist/iNaturalistAndroid/issues/1040", "show")</f>
        <v>show</v>
      </c>
      <c r="G4814" t="str">
        <f>HYPERLINK("https://github.com/inaturalist/iNaturalistAndroid", "show")</f>
        <v>show</v>
      </c>
      <c r="H4814" t="str">
        <f>HYPERLINK("https://github.com/inaturalist/iNaturalistAndroid/releases", "show")</f>
        <v>show</v>
      </c>
      <c r="I4814">
        <v>0</v>
      </c>
      <c r="J4814">
        <v>0</v>
      </c>
      <c r="K4814">
        <v>1</v>
      </c>
      <c r="L4814">
        <v>0</v>
      </c>
      <c r="M4814" t="s">
        <v>122</v>
      </c>
    </row>
    <row r="4815" spans="1:13" hidden="1" x14ac:dyDescent="0.15">
      <c r="A4815" t="s">
        <v>15218</v>
      </c>
      <c r="B4815" t="s">
        <v>15219</v>
      </c>
      <c r="C4815" t="s">
        <v>15220</v>
      </c>
      <c r="D4815" t="s">
        <v>15217</v>
      </c>
      <c r="E4815">
        <v>15</v>
      </c>
      <c r="F4815" t="str">
        <f>HYPERLINK("https://github.com/TrackerControl/tracker-control-android/issues/193", "show")</f>
        <v>show</v>
      </c>
      <c r="G4815" t="str">
        <f>HYPERLINK("https://github.com/TrackerControl/tracker-control-android", "show")</f>
        <v>show</v>
      </c>
      <c r="H4815" t="str">
        <f>HYPERLINK("https://github.com/TrackerControl/tracker-control-android/releases", "show")</f>
        <v>show</v>
      </c>
      <c r="I4815">
        <v>1</v>
      </c>
      <c r="J4815">
        <v>1</v>
      </c>
      <c r="K4815">
        <v>0</v>
      </c>
      <c r="L4815">
        <v>0</v>
      </c>
      <c r="M4815" t="s">
        <v>48</v>
      </c>
    </row>
    <row r="4816" spans="1:13" hidden="1" x14ac:dyDescent="0.15">
      <c r="A4816" t="s">
        <v>15221</v>
      </c>
      <c r="B4816" t="s">
        <v>15222</v>
      </c>
      <c r="C4816" t="s">
        <v>15223</v>
      </c>
      <c r="D4816" t="s">
        <v>15217</v>
      </c>
      <c r="E4816">
        <v>1</v>
      </c>
      <c r="F4816" t="str">
        <f>HYPERLINK("https://github.com/PojavLauncherTeam/PojavLauncher/issues/1367", "show")</f>
        <v>show</v>
      </c>
      <c r="G4816" t="str">
        <f>HYPERLINK("https://github.com/PojavLauncherTeam/PojavLauncher", "show")</f>
        <v>show</v>
      </c>
      <c r="H4816" t="str">
        <f>HYPERLINK("https://github.com/PojavLauncherTeam/PojavLauncher/releases", "show")</f>
        <v>show</v>
      </c>
      <c r="I4816">
        <v>1</v>
      </c>
      <c r="J4816">
        <v>1</v>
      </c>
      <c r="K4816">
        <v>0</v>
      </c>
      <c r="L4816">
        <v>0</v>
      </c>
      <c r="M4816" t="s">
        <v>48</v>
      </c>
    </row>
    <row r="4817" spans="1:13" hidden="1" x14ac:dyDescent="0.15">
      <c r="A4817" t="s">
        <v>15224</v>
      </c>
      <c r="B4817" t="s">
        <v>15225</v>
      </c>
      <c r="C4817" t="s">
        <v>15226</v>
      </c>
      <c r="D4817" t="s">
        <v>15217</v>
      </c>
      <c r="E4817">
        <v>68</v>
      </c>
      <c r="F4817" t="str">
        <f>HYPERLINK("https://github.com/react-native-share/react-native-share/issues/1024", "show")</f>
        <v>show</v>
      </c>
      <c r="G4817" t="str">
        <f>HYPERLINK("https://github.com/react-native-share/react-native-share", "show")</f>
        <v>show</v>
      </c>
      <c r="H4817" t="str">
        <f>HYPERLINK("https://github.com/react-native-share/react-native-share/releases", "show")</f>
        <v>show</v>
      </c>
      <c r="I4817">
        <v>1</v>
      </c>
      <c r="J4817">
        <v>0</v>
      </c>
      <c r="K4817">
        <v>0</v>
      </c>
      <c r="L4817">
        <v>0</v>
      </c>
      <c r="M4817" t="s">
        <v>17</v>
      </c>
    </row>
    <row r="4818" spans="1:13" hidden="1" x14ac:dyDescent="0.15">
      <c r="A4818" t="s">
        <v>15227</v>
      </c>
      <c r="B4818" t="s">
        <v>15228</v>
      </c>
      <c r="C4818" t="s">
        <v>15229</v>
      </c>
      <c r="D4818" t="s">
        <v>15230</v>
      </c>
      <c r="E4818">
        <v>1</v>
      </c>
      <c r="F4818" t="str">
        <f>HYPERLINK("https://github.com/ankidroid/Anki-Android/issues/8807", "show")</f>
        <v>show</v>
      </c>
      <c r="G4818" t="str">
        <f>HYPERLINK("https://github.com/ankidroid/Anki-Android", "show")</f>
        <v>show</v>
      </c>
      <c r="H4818" t="str">
        <f>HYPERLINK("https://github.com/ankidroid/Anki-Android/releases", "show")</f>
        <v>show</v>
      </c>
      <c r="I4818">
        <v>0</v>
      </c>
      <c r="J4818">
        <v>0</v>
      </c>
      <c r="K4818">
        <v>1</v>
      </c>
      <c r="L4818">
        <v>0</v>
      </c>
      <c r="M4818" t="s">
        <v>122</v>
      </c>
    </row>
    <row r="4819" spans="1:13" hidden="1" x14ac:dyDescent="0.15">
      <c r="A4819" t="s">
        <v>15231</v>
      </c>
      <c r="B4819" t="s">
        <v>15232</v>
      </c>
      <c r="C4819" t="s">
        <v>15233</v>
      </c>
      <c r="D4819" t="s">
        <v>15230</v>
      </c>
      <c r="E4819">
        <v>1</v>
      </c>
      <c r="F4819" t="str">
        <f>HYPERLINK("https://github.com/jMonkeyEngine/jmonkeyengine/issues/1548", "show")</f>
        <v>show</v>
      </c>
      <c r="G4819" t="str">
        <f>HYPERLINK("https://github.com/jMonkeyEngine/jmonkeyengine", "show")</f>
        <v>show</v>
      </c>
      <c r="H4819" t="str">
        <f>HYPERLINK("https://github.com/jMonkeyEngine/jmonkeyengine/releases", "show")</f>
        <v>show</v>
      </c>
      <c r="I4819">
        <v>1</v>
      </c>
      <c r="J4819">
        <v>0</v>
      </c>
      <c r="K4819">
        <v>0</v>
      </c>
      <c r="L4819">
        <v>0</v>
      </c>
      <c r="M4819" t="s">
        <v>17</v>
      </c>
    </row>
    <row r="4820" spans="1:13" hidden="1" x14ac:dyDescent="0.15">
      <c r="A4820" t="s">
        <v>15234</v>
      </c>
      <c r="B4820" t="s">
        <v>15235</v>
      </c>
      <c r="C4820" t="s">
        <v>15236</v>
      </c>
      <c r="D4820" t="s">
        <v>15230</v>
      </c>
      <c r="E4820">
        <v>46</v>
      </c>
      <c r="F4820" t="str">
        <f>HYPERLINK("https://github.com/nextcloud/android/issues/8380", "show")</f>
        <v>show</v>
      </c>
      <c r="G4820" t="str">
        <f>HYPERLINK("https://github.com/nextcloud/android", "show")</f>
        <v>show</v>
      </c>
      <c r="H4820" t="str">
        <f>HYPERLINK("https://github.com/nextcloud/android/releases", "show")</f>
        <v>show</v>
      </c>
      <c r="I4820">
        <v>0</v>
      </c>
      <c r="J4820">
        <v>1</v>
      </c>
      <c r="K4820">
        <v>1</v>
      </c>
      <c r="L4820">
        <v>0</v>
      </c>
      <c r="M4820" t="s">
        <v>699</v>
      </c>
    </row>
    <row r="4821" spans="1:13" hidden="1" x14ac:dyDescent="0.15">
      <c r="A4821" t="s">
        <v>15237</v>
      </c>
      <c r="B4821" t="s">
        <v>15238</v>
      </c>
      <c r="C4821" t="s">
        <v>15239</v>
      </c>
      <c r="D4821" t="s">
        <v>15230</v>
      </c>
      <c r="E4821">
        <v>1</v>
      </c>
      <c r="F4821" t="str">
        <f>HYPERLINK("https://github.com/PojavLauncherTeam/PojavLauncher/issues/1359", "show")</f>
        <v>show</v>
      </c>
      <c r="G4821" t="str">
        <f>HYPERLINK("https://github.com/PojavLauncherTeam/PojavLauncher", "show")</f>
        <v>show</v>
      </c>
      <c r="H4821" t="str">
        <f>HYPERLINK("https://github.com/PojavLauncherTeam/PojavLauncher/releases", "show")</f>
        <v>show</v>
      </c>
      <c r="I4821">
        <v>0</v>
      </c>
      <c r="J4821">
        <v>0</v>
      </c>
      <c r="K4821">
        <v>0</v>
      </c>
      <c r="L4821">
        <v>0</v>
      </c>
      <c r="M4821" t="s">
        <v>43</v>
      </c>
    </row>
    <row r="4822" spans="1:13" hidden="1" x14ac:dyDescent="0.15">
      <c r="A4822" t="s">
        <v>15240</v>
      </c>
      <c r="B4822" t="s">
        <v>15241</v>
      </c>
      <c r="C4822" t="s">
        <v>15242</v>
      </c>
      <c r="D4822" t="s">
        <v>15230</v>
      </c>
      <c r="E4822">
        <v>113</v>
      </c>
      <c r="F4822" t="str">
        <f>HYPERLINK("https://github.com/PojavLauncherTeam/PojavLauncher/issues/1358", "show")</f>
        <v>show</v>
      </c>
      <c r="G4822" t="str">
        <f>HYPERLINK("https://github.com/PojavLauncherTeam/PojavLauncher", "show")</f>
        <v>show</v>
      </c>
      <c r="H4822" t="str">
        <f>HYPERLINK("https://github.com/PojavLauncherTeam/PojavLauncher/releases", "show")</f>
        <v>show</v>
      </c>
      <c r="I4822">
        <v>1</v>
      </c>
      <c r="J4822">
        <v>1</v>
      </c>
      <c r="K4822">
        <v>0</v>
      </c>
      <c r="L4822">
        <v>0</v>
      </c>
      <c r="M4822" t="s">
        <v>48</v>
      </c>
    </row>
    <row r="4823" spans="1:13" hidden="1" x14ac:dyDescent="0.15">
      <c r="A4823" t="s">
        <v>15243</v>
      </c>
      <c r="B4823" t="s">
        <v>15244</v>
      </c>
      <c r="C4823" t="s">
        <v>15245</v>
      </c>
      <c r="D4823" t="s">
        <v>15230</v>
      </c>
      <c r="E4823">
        <v>64</v>
      </c>
      <c r="F4823" t="str">
        <f>HYPERLINK("https://github.com/defold/extension-gpgs/issues/36", "show")</f>
        <v>show</v>
      </c>
      <c r="G4823" t="str">
        <f>HYPERLINK("https://github.com/defold/extension-gpgs", "show")</f>
        <v>show</v>
      </c>
      <c r="H4823" t="str">
        <f>HYPERLINK("https://github.com/defold/extension-gpgs/releases", "show")</f>
        <v>show</v>
      </c>
      <c r="I4823">
        <v>1</v>
      </c>
      <c r="J4823">
        <v>0</v>
      </c>
      <c r="K4823">
        <v>0</v>
      </c>
      <c r="L4823">
        <v>0</v>
      </c>
      <c r="M4823" t="s">
        <v>17</v>
      </c>
    </row>
    <row r="4824" spans="1:13" hidden="1" x14ac:dyDescent="0.15">
      <c r="A4824" t="s">
        <v>15246</v>
      </c>
      <c r="B4824" t="s">
        <v>15247</v>
      </c>
      <c r="C4824" t="s">
        <v>15248</v>
      </c>
      <c r="D4824" t="s">
        <v>15249</v>
      </c>
      <c r="E4824">
        <v>43</v>
      </c>
      <c r="F4824" t="str">
        <f>HYPERLINK("https://github.com/nextcloud/android/issues/8378", "show")</f>
        <v>show</v>
      </c>
      <c r="G4824" t="str">
        <f>HYPERLINK("https://github.com/nextcloud/android", "show")</f>
        <v>show</v>
      </c>
      <c r="H4824" t="str">
        <f>HYPERLINK("https://github.com/nextcloud/android/releases", "show")</f>
        <v>show</v>
      </c>
      <c r="I4824">
        <v>0</v>
      </c>
      <c r="J4824">
        <v>1</v>
      </c>
      <c r="K4824">
        <v>1</v>
      </c>
      <c r="L4824">
        <v>0</v>
      </c>
      <c r="M4824" t="s">
        <v>699</v>
      </c>
    </row>
    <row r="4825" spans="1:13" hidden="1" x14ac:dyDescent="0.15">
      <c r="A4825" t="s">
        <v>15250</v>
      </c>
      <c r="B4825" t="s">
        <v>15251</v>
      </c>
      <c r="C4825" t="s">
        <v>15252</v>
      </c>
      <c r="D4825" t="s">
        <v>15249</v>
      </c>
      <c r="E4825">
        <v>51</v>
      </c>
      <c r="F4825" t="str">
        <f>HYPERLINK("https://github.com/nextcloud/talk-android/issues/1233", "show")</f>
        <v>show</v>
      </c>
      <c r="G4825" t="str">
        <f>HYPERLINK("https://github.com/nextcloud/talk-android", "show")</f>
        <v>show</v>
      </c>
      <c r="H4825" t="str">
        <f>HYPERLINK("https://github.com/nextcloud/talk-android/releases", "show")</f>
        <v>show</v>
      </c>
      <c r="I4825">
        <v>0</v>
      </c>
      <c r="J4825">
        <v>1</v>
      </c>
      <c r="K4825">
        <v>1</v>
      </c>
      <c r="L4825">
        <v>0</v>
      </c>
      <c r="M4825" t="s">
        <v>699</v>
      </c>
    </row>
    <row r="4826" spans="1:13" hidden="1" x14ac:dyDescent="0.15">
      <c r="A4826" t="s">
        <v>15253</v>
      </c>
      <c r="B4826" t="s">
        <v>15254</v>
      </c>
      <c r="C4826" t="s">
        <v>15255</v>
      </c>
      <c r="D4826" t="s">
        <v>15249</v>
      </c>
      <c r="E4826">
        <v>0</v>
      </c>
      <c r="F4826" t="str">
        <f>HYPERLINK("https://github.com/Blankj/AndroidUtilCode/issues/1499", "show")</f>
        <v>show</v>
      </c>
      <c r="G4826" t="str">
        <f>HYPERLINK("https://github.com/Blankj/AndroidUtilCode", "show")</f>
        <v>show</v>
      </c>
      <c r="H4826" t="str">
        <f>HYPERLINK("https://github.com/Blankj/AndroidUtilCode/releases", "show")</f>
        <v>show</v>
      </c>
      <c r="I4826">
        <v>1</v>
      </c>
      <c r="J4826">
        <v>0</v>
      </c>
      <c r="K4826">
        <v>0</v>
      </c>
      <c r="L4826">
        <v>0</v>
      </c>
      <c r="M4826" t="s">
        <v>17</v>
      </c>
    </row>
    <row r="4827" spans="1:13" hidden="1" x14ac:dyDescent="0.15">
      <c r="A4827" t="s">
        <v>15256</v>
      </c>
      <c r="B4827" t="s">
        <v>15257</v>
      </c>
      <c r="C4827" t="s">
        <v>15258</v>
      </c>
      <c r="D4827" t="s">
        <v>15259</v>
      </c>
      <c r="E4827">
        <v>1</v>
      </c>
      <c r="F4827" t="str">
        <f>HYPERLINK("https://github.com/dariuszseweryn/RxAndroidBle/issues/750", "show")</f>
        <v>show</v>
      </c>
      <c r="G4827" t="str">
        <f>HYPERLINK("https://github.com/dariuszseweryn/RxAndroidBle", "show")</f>
        <v>show</v>
      </c>
      <c r="H4827" t="str">
        <f>HYPERLINK("https://github.com/dariuszseweryn/RxAndroidBle/releases", "show")</f>
        <v>show</v>
      </c>
      <c r="I4827">
        <v>0</v>
      </c>
      <c r="J4827">
        <v>0</v>
      </c>
      <c r="K4827">
        <v>0</v>
      </c>
      <c r="L4827">
        <v>1</v>
      </c>
      <c r="M4827" t="s">
        <v>581</v>
      </c>
    </row>
    <row r="4828" spans="1:13" hidden="1" x14ac:dyDescent="0.15">
      <c r="A4828" t="s">
        <v>15260</v>
      </c>
      <c r="B4828" t="s">
        <v>15261</v>
      </c>
      <c r="C4828" t="s">
        <v>15262</v>
      </c>
      <c r="D4828" t="s">
        <v>15263</v>
      </c>
      <c r="E4828">
        <v>4</v>
      </c>
      <c r="F4828" t="str">
        <f>HYPERLINK("https://github.com/jMonkeyEngine/jmonkeyengine/issues/1544", "show")</f>
        <v>show</v>
      </c>
      <c r="G4828" t="str">
        <f>HYPERLINK("https://github.com/jMonkeyEngine/jmonkeyengine", "show")</f>
        <v>show</v>
      </c>
      <c r="H4828" t="str">
        <f>HYPERLINK("https://github.com/jMonkeyEngine/jmonkeyengine/releases", "show")</f>
        <v>show</v>
      </c>
      <c r="I4828">
        <v>0</v>
      </c>
      <c r="J4828">
        <v>1</v>
      </c>
      <c r="K4828">
        <v>1</v>
      </c>
      <c r="L4828">
        <v>0</v>
      </c>
      <c r="M4828" t="s">
        <v>699</v>
      </c>
    </row>
    <row r="4829" spans="1:13" hidden="1" x14ac:dyDescent="0.15">
      <c r="A4829" t="s">
        <v>15264</v>
      </c>
      <c r="B4829" t="s">
        <v>15265</v>
      </c>
      <c r="C4829" t="s">
        <v>15266</v>
      </c>
      <c r="D4829" t="s">
        <v>15263</v>
      </c>
      <c r="E4829">
        <v>4</v>
      </c>
      <c r="F4829" t="str">
        <f>HYPERLINK("https://github.com/jMonkeyEngine/jmonkeyengine/issues/1542", "show")</f>
        <v>show</v>
      </c>
      <c r="G4829" t="str">
        <f>HYPERLINK("https://github.com/jMonkeyEngine/jmonkeyengine", "show")</f>
        <v>show</v>
      </c>
      <c r="H4829" t="str">
        <f>HYPERLINK("https://github.com/jMonkeyEngine/jmonkeyengine/releases", "show")</f>
        <v>show</v>
      </c>
      <c r="I4829">
        <v>0</v>
      </c>
      <c r="J4829">
        <v>1</v>
      </c>
      <c r="K4829">
        <v>1</v>
      </c>
      <c r="L4829">
        <v>0</v>
      </c>
      <c r="M4829" t="s">
        <v>699</v>
      </c>
    </row>
    <row r="4830" spans="1:13" hidden="1" x14ac:dyDescent="0.15">
      <c r="A4830" t="s">
        <v>15267</v>
      </c>
      <c r="B4830" t="s">
        <v>15268</v>
      </c>
      <c r="C4830" t="s">
        <v>15269</v>
      </c>
      <c r="D4830" t="s">
        <v>15263</v>
      </c>
      <c r="E4830">
        <v>26</v>
      </c>
      <c r="F4830" t="str">
        <f>HYPERLINK("https://github.com/andOTP/andOTP/issues/827", "show")</f>
        <v>show</v>
      </c>
      <c r="G4830" t="str">
        <f>HYPERLINK("https://github.com/andOTP/andOTP", "show")</f>
        <v>show</v>
      </c>
      <c r="H4830" t="str">
        <f>HYPERLINK("https://github.com/andOTP/andOTP/releases", "show")</f>
        <v>show</v>
      </c>
      <c r="I4830">
        <v>1</v>
      </c>
      <c r="J4830">
        <v>0</v>
      </c>
      <c r="K4830">
        <v>1</v>
      </c>
      <c r="L4830">
        <v>1</v>
      </c>
      <c r="M4830" t="s">
        <v>1259</v>
      </c>
    </row>
    <row r="4831" spans="1:13" hidden="1" x14ac:dyDescent="0.15">
      <c r="A4831" t="s">
        <v>15270</v>
      </c>
      <c r="B4831" t="s">
        <v>15271</v>
      </c>
      <c r="C4831" t="s">
        <v>15272</v>
      </c>
      <c r="D4831" t="s">
        <v>15263</v>
      </c>
      <c r="E4831">
        <v>1</v>
      </c>
      <c r="F4831" t="str">
        <f>HYPERLINK("https://github.com/LSPosed/LSPosed/issues/553", "show")</f>
        <v>show</v>
      </c>
      <c r="G4831" t="str">
        <f>HYPERLINK("https://github.com/LSPosed/LSPosed", "show")</f>
        <v>show</v>
      </c>
      <c r="H4831" t="str">
        <f>HYPERLINK("https://github.com/LSPosed/LSPosed/releases", "show")</f>
        <v>show</v>
      </c>
      <c r="I4831">
        <v>1</v>
      </c>
      <c r="J4831">
        <v>0</v>
      </c>
      <c r="K4831">
        <v>1</v>
      </c>
      <c r="L4831">
        <v>0</v>
      </c>
      <c r="M4831" t="s">
        <v>64</v>
      </c>
    </row>
    <row r="4832" spans="1:13" hidden="1" x14ac:dyDescent="0.15">
      <c r="A4832" t="s">
        <v>15273</v>
      </c>
      <c r="B4832" t="s">
        <v>15274</v>
      </c>
      <c r="C4832" t="s">
        <v>12185</v>
      </c>
      <c r="D4832" t="s">
        <v>15263</v>
      </c>
      <c r="E4832">
        <v>44</v>
      </c>
      <c r="F4832" t="str">
        <f>HYPERLINK("https://github.com/nextcloud/android/issues/8368", "show")</f>
        <v>show</v>
      </c>
      <c r="G4832" t="str">
        <f>HYPERLINK("https://github.com/nextcloud/android", "show")</f>
        <v>show</v>
      </c>
      <c r="H4832" t="str">
        <f>HYPERLINK("https://github.com/nextcloud/android/releases", "show")</f>
        <v>show</v>
      </c>
      <c r="I4832">
        <v>0</v>
      </c>
      <c r="J4832">
        <v>0</v>
      </c>
      <c r="K4832">
        <v>1</v>
      </c>
      <c r="L4832">
        <v>0</v>
      </c>
      <c r="M4832" t="s">
        <v>122</v>
      </c>
    </row>
    <row r="4833" spans="1:13" hidden="1" x14ac:dyDescent="0.15">
      <c r="A4833" t="s">
        <v>15275</v>
      </c>
      <c r="B4833" t="s">
        <v>15276</v>
      </c>
      <c r="C4833" t="s">
        <v>15277</v>
      </c>
      <c r="D4833" t="s">
        <v>15263</v>
      </c>
      <c r="E4833">
        <v>0</v>
      </c>
      <c r="F4833" t="str">
        <f>HYPERLINK("https://github.com/LSPosed/LSPosed/issues/550", "show")</f>
        <v>show</v>
      </c>
      <c r="G4833" t="str">
        <f>HYPERLINK("https://github.com/LSPosed/LSPosed", "show")</f>
        <v>show</v>
      </c>
      <c r="H4833" t="str">
        <f>HYPERLINK("https://github.com/LSPosed/LSPosed/releases", "show")</f>
        <v>show</v>
      </c>
      <c r="I4833">
        <v>1</v>
      </c>
      <c r="J4833">
        <v>0</v>
      </c>
      <c r="K4833">
        <v>0</v>
      </c>
      <c r="L4833">
        <v>1</v>
      </c>
      <c r="M4833" t="s">
        <v>29</v>
      </c>
    </row>
    <row r="4834" spans="1:13" hidden="1" x14ac:dyDescent="0.15">
      <c r="A4834" t="s">
        <v>15278</v>
      </c>
      <c r="B4834" t="s">
        <v>15279</v>
      </c>
      <c r="C4834" t="s">
        <v>15280</v>
      </c>
      <c r="D4834" t="s">
        <v>15263</v>
      </c>
      <c r="E4834">
        <v>2</v>
      </c>
      <c r="F4834" t="str">
        <f>HYPERLINK("https://github.com/nextcloud/android/issues/8367", "show")</f>
        <v>show</v>
      </c>
      <c r="G4834" t="str">
        <f>HYPERLINK("https://github.com/nextcloud/android", "show")</f>
        <v>show</v>
      </c>
      <c r="H4834" t="str">
        <f>HYPERLINK("https://github.com/nextcloud/android/releases", "show")</f>
        <v>show</v>
      </c>
      <c r="I4834">
        <v>1</v>
      </c>
      <c r="J4834">
        <v>1</v>
      </c>
      <c r="K4834">
        <v>1</v>
      </c>
      <c r="L4834">
        <v>0</v>
      </c>
      <c r="M4834" t="s">
        <v>59</v>
      </c>
    </row>
    <row r="4835" spans="1:13" hidden="1" x14ac:dyDescent="0.15">
      <c r="A4835" t="s">
        <v>15281</v>
      </c>
      <c r="B4835" t="s">
        <v>15282</v>
      </c>
      <c r="C4835" t="s">
        <v>15283</v>
      </c>
      <c r="D4835" t="s">
        <v>15284</v>
      </c>
      <c r="E4835">
        <v>0</v>
      </c>
      <c r="F4835" t="str">
        <f>HYPERLINK("https://github.com/Anuken/Mindustry/issues/5219", "show")</f>
        <v>show</v>
      </c>
      <c r="G4835" t="str">
        <f>HYPERLINK("https://github.com/Anuken/Mindustry", "show")</f>
        <v>show</v>
      </c>
      <c r="H4835" t="str">
        <f>HYPERLINK("https://github.com/Anuken/Mindustry/releases", "show")</f>
        <v>show</v>
      </c>
      <c r="I4835">
        <v>1</v>
      </c>
      <c r="J4835">
        <v>1</v>
      </c>
      <c r="K4835">
        <v>0</v>
      </c>
      <c r="L4835">
        <v>0</v>
      </c>
      <c r="M4835" t="s">
        <v>48</v>
      </c>
    </row>
    <row r="4836" spans="1:13" hidden="1" x14ac:dyDescent="0.15">
      <c r="A4836" t="s">
        <v>15285</v>
      </c>
      <c r="B4836" t="s">
        <v>15286</v>
      </c>
      <c r="C4836" t="s">
        <v>15287</v>
      </c>
      <c r="D4836" t="s">
        <v>15284</v>
      </c>
      <c r="E4836">
        <v>0</v>
      </c>
      <c r="F4836" t="str">
        <f>HYPERLINK("https://github.com/Anuken/Mindustry/issues/5218", "show")</f>
        <v>show</v>
      </c>
      <c r="G4836" t="str">
        <f>HYPERLINK("https://github.com/Anuken/Mindustry", "show")</f>
        <v>show</v>
      </c>
      <c r="H4836" t="str">
        <f>HYPERLINK("https://github.com/Anuken/Mindustry/releases", "show")</f>
        <v>show</v>
      </c>
      <c r="I4836">
        <v>1</v>
      </c>
      <c r="J4836">
        <v>1</v>
      </c>
      <c r="K4836">
        <v>0</v>
      </c>
      <c r="L4836">
        <v>0</v>
      </c>
      <c r="M4836" t="s">
        <v>48</v>
      </c>
    </row>
    <row r="4837" spans="1:13" hidden="1" x14ac:dyDescent="0.15">
      <c r="A4837" t="s">
        <v>15288</v>
      </c>
      <c r="B4837" t="s">
        <v>15289</v>
      </c>
      <c r="C4837" t="s">
        <v>15290</v>
      </c>
      <c r="D4837" t="s">
        <v>15284</v>
      </c>
      <c r="E4837">
        <v>0</v>
      </c>
      <c r="F4837" t="str">
        <f>HYPERLINK("https://github.com/Anuken/Mindustry/issues/5217", "show")</f>
        <v>show</v>
      </c>
      <c r="G4837" t="str">
        <f>HYPERLINK("https://github.com/Anuken/Mindustry", "show")</f>
        <v>show</v>
      </c>
      <c r="H4837" t="str">
        <f>HYPERLINK("https://github.com/Anuken/Mindustry/releases", "show")</f>
        <v>show</v>
      </c>
      <c r="I4837">
        <v>1</v>
      </c>
      <c r="J4837">
        <v>1</v>
      </c>
      <c r="K4837">
        <v>0</v>
      </c>
      <c r="L4837">
        <v>0</v>
      </c>
      <c r="M4837" t="s">
        <v>48</v>
      </c>
    </row>
    <row r="4838" spans="1:13" hidden="1" x14ac:dyDescent="0.15">
      <c r="A4838" t="s">
        <v>15291</v>
      </c>
      <c r="B4838" t="s">
        <v>15292</v>
      </c>
      <c r="C4838" t="s">
        <v>15293</v>
      </c>
      <c r="D4838" t="s">
        <v>15284</v>
      </c>
      <c r="E4838">
        <v>20</v>
      </c>
      <c r="F4838" t="str">
        <f>HYPERLINK("https://github.com/dariuszseweryn/RxAndroidBle/issues/749", "show")</f>
        <v>show</v>
      </c>
      <c r="G4838" t="str">
        <f>HYPERLINK("https://github.com/dariuszseweryn/RxAndroidBle", "show")</f>
        <v>show</v>
      </c>
      <c r="H4838" t="str">
        <f>HYPERLINK("https://github.com/dariuszseweryn/RxAndroidBle/releases", "show")</f>
        <v>show</v>
      </c>
      <c r="I4838">
        <v>1</v>
      </c>
      <c r="J4838">
        <v>1</v>
      </c>
      <c r="K4838">
        <v>1</v>
      </c>
      <c r="L4838">
        <v>0</v>
      </c>
      <c r="M4838" t="s">
        <v>59</v>
      </c>
    </row>
    <row r="4839" spans="1:13" hidden="1" x14ac:dyDescent="0.15">
      <c r="A4839" t="s">
        <v>15294</v>
      </c>
      <c r="B4839" t="s">
        <v>15295</v>
      </c>
      <c r="C4839" t="s">
        <v>15296</v>
      </c>
      <c r="D4839" t="s">
        <v>15284</v>
      </c>
      <c r="E4839">
        <v>45</v>
      </c>
      <c r="F4839" t="str">
        <f>HYPERLINK("https://github.com/nextcloud/android/issues/8360", "show")</f>
        <v>show</v>
      </c>
      <c r="G4839" t="str">
        <f>HYPERLINK("https://github.com/nextcloud/android", "show")</f>
        <v>show</v>
      </c>
      <c r="H4839" t="str">
        <f>HYPERLINK("https://github.com/nextcloud/android/releases", "show")</f>
        <v>show</v>
      </c>
      <c r="I4839">
        <v>1</v>
      </c>
      <c r="J4839">
        <v>1</v>
      </c>
      <c r="K4839">
        <v>1</v>
      </c>
      <c r="L4839">
        <v>0</v>
      </c>
      <c r="M4839" t="s">
        <v>59</v>
      </c>
    </row>
    <row r="4840" spans="1:13" hidden="1" x14ac:dyDescent="0.15">
      <c r="A4840" t="s">
        <v>15297</v>
      </c>
      <c r="B4840" t="s">
        <v>15298</v>
      </c>
      <c r="C4840" t="s">
        <v>11701</v>
      </c>
      <c r="D4840" t="s">
        <v>15284</v>
      </c>
      <c r="E4840">
        <v>0</v>
      </c>
      <c r="F4840" t="str">
        <f>HYPERLINK("https://github.com/Anuken/Mindustry/issues/5214", "show")</f>
        <v>show</v>
      </c>
      <c r="G4840" t="str">
        <f>HYPERLINK("https://github.com/Anuken/Mindustry", "show")</f>
        <v>show</v>
      </c>
      <c r="H4840" t="str">
        <f>HYPERLINK("https://github.com/Anuken/Mindustry/releases", "show")</f>
        <v>show</v>
      </c>
      <c r="I4840">
        <v>1</v>
      </c>
      <c r="J4840">
        <v>1</v>
      </c>
      <c r="K4840">
        <v>0</v>
      </c>
      <c r="L4840">
        <v>0</v>
      </c>
      <c r="M4840" t="s">
        <v>48</v>
      </c>
    </row>
    <row r="4841" spans="1:13" hidden="1" x14ac:dyDescent="0.15">
      <c r="A4841" t="s">
        <v>15299</v>
      </c>
      <c r="B4841" t="s">
        <v>15300</v>
      </c>
      <c r="C4841" t="s">
        <v>15301</v>
      </c>
      <c r="D4841" t="s">
        <v>15284</v>
      </c>
      <c r="E4841">
        <v>3</v>
      </c>
      <c r="F4841" t="str">
        <f>HYPERLINK("https://github.com/PojavLauncherTeam/PojavLauncher/issues/1343", "show")</f>
        <v>show</v>
      </c>
      <c r="G4841" t="str">
        <f>HYPERLINK("https://github.com/PojavLauncherTeam/PojavLauncher", "show")</f>
        <v>show</v>
      </c>
      <c r="H4841" t="str">
        <f>HYPERLINK("https://github.com/PojavLauncherTeam/PojavLauncher/releases", "show")</f>
        <v>show</v>
      </c>
      <c r="I4841">
        <v>0</v>
      </c>
      <c r="J4841">
        <v>0</v>
      </c>
      <c r="K4841">
        <v>0</v>
      </c>
      <c r="L4841">
        <v>0</v>
      </c>
      <c r="M4841" t="s">
        <v>43</v>
      </c>
    </row>
    <row r="4842" spans="1:13" hidden="1" x14ac:dyDescent="0.15">
      <c r="A4842" t="s">
        <v>15302</v>
      </c>
      <c r="B4842" t="s">
        <v>15303</v>
      </c>
      <c r="C4842" t="s">
        <v>15304</v>
      </c>
      <c r="D4842" t="s">
        <v>15305</v>
      </c>
      <c r="E4842">
        <v>1</v>
      </c>
      <c r="F4842" t="str">
        <f>HYPERLINK("https://github.com/cgeo/cgeo/issues/10550", "show")</f>
        <v>show</v>
      </c>
      <c r="G4842" t="str">
        <f>HYPERLINK("https://github.com/cgeo/cgeo", "show")</f>
        <v>show</v>
      </c>
      <c r="H4842" t="str">
        <f>HYPERLINK("https://github.com/cgeo/cgeo/releases", "show")</f>
        <v>show</v>
      </c>
      <c r="I4842">
        <v>1</v>
      </c>
      <c r="J4842">
        <v>1</v>
      </c>
      <c r="K4842">
        <v>1</v>
      </c>
      <c r="L4842">
        <v>0</v>
      </c>
      <c r="M4842" t="s">
        <v>59</v>
      </c>
    </row>
    <row r="4843" spans="1:13" hidden="1" x14ac:dyDescent="0.15">
      <c r="A4843" t="s">
        <v>15306</v>
      </c>
      <c r="B4843" t="s">
        <v>15307</v>
      </c>
      <c r="C4843" t="s">
        <v>15308</v>
      </c>
      <c r="D4843" t="s">
        <v>15309</v>
      </c>
      <c r="E4843">
        <v>15</v>
      </c>
      <c r="F4843" t="str">
        <f>HYPERLINK("https://github.com/PojavLauncherTeam/PojavLauncher/issues/1335", "show")</f>
        <v>show</v>
      </c>
      <c r="G4843" t="str">
        <f>HYPERLINK("https://github.com/PojavLauncherTeam/PojavLauncher", "show")</f>
        <v>show</v>
      </c>
      <c r="H4843" t="str">
        <f>HYPERLINK("https://github.com/PojavLauncherTeam/PojavLauncher/releases", "show")</f>
        <v>show</v>
      </c>
      <c r="I4843">
        <v>1</v>
      </c>
      <c r="J4843">
        <v>0</v>
      </c>
      <c r="K4843">
        <v>0</v>
      </c>
      <c r="L4843">
        <v>0</v>
      </c>
      <c r="M4843" t="s">
        <v>17</v>
      </c>
    </row>
    <row r="4844" spans="1:13" hidden="1" x14ac:dyDescent="0.15">
      <c r="A4844" t="s">
        <v>15310</v>
      </c>
      <c r="B4844" t="s">
        <v>15311</v>
      </c>
      <c r="C4844" t="s">
        <v>15312</v>
      </c>
      <c r="D4844" t="s">
        <v>15309</v>
      </c>
      <c r="E4844">
        <v>259</v>
      </c>
      <c r="F4844" t="str">
        <f>HYPERLINK("https://github.com/uerceg/play-install-referrer-react-native/issues/6", "show")</f>
        <v>show</v>
      </c>
      <c r="G4844" t="str">
        <f>HYPERLINK("https://github.com/uerceg/play-install-referrer-react-native", "show")</f>
        <v>show</v>
      </c>
      <c r="H4844" t="str">
        <f>HYPERLINK("https://github.com/uerceg/play-install-referrer-react-native/releases", "show")</f>
        <v>show</v>
      </c>
      <c r="I4844">
        <v>1</v>
      </c>
      <c r="J4844">
        <v>1</v>
      </c>
      <c r="K4844">
        <v>0</v>
      </c>
      <c r="L4844">
        <v>1</v>
      </c>
      <c r="M4844" t="s">
        <v>1894</v>
      </c>
    </row>
    <row r="4845" spans="1:13" hidden="1" x14ac:dyDescent="0.15">
      <c r="A4845" t="s">
        <v>15313</v>
      </c>
      <c r="B4845" t="s">
        <v>15314</v>
      </c>
      <c r="C4845" t="s">
        <v>15315</v>
      </c>
      <c r="D4845" t="s">
        <v>15309</v>
      </c>
      <c r="E4845">
        <v>69</v>
      </c>
      <c r="F4845" t="str">
        <f>HYPERLINK("https://github.com/opensrp/opensrp-client-reveal/issues/1403", "show")</f>
        <v>show</v>
      </c>
      <c r="G4845" t="str">
        <f>HYPERLINK("https://github.com/opensrp/opensrp-client-reveal", "show")</f>
        <v>show</v>
      </c>
      <c r="H4845" t="str">
        <f>HYPERLINK("https://github.com/opensrp/opensrp-client-reveal/releases", "show")</f>
        <v>show</v>
      </c>
      <c r="I4845">
        <v>0</v>
      </c>
      <c r="J4845">
        <v>1</v>
      </c>
      <c r="K4845">
        <v>0</v>
      </c>
      <c r="L4845">
        <v>1</v>
      </c>
      <c r="M4845" t="s">
        <v>1732</v>
      </c>
    </row>
    <row r="4846" spans="1:13" hidden="1" x14ac:dyDescent="0.15">
      <c r="A4846" t="s">
        <v>15316</v>
      </c>
      <c r="B4846" t="s">
        <v>15317</v>
      </c>
      <c r="C4846" t="s">
        <v>15318</v>
      </c>
      <c r="D4846" t="s">
        <v>15319</v>
      </c>
      <c r="E4846">
        <v>0</v>
      </c>
      <c r="F4846" t="str">
        <f>HYPERLINK("https://github.com/DIT112-V21/group-01/issues/50", "show")</f>
        <v>show</v>
      </c>
      <c r="G4846" t="str">
        <f>HYPERLINK("https://github.com/DIT112-V21/group-01", "show")</f>
        <v>show</v>
      </c>
      <c r="H4846" t="str">
        <f>HYPERLINK("https://github.com/DIT112-V21/group-01/releases", "show")</f>
        <v>show</v>
      </c>
      <c r="I4846">
        <v>1</v>
      </c>
      <c r="J4846">
        <v>0</v>
      </c>
      <c r="K4846">
        <v>0</v>
      </c>
      <c r="L4846">
        <v>0</v>
      </c>
      <c r="M4846" t="s">
        <v>17</v>
      </c>
    </row>
    <row r="4847" spans="1:13" hidden="1" x14ac:dyDescent="0.15">
      <c r="A4847" t="s">
        <v>15320</v>
      </c>
      <c r="B4847" t="s">
        <v>15321</v>
      </c>
      <c r="C4847" t="s">
        <v>15322</v>
      </c>
      <c r="D4847" t="s">
        <v>15323</v>
      </c>
      <c r="E4847">
        <v>4</v>
      </c>
      <c r="F4847" t="str">
        <f>HYPERLINK("https://github.com/gsantner/markor/issues/1329", "show")</f>
        <v>show</v>
      </c>
      <c r="G4847" t="str">
        <f>HYPERLINK("https://github.com/gsantner/markor", "show")</f>
        <v>show</v>
      </c>
      <c r="H4847" t="str">
        <f>HYPERLINK("https://github.com/gsantner/markor/releases", "show")</f>
        <v>show</v>
      </c>
      <c r="I4847">
        <v>1</v>
      </c>
      <c r="J4847">
        <v>0</v>
      </c>
      <c r="K4847">
        <v>1</v>
      </c>
      <c r="L4847">
        <v>0</v>
      </c>
      <c r="M4847" t="s">
        <v>64</v>
      </c>
    </row>
    <row r="4848" spans="1:13" hidden="1" x14ac:dyDescent="0.15">
      <c r="A4848" t="s">
        <v>15324</v>
      </c>
      <c r="B4848" t="s">
        <v>15325</v>
      </c>
      <c r="C4848" t="s">
        <v>15326</v>
      </c>
      <c r="D4848" t="s">
        <v>15323</v>
      </c>
      <c r="E4848">
        <v>107</v>
      </c>
      <c r="F4848" t="str">
        <f>HYPERLINK("https://github.com/TeamNewPipe/NewPipe/issues/6224", "show")</f>
        <v>show</v>
      </c>
      <c r="G4848" t="str">
        <f>HYPERLINK("https://github.com/TeamNewPipe/NewPipe", "show")</f>
        <v>show</v>
      </c>
      <c r="H4848" t="str">
        <f>HYPERLINK("https://github.com/TeamNewPipe/NewPipe/releases", "show")</f>
        <v>show</v>
      </c>
      <c r="I4848">
        <v>1</v>
      </c>
      <c r="J4848">
        <v>0</v>
      </c>
      <c r="K4848">
        <v>0</v>
      </c>
      <c r="L4848">
        <v>0</v>
      </c>
      <c r="M4848" t="s">
        <v>17</v>
      </c>
    </row>
    <row r="4849" spans="1:13" hidden="1" x14ac:dyDescent="0.15">
      <c r="A4849" t="s">
        <v>15327</v>
      </c>
      <c r="B4849" t="s">
        <v>15328</v>
      </c>
      <c r="C4849" t="s">
        <v>15329</v>
      </c>
      <c r="D4849" t="s">
        <v>15330</v>
      </c>
      <c r="E4849">
        <v>88</v>
      </c>
      <c r="F4849" t="str">
        <f>HYPERLINK("https://github.com/nextcloud/android/issues/8342", "show")</f>
        <v>show</v>
      </c>
      <c r="G4849" t="str">
        <f>HYPERLINK("https://github.com/nextcloud/android", "show")</f>
        <v>show</v>
      </c>
      <c r="H4849" t="str">
        <f>HYPERLINK("https://github.com/nextcloud/android/releases", "show")</f>
        <v>show</v>
      </c>
      <c r="I4849">
        <v>1</v>
      </c>
      <c r="J4849">
        <v>1</v>
      </c>
      <c r="K4849">
        <v>1</v>
      </c>
      <c r="L4849">
        <v>0</v>
      </c>
      <c r="M4849" t="s">
        <v>59</v>
      </c>
    </row>
    <row r="4850" spans="1:13" x14ac:dyDescent="0.15">
      <c r="A4850" t="s">
        <v>15331</v>
      </c>
      <c r="B4850" t="s">
        <v>15332</v>
      </c>
      <c r="C4850" t="s">
        <v>15333</v>
      </c>
      <c r="D4850" t="s">
        <v>15330</v>
      </c>
      <c r="E4850">
        <v>44</v>
      </c>
      <c r="F4850" t="str">
        <f>HYPERLINK("https://github.com/nextcloud/android/issues/8341", "show")</f>
        <v>show</v>
      </c>
      <c r="G4850" t="str">
        <f>HYPERLINK("https://github.com/nextcloud/android", "show")</f>
        <v>show</v>
      </c>
      <c r="H4850" t="str">
        <f>HYPERLINK("https://github.com/nextcloud/android/releases", "show")</f>
        <v>show</v>
      </c>
      <c r="I4850">
        <v>0</v>
      </c>
      <c r="J4850">
        <v>1</v>
      </c>
      <c r="K4850">
        <v>0</v>
      </c>
      <c r="L4850">
        <v>0</v>
      </c>
      <c r="M4850" t="s">
        <v>139</v>
      </c>
    </row>
    <row r="4851" spans="1:13" hidden="1" x14ac:dyDescent="0.15">
      <c r="A4851" t="s">
        <v>15334</v>
      </c>
      <c r="B4851" t="s">
        <v>15335</v>
      </c>
      <c r="C4851" t="s">
        <v>15336</v>
      </c>
      <c r="D4851" t="s">
        <v>15330</v>
      </c>
      <c r="E4851">
        <v>0</v>
      </c>
      <c r="F4851" t="str">
        <f>HYPERLINK("https://github.com/PojavLauncherTeam/PojavLauncher/issues/1325", "show")</f>
        <v>show</v>
      </c>
      <c r="G4851" t="str">
        <f>HYPERLINK("https://github.com/PojavLauncherTeam/PojavLauncher", "show")</f>
        <v>show</v>
      </c>
      <c r="H4851" t="str">
        <f>HYPERLINK("https://github.com/PojavLauncherTeam/PojavLauncher/releases", "show")</f>
        <v>show</v>
      </c>
      <c r="I4851">
        <v>1</v>
      </c>
      <c r="J4851">
        <v>0</v>
      </c>
      <c r="K4851">
        <v>0</v>
      </c>
      <c r="L4851">
        <v>0</v>
      </c>
      <c r="M4851" t="s">
        <v>17</v>
      </c>
    </row>
    <row r="4852" spans="1:13" hidden="1" x14ac:dyDescent="0.15">
      <c r="A4852" t="s">
        <v>15337</v>
      </c>
      <c r="B4852" t="s">
        <v>15338</v>
      </c>
      <c r="C4852" t="s">
        <v>15339</v>
      </c>
      <c r="D4852" t="s">
        <v>15340</v>
      </c>
      <c r="E4852">
        <v>0</v>
      </c>
      <c r="F4852" t="str">
        <f>HYPERLINK("https://github.com/devgianlu/Timeless/issues/46", "show")</f>
        <v>show</v>
      </c>
      <c r="G4852" t="str">
        <f>HYPERLINK("https://github.com/devgianlu/Timeless", "show")</f>
        <v>show</v>
      </c>
      <c r="H4852" t="str">
        <f>HYPERLINK("https://github.com/devgianlu/Timeless/releases", "show")</f>
        <v>show</v>
      </c>
      <c r="I4852">
        <v>1</v>
      </c>
      <c r="J4852">
        <v>0</v>
      </c>
      <c r="K4852">
        <v>0</v>
      </c>
      <c r="L4852">
        <v>0</v>
      </c>
      <c r="M4852" t="s">
        <v>17</v>
      </c>
    </row>
    <row r="4853" spans="1:13" hidden="1" x14ac:dyDescent="0.15">
      <c r="A4853" t="s">
        <v>15341</v>
      </c>
      <c r="B4853" t="s">
        <v>15342</v>
      </c>
      <c r="C4853" t="s">
        <v>15343</v>
      </c>
      <c r="D4853" t="s">
        <v>15340</v>
      </c>
      <c r="E4853">
        <v>0</v>
      </c>
      <c r="F4853" t="str">
        <f>HYPERLINK("https://github.com/devgianlu/Timeless/issues/45", "show")</f>
        <v>show</v>
      </c>
      <c r="G4853" t="str">
        <f>HYPERLINK("https://github.com/devgianlu/Timeless", "show")</f>
        <v>show</v>
      </c>
      <c r="H4853" t="str">
        <f>HYPERLINK("https://github.com/devgianlu/Timeless/releases", "show")</f>
        <v>show</v>
      </c>
      <c r="I4853">
        <v>1</v>
      </c>
      <c r="J4853">
        <v>0</v>
      </c>
      <c r="K4853">
        <v>0</v>
      </c>
      <c r="L4853">
        <v>0</v>
      </c>
      <c r="M4853" t="s">
        <v>17</v>
      </c>
    </row>
    <row r="4854" spans="1:13" x14ac:dyDescent="0.15">
      <c r="A4854" t="s">
        <v>15344</v>
      </c>
      <c r="B4854" t="s">
        <v>15345</v>
      </c>
      <c r="C4854" t="s">
        <v>15346</v>
      </c>
      <c r="D4854" t="s">
        <v>15347</v>
      </c>
      <c r="E4854">
        <v>0</v>
      </c>
      <c r="F4854" t="str">
        <f>HYPERLINK("https://github.com/PojavLauncherTeam/PojavLauncher/issues/1315", "show")</f>
        <v>show</v>
      </c>
      <c r="G4854" t="str">
        <f>HYPERLINK("https://github.com/PojavLauncherTeam/PojavLauncher", "show")</f>
        <v>show</v>
      </c>
      <c r="H4854" t="str">
        <f>HYPERLINK("https://github.com/PojavLauncherTeam/PojavLauncher/releases", "show")</f>
        <v>show</v>
      </c>
      <c r="I4854">
        <v>0</v>
      </c>
      <c r="J4854">
        <v>1</v>
      </c>
      <c r="K4854">
        <v>0</v>
      </c>
      <c r="L4854">
        <v>0</v>
      </c>
      <c r="M4854" t="s">
        <v>139</v>
      </c>
    </row>
    <row r="4855" spans="1:13" hidden="1" x14ac:dyDescent="0.15">
      <c r="A4855" t="s">
        <v>15348</v>
      </c>
      <c r="B4855" t="s">
        <v>15349</v>
      </c>
      <c r="C4855" t="s">
        <v>15350</v>
      </c>
      <c r="D4855" t="s">
        <v>15347</v>
      </c>
      <c r="E4855">
        <v>0</v>
      </c>
      <c r="F4855" t="str">
        <f>HYPERLINK("https://github.com/Anuken/Mindustry/issues/5176", "show")</f>
        <v>show</v>
      </c>
      <c r="G4855" t="str">
        <f>HYPERLINK("https://github.com/Anuken/Mindustry", "show")</f>
        <v>show</v>
      </c>
      <c r="H4855" t="str">
        <f>HYPERLINK("https://github.com/Anuken/Mindustry/releases", "show")</f>
        <v>show</v>
      </c>
      <c r="I4855">
        <v>1</v>
      </c>
      <c r="J4855">
        <v>0</v>
      </c>
      <c r="K4855">
        <v>0</v>
      </c>
      <c r="L4855">
        <v>1</v>
      </c>
      <c r="M4855" t="s">
        <v>29</v>
      </c>
    </row>
    <row r="4856" spans="1:13" x14ac:dyDescent="0.15">
      <c r="A4856" t="s">
        <v>15351</v>
      </c>
      <c r="B4856" t="s">
        <v>15352</v>
      </c>
      <c r="C4856" t="s">
        <v>15346</v>
      </c>
      <c r="D4856" t="s">
        <v>15347</v>
      </c>
      <c r="E4856">
        <v>0</v>
      </c>
      <c r="F4856" t="str">
        <f>HYPERLINK("https://github.com/PojavLauncherTeam/PojavLauncher/issues/1312", "show")</f>
        <v>show</v>
      </c>
      <c r="G4856" t="str">
        <f>HYPERLINK("https://github.com/PojavLauncherTeam/PojavLauncher", "show")</f>
        <v>show</v>
      </c>
      <c r="H4856" t="str">
        <f>HYPERLINK("https://github.com/PojavLauncherTeam/PojavLauncher/releases", "show")</f>
        <v>show</v>
      </c>
      <c r="I4856">
        <v>0</v>
      </c>
      <c r="J4856">
        <v>1</v>
      </c>
      <c r="K4856">
        <v>0</v>
      </c>
      <c r="L4856">
        <v>0</v>
      </c>
      <c r="M4856" t="s">
        <v>139</v>
      </c>
    </row>
    <row r="4857" spans="1:13" hidden="1" x14ac:dyDescent="0.15">
      <c r="A4857" t="s">
        <v>15353</v>
      </c>
      <c r="B4857" t="s">
        <v>15354</v>
      </c>
      <c r="C4857" t="s">
        <v>15355</v>
      </c>
      <c r="D4857" t="s">
        <v>15356</v>
      </c>
      <c r="E4857">
        <v>0</v>
      </c>
      <c r="F4857" t="str">
        <f>HYPERLINK("https://github.com/Anuken/Mindustry/issues/5167", "show")</f>
        <v>show</v>
      </c>
      <c r="G4857" t="str">
        <f>HYPERLINK("https://github.com/Anuken/Mindustry", "show")</f>
        <v>show</v>
      </c>
      <c r="H4857" t="str">
        <f>HYPERLINK("https://github.com/Anuken/Mindustry/releases", "show")</f>
        <v>show</v>
      </c>
      <c r="I4857">
        <v>0</v>
      </c>
      <c r="J4857">
        <v>0</v>
      </c>
      <c r="K4857">
        <v>0</v>
      </c>
      <c r="L4857">
        <v>1</v>
      </c>
      <c r="M4857" t="s">
        <v>581</v>
      </c>
    </row>
    <row r="4858" spans="1:13" hidden="1" x14ac:dyDescent="0.15">
      <c r="A4858" t="s">
        <v>15357</v>
      </c>
      <c r="B4858" t="s">
        <v>15358</v>
      </c>
      <c r="C4858" t="s">
        <v>15359</v>
      </c>
      <c r="D4858" t="s">
        <v>15356</v>
      </c>
      <c r="E4858">
        <v>47</v>
      </c>
      <c r="F4858" t="str">
        <f>HYPERLINK("https://github.com/mollyim/mollyim-android/issues/41", "show")</f>
        <v>show</v>
      </c>
      <c r="G4858" t="str">
        <f>HYPERLINK("https://github.com/mollyim/mollyim-android", "show")</f>
        <v>show</v>
      </c>
      <c r="H4858" t="str">
        <f>HYPERLINK("https://github.com/mollyim/mollyim-android/releases", "show")</f>
        <v>show</v>
      </c>
      <c r="I4858">
        <v>1</v>
      </c>
      <c r="J4858">
        <v>0</v>
      </c>
      <c r="K4858">
        <v>0</v>
      </c>
      <c r="L4858">
        <v>0</v>
      </c>
      <c r="M4858" t="s">
        <v>17</v>
      </c>
    </row>
    <row r="4859" spans="1:13" hidden="1" x14ac:dyDescent="0.15">
      <c r="A4859" t="s">
        <v>15360</v>
      </c>
      <c r="B4859" t="s">
        <v>14302</v>
      </c>
      <c r="C4859" t="s">
        <v>15361</v>
      </c>
      <c r="D4859" t="s">
        <v>15356</v>
      </c>
      <c r="E4859">
        <v>50</v>
      </c>
      <c r="F4859" t="str">
        <f>HYPERLINK("https://github.com/material-components/material-components-android/issues/2195", "show")</f>
        <v>show</v>
      </c>
      <c r="G4859" t="str">
        <f>HYPERLINK("https://github.com/material-components/material-components-android", "show")</f>
        <v>show</v>
      </c>
      <c r="H4859" t="str">
        <f>HYPERLINK("https://github.com/material-components/material-components-android/releases", "show")</f>
        <v>show</v>
      </c>
      <c r="I4859">
        <v>1</v>
      </c>
      <c r="J4859">
        <v>1</v>
      </c>
      <c r="K4859">
        <v>1</v>
      </c>
      <c r="L4859">
        <v>1</v>
      </c>
      <c r="M4859" t="s">
        <v>2875</v>
      </c>
    </row>
    <row r="4860" spans="1:13" hidden="1" x14ac:dyDescent="0.15">
      <c r="A4860" t="s">
        <v>15362</v>
      </c>
      <c r="B4860" t="s">
        <v>15363</v>
      </c>
      <c r="C4860" t="s">
        <v>15364</v>
      </c>
      <c r="D4860" t="s">
        <v>15356</v>
      </c>
      <c r="E4860">
        <v>9</v>
      </c>
      <c r="F4860" t="str">
        <f>HYPERLINK("https://github.com/commons-app/apps-android-commons/issues/4385", "show")</f>
        <v>show</v>
      </c>
      <c r="G4860" t="str">
        <f>HYPERLINK("https://github.com/commons-app/apps-android-commons", "show")</f>
        <v>show</v>
      </c>
      <c r="H4860" t="str">
        <f>HYPERLINK("https://github.com/commons-app/apps-android-commons/releases", "show")</f>
        <v>show</v>
      </c>
      <c r="I4860">
        <v>1</v>
      </c>
      <c r="J4860">
        <v>1</v>
      </c>
      <c r="K4860">
        <v>1</v>
      </c>
      <c r="L4860">
        <v>0</v>
      </c>
      <c r="M4860" t="s">
        <v>59</v>
      </c>
    </row>
    <row r="4861" spans="1:13" hidden="1" x14ac:dyDescent="0.15">
      <c r="A4861" t="s">
        <v>15365</v>
      </c>
      <c r="B4861" t="s">
        <v>15366</v>
      </c>
      <c r="C4861" t="s">
        <v>15367</v>
      </c>
      <c r="D4861" t="s">
        <v>15368</v>
      </c>
      <c r="E4861">
        <v>19</v>
      </c>
      <c r="F4861" t="str">
        <f>HYPERLINK("https://github.com/nextcloud/android/issues/8326", "show")</f>
        <v>show</v>
      </c>
      <c r="G4861" t="str">
        <f>HYPERLINK("https://github.com/nextcloud/android", "show")</f>
        <v>show</v>
      </c>
      <c r="H4861" t="str">
        <f>HYPERLINK("https://github.com/nextcloud/android/releases", "show")</f>
        <v>show</v>
      </c>
      <c r="I4861">
        <v>1</v>
      </c>
      <c r="J4861">
        <v>1</v>
      </c>
      <c r="K4861">
        <v>1</v>
      </c>
      <c r="L4861">
        <v>0</v>
      </c>
      <c r="M4861" t="s">
        <v>59</v>
      </c>
    </row>
    <row r="4862" spans="1:13" hidden="1" x14ac:dyDescent="0.15">
      <c r="A4862" t="s">
        <v>15369</v>
      </c>
      <c r="B4862" t="s">
        <v>15370</v>
      </c>
      <c r="C4862" t="s">
        <v>15371</v>
      </c>
      <c r="D4862" t="s">
        <v>15368</v>
      </c>
      <c r="E4862">
        <v>7</v>
      </c>
      <c r="F4862" t="str">
        <f>HYPERLINK("https://github.com/nextcloud/android/issues/8325", "show")</f>
        <v>show</v>
      </c>
      <c r="G4862" t="str">
        <f>HYPERLINK("https://github.com/nextcloud/android", "show")</f>
        <v>show</v>
      </c>
      <c r="H4862" t="str">
        <f>HYPERLINK("https://github.com/nextcloud/android/releases", "show")</f>
        <v>show</v>
      </c>
      <c r="I4862">
        <v>1</v>
      </c>
      <c r="J4862">
        <v>1</v>
      </c>
      <c r="K4862">
        <v>0</v>
      </c>
      <c r="L4862">
        <v>0</v>
      </c>
      <c r="M4862" t="s">
        <v>48</v>
      </c>
    </row>
    <row r="4863" spans="1:13" hidden="1" x14ac:dyDescent="0.15">
      <c r="A4863" t="s">
        <v>15372</v>
      </c>
      <c r="B4863" t="s">
        <v>15373</v>
      </c>
      <c r="C4863" t="s">
        <v>15374</v>
      </c>
      <c r="D4863" t="s">
        <v>15368</v>
      </c>
      <c r="E4863">
        <v>19</v>
      </c>
      <c r="F4863" t="str">
        <f>HYPERLINK("https://github.com/smartdevicelink/sdl_java_suite/issues/1678", "show")</f>
        <v>show</v>
      </c>
      <c r="G4863" t="str">
        <f>HYPERLINK("https://github.com/smartdevicelink/sdl_java_suite", "show")</f>
        <v>show</v>
      </c>
      <c r="H4863" t="str">
        <f>HYPERLINK("https://github.com/smartdevicelink/sdl_java_suite/releases", "show")</f>
        <v>show</v>
      </c>
      <c r="I4863">
        <v>1</v>
      </c>
      <c r="J4863">
        <v>0</v>
      </c>
      <c r="K4863">
        <v>0</v>
      </c>
      <c r="L4863">
        <v>0</v>
      </c>
      <c r="M4863" t="s">
        <v>17</v>
      </c>
    </row>
    <row r="4864" spans="1:13" hidden="1" x14ac:dyDescent="0.15">
      <c r="A4864" t="s">
        <v>15375</v>
      </c>
      <c r="B4864" t="s">
        <v>15376</v>
      </c>
      <c r="C4864" t="s">
        <v>15377</v>
      </c>
      <c r="D4864" t="s">
        <v>15368</v>
      </c>
      <c r="E4864">
        <v>9</v>
      </c>
      <c r="F4864" t="str">
        <f>HYPERLINK("https://github.com/hzi-braunschweig/SORMAS-Project/issues/5268", "show")</f>
        <v>show</v>
      </c>
      <c r="G4864" t="str">
        <f>HYPERLINK("https://github.com/hzi-braunschweig/SORMAS-Project", "show")</f>
        <v>show</v>
      </c>
      <c r="H4864" t="str">
        <f>HYPERLINK("https://github.com/hzi-braunschweig/SORMAS-Project/releases", "show")</f>
        <v>show</v>
      </c>
      <c r="I4864">
        <v>1</v>
      </c>
      <c r="J4864">
        <v>1</v>
      </c>
      <c r="K4864">
        <v>0</v>
      </c>
      <c r="L4864">
        <v>0</v>
      </c>
      <c r="M4864" t="s">
        <v>48</v>
      </c>
    </row>
    <row r="4865" spans="1:13" hidden="1" x14ac:dyDescent="0.15">
      <c r="A4865" t="s">
        <v>15378</v>
      </c>
      <c r="B4865" t="s">
        <v>15379</v>
      </c>
      <c r="C4865" t="s">
        <v>15380</v>
      </c>
      <c r="D4865" t="s">
        <v>15368</v>
      </c>
      <c r="E4865">
        <v>12</v>
      </c>
      <c r="F4865" t="str">
        <f>HYPERLINK("https://github.com/hzi-braunschweig/SORMAS-Project/issues/5262", "show")</f>
        <v>show</v>
      </c>
      <c r="G4865" t="str">
        <f>HYPERLINK("https://github.com/hzi-braunschweig/SORMAS-Project", "show")</f>
        <v>show</v>
      </c>
      <c r="H4865" t="str">
        <f>HYPERLINK("https://github.com/hzi-braunschweig/SORMAS-Project/releases", "show")</f>
        <v>show</v>
      </c>
      <c r="I4865">
        <v>1</v>
      </c>
      <c r="J4865">
        <v>1</v>
      </c>
      <c r="K4865">
        <v>0</v>
      </c>
      <c r="L4865">
        <v>0</v>
      </c>
      <c r="M4865" t="s">
        <v>48</v>
      </c>
    </row>
    <row r="4866" spans="1:13" hidden="1" x14ac:dyDescent="0.15">
      <c r="A4866" t="s">
        <v>15381</v>
      </c>
      <c r="B4866" t="s">
        <v>15382</v>
      </c>
      <c r="C4866" t="s">
        <v>15383</v>
      </c>
      <c r="D4866" t="s">
        <v>15368</v>
      </c>
      <c r="E4866">
        <v>42</v>
      </c>
      <c r="F4866" t="str">
        <f>HYPERLINK("https://github.com/nextcloud/android/issues/8316", "show")</f>
        <v>show</v>
      </c>
      <c r="G4866" t="str">
        <f>HYPERLINK("https://github.com/nextcloud/android", "show")</f>
        <v>show</v>
      </c>
      <c r="H4866" t="str">
        <f>HYPERLINK("https://github.com/nextcloud/android/releases", "show")</f>
        <v>show</v>
      </c>
      <c r="I4866">
        <v>0</v>
      </c>
      <c r="J4866">
        <v>1</v>
      </c>
      <c r="K4866">
        <v>1</v>
      </c>
      <c r="L4866">
        <v>0</v>
      </c>
      <c r="M4866" t="s">
        <v>699</v>
      </c>
    </row>
    <row r="4867" spans="1:13" hidden="1" x14ac:dyDescent="0.15">
      <c r="A4867" t="s">
        <v>15384</v>
      </c>
      <c r="B4867" t="s">
        <v>15385</v>
      </c>
      <c r="C4867" t="s">
        <v>15386</v>
      </c>
      <c r="D4867" t="s">
        <v>15387</v>
      </c>
      <c r="E4867">
        <v>0</v>
      </c>
      <c r="F4867" t="str">
        <f>HYPERLINK("https://github.com/Anuken/Mindustry/issues/5162", "show")</f>
        <v>show</v>
      </c>
      <c r="G4867" t="str">
        <f>HYPERLINK("https://github.com/Anuken/Mindustry", "show")</f>
        <v>show</v>
      </c>
      <c r="H4867" t="str">
        <f>HYPERLINK("https://github.com/Anuken/Mindustry/releases", "show")</f>
        <v>show</v>
      </c>
      <c r="I4867">
        <v>1</v>
      </c>
      <c r="J4867">
        <v>1</v>
      </c>
      <c r="K4867">
        <v>0</v>
      </c>
      <c r="L4867">
        <v>1</v>
      </c>
      <c r="M4867" t="s">
        <v>1894</v>
      </c>
    </row>
    <row r="4868" spans="1:13" x14ac:dyDescent="0.15">
      <c r="A4868" t="s">
        <v>15388</v>
      </c>
      <c r="B4868" t="s">
        <v>15389</v>
      </c>
      <c r="C4868" t="s">
        <v>15346</v>
      </c>
      <c r="D4868" t="s">
        <v>15387</v>
      </c>
      <c r="E4868">
        <v>0</v>
      </c>
      <c r="F4868" t="str">
        <f>HYPERLINK("https://github.com/PojavLauncherTeam/PojavLauncher/issues/1303", "show")</f>
        <v>show</v>
      </c>
      <c r="G4868" t="str">
        <f>HYPERLINK("https://github.com/PojavLauncherTeam/PojavLauncher", "show")</f>
        <v>show</v>
      </c>
      <c r="H4868" t="str">
        <f>HYPERLINK("https://github.com/PojavLauncherTeam/PojavLauncher/releases", "show")</f>
        <v>show</v>
      </c>
      <c r="I4868">
        <v>0</v>
      </c>
      <c r="J4868">
        <v>1</v>
      </c>
      <c r="K4868">
        <v>0</v>
      </c>
      <c r="L4868">
        <v>0</v>
      </c>
      <c r="M4868" t="s">
        <v>139</v>
      </c>
    </row>
    <row r="4869" spans="1:13" hidden="1" x14ac:dyDescent="0.15">
      <c r="A4869" t="s">
        <v>15390</v>
      </c>
      <c r="B4869" t="s">
        <v>15391</v>
      </c>
      <c r="C4869" t="s">
        <v>15392</v>
      </c>
      <c r="D4869" t="s">
        <v>15387</v>
      </c>
      <c r="E4869">
        <v>34</v>
      </c>
      <c r="F4869" t="str">
        <f>HYPERLINK("https://github.com/MuntashirAkon/AppManager/issues/412", "show")</f>
        <v>show</v>
      </c>
      <c r="G4869" t="str">
        <f>HYPERLINK("https://github.com/MuntashirAkon/AppManager", "show")</f>
        <v>show</v>
      </c>
      <c r="H4869" t="str">
        <f>HYPERLINK("https://github.com/MuntashirAkon/AppManager/releases", "show")</f>
        <v>show</v>
      </c>
      <c r="I4869">
        <v>1</v>
      </c>
      <c r="J4869">
        <v>0</v>
      </c>
      <c r="K4869">
        <v>1</v>
      </c>
      <c r="L4869">
        <v>0</v>
      </c>
      <c r="M4869" t="s">
        <v>64</v>
      </c>
    </row>
    <row r="4870" spans="1:13" hidden="1" x14ac:dyDescent="0.15">
      <c r="A4870" t="s">
        <v>15393</v>
      </c>
      <c r="B4870" t="s">
        <v>15394</v>
      </c>
      <c r="C4870" t="s">
        <v>15395</v>
      </c>
      <c r="D4870" t="s">
        <v>15387</v>
      </c>
      <c r="E4870">
        <v>0</v>
      </c>
      <c r="F4870" t="str">
        <f>HYPERLINK("https://github.com/MuntashirAkon/AppManager/issues/410", "show")</f>
        <v>show</v>
      </c>
      <c r="G4870" t="str">
        <f>HYPERLINK("https://github.com/MuntashirAkon/AppManager", "show")</f>
        <v>show</v>
      </c>
      <c r="H4870" t="str">
        <f>HYPERLINK("https://github.com/MuntashirAkon/AppManager/releases", "show")</f>
        <v>show</v>
      </c>
      <c r="I4870">
        <v>1</v>
      </c>
      <c r="J4870">
        <v>1</v>
      </c>
      <c r="K4870">
        <v>0</v>
      </c>
      <c r="L4870">
        <v>0</v>
      </c>
      <c r="M4870" t="s">
        <v>48</v>
      </c>
    </row>
    <row r="4871" spans="1:13" hidden="1" x14ac:dyDescent="0.15">
      <c r="A4871" t="s">
        <v>15396</v>
      </c>
      <c r="B4871" t="s">
        <v>15397</v>
      </c>
      <c r="C4871" t="s">
        <v>15398</v>
      </c>
      <c r="D4871" t="s">
        <v>15399</v>
      </c>
      <c r="E4871">
        <v>29</v>
      </c>
      <c r="F4871" t="str">
        <f>HYPERLINK("https://github.com/MuntashirAkon/AppManager/issues/407", "show")</f>
        <v>show</v>
      </c>
      <c r="G4871" t="str">
        <f>HYPERLINK("https://github.com/MuntashirAkon/AppManager", "show")</f>
        <v>show</v>
      </c>
      <c r="H4871" t="str">
        <f>HYPERLINK("https://github.com/MuntashirAkon/AppManager/releases", "show")</f>
        <v>show</v>
      </c>
      <c r="I4871">
        <v>1</v>
      </c>
      <c r="J4871">
        <v>1</v>
      </c>
      <c r="K4871">
        <v>0</v>
      </c>
      <c r="L4871">
        <v>0</v>
      </c>
      <c r="M4871" t="s">
        <v>48</v>
      </c>
    </row>
    <row r="4872" spans="1:13" hidden="1" x14ac:dyDescent="0.15">
      <c r="A4872" t="s">
        <v>15400</v>
      </c>
      <c r="B4872" t="s">
        <v>15401</v>
      </c>
      <c r="C4872" t="s">
        <v>15402</v>
      </c>
      <c r="D4872" t="s">
        <v>15399</v>
      </c>
      <c r="E4872">
        <v>10</v>
      </c>
      <c r="F4872" t="str">
        <f>HYPERLINK("https://github.com/CleverTap/clevertap-android-sdk/issues/168", "show")</f>
        <v>show</v>
      </c>
      <c r="G4872" t="str">
        <f>HYPERLINK("https://github.com/CleverTap/clevertap-android-sdk", "show")</f>
        <v>show</v>
      </c>
      <c r="H4872" t="str">
        <f>HYPERLINK("https://github.com/CleverTap/clevertap-android-sdk/releases", "show")</f>
        <v>show</v>
      </c>
      <c r="I4872">
        <v>1</v>
      </c>
      <c r="J4872">
        <v>0</v>
      </c>
      <c r="K4872">
        <v>0</v>
      </c>
      <c r="L4872">
        <v>0</v>
      </c>
      <c r="M4872" t="s">
        <v>17</v>
      </c>
    </row>
    <row r="4873" spans="1:13" hidden="1" x14ac:dyDescent="0.15">
      <c r="A4873" t="s">
        <v>15403</v>
      </c>
      <c r="B4873" t="s">
        <v>15404</v>
      </c>
      <c r="C4873" t="s">
        <v>15405</v>
      </c>
      <c r="D4873" t="s">
        <v>15399</v>
      </c>
      <c r="E4873">
        <v>6</v>
      </c>
      <c r="F4873" t="str">
        <f>HYPERLINK("https://github.com/AOF-Dev/MCinaBox/issues/1060", "show")</f>
        <v>show</v>
      </c>
      <c r="G4873" t="str">
        <f>HYPERLINK("https://github.com/AOF-Dev/MCinaBox", "show")</f>
        <v>show</v>
      </c>
      <c r="H4873" t="str">
        <f>HYPERLINK("https://github.com/AOF-Dev/MCinaBox/releases", "show")</f>
        <v>show</v>
      </c>
      <c r="I4873">
        <v>1</v>
      </c>
      <c r="J4873">
        <v>0</v>
      </c>
      <c r="K4873">
        <v>0</v>
      </c>
      <c r="L4873">
        <v>1</v>
      </c>
      <c r="M4873" t="s">
        <v>29</v>
      </c>
    </row>
    <row r="4874" spans="1:13" hidden="1" x14ac:dyDescent="0.15">
      <c r="A4874" t="s">
        <v>15406</v>
      </c>
      <c r="B4874" t="s">
        <v>15407</v>
      </c>
      <c r="D4874" t="s">
        <v>15399</v>
      </c>
      <c r="E4874">
        <v>5</v>
      </c>
      <c r="F4874" t="str">
        <f>HYPERLINK("https://github.com/ivancrg/vis.it/issues/46", "show")</f>
        <v>show</v>
      </c>
      <c r="G4874" t="str">
        <f>HYPERLINK("https://github.com/ivancrg/vis.it", "show")</f>
        <v>show</v>
      </c>
      <c r="H4874" t="str">
        <f>HYPERLINK("https://github.com/ivancrg/vis.it/releases", "show")</f>
        <v>show</v>
      </c>
      <c r="I4874">
        <v>0</v>
      </c>
      <c r="J4874">
        <v>0</v>
      </c>
      <c r="K4874">
        <v>0</v>
      </c>
      <c r="L4874">
        <v>0</v>
      </c>
      <c r="M4874" t="s">
        <v>43</v>
      </c>
    </row>
    <row r="4875" spans="1:13" hidden="1" x14ac:dyDescent="0.15">
      <c r="A4875" t="s">
        <v>15408</v>
      </c>
      <c r="B4875" t="s">
        <v>15409</v>
      </c>
      <c r="C4875" t="s">
        <v>15410</v>
      </c>
      <c r="D4875" t="s">
        <v>15399</v>
      </c>
      <c r="E4875">
        <v>0</v>
      </c>
      <c r="F4875" t="str">
        <f>HYPERLINK("https://github.com/TeamNewPipe/NewPipe/issues/6176", "show")</f>
        <v>show</v>
      </c>
      <c r="G4875" t="str">
        <f>HYPERLINK("https://github.com/TeamNewPipe/NewPipe", "show")</f>
        <v>show</v>
      </c>
      <c r="H4875" t="str">
        <f>HYPERLINK("https://github.com/TeamNewPipe/NewPipe/releases", "show")</f>
        <v>show</v>
      </c>
      <c r="I4875">
        <v>1</v>
      </c>
      <c r="J4875">
        <v>1</v>
      </c>
      <c r="K4875">
        <v>1</v>
      </c>
      <c r="L4875">
        <v>0</v>
      </c>
      <c r="M4875" t="s">
        <v>59</v>
      </c>
    </row>
    <row r="4876" spans="1:13" hidden="1" x14ac:dyDescent="0.15">
      <c r="A4876" t="s">
        <v>15411</v>
      </c>
      <c r="B4876" t="s">
        <v>15412</v>
      </c>
      <c r="C4876" t="s">
        <v>15413</v>
      </c>
      <c r="D4876" t="s">
        <v>15399</v>
      </c>
      <c r="E4876">
        <v>255</v>
      </c>
      <c r="F4876" t="str">
        <f>HYPERLINK("https://github.com/PojavLauncherTeam/PojavLauncher/issues/1294", "show")</f>
        <v>show</v>
      </c>
      <c r="G4876" t="str">
        <f>HYPERLINK("https://github.com/PojavLauncherTeam/PojavLauncher", "show")</f>
        <v>show</v>
      </c>
      <c r="H4876" t="str">
        <f>HYPERLINK("https://github.com/PojavLauncherTeam/PojavLauncher/releases", "show")</f>
        <v>show</v>
      </c>
      <c r="I4876">
        <v>0</v>
      </c>
      <c r="J4876">
        <v>0</v>
      </c>
      <c r="K4876">
        <v>0</v>
      </c>
      <c r="L4876">
        <v>0</v>
      </c>
      <c r="M4876" t="s">
        <v>43</v>
      </c>
    </row>
    <row r="4877" spans="1:13" hidden="1" x14ac:dyDescent="0.15">
      <c r="A4877" t="s">
        <v>15414</v>
      </c>
      <c r="B4877" t="s">
        <v>15415</v>
      </c>
      <c r="C4877" t="s">
        <v>15416</v>
      </c>
      <c r="D4877" t="s">
        <v>15417</v>
      </c>
      <c r="E4877">
        <v>0</v>
      </c>
      <c r="F4877" t="str">
        <f>HYPERLINK("https://github.com/Anuken/Mindustry/issues/5152", "show")</f>
        <v>show</v>
      </c>
      <c r="G4877" t="str">
        <f>HYPERLINK("https://github.com/Anuken/Mindustry", "show")</f>
        <v>show</v>
      </c>
      <c r="H4877" t="str">
        <f>HYPERLINK("https://github.com/Anuken/Mindustry/releases", "show")</f>
        <v>show</v>
      </c>
      <c r="I4877">
        <v>1</v>
      </c>
      <c r="J4877">
        <v>1</v>
      </c>
      <c r="K4877">
        <v>0</v>
      </c>
      <c r="L4877">
        <v>0</v>
      </c>
      <c r="M4877" t="s">
        <v>48</v>
      </c>
    </row>
    <row r="4878" spans="1:13" hidden="1" x14ac:dyDescent="0.15">
      <c r="A4878" t="s">
        <v>15418</v>
      </c>
      <c r="B4878" t="s">
        <v>15419</v>
      </c>
      <c r="C4878" t="s">
        <v>15420</v>
      </c>
      <c r="D4878" t="s">
        <v>15417</v>
      </c>
      <c r="E4878">
        <v>0</v>
      </c>
      <c r="F4878" t="str">
        <f>HYPERLINK("https://github.com/MuntashirAkon/AppManager/issues/400", "show")</f>
        <v>show</v>
      </c>
      <c r="G4878" t="str">
        <f>HYPERLINK("https://github.com/MuntashirAkon/AppManager", "show")</f>
        <v>show</v>
      </c>
      <c r="H4878" t="str">
        <f>HYPERLINK("https://github.com/MuntashirAkon/AppManager/releases", "show")</f>
        <v>show</v>
      </c>
      <c r="I4878">
        <v>1</v>
      </c>
      <c r="J4878">
        <v>0</v>
      </c>
      <c r="K4878">
        <v>0</v>
      </c>
      <c r="L4878">
        <v>0</v>
      </c>
      <c r="M4878" t="s">
        <v>17</v>
      </c>
    </row>
    <row r="4879" spans="1:13" hidden="1" x14ac:dyDescent="0.15">
      <c r="A4879" t="s">
        <v>15421</v>
      </c>
      <c r="B4879" t="s">
        <v>15422</v>
      </c>
      <c r="C4879" t="s">
        <v>15423</v>
      </c>
      <c r="D4879" t="s">
        <v>15417</v>
      </c>
      <c r="E4879">
        <v>0</v>
      </c>
      <c r="F4879" t="str">
        <f>HYPERLINK("https://github.com/latra/TeamsUp-app/issues/22", "show")</f>
        <v>show</v>
      </c>
      <c r="G4879" t="str">
        <f>HYPERLINK("https://github.com/latra/TeamsUp-app", "show")</f>
        <v>show</v>
      </c>
      <c r="H4879" t="str">
        <f>HYPERLINK("https://github.com/latra/TeamsUp-app/releases", "show")</f>
        <v>show</v>
      </c>
      <c r="I4879">
        <v>0</v>
      </c>
      <c r="J4879">
        <v>0</v>
      </c>
      <c r="K4879">
        <v>0</v>
      </c>
      <c r="L4879">
        <v>0</v>
      </c>
      <c r="M4879" t="s">
        <v>43</v>
      </c>
    </row>
    <row r="4880" spans="1:13" x14ac:dyDescent="0.15">
      <c r="A4880" t="s">
        <v>15424</v>
      </c>
      <c r="B4880" t="s">
        <v>15425</v>
      </c>
      <c r="C4880" t="s">
        <v>15426</v>
      </c>
      <c r="D4880" t="s">
        <v>15427</v>
      </c>
      <c r="E4880">
        <v>0</v>
      </c>
      <c r="F4880" t="str">
        <f>HYPERLINK("https://github.com/Anuken/Mindustry/issues/5150", "show")</f>
        <v>show</v>
      </c>
      <c r="G4880" t="str">
        <f>HYPERLINK("https://github.com/Anuken/Mindustry", "show")</f>
        <v>show</v>
      </c>
      <c r="H4880" t="str">
        <f>HYPERLINK("https://github.com/Anuken/Mindustry/releases", "show")</f>
        <v>show</v>
      </c>
      <c r="I4880">
        <v>0</v>
      </c>
      <c r="J4880">
        <v>1</v>
      </c>
      <c r="K4880">
        <v>0</v>
      </c>
      <c r="L4880">
        <v>0</v>
      </c>
      <c r="M4880" t="s">
        <v>139</v>
      </c>
    </row>
    <row r="4881" spans="1:13" hidden="1" x14ac:dyDescent="0.15">
      <c r="A4881" t="s">
        <v>15428</v>
      </c>
      <c r="B4881" t="s">
        <v>15429</v>
      </c>
      <c r="C4881" t="s">
        <v>15430</v>
      </c>
      <c r="D4881" t="s">
        <v>15427</v>
      </c>
      <c r="E4881">
        <v>4</v>
      </c>
      <c r="F4881" t="str">
        <f>HYPERLINK("https://github.com/nextcloud/android/issues/8307", "show")</f>
        <v>show</v>
      </c>
      <c r="G4881" t="str">
        <f>HYPERLINK("https://github.com/nextcloud/android", "show")</f>
        <v>show</v>
      </c>
      <c r="H4881" t="str">
        <f>HYPERLINK("https://github.com/nextcloud/android/releases", "show")</f>
        <v>show</v>
      </c>
      <c r="I4881">
        <v>1</v>
      </c>
      <c r="J4881">
        <v>0</v>
      </c>
      <c r="K4881">
        <v>1</v>
      </c>
      <c r="L4881">
        <v>0</v>
      </c>
      <c r="M4881" t="s">
        <v>64</v>
      </c>
    </row>
    <row r="4882" spans="1:13" hidden="1" x14ac:dyDescent="0.15">
      <c r="A4882" t="s">
        <v>15431</v>
      </c>
      <c r="B4882" t="s">
        <v>15432</v>
      </c>
      <c r="C4882" t="s">
        <v>15433</v>
      </c>
      <c r="D4882" t="s">
        <v>15427</v>
      </c>
      <c r="E4882">
        <v>0</v>
      </c>
      <c r="F4882" t="str">
        <f>HYPERLINK("https://github.com/Anuken/Mindustry/issues/5149", "show")</f>
        <v>show</v>
      </c>
      <c r="G4882" t="str">
        <f>HYPERLINK("https://github.com/Anuken/Mindustry", "show")</f>
        <v>show</v>
      </c>
      <c r="H4882" t="str">
        <f>HYPERLINK("https://github.com/Anuken/Mindustry/releases", "show")</f>
        <v>show</v>
      </c>
      <c r="I4882">
        <v>1</v>
      </c>
      <c r="J4882">
        <v>1</v>
      </c>
      <c r="K4882">
        <v>0</v>
      </c>
      <c r="L4882">
        <v>0</v>
      </c>
      <c r="M4882" t="s">
        <v>48</v>
      </c>
    </row>
    <row r="4883" spans="1:13" hidden="1" x14ac:dyDescent="0.15">
      <c r="A4883" t="s">
        <v>15434</v>
      </c>
      <c r="B4883" t="s">
        <v>15435</v>
      </c>
      <c r="C4883" t="s">
        <v>15436</v>
      </c>
      <c r="D4883" t="s">
        <v>15437</v>
      </c>
      <c r="E4883">
        <v>3</v>
      </c>
      <c r="F4883" t="str">
        <f>HYPERLINK("https://github.com/openid/AppAuth-Android/issues/694", "show")</f>
        <v>show</v>
      </c>
      <c r="G4883" t="str">
        <f>HYPERLINK("https://github.com/openid/AppAuth-Android", "show")</f>
        <v>show</v>
      </c>
      <c r="H4883" t="str">
        <f>HYPERLINK("https://github.com/openid/AppAuth-Android/releases", "show")</f>
        <v>show</v>
      </c>
      <c r="I4883">
        <v>1</v>
      </c>
      <c r="J4883">
        <v>0</v>
      </c>
      <c r="K4883">
        <v>0</v>
      </c>
      <c r="L4883">
        <v>0</v>
      </c>
      <c r="M4883" t="s">
        <v>17</v>
      </c>
    </row>
    <row r="4884" spans="1:13" hidden="1" x14ac:dyDescent="0.15">
      <c r="A4884" t="s">
        <v>15438</v>
      </c>
      <c r="B4884" t="s">
        <v>15439</v>
      </c>
      <c r="C4884" t="s">
        <v>15440</v>
      </c>
      <c r="D4884" t="s">
        <v>15437</v>
      </c>
      <c r="E4884">
        <v>0</v>
      </c>
      <c r="F4884" t="str">
        <f>HYPERLINK("https://github.com/Anuken/Mindustry/issues/5146", "show")</f>
        <v>show</v>
      </c>
      <c r="G4884" t="str">
        <f>HYPERLINK("https://github.com/Anuken/Mindustry", "show")</f>
        <v>show</v>
      </c>
      <c r="H4884" t="str">
        <f>HYPERLINK("https://github.com/Anuken/Mindustry/releases", "show")</f>
        <v>show</v>
      </c>
      <c r="I4884">
        <v>1</v>
      </c>
      <c r="J4884">
        <v>1</v>
      </c>
      <c r="K4884">
        <v>0</v>
      </c>
      <c r="L4884">
        <v>0</v>
      </c>
      <c r="M4884" t="s">
        <v>48</v>
      </c>
    </row>
    <row r="4885" spans="1:13" hidden="1" x14ac:dyDescent="0.15">
      <c r="A4885" t="s">
        <v>15441</v>
      </c>
      <c r="B4885" t="s">
        <v>15442</v>
      </c>
      <c r="C4885" t="s">
        <v>15443</v>
      </c>
      <c r="D4885" t="s">
        <v>15437</v>
      </c>
      <c r="E4885">
        <v>0</v>
      </c>
      <c r="F4885" t="str">
        <f>HYPERLINK("https://github.com/k9mail/k-9/issues/5271", "show")</f>
        <v>show</v>
      </c>
      <c r="G4885" t="str">
        <f>HYPERLINK("https://github.com/k9mail/k-9", "show")</f>
        <v>show</v>
      </c>
      <c r="H4885" t="str">
        <f>HYPERLINK("https://github.com/k9mail/k-9/releases", "show")</f>
        <v>show</v>
      </c>
      <c r="I4885">
        <v>1</v>
      </c>
      <c r="J4885">
        <v>1</v>
      </c>
      <c r="K4885">
        <v>0</v>
      </c>
      <c r="L4885">
        <v>0</v>
      </c>
      <c r="M4885" t="s">
        <v>48</v>
      </c>
    </row>
    <row r="4886" spans="1:13" hidden="1" x14ac:dyDescent="0.15">
      <c r="A4886" t="s">
        <v>15444</v>
      </c>
      <c r="B4886" t="s">
        <v>15445</v>
      </c>
      <c r="C4886" t="s">
        <v>15446</v>
      </c>
      <c r="D4886" t="s">
        <v>15437</v>
      </c>
      <c r="E4886">
        <v>3</v>
      </c>
      <c r="F4886" t="str">
        <f>HYPERLINK("https://github.com/NordicSemiconductor/Android-DFU-Library/issues/302", "show")</f>
        <v>show</v>
      </c>
      <c r="G4886" t="str">
        <f>HYPERLINK("https://github.com/NordicSemiconductor/Android-DFU-Library", "show")</f>
        <v>show</v>
      </c>
      <c r="H4886" t="str">
        <f>HYPERLINK("https://github.com/NordicSemiconductor/Android-DFU-Library/releases", "show")</f>
        <v>show</v>
      </c>
      <c r="I4886">
        <v>0</v>
      </c>
      <c r="J4886">
        <v>0</v>
      </c>
      <c r="K4886">
        <v>0</v>
      </c>
      <c r="L4886">
        <v>0</v>
      </c>
      <c r="M4886" t="s">
        <v>43</v>
      </c>
    </row>
    <row r="4887" spans="1:13" hidden="1" x14ac:dyDescent="0.15">
      <c r="A4887" t="s">
        <v>15447</v>
      </c>
      <c r="B4887" t="s">
        <v>15448</v>
      </c>
      <c r="C4887" t="s">
        <v>15449</v>
      </c>
      <c r="D4887" t="s">
        <v>15437</v>
      </c>
      <c r="E4887">
        <v>0</v>
      </c>
      <c r="F4887" t="str">
        <f>HYPERLINK("https://github.com/PojavLauncherTeam/PojavLauncher/issues/1277", "show")</f>
        <v>show</v>
      </c>
      <c r="G4887" t="str">
        <f>HYPERLINK("https://github.com/PojavLauncherTeam/PojavLauncher", "show")</f>
        <v>show</v>
      </c>
      <c r="H4887" t="str">
        <f>HYPERLINK("https://github.com/PojavLauncherTeam/PojavLauncher/releases", "show")</f>
        <v>show</v>
      </c>
      <c r="I4887">
        <v>1</v>
      </c>
      <c r="J4887">
        <v>1</v>
      </c>
      <c r="K4887">
        <v>0</v>
      </c>
      <c r="L4887">
        <v>0</v>
      </c>
      <c r="M4887" t="s">
        <v>48</v>
      </c>
    </row>
    <row r="4888" spans="1:13" hidden="1" x14ac:dyDescent="0.15">
      <c r="A4888" t="s">
        <v>15450</v>
      </c>
      <c r="B4888" t="s">
        <v>15451</v>
      </c>
      <c r="C4888" t="s">
        <v>15452</v>
      </c>
      <c r="D4888" t="s">
        <v>15437</v>
      </c>
      <c r="E4888">
        <v>0</v>
      </c>
      <c r="F4888" t="str">
        <f>HYPERLINK("https://github.com/mohyghb/MoClock/issues/36", "show")</f>
        <v>show</v>
      </c>
      <c r="G4888" t="str">
        <f>HYPERLINK("https://github.com/mohyghb/MoClock", "show")</f>
        <v>show</v>
      </c>
      <c r="H4888" t="str">
        <f>HYPERLINK("https://github.com/mohyghb/MoClock/releases", "show")</f>
        <v>show</v>
      </c>
      <c r="I4888">
        <v>1</v>
      </c>
      <c r="J4888">
        <v>1</v>
      </c>
      <c r="K4888">
        <v>0</v>
      </c>
      <c r="L4888">
        <v>0</v>
      </c>
      <c r="M4888" t="s">
        <v>48</v>
      </c>
    </row>
    <row r="4889" spans="1:13" hidden="1" x14ac:dyDescent="0.15">
      <c r="A4889" t="s">
        <v>15453</v>
      </c>
      <c r="B4889" t="s">
        <v>15454</v>
      </c>
      <c r="C4889" t="s">
        <v>15455</v>
      </c>
      <c r="D4889" t="s">
        <v>15456</v>
      </c>
      <c r="E4889">
        <v>12</v>
      </c>
      <c r="F4889" t="str">
        <f>HYPERLINK("https://github.com/smartdevicelink/sdl_java_suite/issues/1667", "show")</f>
        <v>show</v>
      </c>
      <c r="G4889" t="str">
        <f>HYPERLINK("https://github.com/smartdevicelink/sdl_java_suite", "show")</f>
        <v>show</v>
      </c>
      <c r="H4889" t="str">
        <f>HYPERLINK("https://github.com/smartdevicelink/sdl_java_suite/releases", "show")</f>
        <v>show</v>
      </c>
      <c r="I4889">
        <v>1</v>
      </c>
      <c r="J4889">
        <v>1</v>
      </c>
      <c r="K4889">
        <v>1</v>
      </c>
      <c r="L4889">
        <v>0</v>
      </c>
      <c r="M4889" t="s">
        <v>59</v>
      </c>
    </row>
    <row r="4890" spans="1:13" hidden="1" x14ac:dyDescent="0.15">
      <c r="A4890" t="s">
        <v>15457</v>
      </c>
      <c r="B4890" t="s">
        <v>15458</v>
      </c>
      <c r="C4890" t="s">
        <v>15459</v>
      </c>
      <c r="D4890" t="s">
        <v>15456</v>
      </c>
      <c r="E4890">
        <v>0</v>
      </c>
      <c r="F4890" t="str">
        <f>HYPERLINK("https://github.com/Anuken/Mindustry/issues/5142", "show")</f>
        <v>show</v>
      </c>
      <c r="G4890" t="str">
        <f>HYPERLINK("https://github.com/Anuken/Mindustry", "show")</f>
        <v>show</v>
      </c>
      <c r="H4890" t="str">
        <f>HYPERLINK("https://github.com/Anuken/Mindustry/releases", "show")</f>
        <v>show</v>
      </c>
      <c r="I4890">
        <v>0</v>
      </c>
      <c r="J4890">
        <v>0</v>
      </c>
      <c r="K4890">
        <v>0</v>
      </c>
      <c r="L4890">
        <v>0</v>
      </c>
      <c r="M4890" t="s">
        <v>43</v>
      </c>
    </row>
    <row r="4891" spans="1:13" x14ac:dyDescent="0.15">
      <c r="A4891" t="s">
        <v>15460</v>
      </c>
      <c r="B4891" t="s">
        <v>15461</v>
      </c>
      <c r="C4891" t="s">
        <v>11582</v>
      </c>
      <c r="D4891" t="s">
        <v>15456</v>
      </c>
      <c r="E4891">
        <v>0</v>
      </c>
      <c r="F4891" t="str">
        <f>HYPERLINK("https://github.com/nextcloud/android/issues/8303", "show")</f>
        <v>show</v>
      </c>
      <c r="G4891" t="str">
        <f>HYPERLINK("https://github.com/nextcloud/android", "show")</f>
        <v>show</v>
      </c>
      <c r="H4891" t="str">
        <f>HYPERLINK("https://github.com/nextcloud/android/releases", "show")</f>
        <v>show</v>
      </c>
      <c r="I4891">
        <v>0</v>
      </c>
      <c r="J4891">
        <v>1</v>
      </c>
      <c r="K4891">
        <v>0</v>
      </c>
      <c r="L4891">
        <v>0</v>
      </c>
      <c r="M4891" t="s">
        <v>139</v>
      </c>
    </row>
    <row r="4892" spans="1:13" hidden="1" x14ac:dyDescent="0.15">
      <c r="A4892" t="s">
        <v>15462</v>
      </c>
      <c r="B4892" t="s">
        <v>15463</v>
      </c>
      <c r="C4892" t="s">
        <v>15464</v>
      </c>
      <c r="D4892" t="s">
        <v>15456</v>
      </c>
      <c r="E4892">
        <v>0</v>
      </c>
      <c r="F4892" t="str">
        <f>HYPERLINK("https://github.com/Anuken/Mindustry/issues/5138", "show")</f>
        <v>show</v>
      </c>
      <c r="G4892" t="str">
        <f>HYPERLINK("https://github.com/Anuken/Mindustry", "show")</f>
        <v>show</v>
      </c>
      <c r="H4892" t="str">
        <f>HYPERLINK("https://github.com/Anuken/Mindustry/releases", "show")</f>
        <v>show</v>
      </c>
      <c r="I4892">
        <v>1</v>
      </c>
      <c r="J4892">
        <v>0</v>
      </c>
      <c r="K4892">
        <v>0</v>
      </c>
      <c r="L4892">
        <v>0</v>
      </c>
      <c r="M4892" t="s">
        <v>17</v>
      </c>
    </row>
    <row r="4893" spans="1:13" hidden="1" x14ac:dyDescent="0.15">
      <c r="A4893" t="s">
        <v>15465</v>
      </c>
      <c r="B4893" t="s">
        <v>15466</v>
      </c>
      <c r="C4893" t="s">
        <v>15467</v>
      </c>
      <c r="D4893" t="s">
        <v>15456</v>
      </c>
      <c r="E4893">
        <v>60</v>
      </c>
      <c r="F4893" t="str">
        <f>HYPERLINK("https://github.com/nextcloud/android/issues/8302", "show")</f>
        <v>show</v>
      </c>
      <c r="G4893" t="str">
        <f>HYPERLINK("https://github.com/nextcloud/android", "show")</f>
        <v>show</v>
      </c>
      <c r="H4893" t="str">
        <f>HYPERLINK("https://github.com/nextcloud/android/releases", "show")</f>
        <v>show</v>
      </c>
      <c r="I4893">
        <v>1</v>
      </c>
      <c r="J4893">
        <v>1</v>
      </c>
      <c r="K4893">
        <v>0</v>
      </c>
      <c r="L4893">
        <v>0</v>
      </c>
      <c r="M4893" t="s">
        <v>48</v>
      </c>
    </row>
    <row r="4894" spans="1:13" hidden="1" x14ac:dyDescent="0.15">
      <c r="A4894" t="s">
        <v>15468</v>
      </c>
      <c r="B4894" t="s">
        <v>15469</v>
      </c>
      <c r="C4894" t="s">
        <v>15470</v>
      </c>
      <c r="D4894" t="s">
        <v>15456</v>
      </c>
      <c r="E4894">
        <v>43</v>
      </c>
      <c r="F4894" t="str">
        <f>HYPERLINK("https://github.com/PojavLauncherTeam/PojavLauncher/issues/1270", "show")</f>
        <v>show</v>
      </c>
      <c r="G4894" t="str">
        <f>HYPERLINK("https://github.com/PojavLauncherTeam/PojavLauncher", "show")</f>
        <v>show</v>
      </c>
      <c r="H4894" t="str">
        <f>HYPERLINK("https://github.com/PojavLauncherTeam/PojavLauncher/releases", "show")</f>
        <v>show</v>
      </c>
      <c r="I4894">
        <v>0</v>
      </c>
      <c r="J4894">
        <v>0</v>
      </c>
      <c r="K4894">
        <v>0</v>
      </c>
      <c r="L4894">
        <v>0</v>
      </c>
      <c r="M4894" t="s">
        <v>43</v>
      </c>
    </row>
    <row r="4895" spans="1:13" hidden="1" x14ac:dyDescent="0.15">
      <c r="A4895" t="s">
        <v>15471</v>
      </c>
      <c r="B4895" t="s">
        <v>15472</v>
      </c>
      <c r="C4895" t="s">
        <v>15346</v>
      </c>
      <c r="D4895" t="s">
        <v>15456</v>
      </c>
      <c r="E4895">
        <v>0</v>
      </c>
      <c r="F4895" t="str">
        <f>HYPERLINK("https://github.com/PojavLauncherTeam/PojavLauncher/issues/1266", "show")</f>
        <v>show</v>
      </c>
      <c r="G4895" t="str">
        <f>HYPERLINK("https://github.com/PojavLauncherTeam/PojavLauncher", "show")</f>
        <v>show</v>
      </c>
      <c r="H4895" t="str">
        <f>HYPERLINK("https://github.com/PojavLauncherTeam/PojavLauncher/releases", "show")</f>
        <v>show</v>
      </c>
      <c r="I4895">
        <v>1</v>
      </c>
      <c r="J4895">
        <v>1</v>
      </c>
      <c r="K4895">
        <v>0</v>
      </c>
      <c r="L4895">
        <v>0</v>
      </c>
      <c r="M4895" t="s">
        <v>48</v>
      </c>
    </row>
    <row r="4896" spans="1:13" hidden="1" x14ac:dyDescent="0.15">
      <c r="A4896" t="s">
        <v>15473</v>
      </c>
      <c r="B4896" t="s">
        <v>15474</v>
      </c>
      <c r="C4896" t="s">
        <v>15475</v>
      </c>
      <c r="D4896" t="s">
        <v>15476</v>
      </c>
      <c r="E4896">
        <v>0</v>
      </c>
      <c r="F4896" t="str">
        <f>HYPERLINK("https://github.com/google/ExoPlayer/issues/8845", "show")</f>
        <v>show</v>
      </c>
      <c r="G4896" t="str">
        <f>HYPERLINK("https://github.com/google/ExoPlayer", "show")</f>
        <v>show</v>
      </c>
      <c r="H4896" t="str">
        <f>HYPERLINK("https://github.com/google/ExoPlayer/releases", "show")</f>
        <v>show</v>
      </c>
      <c r="I4896">
        <v>1</v>
      </c>
      <c r="J4896">
        <v>0</v>
      </c>
      <c r="K4896">
        <v>0</v>
      </c>
      <c r="L4896">
        <v>0</v>
      </c>
      <c r="M4896" t="s">
        <v>17</v>
      </c>
    </row>
    <row r="4897" spans="1:13" hidden="1" x14ac:dyDescent="0.15">
      <c r="A4897" t="s">
        <v>15477</v>
      </c>
      <c r="B4897" t="s">
        <v>15478</v>
      </c>
      <c r="C4897" t="s">
        <v>15479</v>
      </c>
      <c r="D4897" t="s">
        <v>15476</v>
      </c>
      <c r="E4897">
        <v>40</v>
      </c>
      <c r="F4897" t="str">
        <f>HYPERLINK("https://github.com/NordicSemiconductor/Android-nRF-Mesh-Library/issues/423", "show")</f>
        <v>show</v>
      </c>
      <c r="G4897" t="str">
        <f>HYPERLINK("https://github.com/NordicSemiconductor/Android-nRF-Mesh-Library", "show")</f>
        <v>show</v>
      </c>
      <c r="H4897" t="str">
        <f>HYPERLINK("https://github.com/NordicSemiconductor/Android-nRF-Mesh-Library/releases", "show")</f>
        <v>show</v>
      </c>
      <c r="I4897">
        <v>1</v>
      </c>
      <c r="J4897">
        <v>1</v>
      </c>
      <c r="K4897">
        <v>1</v>
      </c>
      <c r="L4897">
        <v>0</v>
      </c>
      <c r="M4897" t="s">
        <v>59</v>
      </c>
    </row>
    <row r="4898" spans="1:13" hidden="1" x14ac:dyDescent="0.15">
      <c r="A4898" t="s">
        <v>15480</v>
      </c>
      <c r="B4898" t="s">
        <v>15481</v>
      </c>
      <c r="C4898" t="s">
        <v>15482</v>
      </c>
      <c r="D4898" t="s">
        <v>15476</v>
      </c>
      <c r="E4898">
        <v>177</v>
      </c>
      <c r="F4898" t="str">
        <f>HYPERLINK("https://github.com/material-components/material-components-android/issues/2186", "show")</f>
        <v>show</v>
      </c>
      <c r="G4898" t="str">
        <f>HYPERLINK("https://github.com/material-components/material-components-android", "show")</f>
        <v>show</v>
      </c>
      <c r="H4898" t="str">
        <f>HYPERLINK("https://github.com/material-components/material-components-android/releases", "show")</f>
        <v>show</v>
      </c>
      <c r="I4898">
        <v>1</v>
      </c>
      <c r="J4898">
        <v>0</v>
      </c>
      <c r="K4898">
        <v>1</v>
      </c>
      <c r="L4898">
        <v>1</v>
      </c>
      <c r="M4898" t="s">
        <v>1259</v>
      </c>
    </row>
    <row r="4899" spans="1:13" hidden="1" x14ac:dyDescent="0.15">
      <c r="A4899" t="s">
        <v>15483</v>
      </c>
      <c r="B4899" t="s">
        <v>15484</v>
      </c>
      <c r="D4899" t="s">
        <v>15476</v>
      </c>
      <c r="E4899">
        <v>0</v>
      </c>
      <c r="F4899" t="str">
        <f>HYPERLINK("https://github.com/SCCapstone/TabDab/issues/188", "show")</f>
        <v>show</v>
      </c>
      <c r="G4899" t="str">
        <f>HYPERLINK("https://github.com/SCCapstone/TabDab", "show")</f>
        <v>show</v>
      </c>
      <c r="H4899" t="str">
        <f>HYPERLINK("https://github.com/SCCapstone/TabDab/releases", "show")</f>
        <v>show</v>
      </c>
      <c r="I4899">
        <v>1</v>
      </c>
      <c r="J4899">
        <v>0</v>
      </c>
      <c r="K4899">
        <v>0</v>
      </c>
      <c r="L4899">
        <v>0</v>
      </c>
      <c r="M4899" t="s">
        <v>17</v>
      </c>
    </row>
    <row r="4900" spans="1:13" hidden="1" x14ac:dyDescent="0.15">
      <c r="A4900" t="s">
        <v>15485</v>
      </c>
      <c r="B4900" t="s">
        <v>15486</v>
      </c>
      <c r="D4900" t="s">
        <v>15476</v>
      </c>
      <c r="E4900">
        <v>0</v>
      </c>
      <c r="F4900" t="str">
        <f>HYPERLINK("https://github.com/PojavLauncherTeam/PojavLauncher/issues/1263", "show")</f>
        <v>show</v>
      </c>
      <c r="G4900" t="str">
        <f>HYPERLINK("https://github.com/PojavLauncherTeam/PojavLauncher", "show")</f>
        <v>show</v>
      </c>
      <c r="H4900" t="str">
        <f>HYPERLINK("https://github.com/PojavLauncherTeam/PojavLauncher/releases", "show")</f>
        <v>show</v>
      </c>
      <c r="I4900">
        <v>1</v>
      </c>
      <c r="J4900">
        <v>0</v>
      </c>
      <c r="K4900">
        <v>0</v>
      </c>
      <c r="L4900">
        <v>0</v>
      </c>
      <c r="M4900" t="s">
        <v>17</v>
      </c>
    </row>
    <row r="4901" spans="1:13" hidden="1" x14ac:dyDescent="0.15">
      <c r="A4901" t="s">
        <v>15487</v>
      </c>
      <c r="B4901" t="s">
        <v>15488</v>
      </c>
      <c r="C4901" t="s">
        <v>15489</v>
      </c>
      <c r="D4901" t="s">
        <v>15476</v>
      </c>
      <c r="E4901">
        <v>9</v>
      </c>
      <c r="F4901" t="str">
        <f>HYPERLINK("https://github.com/hilerio23/TheOfficalScrabbleGame/issues/11", "show")</f>
        <v>show</v>
      </c>
      <c r="G4901" t="str">
        <f>HYPERLINK("https://github.com/hilerio23/TheOfficalScrabbleGame", "show")</f>
        <v>show</v>
      </c>
      <c r="H4901" t="str">
        <f>HYPERLINK("https://github.com/hilerio23/TheOfficalScrabbleGame/releases", "show")</f>
        <v>show</v>
      </c>
      <c r="I4901">
        <v>0</v>
      </c>
      <c r="J4901">
        <v>0</v>
      </c>
      <c r="K4901">
        <v>0</v>
      </c>
      <c r="L4901">
        <v>0</v>
      </c>
      <c r="M4901" t="s">
        <v>43</v>
      </c>
    </row>
    <row r="4902" spans="1:13" hidden="1" x14ac:dyDescent="0.15">
      <c r="A4902" t="s">
        <v>15490</v>
      </c>
      <c r="B4902" t="s">
        <v>15491</v>
      </c>
      <c r="C4902" t="s">
        <v>15492</v>
      </c>
      <c r="D4902" t="s">
        <v>15493</v>
      </c>
      <c r="E4902">
        <v>1</v>
      </c>
      <c r="F4902" t="str">
        <f>HYPERLINK("https://github.com/Anuken/Mindustry/issues/5133", "show")</f>
        <v>show</v>
      </c>
      <c r="G4902" t="str">
        <f>HYPERLINK("https://github.com/Anuken/Mindustry", "show")</f>
        <v>show</v>
      </c>
      <c r="H4902" t="str">
        <f>HYPERLINK("https://github.com/Anuken/Mindustry/releases", "show")</f>
        <v>show</v>
      </c>
      <c r="I4902">
        <v>0</v>
      </c>
      <c r="J4902">
        <v>1</v>
      </c>
      <c r="K4902">
        <v>0</v>
      </c>
      <c r="L4902">
        <v>1</v>
      </c>
      <c r="M4902" t="s">
        <v>1732</v>
      </c>
    </row>
    <row r="4903" spans="1:13" hidden="1" x14ac:dyDescent="0.15">
      <c r="A4903" t="s">
        <v>15494</v>
      </c>
      <c r="B4903" t="s">
        <v>15495</v>
      </c>
      <c r="C4903" t="s">
        <v>15496</v>
      </c>
      <c r="D4903" t="s">
        <v>15493</v>
      </c>
      <c r="E4903">
        <v>1</v>
      </c>
      <c r="F4903" t="str">
        <f>HYPERLINK("https://github.com/TeamNewPipe/NewPipe/issues/6124", "show")</f>
        <v>show</v>
      </c>
      <c r="G4903" t="str">
        <f>HYPERLINK("https://github.com/TeamNewPipe/NewPipe", "show")</f>
        <v>show</v>
      </c>
      <c r="H4903" t="str">
        <f>HYPERLINK("https://github.com/TeamNewPipe/NewPipe/releases", "show")</f>
        <v>show</v>
      </c>
      <c r="I4903">
        <v>1</v>
      </c>
      <c r="J4903">
        <v>1</v>
      </c>
      <c r="K4903">
        <v>1</v>
      </c>
      <c r="L4903">
        <v>0</v>
      </c>
      <c r="M4903" t="s">
        <v>59</v>
      </c>
    </row>
    <row r="4904" spans="1:13" hidden="1" x14ac:dyDescent="0.15">
      <c r="A4904" t="s">
        <v>15497</v>
      </c>
      <c r="B4904" t="s">
        <v>15498</v>
      </c>
      <c r="C4904" t="s">
        <v>15499</v>
      </c>
      <c r="D4904" t="s">
        <v>15493</v>
      </c>
      <c r="E4904">
        <v>15</v>
      </c>
      <c r="F4904" t="str">
        <f>HYPERLINK("https://github.com/OpenTracksApp/OpenTracks/issues/722", "show")</f>
        <v>show</v>
      </c>
      <c r="G4904" t="str">
        <f>HYPERLINK("https://github.com/OpenTracksApp/OpenTracks", "show")</f>
        <v>show</v>
      </c>
      <c r="H4904" t="str">
        <f>HYPERLINK("https://github.com/OpenTracksApp/OpenTracks/releases", "show")</f>
        <v>show</v>
      </c>
      <c r="I4904">
        <v>0</v>
      </c>
      <c r="J4904">
        <v>0</v>
      </c>
      <c r="K4904">
        <v>0</v>
      </c>
      <c r="L4904">
        <v>0</v>
      </c>
      <c r="M4904" t="s">
        <v>43</v>
      </c>
    </row>
    <row r="4905" spans="1:13" hidden="1" x14ac:dyDescent="0.15">
      <c r="A4905" t="s">
        <v>15500</v>
      </c>
      <c r="B4905" t="s">
        <v>15501</v>
      </c>
      <c r="C4905" t="s">
        <v>15502</v>
      </c>
      <c r="D4905" t="s">
        <v>15493</v>
      </c>
      <c r="E4905">
        <v>0</v>
      </c>
      <c r="F4905" t="str">
        <f>HYPERLINK("https://github.com/Anuken/Mindustry/issues/5131", "show")</f>
        <v>show</v>
      </c>
      <c r="G4905" t="str">
        <f>HYPERLINK("https://github.com/Anuken/Mindustry", "show")</f>
        <v>show</v>
      </c>
      <c r="H4905" t="str">
        <f>HYPERLINK("https://github.com/Anuken/Mindustry/releases", "show")</f>
        <v>show</v>
      </c>
      <c r="I4905">
        <v>0</v>
      </c>
      <c r="J4905">
        <v>0</v>
      </c>
      <c r="K4905">
        <v>0</v>
      </c>
      <c r="L4905">
        <v>1</v>
      </c>
      <c r="M4905" t="s">
        <v>581</v>
      </c>
    </row>
    <row r="4906" spans="1:13" hidden="1" x14ac:dyDescent="0.15">
      <c r="A4906" t="s">
        <v>15503</v>
      </c>
      <c r="B4906" t="s">
        <v>15504</v>
      </c>
      <c r="C4906" t="s">
        <v>15505</v>
      </c>
      <c r="D4906" t="s">
        <v>15493</v>
      </c>
      <c r="E4906">
        <v>0</v>
      </c>
      <c r="F4906" t="str">
        <f>HYPERLINK("https://github.com/PojavLauncherTeam/PojavLauncher/issues/1256", "show")</f>
        <v>show</v>
      </c>
      <c r="G4906" t="str">
        <f>HYPERLINK("https://github.com/PojavLauncherTeam/PojavLauncher", "show")</f>
        <v>show</v>
      </c>
      <c r="H4906" t="str">
        <f>HYPERLINK("https://github.com/PojavLauncherTeam/PojavLauncher/releases", "show")</f>
        <v>show</v>
      </c>
      <c r="I4906">
        <v>1</v>
      </c>
      <c r="J4906">
        <v>1</v>
      </c>
      <c r="K4906">
        <v>0</v>
      </c>
      <c r="L4906">
        <v>1</v>
      </c>
      <c r="M4906" t="s">
        <v>1894</v>
      </c>
    </row>
    <row r="4907" spans="1:13" hidden="1" x14ac:dyDescent="0.15">
      <c r="A4907" t="s">
        <v>15506</v>
      </c>
      <c r="B4907" t="s">
        <v>15507</v>
      </c>
      <c r="C4907" t="s">
        <v>15508</v>
      </c>
      <c r="D4907" t="s">
        <v>15509</v>
      </c>
      <c r="E4907">
        <v>344</v>
      </c>
      <c r="F4907" t="str">
        <f>HYPERLINK("https://github.com/NekoX-Dev/NekoX/issues/470", "show")</f>
        <v>show</v>
      </c>
      <c r="G4907" t="str">
        <f>HYPERLINK("https://github.com/NekoX-Dev/NekoX", "show")</f>
        <v>show</v>
      </c>
      <c r="H4907" t="str">
        <f>HYPERLINK("https://github.com/NekoX-Dev/NekoX/releases", "show")</f>
        <v>show</v>
      </c>
      <c r="I4907">
        <v>1</v>
      </c>
      <c r="J4907">
        <v>0</v>
      </c>
      <c r="K4907">
        <v>0</v>
      </c>
      <c r="L4907">
        <v>0</v>
      </c>
      <c r="M4907" t="s">
        <v>17</v>
      </c>
    </row>
    <row r="4908" spans="1:13" hidden="1" x14ac:dyDescent="0.15">
      <c r="A4908" t="s">
        <v>15510</v>
      </c>
      <c r="B4908" t="s">
        <v>15511</v>
      </c>
      <c r="C4908" t="s">
        <v>15512</v>
      </c>
      <c r="D4908" t="s">
        <v>15509</v>
      </c>
      <c r="E4908">
        <v>0</v>
      </c>
      <c r="F4908" t="str">
        <f>HYPERLINK("https://github.com/MuntashirAkon/AppManager/issues/379", "show")</f>
        <v>show</v>
      </c>
      <c r="G4908" t="str">
        <f>HYPERLINK("https://github.com/MuntashirAkon/AppManager", "show")</f>
        <v>show</v>
      </c>
      <c r="H4908" t="str">
        <f>HYPERLINK("https://github.com/MuntashirAkon/AppManager/releases", "show")</f>
        <v>show</v>
      </c>
      <c r="I4908">
        <v>1</v>
      </c>
      <c r="J4908">
        <v>0</v>
      </c>
      <c r="K4908">
        <v>0</v>
      </c>
      <c r="L4908">
        <v>0</v>
      </c>
      <c r="M4908" t="s">
        <v>17</v>
      </c>
    </row>
    <row r="4909" spans="1:13" hidden="1" x14ac:dyDescent="0.15">
      <c r="A4909" t="s">
        <v>15513</v>
      </c>
      <c r="B4909" t="s">
        <v>15514</v>
      </c>
      <c r="C4909" t="s">
        <v>15515</v>
      </c>
      <c r="D4909" t="s">
        <v>15509</v>
      </c>
      <c r="E4909">
        <v>1</v>
      </c>
      <c r="F4909" t="str">
        <f>HYPERLINK("https://github.com/k9mail/k-9/issues/5261", "show")</f>
        <v>show</v>
      </c>
      <c r="G4909" t="str">
        <f>HYPERLINK("https://github.com/k9mail/k-9", "show")</f>
        <v>show</v>
      </c>
      <c r="H4909" t="str">
        <f>HYPERLINK("https://github.com/k9mail/k-9/releases", "show")</f>
        <v>show</v>
      </c>
      <c r="I4909">
        <v>1</v>
      </c>
      <c r="J4909">
        <v>1</v>
      </c>
      <c r="K4909">
        <v>0</v>
      </c>
      <c r="L4909">
        <v>0</v>
      </c>
      <c r="M4909" t="s">
        <v>48</v>
      </c>
    </row>
    <row r="4910" spans="1:13" hidden="1" x14ac:dyDescent="0.15">
      <c r="A4910" t="s">
        <v>15516</v>
      </c>
      <c r="B4910" t="s">
        <v>15517</v>
      </c>
      <c r="C4910" t="s">
        <v>15518</v>
      </c>
      <c r="D4910" t="s">
        <v>15509</v>
      </c>
      <c r="E4910">
        <v>0</v>
      </c>
      <c r="F4910" t="str">
        <f>HYPERLINK("https://github.com/Anuken/Mindustry/issues/5128", "show")</f>
        <v>show</v>
      </c>
      <c r="G4910" t="str">
        <f>HYPERLINK("https://github.com/Anuken/Mindustry", "show")</f>
        <v>show</v>
      </c>
      <c r="H4910" t="str">
        <f>HYPERLINK("https://github.com/Anuken/Mindustry/releases", "show")</f>
        <v>show</v>
      </c>
      <c r="I4910">
        <v>1</v>
      </c>
      <c r="J4910">
        <v>1</v>
      </c>
      <c r="K4910">
        <v>0</v>
      </c>
      <c r="L4910">
        <v>1</v>
      </c>
      <c r="M4910" t="s">
        <v>1894</v>
      </c>
    </row>
    <row r="4911" spans="1:13" hidden="1" x14ac:dyDescent="0.15">
      <c r="A4911" t="s">
        <v>15519</v>
      </c>
      <c r="B4911" t="s">
        <v>15520</v>
      </c>
      <c r="C4911" t="s">
        <v>15521</v>
      </c>
      <c r="D4911" t="s">
        <v>15509</v>
      </c>
      <c r="E4911">
        <v>1</v>
      </c>
      <c r="F4911" t="str">
        <f>HYPERLINK("https://github.com/OpenTracksApp/OpenTracks/issues/721", "show")</f>
        <v>show</v>
      </c>
      <c r="G4911" t="str">
        <f>HYPERLINK("https://github.com/OpenTracksApp/OpenTracks", "show")</f>
        <v>show</v>
      </c>
      <c r="H4911" t="str">
        <f>HYPERLINK("https://github.com/OpenTracksApp/OpenTracks/releases", "show")</f>
        <v>show</v>
      </c>
      <c r="I4911">
        <v>1</v>
      </c>
      <c r="J4911">
        <v>0</v>
      </c>
      <c r="K4911">
        <v>1</v>
      </c>
      <c r="L4911">
        <v>0</v>
      </c>
      <c r="M4911" t="s">
        <v>64</v>
      </c>
    </row>
    <row r="4912" spans="1:13" hidden="1" x14ac:dyDescent="0.15">
      <c r="A4912" t="s">
        <v>15522</v>
      </c>
      <c r="B4912" t="s">
        <v>15523</v>
      </c>
      <c r="C4912" t="s">
        <v>15524</v>
      </c>
      <c r="D4912" t="s">
        <v>15509</v>
      </c>
      <c r="E4912">
        <v>6</v>
      </c>
      <c r="F4912" t="str">
        <f>HYPERLINK("https://github.com/jMonkeyEngine/jmonkeyengine/issues/1527", "show")</f>
        <v>show</v>
      </c>
      <c r="G4912" t="str">
        <f>HYPERLINK("https://github.com/jMonkeyEngine/jmonkeyengine", "show")</f>
        <v>show</v>
      </c>
      <c r="H4912" t="str">
        <f>HYPERLINK("https://github.com/jMonkeyEngine/jmonkeyengine/releases", "show")</f>
        <v>show</v>
      </c>
      <c r="I4912">
        <v>0</v>
      </c>
      <c r="J4912">
        <v>0</v>
      </c>
      <c r="K4912">
        <v>1</v>
      </c>
      <c r="L4912">
        <v>0</v>
      </c>
      <c r="M4912" t="s">
        <v>122</v>
      </c>
    </row>
    <row r="4913" spans="1:13" hidden="1" x14ac:dyDescent="0.15">
      <c r="A4913" t="s">
        <v>15525</v>
      </c>
      <c r="B4913" t="s">
        <v>15526</v>
      </c>
      <c r="C4913" t="s">
        <v>15527</v>
      </c>
      <c r="D4913" t="s">
        <v>15509</v>
      </c>
      <c r="E4913">
        <v>8</v>
      </c>
      <c r="F4913" t="str">
        <f>HYPERLINK("https://github.com/google/ExoPlayer/issues/8832", "show")</f>
        <v>show</v>
      </c>
      <c r="G4913" t="str">
        <f>HYPERLINK("https://github.com/google/ExoPlayer", "show")</f>
        <v>show</v>
      </c>
      <c r="H4913" t="str">
        <f>HYPERLINK("https://github.com/google/ExoPlayer/releases", "show")</f>
        <v>show</v>
      </c>
      <c r="I4913">
        <v>1</v>
      </c>
      <c r="J4913">
        <v>0</v>
      </c>
      <c r="K4913">
        <v>1</v>
      </c>
      <c r="L4913">
        <v>0</v>
      </c>
      <c r="M4913" t="s">
        <v>64</v>
      </c>
    </row>
    <row r="4914" spans="1:13" hidden="1" x14ac:dyDescent="0.15">
      <c r="A4914" t="s">
        <v>15528</v>
      </c>
      <c r="B4914" t="s">
        <v>15529</v>
      </c>
      <c r="C4914" t="s">
        <v>15530</v>
      </c>
      <c r="D4914" t="s">
        <v>15509</v>
      </c>
      <c r="E4914">
        <v>46</v>
      </c>
      <c r="F4914" t="str">
        <f>HYPERLINK("https://github.com/PojavLauncherTeam/PojavLauncher/issues/1250", "show")</f>
        <v>show</v>
      </c>
      <c r="G4914" t="str">
        <f>HYPERLINK("https://github.com/PojavLauncherTeam/PojavLauncher", "show")</f>
        <v>show</v>
      </c>
      <c r="H4914" t="str">
        <f>HYPERLINK("https://github.com/PojavLauncherTeam/PojavLauncher/releases", "show")</f>
        <v>show</v>
      </c>
      <c r="I4914">
        <v>1</v>
      </c>
      <c r="J4914">
        <v>1</v>
      </c>
      <c r="K4914">
        <v>1</v>
      </c>
      <c r="L4914">
        <v>0</v>
      </c>
      <c r="M4914" t="s">
        <v>59</v>
      </c>
    </row>
    <row r="4915" spans="1:13" hidden="1" x14ac:dyDescent="0.15">
      <c r="A4915" t="s">
        <v>15531</v>
      </c>
      <c r="B4915" t="s">
        <v>15532</v>
      </c>
      <c r="C4915" t="s">
        <v>15533</v>
      </c>
      <c r="D4915" t="s">
        <v>15509</v>
      </c>
      <c r="E4915">
        <v>0</v>
      </c>
      <c r="F4915" t="str">
        <f>HYPERLINK("https://github.com/Honeydew-List/Honeydew-List-App/issues/17", "show")</f>
        <v>show</v>
      </c>
      <c r="G4915" t="str">
        <f>HYPERLINK("https://github.com/Honeydew-List/Honeydew-List-App", "show")</f>
        <v>show</v>
      </c>
      <c r="H4915" t="str">
        <f>HYPERLINK("https://github.com/Honeydew-List/Honeydew-List-App/releases", "show")</f>
        <v>show</v>
      </c>
      <c r="I4915">
        <v>1</v>
      </c>
      <c r="J4915">
        <v>1</v>
      </c>
      <c r="K4915">
        <v>0</v>
      </c>
      <c r="L4915">
        <v>0</v>
      </c>
      <c r="M4915" t="s">
        <v>48</v>
      </c>
    </row>
    <row r="4916" spans="1:13" hidden="1" x14ac:dyDescent="0.15">
      <c r="A4916" t="s">
        <v>15534</v>
      </c>
      <c r="B4916" t="s">
        <v>15535</v>
      </c>
      <c r="D4916" t="s">
        <v>15509</v>
      </c>
      <c r="E4916">
        <v>2</v>
      </c>
      <c r="F4916" t="str">
        <f>HYPERLINK("https://github.com/SCCapstone/TabDab/issues/181", "show")</f>
        <v>show</v>
      </c>
      <c r="G4916" t="str">
        <f>HYPERLINK("https://github.com/SCCapstone/TabDab", "show")</f>
        <v>show</v>
      </c>
      <c r="H4916" t="str">
        <f>HYPERLINK("https://github.com/SCCapstone/TabDab/releases", "show")</f>
        <v>show</v>
      </c>
      <c r="I4916">
        <v>1</v>
      </c>
      <c r="J4916">
        <v>0</v>
      </c>
      <c r="K4916">
        <v>0</v>
      </c>
      <c r="L4916">
        <v>1</v>
      </c>
      <c r="M4916" t="s">
        <v>29</v>
      </c>
    </row>
    <row r="4917" spans="1:13" hidden="1" x14ac:dyDescent="0.15">
      <c r="A4917" t="s">
        <v>15536</v>
      </c>
      <c r="B4917" t="s">
        <v>15537</v>
      </c>
      <c r="C4917" t="s">
        <v>15538</v>
      </c>
      <c r="D4917" t="s">
        <v>15539</v>
      </c>
      <c r="E4917">
        <v>41</v>
      </c>
      <c r="F4917" t="str">
        <f>HYPERLINK("https://github.com/TeamNewPipe/NewPipe/issues/6107", "show")</f>
        <v>show</v>
      </c>
      <c r="G4917" t="str">
        <f>HYPERLINK("https://github.com/TeamNewPipe/NewPipe", "show")</f>
        <v>show</v>
      </c>
      <c r="H4917" t="str">
        <f>HYPERLINK("https://github.com/TeamNewPipe/NewPipe/releases", "show")</f>
        <v>show</v>
      </c>
      <c r="I4917">
        <v>1</v>
      </c>
      <c r="J4917">
        <v>1</v>
      </c>
      <c r="K4917">
        <v>1</v>
      </c>
      <c r="L4917">
        <v>0</v>
      </c>
      <c r="M4917" t="s">
        <v>59</v>
      </c>
    </row>
    <row r="4918" spans="1:13" hidden="1" x14ac:dyDescent="0.15">
      <c r="A4918" t="s">
        <v>15540</v>
      </c>
      <c r="B4918" t="s">
        <v>15541</v>
      </c>
      <c r="C4918" t="s">
        <v>15542</v>
      </c>
      <c r="D4918" t="s">
        <v>15539</v>
      </c>
      <c r="E4918">
        <v>0</v>
      </c>
      <c r="F4918" t="str">
        <f>HYPERLINK("https://github.com/Anuken/Mindustry/issues/5124", "show")</f>
        <v>show</v>
      </c>
      <c r="G4918" t="str">
        <f>HYPERLINK("https://github.com/Anuken/Mindustry", "show")</f>
        <v>show</v>
      </c>
      <c r="H4918" t="str">
        <f>HYPERLINK("https://github.com/Anuken/Mindustry/releases", "show")</f>
        <v>show</v>
      </c>
      <c r="I4918">
        <v>1</v>
      </c>
      <c r="J4918">
        <v>1</v>
      </c>
      <c r="K4918">
        <v>0</v>
      </c>
      <c r="L4918">
        <v>0</v>
      </c>
      <c r="M4918" t="s">
        <v>48</v>
      </c>
    </row>
    <row r="4919" spans="1:13" hidden="1" x14ac:dyDescent="0.15">
      <c r="A4919" t="s">
        <v>15543</v>
      </c>
      <c r="B4919" t="s">
        <v>15544</v>
      </c>
      <c r="C4919" t="s">
        <v>15545</v>
      </c>
      <c r="D4919" t="s">
        <v>15539</v>
      </c>
      <c r="E4919">
        <v>0</v>
      </c>
      <c r="F4919" t="str">
        <f>HYPERLINK("https://github.com/uscki/Wilson-Android/issues/221", "show")</f>
        <v>show</v>
      </c>
      <c r="G4919" t="str">
        <f>HYPERLINK("https://github.com/uscki/Wilson-Android", "show")</f>
        <v>show</v>
      </c>
      <c r="H4919" t="str">
        <f>HYPERLINK("https://github.com/uscki/Wilson-Android/releases", "show")</f>
        <v>show</v>
      </c>
      <c r="I4919">
        <v>1</v>
      </c>
      <c r="J4919">
        <v>0</v>
      </c>
      <c r="K4919">
        <v>0</v>
      </c>
      <c r="L4919">
        <v>0</v>
      </c>
      <c r="M4919" t="s">
        <v>17</v>
      </c>
    </row>
    <row r="4920" spans="1:13" hidden="1" x14ac:dyDescent="0.15">
      <c r="A4920" t="s">
        <v>15546</v>
      </c>
      <c r="B4920" t="s">
        <v>15547</v>
      </c>
      <c r="C4920" t="s">
        <v>15548</v>
      </c>
      <c r="D4920" t="s">
        <v>15539</v>
      </c>
      <c r="E4920">
        <v>3</v>
      </c>
      <c r="F4920" t="str">
        <f>HYPERLINK("https://github.com/UweTrottmann/SeriesGuide/issues/785", "show")</f>
        <v>show</v>
      </c>
      <c r="G4920" t="str">
        <f>HYPERLINK("https://github.com/UweTrottmann/SeriesGuide", "show")</f>
        <v>show</v>
      </c>
      <c r="H4920" t="str">
        <f>HYPERLINK("https://github.com/UweTrottmann/SeriesGuide/releases", "show")</f>
        <v>show</v>
      </c>
      <c r="I4920">
        <v>1</v>
      </c>
      <c r="J4920">
        <v>1</v>
      </c>
      <c r="K4920">
        <v>1</v>
      </c>
      <c r="L4920">
        <v>0</v>
      </c>
      <c r="M4920" t="s">
        <v>59</v>
      </c>
    </row>
    <row r="4921" spans="1:13" hidden="1" x14ac:dyDescent="0.15">
      <c r="A4921" t="s">
        <v>15549</v>
      </c>
      <c r="B4921" t="s">
        <v>15550</v>
      </c>
      <c r="C4921" t="s">
        <v>15551</v>
      </c>
      <c r="D4921" t="s">
        <v>15552</v>
      </c>
      <c r="E4921">
        <v>0</v>
      </c>
      <c r="F4921" t="str">
        <f>HYPERLINK("https://github.com/LCIS-codepath/Appointsy/issues/17", "show")</f>
        <v>show</v>
      </c>
      <c r="G4921" t="str">
        <f>HYPERLINK("https://github.com/LCIS-codepath/Appointsy", "show")</f>
        <v>show</v>
      </c>
      <c r="H4921" t="str">
        <f>HYPERLINK("https://github.com/LCIS-codepath/Appointsy/releases", "show")</f>
        <v>show</v>
      </c>
      <c r="I4921">
        <v>0</v>
      </c>
      <c r="J4921">
        <v>0</v>
      </c>
      <c r="K4921">
        <v>0</v>
      </c>
      <c r="L4921">
        <v>0</v>
      </c>
      <c r="M4921" t="s">
        <v>43</v>
      </c>
    </row>
    <row r="4922" spans="1:13" hidden="1" x14ac:dyDescent="0.15">
      <c r="A4922" t="s">
        <v>15553</v>
      </c>
      <c r="B4922" t="s">
        <v>15554</v>
      </c>
      <c r="C4922" t="s">
        <v>15555</v>
      </c>
      <c r="D4922" t="s">
        <v>15552</v>
      </c>
      <c r="E4922">
        <v>2</v>
      </c>
      <c r="F4922" t="str">
        <f>HYPERLINK("https://github.com/nextcloud/android/issues/8293", "show")</f>
        <v>show</v>
      </c>
      <c r="G4922" t="str">
        <f>HYPERLINK("https://github.com/nextcloud/android", "show")</f>
        <v>show</v>
      </c>
      <c r="H4922" t="str">
        <f>HYPERLINK("https://github.com/nextcloud/android/releases", "show")</f>
        <v>show</v>
      </c>
      <c r="I4922">
        <v>1</v>
      </c>
      <c r="J4922">
        <v>0</v>
      </c>
      <c r="K4922">
        <v>1</v>
      </c>
      <c r="L4922">
        <v>0</v>
      </c>
      <c r="M4922" t="s">
        <v>64</v>
      </c>
    </row>
    <row r="4923" spans="1:13" hidden="1" x14ac:dyDescent="0.15">
      <c r="A4923" t="s">
        <v>15556</v>
      </c>
      <c r="B4923" t="s">
        <v>15557</v>
      </c>
      <c r="C4923" t="s">
        <v>15558</v>
      </c>
      <c r="D4923" t="s">
        <v>15552</v>
      </c>
      <c r="E4923">
        <v>3</v>
      </c>
      <c r="F4923" t="str">
        <f>HYPERLINK("https://github.com/SCCapstone/MobileAssistant/issues/174", "show")</f>
        <v>show</v>
      </c>
      <c r="G4923" t="str">
        <f>HYPERLINK("https://github.com/SCCapstone/MobileAssistant", "show")</f>
        <v>show</v>
      </c>
      <c r="H4923" t="str">
        <f>HYPERLINK("https://github.com/SCCapstone/MobileAssistant/releases", "show")</f>
        <v>show</v>
      </c>
      <c r="I4923">
        <v>1</v>
      </c>
      <c r="J4923">
        <v>0</v>
      </c>
      <c r="K4923">
        <v>0</v>
      </c>
      <c r="L4923">
        <v>0</v>
      </c>
      <c r="M4923" t="s">
        <v>17</v>
      </c>
    </row>
    <row r="4924" spans="1:13" hidden="1" x14ac:dyDescent="0.15">
      <c r="A4924" t="s">
        <v>15559</v>
      </c>
      <c r="B4924" t="s">
        <v>15560</v>
      </c>
      <c r="C4924" t="s">
        <v>15561</v>
      </c>
      <c r="D4924" t="s">
        <v>15552</v>
      </c>
      <c r="E4924">
        <v>6</v>
      </c>
      <c r="F4924" t="str">
        <f>HYPERLINK("https://github.com/PojavLauncherTeam/PojavLauncher/issues/1236", "show")</f>
        <v>show</v>
      </c>
      <c r="G4924" t="str">
        <f>HYPERLINK("https://github.com/PojavLauncherTeam/PojavLauncher", "show")</f>
        <v>show</v>
      </c>
      <c r="H4924" t="str">
        <f>HYPERLINK("https://github.com/PojavLauncherTeam/PojavLauncher/releases", "show")</f>
        <v>show</v>
      </c>
      <c r="I4924">
        <v>1</v>
      </c>
      <c r="J4924">
        <v>1</v>
      </c>
      <c r="K4924">
        <v>0</v>
      </c>
      <c r="L4924">
        <v>0</v>
      </c>
      <c r="M4924" t="s">
        <v>48</v>
      </c>
    </row>
    <row r="4925" spans="1:13" hidden="1" x14ac:dyDescent="0.15">
      <c r="A4925" t="s">
        <v>15562</v>
      </c>
      <c r="B4925" t="s">
        <v>15563</v>
      </c>
      <c r="C4925" t="s">
        <v>15564</v>
      </c>
      <c r="D4925" t="s">
        <v>15552</v>
      </c>
      <c r="E4925">
        <v>0</v>
      </c>
      <c r="F4925" t="str">
        <f>HYPERLINK("https://github.com/mtotschnig/MyExpenses/issues/809", "show")</f>
        <v>show</v>
      </c>
      <c r="G4925" t="str">
        <f>HYPERLINK("https://github.com/mtotschnig/MyExpenses", "show")</f>
        <v>show</v>
      </c>
      <c r="H4925" t="str">
        <f>HYPERLINK("https://github.com/mtotschnig/MyExpenses/releases", "show")</f>
        <v>show</v>
      </c>
      <c r="I4925">
        <v>0</v>
      </c>
      <c r="J4925">
        <v>0</v>
      </c>
      <c r="K4925">
        <v>0</v>
      </c>
      <c r="L4925">
        <v>0</v>
      </c>
      <c r="M4925" t="s">
        <v>43</v>
      </c>
    </row>
    <row r="4926" spans="1:13" hidden="1" x14ac:dyDescent="0.15">
      <c r="A4926" t="s">
        <v>15565</v>
      </c>
      <c r="B4926" t="s">
        <v>15566</v>
      </c>
      <c r="C4926" t="s">
        <v>15567</v>
      </c>
      <c r="D4926" t="s">
        <v>15552</v>
      </c>
      <c r="E4926">
        <v>0</v>
      </c>
      <c r="F4926" t="str">
        <f>HYPERLINK("https://github.com/PojavLauncherTeam/PojavLauncher/issues/1234", "show")</f>
        <v>show</v>
      </c>
      <c r="G4926" t="str">
        <f>HYPERLINK("https://github.com/PojavLauncherTeam/PojavLauncher", "show")</f>
        <v>show</v>
      </c>
      <c r="H4926" t="str">
        <f>HYPERLINK("https://github.com/PojavLauncherTeam/PojavLauncher/releases", "show")</f>
        <v>show</v>
      </c>
      <c r="I4926">
        <v>1</v>
      </c>
      <c r="J4926">
        <v>1</v>
      </c>
      <c r="K4926">
        <v>0</v>
      </c>
      <c r="L4926">
        <v>0</v>
      </c>
      <c r="M4926" t="s">
        <v>48</v>
      </c>
    </row>
    <row r="4927" spans="1:13" hidden="1" x14ac:dyDescent="0.15">
      <c r="A4927" t="s">
        <v>15568</v>
      </c>
      <c r="B4927" t="s">
        <v>15569</v>
      </c>
      <c r="C4927" t="s">
        <v>15570</v>
      </c>
      <c r="D4927" t="s">
        <v>15552</v>
      </c>
      <c r="E4927">
        <v>93</v>
      </c>
      <c r="F4927" t="str">
        <f>HYPERLINK("https://github.com/nextcloud/android/issues/8291", "show")</f>
        <v>show</v>
      </c>
      <c r="G4927" t="str">
        <f>HYPERLINK("https://github.com/nextcloud/android", "show")</f>
        <v>show</v>
      </c>
      <c r="H4927" t="str">
        <f>HYPERLINK("https://github.com/nextcloud/android/releases", "show")</f>
        <v>show</v>
      </c>
      <c r="I4927">
        <v>1</v>
      </c>
      <c r="J4927">
        <v>0</v>
      </c>
      <c r="K4927">
        <v>1</v>
      </c>
      <c r="L4927">
        <v>0</v>
      </c>
      <c r="M4927" t="s">
        <v>64</v>
      </c>
    </row>
    <row r="4928" spans="1:13" hidden="1" x14ac:dyDescent="0.15">
      <c r="A4928" t="s">
        <v>15571</v>
      </c>
      <c r="B4928" t="s">
        <v>15572</v>
      </c>
      <c r="C4928" t="s">
        <v>15573</v>
      </c>
      <c r="D4928" t="s">
        <v>15574</v>
      </c>
      <c r="E4928">
        <v>1</v>
      </c>
      <c r="F4928" t="str">
        <f>HYPERLINK("https://github.com/PojavLauncherTeam/PojavLauncher/issues/1232", "show")</f>
        <v>show</v>
      </c>
      <c r="G4928" t="str">
        <f>HYPERLINK("https://github.com/PojavLauncherTeam/PojavLauncher", "show")</f>
        <v>show</v>
      </c>
      <c r="H4928" t="str">
        <f>HYPERLINK("https://github.com/PojavLauncherTeam/PojavLauncher/releases", "show")</f>
        <v>show</v>
      </c>
      <c r="I4928">
        <v>1</v>
      </c>
      <c r="J4928">
        <v>0</v>
      </c>
      <c r="K4928">
        <v>0</v>
      </c>
      <c r="L4928">
        <v>0</v>
      </c>
      <c r="M4928" t="s">
        <v>17</v>
      </c>
    </row>
    <row r="4929" spans="1:13" hidden="1" x14ac:dyDescent="0.15">
      <c r="A4929" t="s">
        <v>15575</v>
      </c>
      <c r="B4929" t="s">
        <v>15576</v>
      </c>
      <c r="C4929" t="s">
        <v>15577</v>
      </c>
      <c r="D4929" t="s">
        <v>15574</v>
      </c>
      <c r="E4929">
        <v>54</v>
      </c>
      <c r="F4929" t="str">
        <f>HYPERLINK("https://github.com/nextcloud/android/issues/8289", "show")</f>
        <v>show</v>
      </c>
      <c r="G4929" t="str">
        <f>HYPERLINK("https://github.com/nextcloud/android", "show")</f>
        <v>show</v>
      </c>
      <c r="H4929" t="str">
        <f>HYPERLINK("https://github.com/nextcloud/android/releases", "show")</f>
        <v>show</v>
      </c>
      <c r="I4929">
        <v>1</v>
      </c>
      <c r="J4929">
        <v>1</v>
      </c>
      <c r="K4929">
        <v>0</v>
      </c>
      <c r="L4929">
        <v>0</v>
      </c>
      <c r="M4929" t="s">
        <v>48</v>
      </c>
    </row>
    <row r="4930" spans="1:13" hidden="1" x14ac:dyDescent="0.15">
      <c r="A4930" t="s">
        <v>15578</v>
      </c>
      <c r="B4930" t="s">
        <v>10882</v>
      </c>
      <c r="C4930" t="s">
        <v>15579</v>
      </c>
      <c r="D4930" t="s">
        <v>15574</v>
      </c>
      <c r="E4930">
        <v>0</v>
      </c>
      <c r="F4930" t="str">
        <f>HYPERLINK("https://github.com/PojavLauncherTeam/PojavLauncher/issues/1231", "show")</f>
        <v>show</v>
      </c>
      <c r="G4930" t="str">
        <f>HYPERLINK("https://github.com/PojavLauncherTeam/PojavLauncher", "show")</f>
        <v>show</v>
      </c>
      <c r="H4930" t="str">
        <f>HYPERLINK("https://github.com/PojavLauncherTeam/PojavLauncher/releases", "show")</f>
        <v>show</v>
      </c>
      <c r="I4930">
        <v>0</v>
      </c>
      <c r="J4930">
        <v>0</v>
      </c>
      <c r="K4930">
        <v>0</v>
      </c>
      <c r="L4930">
        <v>0</v>
      </c>
      <c r="M4930" t="s">
        <v>43</v>
      </c>
    </row>
    <row r="4931" spans="1:13" hidden="1" x14ac:dyDescent="0.15">
      <c r="A4931" t="s">
        <v>15580</v>
      </c>
      <c r="B4931" t="s">
        <v>15581</v>
      </c>
      <c r="C4931" t="s">
        <v>15582</v>
      </c>
      <c r="D4931" t="s">
        <v>15574</v>
      </c>
      <c r="E4931">
        <v>131</v>
      </c>
      <c r="F4931" t="str">
        <f>HYPERLINK("https://github.com/nextcloud/android/issues/8287", "show")</f>
        <v>show</v>
      </c>
      <c r="G4931" t="str">
        <f>HYPERLINK("https://github.com/nextcloud/android", "show")</f>
        <v>show</v>
      </c>
      <c r="H4931" t="str">
        <f>HYPERLINK("https://github.com/nextcloud/android/releases", "show")</f>
        <v>show</v>
      </c>
      <c r="I4931">
        <v>0</v>
      </c>
      <c r="J4931">
        <v>0</v>
      </c>
      <c r="K4931">
        <v>0</v>
      </c>
      <c r="L4931">
        <v>0</v>
      </c>
      <c r="M4931" t="s">
        <v>43</v>
      </c>
    </row>
    <row r="4932" spans="1:13" hidden="1" x14ac:dyDescent="0.15">
      <c r="A4932" t="s">
        <v>15583</v>
      </c>
      <c r="B4932" t="s">
        <v>15584</v>
      </c>
      <c r="C4932" t="s">
        <v>15585</v>
      </c>
      <c r="D4932" t="s">
        <v>15574</v>
      </c>
      <c r="E4932">
        <v>9</v>
      </c>
      <c r="F4932" t="str">
        <f>HYPERLINK("https://github.com/SCCapstone/PokeCompanion/issues/118", "show")</f>
        <v>show</v>
      </c>
      <c r="G4932" t="str">
        <f>HYPERLINK("https://github.com/SCCapstone/PokeCompanion", "show")</f>
        <v>show</v>
      </c>
      <c r="H4932" t="str">
        <f>HYPERLINK("https://github.com/SCCapstone/PokeCompanion/releases", "show")</f>
        <v>show</v>
      </c>
      <c r="I4932">
        <v>1</v>
      </c>
      <c r="J4932">
        <v>0</v>
      </c>
      <c r="K4932">
        <v>0</v>
      </c>
      <c r="L4932">
        <v>0</v>
      </c>
      <c r="M4932" t="s">
        <v>17</v>
      </c>
    </row>
    <row r="4933" spans="1:13" hidden="1" x14ac:dyDescent="0.15">
      <c r="A4933" t="s">
        <v>15586</v>
      </c>
      <c r="B4933" t="s">
        <v>15587</v>
      </c>
      <c r="C4933" t="s">
        <v>15588</v>
      </c>
      <c r="D4933" t="s">
        <v>15589</v>
      </c>
      <c r="E4933">
        <v>29</v>
      </c>
      <c r="F4933" t="str">
        <f>HYPERLINK("https://github.com/nextcloud/android/issues/8284", "show")</f>
        <v>show</v>
      </c>
      <c r="G4933" t="str">
        <f>HYPERLINK("https://github.com/nextcloud/android", "show")</f>
        <v>show</v>
      </c>
      <c r="H4933" t="str">
        <f>HYPERLINK("https://github.com/nextcloud/android/releases", "show")</f>
        <v>show</v>
      </c>
      <c r="I4933">
        <v>1</v>
      </c>
      <c r="J4933">
        <v>1</v>
      </c>
      <c r="K4933">
        <v>1</v>
      </c>
      <c r="L4933">
        <v>0</v>
      </c>
      <c r="M4933" t="s">
        <v>59</v>
      </c>
    </row>
    <row r="4934" spans="1:13" hidden="1" x14ac:dyDescent="0.15">
      <c r="A4934" t="s">
        <v>15590</v>
      </c>
      <c r="B4934" t="s">
        <v>15591</v>
      </c>
      <c r="C4934" t="s">
        <v>15592</v>
      </c>
      <c r="D4934" t="s">
        <v>15589</v>
      </c>
      <c r="E4934">
        <v>10</v>
      </c>
      <c r="F4934" t="str">
        <f>HYPERLINK("https://github.com/SCCapstone/PokeCompanion/issues/116", "show")</f>
        <v>show</v>
      </c>
      <c r="G4934" t="str">
        <f>HYPERLINK("https://github.com/SCCapstone/PokeCompanion", "show")</f>
        <v>show</v>
      </c>
      <c r="H4934" t="str">
        <f>HYPERLINK("https://github.com/SCCapstone/PokeCompanion/releases", "show")</f>
        <v>show</v>
      </c>
      <c r="I4934">
        <v>1</v>
      </c>
      <c r="J4934">
        <v>0</v>
      </c>
      <c r="K4934">
        <v>0</v>
      </c>
      <c r="L4934">
        <v>0</v>
      </c>
      <c r="M4934" t="s">
        <v>17</v>
      </c>
    </row>
    <row r="4935" spans="1:13" hidden="1" x14ac:dyDescent="0.15">
      <c r="A4935" t="s">
        <v>15593</v>
      </c>
      <c r="B4935" t="s">
        <v>15594</v>
      </c>
      <c r="C4935" t="s">
        <v>15595</v>
      </c>
      <c r="D4935" t="s">
        <v>15596</v>
      </c>
      <c r="E4935">
        <v>0</v>
      </c>
      <c r="F4935" t="str">
        <f>HYPERLINK("https://github.com/ankidroid/Anki-Android/issues/8610", "show")</f>
        <v>show</v>
      </c>
      <c r="G4935" t="str">
        <f>HYPERLINK("https://github.com/ankidroid/Anki-Android", "show")</f>
        <v>show</v>
      </c>
      <c r="H4935" t="str">
        <f>HYPERLINK("https://github.com/ankidroid/Anki-Android/releases", "show")</f>
        <v>show</v>
      </c>
      <c r="I4935">
        <v>0</v>
      </c>
      <c r="J4935">
        <v>0</v>
      </c>
      <c r="K4935">
        <v>1</v>
      </c>
      <c r="L4935">
        <v>0</v>
      </c>
      <c r="M4935" t="s">
        <v>122</v>
      </c>
    </row>
    <row r="4936" spans="1:13" hidden="1" x14ac:dyDescent="0.15">
      <c r="A4936" t="s">
        <v>15597</v>
      </c>
      <c r="B4936" t="s">
        <v>15598</v>
      </c>
      <c r="D4936" t="s">
        <v>15596</v>
      </c>
      <c r="E4936">
        <v>7</v>
      </c>
      <c r="F4936" t="str">
        <f>HYPERLINK("https://github.com/SCCapstone/TabDab/issues/173", "show")</f>
        <v>show</v>
      </c>
      <c r="G4936" t="str">
        <f>HYPERLINK("https://github.com/SCCapstone/TabDab", "show")</f>
        <v>show</v>
      </c>
      <c r="H4936" t="str">
        <f>HYPERLINK("https://github.com/SCCapstone/TabDab/releases", "show")</f>
        <v>show</v>
      </c>
      <c r="I4936">
        <v>1</v>
      </c>
      <c r="J4936">
        <v>0</v>
      </c>
      <c r="K4936">
        <v>0</v>
      </c>
      <c r="L4936">
        <v>0</v>
      </c>
      <c r="M4936" t="s">
        <v>17</v>
      </c>
    </row>
    <row r="4937" spans="1:13" hidden="1" x14ac:dyDescent="0.15">
      <c r="A4937" t="s">
        <v>15599</v>
      </c>
      <c r="B4937" t="s">
        <v>15600</v>
      </c>
      <c r="C4937" t="s">
        <v>15601</v>
      </c>
      <c r="D4937" t="s">
        <v>15596</v>
      </c>
      <c r="E4937">
        <v>0</v>
      </c>
      <c r="F4937" t="str">
        <f>HYPERLINK("https://github.com/square/okhttp/issues/6631", "show")</f>
        <v>show</v>
      </c>
      <c r="G4937" t="str">
        <f>HYPERLINK("https://github.com/square/okhttp", "show")</f>
        <v>show</v>
      </c>
      <c r="H4937" t="str">
        <f>HYPERLINK("https://github.com/square/okhttp/releases", "show")</f>
        <v>show</v>
      </c>
      <c r="I4937">
        <v>1</v>
      </c>
      <c r="J4937">
        <v>1</v>
      </c>
      <c r="K4937">
        <v>1</v>
      </c>
      <c r="L4937">
        <v>1</v>
      </c>
      <c r="M4937" t="s">
        <v>2875</v>
      </c>
    </row>
    <row r="4938" spans="1:13" hidden="1" x14ac:dyDescent="0.15">
      <c r="A4938" t="s">
        <v>15602</v>
      </c>
      <c r="B4938" t="s">
        <v>15603</v>
      </c>
      <c r="C4938" t="s">
        <v>15604</v>
      </c>
      <c r="D4938" t="s">
        <v>15596</v>
      </c>
      <c r="E4938">
        <v>0</v>
      </c>
      <c r="F4938" t="str">
        <f>HYPERLINK("https://github.com/Anuken/Mindustry/issues/5107", "show")</f>
        <v>show</v>
      </c>
      <c r="G4938" t="str">
        <f>HYPERLINK("https://github.com/Anuken/Mindustry", "show")</f>
        <v>show</v>
      </c>
      <c r="H4938" t="str">
        <f>HYPERLINK("https://github.com/Anuken/Mindustry/releases", "show")</f>
        <v>show</v>
      </c>
      <c r="I4938">
        <v>1</v>
      </c>
      <c r="J4938">
        <v>0</v>
      </c>
      <c r="K4938">
        <v>0</v>
      </c>
      <c r="L4938">
        <v>0</v>
      </c>
      <c r="M4938" t="s">
        <v>17</v>
      </c>
    </row>
    <row r="4939" spans="1:13" hidden="1" x14ac:dyDescent="0.15">
      <c r="A4939" t="s">
        <v>15605</v>
      </c>
      <c r="B4939" t="s">
        <v>15606</v>
      </c>
      <c r="C4939" t="s">
        <v>15607</v>
      </c>
      <c r="D4939" t="s">
        <v>15596</v>
      </c>
      <c r="E4939">
        <v>0</v>
      </c>
      <c r="F4939" t="str">
        <f>HYPERLINK("https://github.com/Anuken/Mindustry/issues/5106", "show")</f>
        <v>show</v>
      </c>
      <c r="G4939" t="str">
        <f>HYPERLINK("https://github.com/Anuken/Mindustry", "show")</f>
        <v>show</v>
      </c>
      <c r="H4939" t="str">
        <f>HYPERLINK("https://github.com/Anuken/Mindustry/releases", "show")</f>
        <v>show</v>
      </c>
      <c r="I4939">
        <v>0</v>
      </c>
      <c r="J4939">
        <v>0</v>
      </c>
      <c r="K4939">
        <v>0</v>
      </c>
      <c r="L4939">
        <v>0</v>
      </c>
      <c r="M4939" t="s">
        <v>43</v>
      </c>
    </row>
    <row r="4940" spans="1:13" hidden="1" x14ac:dyDescent="0.15">
      <c r="A4940" t="s">
        <v>15608</v>
      </c>
      <c r="B4940" t="s">
        <v>15609</v>
      </c>
      <c r="C4940" t="s">
        <v>15610</v>
      </c>
      <c r="D4940" t="s">
        <v>15596</v>
      </c>
      <c r="E4940">
        <v>4</v>
      </c>
      <c r="F4940" t="str">
        <f>HYPERLINK("https://github.com/JohnFai91/com.jason.kslo/issues/15", "show")</f>
        <v>show</v>
      </c>
      <c r="G4940" t="str">
        <f>HYPERLINK("https://github.com/JohnFai91/com.jason.kslo", "show")</f>
        <v>show</v>
      </c>
      <c r="H4940" t="str">
        <f>HYPERLINK("https://github.com/JohnFai91/com.jason.kslo/releases", "show")</f>
        <v>show</v>
      </c>
      <c r="I4940">
        <v>0</v>
      </c>
      <c r="J4940">
        <v>0</v>
      </c>
      <c r="K4940">
        <v>0</v>
      </c>
      <c r="L4940">
        <v>0</v>
      </c>
      <c r="M4940" t="s">
        <v>43</v>
      </c>
    </row>
    <row r="4941" spans="1:13" hidden="1" x14ac:dyDescent="0.15">
      <c r="A4941" t="s">
        <v>15611</v>
      </c>
      <c r="B4941" t="s">
        <v>15612</v>
      </c>
      <c r="C4941" t="s">
        <v>15613</v>
      </c>
      <c r="D4941" t="s">
        <v>15596</v>
      </c>
      <c r="E4941">
        <v>4</v>
      </c>
      <c r="F4941" t="str">
        <f>HYPERLINK("https://github.com/JohnFai91/com.jason.kslo/issues/14", "show")</f>
        <v>show</v>
      </c>
      <c r="G4941" t="str">
        <f>HYPERLINK("https://github.com/JohnFai91/com.jason.kslo", "show")</f>
        <v>show</v>
      </c>
      <c r="H4941" t="str">
        <f>HYPERLINK("https://github.com/JohnFai91/com.jason.kslo/releases", "show")</f>
        <v>show</v>
      </c>
      <c r="I4941">
        <v>0</v>
      </c>
      <c r="J4941">
        <v>0</v>
      </c>
      <c r="K4941">
        <v>0</v>
      </c>
      <c r="L4941">
        <v>0</v>
      </c>
      <c r="M4941" t="s">
        <v>43</v>
      </c>
    </row>
    <row r="4942" spans="1:13" hidden="1" x14ac:dyDescent="0.15">
      <c r="A4942" t="s">
        <v>15614</v>
      </c>
      <c r="B4942" t="s">
        <v>15615</v>
      </c>
      <c r="C4942" t="s">
        <v>15616</v>
      </c>
      <c r="D4942" t="s">
        <v>15596</v>
      </c>
      <c r="E4942">
        <v>133</v>
      </c>
      <c r="F4942" t="str">
        <f>HYPERLINK("https://github.com/TeamNewPipe/NewPipe/issues/6074", "show")</f>
        <v>show</v>
      </c>
      <c r="G4942" t="str">
        <f>HYPERLINK("https://github.com/TeamNewPipe/NewPipe", "show")</f>
        <v>show</v>
      </c>
      <c r="H4942" t="str">
        <f>HYPERLINK("https://github.com/TeamNewPipe/NewPipe/releases", "show")</f>
        <v>show</v>
      </c>
      <c r="I4942">
        <v>1</v>
      </c>
      <c r="J4942">
        <v>1</v>
      </c>
      <c r="K4942">
        <v>1</v>
      </c>
      <c r="L4942">
        <v>0</v>
      </c>
      <c r="M4942" t="s">
        <v>59</v>
      </c>
    </row>
    <row r="4943" spans="1:13" hidden="1" x14ac:dyDescent="0.15">
      <c r="A4943" t="s">
        <v>15617</v>
      </c>
      <c r="B4943" t="s">
        <v>15618</v>
      </c>
      <c r="C4943" t="s">
        <v>15619</v>
      </c>
      <c r="D4943" t="s">
        <v>15596</v>
      </c>
      <c r="E4943">
        <v>3</v>
      </c>
      <c r="F4943" t="str">
        <f>HYPERLINK("https://github.com/deltachat/deltachat-android/issues/1869", "show")</f>
        <v>show</v>
      </c>
      <c r="G4943" t="str">
        <f>HYPERLINK("https://github.com/deltachat/deltachat-android", "show")</f>
        <v>show</v>
      </c>
      <c r="H4943" t="str">
        <f>HYPERLINK("https://github.com/deltachat/deltachat-android/releases", "show")</f>
        <v>show</v>
      </c>
      <c r="I4943">
        <v>1</v>
      </c>
      <c r="J4943">
        <v>1</v>
      </c>
      <c r="K4943">
        <v>1</v>
      </c>
      <c r="L4943">
        <v>0</v>
      </c>
      <c r="M4943" t="s">
        <v>59</v>
      </c>
    </row>
    <row r="4944" spans="1:13" hidden="1" x14ac:dyDescent="0.15">
      <c r="A4944" t="s">
        <v>15620</v>
      </c>
      <c r="B4944" t="s">
        <v>15621</v>
      </c>
      <c r="C4944" t="s">
        <v>15622</v>
      </c>
      <c r="D4944" t="s">
        <v>15623</v>
      </c>
      <c r="E4944">
        <v>20</v>
      </c>
      <c r="F4944" t="str">
        <f>HYPERLINK("https://github.com/inaturalist/react-native-inat-camera/issues/53", "show")</f>
        <v>show</v>
      </c>
      <c r="G4944" t="str">
        <f>HYPERLINK("https://github.com/inaturalist/react-native-inat-camera", "show")</f>
        <v>show</v>
      </c>
      <c r="H4944" t="str">
        <f>HYPERLINK("https://github.com/inaturalist/react-native-inat-camera/releases", "show")</f>
        <v>show</v>
      </c>
      <c r="I4944">
        <v>0</v>
      </c>
      <c r="J4944">
        <v>0</v>
      </c>
      <c r="K4944">
        <v>1</v>
      </c>
      <c r="L4944">
        <v>0</v>
      </c>
      <c r="M4944" t="s">
        <v>122</v>
      </c>
    </row>
    <row r="4945" spans="1:13" hidden="1" x14ac:dyDescent="0.15">
      <c r="A4945" t="s">
        <v>15624</v>
      </c>
      <c r="B4945" t="s">
        <v>15625</v>
      </c>
      <c r="C4945" t="s">
        <v>15626</v>
      </c>
      <c r="D4945" t="s">
        <v>15623</v>
      </c>
      <c r="E4945">
        <v>36</v>
      </c>
      <c r="F4945" t="str">
        <f>HYPERLINK("https://github.com/inaturalist/react-native-inat-camera/issues/50", "show")</f>
        <v>show</v>
      </c>
      <c r="G4945" t="str">
        <f>HYPERLINK("https://github.com/inaturalist/react-native-inat-camera", "show")</f>
        <v>show</v>
      </c>
      <c r="H4945" t="str">
        <f>HYPERLINK("https://github.com/inaturalist/react-native-inat-camera/releases", "show")</f>
        <v>show</v>
      </c>
      <c r="I4945">
        <v>0</v>
      </c>
      <c r="J4945">
        <v>0</v>
      </c>
      <c r="K4945">
        <v>0</v>
      </c>
      <c r="L4945">
        <v>0</v>
      </c>
      <c r="M4945" t="s">
        <v>43</v>
      </c>
    </row>
    <row r="4946" spans="1:13" hidden="1" x14ac:dyDescent="0.15">
      <c r="A4946" t="s">
        <v>15627</v>
      </c>
      <c r="B4946" t="s">
        <v>15628</v>
      </c>
      <c r="C4946" t="s">
        <v>15629</v>
      </c>
      <c r="D4946" t="s">
        <v>15623</v>
      </c>
      <c r="E4946">
        <v>0</v>
      </c>
      <c r="F4946" t="str">
        <f>HYPERLINK("https://github.com/barbeau/gpstest/issues/498", "show")</f>
        <v>show</v>
      </c>
      <c r="G4946" t="str">
        <f>HYPERLINK("https://github.com/barbeau/gpstest", "show")</f>
        <v>show</v>
      </c>
      <c r="H4946" t="str">
        <f>HYPERLINK("https://github.com/barbeau/gpstest/releases", "show")</f>
        <v>show</v>
      </c>
      <c r="I4946">
        <v>1</v>
      </c>
      <c r="J4946">
        <v>0</v>
      </c>
      <c r="K4946">
        <v>1</v>
      </c>
      <c r="L4946">
        <v>0</v>
      </c>
      <c r="M4946" t="s">
        <v>64</v>
      </c>
    </row>
    <row r="4947" spans="1:13" hidden="1" x14ac:dyDescent="0.15">
      <c r="A4947" t="s">
        <v>15630</v>
      </c>
      <c r="B4947" t="s">
        <v>15631</v>
      </c>
      <c r="C4947" t="s">
        <v>15632</v>
      </c>
      <c r="D4947" t="s">
        <v>15623</v>
      </c>
      <c r="E4947">
        <v>1</v>
      </c>
      <c r="F4947" t="str">
        <f>HYPERLINK("https://github.com/MuntashirAkon/AppManager/issues/373", "show")</f>
        <v>show</v>
      </c>
      <c r="G4947" t="str">
        <f>HYPERLINK("https://github.com/MuntashirAkon/AppManager", "show")</f>
        <v>show</v>
      </c>
      <c r="H4947" t="str">
        <f>HYPERLINK("https://github.com/MuntashirAkon/AppManager/releases", "show")</f>
        <v>show</v>
      </c>
      <c r="I4947">
        <v>1</v>
      </c>
      <c r="J4947">
        <v>0</v>
      </c>
      <c r="K4947">
        <v>0</v>
      </c>
      <c r="L4947">
        <v>1</v>
      </c>
      <c r="M4947" t="s">
        <v>29</v>
      </c>
    </row>
    <row r="4948" spans="1:13" hidden="1" x14ac:dyDescent="0.15">
      <c r="A4948" t="s">
        <v>15633</v>
      </c>
      <c r="B4948" t="s">
        <v>15634</v>
      </c>
      <c r="C4948" t="s">
        <v>15635</v>
      </c>
      <c r="D4948" t="s">
        <v>15623</v>
      </c>
      <c r="E4948">
        <v>4</v>
      </c>
      <c r="F4948" t="str">
        <f>HYPERLINK("https://github.com/k9mail/k-9/issues/5249", "show")</f>
        <v>show</v>
      </c>
      <c r="G4948" t="str">
        <f>HYPERLINK("https://github.com/k9mail/k-9", "show")</f>
        <v>show</v>
      </c>
      <c r="H4948" t="str">
        <f>HYPERLINK("https://github.com/k9mail/k-9/releases", "show")</f>
        <v>show</v>
      </c>
      <c r="I4948">
        <v>1</v>
      </c>
      <c r="J4948">
        <v>1</v>
      </c>
      <c r="K4948">
        <v>0</v>
      </c>
      <c r="L4948">
        <v>0</v>
      </c>
      <c r="M4948" t="s">
        <v>48</v>
      </c>
    </row>
    <row r="4949" spans="1:13" hidden="1" x14ac:dyDescent="0.15">
      <c r="A4949" t="s">
        <v>15636</v>
      </c>
      <c r="B4949" t="s">
        <v>15637</v>
      </c>
      <c r="C4949" t="s">
        <v>15638</v>
      </c>
      <c r="D4949" t="s">
        <v>15623</v>
      </c>
      <c r="E4949">
        <v>8</v>
      </c>
      <c r="F4949" t="str">
        <f>HYPERLINK("https://github.com/getsentry/sentry-java/issues/1395", "show")</f>
        <v>show</v>
      </c>
      <c r="G4949" t="str">
        <f>HYPERLINK("https://github.com/getsentry/sentry-java", "show")</f>
        <v>show</v>
      </c>
      <c r="H4949" t="str">
        <f>HYPERLINK("https://github.com/getsentry/sentry-java/releases", "show")</f>
        <v>show</v>
      </c>
      <c r="I4949">
        <v>1</v>
      </c>
      <c r="J4949">
        <v>0</v>
      </c>
      <c r="K4949">
        <v>0</v>
      </c>
      <c r="L4949">
        <v>0</v>
      </c>
      <c r="M4949" t="s">
        <v>17</v>
      </c>
    </row>
    <row r="4950" spans="1:13" hidden="1" x14ac:dyDescent="0.15">
      <c r="A4950" t="s">
        <v>15639</v>
      </c>
      <c r="B4950" t="s">
        <v>15640</v>
      </c>
      <c r="C4950" t="s">
        <v>15641</v>
      </c>
      <c r="D4950" t="s">
        <v>15623</v>
      </c>
      <c r="E4950">
        <v>57</v>
      </c>
      <c r="F4950" t="str">
        <f>HYPERLINK("https://github.com/nextcloud/android/issues/8275", "show")</f>
        <v>show</v>
      </c>
      <c r="G4950" t="str">
        <f>HYPERLINK("https://github.com/nextcloud/android", "show")</f>
        <v>show</v>
      </c>
      <c r="H4950" t="str">
        <f>HYPERLINK("https://github.com/nextcloud/android/releases", "show")</f>
        <v>show</v>
      </c>
      <c r="I4950">
        <v>1</v>
      </c>
      <c r="J4950">
        <v>1</v>
      </c>
      <c r="K4950">
        <v>0</v>
      </c>
      <c r="L4950">
        <v>0</v>
      </c>
      <c r="M4950" t="s">
        <v>48</v>
      </c>
    </row>
    <row r="4951" spans="1:13" hidden="1" x14ac:dyDescent="0.15">
      <c r="A4951" t="s">
        <v>15642</v>
      </c>
      <c r="B4951" t="s">
        <v>15643</v>
      </c>
      <c r="C4951" t="s">
        <v>15644</v>
      </c>
      <c r="D4951" t="s">
        <v>15623</v>
      </c>
      <c r="E4951">
        <v>7</v>
      </c>
      <c r="F4951" t="str">
        <f>HYPERLINK("https://github.com/TeamNewPipe/NewPipe/issues/6066", "show")</f>
        <v>show</v>
      </c>
      <c r="G4951" t="str">
        <f>HYPERLINK("https://github.com/TeamNewPipe/NewPipe", "show")</f>
        <v>show</v>
      </c>
      <c r="H4951" t="str">
        <f>HYPERLINK("https://github.com/TeamNewPipe/NewPipe/releases", "show")</f>
        <v>show</v>
      </c>
      <c r="I4951">
        <v>1</v>
      </c>
      <c r="J4951">
        <v>1</v>
      </c>
      <c r="K4951">
        <v>0</v>
      </c>
      <c r="L4951">
        <v>0</v>
      </c>
      <c r="M4951" t="s">
        <v>48</v>
      </c>
    </row>
    <row r="4952" spans="1:13" hidden="1" x14ac:dyDescent="0.15">
      <c r="A4952" t="s">
        <v>15645</v>
      </c>
      <c r="B4952" t="s">
        <v>15646</v>
      </c>
      <c r="D4952" t="s">
        <v>15623</v>
      </c>
      <c r="E4952">
        <v>0</v>
      </c>
      <c r="F4952" t="str">
        <f>HYPERLINK("https://github.com/Stephenklop/School-Movie-Android-App-Project/issues/86", "show")</f>
        <v>show</v>
      </c>
      <c r="G4952" t="str">
        <f>HYPERLINK("https://github.com/Stephenklop/School-Movie-Android-App-Project", "show")</f>
        <v>show</v>
      </c>
      <c r="H4952" t="str">
        <f>HYPERLINK("https://github.com/Stephenklop/School-Movie-Android-App-Project/releases", "show")</f>
        <v>show</v>
      </c>
      <c r="I4952">
        <v>0</v>
      </c>
      <c r="J4952">
        <v>0</v>
      </c>
      <c r="K4952">
        <v>0</v>
      </c>
      <c r="L4952">
        <v>0</v>
      </c>
      <c r="M4952" t="s">
        <v>43</v>
      </c>
    </row>
    <row r="4953" spans="1:13" hidden="1" x14ac:dyDescent="0.15">
      <c r="A4953" t="s">
        <v>15647</v>
      </c>
      <c r="B4953" t="s">
        <v>15648</v>
      </c>
      <c r="C4953" t="s">
        <v>15649</v>
      </c>
      <c r="D4953" t="s">
        <v>15623</v>
      </c>
      <c r="E4953">
        <v>0</v>
      </c>
      <c r="F4953" t="str">
        <f>HYPERLINK("https://github.com/Stephenklop/School-Movie-Android-App-Project/issues/84", "show")</f>
        <v>show</v>
      </c>
      <c r="G4953" t="str">
        <f>HYPERLINK("https://github.com/Stephenklop/School-Movie-Android-App-Project", "show")</f>
        <v>show</v>
      </c>
      <c r="H4953" t="str">
        <f>HYPERLINK("https://github.com/Stephenklop/School-Movie-Android-App-Project/releases", "show")</f>
        <v>show</v>
      </c>
      <c r="I4953">
        <v>0</v>
      </c>
      <c r="J4953">
        <v>0</v>
      </c>
      <c r="K4953">
        <v>0</v>
      </c>
      <c r="L4953">
        <v>0</v>
      </c>
      <c r="M4953" t="s">
        <v>43</v>
      </c>
    </row>
    <row r="4954" spans="1:13" hidden="1" x14ac:dyDescent="0.15">
      <c r="A4954" t="s">
        <v>15650</v>
      </c>
      <c r="B4954" t="s">
        <v>15651</v>
      </c>
      <c r="D4954" t="s">
        <v>15652</v>
      </c>
      <c r="E4954">
        <v>1</v>
      </c>
      <c r="F4954" t="str">
        <f>HYPERLINK("https://github.com/Stephenklop/School-Movie-Android-App-Project/issues/80", "show")</f>
        <v>show</v>
      </c>
      <c r="G4954" t="str">
        <f>HYPERLINK("https://github.com/Stephenklop/School-Movie-Android-App-Project", "show")</f>
        <v>show</v>
      </c>
      <c r="H4954" t="str">
        <f>HYPERLINK("https://github.com/Stephenklop/School-Movie-Android-App-Project/releases", "show")</f>
        <v>show</v>
      </c>
      <c r="I4954">
        <v>0</v>
      </c>
      <c r="J4954">
        <v>0</v>
      </c>
      <c r="K4954">
        <v>0</v>
      </c>
      <c r="L4954">
        <v>0</v>
      </c>
      <c r="M4954" t="s">
        <v>43</v>
      </c>
    </row>
    <row r="4955" spans="1:13" hidden="1" x14ac:dyDescent="0.15">
      <c r="A4955" t="s">
        <v>15653</v>
      </c>
      <c r="B4955" t="s">
        <v>15654</v>
      </c>
      <c r="C4955" t="s">
        <v>15655</v>
      </c>
      <c r="D4955" t="s">
        <v>15652</v>
      </c>
      <c r="E4955">
        <v>0</v>
      </c>
      <c r="F4955" t="str">
        <f>HYPERLINK("https://github.com/Anuken/Mindustry/issues/5099", "show")</f>
        <v>show</v>
      </c>
      <c r="G4955" t="str">
        <f>HYPERLINK("https://github.com/Anuken/Mindustry", "show")</f>
        <v>show</v>
      </c>
      <c r="H4955" t="str">
        <f>HYPERLINK("https://github.com/Anuken/Mindustry/releases", "show")</f>
        <v>show</v>
      </c>
      <c r="I4955">
        <v>1</v>
      </c>
      <c r="J4955">
        <v>1</v>
      </c>
      <c r="K4955">
        <v>0</v>
      </c>
      <c r="L4955">
        <v>0</v>
      </c>
      <c r="M4955" t="s">
        <v>48</v>
      </c>
    </row>
    <row r="4956" spans="1:13" hidden="1" x14ac:dyDescent="0.15">
      <c r="A4956" t="s">
        <v>15656</v>
      </c>
      <c r="B4956" t="s">
        <v>15657</v>
      </c>
      <c r="C4956" t="s">
        <v>15346</v>
      </c>
      <c r="D4956" t="s">
        <v>15652</v>
      </c>
      <c r="E4956">
        <v>0</v>
      </c>
      <c r="F4956" t="str">
        <f>HYPERLINK("https://github.com/PojavLauncherTeam/PojavLauncher/issues/1209", "show")</f>
        <v>show</v>
      </c>
      <c r="G4956" t="str">
        <f>HYPERLINK("https://github.com/PojavLauncherTeam/PojavLauncher", "show")</f>
        <v>show</v>
      </c>
      <c r="H4956" t="str">
        <f>HYPERLINK("https://github.com/PojavLauncherTeam/PojavLauncher/releases", "show")</f>
        <v>show</v>
      </c>
      <c r="I4956">
        <v>1</v>
      </c>
      <c r="J4956">
        <v>1</v>
      </c>
      <c r="K4956">
        <v>0</v>
      </c>
      <c r="L4956">
        <v>0</v>
      </c>
      <c r="M4956" t="s">
        <v>48</v>
      </c>
    </row>
    <row r="4957" spans="1:13" hidden="1" x14ac:dyDescent="0.15">
      <c r="A4957" t="s">
        <v>15658</v>
      </c>
      <c r="B4957" t="s">
        <v>15659</v>
      </c>
      <c r="C4957" t="s">
        <v>15660</v>
      </c>
      <c r="D4957" t="s">
        <v>15652</v>
      </c>
      <c r="E4957">
        <v>113</v>
      </c>
      <c r="F4957" t="str">
        <f>HYPERLINK("https://github.com/cgeo/cgeo/issues/10374", "show")</f>
        <v>show</v>
      </c>
      <c r="G4957" t="str">
        <f>HYPERLINK("https://github.com/cgeo/cgeo", "show")</f>
        <v>show</v>
      </c>
      <c r="H4957" t="str">
        <f>HYPERLINK("https://github.com/cgeo/cgeo/releases", "show")</f>
        <v>show</v>
      </c>
      <c r="I4957">
        <v>1</v>
      </c>
      <c r="J4957">
        <v>1</v>
      </c>
      <c r="K4957">
        <v>1</v>
      </c>
      <c r="L4957">
        <v>0</v>
      </c>
      <c r="M4957" t="s">
        <v>59</v>
      </c>
    </row>
    <row r="4958" spans="1:13" hidden="1" x14ac:dyDescent="0.15">
      <c r="A4958" t="s">
        <v>15661</v>
      </c>
      <c r="B4958" t="s">
        <v>15662</v>
      </c>
      <c r="C4958" t="s">
        <v>15663</v>
      </c>
      <c r="D4958" t="s">
        <v>15652</v>
      </c>
      <c r="E4958">
        <v>31</v>
      </c>
      <c r="F4958" t="str">
        <f>HYPERLINK("https://github.com/opensrp/opensrp-client-native-form/issues/567", "show")</f>
        <v>show</v>
      </c>
      <c r="G4958" t="str">
        <f>HYPERLINK("https://github.com/opensrp/opensrp-client-native-form", "show")</f>
        <v>show</v>
      </c>
      <c r="H4958" t="str">
        <f>HYPERLINK("https://github.com/opensrp/opensrp-client-native-form/releases", "show")</f>
        <v>show</v>
      </c>
      <c r="I4958">
        <v>1</v>
      </c>
      <c r="J4958">
        <v>0</v>
      </c>
      <c r="K4958">
        <v>0</v>
      </c>
      <c r="L4958">
        <v>0</v>
      </c>
      <c r="M4958" t="s">
        <v>17</v>
      </c>
    </row>
    <row r="4959" spans="1:13" hidden="1" x14ac:dyDescent="0.15">
      <c r="A4959" t="s">
        <v>15664</v>
      </c>
      <c r="B4959" t="s">
        <v>15665</v>
      </c>
      <c r="C4959" t="s">
        <v>15666</v>
      </c>
      <c r="D4959" t="s">
        <v>15652</v>
      </c>
      <c r="E4959">
        <v>49</v>
      </c>
      <c r="F4959" t="str">
        <f>HYPERLINK("https://github.com/MuntashirAkon/AppManager/issues/370", "show")</f>
        <v>show</v>
      </c>
      <c r="G4959" t="str">
        <f>HYPERLINK("https://github.com/MuntashirAkon/AppManager", "show")</f>
        <v>show</v>
      </c>
      <c r="H4959" t="str">
        <f>HYPERLINK("https://github.com/MuntashirAkon/AppManager/releases", "show")</f>
        <v>show</v>
      </c>
      <c r="I4959">
        <v>1</v>
      </c>
      <c r="J4959">
        <v>0</v>
      </c>
      <c r="K4959">
        <v>0</v>
      </c>
      <c r="L4959">
        <v>0</v>
      </c>
      <c r="M4959" t="s">
        <v>17</v>
      </c>
    </row>
    <row r="4960" spans="1:13" hidden="1" x14ac:dyDescent="0.15">
      <c r="A4960" t="s">
        <v>15667</v>
      </c>
      <c r="B4960" t="s">
        <v>15668</v>
      </c>
      <c r="C4960" t="s">
        <v>15669</v>
      </c>
      <c r="D4960" t="s">
        <v>15652</v>
      </c>
      <c r="E4960">
        <v>0</v>
      </c>
      <c r="F4960" t="str">
        <f>HYPERLINK("https://github.com/PojavLauncherTeam/PojavLauncher/issues/1201", "show")</f>
        <v>show</v>
      </c>
      <c r="G4960" t="str">
        <f>HYPERLINK("https://github.com/PojavLauncherTeam/PojavLauncher", "show")</f>
        <v>show</v>
      </c>
      <c r="H4960" t="str">
        <f>HYPERLINK("https://github.com/PojavLauncherTeam/PojavLauncher/releases", "show")</f>
        <v>show</v>
      </c>
      <c r="I4960">
        <v>0</v>
      </c>
      <c r="J4960">
        <v>0</v>
      </c>
      <c r="K4960">
        <v>0</v>
      </c>
      <c r="L4960">
        <v>0</v>
      </c>
      <c r="M4960" t="s">
        <v>43</v>
      </c>
    </row>
    <row r="4961" spans="1:13" hidden="1" x14ac:dyDescent="0.15">
      <c r="A4961" t="s">
        <v>15670</v>
      </c>
      <c r="B4961" t="s">
        <v>15671</v>
      </c>
      <c r="C4961" t="s">
        <v>15669</v>
      </c>
      <c r="D4961" t="s">
        <v>15652</v>
      </c>
      <c r="E4961">
        <v>0</v>
      </c>
      <c r="F4961" t="str">
        <f>HYPERLINK("https://github.com/PojavLauncherTeam/PojavLauncher/issues/1200", "show")</f>
        <v>show</v>
      </c>
      <c r="G4961" t="str">
        <f>HYPERLINK("https://github.com/PojavLauncherTeam/PojavLauncher", "show")</f>
        <v>show</v>
      </c>
      <c r="H4961" t="str">
        <f>HYPERLINK("https://github.com/PojavLauncherTeam/PojavLauncher/releases", "show")</f>
        <v>show</v>
      </c>
      <c r="I4961">
        <v>0</v>
      </c>
      <c r="J4961">
        <v>0</v>
      </c>
      <c r="K4961">
        <v>0</v>
      </c>
      <c r="L4961">
        <v>0</v>
      </c>
      <c r="M4961" t="s">
        <v>43</v>
      </c>
    </row>
    <row r="4962" spans="1:13" hidden="1" x14ac:dyDescent="0.15">
      <c r="A4962" t="s">
        <v>15672</v>
      </c>
      <c r="B4962" t="s">
        <v>15673</v>
      </c>
      <c r="C4962" t="s">
        <v>15674</v>
      </c>
      <c r="D4962" t="s">
        <v>15652</v>
      </c>
      <c r="E4962">
        <v>11</v>
      </c>
      <c r="F4962" t="str">
        <f>HYPERLINK("https://github.com/XiangRongLin/NewPipe-preuinified/issues/1", "show")</f>
        <v>show</v>
      </c>
      <c r="G4962" t="str">
        <f>HYPERLINK("https://github.com/XiangRongLin/NewPipe-preuinified", "show")</f>
        <v>show</v>
      </c>
      <c r="H4962" t="str">
        <f>HYPERLINK("https://github.com/XiangRongLin/NewPipe-preuinified/releases", "show")</f>
        <v>show</v>
      </c>
      <c r="I4962">
        <v>1</v>
      </c>
      <c r="J4962">
        <v>0</v>
      </c>
      <c r="K4962">
        <v>0</v>
      </c>
      <c r="L4962">
        <v>1</v>
      </c>
      <c r="M4962" t="s">
        <v>29</v>
      </c>
    </row>
    <row r="4963" spans="1:13" hidden="1" x14ac:dyDescent="0.15">
      <c r="A4963" t="s">
        <v>15675</v>
      </c>
      <c r="B4963" t="s">
        <v>15676</v>
      </c>
      <c r="C4963" t="s">
        <v>15677</v>
      </c>
      <c r="D4963" t="s">
        <v>15678</v>
      </c>
      <c r="E4963">
        <v>1</v>
      </c>
      <c r="F4963" t="str">
        <f>HYPERLINK("https://github.com/PojavLauncherTeam/PojavLauncher/issues/1198", "show")</f>
        <v>show</v>
      </c>
      <c r="G4963" t="str">
        <f>HYPERLINK("https://github.com/PojavLauncherTeam/PojavLauncher", "show")</f>
        <v>show</v>
      </c>
      <c r="H4963" t="str">
        <f>HYPERLINK("https://github.com/PojavLauncherTeam/PojavLauncher/releases", "show")</f>
        <v>show</v>
      </c>
      <c r="I4963">
        <v>1</v>
      </c>
      <c r="J4963">
        <v>1</v>
      </c>
      <c r="K4963">
        <v>0</v>
      </c>
      <c r="L4963">
        <v>0</v>
      </c>
      <c r="M4963" t="s">
        <v>48</v>
      </c>
    </row>
    <row r="4964" spans="1:13" hidden="1" x14ac:dyDescent="0.15">
      <c r="A4964" t="s">
        <v>15679</v>
      </c>
      <c r="B4964" t="s">
        <v>15680</v>
      </c>
      <c r="C4964" t="s">
        <v>15681</v>
      </c>
      <c r="D4964" t="s">
        <v>15678</v>
      </c>
      <c r="E4964">
        <v>4</v>
      </c>
      <c r="F4964" t="str">
        <f>HYPERLINK("https://github.com/andOTP/andOTP/issues/806", "show")</f>
        <v>show</v>
      </c>
      <c r="G4964" t="str">
        <f>HYPERLINK("https://github.com/andOTP/andOTP", "show")</f>
        <v>show</v>
      </c>
      <c r="H4964" t="str">
        <f>HYPERLINK("https://github.com/andOTP/andOTP/releases", "show")</f>
        <v>show</v>
      </c>
      <c r="I4964">
        <v>1</v>
      </c>
      <c r="J4964">
        <v>1</v>
      </c>
      <c r="K4964">
        <v>0</v>
      </c>
      <c r="L4964">
        <v>0</v>
      </c>
      <c r="M4964" t="s">
        <v>48</v>
      </c>
    </row>
    <row r="4965" spans="1:13" hidden="1" x14ac:dyDescent="0.15">
      <c r="A4965" t="s">
        <v>15682</v>
      </c>
      <c r="B4965" t="s">
        <v>15683</v>
      </c>
      <c r="C4965" t="s">
        <v>15684</v>
      </c>
      <c r="D4965" t="s">
        <v>15678</v>
      </c>
      <c r="E4965">
        <v>0</v>
      </c>
      <c r="F4965" t="str">
        <f>HYPERLINK("https://github.com/mitulbipin/RxMedicus/issues/1", "show")</f>
        <v>show</v>
      </c>
      <c r="G4965" t="str">
        <f>HYPERLINK("https://github.com/mitulbipin/RxMedicus", "show")</f>
        <v>show</v>
      </c>
      <c r="H4965" t="str">
        <f>HYPERLINK("https://github.com/mitulbipin/RxMedicus/releases", "show")</f>
        <v>show</v>
      </c>
      <c r="I4965">
        <v>0</v>
      </c>
      <c r="J4965">
        <v>0</v>
      </c>
      <c r="K4965">
        <v>0</v>
      </c>
      <c r="L4965">
        <v>0</v>
      </c>
      <c r="M4965" t="s">
        <v>43</v>
      </c>
    </row>
    <row r="4966" spans="1:13" hidden="1" x14ac:dyDescent="0.15">
      <c r="A4966" t="s">
        <v>15685</v>
      </c>
      <c r="B4966" t="s">
        <v>15686</v>
      </c>
      <c r="C4966" t="s">
        <v>15687</v>
      </c>
      <c r="D4966" t="s">
        <v>15678</v>
      </c>
      <c r="E4966">
        <v>0</v>
      </c>
      <c r="F4966" t="str">
        <f>HYPERLINK("https://github.com/uscki/Wilson-Android/issues/220", "show")</f>
        <v>show</v>
      </c>
      <c r="G4966" t="str">
        <f>HYPERLINK("https://github.com/uscki/Wilson-Android", "show")</f>
        <v>show</v>
      </c>
      <c r="H4966" t="str">
        <f>HYPERLINK("https://github.com/uscki/Wilson-Android/releases", "show")</f>
        <v>show</v>
      </c>
      <c r="I4966">
        <v>0</v>
      </c>
      <c r="J4966">
        <v>0</v>
      </c>
      <c r="K4966">
        <v>0</v>
      </c>
      <c r="L4966">
        <v>0</v>
      </c>
      <c r="M4966" t="s">
        <v>43</v>
      </c>
    </row>
    <row r="4967" spans="1:13" hidden="1" x14ac:dyDescent="0.15">
      <c r="A4967" t="s">
        <v>15688</v>
      </c>
      <c r="B4967" t="s">
        <v>15689</v>
      </c>
      <c r="C4967" t="s">
        <v>15690</v>
      </c>
      <c r="D4967" t="s">
        <v>15678</v>
      </c>
      <c r="E4967">
        <v>29</v>
      </c>
      <c r="F4967" t="str">
        <f>HYPERLINK("https://github.com/ultrasonic/ultrasonic/issues/415", "show")</f>
        <v>show</v>
      </c>
      <c r="G4967" t="str">
        <f>HYPERLINK("https://github.com/ultrasonic/ultrasonic", "show")</f>
        <v>show</v>
      </c>
      <c r="H4967" t="str">
        <f>HYPERLINK("https://github.com/ultrasonic/ultrasonic/releases", "show")</f>
        <v>show</v>
      </c>
      <c r="I4967">
        <v>1</v>
      </c>
      <c r="J4967">
        <v>0</v>
      </c>
      <c r="K4967">
        <v>1</v>
      </c>
      <c r="L4967">
        <v>0</v>
      </c>
      <c r="M4967" t="s">
        <v>64</v>
      </c>
    </row>
    <row r="4968" spans="1:13" hidden="1" x14ac:dyDescent="0.15">
      <c r="A4968" t="s">
        <v>15691</v>
      </c>
      <c r="B4968" t="s">
        <v>15692</v>
      </c>
      <c r="C4968" t="s">
        <v>15693</v>
      </c>
      <c r="D4968" t="s">
        <v>15678</v>
      </c>
      <c r="E4968">
        <v>28</v>
      </c>
      <c r="F4968" t="str">
        <f>HYPERLINK("https://github.com/MuntashirAkon/AppManager/issues/367", "show")</f>
        <v>show</v>
      </c>
      <c r="G4968" t="str">
        <f>HYPERLINK("https://github.com/MuntashirAkon/AppManager", "show")</f>
        <v>show</v>
      </c>
      <c r="H4968" t="str">
        <f>HYPERLINK("https://github.com/MuntashirAkon/AppManager/releases", "show")</f>
        <v>show</v>
      </c>
      <c r="I4968">
        <v>1</v>
      </c>
      <c r="J4968">
        <v>1</v>
      </c>
      <c r="K4968">
        <v>0</v>
      </c>
      <c r="L4968">
        <v>0</v>
      </c>
      <c r="M4968" t="s">
        <v>48</v>
      </c>
    </row>
    <row r="4969" spans="1:13" hidden="1" x14ac:dyDescent="0.15">
      <c r="A4969" t="s">
        <v>15694</v>
      </c>
      <c r="B4969" t="s">
        <v>15695</v>
      </c>
      <c r="C4969" t="s">
        <v>15696</v>
      </c>
      <c r="D4969" t="s">
        <v>15697</v>
      </c>
      <c r="E4969">
        <v>1</v>
      </c>
      <c r="F4969" t="str">
        <f>HYPERLINK("https://github.com/UniRegensburg/unsere-app-fur-die-universitat-regensburg-bib-buddy/issues/158", "show")</f>
        <v>show</v>
      </c>
      <c r="G4969" t="str">
        <f>HYPERLINK("https://github.com/UniRegensburg/unsere-app-fur-die-universitat-regensburg-bib-buddy", "show")</f>
        <v>show</v>
      </c>
      <c r="H4969" t="str">
        <f>HYPERLINK("https://github.com/UniRegensburg/unsere-app-fur-die-universitat-regensburg-bib-buddy/releases", "show")</f>
        <v>show</v>
      </c>
      <c r="I4969">
        <v>1</v>
      </c>
      <c r="J4969">
        <v>0</v>
      </c>
      <c r="K4969">
        <v>0</v>
      </c>
      <c r="L4969">
        <v>0</v>
      </c>
      <c r="M4969" t="s">
        <v>17</v>
      </c>
    </row>
    <row r="4970" spans="1:13" x14ac:dyDescent="0.15">
      <c r="A4970" t="s">
        <v>15698</v>
      </c>
      <c r="B4970" t="s">
        <v>15699</v>
      </c>
      <c r="C4970" t="s">
        <v>11582</v>
      </c>
      <c r="D4970" t="s">
        <v>15697</v>
      </c>
      <c r="E4970">
        <v>16</v>
      </c>
      <c r="F4970" t="str">
        <f>HYPERLINK("https://github.com/nextcloud/android/issues/8265", "show")</f>
        <v>show</v>
      </c>
      <c r="G4970" t="str">
        <f>HYPERLINK("https://github.com/nextcloud/android", "show")</f>
        <v>show</v>
      </c>
      <c r="H4970" t="str">
        <f>HYPERLINK("https://github.com/nextcloud/android/releases", "show")</f>
        <v>show</v>
      </c>
      <c r="I4970">
        <v>0</v>
      </c>
      <c r="J4970">
        <v>1</v>
      </c>
      <c r="K4970">
        <v>0</v>
      </c>
      <c r="L4970">
        <v>0</v>
      </c>
      <c r="M4970" t="s">
        <v>139</v>
      </c>
    </row>
    <row r="4971" spans="1:13" hidden="1" x14ac:dyDescent="0.15">
      <c r="A4971" t="s">
        <v>15700</v>
      </c>
      <c r="B4971" t="s">
        <v>15701</v>
      </c>
      <c r="D4971" t="s">
        <v>15697</v>
      </c>
      <c r="E4971">
        <v>0</v>
      </c>
      <c r="F4971" t="str">
        <f>HYPERLINK("https://github.com/hintofbasil/Hodl/issues/29", "show")</f>
        <v>show</v>
      </c>
      <c r="G4971" t="str">
        <f>HYPERLINK("https://github.com/hintofbasil/Hodl", "show")</f>
        <v>show</v>
      </c>
      <c r="H4971" t="str">
        <f>HYPERLINK("https://github.com/hintofbasil/Hodl/releases", "show")</f>
        <v>show</v>
      </c>
      <c r="I4971">
        <v>1</v>
      </c>
      <c r="J4971">
        <v>0</v>
      </c>
      <c r="K4971">
        <v>0</v>
      </c>
      <c r="L4971">
        <v>0</v>
      </c>
      <c r="M4971" t="s">
        <v>17</v>
      </c>
    </row>
    <row r="4972" spans="1:13" x14ac:dyDescent="0.15">
      <c r="A4972" t="s">
        <v>15702</v>
      </c>
      <c r="B4972" t="s">
        <v>15703</v>
      </c>
      <c r="C4972" t="s">
        <v>15704</v>
      </c>
      <c r="D4972" t="s">
        <v>15705</v>
      </c>
      <c r="E4972">
        <v>0</v>
      </c>
      <c r="F4972" t="str">
        <f>HYPERLINK("https://github.com/Anuken/Mindustry/issues/5087", "show")</f>
        <v>show</v>
      </c>
      <c r="G4972" t="str">
        <f>HYPERLINK("https://github.com/Anuken/Mindustry", "show")</f>
        <v>show</v>
      </c>
      <c r="H4972" t="str">
        <f>HYPERLINK("https://github.com/Anuken/Mindustry/releases", "show")</f>
        <v>show</v>
      </c>
      <c r="I4972">
        <v>0</v>
      </c>
      <c r="J4972">
        <v>1</v>
      </c>
      <c r="K4972">
        <v>0</v>
      </c>
      <c r="L4972">
        <v>0</v>
      </c>
      <c r="M4972" t="s">
        <v>139</v>
      </c>
    </row>
    <row r="4973" spans="1:13" hidden="1" x14ac:dyDescent="0.15">
      <c r="A4973" t="s">
        <v>15706</v>
      </c>
      <c r="B4973" t="s">
        <v>15707</v>
      </c>
      <c r="C4973" t="s">
        <v>15708</v>
      </c>
      <c r="D4973" t="s">
        <v>15705</v>
      </c>
      <c r="E4973">
        <v>0</v>
      </c>
      <c r="F4973" t="str">
        <f>HYPERLINK("https://github.com/sschueller/peertube-android/issues/268", "show")</f>
        <v>show</v>
      </c>
      <c r="G4973" t="str">
        <f>HYPERLINK("https://github.com/sschueller/peertube-android", "show")</f>
        <v>show</v>
      </c>
      <c r="H4973" t="str">
        <f>HYPERLINK("https://github.com/sschueller/peertube-android/releases", "show")</f>
        <v>show</v>
      </c>
      <c r="I4973">
        <v>1</v>
      </c>
      <c r="J4973">
        <v>0</v>
      </c>
      <c r="K4973">
        <v>0</v>
      </c>
      <c r="L4973">
        <v>0</v>
      </c>
      <c r="M4973" t="s">
        <v>17</v>
      </c>
    </row>
    <row r="4974" spans="1:13" hidden="1" x14ac:dyDescent="0.15">
      <c r="A4974" t="s">
        <v>15709</v>
      </c>
      <c r="B4974" t="s">
        <v>15710</v>
      </c>
      <c r="C4974" t="s">
        <v>15711</v>
      </c>
      <c r="D4974" t="s">
        <v>15705</v>
      </c>
      <c r="E4974">
        <v>8</v>
      </c>
      <c r="F4974" t="str">
        <f>HYPERLINK("https://github.com/jellyfin/jellyfin-androidtv/issues/812", "show")</f>
        <v>show</v>
      </c>
      <c r="G4974" t="str">
        <f>HYPERLINK("https://github.com/jellyfin/jellyfin-androidtv", "show")</f>
        <v>show</v>
      </c>
      <c r="H4974" t="str">
        <f>HYPERLINK("https://github.com/jellyfin/jellyfin-androidtv/releases", "show")</f>
        <v>show</v>
      </c>
      <c r="I4974">
        <v>1</v>
      </c>
      <c r="J4974">
        <v>1</v>
      </c>
      <c r="K4974">
        <v>0</v>
      </c>
      <c r="L4974">
        <v>0</v>
      </c>
      <c r="M4974" t="s">
        <v>48</v>
      </c>
    </row>
    <row r="4975" spans="1:13" hidden="1" x14ac:dyDescent="0.15">
      <c r="A4975" t="s">
        <v>15712</v>
      </c>
      <c r="B4975" t="s">
        <v>15713</v>
      </c>
      <c r="C4975" t="s">
        <v>15714</v>
      </c>
      <c r="D4975" t="s">
        <v>15705</v>
      </c>
      <c r="E4975">
        <v>7</v>
      </c>
      <c r="F4975" t="str">
        <f>HYPERLINK("https://github.com/deepjavalibrary/djl/issues/838", "show")</f>
        <v>show</v>
      </c>
      <c r="G4975" t="str">
        <f>HYPERLINK("https://github.com/deepjavalibrary/djl", "show")</f>
        <v>show</v>
      </c>
      <c r="H4975" t="str">
        <f>HYPERLINK("https://github.com/deepjavalibrary/djl/releases", "show")</f>
        <v>show</v>
      </c>
      <c r="I4975">
        <v>0</v>
      </c>
      <c r="J4975">
        <v>0</v>
      </c>
      <c r="K4975">
        <v>0</v>
      </c>
      <c r="L4975">
        <v>1</v>
      </c>
      <c r="M4975" t="s">
        <v>581</v>
      </c>
    </row>
    <row r="4976" spans="1:13" hidden="1" x14ac:dyDescent="0.15">
      <c r="A4976" t="s">
        <v>15715</v>
      </c>
      <c r="B4976" t="s">
        <v>15716</v>
      </c>
      <c r="C4976" t="s">
        <v>15717</v>
      </c>
      <c r="D4976" t="s">
        <v>15705</v>
      </c>
      <c r="E4976">
        <v>0</v>
      </c>
      <c r="F4976" t="str">
        <f>HYPERLINK("https://github.com/Anuken/Mindustry/issues/5085", "show")</f>
        <v>show</v>
      </c>
      <c r="G4976" t="str">
        <f>HYPERLINK("https://github.com/Anuken/Mindustry", "show")</f>
        <v>show</v>
      </c>
      <c r="H4976" t="str">
        <f>HYPERLINK("https://github.com/Anuken/Mindustry/releases", "show")</f>
        <v>show</v>
      </c>
      <c r="I4976">
        <v>1</v>
      </c>
      <c r="J4976">
        <v>1</v>
      </c>
      <c r="K4976">
        <v>0</v>
      </c>
      <c r="L4976">
        <v>1</v>
      </c>
      <c r="M4976" t="s">
        <v>1894</v>
      </c>
    </row>
    <row r="4977" spans="1:13" hidden="1" x14ac:dyDescent="0.15">
      <c r="A4977" t="s">
        <v>15718</v>
      </c>
      <c r="B4977" t="s">
        <v>15719</v>
      </c>
      <c r="C4977" t="s">
        <v>15720</v>
      </c>
      <c r="D4977" t="s">
        <v>15721</v>
      </c>
      <c r="E4977">
        <v>0</v>
      </c>
      <c r="F4977" t="str">
        <f>HYPERLINK("https://github.com/Anuken/Mindustry/issues/5083", "show")</f>
        <v>show</v>
      </c>
      <c r="G4977" t="str">
        <f>HYPERLINK("https://github.com/Anuken/Mindustry", "show")</f>
        <v>show</v>
      </c>
      <c r="H4977" t="str">
        <f>HYPERLINK("https://github.com/Anuken/Mindustry/releases", "show")</f>
        <v>show</v>
      </c>
      <c r="I4977">
        <v>1</v>
      </c>
      <c r="J4977">
        <v>1</v>
      </c>
      <c r="K4977">
        <v>0</v>
      </c>
      <c r="L4977">
        <v>0</v>
      </c>
      <c r="M4977" t="s">
        <v>48</v>
      </c>
    </row>
    <row r="4978" spans="1:13" x14ac:dyDescent="0.15">
      <c r="A4978" t="s">
        <v>15722</v>
      </c>
      <c r="B4978" t="s">
        <v>15723</v>
      </c>
      <c r="C4978" t="s">
        <v>15724</v>
      </c>
      <c r="D4978" t="s">
        <v>15721</v>
      </c>
      <c r="E4978">
        <v>310</v>
      </c>
      <c r="F4978" t="str">
        <f>HYPERLINK("https://github.com/flackbash/AudioAnchor/issues/102", "show")</f>
        <v>show</v>
      </c>
      <c r="G4978" t="str">
        <f>HYPERLINK("https://github.com/flackbash/AudioAnchor", "show")</f>
        <v>show</v>
      </c>
      <c r="H4978" t="str">
        <f>HYPERLINK("https://github.com/flackbash/AudioAnchor/releases", "show")</f>
        <v>show</v>
      </c>
      <c r="I4978">
        <v>0</v>
      </c>
      <c r="J4978">
        <v>1</v>
      </c>
      <c r="K4978">
        <v>0</v>
      </c>
      <c r="L4978">
        <v>0</v>
      </c>
      <c r="M4978" t="s">
        <v>139</v>
      </c>
    </row>
    <row r="4979" spans="1:13" hidden="1" x14ac:dyDescent="0.15">
      <c r="A4979" t="s">
        <v>15725</v>
      </c>
      <c r="B4979" t="s">
        <v>15726</v>
      </c>
      <c r="C4979" t="s">
        <v>15727</v>
      </c>
      <c r="D4979" t="s">
        <v>15721</v>
      </c>
      <c r="E4979">
        <v>273</v>
      </c>
      <c r="F4979" t="str">
        <f>HYPERLINK("https://github.com/PojavLauncherTeam/PojavLauncher/issues/1187", "show")</f>
        <v>show</v>
      </c>
      <c r="G4979" t="str">
        <f>HYPERLINK("https://github.com/PojavLauncherTeam/PojavLauncher", "show")</f>
        <v>show</v>
      </c>
      <c r="H4979" t="str">
        <f>HYPERLINK("https://github.com/PojavLauncherTeam/PojavLauncher/releases", "show")</f>
        <v>show</v>
      </c>
      <c r="I4979">
        <v>1</v>
      </c>
      <c r="J4979">
        <v>0</v>
      </c>
      <c r="K4979">
        <v>0</v>
      </c>
      <c r="L4979">
        <v>0</v>
      </c>
      <c r="M4979" t="s">
        <v>17</v>
      </c>
    </row>
    <row r="4980" spans="1:13" hidden="1" x14ac:dyDescent="0.15">
      <c r="A4980" t="s">
        <v>15728</v>
      </c>
      <c r="B4980" t="s">
        <v>15729</v>
      </c>
      <c r="C4980" t="s">
        <v>15730</v>
      </c>
      <c r="D4980" t="s">
        <v>15731</v>
      </c>
      <c r="E4980">
        <v>0</v>
      </c>
      <c r="F4980" t="str">
        <f>HYPERLINK("https://github.com/Anuken/Mindustry/issues/5076", "show")</f>
        <v>show</v>
      </c>
      <c r="G4980" t="str">
        <f>HYPERLINK("https://github.com/Anuken/Mindustry", "show")</f>
        <v>show</v>
      </c>
      <c r="H4980" t="str">
        <f>HYPERLINK("https://github.com/Anuken/Mindustry/releases", "show")</f>
        <v>show</v>
      </c>
      <c r="I4980">
        <v>0</v>
      </c>
      <c r="J4980">
        <v>0</v>
      </c>
      <c r="K4980">
        <v>0</v>
      </c>
      <c r="L4980">
        <v>0</v>
      </c>
      <c r="M4980" t="s">
        <v>43</v>
      </c>
    </row>
    <row r="4981" spans="1:13" hidden="1" x14ac:dyDescent="0.15">
      <c r="A4981" t="s">
        <v>15732</v>
      </c>
      <c r="B4981" t="s">
        <v>15733</v>
      </c>
      <c r="C4981" t="s">
        <v>15346</v>
      </c>
      <c r="D4981" t="s">
        <v>15731</v>
      </c>
      <c r="E4981">
        <v>1</v>
      </c>
      <c r="F4981" t="str">
        <f>HYPERLINK("https://github.com/PojavLauncherTeam/PojavLauncher/issues/1183", "show")</f>
        <v>show</v>
      </c>
      <c r="G4981" t="str">
        <f>HYPERLINK("https://github.com/PojavLauncherTeam/PojavLauncher", "show")</f>
        <v>show</v>
      </c>
      <c r="H4981" t="str">
        <f>HYPERLINK("https://github.com/PojavLauncherTeam/PojavLauncher/releases", "show")</f>
        <v>show</v>
      </c>
      <c r="I4981">
        <v>1</v>
      </c>
      <c r="J4981">
        <v>1</v>
      </c>
      <c r="K4981">
        <v>0</v>
      </c>
      <c r="L4981">
        <v>0</v>
      </c>
      <c r="M4981" t="s">
        <v>48</v>
      </c>
    </row>
    <row r="4982" spans="1:13" hidden="1" x14ac:dyDescent="0.15">
      <c r="A4982" t="s">
        <v>15734</v>
      </c>
      <c r="B4982" t="s">
        <v>15735</v>
      </c>
      <c r="D4982" t="s">
        <v>15731</v>
      </c>
      <c r="E4982">
        <v>1</v>
      </c>
      <c r="F4982" t="str">
        <f>HYPERLINK("https://github.com/SCCapstone/TabDab/issues/158", "show")</f>
        <v>show</v>
      </c>
      <c r="G4982" t="str">
        <f>HYPERLINK("https://github.com/SCCapstone/TabDab", "show")</f>
        <v>show</v>
      </c>
      <c r="H4982" t="str">
        <f>HYPERLINK("https://github.com/SCCapstone/TabDab/releases", "show")</f>
        <v>show</v>
      </c>
      <c r="I4982">
        <v>1</v>
      </c>
      <c r="J4982">
        <v>0</v>
      </c>
      <c r="K4982">
        <v>0</v>
      </c>
      <c r="L4982">
        <v>0</v>
      </c>
      <c r="M4982" t="s">
        <v>17</v>
      </c>
    </row>
    <row r="4983" spans="1:13" hidden="1" x14ac:dyDescent="0.15">
      <c r="A4983" t="s">
        <v>15736</v>
      </c>
      <c r="B4983" t="s">
        <v>15737</v>
      </c>
      <c r="C4983" t="s">
        <v>15738</v>
      </c>
      <c r="D4983" t="s">
        <v>15731</v>
      </c>
      <c r="E4983">
        <v>1</v>
      </c>
      <c r="F4983" t="str">
        <f>HYPERLINK("https://github.com/SCCapstone/TabDab/issues/155", "show")</f>
        <v>show</v>
      </c>
      <c r="G4983" t="str">
        <f>HYPERLINK("https://github.com/SCCapstone/TabDab", "show")</f>
        <v>show</v>
      </c>
      <c r="H4983" t="str">
        <f>HYPERLINK("https://github.com/SCCapstone/TabDab/releases", "show")</f>
        <v>show</v>
      </c>
      <c r="I4983">
        <v>1</v>
      </c>
      <c r="J4983">
        <v>0</v>
      </c>
      <c r="K4983">
        <v>0</v>
      </c>
      <c r="L4983">
        <v>0</v>
      </c>
      <c r="M4983" t="s">
        <v>17</v>
      </c>
    </row>
    <row r="4984" spans="1:13" hidden="1" x14ac:dyDescent="0.15">
      <c r="A4984" t="s">
        <v>15739</v>
      </c>
      <c r="B4984" t="s">
        <v>15740</v>
      </c>
      <c r="C4984" t="s">
        <v>15741</v>
      </c>
      <c r="D4984" t="s">
        <v>15731</v>
      </c>
      <c r="E4984">
        <v>127</v>
      </c>
      <c r="F4984" t="str">
        <f>HYPERLINK("https://github.com/aws-amplify/amplify-android/issues/1273", "show")</f>
        <v>show</v>
      </c>
      <c r="G4984" t="str">
        <f>HYPERLINK("https://github.com/aws-amplify/amplify-android", "show")</f>
        <v>show</v>
      </c>
      <c r="H4984" t="str">
        <f>HYPERLINK("https://github.com/aws-amplify/amplify-android/releases", "show")</f>
        <v>show</v>
      </c>
      <c r="I4984">
        <v>1</v>
      </c>
      <c r="J4984">
        <v>0</v>
      </c>
      <c r="K4984">
        <v>1</v>
      </c>
      <c r="L4984">
        <v>0</v>
      </c>
      <c r="M4984" t="s">
        <v>64</v>
      </c>
    </row>
    <row r="4985" spans="1:13" hidden="1" x14ac:dyDescent="0.15">
      <c r="A4985" t="s">
        <v>15742</v>
      </c>
      <c r="B4985" t="s">
        <v>15743</v>
      </c>
      <c r="C4985" t="s">
        <v>15744</v>
      </c>
      <c r="D4985" t="s">
        <v>15745</v>
      </c>
      <c r="E4985">
        <v>0</v>
      </c>
      <c r="F4985" t="str">
        <f>HYPERLINK("https://github.com/Anuken/Mindustry/issues/5071", "show")</f>
        <v>show</v>
      </c>
      <c r="G4985" t="str">
        <f>HYPERLINK("https://github.com/Anuken/Mindustry", "show")</f>
        <v>show</v>
      </c>
      <c r="H4985" t="str">
        <f>HYPERLINK("https://github.com/Anuken/Mindustry/releases", "show")</f>
        <v>show</v>
      </c>
      <c r="I4985">
        <v>0</v>
      </c>
      <c r="J4985">
        <v>0</v>
      </c>
      <c r="K4985">
        <v>0</v>
      </c>
      <c r="L4985">
        <v>0</v>
      </c>
      <c r="M4985" t="s">
        <v>43</v>
      </c>
    </row>
    <row r="4986" spans="1:13" hidden="1" x14ac:dyDescent="0.15">
      <c r="A4986" t="s">
        <v>15746</v>
      </c>
      <c r="B4986" t="s">
        <v>15747</v>
      </c>
      <c r="C4986" t="s">
        <v>15748</v>
      </c>
      <c r="D4986" t="s">
        <v>15745</v>
      </c>
      <c r="E4986">
        <v>19</v>
      </c>
      <c r="F4986" t="str">
        <f>HYPERLINK("https://github.com/SCCapstone/PokeCompanion/issues/110", "show")</f>
        <v>show</v>
      </c>
      <c r="G4986" t="str">
        <f>HYPERLINK("https://github.com/SCCapstone/PokeCompanion", "show")</f>
        <v>show</v>
      </c>
      <c r="H4986" t="str">
        <f>HYPERLINK("https://github.com/SCCapstone/PokeCompanion/releases", "show")</f>
        <v>show</v>
      </c>
      <c r="I4986">
        <v>0</v>
      </c>
      <c r="J4986">
        <v>0</v>
      </c>
      <c r="K4986">
        <v>0</v>
      </c>
      <c r="L4986">
        <v>0</v>
      </c>
      <c r="M4986" t="s">
        <v>43</v>
      </c>
    </row>
    <row r="4987" spans="1:13" hidden="1" x14ac:dyDescent="0.15">
      <c r="A4987" t="s">
        <v>15749</v>
      </c>
      <c r="B4987" t="s">
        <v>15750</v>
      </c>
      <c r="C4987" t="s">
        <v>15751</v>
      </c>
      <c r="D4987" t="s">
        <v>15745</v>
      </c>
      <c r="E4987">
        <v>0</v>
      </c>
      <c r="F4987" t="str">
        <f>HYPERLINK("https://github.com/Anuken/Mindustry/issues/5070", "show")</f>
        <v>show</v>
      </c>
      <c r="G4987" t="str">
        <f>HYPERLINK("https://github.com/Anuken/Mindustry", "show")</f>
        <v>show</v>
      </c>
      <c r="H4987" t="str">
        <f>HYPERLINK("https://github.com/Anuken/Mindustry/releases", "show")</f>
        <v>show</v>
      </c>
      <c r="I4987">
        <v>1</v>
      </c>
      <c r="J4987">
        <v>1</v>
      </c>
      <c r="K4987">
        <v>1</v>
      </c>
      <c r="L4987">
        <v>0</v>
      </c>
      <c r="M4987" t="s">
        <v>59</v>
      </c>
    </row>
    <row r="4988" spans="1:13" hidden="1" x14ac:dyDescent="0.15">
      <c r="A4988" t="s">
        <v>15752</v>
      </c>
      <c r="B4988" t="s">
        <v>15753</v>
      </c>
      <c r="C4988" t="s">
        <v>15754</v>
      </c>
      <c r="D4988" t="s">
        <v>15745</v>
      </c>
      <c r="E4988">
        <v>5</v>
      </c>
      <c r="F4988" t="str">
        <f>HYPERLINK("https://github.com/UniRegensburg/unsere-app-fur-die-universitat-regensburg-bib-buddy/issues/155", "show")</f>
        <v>show</v>
      </c>
      <c r="G4988" t="str">
        <f>HYPERLINK("https://github.com/UniRegensburg/unsere-app-fur-die-universitat-regensburg-bib-buddy", "show")</f>
        <v>show</v>
      </c>
      <c r="H4988" t="str">
        <f>HYPERLINK("https://github.com/UniRegensburg/unsere-app-fur-die-universitat-regensburg-bib-buddy/releases", "show")</f>
        <v>show</v>
      </c>
      <c r="I4988">
        <v>1</v>
      </c>
      <c r="J4988">
        <v>0</v>
      </c>
      <c r="K4988">
        <v>1</v>
      </c>
      <c r="L4988">
        <v>0</v>
      </c>
      <c r="M4988" t="s">
        <v>64</v>
      </c>
    </row>
    <row r="4989" spans="1:13" hidden="1" x14ac:dyDescent="0.15">
      <c r="A4989" t="s">
        <v>15755</v>
      </c>
      <c r="B4989" t="s">
        <v>15756</v>
      </c>
      <c r="C4989" t="s">
        <v>15757</v>
      </c>
      <c r="D4989" t="s">
        <v>15745</v>
      </c>
      <c r="E4989">
        <v>0</v>
      </c>
      <c r="F4989" t="str">
        <f>HYPERLINK("https://github.com/freezy04/Runtime-Terror/issues/1", "show")</f>
        <v>show</v>
      </c>
      <c r="G4989" t="str">
        <f>HYPERLINK("https://github.com/freezy04/Runtime-Terror", "show")</f>
        <v>show</v>
      </c>
      <c r="H4989" t="str">
        <f>HYPERLINK("https://github.com/freezy04/Runtime-Terror/releases", "show")</f>
        <v>show</v>
      </c>
      <c r="I4989">
        <v>1</v>
      </c>
      <c r="J4989">
        <v>0</v>
      </c>
      <c r="K4989">
        <v>0</v>
      </c>
      <c r="L4989">
        <v>0</v>
      </c>
      <c r="M4989" t="s">
        <v>17</v>
      </c>
    </row>
    <row r="4990" spans="1:13" hidden="1" x14ac:dyDescent="0.15">
      <c r="A4990" t="s">
        <v>15758</v>
      </c>
      <c r="B4990" t="s">
        <v>15759</v>
      </c>
      <c r="C4990" t="s">
        <v>15760</v>
      </c>
      <c r="D4990" t="s">
        <v>15745</v>
      </c>
      <c r="E4990">
        <v>0</v>
      </c>
      <c r="F4990" t="str">
        <f>HYPERLINK("https://github.com/PojavLauncherTeam/PojavLauncher/issues/1175", "show")</f>
        <v>show</v>
      </c>
      <c r="G4990" t="str">
        <f>HYPERLINK("https://github.com/PojavLauncherTeam/PojavLauncher", "show")</f>
        <v>show</v>
      </c>
      <c r="H4990" t="str">
        <f>HYPERLINK("https://github.com/PojavLauncherTeam/PojavLauncher/releases", "show")</f>
        <v>show</v>
      </c>
      <c r="I4990">
        <v>1</v>
      </c>
      <c r="J4990">
        <v>0</v>
      </c>
      <c r="K4990">
        <v>0</v>
      </c>
      <c r="L4990">
        <v>0</v>
      </c>
      <c r="M4990" t="s">
        <v>17</v>
      </c>
    </row>
    <row r="4991" spans="1:13" hidden="1" x14ac:dyDescent="0.15">
      <c r="A4991" t="s">
        <v>15761</v>
      </c>
      <c r="B4991" t="s">
        <v>15762</v>
      </c>
      <c r="C4991" t="s">
        <v>15763</v>
      </c>
      <c r="D4991" t="s">
        <v>15745</v>
      </c>
      <c r="E4991">
        <v>3</v>
      </c>
      <c r="F4991" t="str">
        <f>HYPERLINK("https://github.com/SCCapstone/TabDab/issues/154", "show")</f>
        <v>show</v>
      </c>
      <c r="G4991" t="str">
        <f>HYPERLINK("https://github.com/SCCapstone/TabDab", "show")</f>
        <v>show</v>
      </c>
      <c r="H4991" t="str">
        <f>HYPERLINK("https://github.com/SCCapstone/TabDab/releases", "show")</f>
        <v>show</v>
      </c>
      <c r="I4991">
        <v>1</v>
      </c>
      <c r="J4991">
        <v>0</v>
      </c>
      <c r="K4991">
        <v>0</v>
      </c>
      <c r="L4991">
        <v>0</v>
      </c>
      <c r="M4991" t="s">
        <v>17</v>
      </c>
    </row>
    <row r="4992" spans="1:13" hidden="1" x14ac:dyDescent="0.15">
      <c r="A4992" t="s">
        <v>15764</v>
      </c>
      <c r="B4992" t="s">
        <v>15765</v>
      </c>
      <c r="C4992" t="s">
        <v>15766</v>
      </c>
      <c r="D4992" t="s">
        <v>15745</v>
      </c>
      <c r="E4992">
        <v>141</v>
      </c>
      <c r="F4992" t="str">
        <f>HYPERLINK("https://github.com/TeamNewPipe/NewPipe/issues/6012", "show")</f>
        <v>show</v>
      </c>
      <c r="G4992" t="str">
        <f>HYPERLINK("https://github.com/TeamNewPipe/NewPipe", "show")</f>
        <v>show</v>
      </c>
      <c r="H4992" t="str">
        <f>HYPERLINK("https://github.com/TeamNewPipe/NewPipe/releases", "show")</f>
        <v>show</v>
      </c>
      <c r="I4992">
        <v>1</v>
      </c>
      <c r="J4992">
        <v>1</v>
      </c>
      <c r="K4992">
        <v>0</v>
      </c>
      <c r="L4992">
        <v>0</v>
      </c>
      <c r="M4992" t="s">
        <v>48</v>
      </c>
    </row>
    <row r="4993" spans="1:13" hidden="1" x14ac:dyDescent="0.15">
      <c r="A4993" t="s">
        <v>15767</v>
      </c>
      <c r="B4993" t="s">
        <v>15768</v>
      </c>
      <c r="C4993" t="s">
        <v>15769</v>
      </c>
      <c r="D4993" t="s">
        <v>15770</v>
      </c>
      <c r="E4993">
        <v>1</v>
      </c>
      <c r="F4993" t="str">
        <f>HYPERLINK("https://github.com/Landry333/Big-Owl/issues/278", "show")</f>
        <v>show</v>
      </c>
      <c r="G4993" t="str">
        <f>HYPERLINK("https://github.com/Landry333/Big-Owl", "show")</f>
        <v>show</v>
      </c>
      <c r="H4993" t="str">
        <f>HYPERLINK("https://github.com/Landry333/Big-Owl/releases", "show")</f>
        <v>show</v>
      </c>
      <c r="I4993">
        <v>1</v>
      </c>
      <c r="J4993">
        <v>1</v>
      </c>
      <c r="K4993">
        <v>0</v>
      </c>
      <c r="L4993">
        <v>0</v>
      </c>
      <c r="M4993" t="s">
        <v>48</v>
      </c>
    </row>
    <row r="4994" spans="1:13" hidden="1" x14ac:dyDescent="0.15">
      <c r="A4994" t="s">
        <v>15771</v>
      </c>
      <c r="B4994" t="s">
        <v>15772</v>
      </c>
      <c r="C4994" t="s">
        <v>15773</v>
      </c>
      <c r="D4994" t="s">
        <v>15770</v>
      </c>
      <c r="E4994">
        <v>1</v>
      </c>
      <c r="F4994" t="str">
        <f>HYPERLINK("https://github.com/Anuken/Mindustry/issues/5064", "show")</f>
        <v>show</v>
      </c>
      <c r="G4994" t="str">
        <f>HYPERLINK("https://github.com/Anuken/Mindustry", "show")</f>
        <v>show</v>
      </c>
      <c r="H4994" t="str">
        <f>HYPERLINK("https://github.com/Anuken/Mindustry/releases", "show")</f>
        <v>show</v>
      </c>
      <c r="I4994">
        <v>0</v>
      </c>
      <c r="J4994">
        <v>0</v>
      </c>
      <c r="K4994">
        <v>0</v>
      </c>
      <c r="L4994">
        <v>0</v>
      </c>
      <c r="M4994" t="s">
        <v>43</v>
      </c>
    </row>
    <row r="4995" spans="1:13" hidden="1" x14ac:dyDescent="0.15">
      <c r="A4995" t="s">
        <v>15774</v>
      </c>
      <c r="B4995" t="s">
        <v>15775</v>
      </c>
      <c r="C4995" t="s">
        <v>15776</v>
      </c>
      <c r="D4995" t="s">
        <v>15770</v>
      </c>
      <c r="E4995">
        <v>26</v>
      </c>
      <c r="F4995" t="str">
        <f>HYPERLINK("https://github.com/ankidroid/Anki-Android/issues/8487", "show")</f>
        <v>show</v>
      </c>
      <c r="G4995" t="str">
        <f>HYPERLINK("https://github.com/ankidroid/Anki-Android", "show")</f>
        <v>show</v>
      </c>
      <c r="H4995" t="str">
        <f>HYPERLINK("https://github.com/ankidroid/Anki-Android/releases", "show")</f>
        <v>show</v>
      </c>
      <c r="I4995">
        <v>1</v>
      </c>
      <c r="J4995">
        <v>1</v>
      </c>
      <c r="K4995">
        <v>0</v>
      </c>
      <c r="L4995">
        <v>0</v>
      </c>
      <c r="M4995" t="s">
        <v>48</v>
      </c>
    </row>
    <row r="4996" spans="1:13" hidden="1" x14ac:dyDescent="0.15">
      <c r="A4996" t="s">
        <v>15777</v>
      </c>
      <c r="B4996" t="s">
        <v>15778</v>
      </c>
      <c r="C4996" t="s">
        <v>15779</v>
      </c>
      <c r="D4996" t="s">
        <v>15770</v>
      </c>
      <c r="E4996">
        <v>9</v>
      </c>
      <c r="F4996" t="str">
        <f>HYPERLINK("https://github.com/material-components/material-components-android/issues/2164", "show")</f>
        <v>show</v>
      </c>
      <c r="G4996" t="str">
        <f>HYPERLINK("https://github.com/material-components/material-components-android", "show")</f>
        <v>show</v>
      </c>
      <c r="H4996" t="str">
        <f>HYPERLINK("https://github.com/material-components/material-components-android/releases", "show")</f>
        <v>show</v>
      </c>
      <c r="I4996">
        <v>0</v>
      </c>
      <c r="J4996">
        <v>0</v>
      </c>
      <c r="K4996">
        <v>0</v>
      </c>
      <c r="L4996">
        <v>0</v>
      </c>
      <c r="M4996" t="s">
        <v>43</v>
      </c>
    </row>
    <row r="4997" spans="1:13" hidden="1" x14ac:dyDescent="0.15">
      <c r="A4997" t="s">
        <v>15780</v>
      </c>
      <c r="B4997" t="s">
        <v>15781</v>
      </c>
      <c r="C4997" t="s">
        <v>15782</v>
      </c>
      <c r="D4997" t="s">
        <v>15770</v>
      </c>
      <c r="E4997">
        <v>73</v>
      </c>
      <c r="F4997" t="str">
        <f>HYPERLINK("https://github.com/nextcloud/android/issues/8244", "show")</f>
        <v>show</v>
      </c>
      <c r="G4997" t="str">
        <f>HYPERLINK("https://github.com/nextcloud/android", "show")</f>
        <v>show</v>
      </c>
      <c r="H4997" t="str">
        <f>HYPERLINK("https://github.com/nextcloud/android/releases", "show")</f>
        <v>show</v>
      </c>
      <c r="I4997">
        <v>1</v>
      </c>
      <c r="J4997">
        <v>1</v>
      </c>
      <c r="K4997">
        <v>1</v>
      </c>
      <c r="L4997">
        <v>0</v>
      </c>
      <c r="M4997" t="s">
        <v>59</v>
      </c>
    </row>
    <row r="4998" spans="1:13" hidden="1" x14ac:dyDescent="0.15">
      <c r="A4998" t="s">
        <v>15783</v>
      </c>
      <c r="B4998" t="s">
        <v>15784</v>
      </c>
      <c r="C4998" t="s">
        <v>15785</v>
      </c>
      <c r="D4998" t="s">
        <v>15770</v>
      </c>
      <c r="E4998">
        <v>160</v>
      </c>
      <c r="F4998" t="str">
        <f>HYPERLINK("https://github.com/TeamNewPipe/NewPipe/issues/6010", "show")</f>
        <v>show</v>
      </c>
      <c r="G4998" t="str">
        <f>HYPERLINK("https://github.com/TeamNewPipe/NewPipe", "show")</f>
        <v>show</v>
      </c>
      <c r="H4998" t="str">
        <f>HYPERLINK("https://github.com/TeamNewPipe/NewPipe/releases", "show")</f>
        <v>show</v>
      </c>
      <c r="I4998">
        <v>1</v>
      </c>
      <c r="J4998">
        <v>1</v>
      </c>
      <c r="K4998">
        <v>1</v>
      </c>
      <c r="L4998">
        <v>1</v>
      </c>
      <c r="M4998" t="s">
        <v>2875</v>
      </c>
    </row>
    <row r="4999" spans="1:13" hidden="1" x14ac:dyDescent="0.15">
      <c r="A4999" t="s">
        <v>15786</v>
      </c>
      <c r="B4999" t="s">
        <v>15787</v>
      </c>
      <c r="C4999" t="s">
        <v>15788</v>
      </c>
      <c r="D4999" t="s">
        <v>15770</v>
      </c>
      <c r="E4999">
        <v>20</v>
      </c>
      <c r="F4999" t="str">
        <f>HYPERLINK("https://github.com/SCCapstone/PokeCompanion/issues/103", "show")</f>
        <v>show</v>
      </c>
      <c r="G4999" t="str">
        <f>HYPERLINK("https://github.com/SCCapstone/PokeCompanion", "show")</f>
        <v>show</v>
      </c>
      <c r="H4999" t="str">
        <f>HYPERLINK("https://github.com/SCCapstone/PokeCompanion/releases", "show")</f>
        <v>show</v>
      </c>
      <c r="I4999">
        <v>1</v>
      </c>
      <c r="J4999">
        <v>0</v>
      </c>
      <c r="K4999">
        <v>0</v>
      </c>
      <c r="L4999">
        <v>0</v>
      </c>
      <c r="M4999" t="s">
        <v>17</v>
      </c>
    </row>
    <row r="5000" spans="1:13" hidden="1" x14ac:dyDescent="0.15">
      <c r="A5000" t="s">
        <v>15789</v>
      </c>
      <c r="B5000" t="s">
        <v>15790</v>
      </c>
      <c r="C5000" t="s">
        <v>15791</v>
      </c>
      <c r="D5000" t="s">
        <v>15770</v>
      </c>
      <c r="E5000">
        <v>65</v>
      </c>
      <c r="F5000" t="str">
        <f>HYPERLINK("https://github.com/PojavLauncherTeam/PojavLauncher/issues/1168", "show")</f>
        <v>show</v>
      </c>
      <c r="G5000" t="str">
        <f>HYPERLINK("https://github.com/PojavLauncherTeam/PojavLauncher", "show")</f>
        <v>show</v>
      </c>
      <c r="H5000" t="str">
        <f>HYPERLINK("https://github.com/PojavLauncherTeam/PojavLauncher/releases", "show")</f>
        <v>show</v>
      </c>
      <c r="I5000">
        <v>1</v>
      </c>
      <c r="J5000">
        <v>1</v>
      </c>
      <c r="K5000">
        <v>0</v>
      </c>
      <c r="L5000">
        <v>0</v>
      </c>
      <c r="M5000" t="s">
        <v>48</v>
      </c>
    </row>
    <row r="5001" spans="1:13" hidden="1" x14ac:dyDescent="0.15">
      <c r="A5001" t="s">
        <v>15792</v>
      </c>
      <c r="B5001" t="s">
        <v>15793</v>
      </c>
      <c r="C5001" t="s">
        <v>15794</v>
      </c>
      <c r="D5001" t="s">
        <v>15795</v>
      </c>
      <c r="E5001">
        <v>0</v>
      </c>
      <c r="F5001" t="str">
        <f>HYPERLINK("https://github.com/indomie858/app-A/issues/161", "show")</f>
        <v>show</v>
      </c>
      <c r="G5001" t="str">
        <f>HYPERLINK("https://github.com/indomie858/app-A", "show")</f>
        <v>show</v>
      </c>
      <c r="H5001" t="str">
        <f>HYPERLINK("https://github.com/indomie858/app-A/releases", "show")</f>
        <v>show</v>
      </c>
      <c r="I5001">
        <v>0</v>
      </c>
      <c r="J5001">
        <v>0</v>
      </c>
      <c r="K5001">
        <v>0</v>
      </c>
      <c r="L5001">
        <v>0</v>
      </c>
      <c r="M5001" t="s">
        <v>43</v>
      </c>
    </row>
    <row r="5002" spans="1:13" hidden="1" x14ac:dyDescent="0.15">
      <c r="A5002" t="s">
        <v>15796</v>
      </c>
      <c r="B5002" t="s">
        <v>15797</v>
      </c>
      <c r="C5002" t="s">
        <v>15798</v>
      </c>
      <c r="D5002" t="s">
        <v>15795</v>
      </c>
      <c r="E5002">
        <v>20</v>
      </c>
      <c r="F5002" t="str">
        <f>HYPERLINK("https://github.com/ankidroid/Anki-Android/issues/8467", "show")</f>
        <v>show</v>
      </c>
      <c r="G5002" t="str">
        <f>HYPERLINK("https://github.com/ankidroid/Anki-Android", "show")</f>
        <v>show</v>
      </c>
      <c r="H5002" t="str">
        <f>HYPERLINK("https://github.com/ankidroid/Anki-Android/releases", "show")</f>
        <v>show</v>
      </c>
      <c r="I5002">
        <v>1</v>
      </c>
      <c r="J5002">
        <v>1</v>
      </c>
      <c r="K5002">
        <v>1</v>
      </c>
      <c r="L5002">
        <v>0</v>
      </c>
      <c r="M5002" t="s">
        <v>59</v>
      </c>
    </row>
    <row r="5003" spans="1:13" x14ac:dyDescent="0.15">
      <c r="A5003" t="s">
        <v>15799</v>
      </c>
      <c r="B5003" t="s">
        <v>15800</v>
      </c>
      <c r="C5003" t="s">
        <v>15801</v>
      </c>
      <c r="D5003" t="s">
        <v>15802</v>
      </c>
      <c r="E5003">
        <v>6</v>
      </c>
      <c r="F5003" t="str">
        <f>HYPERLINK("https://github.com/CMPUT301W21T12/WiseTrack/issues/104", "show")</f>
        <v>show</v>
      </c>
      <c r="G5003" t="str">
        <f>HYPERLINK("https://github.com/CMPUT301W21T12/WiseTrack", "show")</f>
        <v>show</v>
      </c>
      <c r="H5003" t="str">
        <f>HYPERLINK("https://github.com/CMPUT301W21T12/WiseTrack/releases", "show")</f>
        <v>show</v>
      </c>
      <c r="I5003">
        <v>0</v>
      </c>
      <c r="J5003">
        <v>1</v>
      </c>
      <c r="K5003">
        <v>0</v>
      </c>
      <c r="L5003">
        <v>0</v>
      </c>
      <c r="M5003" t="s">
        <v>139</v>
      </c>
    </row>
    <row r="5004" spans="1:13" hidden="1" x14ac:dyDescent="0.15">
      <c r="A5004" t="s">
        <v>15803</v>
      </c>
      <c r="B5004" t="s">
        <v>15804</v>
      </c>
      <c r="C5004" t="s">
        <v>15805</v>
      </c>
      <c r="D5004" t="s">
        <v>15802</v>
      </c>
      <c r="E5004">
        <v>66</v>
      </c>
      <c r="F5004" t="str">
        <f>HYPERLINK("https://github.com/ankidroid/Anki-Android/issues/8459", "show")</f>
        <v>show</v>
      </c>
      <c r="G5004" t="str">
        <f>HYPERLINK("https://github.com/ankidroid/Anki-Android", "show")</f>
        <v>show</v>
      </c>
      <c r="H5004" t="str">
        <f>HYPERLINK("https://github.com/ankidroid/Anki-Android/releases", "show")</f>
        <v>show</v>
      </c>
      <c r="I5004">
        <v>1</v>
      </c>
      <c r="J5004">
        <v>1</v>
      </c>
      <c r="K5004">
        <v>0</v>
      </c>
      <c r="L5004">
        <v>0</v>
      </c>
      <c r="M5004" t="s">
        <v>48</v>
      </c>
    </row>
    <row r="5005" spans="1:13" hidden="1" x14ac:dyDescent="0.15">
      <c r="A5005" t="s">
        <v>15806</v>
      </c>
      <c r="B5005" t="s">
        <v>15807</v>
      </c>
      <c r="C5005" t="s">
        <v>15808</v>
      </c>
      <c r="D5005" t="s">
        <v>15802</v>
      </c>
      <c r="E5005">
        <v>0</v>
      </c>
      <c r="F5005" t="str">
        <f>HYPERLINK("https://github.com/PojavLauncherTeam/PojavLauncher/issues/1159", "show")</f>
        <v>show</v>
      </c>
      <c r="G5005" t="str">
        <f>HYPERLINK("https://github.com/PojavLauncherTeam/PojavLauncher", "show")</f>
        <v>show</v>
      </c>
      <c r="H5005" t="str">
        <f>HYPERLINK("https://github.com/PojavLauncherTeam/PojavLauncher/releases", "show")</f>
        <v>show</v>
      </c>
      <c r="I5005">
        <v>1</v>
      </c>
      <c r="J5005">
        <v>1</v>
      </c>
      <c r="K5005">
        <v>0</v>
      </c>
      <c r="L5005">
        <v>0</v>
      </c>
      <c r="M5005" t="s">
        <v>48</v>
      </c>
    </row>
    <row r="5006" spans="1:13" hidden="1" x14ac:dyDescent="0.15">
      <c r="A5006" t="s">
        <v>15809</v>
      </c>
      <c r="B5006" t="s">
        <v>15810</v>
      </c>
      <c r="C5006" t="s">
        <v>15811</v>
      </c>
      <c r="D5006" t="s">
        <v>15802</v>
      </c>
      <c r="E5006">
        <v>53</v>
      </c>
      <c r="F5006" t="str">
        <f>HYPERLINK("https://github.com/OpenTracksApp/OpenTracks/issues/696", "show")</f>
        <v>show</v>
      </c>
      <c r="G5006" t="str">
        <f>HYPERLINK("https://github.com/OpenTracksApp/OpenTracks", "show")</f>
        <v>show</v>
      </c>
      <c r="H5006" t="str">
        <f>HYPERLINK("https://github.com/OpenTracksApp/OpenTracks/releases", "show")</f>
        <v>show</v>
      </c>
      <c r="I5006">
        <v>0</v>
      </c>
      <c r="J5006">
        <v>1</v>
      </c>
      <c r="K5006">
        <v>1</v>
      </c>
      <c r="L5006">
        <v>0</v>
      </c>
      <c r="M5006" t="s">
        <v>699</v>
      </c>
    </row>
    <row r="5007" spans="1:13" hidden="1" x14ac:dyDescent="0.15">
      <c r="A5007" t="s">
        <v>15812</v>
      </c>
      <c r="B5007" t="s">
        <v>15813</v>
      </c>
      <c r="C5007" t="s">
        <v>15814</v>
      </c>
      <c r="D5007" t="s">
        <v>15802</v>
      </c>
      <c r="E5007">
        <v>0</v>
      </c>
      <c r="F5007" t="str">
        <f>HYPERLINK("https://github.com/OpenTracksApp/OpenTracks/issues/694", "show")</f>
        <v>show</v>
      </c>
      <c r="G5007" t="str">
        <f>HYPERLINK("https://github.com/OpenTracksApp/OpenTracks", "show")</f>
        <v>show</v>
      </c>
      <c r="H5007" t="str">
        <f>HYPERLINK("https://github.com/OpenTracksApp/OpenTracks/releases", "show")</f>
        <v>show</v>
      </c>
      <c r="I5007">
        <v>1</v>
      </c>
      <c r="J5007">
        <v>1</v>
      </c>
      <c r="K5007">
        <v>0</v>
      </c>
      <c r="L5007">
        <v>1</v>
      </c>
      <c r="M5007" t="s">
        <v>1894</v>
      </c>
    </row>
    <row r="5008" spans="1:13" hidden="1" x14ac:dyDescent="0.15">
      <c r="A5008" t="s">
        <v>15815</v>
      </c>
      <c r="B5008" t="s">
        <v>15816</v>
      </c>
      <c r="C5008" t="s">
        <v>15817</v>
      </c>
      <c r="D5008" t="s">
        <v>15802</v>
      </c>
      <c r="E5008">
        <v>95</v>
      </c>
      <c r="F5008" t="str">
        <f>HYPERLINK("https://github.com/avluis/Hentoid/issues/781", "show")</f>
        <v>show</v>
      </c>
      <c r="G5008" t="str">
        <f>HYPERLINK("https://github.com/avluis/Hentoid", "show")</f>
        <v>show</v>
      </c>
      <c r="H5008" t="str">
        <f>HYPERLINK("https://github.com/avluis/Hentoid/releases", "show")</f>
        <v>show</v>
      </c>
      <c r="I5008">
        <v>0</v>
      </c>
      <c r="J5008">
        <v>0</v>
      </c>
      <c r="K5008">
        <v>0</v>
      </c>
      <c r="L5008">
        <v>0</v>
      </c>
      <c r="M5008" t="s">
        <v>43</v>
      </c>
    </row>
    <row r="5009" spans="1:13" hidden="1" x14ac:dyDescent="0.15">
      <c r="A5009" t="s">
        <v>15818</v>
      </c>
      <c r="B5009" t="s">
        <v>15819</v>
      </c>
      <c r="C5009" t="s">
        <v>15820</v>
      </c>
      <c r="D5009" t="s">
        <v>15802</v>
      </c>
      <c r="E5009">
        <v>151</v>
      </c>
      <c r="F5009" t="str">
        <f>HYPERLINK("https://github.com/PojavLauncherTeam/PojavLauncher/issues/1156", "show")</f>
        <v>show</v>
      </c>
      <c r="G5009" t="str">
        <f>HYPERLINK("https://github.com/PojavLauncherTeam/PojavLauncher", "show")</f>
        <v>show</v>
      </c>
      <c r="H5009" t="str">
        <f>HYPERLINK("https://github.com/PojavLauncherTeam/PojavLauncher/releases", "show")</f>
        <v>show</v>
      </c>
      <c r="I5009">
        <v>1</v>
      </c>
      <c r="J5009">
        <v>1</v>
      </c>
      <c r="K5009">
        <v>0</v>
      </c>
      <c r="L5009">
        <v>0</v>
      </c>
      <c r="M5009" t="s">
        <v>48</v>
      </c>
    </row>
    <row r="5010" spans="1:13" hidden="1" x14ac:dyDescent="0.15">
      <c r="A5010" t="s">
        <v>15821</v>
      </c>
      <c r="B5010" t="s">
        <v>15822</v>
      </c>
      <c r="C5010" t="s">
        <v>15823</v>
      </c>
      <c r="D5010" t="s">
        <v>15802</v>
      </c>
      <c r="E5010">
        <v>0</v>
      </c>
      <c r="F5010" t="str">
        <f>HYPERLINK("https://github.com/Anuken/Mindustry/issues/5051", "show")</f>
        <v>show</v>
      </c>
      <c r="G5010" t="str">
        <f>HYPERLINK("https://github.com/Anuken/Mindustry", "show")</f>
        <v>show</v>
      </c>
      <c r="H5010" t="str">
        <f>HYPERLINK("https://github.com/Anuken/Mindustry/releases", "show")</f>
        <v>show</v>
      </c>
      <c r="I5010">
        <v>1</v>
      </c>
      <c r="J5010">
        <v>1</v>
      </c>
      <c r="K5010">
        <v>0</v>
      </c>
      <c r="L5010">
        <v>0</v>
      </c>
      <c r="M5010" t="s">
        <v>48</v>
      </c>
    </row>
    <row r="5011" spans="1:13" hidden="1" x14ac:dyDescent="0.15">
      <c r="A5011" t="s">
        <v>15824</v>
      </c>
      <c r="B5011" t="s">
        <v>15825</v>
      </c>
      <c r="C5011" t="s">
        <v>15826</v>
      </c>
      <c r="D5011" t="s">
        <v>15827</v>
      </c>
      <c r="E5011">
        <v>6</v>
      </c>
      <c r="F5011" t="str">
        <f>HYPERLINK("https://github.com/permissions-dispatcher/PermissionsDispatcher/issues/723", "show")</f>
        <v>show</v>
      </c>
      <c r="G5011" t="str">
        <f>HYPERLINK("https://github.com/permissions-dispatcher/PermissionsDispatcher", "show")</f>
        <v>show</v>
      </c>
      <c r="H5011" t="str">
        <f>HYPERLINK("https://github.com/permissions-dispatcher/PermissionsDispatcher/releases", "show")</f>
        <v>show</v>
      </c>
      <c r="I5011">
        <v>1</v>
      </c>
      <c r="J5011">
        <v>1</v>
      </c>
      <c r="K5011">
        <v>1</v>
      </c>
      <c r="L5011">
        <v>0</v>
      </c>
      <c r="M5011" t="s">
        <v>59</v>
      </c>
    </row>
    <row r="5012" spans="1:13" hidden="1" x14ac:dyDescent="0.15">
      <c r="A5012" t="s">
        <v>15828</v>
      </c>
      <c r="B5012" t="s">
        <v>15829</v>
      </c>
      <c r="C5012" t="s">
        <v>15830</v>
      </c>
      <c r="D5012" t="s">
        <v>15827</v>
      </c>
      <c r="E5012">
        <v>0</v>
      </c>
      <c r="F5012" t="str">
        <f>HYPERLINK("https://github.com/Anuken/Mindustry/issues/5048", "show")</f>
        <v>show</v>
      </c>
      <c r="G5012" t="str">
        <f>HYPERLINK("https://github.com/Anuken/Mindustry", "show")</f>
        <v>show</v>
      </c>
      <c r="H5012" t="str">
        <f>HYPERLINK("https://github.com/Anuken/Mindustry/releases", "show")</f>
        <v>show</v>
      </c>
      <c r="I5012">
        <v>1</v>
      </c>
      <c r="J5012">
        <v>1</v>
      </c>
      <c r="K5012">
        <v>0</v>
      </c>
      <c r="L5012">
        <v>1</v>
      </c>
      <c r="M5012" t="s">
        <v>1894</v>
      </c>
    </row>
    <row r="5013" spans="1:13" hidden="1" x14ac:dyDescent="0.15">
      <c r="A5013" t="s">
        <v>15831</v>
      </c>
      <c r="B5013" t="s">
        <v>15832</v>
      </c>
      <c r="C5013" t="s">
        <v>15833</v>
      </c>
      <c r="D5013" t="s">
        <v>15827</v>
      </c>
      <c r="E5013">
        <v>33</v>
      </c>
      <c r="F5013" t="str">
        <f>HYPERLINK("https://github.com/nextcloud/android/issues/8231", "show")</f>
        <v>show</v>
      </c>
      <c r="G5013" t="str">
        <f>HYPERLINK("https://github.com/nextcloud/android", "show")</f>
        <v>show</v>
      </c>
      <c r="H5013" t="str">
        <f>HYPERLINK("https://github.com/nextcloud/android/releases", "show")</f>
        <v>show</v>
      </c>
      <c r="I5013">
        <v>1</v>
      </c>
      <c r="J5013">
        <v>0</v>
      </c>
      <c r="K5013">
        <v>1</v>
      </c>
      <c r="L5013">
        <v>0</v>
      </c>
      <c r="M5013" t="s">
        <v>64</v>
      </c>
    </row>
    <row r="5014" spans="1:13" hidden="1" x14ac:dyDescent="0.15">
      <c r="A5014" t="s">
        <v>15834</v>
      </c>
      <c r="B5014" t="s">
        <v>15835</v>
      </c>
      <c r="C5014" t="s">
        <v>15836</v>
      </c>
      <c r="D5014" t="s">
        <v>15827</v>
      </c>
      <c r="E5014">
        <v>13</v>
      </c>
      <c r="F5014" t="str">
        <f>HYPERLINK("https://github.com/mohyghb/MoClock/issues/1", "show")</f>
        <v>show</v>
      </c>
      <c r="G5014" t="str">
        <f>HYPERLINK("https://github.com/mohyghb/MoClock", "show")</f>
        <v>show</v>
      </c>
      <c r="H5014" t="str">
        <f>HYPERLINK("https://github.com/mohyghb/MoClock/releases", "show")</f>
        <v>show</v>
      </c>
      <c r="I5014">
        <v>1</v>
      </c>
      <c r="J5014">
        <v>0</v>
      </c>
      <c r="K5014">
        <v>0</v>
      </c>
      <c r="L5014">
        <v>0</v>
      </c>
      <c r="M5014" t="s">
        <v>17</v>
      </c>
    </row>
    <row r="5015" spans="1:13" hidden="1" x14ac:dyDescent="0.15">
      <c r="A5015" t="s">
        <v>15837</v>
      </c>
      <c r="B5015" t="s">
        <v>15838</v>
      </c>
      <c r="D5015" t="s">
        <v>15839</v>
      </c>
      <c r="E5015">
        <v>12</v>
      </c>
      <c r="F5015" t="str">
        <f>HYPERLINK("https://github.com/CJohnson19/foodle/issues/25", "show")</f>
        <v>show</v>
      </c>
      <c r="G5015" t="str">
        <f>HYPERLINK("https://github.com/CJohnson19/foodle", "show")</f>
        <v>show</v>
      </c>
      <c r="H5015" t="str">
        <f>HYPERLINK("https://github.com/CJohnson19/foodle/releases", "show")</f>
        <v>show</v>
      </c>
      <c r="I5015">
        <v>0</v>
      </c>
      <c r="J5015">
        <v>0</v>
      </c>
      <c r="K5015">
        <v>0</v>
      </c>
      <c r="L5015">
        <v>0</v>
      </c>
      <c r="M5015" t="s">
        <v>43</v>
      </c>
    </row>
    <row r="5016" spans="1:13" hidden="1" x14ac:dyDescent="0.15">
      <c r="A5016" t="s">
        <v>15840</v>
      </c>
      <c r="B5016" t="s">
        <v>15841</v>
      </c>
      <c r="C5016" t="s">
        <v>15346</v>
      </c>
      <c r="D5016" t="s">
        <v>15839</v>
      </c>
      <c r="E5016">
        <v>0</v>
      </c>
      <c r="F5016" t="str">
        <f>HYPERLINK("https://github.com/PojavLauncherTeam/PojavLauncher/issues/1148", "show")</f>
        <v>show</v>
      </c>
      <c r="G5016" t="str">
        <f>HYPERLINK("https://github.com/PojavLauncherTeam/PojavLauncher", "show")</f>
        <v>show</v>
      </c>
      <c r="H5016" t="str">
        <f>HYPERLINK("https://github.com/PojavLauncherTeam/PojavLauncher/releases", "show")</f>
        <v>show</v>
      </c>
      <c r="I5016">
        <v>1</v>
      </c>
      <c r="J5016">
        <v>1</v>
      </c>
      <c r="K5016">
        <v>0</v>
      </c>
      <c r="L5016">
        <v>0</v>
      </c>
      <c r="M5016" t="s">
        <v>48</v>
      </c>
    </row>
    <row r="5017" spans="1:13" hidden="1" x14ac:dyDescent="0.15">
      <c r="A5017" t="s">
        <v>15842</v>
      </c>
      <c r="B5017" t="s">
        <v>15843</v>
      </c>
      <c r="C5017" t="s">
        <v>15844</v>
      </c>
      <c r="D5017" t="s">
        <v>15839</v>
      </c>
      <c r="E5017">
        <v>153</v>
      </c>
      <c r="F5017" t="str">
        <f>HYPERLINK("https://github.com/PojavLauncherTeam/PojavLauncher/issues/1147", "show")</f>
        <v>show</v>
      </c>
      <c r="G5017" t="str">
        <f>HYPERLINK("https://github.com/PojavLauncherTeam/PojavLauncher", "show")</f>
        <v>show</v>
      </c>
      <c r="H5017" t="str">
        <f>HYPERLINK("https://github.com/PojavLauncherTeam/PojavLauncher/releases", "show")</f>
        <v>show</v>
      </c>
      <c r="I5017">
        <v>1</v>
      </c>
      <c r="J5017">
        <v>1</v>
      </c>
      <c r="K5017">
        <v>0</v>
      </c>
      <c r="L5017">
        <v>0</v>
      </c>
      <c r="M5017" t="s">
        <v>48</v>
      </c>
    </row>
    <row r="5018" spans="1:13" hidden="1" x14ac:dyDescent="0.15">
      <c r="A5018" t="s">
        <v>15845</v>
      </c>
      <c r="B5018" t="s">
        <v>15846</v>
      </c>
      <c r="C5018" t="s">
        <v>15346</v>
      </c>
      <c r="D5018" t="s">
        <v>15839</v>
      </c>
      <c r="E5018">
        <v>0</v>
      </c>
      <c r="F5018" t="str">
        <f>HYPERLINK("https://github.com/PojavLauncherTeam/PojavLauncher/issues/1143", "show")</f>
        <v>show</v>
      </c>
      <c r="G5018" t="str">
        <f>HYPERLINK("https://github.com/PojavLauncherTeam/PojavLauncher", "show")</f>
        <v>show</v>
      </c>
      <c r="H5018" t="str">
        <f>HYPERLINK("https://github.com/PojavLauncherTeam/PojavLauncher/releases", "show")</f>
        <v>show</v>
      </c>
      <c r="I5018">
        <v>1</v>
      </c>
      <c r="J5018">
        <v>1</v>
      </c>
      <c r="K5018">
        <v>0</v>
      </c>
      <c r="L5018">
        <v>0</v>
      </c>
      <c r="M5018" t="s">
        <v>48</v>
      </c>
    </row>
    <row r="5019" spans="1:13" hidden="1" x14ac:dyDescent="0.15">
      <c r="A5019" t="s">
        <v>15847</v>
      </c>
      <c r="B5019" t="s">
        <v>15848</v>
      </c>
      <c r="C5019" t="s">
        <v>15849</v>
      </c>
      <c r="D5019" t="s">
        <v>15839</v>
      </c>
      <c r="E5019">
        <v>44</v>
      </c>
      <c r="F5019" t="str">
        <f>HYPERLINK("https://github.com/tradle/react-native-udp/issues/159", "show")</f>
        <v>show</v>
      </c>
      <c r="G5019" t="str">
        <f>HYPERLINK("https://github.com/tradle/react-native-udp", "show")</f>
        <v>show</v>
      </c>
      <c r="H5019" t="str">
        <f>HYPERLINK("https://github.com/tradle/react-native-udp/releases", "show")</f>
        <v>show</v>
      </c>
      <c r="I5019">
        <v>0</v>
      </c>
      <c r="J5019">
        <v>0</v>
      </c>
      <c r="K5019">
        <v>0</v>
      </c>
      <c r="L5019">
        <v>0</v>
      </c>
      <c r="M5019" t="s">
        <v>43</v>
      </c>
    </row>
    <row r="5020" spans="1:13" hidden="1" x14ac:dyDescent="0.15">
      <c r="A5020" t="s">
        <v>15850</v>
      </c>
      <c r="B5020" t="s">
        <v>15851</v>
      </c>
      <c r="C5020" t="s">
        <v>15852</v>
      </c>
      <c r="D5020" t="s">
        <v>15839</v>
      </c>
      <c r="E5020">
        <v>0</v>
      </c>
      <c r="F5020" t="str">
        <f>HYPERLINK("https://github.com/Anuken/Mindustry/issues/5039", "show")</f>
        <v>show</v>
      </c>
      <c r="G5020" t="str">
        <f>HYPERLINK("https://github.com/Anuken/Mindustry", "show")</f>
        <v>show</v>
      </c>
      <c r="H5020" t="str">
        <f>HYPERLINK("https://github.com/Anuken/Mindustry/releases", "show")</f>
        <v>show</v>
      </c>
      <c r="I5020">
        <v>1</v>
      </c>
      <c r="J5020">
        <v>1</v>
      </c>
      <c r="K5020">
        <v>0</v>
      </c>
      <c r="L5020">
        <v>0</v>
      </c>
      <c r="M5020" t="s">
        <v>48</v>
      </c>
    </row>
    <row r="5021" spans="1:13" hidden="1" x14ac:dyDescent="0.15">
      <c r="A5021" t="s">
        <v>15853</v>
      </c>
      <c r="B5021" t="s">
        <v>15854</v>
      </c>
      <c r="C5021" t="s">
        <v>15855</v>
      </c>
      <c r="D5021" t="s">
        <v>15856</v>
      </c>
      <c r="E5021">
        <v>1</v>
      </c>
      <c r="F5021" t="str">
        <f>HYPERLINK("https://github.com/hauke96/GeoNotes/issues/30", "show")</f>
        <v>show</v>
      </c>
      <c r="G5021" t="str">
        <f>HYPERLINK("https://github.com/hauke96/GeoNotes", "show")</f>
        <v>show</v>
      </c>
      <c r="H5021" t="str">
        <f>HYPERLINK("https://github.com/hauke96/GeoNotes/releases", "show")</f>
        <v>show</v>
      </c>
      <c r="I5021">
        <v>1</v>
      </c>
      <c r="J5021">
        <v>0</v>
      </c>
      <c r="K5021">
        <v>0</v>
      </c>
      <c r="L5021">
        <v>0</v>
      </c>
      <c r="M5021" t="s">
        <v>17</v>
      </c>
    </row>
    <row r="5022" spans="1:13" hidden="1" x14ac:dyDescent="0.15">
      <c r="A5022" t="s">
        <v>15857</v>
      </c>
      <c r="B5022" t="s">
        <v>15858</v>
      </c>
      <c r="C5022" t="s">
        <v>15859</v>
      </c>
      <c r="D5022" t="s">
        <v>15856</v>
      </c>
      <c r="E5022">
        <v>1</v>
      </c>
      <c r="F5022" t="str">
        <f>HYPERLINK("https://github.com/microg/GmsCore/issues/1431", "show")</f>
        <v>show</v>
      </c>
      <c r="G5022" t="str">
        <f>HYPERLINK("https://github.com/microg/GmsCore", "show")</f>
        <v>show</v>
      </c>
      <c r="H5022" t="str">
        <f>HYPERLINK("https://github.com/microg/GmsCore/releases", "show")</f>
        <v>show</v>
      </c>
      <c r="I5022">
        <v>1</v>
      </c>
      <c r="J5022">
        <v>1</v>
      </c>
      <c r="K5022">
        <v>0</v>
      </c>
      <c r="L5022">
        <v>0</v>
      </c>
      <c r="M5022" t="s">
        <v>48</v>
      </c>
    </row>
    <row r="5023" spans="1:13" hidden="1" x14ac:dyDescent="0.15">
      <c r="A5023" t="s">
        <v>15860</v>
      </c>
      <c r="B5023" t="s">
        <v>15861</v>
      </c>
      <c r="C5023" t="s">
        <v>15862</v>
      </c>
      <c r="D5023" t="s">
        <v>15856</v>
      </c>
      <c r="E5023">
        <v>9</v>
      </c>
      <c r="F5023" t="str">
        <f>HYPERLINK("https://github.com/Rosemoe/sora-editor/issues/41", "show")</f>
        <v>show</v>
      </c>
      <c r="G5023" t="str">
        <f>HYPERLINK("https://github.com/Rosemoe/sora-editor", "show")</f>
        <v>show</v>
      </c>
      <c r="H5023" t="str">
        <f>HYPERLINK("https://github.com/Rosemoe/sora-editor/releases", "show")</f>
        <v>show</v>
      </c>
      <c r="I5023">
        <v>1</v>
      </c>
      <c r="J5023">
        <v>0</v>
      </c>
      <c r="K5023">
        <v>0</v>
      </c>
      <c r="L5023">
        <v>0</v>
      </c>
      <c r="M5023" t="s">
        <v>17</v>
      </c>
    </row>
    <row r="5024" spans="1:13" x14ac:dyDescent="0.15">
      <c r="A5024" t="s">
        <v>15863</v>
      </c>
      <c r="B5024" t="s">
        <v>15864</v>
      </c>
      <c r="C5024" t="s">
        <v>11582</v>
      </c>
      <c r="D5024" t="s">
        <v>15856</v>
      </c>
      <c r="E5024">
        <v>0</v>
      </c>
      <c r="F5024" t="str">
        <f>HYPERLINK("https://github.com/nextcloud/android/issues/8226", "show")</f>
        <v>show</v>
      </c>
      <c r="G5024" t="str">
        <f>HYPERLINK("https://github.com/nextcloud/android", "show")</f>
        <v>show</v>
      </c>
      <c r="H5024" t="str">
        <f>HYPERLINK("https://github.com/nextcloud/android/releases", "show")</f>
        <v>show</v>
      </c>
      <c r="I5024">
        <v>0</v>
      </c>
      <c r="J5024">
        <v>1</v>
      </c>
      <c r="K5024">
        <v>0</v>
      </c>
      <c r="L5024">
        <v>0</v>
      </c>
      <c r="M5024" t="s">
        <v>139</v>
      </c>
    </row>
    <row r="5025" spans="1:13" hidden="1" x14ac:dyDescent="0.15">
      <c r="A5025" t="s">
        <v>15865</v>
      </c>
      <c r="B5025" t="s">
        <v>15866</v>
      </c>
      <c r="C5025" t="s">
        <v>15867</v>
      </c>
      <c r="D5025" t="s">
        <v>15856</v>
      </c>
      <c r="E5025">
        <v>64</v>
      </c>
      <c r="F5025" t="str">
        <f>HYPERLINK("https://github.com/microsoft/appcenter-sdk-android/issues/1523", "show")</f>
        <v>show</v>
      </c>
      <c r="G5025" t="str">
        <f>HYPERLINK("https://github.com/microsoft/appcenter-sdk-android", "show")</f>
        <v>show</v>
      </c>
      <c r="H5025" t="str">
        <f>HYPERLINK("https://github.com/microsoft/appcenter-sdk-android/releases", "show")</f>
        <v>show</v>
      </c>
      <c r="I5025">
        <v>1</v>
      </c>
      <c r="J5025">
        <v>0</v>
      </c>
      <c r="K5025">
        <v>1</v>
      </c>
      <c r="L5025">
        <v>0</v>
      </c>
      <c r="M5025" t="s">
        <v>64</v>
      </c>
    </row>
    <row r="5026" spans="1:13" hidden="1" x14ac:dyDescent="0.15">
      <c r="A5026" t="s">
        <v>15868</v>
      </c>
      <c r="B5026" t="s">
        <v>15869</v>
      </c>
      <c r="C5026" t="s">
        <v>15870</v>
      </c>
      <c r="D5026" t="s">
        <v>15856</v>
      </c>
      <c r="E5026">
        <v>0</v>
      </c>
      <c r="F5026" t="str">
        <f>HYPERLINK("https://github.com/TeamNewPipe/NewPipe/issues/5968", "show")</f>
        <v>show</v>
      </c>
      <c r="G5026" t="str">
        <f>HYPERLINK("https://github.com/TeamNewPipe/NewPipe", "show")</f>
        <v>show</v>
      </c>
      <c r="H5026" t="str">
        <f>HYPERLINK("https://github.com/TeamNewPipe/NewPipe/releases", "show")</f>
        <v>show</v>
      </c>
      <c r="I5026">
        <v>1</v>
      </c>
      <c r="J5026">
        <v>1</v>
      </c>
      <c r="K5026">
        <v>0</v>
      </c>
      <c r="L5026">
        <v>1</v>
      </c>
      <c r="M5026" t="s">
        <v>1894</v>
      </c>
    </row>
    <row r="5027" spans="1:13" hidden="1" x14ac:dyDescent="0.15">
      <c r="A5027" t="s">
        <v>15871</v>
      </c>
      <c r="B5027" t="s">
        <v>15872</v>
      </c>
      <c r="C5027" t="s">
        <v>15873</v>
      </c>
      <c r="D5027" t="s">
        <v>15856</v>
      </c>
      <c r="E5027">
        <v>0</v>
      </c>
      <c r="F5027" t="str">
        <f>HYPERLINK("https://github.com/Anuken/Mindustry/issues/5035", "show")</f>
        <v>show</v>
      </c>
      <c r="G5027" t="str">
        <f>HYPERLINK("https://github.com/Anuken/Mindustry", "show")</f>
        <v>show</v>
      </c>
      <c r="H5027" t="str">
        <f>HYPERLINK("https://github.com/Anuken/Mindustry/releases", "show")</f>
        <v>show</v>
      </c>
      <c r="I5027">
        <v>1</v>
      </c>
      <c r="J5027">
        <v>0</v>
      </c>
      <c r="K5027">
        <v>0</v>
      </c>
      <c r="L5027">
        <v>1</v>
      </c>
      <c r="M5027" t="s">
        <v>29</v>
      </c>
    </row>
    <row r="5028" spans="1:13" hidden="1" x14ac:dyDescent="0.15">
      <c r="A5028" t="s">
        <v>15874</v>
      </c>
      <c r="B5028" t="s">
        <v>15875</v>
      </c>
      <c r="C5028" t="s">
        <v>15876</v>
      </c>
      <c r="D5028" t="s">
        <v>15856</v>
      </c>
      <c r="E5028">
        <v>13</v>
      </c>
      <c r="F5028" t="str">
        <f>HYPERLINK("https://github.com/prebid/prebid-mobile-android/issues/249", "show")</f>
        <v>show</v>
      </c>
      <c r="G5028" t="str">
        <f>HYPERLINK("https://github.com/prebid/prebid-mobile-android", "show")</f>
        <v>show</v>
      </c>
      <c r="H5028" t="str">
        <f>HYPERLINK("https://github.com/prebid/prebid-mobile-android/releases", "show")</f>
        <v>show</v>
      </c>
      <c r="I5028">
        <v>0</v>
      </c>
      <c r="J5028">
        <v>0</v>
      </c>
      <c r="K5028">
        <v>1</v>
      </c>
      <c r="L5028">
        <v>0</v>
      </c>
      <c r="M5028" t="s">
        <v>122</v>
      </c>
    </row>
    <row r="5029" spans="1:13" hidden="1" x14ac:dyDescent="0.15">
      <c r="A5029" t="s">
        <v>15877</v>
      </c>
      <c r="B5029" t="s">
        <v>15878</v>
      </c>
      <c r="C5029" t="s">
        <v>15879</v>
      </c>
      <c r="D5029" t="s">
        <v>15856</v>
      </c>
      <c r="E5029">
        <v>13</v>
      </c>
      <c r="F5029" t="str">
        <f>HYPERLINK("https://github.com/prebid/prebid-mobile-android/issues/248", "show")</f>
        <v>show</v>
      </c>
      <c r="G5029" t="str">
        <f>HYPERLINK("https://github.com/prebid/prebid-mobile-android", "show")</f>
        <v>show</v>
      </c>
      <c r="H5029" t="str">
        <f>HYPERLINK("https://github.com/prebid/prebid-mobile-android/releases", "show")</f>
        <v>show</v>
      </c>
      <c r="I5029">
        <v>0</v>
      </c>
      <c r="J5029">
        <v>0</v>
      </c>
      <c r="K5029">
        <v>1</v>
      </c>
      <c r="L5029">
        <v>0</v>
      </c>
      <c r="M5029" t="s">
        <v>122</v>
      </c>
    </row>
    <row r="5030" spans="1:13" hidden="1" x14ac:dyDescent="0.15">
      <c r="A5030" t="s">
        <v>15880</v>
      </c>
      <c r="B5030" t="s">
        <v>15881</v>
      </c>
      <c r="C5030" t="s">
        <v>15882</v>
      </c>
      <c r="D5030" t="s">
        <v>15856</v>
      </c>
      <c r="E5030">
        <v>72</v>
      </c>
      <c r="F5030" t="str">
        <f>HYPERLINK("https://github.com/material-components/material-components-android/issues/2158", "show")</f>
        <v>show</v>
      </c>
      <c r="G5030" t="str">
        <f>HYPERLINK("https://github.com/material-components/material-components-android", "show")</f>
        <v>show</v>
      </c>
      <c r="H5030" t="str">
        <f>HYPERLINK("https://github.com/material-components/material-components-android/releases", "show")</f>
        <v>show</v>
      </c>
      <c r="I5030">
        <v>0</v>
      </c>
      <c r="J5030">
        <v>0</v>
      </c>
      <c r="K5030">
        <v>1</v>
      </c>
      <c r="L5030">
        <v>0</v>
      </c>
      <c r="M5030" t="s">
        <v>122</v>
      </c>
    </row>
    <row r="5031" spans="1:13" hidden="1" x14ac:dyDescent="0.15">
      <c r="A5031" t="s">
        <v>15883</v>
      </c>
      <c r="B5031" t="s">
        <v>15884</v>
      </c>
      <c r="C5031" t="s">
        <v>15885</v>
      </c>
      <c r="D5031" t="s">
        <v>15856</v>
      </c>
      <c r="E5031">
        <v>0</v>
      </c>
      <c r="F5031" t="str">
        <f>HYPERLINK("https://github.com/Anuken/Mindustry/issues/5029", "show")</f>
        <v>show</v>
      </c>
      <c r="G5031" t="str">
        <f>HYPERLINK("https://github.com/Anuken/Mindustry", "show")</f>
        <v>show</v>
      </c>
      <c r="H5031" t="str">
        <f>HYPERLINK("https://github.com/Anuken/Mindustry/releases", "show")</f>
        <v>show</v>
      </c>
      <c r="I5031">
        <v>1</v>
      </c>
      <c r="J5031">
        <v>1</v>
      </c>
      <c r="K5031">
        <v>0</v>
      </c>
      <c r="L5031">
        <v>0</v>
      </c>
      <c r="M5031" t="s">
        <v>48</v>
      </c>
    </row>
    <row r="5032" spans="1:13" hidden="1" x14ac:dyDescent="0.15">
      <c r="A5032" t="s">
        <v>15886</v>
      </c>
      <c r="B5032" t="s">
        <v>15887</v>
      </c>
      <c r="C5032" t="s">
        <v>15888</v>
      </c>
      <c r="D5032" t="s">
        <v>15856</v>
      </c>
      <c r="E5032">
        <v>9</v>
      </c>
      <c r="F5032" t="str">
        <f>HYPERLINK("https://github.com/TeamNewPipe/NewPipe/issues/5963", "show")</f>
        <v>show</v>
      </c>
      <c r="G5032" t="str">
        <f>HYPERLINK("https://github.com/TeamNewPipe/NewPipe", "show")</f>
        <v>show</v>
      </c>
      <c r="H5032" t="str">
        <f>HYPERLINK("https://github.com/TeamNewPipe/NewPipe/releases", "show")</f>
        <v>show</v>
      </c>
      <c r="I5032">
        <v>1</v>
      </c>
      <c r="J5032">
        <v>1</v>
      </c>
      <c r="K5032">
        <v>0</v>
      </c>
      <c r="L5032">
        <v>0</v>
      </c>
      <c r="M5032" t="s">
        <v>48</v>
      </c>
    </row>
    <row r="5033" spans="1:13" x14ac:dyDescent="0.15">
      <c r="A5033" t="s">
        <v>15889</v>
      </c>
      <c r="B5033" t="s">
        <v>15890</v>
      </c>
      <c r="C5033" t="s">
        <v>15891</v>
      </c>
      <c r="D5033" t="s">
        <v>15892</v>
      </c>
      <c r="E5033">
        <v>0</v>
      </c>
      <c r="F5033" t="str">
        <f>HYPERLINK("https://github.com/PojavLauncherTeam/PojavLauncher/issues/1136", "show")</f>
        <v>show</v>
      </c>
      <c r="G5033" t="str">
        <f>HYPERLINK("https://github.com/PojavLauncherTeam/PojavLauncher", "show")</f>
        <v>show</v>
      </c>
      <c r="H5033" t="str">
        <f>HYPERLINK("https://github.com/PojavLauncherTeam/PojavLauncher/releases", "show")</f>
        <v>show</v>
      </c>
      <c r="I5033">
        <v>0</v>
      </c>
      <c r="J5033">
        <v>1</v>
      </c>
      <c r="K5033">
        <v>0</v>
      </c>
      <c r="L5033">
        <v>0</v>
      </c>
      <c r="M5033" t="s">
        <v>139</v>
      </c>
    </row>
    <row r="5034" spans="1:13" hidden="1" x14ac:dyDescent="0.15">
      <c r="A5034" t="s">
        <v>15893</v>
      </c>
      <c r="B5034" t="s">
        <v>15894</v>
      </c>
      <c r="C5034" t="s">
        <v>15895</v>
      </c>
      <c r="D5034" t="s">
        <v>15892</v>
      </c>
      <c r="E5034">
        <v>1</v>
      </c>
      <c r="F5034" t="str">
        <f>HYPERLINK("https://github.com/TeamNewPipe/NewPipe/issues/5962", "show")</f>
        <v>show</v>
      </c>
      <c r="G5034" t="str">
        <f>HYPERLINK("https://github.com/TeamNewPipe/NewPipe", "show")</f>
        <v>show</v>
      </c>
      <c r="H5034" t="str">
        <f>HYPERLINK("https://github.com/TeamNewPipe/NewPipe/releases", "show")</f>
        <v>show</v>
      </c>
      <c r="I5034">
        <v>1</v>
      </c>
      <c r="J5034">
        <v>1</v>
      </c>
      <c r="K5034">
        <v>1</v>
      </c>
      <c r="L5034">
        <v>1</v>
      </c>
      <c r="M5034" t="s">
        <v>2875</v>
      </c>
    </row>
    <row r="5035" spans="1:13" hidden="1" x14ac:dyDescent="0.15">
      <c r="A5035" t="s">
        <v>15896</v>
      </c>
      <c r="B5035" t="s">
        <v>15897</v>
      </c>
      <c r="C5035" t="s">
        <v>15898</v>
      </c>
      <c r="D5035" t="s">
        <v>15892</v>
      </c>
      <c r="E5035">
        <v>0</v>
      </c>
      <c r="F5035" t="str">
        <f>HYPERLINK("https://github.com/popcorn-official/popcorn-android/issues/746", "show")</f>
        <v>show</v>
      </c>
      <c r="G5035" t="str">
        <f>HYPERLINK("https://github.com/popcorn-official/popcorn-android", "show")</f>
        <v>show</v>
      </c>
      <c r="H5035" t="str">
        <f>HYPERLINK("https://github.com/popcorn-official/popcorn-android/releases", "show")</f>
        <v>show</v>
      </c>
      <c r="I5035">
        <v>1</v>
      </c>
      <c r="J5035">
        <v>0</v>
      </c>
      <c r="K5035">
        <v>1</v>
      </c>
      <c r="L5035">
        <v>0</v>
      </c>
      <c r="M5035" t="s">
        <v>64</v>
      </c>
    </row>
    <row r="5036" spans="1:13" x14ac:dyDescent="0.15">
      <c r="A5036" t="s">
        <v>15899</v>
      </c>
      <c r="B5036" t="s">
        <v>15900</v>
      </c>
      <c r="C5036" t="s">
        <v>15901</v>
      </c>
      <c r="D5036" t="s">
        <v>15892</v>
      </c>
      <c r="E5036">
        <v>37</v>
      </c>
      <c r="F5036" t="str">
        <f>HYPERLINK("https://github.com/GoogleCloudPlatform/fda-mystudies/issues/3423", "show")</f>
        <v>show</v>
      </c>
      <c r="G5036" t="str">
        <f>HYPERLINK("https://github.com/GoogleCloudPlatform/fda-mystudies", "show")</f>
        <v>show</v>
      </c>
      <c r="H5036" t="str">
        <f>HYPERLINK("https://github.com/GoogleCloudPlatform/fda-mystudies/releases", "show")</f>
        <v>show</v>
      </c>
      <c r="I5036">
        <v>0</v>
      </c>
      <c r="J5036">
        <v>1</v>
      </c>
      <c r="K5036">
        <v>0</v>
      </c>
      <c r="L5036">
        <v>0</v>
      </c>
      <c r="M5036" t="s">
        <v>139</v>
      </c>
    </row>
    <row r="5037" spans="1:13" hidden="1" x14ac:dyDescent="0.15">
      <c r="A5037" t="s">
        <v>15902</v>
      </c>
      <c r="B5037" t="s">
        <v>15903</v>
      </c>
      <c r="C5037" t="s">
        <v>15904</v>
      </c>
      <c r="D5037" t="s">
        <v>15892</v>
      </c>
      <c r="E5037">
        <v>0</v>
      </c>
      <c r="F5037" t="str">
        <f>HYPERLINK("https://github.com/square/okhttp/issues/6610", "show")</f>
        <v>show</v>
      </c>
      <c r="G5037" t="str">
        <f>HYPERLINK("https://github.com/square/okhttp", "show")</f>
        <v>show</v>
      </c>
      <c r="H5037" t="str">
        <f>HYPERLINK("https://github.com/square/okhttp/releases", "show")</f>
        <v>show</v>
      </c>
      <c r="I5037">
        <v>0</v>
      </c>
      <c r="J5037">
        <v>0</v>
      </c>
      <c r="K5037">
        <v>1</v>
      </c>
      <c r="L5037">
        <v>0</v>
      </c>
      <c r="M5037" t="s">
        <v>122</v>
      </c>
    </row>
    <row r="5038" spans="1:13" x14ac:dyDescent="0.15">
      <c r="A5038" t="s">
        <v>15905</v>
      </c>
      <c r="B5038" t="s">
        <v>15906</v>
      </c>
      <c r="C5038" t="s">
        <v>15907</v>
      </c>
      <c r="D5038" t="s">
        <v>15892</v>
      </c>
      <c r="E5038">
        <v>0</v>
      </c>
      <c r="F5038" t="str">
        <f>HYPERLINK("https://github.com/PojavLauncherTeam/PojavLauncher/issues/1134", "show")</f>
        <v>show</v>
      </c>
      <c r="G5038" t="str">
        <f>HYPERLINK("https://github.com/PojavLauncherTeam/PojavLauncher", "show")</f>
        <v>show</v>
      </c>
      <c r="H5038" t="str">
        <f>HYPERLINK("https://github.com/PojavLauncherTeam/PojavLauncher/releases", "show")</f>
        <v>show</v>
      </c>
      <c r="I5038">
        <v>0</v>
      </c>
      <c r="J5038">
        <v>1</v>
      </c>
      <c r="K5038">
        <v>0</v>
      </c>
      <c r="L5038">
        <v>0</v>
      </c>
      <c r="M5038" t="s">
        <v>139</v>
      </c>
    </row>
    <row r="5039" spans="1:13" hidden="1" x14ac:dyDescent="0.15">
      <c r="A5039" t="s">
        <v>15908</v>
      </c>
      <c r="B5039" t="s">
        <v>15909</v>
      </c>
      <c r="C5039" t="s">
        <v>15910</v>
      </c>
      <c r="D5039" t="s">
        <v>15911</v>
      </c>
      <c r="E5039">
        <v>33</v>
      </c>
      <c r="F5039" t="str">
        <f>HYPERLINK("https://github.com/HBiSoft/HBRecorder/issues/60", "show")</f>
        <v>show</v>
      </c>
      <c r="G5039" t="str">
        <f>HYPERLINK("https://github.com/HBiSoft/HBRecorder", "show")</f>
        <v>show</v>
      </c>
      <c r="H5039" t="str">
        <f>HYPERLINK("https://github.com/HBiSoft/HBRecorder/releases", "show")</f>
        <v>show</v>
      </c>
      <c r="I5039">
        <v>1</v>
      </c>
      <c r="J5039">
        <v>0</v>
      </c>
      <c r="K5039">
        <v>1</v>
      </c>
      <c r="L5039">
        <v>0</v>
      </c>
      <c r="M5039" t="s">
        <v>64</v>
      </c>
    </row>
    <row r="5040" spans="1:13" hidden="1" x14ac:dyDescent="0.15">
      <c r="A5040" t="s">
        <v>15912</v>
      </c>
      <c r="B5040" t="s">
        <v>15913</v>
      </c>
      <c r="C5040" t="s">
        <v>15914</v>
      </c>
      <c r="D5040" t="s">
        <v>15911</v>
      </c>
      <c r="E5040">
        <v>151</v>
      </c>
      <c r="F5040" t="str">
        <f>HYPERLINK("https://github.com/LawnchairLauncher/lawnchair/issues/2115", "show")</f>
        <v>show</v>
      </c>
      <c r="G5040" t="str">
        <f>HYPERLINK("https://github.com/LawnchairLauncher/lawnchair", "show")</f>
        <v>show</v>
      </c>
      <c r="H5040" t="str">
        <f>HYPERLINK("https://github.com/LawnchairLauncher/lawnchair/releases", "show")</f>
        <v>show</v>
      </c>
      <c r="I5040">
        <v>1</v>
      </c>
      <c r="J5040">
        <v>0</v>
      </c>
      <c r="K5040">
        <v>0</v>
      </c>
      <c r="L5040">
        <v>0</v>
      </c>
      <c r="M5040" t="s">
        <v>17</v>
      </c>
    </row>
    <row r="5041" spans="1:13" hidden="1" x14ac:dyDescent="0.15">
      <c r="A5041" t="s">
        <v>15915</v>
      </c>
      <c r="B5041" t="s">
        <v>15916</v>
      </c>
      <c r="C5041" t="s">
        <v>15917</v>
      </c>
      <c r="D5041" t="s">
        <v>15911</v>
      </c>
      <c r="E5041">
        <v>30</v>
      </c>
      <c r="F5041" t="str">
        <f>HYPERLINK("https://github.com/crux-lab/sectioned-recycler-view/issues/11", "show")</f>
        <v>show</v>
      </c>
      <c r="G5041" t="str">
        <f>HYPERLINK("https://github.com/crux-lab/sectioned-recycler-view", "show")</f>
        <v>show</v>
      </c>
      <c r="H5041" t="str">
        <f>HYPERLINK("https://github.com/crux-lab/sectioned-recycler-view/releases", "show")</f>
        <v>show</v>
      </c>
      <c r="I5041">
        <v>0</v>
      </c>
      <c r="J5041">
        <v>0</v>
      </c>
      <c r="K5041">
        <v>0</v>
      </c>
      <c r="L5041">
        <v>0</v>
      </c>
      <c r="M5041" t="s">
        <v>43</v>
      </c>
    </row>
    <row r="5042" spans="1:13" hidden="1" x14ac:dyDescent="0.15">
      <c r="A5042" t="s">
        <v>15918</v>
      </c>
      <c r="B5042" t="s">
        <v>15919</v>
      </c>
      <c r="C5042" t="s">
        <v>11701</v>
      </c>
      <c r="D5042" t="s">
        <v>15911</v>
      </c>
      <c r="E5042">
        <v>0</v>
      </c>
      <c r="F5042" t="str">
        <f>HYPERLINK("https://github.com/Anuken/Mindustry/issues/5018", "show")</f>
        <v>show</v>
      </c>
      <c r="G5042" t="str">
        <f>HYPERLINK("https://github.com/Anuken/Mindustry", "show")</f>
        <v>show</v>
      </c>
      <c r="H5042" t="str">
        <f>HYPERLINK("https://github.com/Anuken/Mindustry/releases", "show")</f>
        <v>show</v>
      </c>
      <c r="I5042">
        <v>1</v>
      </c>
      <c r="J5042">
        <v>1</v>
      </c>
      <c r="K5042">
        <v>0</v>
      </c>
      <c r="L5042">
        <v>0</v>
      </c>
      <c r="M5042" t="s">
        <v>48</v>
      </c>
    </row>
    <row r="5043" spans="1:13" hidden="1" x14ac:dyDescent="0.15">
      <c r="A5043" t="s">
        <v>15920</v>
      </c>
      <c r="B5043" t="s">
        <v>15921</v>
      </c>
      <c r="C5043" t="s">
        <v>15922</v>
      </c>
      <c r="D5043" t="s">
        <v>15923</v>
      </c>
      <c r="E5043">
        <v>1</v>
      </c>
      <c r="F5043" t="str">
        <f>HYPERLINK("https://github.com/TeamNewPipe/NewPipe/issues/5947", "show")</f>
        <v>show</v>
      </c>
      <c r="G5043" t="str">
        <f>HYPERLINK("https://github.com/TeamNewPipe/NewPipe", "show")</f>
        <v>show</v>
      </c>
      <c r="H5043" t="str">
        <f>HYPERLINK("https://github.com/TeamNewPipe/NewPipe/releases", "show")</f>
        <v>show</v>
      </c>
      <c r="I5043">
        <v>1</v>
      </c>
      <c r="J5043">
        <v>1</v>
      </c>
      <c r="K5043">
        <v>0</v>
      </c>
      <c r="L5043">
        <v>0</v>
      </c>
      <c r="M5043" t="s">
        <v>48</v>
      </c>
    </row>
    <row r="5044" spans="1:13" hidden="1" x14ac:dyDescent="0.15">
      <c r="A5044" t="s">
        <v>15924</v>
      </c>
      <c r="B5044" t="s">
        <v>15925</v>
      </c>
      <c r="C5044" t="s">
        <v>15926</v>
      </c>
      <c r="D5044" t="s">
        <v>15923</v>
      </c>
      <c r="E5044">
        <v>0</v>
      </c>
      <c r="F5044" t="str">
        <f>HYPERLINK("https://github.com/PojavLauncherTeam/PojavLauncher/issues/1127", "show")</f>
        <v>show</v>
      </c>
      <c r="G5044" t="str">
        <f>HYPERLINK("https://github.com/PojavLauncherTeam/PojavLauncher", "show")</f>
        <v>show</v>
      </c>
      <c r="H5044" t="str">
        <f>HYPERLINK("https://github.com/PojavLauncherTeam/PojavLauncher/releases", "show")</f>
        <v>show</v>
      </c>
      <c r="I5044">
        <v>1</v>
      </c>
      <c r="J5044">
        <v>1</v>
      </c>
      <c r="K5044">
        <v>0</v>
      </c>
      <c r="L5044">
        <v>0</v>
      </c>
      <c r="M5044" t="s">
        <v>48</v>
      </c>
    </row>
    <row r="5045" spans="1:13" hidden="1" x14ac:dyDescent="0.15">
      <c r="A5045" t="s">
        <v>15927</v>
      </c>
      <c r="B5045" t="s">
        <v>15928</v>
      </c>
      <c r="C5045" t="s">
        <v>15929</v>
      </c>
      <c r="D5045" t="s">
        <v>15923</v>
      </c>
      <c r="E5045">
        <v>86</v>
      </c>
      <c r="F5045" t="str">
        <f>HYPERLINK("https://github.com/nextcloud/android/issues/8218", "show")</f>
        <v>show</v>
      </c>
      <c r="G5045" t="str">
        <f>HYPERLINK("https://github.com/nextcloud/android", "show")</f>
        <v>show</v>
      </c>
      <c r="H5045" t="str">
        <f>HYPERLINK("https://github.com/nextcloud/android/releases", "show")</f>
        <v>show</v>
      </c>
      <c r="I5045">
        <v>1</v>
      </c>
      <c r="J5045">
        <v>1</v>
      </c>
      <c r="K5045">
        <v>1</v>
      </c>
      <c r="L5045">
        <v>0</v>
      </c>
      <c r="M5045" t="s">
        <v>59</v>
      </c>
    </row>
    <row r="5046" spans="1:13" hidden="1" x14ac:dyDescent="0.15">
      <c r="A5046" t="s">
        <v>15930</v>
      </c>
      <c r="B5046" t="s">
        <v>15931</v>
      </c>
      <c r="C5046" t="s">
        <v>15932</v>
      </c>
      <c r="D5046" t="s">
        <v>15923</v>
      </c>
      <c r="E5046">
        <v>157</v>
      </c>
      <c r="F5046" t="str">
        <f>HYPERLINK("https://github.com/PojavLauncherTeam/PojavLauncher/issues/1126", "show")</f>
        <v>show</v>
      </c>
      <c r="G5046" t="str">
        <f>HYPERLINK("https://github.com/PojavLauncherTeam/PojavLauncher", "show")</f>
        <v>show</v>
      </c>
      <c r="H5046" t="str">
        <f>HYPERLINK("https://github.com/PojavLauncherTeam/PojavLauncher/releases", "show")</f>
        <v>show</v>
      </c>
      <c r="I5046">
        <v>1</v>
      </c>
      <c r="J5046">
        <v>1</v>
      </c>
      <c r="K5046">
        <v>0</v>
      </c>
      <c r="L5046">
        <v>0</v>
      </c>
      <c r="M5046" t="s">
        <v>48</v>
      </c>
    </row>
    <row r="5047" spans="1:13" hidden="1" x14ac:dyDescent="0.15">
      <c r="A5047" t="s">
        <v>15933</v>
      </c>
      <c r="B5047" t="s">
        <v>15934</v>
      </c>
      <c r="C5047" t="s">
        <v>15935</v>
      </c>
      <c r="D5047" t="s">
        <v>15923</v>
      </c>
      <c r="E5047">
        <v>67</v>
      </c>
      <c r="F5047" t="str">
        <f>HYPERLINK("https://github.com/TeamNewPipe/NewPipe/issues/5941", "show")</f>
        <v>show</v>
      </c>
      <c r="G5047" t="str">
        <f>HYPERLINK("https://github.com/TeamNewPipe/NewPipe", "show")</f>
        <v>show</v>
      </c>
      <c r="H5047" t="str">
        <f>HYPERLINK("https://github.com/TeamNewPipe/NewPipe/releases", "show")</f>
        <v>show</v>
      </c>
      <c r="I5047">
        <v>1</v>
      </c>
      <c r="J5047">
        <v>1</v>
      </c>
      <c r="K5047">
        <v>1</v>
      </c>
      <c r="L5047">
        <v>0</v>
      </c>
      <c r="M5047" t="s">
        <v>59</v>
      </c>
    </row>
    <row r="5048" spans="1:13" hidden="1" x14ac:dyDescent="0.15">
      <c r="A5048" t="s">
        <v>15936</v>
      </c>
      <c r="B5048" t="s">
        <v>15937</v>
      </c>
      <c r="C5048" t="s">
        <v>15938</v>
      </c>
      <c r="D5048" t="s">
        <v>15923</v>
      </c>
      <c r="E5048">
        <v>0</v>
      </c>
      <c r="F5048" t="str">
        <f>HYPERLINK("https://github.com/cgeo/cgeo/issues/10281", "show")</f>
        <v>show</v>
      </c>
      <c r="G5048" t="str">
        <f>HYPERLINK("https://github.com/cgeo/cgeo", "show")</f>
        <v>show</v>
      </c>
      <c r="H5048" t="str">
        <f>HYPERLINK("https://github.com/cgeo/cgeo/releases", "show")</f>
        <v>show</v>
      </c>
      <c r="I5048">
        <v>1</v>
      </c>
      <c r="J5048">
        <v>0</v>
      </c>
      <c r="K5048">
        <v>1</v>
      </c>
      <c r="L5048">
        <v>0</v>
      </c>
      <c r="M5048" t="s">
        <v>64</v>
      </c>
    </row>
    <row r="5049" spans="1:13" x14ac:dyDescent="0.15">
      <c r="A5049" t="s">
        <v>15939</v>
      </c>
      <c r="B5049" t="s">
        <v>15940</v>
      </c>
      <c r="C5049" t="s">
        <v>15941</v>
      </c>
      <c r="D5049" t="s">
        <v>15923</v>
      </c>
      <c r="E5049">
        <v>0</v>
      </c>
      <c r="F5049" t="str">
        <f>HYPERLINK("https://github.com/PojavLauncherTeam/PojavLauncher/issues/1118", "show")</f>
        <v>show</v>
      </c>
      <c r="G5049" t="str">
        <f>HYPERLINK("https://github.com/PojavLauncherTeam/PojavLauncher", "show")</f>
        <v>show</v>
      </c>
      <c r="H5049" t="str">
        <f>HYPERLINK("https://github.com/PojavLauncherTeam/PojavLauncher/releases", "show")</f>
        <v>show</v>
      </c>
      <c r="I5049">
        <v>0</v>
      </c>
      <c r="J5049">
        <v>1</v>
      </c>
      <c r="K5049">
        <v>0</v>
      </c>
      <c r="L5049">
        <v>0</v>
      </c>
      <c r="M5049" t="s">
        <v>139</v>
      </c>
    </row>
    <row r="5050" spans="1:13" hidden="1" x14ac:dyDescent="0.15">
      <c r="A5050" t="s">
        <v>15942</v>
      </c>
      <c r="B5050" t="s">
        <v>15943</v>
      </c>
      <c r="C5050" t="s">
        <v>15944</v>
      </c>
      <c r="D5050" t="s">
        <v>15945</v>
      </c>
      <c r="E5050">
        <v>1</v>
      </c>
      <c r="F5050" t="str">
        <f>HYPERLINK("https://github.com/PojavLauncherTeam/PojavLauncher/issues/1116", "show")</f>
        <v>show</v>
      </c>
      <c r="G5050" t="str">
        <f>HYPERLINK("https://github.com/PojavLauncherTeam/PojavLauncher", "show")</f>
        <v>show</v>
      </c>
      <c r="H5050" t="str">
        <f>HYPERLINK("https://github.com/PojavLauncherTeam/PojavLauncher/releases", "show")</f>
        <v>show</v>
      </c>
      <c r="I5050">
        <v>1</v>
      </c>
      <c r="J5050">
        <v>1</v>
      </c>
      <c r="K5050">
        <v>0</v>
      </c>
      <c r="L5050">
        <v>0</v>
      </c>
      <c r="M5050" t="s">
        <v>48</v>
      </c>
    </row>
    <row r="5051" spans="1:13" hidden="1" x14ac:dyDescent="0.15">
      <c r="A5051" t="s">
        <v>15946</v>
      </c>
      <c r="B5051" t="s">
        <v>15947</v>
      </c>
      <c r="D5051" t="s">
        <v>15945</v>
      </c>
      <c r="E5051">
        <v>0</v>
      </c>
      <c r="F5051" t="str">
        <f>HYPERLINK("https://github.com/SDP-group22/Helio-app/issues/177", "show")</f>
        <v>show</v>
      </c>
      <c r="G5051" t="str">
        <f>HYPERLINK("https://github.com/SDP-group22/Helio-app", "show")</f>
        <v>show</v>
      </c>
      <c r="H5051" t="str">
        <f>HYPERLINK("https://github.com/SDP-group22/Helio-app/releases", "show")</f>
        <v>show</v>
      </c>
      <c r="I5051">
        <v>1</v>
      </c>
      <c r="J5051">
        <v>0</v>
      </c>
      <c r="K5051">
        <v>0</v>
      </c>
      <c r="L5051">
        <v>0</v>
      </c>
      <c r="M5051" t="s">
        <v>17</v>
      </c>
    </row>
    <row r="5052" spans="1:13" hidden="1" x14ac:dyDescent="0.15">
      <c r="A5052" t="s">
        <v>15948</v>
      </c>
      <c r="B5052" t="s">
        <v>15949</v>
      </c>
      <c r="C5052" t="s">
        <v>15950</v>
      </c>
      <c r="D5052" t="s">
        <v>15945</v>
      </c>
      <c r="E5052">
        <v>174</v>
      </c>
      <c r="F5052" t="str">
        <f>HYPERLINK("https://github.com/MuntashirAkon/AppManager/issues/340", "show")</f>
        <v>show</v>
      </c>
      <c r="G5052" t="str">
        <f>HYPERLINK("https://github.com/MuntashirAkon/AppManager", "show")</f>
        <v>show</v>
      </c>
      <c r="H5052" t="str">
        <f>HYPERLINK("https://github.com/MuntashirAkon/AppManager/releases", "show")</f>
        <v>show</v>
      </c>
      <c r="I5052">
        <v>1</v>
      </c>
      <c r="J5052">
        <v>1</v>
      </c>
      <c r="K5052">
        <v>0</v>
      </c>
      <c r="L5052">
        <v>1</v>
      </c>
      <c r="M5052" t="s">
        <v>1894</v>
      </c>
    </row>
    <row r="5053" spans="1:13" hidden="1" x14ac:dyDescent="0.15">
      <c r="A5053" t="s">
        <v>15951</v>
      </c>
      <c r="B5053" t="s">
        <v>15952</v>
      </c>
      <c r="C5053" t="s">
        <v>15953</v>
      </c>
      <c r="D5053" t="s">
        <v>15945</v>
      </c>
      <c r="E5053">
        <v>39</v>
      </c>
      <c r="F5053" t="str">
        <f>HYPERLINK("https://github.com/nextcloud/android/issues/8213", "show")</f>
        <v>show</v>
      </c>
      <c r="G5053" t="str">
        <f>HYPERLINK("https://github.com/nextcloud/android", "show")</f>
        <v>show</v>
      </c>
      <c r="H5053" t="str">
        <f>HYPERLINK("https://github.com/nextcloud/android/releases", "show")</f>
        <v>show</v>
      </c>
      <c r="I5053">
        <v>1</v>
      </c>
      <c r="J5053">
        <v>0</v>
      </c>
      <c r="K5053">
        <v>1</v>
      </c>
      <c r="L5053">
        <v>0</v>
      </c>
      <c r="M5053" t="s">
        <v>64</v>
      </c>
    </row>
    <row r="5054" spans="1:13" hidden="1" x14ac:dyDescent="0.15">
      <c r="A5054" t="s">
        <v>15954</v>
      </c>
      <c r="B5054" t="s">
        <v>15955</v>
      </c>
      <c r="C5054" t="s">
        <v>15956</v>
      </c>
      <c r="D5054" t="s">
        <v>15945</v>
      </c>
      <c r="E5054">
        <v>46</v>
      </c>
      <c r="F5054" t="str">
        <f>HYPERLINK("https://github.com/getsentry/sentry-java/issues/1357", "show")</f>
        <v>show</v>
      </c>
      <c r="G5054" t="str">
        <f>HYPERLINK("https://github.com/getsentry/sentry-java", "show")</f>
        <v>show</v>
      </c>
      <c r="H5054" t="str">
        <f>HYPERLINK("https://github.com/getsentry/sentry-java/releases", "show")</f>
        <v>show</v>
      </c>
      <c r="I5054">
        <v>1</v>
      </c>
      <c r="J5054">
        <v>1</v>
      </c>
      <c r="K5054">
        <v>0</v>
      </c>
      <c r="L5054">
        <v>0</v>
      </c>
      <c r="M5054" t="s">
        <v>48</v>
      </c>
    </row>
    <row r="5055" spans="1:13" hidden="1" x14ac:dyDescent="0.15">
      <c r="A5055" t="s">
        <v>15957</v>
      </c>
      <c r="B5055" t="s">
        <v>15958</v>
      </c>
      <c r="C5055" t="s">
        <v>15959</v>
      </c>
      <c r="D5055" t="s">
        <v>15945</v>
      </c>
      <c r="E5055">
        <v>0</v>
      </c>
      <c r="F5055" t="str">
        <f>HYPERLINK("https://github.com/Anuken/Mindustry/issues/5005", "show")</f>
        <v>show</v>
      </c>
      <c r="G5055" t="str">
        <f>HYPERLINK("https://github.com/Anuken/Mindustry", "show")</f>
        <v>show</v>
      </c>
      <c r="H5055" t="str">
        <f>HYPERLINK("https://github.com/Anuken/Mindustry/releases", "show")</f>
        <v>show</v>
      </c>
      <c r="I5055">
        <v>1</v>
      </c>
      <c r="J5055">
        <v>0</v>
      </c>
      <c r="K5055">
        <v>0</v>
      </c>
      <c r="L5055">
        <v>0</v>
      </c>
      <c r="M5055" t="s">
        <v>17</v>
      </c>
    </row>
    <row r="5056" spans="1:13" hidden="1" x14ac:dyDescent="0.15">
      <c r="A5056" t="s">
        <v>15960</v>
      </c>
      <c r="B5056" t="s">
        <v>15961</v>
      </c>
      <c r="C5056" t="s">
        <v>15962</v>
      </c>
      <c r="D5056" t="s">
        <v>15963</v>
      </c>
      <c r="E5056">
        <v>0</v>
      </c>
      <c r="F5056" t="str">
        <f>HYPERLINK("https://github.com/Anuken/Mindustry/issues/4999", "show")</f>
        <v>show</v>
      </c>
      <c r="G5056" t="str">
        <f>HYPERLINK("https://github.com/Anuken/Mindustry", "show")</f>
        <v>show</v>
      </c>
      <c r="H5056" t="str">
        <f>HYPERLINK("https://github.com/Anuken/Mindustry/releases", "show")</f>
        <v>show</v>
      </c>
      <c r="I5056">
        <v>1</v>
      </c>
      <c r="J5056">
        <v>1</v>
      </c>
      <c r="K5056">
        <v>0</v>
      </c>
      <c r="L5056">
        <v>0</v>
      </c>
      <c r="M5056" t="s">
        <v>48</v>
      </c>
    </row>
    <row r="5057" spans="1:13" hidden="1" x14ac:dyDescent="0.15">
      <c r="A5057" t="s">
        <v>15964</v>
      </c>
      <c r="B5057" t="s">
        <v>15965</v>
      </c>
      <c r="C5057" t="s">
        <v>15966</v>
      </c>
      <c r="D5057" t="s">
        <v>15963</v>
      </c>
      <c r="E5057">
        <v>9</v>
      </c>
      <c r="F5057" t="str">
        <f>HYPERLINK("https://github.com/indomie858/app-A/issues/156", "show")</f>
        <v>show</v>
      </c>
      <c r="G5057" t="str">
        <f>HYPERLINK("https://github.com/indomie858/app-A", "show")</f>
        <v>show</v>
      </c>
      <c r="H5057" t="str">
        <f>HYPERLINK("https://github.com/indomie858/app-A/releases", "show")</f>
        <v>show</v>
      </c>
      <c r="I5057">
        <v>1</v>
      </c>
      <c r="J5057">
        <v>0</v>
      </c>
      <c r="K5057">
        <v>1</v>
      </c>
      <c r="L5057">
        <v>0</v>
      </c>
      <c r="M5057" t="s">
        <v>64</v>
      </c>
    </row>
    <row r="5058" spans="1:13" hidden="1" x14ac:dyDescent="0.15">
      <c r="A5058" t="s">
        <v>15967</v>
      </c>
      <c r="B5058" t="s">
        <v>15968</v>
      </c>
      <c r="C5058" t="s">
        <v>15969</v>
      </c>
      <c r="D5058" t="s">
        <v>15963</v>
      </c>
      <c r="E5058">
        <v>0</v>
      </c>
      <c r="F5058" t="str">
        <f>HYPERLINK("https://github.com/mohyghb/Moweb/issues/83", "show")</f>
        <v>show</v>
      </c>
      <c r="G5058" t="str">
        <f>HYPERLINK("https://github.com/mohyghb/Moweb", "show")</f>
        <v>show</v>
      </c>
      <c r="H5058" t="str">
        <f>HYPERLINK("https://github.com/mohyghb/Moweb/releases", "show")</f>
        <v>show</v>
      </c>
      <c r="I5058">
        <v>0</v>
      </c>
      <c r="J5058">
        <v>0</v>
      </c>
      <c r="K5058">
        <v>0</v>
      </c>
      <c r="L5058">
        <v>0</v>
      </c>
      <c r="M5058" t="s">
        <v>43</v>
      </c>
    </row>
    <row r="5059" spans="1:13" hidden="1" x14ac:dyDescent="0.15">
      <c r="A5059" t="s">
        <v>15970</v>
      </c>
      <c r="B5059" t="s">
        <v>15971</v>
      </c>
      <c r="D5059" t="s">
        <v>15972</v>
      </c>
      <c r="E5059">
        <v>1</v>
      </c>
      <c r="F5059" t="str">
        <f>HYPERLINK("https://github.com/mohyghb/Moweb/issues/81", "show")</f>
        <v>show</v>
      </c>
      <c r="G5059" t="str">
        <f>HYPERLINK("https://github.com/mohyghb/Moweb", "show")</f>
        <v>show</v>
      </c>
      <c r="H5059" t="str">
        <f>HYPERLINK("https://github.com/mohyghb/Moweb/releases", "show")</f>
        <v>show</v>
      </c>
      <c r="I5059">
        <v>0</v>
      </c>
      <c r="J5059">
        <v>0</v>
      </c>
      <c r="K5059">
        <v>0</v>
      </c>
      <c r="L5059">
        <v>0</v>
      </c>
      <c r="M5059" t="s">
        <v>43</v>
      </c>
    </row>
    <row r="5060" spans="1:13" hidden="1" x14ac:dyDescent="0.15">
      <c r="A5060" t="s">
        <v>15973</v>
      </c>
      <c r="B5060" t="s">
        <v>15974</v>
      </c>
      <c r="C5060" t="s">
        <v>15975</v>
      </c>
      <c r="D5060" t="s">
        <v>15972</v>
      </c>
      <c r="E5060">
        <v>35</v>
      </c>
      <c r="F5060" t="str">
        <f>HYPERLINK("https://github.com/inaturalist/iNaturalistAndroid/issues/1006", "show")</f>
        <v>show</v>
      </c>
      <c r="G5060" t="str">
        <f>HYPERLINK("https://github.com/inaturalist/iNaturalistAndroid", "show")</f>
        <v>show</v>
      </c>
      <c r="H5060" t="str">
        <f>HYPERLINK("https://github.com/inaturalist/iNaturalistAndroid/releases", "show")</f>
        <v>show</v>
      </c>
      <c r="I5060">
        <v>0</v>
      </c>
      <c r="J5060">
        <v>0</v>
      </c>
      <c r="K5060">
        <v>1</v>
      </c>
      <c r="L5060">
        <v>0</v>
      </c>
      <c r="M5060" t="s">
        <v>122</v>
      </c>
    </row>
    <row r="5061" spans="1:13" hidden="1" x14ac:dyDescent="0.15">
      <c r="A5061" t="s">
        <v>15976</v>
      </c>
      <c r="B5061" t="s">
        <v>15977</v>
      </c>
      <c r="C5061" t="s">
        <v>15978</v>
      </c>
      <c r="D5061" t="s">
        <v>15972</v>
      </c>
      <c r="E5061">
        <v>0</v>
      </c>
      <c r="F5061" t="str">
        <f>HYPERLINK("https://github.com/Anuken/Mindustry/issues/4992", "show")</f>
        <v>show</v>
      </c>
      <c r="G5061" t="str">
        <f>HYPERLINK("https://github.com/Anuken/Mindustry", "show")</f>
        <v>show</v>
      </c>
      <c r="H5061" t="str">
        <f>HYPERLINK("https://github.com/Anuken/Mindustry/releases", "show")</f>
        <v>show</v>
      </c>
      <c r="I5061">
        <v>1</v>
      </c>
      <c r="J5061">
        <v>1</v>
      </c>
      <c r="K5061">
        <v>0</v>
      </c>
      <c r="L5061">
        <v>0</v>
      </c>
      <c r="M5061" t="s">
        <v>48</v>
      </c>
    </row>
    <row r="5062" spans="1:13" hidden="1" x14ac:dyDescent="0.15">
      <c r="A5062" t="s">
        <v>15979</v>
      </c>
      <c r="B5062" t="s">
        <v>15980</v>
      </c>
      <c r="C5062" t="s">
        <v>15981</v>
      </c>
      <c r="D5062" t="s">
        <v>15972</v>
      </c>
      <c r="E5062">
        <v>0</v>
      </c>
      <c r="F5062" t="str">
        <f>HYPERLINK("https://github.com/MuntashirAkon/AppManager/issues/338", "show")</f>
        <v>show</v>
      </c>
      <c r="G5062" t="str">
        <f>HYPERLINK("https://github.com/MuntashirAkon/AppManager", "show")</f>
        <v>show</v>
      </c>
      <c r="H5062" t="str">
        <f>HYPERLINK("https://github.com/MuntashirAkon/AppManager/releases", "show")</f>
        <v>show</v>
      </c>
      <c r="I5062">
        <v>1</v>
      </c>
      <c r="J5062">
        <v>1</v>
      </c>
      <c r="K5062">
        <v>0</v>
      </c>
      <c r="L5062">
        <v>0</v>
      </c>
      <c r="M5062" t="s">
        <v>48</v>
      </c>
    </row>
    <row r="5063" spans="1:13" hidden="1" x14ac:dyDescent="0.15">
      <c r="A5063" t="s">
        <v>15982</v>
      </c>
      <c r="B5063" t="s">
        <v>15983</v>
      </c>
      <c r="C5063" t="s">
        <v>15984</v>
      </c>
      <c r="D5063" t="s">
        <v>15972</v>
      </c>
      <c r="E5063">
        <v>0</v>
      </c>
      <c r="F5063" t="str">
        <f>HYPERLINK("https://github.com/SDP-group22/Helio-app/issues/166", "show")</f>
        <v>show</v>
      </c>
      <c r="G5063" t="str">
        <f>HYPERLINK("https://github.com/SDP-group22/Helio-app", "show")</f>
        <v>show</v>
      </c>
      <c r="H5063" t="str">
        <f>HYPERLINK("https://github.com/SDP-group22/Helio-app/releases", "show")</f>
        <v>show</v>
      </c>
      <c r="I5063">
        <v>1</v>
      </c>
      <c r="J5063">
        <v>0</v>
      </c>
      <c r="K5063">
        <v>0</v>
      </c>
      <c r="L5063">
        <v>0</v>
      </c>
      <c r="M5063" t="s">
        <v>17</v>
      </c>
    </row>
    <row r="5064" spans="1:13" hidden="1" x14ac:dyDescent="0.15">
      <c r="A5064" t="s">
        <v>15985</v>
      </c>
      <c r="B5064" t="s">
        <v>15986</v>
      </c>
      <c r="C5064" t="s">
        <v>15987</v>
      </c>
      <c r="D5064" t="s">
        <v>15972</v>
      </c>
      <c r="E5064">
        <v>0</v>
      </c>
      <c r="F5064" t="str">
        <f>HYPERLINK("https://github.com/square/okhttp/issues/6605", "show")</f>
        <v>show</v>
      </c>
      <c r="G5064" t="str">
        <f>HYPERLINK("https://github.com/square/okhttp", "show")</f>
        <v>show</v>
      </c>
      <c r="H5064" t="str">
        <f>HYPERLINK("https://github.com/square/okhttp/releases", "show")</f>
        <v>show</v>
      </c>
      <c r="I5064">
        <v>1</v>
      </c>
      <c r="J5064">
        <v>0</v>
      </c>
      <c r="K5064">
        <v>1</v>
      </c>
      <c r="L5064">
        <v>0</v>
      </c>
      <c r="M5064" t="s">
        <v>64</v>
      </c>
    </row>
    <row r="5065" spans="1:13" hidden="1" x14ac:dyDescent="0.15">
      <c r="A5065" t="s">
        <v>15988</v>
      </c>
      <c r="B5065" t="s">
        <v>15989</v>
      </c>
      <c r="C5065" t="s">
        <v>15990</v>
      </c>
      <c r="D5065" t="s">
        <v>15972</v>
      </c>
      <c r="E5065">
        <v>294</v>
      </c>
      <c r="F5065" t="str">
        <f>HYPERLINK("https://github.com/doublesymmetry/react-native-track-player/issues/1149", "show")</f>
        <v>show</v>
      </c>
      <c r="G5065" t="str">
        <f>HYPERLINK("https://github.com/doublesymmetry/react-native-track-player", "show")</f>
        <v>show</v>
      </c>
      <c r="H5065" t="str">
        <f>HYPERLINK("https://github.com/doublesymmetry/react-native-track-player/releases", "show")</f>
        <v>show</v>
      </c>
      <c r="I5065">
        <v>1</v>
      </c>
      <c r="J5065">
        <v>0</v>
      </c>
      <c r="K5065">
        <v>0</v>
      </c>
      <c r="L5065">
        <v>0</v>
      </c>
      <c r="M5065" t="s">
        <v>17</v>
      </c>
    </row>
    <row r="5066" spans="1:13" hidden="1" x14ac:dyDescent="0.15">
      <c r="A5066" t="s">
        <v>15991</v>
      </c>
      <c r="B5066" t="s">
        <v>15992</v>
      </c>
      <c r="D5066" t="s">
        <v>15993</v>
      </c>
      <c r="E5066">
        <v>0</v>
      </c>
      <c r="F5066" t="str">
        <f>HYPERLINK("https://github.com/indomie858/app-A/issues/147", "show")</f>
        <v>show</v>
      </c>
      <c r="G5066" t="str">
        <f>HYPERLINK("https://github.com/indomie858/app-A", "show")</f>
        <v>show</v>
      </c>
      <c r="H5066" t="str">
        <f>HYPERLINK("https://github.com/indomie858/app-A/releases", "show")</f>
        <v>show</v>
      </c>
      <c r="I5066">
        <v>0</v>
      </c>
      <c r="J5066">
        <v>0</v>
      </c>
      <c r="K5066">
        <v>0</v>
      </c>
      <c r="L5066">
        <v>0</v>
      </c>
      <c r="M5066" t="s">
        <v>43</v>
      </c>
    </row>
    <row r="5067" spans="1:13" hidden="1" x14ac:dyDescent="0.15">
      <c r="A5067" t="s">
        <v>15994</v>
      </c>
      <c r="B5067" t="s">
        <v>15995</v>
      </c>
      <c r="C5067" t="s">
        <v>15996</v>
      </c>
      <c r="D5067" t="s">
        <v>15997</v>
      </c>
      <c r="E5067">
        <v>1</v>
      </c>
      <c r="F5067" t="str">
        <f>HYPERLINK("https://github.com/deltachat/deltachat-android/issues/1841", "show")</f>
        <v>show</v>
      </c>
      <c r="G5067" t="str">
        <f>HYPERLINK("https://github.com/deltachat/deltachat-android", "show")</f>
        <v>show</v>
      </c>
      <c r="H5067" t="str">
        <f>HYPERLINK("https://github.com/deltachat/deltachat-android/releases", "show")</f>
        <v>show</v>
      </c>
      <c r="I5067">
        <v>1</v>
      </c>
      <c r="J5067">
        <v>0</v>
      </c>
      <c r="K5067">
        <v>1</v>
      </c>
      <c r="L5067">
        <v>0</v>
      </c>
      <c r="M5067" t="s">
        <v>64</v>
      </c>
    </row>
    <row r="5068" spans="1:13" hidden="1" x14ac:dyDescent="0.15">
      <c r="A5068" t="s">
        <v>15998</v>
      </c>
      <c r="B5068" t="s">
        <v>15999</v>
      </c>
      <c r="C5068" t="s">
        <v>16000</v>
      </c>
      <c r="D5068" t="s">
        <v>15997</v>
      </c>
      <c r="E5068">
        <v>21</v>
      </c>
      <c r="F5068" t="str">
        <f>HYPERLINK("https://github.com/prebid/prebid-mobile-android/issues/247", "show")</f>
        <v>show</v>
      </c>
      <c r="G5068" t="str">
        <f>HYPERLINK("https://github.com/prebid/prebid-mobile-android", "show")</f>
        <v>show</v>
      </c>
      <c r="H5068" t="str">
        <f>HYPERLINK("https://github.com/prebid/prebid-mobile-android/releases", "show")</f>
        <v>show</v>
      </c>
      <c r="I5068">
        <v>0</v>
      </c>
      <c r="J5068">
        <v>0</v>
      </c>
      <c r="K5068">
        <v>1</v>
      </c>
      <c r="L5068">
        <v>0</v>
      </c>
      <c r="M5068" t="s">
        <v>122</v>
      </c>
    </row>
    <row r="5069" spans="1:13" hidden="1" x14ac:dyDescent="0.15">
      <c r="A5069" t="s">
        <v>16001</v>
      </c>
      <c r="B5069" t="s">
        <v>16002</v>
      </c>
      <c r="C5069" t="s">
        <v>16003</v>
      </c>
      <c r="D5069" t="s">
        <v>15997</v>
      </c>
      <c r="E5069">
        <v>21</v>
      </c>
      <c r="F5069" t="str">
        <f>HYPERLINK("https://github.com/prebid/prebid-mobile-android/issues/246", "show")</f>
        <v>show</v>
      </c>
      <c r="G5069" t="str">
        <f>HYPERLINK("https://github.com/prebid/prebid-mobile-android", "show")</f>
        <v>show</v>
      </c>
      <c r="H5069" t="str">
        <f>HYPERLINK("https://github.com/prebid/prebid-mobile-android/releases", "show")</f>
        <v>show</v>
      </c>
      <c r="I5069">
        <v>0</v>
      </c>
      <c r="J5069">
        <v>0</v>
      </c>
      <c r="K5069">
        <v>1</v>
      </c>
      <c r="L5069">
        <v>0</v>
      </c>
      <c r="M5069" t="s">
        <v>122</v>
      </c>
    </row>
    <row r="5070" spans="1:13" hidden="1" x14ac:dyDescent="0.15">
      <c r="A5070" t="s">
        <v>16004</v>
      </c>
      <c r="B5070" t="s">
        <v>16005</v>
      </c>
      <c r="C5070" t="s">
        <v>16006</v>
      </c>
      <c r="D5070" t="s">
        <v>15997</v>
      </c>
      <c r="E5070">
        <v>4</v>
      </c>
      <c r="F5070" t="str">
        <f>HYPERLINK("https://github.com/SeulGeek/FoodForYou/issues/63", "show")</f>
        <v>show</v>
      </c>
      <c r="G5070" t="str">
        <f>HYPERLINK("https://github.com/SeulGeek/FoodForYou", "show")</f>
        <v>show</v>
      </c>
      <c r="H5070" t="str">
        <f>HYPERLINK("https://github.com/SeulGeek/FoodForYou/releases", "show")</f>
        <v>show</v>
      </c>
      <c r="I5070">
        <v>1</v>
      </c>
      <c r="J5070">
        <v>0</v>
      </c>
      <c r="K5070">
        <v>0</v>
      </c>
      <c r="L5070">
        <v>1</v>
      </c>
      <c r="M5070" t="s">
        <v>29</v>
      </c>
    </row>
    <row r="5071" spans="1:13" hidden="1" x14ac:dyDescent="0.15">
      <c r="A5071" t="s">
        <v>16007</v>
      </c>
      <c r="B5071" t="s">
        <v>16008</v>
      </c>
      <c r="C5071" t="s">
        <v>16009</v>
      </c>
      <c r="D5071" t="s">
        <v>15997</v>
      </c>
      <c r="E5071">
        <v>0</v>
      </c>
      <c r="F5071" t="str">
        <f>HYPERLINK("https://github.com/openid/AppAuth-Android/issues/678", "show")</f>
        <v>show</v>
      </c>
      <c r="G5071" t="str">
        <f>HYPERLINK("https://github.com/openid/AppAuth-Android", "show")</f>
        <v>show</v>
      </c>
      <c r="H5071" t="str">
        <f>HYPERLINK("https://github.com/openid/AppAuth-Android/releases", "show")</f>
        <v>show</v>
      </c>
      <c r="I5071">
        <v>0</v>
      </c>
      <c r="J5071">
        <v>0</v>
      </c>
      <c r="K5071">
        <v>1</v>
      </c>
      <c r="L5071">
        <v>0</v>
      </c>
      <c r="M5071" t="s">
        <v>122</v>
      </c>
    </row>
    <row r="5072" spans="1:13" hidden="1" x14ac:dyDescent="0.15">
      <c r="A5072" t="s">
        <v>16010</v>
      </c>
      <c r="B5072" t="s">
        <v>16011</v>
      </c>
      <c r="C5072" t="s">
        <v>16012</v>
      </c>
      <c r="D5072" t="s">
        <v>15997</v>
      </c>
      <c r="E5072">
        <v>0</v>
      </c>
      <c r="F5072" t="str">
        <f>HYPERLINK("https://github.com/gsantner/markor/issues/1292", "show")</f>
        <v>show</v>
      </c>
      <c r="G5072" t="str">
        <f>HYPERLINK("https://github.com/gsantner/markor", "show")</f>
        <v>show</v>
      </c>
      <c r="H5072" t="str">
        <f>HYPERLINK("https://github.com/gsantner/markor/releases", "show")</f>
        <v>show</v>
      </c>
      <c r="I5072">
        <v>0</v>
      </c>
      <c r="J5072">
        <v>0</v>
      </c>
      <c r="K5072">
        <v>0</v>
      </c>
      <c r="L5072">
        <v>0</v>
      </c>
      <c r="M5072" t="s">
        <v>43</v>
      </c>
    </row>
    <row r="5073" spans="1:13" hidden="1" x14ac:dyDescent="0.15">
      <c r="A5073" t="s">
        <v>16013</v>
      </c>
      <c r="B5073" t="s">
        <v>16014</v>
      </c>
      <c r="C5073" t="s">
        <v>16015</v>
      </c>
      <c r="D5073" t="s">
        <v>15997</v>
      </c>
      <c r="E5073">
        <v>0</v>
      </c>
      <c r="F5073" t="str">
        <f>HYPERLINK("https://github.com/PojavLauncherTeam/PojavLauncher/issues/1099", "show")</f>
        <v>show</v>
      </c>
      <c r="G5073" t="str">
        <f>HYPERLINK("https://github.com/PojavLauncherTeam/PojavLauncher", "show")</f>
        <v>show</v>
      </c>
      <c r="H5073" t="str">
        <f>HYPERLINK("https://github.com/PojavLauncherTeam/PojavLauncher/releases", "show")</f>
        <v>show</v>
      </c>
      <c r="I5073">
        <v>1</v>
      </c>
      <c r="J5073">
        <v>1</v>
      </c>
      <c r="K5073">
        <v>0</v>
      </c>
      <c r="L5073">
        <v>0</v>
      </c>
      <c r="M5073" t="s">
        <v>48</v>
      </c>
    </row>
    <row r="5074" spans="1:13" hidden="1" x14ac:dyDescent="0.15">
      <c r="A5074" t="s">
        <v>16016</v>
      </c>
      <c r="B5074" t="s">
        <v>16017</v>
      </c>
      <c r="C5074" t="s">
        <v>16018</v>
      </c>
      <c r="D5074" t="s">
        <v>16019</v>
      </c>
      <c r="E5074">
        <v>3</v>
      </c>
      <c r="F5074" t="str">
        <f>HYPERLINK("https://github.com/smartdevicelink/sdl_java_suite/issues/1642", "show")</f>
        <v>show</v>
      </c>
      <c r="G5074" t="str">
        <f>HYPERLINK("https://github.com/smartdevicelink/sdl_java_suite", "show")</f>
        <v>show</v>
      </c>
      <c r="H5074" t="str">
        <f>HYPERLINK("https://github.com/smartdevicelink/sdl_java_suite/releases", "show")</f>
        <v>show</v>
      </c>
      <c r="I5074">
        <v>1</v>
      </c>
      <c r="J5074">
        <v>1</v>
      </c>
      <c r="K5074">
        <v>0</v>
      </c>
      <c r="L5074">
        <v>1</v>
      </c>
      <c r="M5074" t="s">
        <v>1894</v>
      </c>
    </row>
    <row r="5075" spans="1:13" hidden="1" x14ac:dyDescent="0.15">
      <c r="A5075" t="s">
        <v>16020</v>
      </c>
      <c r="B5075" t="s">
        <v>16021</v>
      </c>
      <c r="C5075" t="s">
        <v>16022</v>
      </c>
      <c r="D5075" t="s">
        <v>16019</v>
      </c>
      <c r="E5075">
        <v>234</v>
      </c>
      <c r="F5075" t="str">
        <f>HYPERLINK("https://github.com/barbeau/gpstest/issues/492", "show")</f>
        <v>show</v>
      </c>
      <c r="G5075" t="str">
        <f>HYPERLINK("https://github.com/barbeau/gpstest", "show")</f>
        <v>show</v>
      </c>
      <c r="H5075" t="str">
        <f>HYPERLINK("https://github.com/barbeau/gpstest/releases", "show")</f>
        <v>show</v>
      </c>
      <c r="I5075">
        <v>1</v>
      </c>
      <c r="J5075">
        <v>0</v>
      </c>
      <c r="K5075">
        <v>1</v>
      </c>
      <c r="L5075">
        <v>0</v>
      </c>
      <c r="M5075" t="s">
        <v>64</v>
      </c>
    </row>
    <row r="5076" spans="1:13" hidden="1" x14ac:dyDescent="0.15">
      <c r="A5076" t="s">
        <v>16023</v>
      </c>
      <c r="B5076" t="s">
        <v>16024</v>
      </c>
      <c r="C5076" t="s">
        <v>16025</v>
      </c>
      <c r="D5076" t="s">
        <v>16019</v>
      </c>
      <c r="E5076">
        <v>0</v>
      </c>
      <c r="F5076" t="str">
        <f>HYPERLINK("https://github.com/Anuken/Mindustry/issues/4972", "show")</f>
        <v>show</v>
      </c>
      <c r="G5076" t="str">
        <f>HYPERLINK("https://github.com/Anuken/Mindustry", "show")</f>
        <v>show</v>
      </c>
      <c r="H5076" t="str">
        <f>HYPERLINK("https://github.com/Anuken/Mindustry/releases", "show")</f>
        <v>show</v>
      </c>
      <c r="I5076">
        <v>1</v>
      </c>
      <c r="J5076">
        <v>1</v>
      </c>
      <c r="K5076">
        <v>0</v>
      </c>
      <c r="L5076">
        <v>0</v>
      </c>
      <c r="M5076" t="s">
        <v>48</v>
      </c>
    </row>
    <row r="5077" spans="1:13" hidden="1" x14ac:dyDescent="0.15">
      <c r="A5077" t="s">
        <v>16026</v>
      </c>
      <c r="B5077" t="s">
        <v>16027</v>
      </c>
      <c r="C5077" t="s">
        <v>16028</v>
      </c>
      <c r="D5077" t="s">
        <v>16019</v>
      </c>
      <c r="E5077">
        <v>61</v>
      </c>
      <c r="F5077" t="str">
        <f>HYPERLINK("https://github.com/mishraaditya595/ScanIt/issues/62", "show")</f>
        <v>show</v>
      </c>
      <c r="G5077" t="str">
        <f>HYPERLINK("https://github.com/mishraaditya595/ScanIt", "show")</f>
        <v>show</v>
      </c>
      <c r="H5077" t="str">
        <f>HYPERLINK("https://github.com/mishraaditya595/ScanIt/releases", "show")</f>
        <v>show</v>
      </c>
      <c r="I5077">
        <v>1</v>
      </c>
      <c r="J5077">
        <v>0</v>
      </c>
      <c r="K5077">
        <v>0</v>
      </c>
      <c r="L5077">
        <v>1</v>
      </c>
      <c r="M5077" t="s">
        <v>29</v>
      </c>
    </row>
    <row r="5078" spans="1:13" hidden="1" x14ac:dyDescent="0.15">
      <c r="A5078" t="s">
        <v>16029</v>
      </c>
      <c r="B5078" t="s">
        <v>16030</v>
      </c>
      <c r="C5078" t="s">
        <v>16031</v>
      </c>
      <c r="D5078" t="s">
        <v>16019</v>
      </c>
      <c r="E5078">
        <v>22</v>
      </c>
      <c r="F5078" t="str">
        <f>HYPERLINK("https://github.com/prebid/prebid-mobile-android/issues/244", "show")</f>
        <v>show</v>
      </c>
      <c r="G5078" t="str">
        <f>HYPERLINK("https://github.com/prebid/prebid-mobile-android", "show")</f>
        <v>show</v>
      </c>
      <c r="H5078" t="str">
        <f>HYPERLINK("https://github.com/prebid/prebid-mobile-android/releases", "show")</f>
        <v>show</v>
      </c>
      <c r="I5078">
        <v>0</v>
      </c>
      <c r="J5078">
        <v>0</v>
      </c>
      <c r="K5078">
        <v>1</v>
      </c>
      <c r="L5078">
        <v>0</v>
      </c>
      <c r="M5078" t="s">
        <v>122</v>
      </c>
    </row>
    <row r="5079" spans="1:13" hidden="1" x14ac:dyDescent="0.15">
      <c r="A5079" t="s">
        <v>16032</v>
      </c>
      <c r="B5079" t="s">
        <v>16033</v>
      </c>
      <c r="C5079" t="s">
        <v>16034</v>
      </c>
      <c r="D5079" t="s">
        <v>16019</v>
      </c>
      <c r="E5079">
        <v>21</v>
      </c>
      <c r="F5079" t="str">
        <f>HYPERLINK("https://github.com/prebid/prebid-mobile-android/issues/243", "show")</f>
        <v>show</v>
      </c>
      <c r="G5079" t="str">
        <f>HYPERLINK("https://github.com/prebid/prebid-mobile-android", "show")</f>
        <v>show</v>
      </c>
      <c r="H5079" t="str">
        <f>HYPERLINK("https://github.com/prebid/prebid-mobile-android/releases", "show")</f>
        <v>show</v>
      </c>
      <c r="I5079">
        <v>0</v>
      </c>
      <c r="J5079">
        <v>0</v>
      </c>
      <c r="K5079">
        <v>1</v>
      </c>
      <c r="L5079">
        <v>0</v>
      </c>
      <c r="M5079" t="s">
        <v>122</v>
      </c>
    </row>
    <row r="5080" spans="1:13" hidden="1" x14ac:dyDescent="0.15">
      <c r="A5080" t="s">
        <v>16035</v>
      </c>
      <c r="B5080" t="s">
        <v>16036</v>
      </c>
      <c r="C5080" t="s">
        <v>16037</v>
      </c>
      <c r="D5080" t="s">
        <v>16019</v>
      </c>
      <c r="E5080">
        <v>0</v>
      </c>
      <c r="F5080" t="str">
        <f>HYPERLINK("https://github.com/TeamNewPipe/NewPipe/issues/5877", "show")</f>
        <v>show</v>
      </c>
      <c r="G5080" t="str">
        <f>HYPERLINK("https://github.com/TeamNewPipe/NewPipe", "show")</f>
        <v>show</v>
      </c>
      <c r="H5080" t="str">
        <f>HYPERLINK("https://github.com/TeamNewPipe/NewPipe/releases", "show")</f>
        <v>show</v>
      </c>
      <c r="I5080">
        <v>1</v>
      </c>
      <c r="J5080">
        <v>1</v>
      </c>
      <c r="K5080">
        <v>0</v>
      </c>
      <c r="L5080">
        <v>1</v>
      </c>
      <c r="M5080" t="s">
        <v>1894</v>
      </c>
    </row>
    <row r="5081" spans="1:13" hidden="1" x14ac:dyDescent="0.15">
      <c r="A5081" t="s">
        <v>16038</v>
      </c>
      <c r="B5081" t="s">
        <v>16039</v>
      </c>
      <c r="C5081" t="s">
        <v>16040</v>
      </c>
      <c r="D5081" t="s">
        <v>16041</v>
      </c>
      <c r="E5081">
        <v>0</v>
      </c>
      <c r="F5081" t="str">
        <f>HYPERLINK("https://github.com/MuntashirAkon/AppManager/issues/324", "show")</f>
        <v>show</v>
      </c>
      <c r="G5081" t="str">
        <f>HYPERLINK("https://github.com/MuntashirAkon/AppManager", "show")</f>
        <v>show</v>
      </c>
      <c r="H5081" t="str">
        <f>HYPERLINK("https://github.com/MuntashirAkon/AppManager/releases", "show")</f>
        <v>show</v>
      </c>
      <c r="I5081">
        <v>1</v>
      </c>
      <c r="J5081">
        <v>0</v>
      </c>
      <c r="K5081">
        <v>0</v>
      </c>
      <c r="L5081">
        <v>0</v>
      </c>
      <c r="M5081" t="s">
        <v>17</v>
      </c>
    </row>
    <row r="5082" spans="1:13" hidden="1" x14ac:dyDescent="0.15">
      <c r="A5082" t="s">
        <v>16042</v>
      </c>
      <c r="B5082" t="s">
        <v>16043</v>
      </c>
      <c r="C5082" t="s">
        <v>16044</v>
      </c>
      <c r="D5082" t="s">
        <v>16045</v>
      </c>
      <c r="E5082">
        <v>7</v>
      </c>
      <c r="F5082" t="str">
        <f>HYPERLINK("https://github.com/falzonv/discreet-launcher/issues/12", "show")</f>
        <v>show</v>
      </c>
      <c r="G5082" t="str">
        <f>HYPERLINK("https://github.com/falzonv/discreet-launcher", "show")</f>
        <v>show</v>
      </c>
      <c r="H5082" t="str">
        <f>HYPERLINK("https://github.com/falzonv/discreet-launcher/releases", "show")</f>
        <v>show</v>
      </c>
      <c r="I5082">
        <v>1</v>
      </c>
      <c r="J5082">
        <v>1</v>
      </c>
      <c r="K5082">
        <v>0</v>
      </c>
      <c r="L5082">
        <v>0</v>
      </c>
      <c r="M5082" t="s">
        <v>48</v>
      </c>
    </row>
    <row r="5083" spans="1:13" hidden="1" x14ac:dyDescent="0.15">
      <c r="A5083" t="s">
        <v>16046</v>
      </c>
      <c r="B5083" t="s">
        <v>16047</v>
      </c>
      <c r="C5083" t="s">
        <v>16048</v>
      </c>
      <c r="D5083" t="s">
        <v>16045</v>
      </c>
      <c r="E5083">
        <v>236</v>
      </c>
      <c r="F5083" t="str">
        <f>HYPERLINK("https://github.com/patzly/grocy-android/issues/378", "show")</f>
        <v>show</v>
      </c>
      <c r="G5083" t="str">
        <f>HYPERLINK("https://github.com/patzly/grocy-android", "show")</f>
        <v>show</v>
      </c>
      <c r="H5083" t="str">
        <f>HYPERLINK("https://github.com/patzly/grocy-android/releases", "show")</f>
        <v>show</v>
      </c>
      <c r="I5083">
        <v>1</v>
      </c>
      <c r="J5083">
        <v>0</v>
      </c>
      <c r="K5083">
        <v>0</v>
      </c>
      <c r="L5083">
        <v>0</v>
      </c>
      <c r="M5083" t="s">
        <v>17</v>
      </c>
    </row>
    <row r="5084" spans="1:13" hidden="1" x14ac:dyDescent="0.15">
      <c r="A5084" t="s">
        <v>16049</v>
      </c>
      <c r="B5084" t="s">
        <v>16050</v>
      </c>
      <c r="C5084" t="s">
        <v>16051</v>
      </c>
      <c r="D5084" t="s">
        <v>16052</v>
      </c>
      <c r="E5084">
        <v>46</v>
      </c>
      <c r="F5084" t="str">
        <f>HYPERLINK("https://github.com/PhenoApps/Field-Book/issues/229", "show")</f>
        <v>show</v>
      </c>
      <c r="G5084" t="str">
        <f>HYPERLINK("https://github.com/PhenoApps/Field-Book", "show")</f>
        <v>show</v>
      </c>
      <c r="H5084" t="str">
        <f>HYPERLINK("https://github.com/PhenoApps/Field-Book/releases", "show")</f>
        <v>show</v>
      </c>
      <c r="I5084">
        <v>1</v>
      </c>
      <c r="J5084">
        <v>0</v>
      </c>
      <c r="K5084">
        <v>0</v>
      </c>
      <c r="L5084">
        <v>0</v>
      </c>
      <c r="M5084" t="s">
        <v>17</v>
      </c>
    </row>
    <row r="5085" spans="1:13" hidden="1" x14ac:dyDescent="0.15">
      <c r="A5085" t="s">
        <v>16053</v>
      </c>
      <c r="B5085" t="s">
        <v>16054</v>
      </c>
      <c r="C5085" t="s">
        <v>16055</v>
      </c>
      <c r="D5085" t="s">
        <v>16052</v>
      </c>
      <c r="E5085">
        <v>0</v>
      </c>
      <c r="F5085" t="str">
        <f>HYPERLINK("https://github.com/Anuken/Mindustry/issues/4959", "show")</f>
        <v>show</v>
      </c>
      <c r="G5085" t="str">
        <f>HYPERLINK("https://github.com/Anuken/Mindustry", "show")</f>
        <v>show</v>
      </c>
      <c r="H5085" t="str">
        <f>HYPERLINK("https://github.com/Anuken/Mindustry/releases", "show")</f>
        <v>show</v>
      </c>
      <c r="I5085">
        <v>0</v>
      </c>
      <c r="J5085">
        <v>0</v>
      </c>
      <c r="K5085">
        <v>1</v>
      </c>
      <c r="L5085">
        <v>0</v>
      </c>
      <c r="M5085" t="s">
        <v>122</v>
      </c>
    </row>
    <row r="5086" spans="1:13" hidden="1" x14ac:dyDescent="0.15">
      <c r="A5086" t="s">
        <v>16056</v>
      </c>
      <c r="B5086" t="s">
        <v>16057</v>
      </c>
      <c r="D5086" t="s">
        <v>16058</v>
      </c>
      <c r="E5086">
        <v>0</v>
      </c>
      <c r="F5086" t="str">
        <f>HYPERLINK("https://github.com/katherineyip/cs108project/issues/132", "show")</f>
        <v>show</v>
      </c>
      <c r="G5086" t="str">
        <f>HYPERLINK("https://github.com/katherineyip/cs108project", "show")</f>
        <v>show</v>
      </c>
      <c r="H5086" t="str">
        <f>HYPERLINK("https://github.com/katherineyip/cs108project/releases", "show")</f>
        <v>show</v>
      </c>
      <c r="I5086">
        <v>1</v>
      </c>
      <c r="J5086">
        <v>0</v>
      </c>
      <c r="K5086">
        <v>0</v>
      </c>
      <c r="L5086">
        <v>0</v>
      </c>
      <c r="M5086" t="s">
        <v>17</v>
      </c>
    </row>
    <row r="5087" spans="1:13" hidden="1" x14ac:dyDescent="0.15">
      <c r="A5087" t="s">
        <v>16059</v>
      </c>
      <c r="B5087" t="s">
        <v>16060</v>
      </c>
      <c r="C5087" t="s">
        <v>16061</v>
      </c>
      <c r="D5087" t="s">
        <v>16058</v>
      </c>
      <c r="E5087">
        <v>21</v>
      </c>
      <c r="F5087" t="str">
        <f>HYPERLINK("https://github.com/ankidroid/Anki-Android/issues/8264", "show")</f>
        <v>show</v>
      </c>
      <c r="G5087" t="str">
        <f>HYPERLINK("https://github.com/ankidroid/Anki-Android", "show")</f>
        <v>show</v>
      </c>
      <c r="H5087" t="str">
        <f>HYPERLINK("https://github.com/ankidroid/Anki-Android/releases", "show")</f>
        <v>show</v>
      </c>
      <c r="I5087">
        <v>1</v>
      </c>
      <c r="J5087">
        <v>1</v>
      </c>
      <c r="K5087">
        <v>1</v>
      </c>
      <c r="L5087">
        <v>0</v>
      </c>
      <c r="M5087" t="s">
        <v>59</v>
      </c>
    </row>
    <row r="5088" spans="1:13" hidden="1" x14ac:dyDescent="0.15">
      <c r="A5088" t="s">
        <v>16062</v>
      </c>
      <c r="B5088" t="s">
        <v>16063</v>
      </c>
      <c r="C5088" t="s">
        <v>16064</v>
      </c>
      <c r="D5088" t="s">
        <v>16058</v>
      </c>
      <c r="E5088">
        <v>0</v>
      </c>
      <c r="F5088" t="str">
        <f>HYPERLINK("https://github.com/Anuken/Mindustry/issues/4954", "show")</f>
        <v>show</v>
      </c>
      <c r="G5088" t="str">
        <f>HYPERLINK("https://github.com/Anuken/Mindustry", "show")</f>
        <v>show</v>
      </c>
      <c r="H5088" t="str">
        <f>HYPERLINK("https://github.com/Anuken/Mindustry/releases", "show")</f>
        <v>show</v>
      </c>
      <c r="I5088">
        <v>1</v>
      </c>
      <c r="J5088">
        <v>1</v>
      </c>
      <c r="K5088">
        <v>0</v>
      </c>
      <c r="L5088">
        <v>0</v>
      </c>
      <c r="M5088" t="s">
        <v>48</v>
      </c>
    </row>
    <row r="5089" spans="1:13" x14ac:dyDescent="0.15">
      <c r="A5089" t="s">
        <v>16065</v>
      </c>
      <c r="B5089" t="s">
        <v>16066</v>
      </c>
      <c r="C5089" t="s">
        <v>16067</v>
      </c>
      <c r="D5089" t="s">
        <v>16058</v>
      </c>
      <c r="E5089">
        <v>0</v>
      </c>
      <c r="F5089" t="str">
        <f>HYPERLINK("https://github.com/Anuken/Mindustry/issues/4952", "show")</f>
        <v>show</v>
      </c>
      <c r="G5089" t="str">
        <f>HYPERLINK("https://github.com/Anuken/Mindustry", "show")</f>
        <v>show</v>
      </c>
      <c r="H5089" t="str">
        <f>HYPERLINK("https://github.com/Anuken/Mindustry/releases", "show")</f>
        <v>show</v>
      </c>
      <c r="I5089">
        <v>0</v>
      </c>
      <c r="J5089">
        <v>1</v>
      </c>
      <c r="K5089">
        <v>0</v>
      </c>
      <c r="L5089">
        <v>0</v>
      </c>
      <c r="M5089" t="s">
        <v>139</v>
      </c>
    </row>
    <row r="5090" spans="1:13" hidden="1" x14ac:dyDescent="0.15">
      <c r="A5090" t="s">
        <v>16068</v>
      </c>
      <c r="B5090" t="s">
        <v>16069</v>
      </c>
      <c r="C5090" t="s">
        <v>16070</v>
      </c>
      <c r="D5090" t="s">
        <v>16071</v>
      </c>
      <c r="E5090">
        <v>1</v>
      </c>
      <c r="F5090" t="str">
        <f>HYPERLINK("https://github.com/TeamNewPipe/NewPipe/issues/5849", "show")</f>
        <v>show</v>
      </c>
      <c r="G5090" t="str">
        <f>HYPERLINK("https://github.com/TeamNewPipe/NewPipe", "show")</f>
        <v>show</v>
      </c>
      <c r="H5090" t="str">
        <f>HYPERLINK("https://github.com/TeamNewPipe/NewPipe/releases", "show")</f>
        <v>show</v>
      </c>
      <c r="I5090">
        <v>0</v>
      </c>
      <c r="J5090">
        <v>0</v>
      </c>
      <c r="K5090">
        <v>1</v>
      </c>
      <c r="L5090">
        <v>0</v>
      </c>
      <c r="M5090" t="s">
        <v>122</v>
      </c>
    </row>
    <row r="5091" spans="1:13" hidden="1" x14ac:dyDescent="0.15">
      <c r="A5091" t="s">
        <v>16072</v>
      </c>
      <c r="B5091" t="s">
        <v>141</v>
      </c>
      <c r="C5091" t="s">
        <v>16073</v>
      </c>
      <c r="D5091" t="s">
        <v>16071</v>
      </c>
      <c r="E5091">
        <v>0</v>
      </c>
      <c r="F5091" t="str">
        <f>HYPERLINK("https://github.com/Anuken/Mindustry/issues/4949", "show")</f>
        <v>show</v>
      </c>
      <c r="G5091" t="str">
        <f>HYPERLINK("https://github.com/Anuken/Mindustry", "show")</f>
        <v>show</v>
      </c>
      <c r="H5091" t="str">
        <f>HYPERLINK("https://github.com/Anuken/Mindustry/releases", "show")</f>
        <v>show</v>
      </c>
      <c r="I5091">
        <v>0</v>
      </c>
      <c r="J5091">
        <v>0</v>
      </c>
      <c r="K5091">
        <v>1</v>
      </c>
      <c r="L5091">
        <v>0</v>
      </c>
      <c r="M5091" t="s">
        <v>122</v>
      </c>
    </row>
    <row r="5092" spans="1:13" hidden="1" x14ac:dyDescent="0.15">
      <c r="A5092" t="s">
        <v>16074</v>
      </c>
      <c r="B5092" t="s">
        <v>16075</v>
      </c>
      <c r="C5092" t="s">
        <v>16076</v>
      </c>
      <c r="D5092" t="s">
        <v>16071</v>
      </c>
      <c r="E5092">
        <v>16</v>
      </c>
      <c r="F5092" t="str">
        <f>HYPERLINK("https://github.com/PojavLauncherTeam/PojavLauncher/issues/1073", "show")</f>
        <v>show</v>
      </c>
      <c r="G5092" t="str">
        <f>HYPERLINK("https://github.com/PojavLauncherTeam/PojavLauncher", "show")</f>
        <v>show</v>
      </c>
      <c r="H5092" t="str">
        <f>HYPERLINK("https://github.com/PojavLauncherTeam/PojavLauncher/releases", "show")</f>
        <v>show</v>
      </c>
      <c r="I5092">
        <v>0</v>
      </c>
      <c r="J5092">
        <v>0</v>
      </c>
      <c r="K5092">
        <v>0</v>
      </c>
      <c r="L5092">
        <v>0</v>
      </c>
      <c r="M5092" t="s">
        <v>43</v>
      </c>
    </row>
    <row r="5093" spans="1:13" hidden="1" x14ac:dyDescent="0.15">
      <c r="A5093" t="s">
        <v>16077</v>
      </c>
      <c r="B5093" t="s">
        <v>16078</v>
      </c>
      <c r="C5093" t="s">
        <v>16079</v>
      </c>
      <c r="D5093" t="s">
        <v>16071</v>
      </c>
      <c r="E5093">
        <v>1</v>
      </c>
      <c r="F5093" t="str">
        <f>HYPERLINK("https://github.com/opensrp/opensrp-client-reveal/issues/1307", "show")</f>
        <v>show</v>
      </c>
      <c r="G5093" t="str">
        <f>HYPERLINK("https://github.com/opensrp/opensrp-client-reveal", "show")</f>
        <v>show</v>
      </c>
      <c r="H5093" t="str">
        <f>HYPERLINK("https://github.com/opensrp/opensrp-client-reveal/releases", "show")</f>
        <v>show</v>
      </c>
      <c r="I5093">
        <v>1</v>
      </c>
      <c r="J5093">
        <v>1</v>
      </c>
      <c r="K5093">
        <v>0</v>
      </c>
      <c r="L5093">
        <v>0</v>
      </c>
      <c r="M5093" t="s">
        <v>48</v>
      </c>
    </row>
    <row r="5094" spans="1:13" hidden="1" x14ac:dyDescent="0.15">
      <c r="A5094" t="s">
        <v>16080</v>
      </c>
      <c r="B5094" t="s">
        <v>16081</v>
      </c>
      <c r="C5094" t="s">
        <v>16082</v>
      </c>
      <c r="D5094" t="s">
        <v>16071</v>
      </c>
      <c r="E5094">
        <v>0</v>
      </c>
      <c r="F5094" t="str">
        <f>HYPERLINK("https://github.com/TeamNewPipe/NewPipe/issues/5848", "show")</f>
        <v>show</v>
      </c>
      <c r="G5094" t="str">
        <f>HYPERLINK("https://github.com/TeamNewPipe/NewPipe", "show")</f>
        <v>show</v>
      </c>
      <c r="H5094" t="str">
        <f>HYPERLINK("https://github.com/TeamNewPipe/NewPipe/releases", "show")</f>
        <v>show</v>
      </c>
      <c r="I5094">
        <v>1</v>
      </c>
      <c r="J5094">
        <v>1</v>
      </c>
      <c r="K5094">
        <v>1</v>
      </c>
      <c r="L5094">
        <v>0</v>
      </c>
      <c r="M5094" t="s">
        <v>59</v>
      </c>
    </row>
    <row r="5095" spans="1:13" hidden="1" x14ac:dyDescent="0.15">
      <c r="A5095" t="s">
        <v>16083</v>
      </c>
      <c r="B5095" t="s">
        <v>16084</v>
      </c>
      <c r="C5095" t="s">
        <v>16085</v>
      </c>
      <c r="D5095" t="s">
        <v>16071</v>
      </c>
      <c r="E5095">
        <v>16</v>
      </c>
      <c r="F5095" t="str">
        <f>HYPERLINK("https://github.com/PojavLauncherTeam/PojavLauncher/issues/1071", "show")</f>
        <v>show</v>
      </c>
      <c r="G5095" t="str">
        <f>HYPERLINK("https://github.com/PojavLauncherTeam/PojavLauncher", "show")</f>
        <v>show</v>
      </c>
      <c r="H5095" t="str">
        <f>HYPERLINK("https://github.com/PojavLauncherTeam/PojavLauncher/releases", "show")</f>
        <v>show</v>
      </c>
      <c r="I5095">
        <v>0</v>
      </c>
      <c r="J5095">
        <v>0</v>
      </c>
      <c r="K5095">
        <v>1</v>
      </c>
      <c r="L5095">
        <v>0</v>
      </c>
      <c r="M5095" t="s">
        <v>122</v>
      </c>
    </row>
    <row r="5096" spans="1:13" hidden="1" x14ac:dyDescent="0.15">
      <c r="A5096" t="s">
        <v>16086</v>
      </c>
      <c r="B5096" t="s">
        <v>16087</v>
      </c>
      <c r="C5096" t="s">
        <v>16088</v>
      </c>
      <c r="D5096" t="s">
        <v>16071</v>
      </c>
      <c r="E5096">
        <v>59</v>
      </c>
      <c r="F5096" t="str">
        <f>HYPERLINK("https://github.com/Amarpsp10/AMusic/issues/1", "show")</f>
        <v>show</v>
      </c>
      <c r="G5096" t="str">
        <f>HYPERLINK("https://github.com/Amarpsp10/AMusic", "show")</f>
        <v>show</v>
      </c>
      <c r="H5096" t="str">
        <f>HYPERLINK("https://github.com/Amarpsp10/AMusic/releases", "show")</f>
        <v>show</v>
      </c>
      <c r="I5096">
        <v>1</v>
      </c>
      <c r="J5096">
        <v>0</v>
      </c>
      <c r="K5096">
        <v>0</v>
      </c>
      <c r="L5096">
        <v>0</v>
      </c>
      <c r="M5096" t="s">
        <v>17</v>
      </c>
    </row>
    <row r="5097" spans="1:13" hidden="1" x14ac:dyDescent="0.15">
      <c r="A5097" t="s">
        <v>16089</v>
      </c>
      <c r="B5097" t="s">
        <v>16090</v>
      </c>
      <c r="C5097" t="s">
        <v>16091</v>
      </c>
      <c r="D5097" t="s">
        <v>16071</v>
      </c>
      <c r="E5097">
        <v>0</v>
      </c>
      <c r="F5097" t="str">
        <f>HYPERLINK("https://github.com/TeamNewPipe/NewPipe/issues/5846", "show")</f>
        <v>show</v>
      </c>
      <c r="G5097" t="str">
        <f>HYPERLINK("https://github.com/TeamNewPipe/NewPipe", "show")</f>
        <v>show</v>
      </c>
      <c r="H5097" t="str">
        <f>HYPERLINK("https://github.com/TeamNewPipe/NewPipe/releases", "show")</f>
        <v>show</v>
      </c>
      <c r="I5097">
        <v>0</v>
      </c>
      <c r="J5097">
        <v>0</v>
      </c>
      <c r="K5097">
        <v>1</v>
      </c>
      <c r="L5097">
        <v>0</v>
      </c>
      <c r="M5097" t="s">
        <v>122</v>
      </c>
    </row>
    <row r="5098" spans="1:13" hidden="1" x14ac:dyDescent="0.15">
      <c r="A5098" t="s">
        <v>16092</v>
      </c>
      <c r="B5098" t="s">
        <v>16093</v>
      </c>
      <c r="C5098" t="s">
        <v>16094</v>
      </c>
      <c r="D5098" t="s">
        <v>16071</v>
      </c>
      <c r="E5098">
        <v>15</v>
      </c>
      <c r="F5098" t="str">
        <f>HYPERLINK("https://github.com/square/reader-sdk-flutter-plugin/issues/57", "show")</f>
        <v>show</v>
      </c>
      <c r="G5098" t="str">
        <f>HYPERLINK("https://github.com/square/reader-sdk-flutter-plugin", "show")</f>
        <v>show</v>
      </c>
      <c r="H5098" t="str">
        <f>HYPERLINK("https://github.com/square/reader-sdk-flutter-plugin/releases", "show")</f>
        <v>show</v>
      </c>
      <c r="I5098">
        <v>1</v>
      </c>
      <c r="J5098">
        <v>0</v>
      </c>
      <c r="K5098">
        <v>0</v>
      </c>
      <c r="L5098">
        <v>0</v>
      </c>
      <c r="M5098" t="s">
        <v>17</v>
      </c>
    </row>
    <row r="5099" spans="1:13" hidden="1" x14ac:dyDescent="0.15">
      <c r="A5099" t="s">
        <v>16095</v>
      </c>
      <c r="B5099" t="s">
        <v>16096</v>
      </c>
      <c r="C5099" t="s">
        <v>16097</v>
      </c>
      <c r="D5099" t="s">
        <v>16071</v>
      </c>
      <c r="E5099">
        <v>0</v>
      </c>
      <c r="F5099" t="str">
        <f>HYPERLINK("https://github.com/Anuken/Mindustry/issues/4946", "show")</f>
        <v>show</v>
      </c>
      <c r="G5099" t="str">
        <f>HYPERLINK("https://github.com/Anuken/Mindustry", "show")</f>
        <v>show</v>
      </c>
      <c r="H5099" t="str">
        <f>HYPERLINK("https://github.com/Anuken/Mindustry/releases", "show")</f>
        <v>show</v>
      </c>
      <c r="I5099">
        <v>1</v>
      </c>
      <c r="J5099">
        <v>1</v>
      </c>
      <c r="K5099">
        <v>0</v>
      </c>
      <c r="L5099">
        <v>0</v>
      </c>
      <c r="M5099" t="s">
        <v>48</v>
      </c>
    </row>
    <row r="5100" spans="1:13" hidden="1" x14ac:dyDescent="0.15">
      <c r="A5100" t="s">
        <v>16098</v>
      </c>
      <c r="B5100" t="s">
        <v>16099</v>
      </c>
      <c r="C5100" t="s">
        <v>16100</v>
      </c>
      <c r="D5100" t="s">
        <v>16071</v>
      </c>
      <c r="E5100">
        <v>2</v>
      </c>
      <c r="F5100" t="str">
        <f>HYPERLINK("https://github.com/PojavLauncherTeam/PojavLauncher/issues/1070", "show")</f>
        <v>show</v>
      </c>
      <c r="G5100" t="str">
        <f>HYPERLINK("https://github.com/PojavLauncherTeam/PojavLauncher", "show")</f>
        <v>show</v>
      </c>
      <c r="H5100" t="str">
        <f>HYPERLINK("https://github.com/PojavLauncherTeam/PojavLauncher/releases", "show")</f>
        <v>show</v>
      </c>
      <c r="I5100">
        <v>1</v>
      </c>
      <c r="J5100">
        <v>1</v>
      </c>
      <c r="K5100">
        <v>0</v>
      </c>
      <c r="L5100">
        <v>1</v>
      </c>
      <c r="M5100" t="s">
        <v>1894</v>
      </c>
    </row>
    <row r="5101" spans="1:13" hidden="1" x14ac:dyDescent="0.15">
      <c r="A5101" t="s">
        <v>16101</v>
      </c>
      <c r="B5101" t="s">
        <v>16102</v>
      </c>
      <c r="C5101" t="s">
        <v>16103</v>
      </c>
      <c r="D5101" t="s">
        <v>16071</v>
      </c>
      <c r="E5101">
        <v>23</v>
      </c>
      <c r="F5101" t="str">
        <f>HYPERLINK("https://github.com/CMPUT301W21T12/WiseTrack/issues/67", "show")</f>
        <v>show</v>
      </c>
      <c r="G5101" t="str">
        <f>HYPERLINK("https://github.com/CMPUT301W21T12/WiseTrack", "show")</f>
        <v>show</v>
      </c>
      <c r="H5101" t="str">
        <f>HYPERLINK("https://github.com/CMPUT301W21T12/WiseTrack/releases", "show")</f>
        <v>show</v>
      </c>
      <c r="I5101">
        <v>1</v>
      </c>
      <c r="J5101">
        <v>0</v>
      </c>
      <c r="K5101">
        <v>0</v>
      </c>
      <c r="L5101">
        <v>0</v>
      </c>
      <c r="M5101" t="s">
        <v>17</v>
      </c>
    </row>
    <row r="5102" spans="1:13" hidden="1" x14ac:dyDescent="0.15">
      <c r="A5102" t="s">
        <v>16104</v>
      </c>
      <c r="B5102" t="s">
        <v>16105</v>
      </c>
      <c r="C5102" t="s">
        <v>16106</v>
      </c>
      <c r="D5102" t="s">
        <v>16107</v>
      </c>
      <c r="E5102">
        <v>43</v>
      </c>
      <c r="F5102" t="str">
        <f>HYPERLINK("https://github.com/nextcloud/android/issues/8175", "show")</f>
        <v>show</v>
      </c>
      <c r="G5102" t="str">
        <f>HYPERLINK("https://github.com/nextcloud/android", "show")</f>
        <v>show</v>
      </c>
      <c r="H5102" t="str">
        <f>HYPERLINK("https://github.com/nextcloud/android/releases", "show")</f>
        <v>show</v>
      </c>
      <c r="I5102">
        <v>1</v>
      </c>
      <c r="J5102">
        <v>1</v>
      </c>
      <c r="K5102">
        <v>1</v>
      </c>
      <c r="L5102">
        <v>0</v>
      </c>
      <c r="M5102" t="s">
        <v>59</v>
      </c>
    </row>
    <row r="5103" spans="1:13" hidden="1" x14ac:dyDescent="0.15">
      <c r="A5103" t="s">
        <v>16108</v>
      </c>
      <c r="B5103" t="s">
        <v>16109</v>
      </c>
      <c r="C5103" t="s">
        <v>16110</v>
      </c>
      <c r="D5103" t="s">
        <v>16107</v>
      </c>
      <c r="E5103">
        <v>2</v>
      </c>
      <c r="F5103" t="str">
        <f>HYPERLINK("https://github.com/MrReSc/Headi/issues/4", "show")</f>
        <v>show</v>
      </c>
      <c r="G5103" t="str">
        <f>HYPERLINK("https://github.com/MrReSc/Headi", "show")</f>
        <v>show</v>
      </c>
      <c r="H5103" t="str">
        <f>HYPERLINK("https://github.com/MrReSc/Headi/releases", "show")</f>
        <v>show</v>
      </c>
      <c r="I5103">
        <v>1</v>
      </c>
      <c r="J5103">
        <v>0</v>
      </c>
      <c r="K5103">
        <v>0</v>
      </c>
      <c r="L5103">
        <v>0</v>
      </c>
      <c r="M5103" t="s">
        <v>17</v>
      </c>
    </row>
    <row r="5104" spans="1:13" hidden="1" x14ac:dyDescent="0.15">
      <c r="A5104" t="s">
        <v>16111</v>
      </c>
      <c r="B5104" t="s">
        <v>16112</v>
      </c>
      <c r="C5104" t="s">
        <v>16113</v>
      </c>
      <c r="D5104" t="s">
        <v>16107</v>
      </c>
      <c r="E5104">
        <v>45</v>
      </c>
      <c r="F5104" t="str">
        <f>HYPERLINK("https://github.com/opentok/opentok-react-native/issues/477", "show")</f>
        <v>show</v>
      </c>
      <c r="G5104" t="str">
        <f>HYPERLINK("https://github.com/opentok/opentok-react-native", "show")</f>
        <v>show</v>
      </c>
      <c r="H5104" t="str">
        <f>HYPERLINK("https://github.com/opentok/opentok-react-native/releases", "show")</f>
        <v>show</v>
      </c>
      <c r="I5104">
        <v>1</v>
      </c>
      <c r="J5104">
        <v>0</v>
      </c>
      <c r="K5104">
        <v>0</v>
      </c>
      <c r="L5104">
        <v>1</v>
      </c>
      <c r="M5104" t="s">
        <v>29</v>
      </c>
    </row>
    <row r="5105" spans="1:13" hidden="1" x14ac:dyDescent="0.15">
      <c r="A5105" t="s">
        <v>16114</v>
      </c>
      <c r="B5105" t="s">
        <v>16115</v>
      </c>
      <c r="C5105" t="s">
        <v>16116</v>
      </c>
      <c r="D5105" t="s">
        <v>16107</v>
      </c>
      <c r="E5105">
        <v>1</v>
      </c>
      <c r="F5105" t="str">
        <f>HYPERLINK("https://github.com/butzist/ActivityLauncher/issues/66", "show")</f>
        <v>show</v>
      </c>
      <c r="G5105" t="str">
        <f>HYPERLINK("https://github.com/butzist/ActivityLauncher", "show")</f>
        <v>show</v>
      </c>
      <c r="H5105" t="str">
        <f>HYPERLINK("https://github.com/butzist/ActivityLauncher/releases", "show")</f>
        <v>show</v>
      </c>
      <c r="I5105">
        <v>1</v>
      </c>
      <c r="J5105">
        <v>0</v>
      </c>
      <c r="K5105">
        <v>0</v>
      </c>
      <c r="L5105">
        <v>1</v>
      </c>
      <c r="M5105" t="s">
        <v>29</v>
      </c>
    </row>
    <row r="5106" spans="1:13" hidden="1" x14ac:dyDescent="0.15">
      <c r="A5106" t="s">
        <v>16117</v>
      </c>
      <c r="B5106" t="s">
        <v>16118</v>
      </c>
      <c r="C5106" t="s">
        <v>16119</v>
      </c>
      <c r="D5106" t="s">
        <v>16107</v>
      </c>
      <c r="E5106">
        <v>57</v>
      </c>
      <c r="F5106" t="str">
        <f>HYPERLINK("https://github.com/inaturalist/iNaturalistAndroid/issues/1001", "show")</f>
        <v>show</v>
      </c>
      <c r="G5106" t="str">
        <f>HYPERLINK("https://github.com/inaturalist/iNaturalistAndroid", "show")</f>
        <v>show</v>
      </c>
      <c r="H5106" t="str">
        <f>HYPERLINK("https://github.com/inaturalist/iNaturalistAndroid/releases", "show")</f>
        <v>show</v>
      </c>
      <c r="I5106">
        <v>1</v>
      </c>
      <c r="J5106">
        <v>0</v>
      </c>
      <c r="K5106">
        <v>1</v>
      </c>
      <c r="L5106">
        <v>0</v>
      </c>
      <c r="M5106" t="s">
        <v>64</v>
      </c>
    </row>
    <row r="5107" spans="1:13" hidden="1" x14ac:dyDescent="0.15">
      <c r="A5107" t="s">
        <v>16120</v>
      </c>
      <c r="B5107" t="s">
        <v>16121</v>
      </c>
      <c r="C5107" t="s">
        <v>16122</v>
      </c>
      <c r="D5107" t="s">
        <v>16123</v>
      </c>
      <c r="E5107">
        <v>65</v>
      </c>
      <c r="F5107" t="str">
        <f>HYPERLINK("https://github.com/odedZaken/zuzu/issues/1", "show")</f>
        <v>show</v>
      </c>
      <c r="G5107" t="str">
        <f>HYPERLINK("https://github.com/odedZaken/zuzu", "show")</f>
        <v>show</v>
      </c>
      <c r="H5107" t="str">
        <f>HYPERLINK("https://github.com/odedZaken/zuzu/releases", "show")</f>
        <v>show</v>
      </c>
      <c r="I5107">
        <v>1</v>
      </c>
      <c r="J5107">
        <v>0</v>
      </c>
      <c r="K5107">
        <v>0</v>
      </c>
      <c r="L5107">
        <v>0</v>
      </c>
      <c r="M5107" t="s">
        <v>17</v>
      </c>
    </row>
    <row r="5108" spans="1:13" hidden="1" x14ac:dyDescent="0.15">
      <c r="A5108" t="s">
        <v>16124</v>
      </c>
      <c r="B5108" t="s">
        <v>16125</v>
      </c>
      <c r="C5108" t="s">
        <v>16126</v>
      </c>
      <c r="D5108" t="s">
        <v>16123</v>
      </c>
      <c r="E5108">
        <v>86</v>
      </c>
      <c r="F5108" t="str">
        <f>HYPERLINK("https://github.com/PojavLauncherTeam/PojavLauncher/issues/1062", "show")</f>
        <v>show</v>
      </c>
      <c r="G5108" t="str">
        <f>HYPERLINK("https://github.com/PojavLauncherTeam/PojavLauncher", "show")</f>
        <v>show</v>
      </c>
      <c r="H5108" t="str">
        <f>HYPERLINK("https://github.com/PojavLauncherTeam/PojavLauncher/releases", "show")</f>
        <v>show</v>
      </c>
      <c r="I5108">
        <v>0</v>
      </c>
      <c r="J5108">
        <v>0</v>
      </c>
      <c r="K5108">
        <v>0</v>
      </c>
      <c r="L5108">
        <v>0</v>
      </c>
      <c r="M5108" t="s">
        <v>43</v>
      </c>
    </row>
    <row r="5109" spans="1:13" hidden="1" x14ac:dyDescent="0.15">
      <c r="A5109" t="s">
        <v>16127</v>
      </c>
      <c r="B5109" t="s">
        <v>16128</v>
      </c>
      <c r="C5109" t="s">
        <v>16129</v>
      </c>
      <c r="D5109" t="s">
        <v>16123</v>
      </c>
      <c r="E5109">
        <v>45</v>
      </c>
      <c r="F5109" t="str">
        <f>HYPERLINK("https://github.com/PojavLauncherTeam/PojavLauncher/issues/1061", "show")</f>
        <v>show</v>
      </c>
      <c r="G5109" t="str">
        <f>HYPERLINK("https://github.com/PojavLauncherTeam/PojavLauncher", "show")</f>
        <v>show</v>
      </c>
      <c r="H5109" t="str">
        <f>HYPERLINK("https://github.com/PojavLauncherTeam/PojavLauncher/releases", "show")</f>
        <v>show</v>
      </c>
      <c r="I5109">
        <v>0</v>
      </c>
      <c r="J5109">
        <v>0</v>
      </c>
      <c r="K5109">
        <v>0</v>
      </c>
      <c r="L5109">
        <v>0</v>
      </c>
      <c r="M5109" t="s">
        <v>43</v>
      </c>
    </row>
    <row r="5110" spans="1:13" hidden="1" x14ac:dyDescent="0.15">
      <c r="A5110" t="s">
        <v>16130</v>
      </c>
      <c r="B5110" t="s">
        <v>16131</v>
      </c>
      <c r="C5110" t="s">
        <v>16132</v>
      </c>
      <c r="D5110" t="s">
        <v>16123</v>
      </c>
      <c r="E5110">
        <v>38</v>
      </c>
      <c r="F5110" t="str">
        <f>HYPERLINK("https://github.com/NSU-SP21-CSE486-1/1712265-SP21-CSE486-S01/issues/8", "show")</f>
        <v>show</v>
      </c>
      <c r="G5110" t="str">
        <f>HYPERLINK("https://github.com/NSU-SP21-CSE486-1/1712265-SP21-CSE486-S01", "show")</f>
        <v>show</v>
      </c>
      <c r="H5110" t="str">
        <f>HYPERLINK("https://github.com/NSU-SP21-CSE486-1/1712265-SP21-CSE486-S01/releases", "show")</f>
        <v>show</v>
      </c>
      <c r="I5110">
        <v>0</v>
      </c>
      <c r="J5110">
        <v>0</v>
      </c>
      <c r="K5110">
        <v>0</v>
      </c>
      <c r="L5110">
        <v>0</v>
      </c>
      <c r="M5110" t="s">
        <v>43</v>
      </c>
    </row>
    <row r="5111" spans="1:13" hidden="1" x14ac:dyDescent="0.15">
      <c r="A5111" t="s">
        <v>16133</v>
      </c>
      <c r="B5111" t="s">
        <v>16134</v>
      </c>
      <c r="C5111" t="s">
        <v>16135</v>
      </c>
      <c r="D5111" t="s">
        <v>16123</v>
      </c>
      <c r="E5111">
        <v>145</v>
      </c>
      <c r="F5111" t="str">
        <f>HYPERLINK("https://github.com/ankidroid/Anki-Android/issues/8221", "show")</f>
        <v>show</v>
      </c>
      <c r="G5111" t="str">
        <f>HYPERLINK("https://github.com/ankidroid/Anki-Android", "show")</f>
        <v>show</v>
      </c>
      <c r="H5111" t="str">
        <f>HYPERLINK("https://github.com/ankidroid/Anki-Android/releases", "show")</f>
        <v>show</v>
      </c>
      <c r="I5111">
        <v>1</v>
      </c>
      <c r="J5111">
        <v>1</v>
      </c>
      <c r="K5111">
        <v>0</v>
      </c>
      <c r="L5111">
        <v>0</v>
      </c>
      <c r="M5111" t="s">
        <v>48</v>
      </c>
    </row>
    <row r="5112" spans="1:13" x14ac:dyDescent="0.15">
      <c r="A5112" t="s">
        <v>16136</v>
      </c>
      <c r="B5112" t="s">
        <v>16137</v>
      </c>
      <c r="C5112" t="s">
        <v>16138</v>
      </c>
      <c r="D5112" t="s">
        <v>16139</v>
      </c>
      <c r="E5112">
        <v>171</v>
      </c>
      <c r="F5112" t="str">
        <f>HYPERLINK("https://github.com/PojavLauncherTeam/PojavLauncher/issues/1059", "show")</f>
        <v>show</v>
      </c>
      <c r="G5112" t="str">
        <f>HYPERLINK("https://github.com/PojavLauncherTeam/PojavLauncher", "show")</f>
        <v>show</v>
      </c>
      <c r="H5112" t="str">
        <f>HYPERLINK("https://github.com/PojavLauncherTeam/PojavLauncher/releases", "show")</f>
        <v>show</v>
      </c>
      <c r="I5112">
        <v>0</v>
      </c>
      <c r="J5112">
        <v>1</v>
      </c>
      <c r="K5112">
        <v>0</v>
      </c>
      <c r="L5112">
        <v>0</v>
      </c>
      <c r="M5112" t="s">
        <v>139</v>
      </c>
    </row>
    <row r="5113" spans="1:13" hidden="1" x14ac:dyDescent="0.15">
      <c r="A5113" t="s">
        <v>16140</v>
      </c>
      <c r="B5113" t="s">
        <v>16141</v>
      </c>
      <c r="C5113" t="s">
        <v>16142</v>
      </c>
      <c r="D5113" t="s">
        <v>16139</v>
      </c>
      <c r="E5113">
        <v>10</v>
      </c>
      <c r="F5113" t="str">
        <f>HYPERLINK("https://github.com/UniRegensburg/unsere-app-fur-die-universitat-regensburg-bib-buddy/issues/119", "show")</f>
        <v>show</v>
      </c>
      <c r="G5113" t="str">
        <f>HYPERLINK("https://github.com/UniRegensburg/unsere-app-fur-die-universitat-regensburg-bib-buddy", "show")</f>
        <v>show</v>
      </c>
      <c r="H5113" t="str">
        <f>HYPERLINK("https://github.com/UniRegensburg/unsere-app-fur-die-universitat-regensburg-bib-buddy/releases", "show")</f>
        <v>show</v>
      </c>
      <c r="I5113">
        <v>1</v>
      </c>
      <c r="J5113">
        <v>0</v>
      </c>
      <c r="K5113">
        <v>0</v>
      </c>
      <c r="L5113">
        <v>0</v>
      </c>
      <c r="M5113" t="s">
        <v>17</v>
      </c>
    </row>
    <row r="5114" spans="1:13" x14ac:dyDescent="0.15">
      <c r="A5114" t="s">
        <v>16143</v>
      </c>
      <c r="B5114" t="s">
        <v>16144</v>
      </c>
      <c r="C5114" t="s">
        <v>16145</v>
      </c>
      <c r="D5114" t="s">
        <v>16139</v>
      </c>
      <c r="E5114">
        <v>171</v>
      </c>
      <c r="F5114" t="str">
        <f>HYPERLINK("https://github.com/PojavLauncherTeam/PojavLauncher/issues/1057", "show")</f>
        <v>show</v>
      </c>
      <c r="G5114" t="str">
        <f>HYPERLINK("https://github.com/PojavLauncherTeam/PojavLauncher", "show")</f>
        <v>show</v>
      </c>
      <c r="H5114" t="str">
        <f>HYPERLINK("https://github.com/PojavLauncherTeam/PojavLauncher/releases", "show")</f>
        <v>show</v>
      </c>
      <c r="I5114">
        <v>0</v>
      </c>
      <c r="J5114">
        <v>1</v>
      </c>
      <c r="K5114">
        <v>0</v>
      </c>
      <c r="L5114">
        <v>0</v>
      </c>
      <c r="M5114" t="s">
        <v>139</v>
      </c>
    </row>
    <row r="5115" spans="1:13" hidden="1" x14ac:dyDescent="0.15">
      <c r="A5115" t="s">
        <v>16146</v>
      </c>
      <c r="B5115" t="s">
        <v>16147</v>
      </c>
      <c r="C5115" t="s">
        <v>16148</v>
      </c>
      <c r="D5115" t="s">
        <v>16149</v>
      </c>
      <c r="E5115">
        <v>0</v>
      </c>
      <c r="F5115" t="str">
        <f>HYPERLINK("https://github.com/ElderDrivers/EdXposed/issues/851", "show")</f>
        <v>show</v>
      </c>
      <c r="G5115" t="str">
        <f>HYPERLINK("https://github.com/ElderDrivers/EdXposed", "show")</f>
        <v>show</v>
      </c>
      <c r="H5115" t="str">
        <f>HYPERLINK("https://github.com/ElderDrivers/EdXposed/releases", "show")</f>
        <v>show</v>
      </c>
      <c r="I5115">
        <v>1</v>
      </c>
      <c r="J5115">
        <v>0</v>
      </c>
      <c r="K5115">
        <v>0</v>
      </c>
      <c r="L5115">
        <v>0</v>
      </c>
      <c r="M5115" t="s">
        <v>17</v>
      </c>
    </row>
    <row r="5116" spans="1:13" hidden="1" x14ac:dyDescent="0.15">
      <c r="A5116" t="s">
        <v>16150</v>
      </c>
      <c r="B5116" t="s">
        <v>16151</v>
      </c>
      <c r="C5116" t="s">
        <v>16152</v>
      </c>
      <c r="D5116" t="s">
        <v>16149</v>
      </c>
      <c r="E5116">
        <v>0</v>
      </c>
      <c r="F5116" t="str">
        <f>HYPERLINK("https://github.com/cgeo/cgeo/issues/10138", "show")</f>
        <v>show</v>
      </c>
      <c r="G5116" t="str">
        <f>HYPERLINK("https://github.com/cgeo/cgeo", "show")</f>
        <v>show</v>
      </c>
      <c r="H5116" t="str">
        <f>HYPERLINK("https://github.com/cgeo/cgeo/releases", "show")</f>
        <v>show</v>
      </c>
      <c r="I5116">
        <v>0</v>
      </c>
      <c r="J5116">
        <v>1</v>
      </c>
      <c r="K5116">
        <v>1</v>
      </c>
      <c r="L5116">
        <v>0</v>
      </c>
      <c r="M5116" t="s">
        <v>699</v>
      </c>
    </row>
    <row r="5117" spans="1:13" hidden="1" x14ac:dyDescent="0.15">
      <c r="A5117" t="s">
        <v>16153</v>
      </c>
      <c r="B5117" t="s">
        <v>16154</v>
      </c>
      <c r="C5117" t="s">
        <v>16155</v>
      </c>
      <c r="D5117" t="s">
        <v>16149</v>
      </c>
      <c r="E5117">
        <v>22</v>
      </c>
      <c r="F5117" t="str">
        <f>HYPERLINK("https://github.com/ankidroid/Anki-Android/issues/8178", "show")</f>
        <v>show</v>
      </c>
      <c r="G5117" t="str">
        <f>HYPERLINK("https://github.com/ankidroid/Anki-Android", "show")</f>
        <v>show</v>
      </c>
      <c r="H5117" t="str">
        <f>HYPERLINK("https://github.com/ankidroid/Anki-Android/releases", "show")</f>
        <v>show</v>
      </c>
      <c r="I5117">
        <v>0</v>
      </c>
      <c r="J5117">
        <v>0</v>
      </c>
      <c r="K5117">
        <v>1</v>
      </c>
      <c r="L5117">
        <v>0</v>
      </c>
      <c r="M5117" t="s">
        <v>122</v>
      </c>
    </row>
    <row r="5118" spans="1:13" hidden="1" x14ac:dyDescent="0.15">
      <c r="A5118" t="s">
        <v>16156</v>
      </c>
      <c r="B5118" t="s">
        <v>16157</v>
      </c>
      <c r="C5118" t="s">
        <v>16158</v>
      </c>
      <c r="D5118" t="s">
        <v>16159</v>
      </c>
      <c r="E5118">
        <v>1</v>
      </c>
      <c r="F5118" t="str">
        <f>HYPERLINK("https://github.com/nextcloud/android/issues/8166", "show")</f>
        <v>show</v>
      </c>
      <c r="G5118" t="str">
        <f>HYPERLINK("https://github.com/nextcloud/android", "show")</f>
        <v>show</v>
      </c>
      <c r="H5118" t="str">
        <f>HYPERLINK("https://github.com/nextcloud/android/releases", "show")</f>
        <v>show</v>
      </c>
      <c r="I5118">
        <v>1</v>
      </c>
      <c r="J5118">
        <v>1</v>
      </c>
      <c r="K5118">
        <v>1</v>
      </c>
      <c r="L5118">
        <v>0</v>
      </c>
      <c r="M5118" t="s">
        <v>59</v>
      </c>
    </row>
    <row r="5119" spans="1:13" hidden="1" x14ac:dyDescent="0.15">
      <c r="A5119" t="s">
        <v>16160</v>
      </c>
      <c r="B5119" t="s">
        <v>16161</v>
      </c>
      <c r="C5119" t="s">
        <v>16162</v>
      </c>
      <c r="D5119" t="s">
        <v>16159</v>
      </c>
      <c r="E5119">
        <v>237</v>
      </c>
      <c r="F5119" t="str">
        <f>HYPERLINK("https://github.com/TarekElDick/COEN390_GroupProject_BearCare/issues/39", "show")</f>
        <v>show</v>
      </c>
      <c r="G5119" t="str">
        <f>HYPERLINK("https://github.com/TarekElDick/COEN390_GroupProject_BearCare", "show")</f>
        <v>show</v>
      </c>
      <c r="H5119" t="str">
        <f>HYPERLINK("https://github.com/TarekElDick/COEN390_GroupProject_BearCare/releases", "show")</f>
        <v>show</v>
      </c>
      <c r="I5119">
        <v>1</v>
      </c>
      <c r="J5119">
        <v>0</v>
      </c>
      <c r="K5119">
        <v>0</v>
      </c>
      <c r="L5119">
        <v>0</v>
      </c>
      <c r="M5119" t="s">
        <v>17</v>
      </c>
    </row>
    <row r="5120" spans="1:13" hidden="1" x14ac:dyDescent="0.15">
      <c r="A5120" t="s">
        <v>16163</v>
      </c>
      <c r="B5120" t="s">
        <v>16164</v>
      </c>
      <c r="D5120" t="s">
        <v>16159</v>
      </c>
      <c r="E5120">
        <v>1</v>
      </c>
      <c r="F5120" t="str">
        <f>HYPERLINK("https://github.com/mtotschnig/MyExpenses/issues/785", "show")</f>
        <v>show</v>
      </c>
      <c r="G5120" t="str">
        <f>HYPERLINK("https://github.com/mtotschnig/MyExpenses", "show")</f>
        <v>show</v>
      </c>
      <c r="H5120" t="str">
        <f>HYPERLINK("https://github.com/mtotschnig/MyExpenses/releases", "show")</f>
        <v>show</v>
      </c>
      <c r="I5120">
        <v>1</v>
      </c>
      <c r="J5120">
        <v>0</v>
      </c>
      <c r="K5120">
        <v>0</v>
      </c>
      <c r="L5120">
        <v>0</v>
      </c>
      <c r="M5120" t="s">
        <v>17</v>
      </c>
    </row>
    <row r="5121" spans="1:13" hidden="1" x14ac:dyDescent="0.15">
      <c r="A5121" t="s">
        <v>16165</v>
      </c>
      <c r="B5121" t="s">
        <v>16166</v>
      </c>
      <c r="C5121" t="s">
        <v>16167</v>
      </c>
      <c r="D5121" t="s">
        <v>16159</v>
      </c>
      <c r="E5121">
        <v>13</v>
      </c>
      <c r="F5121" t="str">
        <f>HYPERLINK("https://github.com/k9mail/k-9/issues/5200", "show")</f>
        <v>show</v>
      </c>
      <c r="G5121" t="str">
        <f>HYPERLINK("https://github.com/k9mail/k-9", "show")</f>
        <v>show</v>
      </c>
      <c r="H5121" t="str">
        <f>HYPERLINK("https://github.com/k9mail/k-9/releases", "show")</f>
        <v>show</v>
      </c>
      <c r="I5121">
        <v>1</v>
      </c>
      <c r="J5121">
        <v>0</v>
      </c>
      <c r="K5121">
        <v>0</v>
      </c>
      <c r="L5121">
        <v>0</v>
      </c>
      <c r="M5121" t="s">
        <v>17</v>
      </c>
    </row>
    <row r="5122" spans="1:13" hidden="1" x14ac:dyDescent="0.15">
      <c r="A5122" t="s">
        <v>16168</v>
      </c>
      <c r="B5122" t="s">
        <v>16169</v>
      </c>
      <c r="C5122" t="s">
        <v>16170</v>
      </c>
      <c r="D5122" t="s">
        <v>16159</v>
      </c>
      <c r="E5122">
        <v>84</v>
      </c>
      <c r="F5122" t="str">
        <f>HYPERLINK("https://github.com/PojavLauncherTeam/PojavLauncher/issues/1043", "show")</f>
        <v>show</v>
      </c>
      <c r="G5122" t="str">
        <f>HYPERLINK("https://github.com/PojavLauncherTeam/PojavLauncher", "show")</f>
        <v>show</v>
      </c>
      <c r="H5122" t="str">
        <f>HYPERLINK("https://github.com/PojavLauncherTeam/PojavLauncher/releases", "show")</f>
        <v>show</v>
      </c>
      <c r="I5122">
        <v>1</v>
      </c>
      <c r="J5122">
        <v>0</v>
      </c>
      <c r="K5122">
        <v>0</v>
      </c>
      <c r="L5122">
        <v>0</v>
      </c>
      <c r="M5122" t="s">
        <v>17</v>
      </c>
    </row>
    <row r="5123" spans="1:13" hidden="1" x14ac:dyDescent="0.15">
      <c r="A5123" t="s">
        <v>16171</v>
      </c>
      <c r="B5123" t="s">
        <v>16172</v>
      </c>
      <c r="C5123" t="s">
        <v>16173</v>
      </c>
      <c r="D5123" t="s">
        <v>16159</v>
      </c>
      <c r="E5123">
        <v>19</v>
      </c>
      <c r="F5123" t="str">
        <f>HYPERLINK("https://github.com/TeamNewPipe/NewPipe/issues/5812", "show")</f>
        <v>show</v>
      </c>
      <c r="G5123" t="str">
        <f>HYPERLINK("https://github.com/TeamNewPipe/NewPipe", "show")</f>
        <v>show</v>
      </c>
      <c r="H5123" t="str">
        <f>HYPERLINK("https://github.com/TeamNewPipe/NewPipe/releases", "show")</f>
        <v>show</v>
      </c>
      <c r="I5123">
        <v>1</v>
      </c>
      <c r="J5123">
        <v>1</v>
      </c>
      <c r="K5123">
        <v>1</v>
      </c>
      <c r="L5123">
        <v>0</v>
      </c>
      <c r="M5123" t="s">
        <v>59</v>
      </c>
    </row>
    <row r="5124" spans="1:13" hidden="1" x14ac:dyDescent="0.15">
      <c r="A5124" t="s">
        <v>16174</v>
      </c>
      <c r="B5124" t="s">
        <v>16175</v>
      </c>
      <c r="C5124" t="s">
        <v>16176</v>
      </c>
      <c r="D5124" t="s">
        <v>16159</v>
      </c>
      <c r="E5124">
        <v>2</v>
      </c>
      <c r="F5124" t="str">
        <f>HYPERLINK("https://github.com/nextcloud/android/issues/8164", "show")</f>
        <v>show</v>
      </c>
      <c r="G5124" t="str">
        <f>HYPERLINK("https://github.com/nextcloud/android", "show")</f>
        <v>show</v>
      </c>
      <c r="H5124" t="str">
        <f>HYPERLINK("https://github.com/nextcloud/android/releases", "show")</f>
        <v>show</v>
      </c>
      <c r="I5124">
        <v>1</v>
      </c>
      <c r="J5124">
        <v>1</v>
      </c>
      <c r="K5124">
        <v>1</v>
      </c>
      <c r="L5124">
        <v>0</v>
      </c>
      <c r="M5124" t="s">
        <v>59</v>
      </c>
    </row>
    <row r="5125" spans="1:13" hidden="1" x14ac:dyDescent="0.15">
      <c r="A5125" t="s">
        <v>16177</v>
      </c>
      <c r="B5125" t="s">
        <v>16178</v>
      </c>
      <c r="C5125" t="s">
        <v>16179</v>
      </c>
      <c r="D5125" t="s">
        <v>16159</v>
      </c>
      <c r="E5125">
        <v>48</v>
      </c>
      <c r="F5125" t="str">
        <f>HYPERLINK("https://github.com/PojavLauncherTeam/PojavLauncher/issues/1041", "show")</f>
        <v>show</v>
      </c>
      <c r="G5125" t="str">
        <f>HYPERLINK("https://github.com/PojavLauncherTeam/PojavLauncher", "show")</f>
        <v>show</v>
      </c>
      <c r="H5125" t="str">
        <f>HYPERLINK("https://github.com/PojavLauncherTeam/PojavLauncher/releases", "show")</f>
        <v>show</v>
      </c>
      <c r="I5125">
        <v>1</v>
      </c>
      <c r="J5125">
        <v>1</v>
      </c>
      <c r="K5125">
        <v>0</v>
      </c>
      <c r="L5125">
        <v>0</v>
      </c>
      <c r="M5125" t="s">
        <v>48</v>
      </c>
    </row>
    <row r="5126" spans="1:13" hidden="1" x14ac:dyDescent="0.15">
      <c r="A5126" t="s">
        <v>16180</v>
      </c>
      <c r="B5126" t="s">
        <v>16181</v>
      </c>
      <c r="C5126" t="s">
        <v>16182</v>
      </c>
      <c r="D5126" t="s">
        <v>16159</v>
      </c>
      <c r="E5126">
        <v>0</v>
      </c>
      <c r="F5126" t="str">
        <f>HYPERLINK("https://github.com/indomie858/app-A/issues/142", "show")</f>
        <v>show</v>
      </c>
      <c r="G5126" t="str">
        <f>HYPERLINK("https://github.com/indomie858/app-A", "show")</f>
        <v>show</v>
      </c>
      <c r="H5126" t="str">
        <f>HYPERLINK("https://github.com/indomie858/app-A/releases", "show")</f>
        <v>show</v>
      </c>
      <c r="I5126">
        <v>1</v>
      </c>
      <c r="J5126">
        <v>0</v>
      </c>
      <c r="K5126">
        <v>0</v>
      </c>
      <c r="L5126">
        <v>0</v>
      </c>
      <c r="M5126" t="s">
        <v>17</v>
      </c>
    </row>
    <row r="5127" spans="1:13" hidden="1" x14ac:dyDescent="0.15">
      <c r="A5127" t="s">
        <v>16183</v>
      </c>
      <c r="B5127" t="s">
        <v>16184</v>
      </c>
      <c r="C5127" t="s">
        <v>16185</v>
      </c>
      <c r="D5127" t="s">
        <v>16159</v>
      </c>
      <c r="E5127">
        <v>6</v>
      </c>
      <c r="F5127" t="str">
        <f>HYPERLINK("https://github.com/libgdx/libgdx/issues/6450", "show")</f>
        <v>show</v>
      </c>
      <c r="G5127" t="str">
        <f>HYPERLINK("https://github.com/libgdx/libgdx", "show")</f>
        <v>show</v>
      </c>
      <c r="H5127" t="str">
        <f>HYPERLINK("https://github.com/libgdx/libgdx/releases", "show")</f>
        <v>show</v>
      </c>
      <c r="I5127">
        <v>1</v>
      </c>
      <c r="J5127">
        <v>0</v>
      </c>
      <c r="K5127">
        <v>1</v>
      </c>
      <c r="L5127">
        <v>0</v>
      </c>
      <c r="M5127" t="s">
        <v>64</v>
      </c>
    </row>
    <row r="5128" spans="1:13" hidden="1" x14ac:dyDescent="0.15">
      <c r="A5128" t="s">
        <v>16186</v>
      </c>
      <c r="B5128" t="s">
        <v>16187</v>
      </c>
      <c r="C5128" t="s">
        <v>16188</v>
      </c>
      <c r="D5128" t="s">
        <v>16189</v>
      </c>
      <c r="E5128">
        <v>42</v>
      </c>
      <c r="F5128" t="str">
        <f>HYPERLINK("https://github.com/iNPUTmice/lttrs-android/issues/77", "show")</f>
        <v>show</v>
      </c>
      <c r="G5128" t="str">
        <f>HYPERLINK("https://github.com/iNPUTmice/lttrs-android", "show")</f>
        <v>show</v>
      </c>
      <c r="H5128" t="str">
        <f>HYPERLINK("https://github.com/iNPUTmice/lttrs-android/releases", "show")</f>
        <v>show</v>
      </c>
      <c r="I5128">
        <v>0</v>
      </c>
      <c r="J5128">
        <v>0</v>
      </c>
      <c r="K5128">
        <v>1</v>
      </c>
      <c r="L5128">
        <v>0</v>
      </c>
      <c r="M5128" t="s">
        <v>122</v>
      </c>
    </row>
    <row r="5129" spans="1:13" hidden="1" x14ac:dyDescent="0.15">
      <c r="A5129" t="s">
        <v>16190</v>
      </c>
      <c r="B5129" t="s">
        <v>16191</v>
      </c>
      <c r="C5129" t="s">
        <v>16192</v>
      </c>
      <c r="D5129" t="s">
        <v>16189</v>
      </c>
      <c r="E5129">
        <v>26</v>
      </c>
      <c r="F5129" t="str">
        <f>HYPERLINK("https://github.com/ultrasonic/ultrasonic/issues/390", "show")</f>
        <v>show</v>
      </c>
      <c r="G5129" t="str">
        <f>HYPERLINK("https://github.com/ultrasonic/ultrasonic", "show")</f>
        <v>show</v>
      </c>
      <c r="H5129" t="str">
        <f>HYPERLINK("https://github.com/ultrasonic/ultrasonic/releases", "show")</f>
        <v>show</v>
      </c>
      <c r="I5129">
        <v>1</v>
      </c>
      <c r="J5129">
        <v>0</v>
      </c>
      <c r="K5129">
        <v>0</v>
      </c>
      <c r="L5129">
        <v>0</v>
      </c>
      <c r="M5129" t="s">
        <v>17</v>
      </c>
    </row>
    <row r="5130" spans="1:13" hidden="1" x14ac:dyDescent="0.15">
      <c r="A5130" t="s">
        <v>16193</v>
      </c>
      <c r="B5130" t="s">
        <v>16194</v>
      </c>
      <c r="C5130" t="s">
        <v>16195</v>
      </c>
      <c r="D5130" t="s">
        <v>16189</v>
      </c>
      <c r="E5130">
        <v>0</v>
      </c>
      <c r="F5130" t="str">
        <f>HYPERLINK("https://github.com/TeamNewPipe/NewPipe/issues/5808", "show")</f>
        <v>show</v>
      </c>
      <c r="G5130" t="str">
        <f>HYPERLINK("https://github.com/TeamNewPipe/NewPipe", "show")</f>
        <v>show</v>
      </c>
      <c r="H5130" t="str">
        <f>HYPERLINK("https://github.com/TeamNewPipe/NewPipe/releases", "show")</f>
        <v>show</v>
      </c>
      <c r="I5130">
        <v>1</v>
      </c>
      <c r="J5130">
        <v>1</v>
      </c>
      <c r="K5130">
        <v>1</v>
      </c>
      <c r="L5130">
        <v>1</v>
      </c>
      <c r="M5130" t="s">
        <v>2875</v>
      </c>
    </row>
    <row r="5131" spans="1:13" hidden="1" x14ac:dyDescent="0.15">
      <c r="A5131" t="s">
        <v>16196</v>
      </c>
      <c r="B5131" t="s">
        <v>16197</v>
      </c>
      <c r="C5131" t="s">
        <v>16198</v>
      </c>
      <c r="D5131" t="s">
        <v>16189</v>
      </c>
      <c r="E5131">
        <v>18</v>
      </c>
      <c r="F5131" t="str">
        <f>HYPERLINK("https://github.com/PhenoApps/Field-Book/issues/222", "show")</f>
        <v>show</v>
      </c>
      <c r="G5131" t="str">
        <f>HYPERLINK("https://github.com/PhenoApps/Field-Book", "show")</f>
        <v>show</v>
      </c>
      <c r="H5131" t="str">
        <f>HYPERLINK("https://github.com/PhenoApps/Field-Book/releases", "show")</f>
        <v>show</v>
      </c>
      <c r="I5131">
        <v>1</v>
      </c>
      <c r="J5131">
        <v>1</v>
      </c>
      <c r="K5131">
        <v>1</v>
      </c>
      <c r="L5131">
        <v>0</v>
      </c>
      <c r="M5131" t="s">
        <v>59</v>
      </c>
    </row>
    <row r="5132" spans="1:13" hidden="1" x14ac:dyDescent="0.15">
      <c r="A5132" t="s">
        <v>16199</v>
      </c>
      <c r="B5132" t="s">
        <v>16200</v>
      </c>
      <c r="C5132" t="s">
        <v>16201</v>
      </c>
      <c r="D5132" t="s">
        <v>16202</v>
      </c>
      <c r="E5132">
        <v>1</v>
      </c>
      <c r="F5132" t="str">
        <f>HYPERLINK("https://github.com/Raheemshah2809/Relax-app/issues/1", "show")</f>
        <v>show</v>
      </c>
      <c r="G5132" t="str">
        <f>HYPERLINK("https://github.com/Raheemshah2809/Relax-app", "show")</f>
        <v>show</v>
      </c>
      <c r="H5132" t="str">
        <f>HYPERLINK("https://github.com/Raheemshah2809/Relax-app/releases", "show")</f>
        <v>show</v>
      </c>
      <c r="I5132">
        <v>1</v>
      </c>
      <c r="J5132">
        <v>0</v>
      </c>
      <c r="K5132">
        <v>0</v>
      </c>
      <c r="L5132">
        <v>0</v>
      </c>
      <c r="M5132" t="s">
        <v>17</v>
      </c>
    </row>
    <row r="5133" spans="1:13" hidden="1" x14ac:dyDescent="0.15">
      <c r="A5133" t="s">
        <v>16203</v>
      </c>
      <c r="B5133" t="s">
        <v>16204</v>
      </c>
      <c r="C5133" t="s">
        <v>16205</v>
      </c>
      <c r="D5133" t="s">
        <v>16202</v>
      </c>
      <c r="E5133">
        <v>1</v>
      </c>
      <c r="F5133" t="str">
        <f>HYPERLINK("https://github.com/Anuken/Mindustry/issues/4919", "show")</f>
        <v>show</v>
      </c>
      <c r="G5133" t="str">
        <f>HYPERLINK("https://github.com/Anuken/Mindustry", "show")</f>
        <v>show</v>
      </c>
      <c r="H5133" t="str">
        <f>HYPERLINK("https://github.com/Anuken/Mindustry/releases", "show")</f>
        <v>show</v>
      </c>
      <c r="I5133">
        <v>1</v>
      </c>
      <c r="J5133">
        <v>1</v>
      </c>
      <c r="K5133">
        <v>0</v>
      </c>
      <c r="L5133">
        <v>0</v>
      </c>
      <c r="M5133" t="s">
        <v>48</v>
      </c>
    </row>
    <row r="5134" spans="1:13" hidden="1" x14ac:dyDescent="0.15">
      <c r="A5134" t="s">
        <v>16206</v>
      </c>
      <c r="B5134" t="s">
        <v>16207</v>
      </c>
      <c r="C5134" t="s">
        <v>16208</v>
      </c>
      <c r="D5134" t="s">
        <v>16202</v>
      </c>
      <c r="E5134">
        <v>1</v>
      </c>
      <c r="F5134" t="str">
        <f>HYPERLINK("https://github.com/nextcloud/android/issues/8148", "show")</f>
        <v>show</v>
      </c>
      <c r="G5134" t="str">
        <f>HYPERLINK("https://github.com/nextcloud/android", "show")</f>
        <v>show</v>
      </c>
      <c r="H5134" t="str">
        <f>HYPERLINK("https://github.com/nextcloud/android/releases", "show")</f>
        <v>show</v>
      </c>
      <c r="I5134">
        <v>1</v>
      </c>
      <c r="J5134">
        <v>1</v>
      </c>
      <c r="K5134">
        <v>1</v>
      </c>
      <c r="L5134">
        <v>0</v>
      </c>
      <c r="M5134" t="s">
        <v>59</v>
      </c>
    </row>
    <row r="5135" spans="1:13" hidden="1" x14ac:dyDescent="0.15">
      <c r="A5135" t="s">
        <v>16209</v>
      </c>
      <c r="B5135" t="s">
        <v>16210</v>
      </c>
      <c r="C5135" t="s">
        <v>16211</v>
      </c>
      <c r="D5135" t="s">
        <v>16202</v>
      </c>
      <c r="E5135">
        <v>1</v>
      </c>
      <c r="F5135" t="str">
        <f>HYPERLINK("https://github.com/comcore/app/issues/2", "show")</f>
        <v>show</v>
      </c>
      <c r="G5135" t="str">
        <f>HYPERLINK("https://github.com/comcore/app", "show")</f>
        <v>show</v>
      </c>
      <c r="H5135" t="str">
        <f>HYPERLINK("https://github.com/comcore/app/releases", "show")</f>
        <v>show</v>
      </c>
      <c r="I5135">
        <v>0</v>
      </c>
      <c r="J5135">
        <v>0</v>
      </c>
      <c r="K5135">
        <v>0</v>
      </c>
      <c r="L5135">
        <v>0</v>
      </c>
      <c r="M5135" t="s">
        <v>43</v>
      </c>
    </row>
    <row r="5136" spans="1:13" hidden="1" x14ac:dyDescent="0.15">
      <c r="A5136" t="s">
        <v>16212</v>
      </c>
      <c r="B5136" t="s">
        <v>16213</v>
      </c>
      <c r="D5136" t="s">
        <v>16202</v>
      </c>
      <c r="E5136">
        <v>0</v>
      </c>
      <c r="F5136" t="str">
        <f>HYPERLINK("https://github.com/vladescualexandra/iBudget/issues/14", "show")</f>
        <v>show</v>
      </c>
      <c r="G5136" t="str">
        <f>HYPERLINK("https://github.com/vladescualexandra/iBudget", "show")</f>
        <v>show</v>
      </c>
      <c r="H5136" t="str">
        <f>HYPERLINK("https://github.com/vladescualexandra/iBudget/releases", "show")</f>
        <v>show</v>
      </c>
      <c r="I5136">
        <v>1</v>
      </c>
      <c r="J5136">
        <v>0</v>
      </c>
      <c r="K5136">
        <v>0</v>
      </c>
      <c r="L5136">
        <v>0</v>
      </c>
      <c r="M5136" t="s">
        <v>17</v>
      </c>
    </row>
    <row r="5137" spans="1:13" hidden="1" x14ac:dyDescent="0.15">
      <c r="A5137" t="s">
        <v>16214</v>
      </c>
      <c r="B5137" t="s">
        <v>16215</v>
      </c>
      <c r="C5137" t="s">
        <v>16216</v>
      </c>
      <c r="D5137" t="s">
        <v>16202</v>
      </c>
      <c r="E5137">
        <v>1</v>
      </c>
      <c r="F5137" t="str">
        <f>HYPERLINK("https://github.com/PojavLauncherTeam/PojavLauncher/issues/1034", "show")</f>
        <v>show</v>
      </c>
      <c r="G5137" t="str">
        <f>HYPERLINK("https://github.com/PojavLauncherTeam/PojavLauncher", "show")</f>
        <v>show</v>
      </c>
      <c r="H5137" t="str">
        <f>HYPERLINK("https://github.com/PojavLauncherTeam/PojavLauncher/releases", "show")</f>
        <v>show</v>
      </c>
      <c r="I5137">
        <v>1</v>
      </c>
      <c r="J5137">
        <v>1</v>
      </c>
      <c r="K5137">
        <v>0</v>
      </c>
      <c r="L5137">
        <v>0</v>
      </c>
      <c r="M5137" t="s">
        <v>48</v>
      </c>
    </row>
    <row r="5138" spans="1:13" hidden="1" x14ac:dyDescent="0.15">
      <c r="A5138" t="s">
        <v>16217</v>
      </c>
      <c r="B5138" t="s">
        <v>16218</v>
      </c>
      <c r="C5138" t="s">
        <v>16219</v>
      </c>
      <c r="D5138" t="s">
        <v>16202</v>
      </c>
      <c r="E5138">
        <v>41</v>
      </c>
      <c r="F5138" t="str">
        <f>HYPERLINK("https://github.com/OTTAA-Project/OTTAAProject/issues/5", "show")</f>
        <v>show</v>
      </c>
      <c r="G5138" t="str">
        <f>HYPERLINK("https://github.com/OTTAA-Project/OTTAAProject", "show")</f>
        <v>show</v>
      </c>
      <c r="H5138" t="str">
        <f>HYPERLINK("https://github.com/OTTAA-Project/OTTAAProject/releases", "show")</f>
        <v>show</v>
      </c>
      <c r="I5138">
        <v>1</v>
      </c>
      <c r="J5138">
        <v>0</v>
      </c>
      <c r="K5138">
        <v>0</v>
      </c>
      <c r="L5138">
        <v>0</v>
      </c>
      <c r="M5138" t="s">
        <v>17</v>
      </c>
    </row>
    <row r="5139" spans="1:13" hidden="1" x14ac:dyDescent="0.15">
      <c r="A5139" t="s">
        <v>16220</v>
      </c>
      <c r="B5139" t="s">
        <v>16221</v>
      </c>
      <c r="C5139" t="s">
        <v>16222</v>
      </c>
      <c r="D5139" t="s">
        <v>16202</v>
      </c>
      <c r="E5139">
        <v>21</v>
      </c>
      <c r="F5139" t="str">
        <f>HYPERLINK("https://github.com/TeamNewPipe/NewPipe/issues/5804", "show")</f>
        <v>show</v>
      </c>
      <c r="G5139" t="str">
        <f>HYPERLINK("https://github.com/TeamNewPipe/NewPipe", "show")</f>
        <v>show</v>
      </c>
      <c r="H5139" t="str">
        <f>HYPERLINK("https://github.com/TeamNewPipe/NewPipe/releases", "show")</f>
        <v>show</v>
      </c>
      <c r="I5139">
        <v>1</v>
      </c>
      <c r="J5139">
        <v>1</v>
      </c>
      <c r="K5139">
        <v>1</v>
      </c>
      <c r="L5139">
        <v>0</v>
      </c>
      <c r="M5139" t="s">
        <v>59</v>
      </c>
    </row>
    <row r="5140" spans="1:13" hidden="1" x14ac:dyDescent="0.15">
      <c r="A5140" t="s">
        <v>16223</v>
      </c>
      <c r="B5140" t="s">
        <v>16224</v>
      </c>
      <c r="C5140" t="s">
        <v>16225</v>
      </c>
      <c r="D5140" t="s">
        <v>16202</v>
      </c>
      <c r="E5140">
        <v>3</v>
      </c>
      <c r="F5140" t="str">
        <f>HYPERLINK("https://github.com/Neamar/KISS/issues/1711", "show")</f>
        <v>show</v>
      </c>
      <c r="G5140" t="str">
        <f>HYPERLINK("https://github.com/Neamar/KISS", "show")</f>
        <v>show</v>
      </c>
      <c r="H5140" t="str">
        <f>HYPERLINK("https://github.com/Neamar/KISS/releases", "show")</f>
        <v>show</v>
      </c>
      <c r="I5140">
        <v>1</v>
      </c>
      <c r="J5140">
        <v>1</v>
      </c>
      <c r="K5140">
        <v>0</v>
      </c>
      <c r="L5140">
        <v>1</v>
      </c>
      <c r="M5140" t="s">
        <v>1894</v>
      </c>
    </row>
    <row r="5141" spans="1:13" hidden="1" x14ac:dyDescent="0.15">
      <c r="A5141" t="s">
        <v>16226</v>
      </c>
      <c r="B5141" t="s">
        <v>16227</v>
      </c>
      <c r="C5141" t="s">
        <v>16228</v>
      </c>
      <c r="D5141" t="s">
        <v>16229</v>
      </c>
      <c r="E5141">
        <v>154</v>
      </c>
      <c r="F5141" t="str">
        <f>HYPERLINK("https://github.com/doublesymmetry/react-native-track-player/issues/1130", "show")</f>
        <v>show</v>
      </c>
      <c r="G5141" t="str">
        <f>HYPERLINK("https://github.com/doublesymmetry/react-native-track-player", "show")</f>
        <v>show</v>
      </c>
      <c r="H5141" t="str">
        <f>HYPERLINK("https://github.com/doublesymmetry/react-native-track-player/releases", "show")</f>
        <v>show</v>
      </c>
      <c r="I5141">
        <v>0</v>
      </c>
      <c r="J5141">
        <v>0</v>
      </c>
      <c r="K5141">
        <v>0</v>
      </c>
      <c r="L5141">
        <v>1</v>
      </c>
      <c r="M5141" t="s">
        <v>581</v>
      </c>
    </row>
    <row r="5142" spans="1:13" hidden="1" x14ac:dyDescent="0.15">
      <c r="A5142" t="s">
        <v>16230</v>
      </c>
      <c r="B5142" t="s">
        <v>16231</v>
      </c>
      <c r="C5142" t="s">
        <v>16232</v>
      </c>
      <c r="D5142" t="s">
        <v>16229</v>
      </c>
      <c r="E5142">
        <v>312</v>
      </c>
      <c r="F5142" t="str">
        <f>HYPERLINK("https://github.com/cgeo/cgeo/issues/10128", "show")</f>
        <v>show</v>
      </c>
      <c r="G5142" t="str">
        <f>HYPERLINK("https://github.com/cgeo/cgeo", "show")</f>
        <v>show</v>
      </c>
      <c r="H5142" t="str">
        <f>HYPERLINK("https://github.com/cgeo/cgeo/releases", "show")</f>
        <v>show</v>
      </c>
      <c r="I5142">
        <v>1</v>
      </c>
      <c r="J5142">
        <v>1</v>
      </c>
      <c r="K5142">
        <v>1</v>
      </c>
      <c r="L5142">
        <v>0</v>
      </c>
      <c r="M5142" t="s">
        <v>59</v>
      </c>
    </row>
    <row r="5143" spans="1:13" hidden="1" x14ac:dyDescent="0.15">
      <c r="A5143" t="s">
        <v>16233</v>
      </c>
      <c r="B5143" t="s">
        <v>16234</v>
      </c>
      <c r="C5143" t="s">
        <v>16235</v>
      </c>
      <c r="D5143" t="s">
        <v>16229</v>
      </c>
      <c r="E5143">
        <v>405</v>
      </c>
      <c r="F5143" t="str">
        <f>HYPERLINK("https://github.com/TeamNewPipe/NewPipe/issues/5800", "show")</f>
        <v>show</v>
      </c>
      <c r="G5143" t="str">
        <f>HYPERLINK("https://github.com/TeamNewPipe/NewPipe", "show")</f>
        <v>show</v>
      </c>
      <c r="H5143" t="str">
        <f>HYPERLINK("https://github.com/TeamNewPipe/NewPipe/releases", "show")</f>
        <v>show</v>
      </c>
      <c r="I5143">
        <v>1</v>
      </c>
      <c r="J5143">
        <v>1</v>
      </c>
      <c r="K5143">
        <v>1</v>
      </c>
      <c r="L5143">
        <v>0</v>
      </c>
      <c r="M5143" t="s">
        <v>59</v>
      </c>
    </row>
    <row r="5144" spans="1:13" hidden="1" x14ac:dyDescent="0.15">
      <c r="A5144" t="s">
        <v>16236</v>
      </c>
      <c r="B5144" t="s">
        <v>16237</v>
      </c>
      <c r="C5144" t="s">
        <v>16238</v>
      </c>
      <c r="D5144" t="s">
        <v>16229</v>
      </c>
      <c r="E5144">
        <v>1</v>
      </c>
      <c r="F5144" t="str">
        <f>HYPERLINK("https://github.com/nextcloud/android/issues/8138", "show")</f>
        <v>show</v>
      </c>
      <c r="G5144" t="str">
        <f>HYPERLINK("https://github.com/nextcloud/android", "show")</f>
        <v>show</v>
      </c>
      <c r="H5144" t="str">
        <f>HYPERLINK("https://github.com/nextcloud/android/releases", "show")</f>
        <v>show</v>
      </c>
      <c r="I5144">
        <v>1</v>
      </c>
      <c r="J5144">
        <v>1</v>
      </c>
      <c r="K5144">
        <v>1</v>
      </c>
      <c r="L5144">
        <v>0</v>
      </c>
      <c r="M5144" t="s">
        <v>59</v>
      </c>
    </row>
    <row r="5145" spans="1:13" hidden="1" x14ac:dyDescent="0.15">
      <c r="A5145" t="s">
        <v>16239</v>
      </c>
      <c r="B5145" t="s">
        <v>16240</v>
      </c>
      <c r="C5145" t="s">
        <v>16241</v>
      </c>
      <c r="D5145" t="s">
        <v>16229</v>
      </c>
      <c r="E5145">
        <v>21</v>
      </c>
      <c r="F5145" t="str">
        <f>HYPERLINK("https://github.com/google/ExoPlayer/issues/8693", "show")</f>
        <v>show</v>
      </c>
      <c r="G5145" t="str">
        <f>HYPERLINK("https://github.com/google/ExoPlayer", "show")</f>
        <v>show</v>
      </c>
      <c r="H5145" t="str">
        <f>HYPERLINK("https://github.com/google/ExoPlayer/releases", "show")</f>
        <v>show</v>
      </c>
      <c r="I5145">
        <v>1</v>
      </c>
      <c r="J5145">
        <v>0</v>
      </c>
      <c r="K5145">
        <v>1</v>
      </c>
      <c r="L5145">
        <v>0</v>
      </c>
      <c r="M5145" t="s">
        <v>64</v>
      </c>
    </row>
    <row r="5146" spans="1:13" hidden="1" x14ac:dyDescent="0.15">
      <c r="A5146" t="s">
        <v>16242</v>
      </c>
      <c r="B5146" t="s">
        <v>16243</v>
      </c>
      <c r="C5146" t="s">
        <v>15346</v>
      </c>
      <c r="D5146" t="s">
        <v>16229</v>
      </c>
      <c r="E5146">
        <v>0</v>
      </c>
      <c r="F5146" t="str">
        <f>HYPERLINK("https://github.com/PojavLauncherTeam/PojavLauncher/issues/1026", "show")</f>
        <v>show</v>
      </c>
      <c r="G5146" t="str">
        <f>HYPERLINK("https://github.com/PojavLauncherTeam/PojavLauncher", "show")</f>
        <v>show</v>
      </c>
      <c r="H5146" t="str">
        <f>HYPERLINK("https://github.com/PojavLauncherTeam/PojavLauncher/releases", "show")</f>
        <v>show</v>
      </c>
      <c r="I5146">
        <v>1</v>
      </c>
      <c r="J5146">
        <v>1</v>
      </c>
      <c r="K5146">
        <v>0</v>
      </c>
      <c r="L5146">
        <v>0</v>
      </c>
      <c r="M5146" t="s">
        <v>48</v>
      </c>
    </row>
    <row r="5147" spans="1:13" hidden="1" x14ac:dyDescent="0.15">
      <c r="A5147" t="s">
        <v>16244</v>
      </c>
      <c r="B5147" t="s">
        <v>16245</v>
      </c>
      <c r="C5147" t="s">
        <v>16246</v>
      </c>
      <c r="D5147" t="s">
        <v>16229</v>
      </c>
      <c r="E5147">
        <v>0</v>
      </c>
      <c r="F5147" t="str">
        <f>HYPERLINK("https://github.com/codekidX/storage-chooser/issues/133", "show")</f>
        <v>show</v>
      </c>
      <c r="G5147" t="str">
        <f>HYPERLINK("https://github.com/codekidX/storage-chooser", "show")</f>
        <v>show</v>
      </c>
      <c r="H5147" t="str">
        <f>HYPERLINK("https://github.com/codekidX/storage-chooser/releases", "show")</f>
        <v>show</v>
      </c>
      <c r="I5147">
        <v>1</v>
      </c>
      <c r="J5147">
        <v>0</v>
      </c>
      <c r="K5147">
        <v>1</v>
      </c>
      <c r="L5147">
        <v>0</v>
      </c>
      <c r="M5147" t="s">
        <v>64</v>
      </c>
    </row>
    <row r="5148" spans="1:13" hidden="1" x14ac:dyDescent="0.15">
      <c r="A5148" t="s">
        <v>16247</v>
      </c>
      <c r="B5148" t="s">
        <v>16248</v>
      </c>
      <c r="C5148" t="s">
        <v>16249</v>
      </c>
      <c r="D5148" t="s">
        <v>16229</v>
      </c>
      <c r="E5148">
        <v>7</v>
      </c>
      <c r="F5148" t="str">
        <f>HYPERLINK("https://github.com/kkevn/LEDsign/issues/20", "show")</f>
        <v>show</v>
      </c>
      <c r="G5148" t="str">
        <f>HYPERLINK("https://github.com/kkevn/LEDsign", "show")</f>
        <v>show</v>
      </c>
      <c r="H5148" t="str">
        <f>HYPERLINK("https://github.com/kkevn/LEDsign/releases", "show")</f>
        <v>show</v>
      </c>
      <c r="I5148">
        <v>1</v>
      </c>
      <c r="J5148">
        <v>1</v>
      </c>
      <c r="K5148">
        <v>0</v>
      </c>
      <c r="L5148">
        <v>0</v>
      </c>
      <c r="M5148" t="s">
        <v>48</v>
      </c>
    </row>
    <row r="5149" spans="1:13" hidden="1" x14ac:dyDescent="0.15">
      <c r="A5149" t="s">
        <v>16250</v>
      </c>
      <c r="B5149" t="s">
        <v>16251</v>
      </c>
      <c r="C5149" t="s">
        <v>16252</v>
      </c>
      <c r="D5149" t="s">
        <v>16253</v>
      </c>
      <c r="E5149">
        <v>0</v>
      </c>
      <c r="F5149" t="str">
        <f>HYPERLINK("https://github.com/Anuken/Mindustry/issues/4904", "show")</f>
        <v>show</v>
      </c>
      <c r="G5149" t="str">
        <f>HYPERLINK("https://github.com/Anuken/Mindustry", "show")</f>
        <v>show</v>
      </c>
      <c r="H5149" t="str">
        <f>HYPERLINK("https://github.com/Anuken/Mindustry/releases", "show")</f>
        <v>show</v>
      </c>
      <c r="I5149">
        <v>1</v>
      </c>
      <c r="J5149">
        <v>1</v>
      </c>
      <c r="K5149">
        <v>1</v>
      </c>
      <c r="L5149">
        <v>0</v>
      </c>
      <c r="M5149" t="s">
        <v>59</v>
      </c>
    </row>
    <row r="5150" spans="1:13" hidden="1" x14ac:dyDescent="0.15">
      <c r="A5150" t="s">
        <v>16254</v>
      </c>
      <c r="B5150" t="s">
        <v>16255</v>
      </c>
      <c r="C5150" t="s">
        <v>16256</v>
      </c>
      <c r="D5150" t="s">
        <v>16253</v>
      </c>
      <c r="E5150">
        <v>0</v>
      </c>
      <c r="F5150" t="str">
        <f>HYPERLINK("https://github.com/nextcloud/android/issues/8133", "show")</f>
        <v>show</v>
      </c>
      <c r="G5150" t="str">
        <f>HYPERLINK("https://github.com/nextcloud/android", "show")</f>
        <v>show</v>
      </c>
      <c r="H5150" t="str">
        <f>HYPERLINK("https://github.com/nextcloud/android/releases", "show")</f>
        <v>show</v>
      </c>
      <c r="I5150">
        <v>1</v>
      </c>
      <c r="J5150">
        <v>0</v>
      </c>
      <c r="K5150">
        <v>0</v>
      </c>
      <c r="L5150">
        <v>0</v>
      </c>
      <c r="M5150" t="s">
        <v>17</v>
      </c>
    </row>
    <row r="5151" spans="1:13" hidden="1" x14ac:dyDescent="0.15">
      <c r="A5151" t="s">
        <v>16257</v>
      </c>
      <c r="B5151" t="s">
        <v>16258</v>
      </c>
      <c r="C5151" t="s">
        <v>16259</v>
      </c>
      <c r="D5151" t="s">
        <v>16253</v>
      </c>
      <c r="E5151">
        <v>9</v>
      </c>
      <c r="F5151" t="str">
        <f>HYPERLINK("https://github.com/PojavLauncherTeam/PojavLauncher/issues/1024", "show")</f>
        <v>show</v>
      </c>
      <c r="G5151" t="str">
        <f>HYPERLINK("https://github.com/PojavLauncherTeam/PojavLauncher", "show")</f>
        <v>show</v>
      </c>
      <c r="H5151" t="str">
        <f>HYPERLINK("https://github.com/PojavLauncherTeam/PojavLauncher/releases", "show")</f>
        <v>show</v>
      </c>
      <c r="I5151">
        <v>1</v>
      </c>
      <c r="J5151">
        <v>1</v>
      </c>
      <c r="K5151">
        <v>0</v>
      </c>
      <c r="L5151">
        <v>0</v>
      </c>
      <c r="M5151" t="s">
        <v>48</v>
      </c>
    </row>
    <row r="5152" spans="1:13" x14ac:dyDescent="0.15">
      <c r="A5152" t="s">
        <v>16260</v>
      </c>
      <c r="B5152" t="s">
        <v>16261</v>
      </c>
      <c r="C5152" t="s">
        <v>16262</v>
      </c>
      <c r="D5152" t="s">
        <v>16253</v>
      </c>
      <c r="E5152">
        <v>190</v>
      </c>
      <c r="F5152" t="str">
        <f>HYPERLINK("https://github.com/PojavLauncherTeam/PojavLauncher/issues/1020", "show")</f>
        <v>show</v>
      </c>
      <c r="G5152" t="str">
        <f>HYPERLINK("https://github.com/PojavLauncherTeam/PojavLauncher", "show")</f>
        <v>show</v>
      </c>
      <c r="H5152" t="str">
        <f>HYPERLINK("https://github.com/PojavLauncherTeam/PojavLauncher/releases", "show")</f>
        <v>show</v>
      </c>
      <c r="I5152">
        <v>0</v>
      </c>
      <c r="J5152">
        <v>1</v>
      </c>
      <c r="K5152">
        <v>0</v>
      </c>
      <c r="L5152">
        <v>0</v>
      </c>
      <c r="M5152" t="s">
        <v>139</v>
      </c>
    </row>
    <row r="5153" spans="1:13" hidden="1" x14ac:dyDescent="0.15">
      <c r="A5153" t="s">
        <v>16263</v>
      </c>
      <c r="B5153" t="s">
        <v>16264</v>
      </c>
      <c r="C5153" t="s">
        <v>16265</v>
      </c>
      <c r="D5153" t="s">
        <v>16253</v>
      </c>
      <c r="E5153">
        <v>120</v>
      </c>
      <c r="F5153" t="str">
        <f>HYPERLINK("https://github.com/yasirkula/UnityNativeCamera/issues/56", "show")</f>
        <v>show</v>
      </c>
      <c r="G5153" t="str">
        <f>HYPERLINK("https://github.com/yasirkula/UnityNativeCamera", "show")</f>
        <v>show</v>
      </c>
      <c r="H5153" t="str">
        <f>HYPERLINK("https://github.com/yasirkula/UnityNativeCamera/releases", "show")</f>
        <v>show</v>
      </c>
      <c r="I5153">
        <v>1</v>
      </c>
      <c r="J5153">
        <v>0</v>
      </c>
      <c r="K5153">
        <v>0</v>
      </c>
      <c r="L5153">
        <v>1</v>
      </c>
      <c r="M5153" t="s">
        <v>29</v>
      </c>
    </row>
    <row r="5154" spans="1:13" hidden="1" x14ac:dyDescent="0.15">
      <c r="A5154" t="s">
        <v>16266</v>
      </c>
      <c r="B5154" t="s">
        <v>16267</v>
      </c>
      <c r="C5154" t="s">
        <v>16268</v>
      </c>
      <c r="D5154" t="s">
        <v>16269</v>
      </c>
      <c r="E5154">
        <v>0</v>
      </c>
      <c r="F5154" t="str">
        <f>HYPERLINK("https://github.com/Anuken/Mindustry/issues/4893", "show")</f>
        <v>show</v>
      </c>
      <c r="G5154" t="str">
        <f>HYPERLINK("https://github.com/Anuken/Mindustry", "show")</f>
        <v>show</v>
      </c>
      <c r="H5154" t="str">
        <f>HYPERLINK("https://github.com/Anuken/Mindustry/releases", "show")</f>
        <v>show</v>
      </c>
      <c r="I5154">
        <v>1</v>
      </c>
      <c r="J5154">
        <v>0</v>
      </c>
      <c r="K5154">
        <v>0</v>
      </c>
      <c r="L5154">
        <v>0</v>
      </c>
      <c r="M5154" t="s">
        <v>17</v>
      </c>
    </row>
    <row r="5155" spans="1:13" hidden="1" x14ac:dyDescent="0.15">
      <c r="A5155" t="s">
        <v>16270</v>
      </c>
      <c r="B5155" t="s">
        <v>16271</v>
      </c>
      <c r="C5155" t="s">
        <v>16272</v>
      </c>
      <c r="D5155" t="s">
        <v>16269</v>
      </c>
      <c r="E5155">
        <v>12</v>
      </c>
      <c r="F5155" t="str">
        <f>HYPERLINK("https://github.com/labexp/osmtracker-android/issues/307", "show")</f>
        <v>show</v>
      </c>
      <c r="G5155" t="str">
        <f>HYPERLINK("https://github.com/labexp/osmtracker-android", "show")</f>
        <v>show</v>
      </c>
      <c r="H5155" t="str">
        <f>HYPERLINK("https://github.com/labexp/osmtracker-android/releases", "show")</f>
        <v>show</v>
      </c>
      <c r="I5155">
        <v>1</v>
      </c>
      <c r="J5155">
        <v>0</v>
      </c>
      <c r="K5155">
        <v>0</v>
      </c>
      <c r="L5155">
        <v>0</v>
      </c>
      <c r="M5155" t="s">
        <v>17</v>
      </c>
    </row>
    <row r="5156" spans="1:13" hidden="1" x14ac:dyDescent="0.15">
      <c r="A5156" t="s">
        <v>16273</v>
      </c>
      <c r="B5156" t="s">
        <v>16274</v>
      </c>
      <c r="C5156" t="s">
        <v>16275</v>
      </c>
      <c r="D5156" t="s">
        <v>16269</v>
      </c>
      <c r="E5156">
        <v>1</v>
      </c>
      <c r="F5156" t="str">
        <f>HYPERLINK("https://github.com/nextcloud/android/issues/8128", "show")</f>
        <v>show</v>
      </c>
      <c r="G5156" t="str">
        <f>HYPERLINK("https://github.com/nextcloud/android", "show")</f>
        <v>show</v>
      </c>
      <c r="H5156" t="str">
        <f>HYPERLINK("https://github.com/nextcloud/android/releases", "show")</f>
        <v>show</v>
      </c>
      <c r="I5156">
        <v>1</v>
      </c>
      <c r="J5156">
        <v>1</v>
      </c>
      <c r="K5156">
        <v>1</v>
      </c>
      <c r="L5156">
        <v>0</v>
      </c>
      <c r="M5156" t="s">
        <v>59</v>
      </c>
    </row>
    <row r="5157" spans="1:13" hidden="1" x14ac:dyDescent="0.15">
      <c r="A5157" t="s">
        <v>16276</v>
      </c>
      <c r="B5157" t="s">
        <v>16277</v>
      </c>
      <c r="C5157" t="s">
        <v>16278</v>
      </c>
      <c r="D5157" t="s">
        <v>16269</v>
      </c>
      <c r="E5157">
        <v>1</v>
      </c>
      <c r="F5157" t="str">
        <f>HYPERLINK("https://github.com/nextcloud/android/issues/8127", "show")</f>
        <v>show</v>
      </c>
      <c r="G5157" t="str">
        <f>HYPERLINK("https://github.com/nextcloud/android", "show")</f>
        <v>show</v>
      </c>
      <c r="H5157" t="str">
        <f>HYPERLINK("https://github.com/nextcloud/android/releases", "show")</f>
        <v>show</v>
      </c>
      <c r="I5157">
        <v>1</v>
      </c>
      <c r="J5157">
        <v>1</v>
      </c>
      <c r="K5157">
        <v>0</v>
      </c>
      <c r="L5157">
        <v>1</v>
      </c>
      <c r="M5157" t="s">
        <v>1894</v>
      </c>
    </row>
    <row r="5158" spans="1:13" hidden="1" x14ac:dyDescent="0.15">
      <c r="A5158" t="s">
        <v>16279</v>
      </c>
      <c r="B5158" t="s">
        <v>16280</v>
      </c>
      <c r="C5158" t="s">
        <v>16281</v>
      </c>
      <c r="D5158" t="s">
        <v>16269</v>
      </c>
      <c r="E5158">
        <v>0</v>
      </c>
      <c r="F5158" t="str">
        <f>HYPERLINK("https://github.com/Anuken/Mindustry/issues/4890", "show")</f>
        <v>show</v>
      </c>
      <c r="G5158" t="str">
        <f>HYPERLINK("https://github.com/Anuken/Mindustry", "show")</f>
        <v>show</v>
      </c>
      <c r="H5158" t="str">
        <f>HYPERLINK("https://github.com/Anuken/Mindustry/releases", "show")</f>
        <v>show</v>
      </c>
      <c r="I5158">
        <v>1</v>
      </c>
      <c r="J5158">
        <v>1</v>
      </c>
      <c r="K5158">
        <v>0</v>
      </c>
      <c r="L5158">
        <v>0</v>
      </c>
      <c r="M5158" t="s">
        <v>48</v>
      </c>
    </row>
    <row r="5159" spans="1:13" hidden="1" x14ac:dyDescent="0.15">
      <c r="A5159" t="s">
        <v>16282</v>
      </c>
      <c r="B5159" t="s">
        <v>16283</v>
      </c>
      <c r="C5159" t="s">
        <v>16284</v>
      </c>
      <c r="D5159" t="s">
        <v>16269</v>
      </c>
      <c r="E5159">
        <v>236</v>
      </c>
      <c r="F5159" t="str">
        <f>HYPERLINK("https://github.com/nextcloud/android/issues/8126", "show")</f>
        <v>show</v>
      </c>
      <c r="G5159" t="str">
        <f>HYPERLINK("https://github.com/nextcloud/android", "show")</f>
        <v>show</v>
      </c>
      <c r="H5159" t="str">
        <f>HYPERLINK("https://github.com/nextcloud/android/releases", "show")</f>
        <v>show</v>
      </c>
      <c r="I5159">
        <v>1</v>
      </c>
      <c r="J5159">
        <v>1</v>
      </c>
      <c r="K5159">
        <v>1</v>
      </c>
      <c r="L5159">
        <v>0</v>
      </c>
      <c r="M5159" t="s">
        <v>59</v>
      </c>
    </row>
    <row r="5160" spans="1:13" hidden="1" x14ac:dyDescent="0.15">
      <c r="A5160" t="s">
        <v>16285</v>
      </c>
      <c r="B5160" t="s">
        <v>16286</v>
      </c>
      <c r="C5160" t="s">
        <v>16287</v>
      </c>
      <c r="D5160" t="s">
        <v>16269</v>
      </c>
      <c r="E5160">
        <v>37</v>
      </c>
      <c r="F5160" t="str">
        <f>HYPERLINK("https://github.com/MuntashirAkon/AppManager/issues/313", "show")</f>
        <v>show</v>
      </c>
      <c r="G5160" t="str">
        <f>HYPERLINK("https://github.com/MuntashirAkon/AppManager", "show")</f>
        <v>show</v>
      </c>
      <c r="H5160" t="str">
        <f>HYPERLINK("https://github.com/MuntashirAkon/AppManager/releases", "show")</f>
        <v>show</v>
      </c>
      <c r="I5160">
        <v>1</v>
      </c>
      <c r="J5160">
        <v>0</v>
      </c>
      <c r="K5160">
        <v>0</v>
      </c>
      <c r="L5160">
        <v>1</v>
      </c>
      <c r="M5160" t="s">
        <v>29</v>
      </c>
    </row>
    <row r="5161" spans="1:13" hidden="1" x14ac:dyDescent="0.15">
      <c r="A5161" t="s">
        <v>16288</v>
      </c>
      <c r="B5161" t="s">
        <v>16073</v>
      </c>
      <c r="C5161" t="s">
        <v>16289</v>
      </c>
      <c r="D5161" t="s">
        <v>16290</v>
      </c>
      <c r="E5161">
        <v>0</v>
      </c>
      <c r="F5161" t="str">
        <f>HYPERLINK("https://github.com/Anuken/Mindustry/issues/4882", "show")</f>
        <v>show</v>
      </c>
      <c r="G5161" t="str">
        <f>HYPERLINK("https://github.com/Anuken/Mindustry", "show")</f>
        <v>show</v>
      </c>
      <c r="H5161" t="str">
        <f>HYPERLINK("https://github.com/Anuken/Mindustry/releases", "show")</f>
        <v>show</v>
      </c>
      <c r="I5161">
        <v>1</v>
      </c>
      <c r="J5161">
        <v>0</v>
      </c>
      <c r="K5161">
        <v>0</v>
      </c>
      <c r="L5161">
        <v>0</v>
      </c>
      <c r="M5161" t="s">
        <v>17</v>
      </c>
    </row>
    <row r="5162" spans="1:13" hidden="1" x14ac:dyDescent="0.15">
      <c r="A5162" t="s">
        <v>16291</v>
      </c>
      <c r="B5162" t="s">
        <v>16292</v>
      </c>
      <c r="C5162" t="s">
        <v>16293</v>
      </c>
      <c r="D5162" t="s">
        <v>16290</v>
      </c>
      <c r="E5162">
        <v>0</v>
      </c>
      <c r="F5162" t="str">
        <f>HYPERLINK("https://github.com/Anuken/Mindustry/issues/4881", "show")</f>
        <v>show</v>
      </c>
      <c r="G5162" t="str">
        <f>HYPERLINK("https://github.com/Anuken/Mindustry", "show")</f>
        <v>show</v>
      </c>
      <c r="H5162" t="str">
        <f>HYPERLINK("https://github.com/Anuken/Mindustry/releases", "show")</f>
        <v>show</v>
      </c>
      <c r="I5162">
        <v>0</v>
      </c>
      <c r="J5162">
        <v>0</v>
      </c>
      <c r="K5162">
        <v>0</v>
      </c>
      <c r="L5162">
        <v>0</v>
      </c>
      <c r="M5162" t="s">
        <v>43</v>
      </c>
    </row>
    <row r="5163" spans="1:13" hidden="1" x14ac:dyDescent="0.15">
      <c r="A5163" t="s">
        <v>16294</v>
      </c>
      <c r="B5163" t="s">
        <v>16295</v>
      </c>
      <c r="C5163" t="s">
        <v>16296</v>
      </c>
      <c r="D5163" t="s">
        <v>16290</v>
      </c>
      <c r="E5163">
        <v>0</v>
      </c>
      <c r="F5163" t="str">
        <f>HYPERLINK("https://github.com/Anuken/Mindustry/issues/4879", "show")</f>
        <v>show</v>
      </c>
      <c r="G5163" t="str">
        <f>HYPERLINK("https://github.com/Anuken/Mindustry", "show")</f>
        <v>show</v>
      </c>
      <c r="H5163" t="str">
        <f>HYPERLINK("https://github.com/Anuken/Mindustry/releases", "show")</f>
        <v>show</v>
      </c>
      <c r="I5163">
        <v>0</v>
      </c>
      <c r="J5163">
        <v>1</v>
      </c>
      <c r="K5163">
        <v>0</v>
      </c>
      <c r="L5163">
        <v>1</v>
      </c>
      <c r="M5163" t="s">
        <v>1732</v>
      </c>
    </row>
    <row r="5164" spans="1:13" hidden="1" x14ac:dyDescent="0.15">
      <c r="A5164" t="s">
        <v>16297</v>
      </c>
      <c r="B5164" t="s">
        <v>16298</v>
      </c>
      <c r="C5164" t="s">
        <v>16299</v>
      </c>
      <c r="D5164" t="s">
        <v>16290</v>
      </c>
      <c r="E5164">
        <v>1</v>
      </c>
      <c r="F5164" t="str">
        <f>HYPERLINK("https://github.com/OpenTracksApp/OpenTracks/issues/636", "show")</f>
        <v>show</v>
      </c>
      <c r="G5164" t="str">
        <f>HYPERLINK("https://github.com/OpenTracksApp/OpenTracks", "show")</f>
        <v>show</v>
      </c>
      <c r="H5164" t="str">
        <f>HYPERLINK("https://github.com/OpenTracksApp/OpenTracks/releases", "show")</f>
        <v>show</v>
      </c>
      <c r="I5164">
        <v>0</v>
      </c>
      <c r="J5164">
        <v>1</v>
      </c>
      <c r="K5164">
        <v>1</v>
      </c>
      <c r="L5164">
        <v>0</v>
      </c>
      <c r="M5164" t="s">
        <v>699</v>
      </c>
    </row>
    <row r="5165" spans="1:13" x14ac:dyDescent="0.15">
      <c r="A5165" t="s">
        <v>16300</v>
      </c>
      <c r="B5165" t="s">
        <v>16301</v>
      </c>
      <c r="C5165" t="s">
        <v>16302</v>
      </c>
      <c r="D5165" t="s">
        <v>16290</v>
      </c>
      <c r="E5165">
        <v>58</v>
      </c>
      <c r="F5165" t="str">
        <f>HYPERLINK("https://github.com/nextcloud/android/issues/8119", "show")</f>
        <v>show</v>
      </c>
      <c r="G5165" t="str">
        <f>HYPERLINK("https://github.com/nextcloud/android", "show")</f>
        <v>show</v>
      </c>
      <c r="H5165" t="str">
        <f>HYPERLINK("https://github.com/nextcloud/android/releases", "show")</f>
        <v>show</v>
      </c>
      <c r="I5165">
        <v>0</v>
      </c>
      <c r="J5165">
        <v>1</v>
      </c>
      <c r="K5165">
        <v>0</v>
      </c>
      <c r="L5165">
        <v>0</v>
      </c>
      <c r="M5165" t="s">
        <v>139</v>
      </c>
    </row>
    <row r="5166" spans="1:13" hidden="1" x14ac:dyDescent="0.15">
      <c r="A5166" t="s">
        <v>16303</v>
      </c>
      <c r="B5166" t="s">
        <v>16304</v>
      </c>
      <c r="D5166" t="s">
        <v>16290</v>
      </c>
      <c r="E5166">
        <v>128</v>
      </c>
      <c r="F5166" t="str">
        <f>HYPERLINK("https://github.com/TeamNewPipe/NewPipe/issues/5769", "show")</f>
        <v>show</v>
      </c>
      <c r="G5166" t="str">
        <f>HYPERLINK("https://github.com/TeamNewPipe/NewPipe", "show")</f>
        <v>show</v>
      </c>
      <c r="H5166" t="str">
        <f>HYPERLINK("https://github.com/TeamNewPipe/NewPipe/releases", "show")</f>
        <v>show</v>
      </c>
      <c r="I5166">
        <v>1</v>
      </c>
      <c r="J5166">
        <v>0</v>
      </c>
      <c r="K5166">
        <v>0</v>
      </c>
      <c r="L5166">
        <v>0</v>
      </c>
      <c r="M5166" t="s">
        <v>17</v>
      </c>
    </row>
    <row r="5167" spans="1:13" hidden="1" x14ac:dyDescent="0.15">
      <c r="A5167" t="s">
        <v>16305</v>
      </c>
      <c r="B5167" t="s">
        <v>16306</v>
      </c>
      <c r="C5167" t="s">
        <v>16307</v>
      </c>
      <c r="D5167" t="s">
        <v>16290</v>
      </c>
      <c r="E5167">
        <v>179</v>
      </c>
      <c r="F5167" t="str">
        <f>HYPERLINK("https://github.com/PojavLauncherTeam/PojavLauncher/issues/1009", "show")</f>
        <v>show</v>
      </c>
      <c r="G5167" t="str">
        <f>HYPERLINK("https://github.com/PojavLauncherTeam/PojavLauncher", "show")</f>
        <v>show</v>
      </c>
      <c r="H5167" t="str">
        <f>HYPERLINK("https://github.com/PojavLauncherTeam/PojavLauncher/releases", "show")</f>
        <v>show</v>
      </c>
      <c r="I5167">
        <v>1</v>
      </c>
      <c r="J5167">
        <v>1</v>
      </c>
      <c r="K5167">
        <v>0</v>
      </c>
      <c r="L5167">
        <v>0</v>
      </c>
      <c r="M5167" t="s">
        <v>48</v>
      </c>
    </row>
    <row r="5168" spans="1:13" hidden="1" x14ac:dyDescent="0.15">
      <c r="A5168" t="s">
        <v>16308</v>
      </c>
      <c r="B5168" t="s">
        <v>16309</v>
      </c>
      <c r="C5168" t="s">
        <v>16310</v>
      </c>
      <c r="D5168" t="s">
        <v>16311</v>
      </c>
      <c r="E5168">
        <v>0</v>
      </c>
      <c r="F5168" t="str">
        <f>HYPERLINK("https://github.com/TeamNewPipe/NewPipe/issues/5762", "show")</f>
        <v>show</v>
      </c>
      <c r="G5168" t="str">
        <f>HYPERLINK("https://github.com/TeamNewPipe/NewPipe", "show")</f>
        <v>show</v>
      </c>
      <c r="H5168" t="str">
        <f>HYPERLINK("https://github.com/TeamNewPipe/NewPipe/releases", "show")</f>
        <v>show</v>
      </c>
      <c r="I5168">
        <v>1</v>
      </c>
      <c r="J5168">
        <v>1</v>
      </c>
      <c r="K5168">
        <v>1</v>
      </c>
      <c r="L5168">
        <v>0</v>
      </c>
      <c r="M5168" t="s">
        <v>59</v>
      </c>
    </row>
    <row r="5169" spans="1:13" hidden="1" x14ac:dyDescent="0.15">
      <c r="A5169" t="s">
        <v>16312</v>
      </c>
      <c r="B5169" t="s">
        <v>16313</v>
      </c>
      <c r="D5169" t="s">
        <v>16311</v>
      </c>
      <c r="E5169">
        <v>0</v>
      </c>
      <c r="F5169" t="str">
        <f>HYPERLINK("https://github.com/alvi-khan/Donors-Choose/issues/22", "show")</f>
        <v>show</v>
      </c>
      <c r="G5169" t="str">
        <f>HYPERLINK("https://github.com/alvi-khan/Donors-Choose", "show")</f>
        <v>show</v>
      </c>
      <c r="H5169" t="str">
        <f>HYPERLINK("https://github.com/alvi-khan/Donors-Choose/releases", "show")</f>
        <v>show</v>
      </c>
      <c r="I5169">
        <v>0</v>
      </c>
      <c r="J5169">
        <v>0</v>
      </c>
      <c r="K5169">
        <v>0</v>
      </c>
      <c r="L5169">
        <v>0</v>
      </c>
      <c r="M5169" t="s">
        <v>43</v>
      </c>
    </row>
    <row r="5170" spans="1:13" hidden="1" x14ac:dyDescent="0.15">
      <c r="A5170" t="s">
        <v>16314</v>
      </c>
      <c r="B5170" t="s">
        <v>16315</v>
      </c>
      <c r="C5170" t="s">
        <v>16316</v>
      </c>
      <c r="D5170" t="s">
        <v>16311</v>
      </c>
      <c r="E5170">
        <v>4</v>
      </c>
      <c r="F5170" t="str">
        <f>HYPERLINK("https://github.com/GoogleCloudPlatform/fda-mystudies/issues/3301", "show")</f>
        <v>show</v>
      </c>
      <c r="G5170" t="str">
        <f>HYPERLINK("https://github.com/GoogleCloudPlatform/fda-mystudies", "show")</f>
        <v>show</v>
      </c>
      <c r="H5170" t="str">
        <f>HYPERLINK("https://github.com/GoogleCloudPlatform/fda-mystudies/releases", "show")</f>
        <v>show</v>
      </c>
      <c r="I5170">
        <v>0</v>
      </c>
      <c r="J5170">
        <v>1</v>
      </c>
      <c r="K5170">
        <v>0</v>
      </c>
      <c r="L5170">
        <v>1</v>
      </c>
      <c r="M5170" t="s">
        <v>1732</v>
      </c>
    </row>
    <row r="5171" spans="1:13" hidden="1" x14ac:dyDescent="0.15">
      <c r="A5171" t="s">
        <v>16317</v>
      </c>
      <c r="B5171" t="s">
        <v>16318</v>
      </c>
      <c r="D5171" t="s">
        <v>16311</v>
      </c>
      <c r="E5171">
        <v>0</v>
      </c>
      <c r="F5171" t="str">
        <f>HYPERLINK("https://github.com/alvi-khan/Donors-Choose/issues/13", "show")</f>
        <v>show</v>
      </c>
      <c r="G5171" t="str">
        <f>HYPERLINK("https://github.com/alvi-khan/Donors-Choose", "show")</f>
        <v>show</v>
      </c>
      <c r="H5171" t="str">
        <f>HYPERLINK("https://github.com/alvi-khan/Donors-Choose/releases", "show")</f>
        <v>show</v>
      </c>
      <c r="I5171">
        <v>0</v>
      </c>
      <c r="J5171">
        <v>0</v>
      </c>
      <c r="K5171">
        <v>0</v>
      </c>
      <c r="L5171">
        <v>0</v>
      </c>
      <c r="M5171" t="s">
        <v>43</v>
      </c>
    </row>
    <row r="5172" spans="1:13" hidden="1" x14ac:dyDescent="0.15">
      <c r="A5172" t="s">
        <v>16319</v>
      </c>
      <c r="B5172" t="s">
        <v>16320</v>
      </c>
      <c r="C5172" t="s">
        <v>16321</v>
      </c>
      <c r="D5172" t="s">
        <v>16322</v>
      </c>
      <c r="E5172">
        <v>0</v>
      </c>
      <c r="F5172" t="str">
        <f>HYPERLINK("https://github.com/TeamNewPipe/NewPipe/issues/5751", "show")</f>
        <v>show</v>
      </c>
      <c r="G5172" t="str">
        <f>HYPERLINK("https://github.com/TeamNewPipe/NewPipe", "show")</f>
        <v>show</v>
      </c>
      <c r="H5172" t="str">
        <f>HYPERLINK("https://github.com/TeamNewPipe/NewPipe/releases", "show")</f>
        <v>show</v>
      </c>
      <c r="I5172">
        <v>1</v>
      </c>
      <c r="J5172">
        <v>1</v>
      </c>
      <c r="K5172">
        <v>0</v>
      </c>
      <c r="L5172">
        <v>1</v>
      </c>
      <c r="M5172" t="s">
        <v>1894</v>
      </c>
    </row>
    <row r="5173" spans="1:13" hidden="1" x14ac:dyDescent="0.15">
      <c r="A5173" t="s">
        <v>16323</v>
      </c>
      <c r="B5173" t="s">
        <v>16324</v>
      </c>
      <c r="C5173" t="s">
        <v>16325</v>
      </c>
      <c r="D5173" t="s">
        <v>16322</v>
      </c>
      <c r="E5173">
        <v>28</v>
      </c>
      <c r="F5173" t="str">
        <f>HYPERLINK("https://github.com/google/ExoPlayer/issues/8675", "show")</f>
        <v>show</v>
      </c>
      <c r="G5173" t="str">
        <f>HYPERLINK("https://github.com/google/ExoPlayer", "show")</f>
        <v>show</v>
      </c>
      <c r="H5173" t="str">
        <f>HYPERLINK("https://github.com/google/ExoPlayer/releases", "show")</f>
        <v>show</v>
      </c>
      <c r="I5173">
        <v>1</v>
      </c>
      <c r="J5173">
        <v>0</v>
      </c>
      <c r="K5173">
        <v>1</v>
      </c>
      <c r="L5173">
        <v>0</v>
      </c>
      <c r="M5173" t="s">
        <v>64</v>
      </c>
    </row>
    <row r="5174" spans="1:13" hidden="1" x14ac:dyDescent="0.15">
      <c r="A5174" t="s">
        <v>16326</v>
      </c>
      <c r="B5174" t="s">
        <v>16327</v>
      </c>
      <c r="C5174" t="s">
        <v>16328</v>
      </c>
      <c r="D5174" t="s">
        <v>16322</v>
      </c>
      <c r="E5174">
        <v>16</v>
      </c>
      <c r="F5174" t="str">
        <f>HYPERLINK("https://github.com/Spikatrix/Zoned/issues/5", "show")</f>
        <v>show</v>
      </c>
      <c r="G5174" t="str">
        <f>HYPERLINK("https://github.com/Spikatrix/Zoned", "show")</f>
        <v>show</v>
      </c>
      <c r="H5174" t="str">
        <f>HYPERLINK("https://github.com/Spikatrix/Zoned/releases", "show")</f>
        <v>show</v>
      </c>
      <c r="I5174">
        <v>1</v>
      </c>
      <c r="J5174">
        <v>0</v>
      </c>
      <c r="K5174">
        <v>1</v>
      </c>
      <c r="L5174">
        <v>0</v>
      </c>
      <c r="M5174" t="s">
        <v>64</v>
      </c>
    </row>
    <row r="5175" spans="1:13" hidden="1" x14ac:dyDescent="0.15">
      <c r="A5175" t="s">
        <v>16329</v>
      </c>
      <c r="B5175" t="s">
        <v>16330</v>
      </c>
      <c r="C5175" t="s">
        <v>16331</v>
      </c>
      <c r="D5175" t="s">
        <v>16322</v>
      </c>
      <c r="E5175">
        <v>0</v>
      </c>
      <c r="F5175" t="str">
        <f>HYPERLINK("https://github.com/TeamNewPipe/NewPipe/issues/5748", "show")</f>
        <v>show</v>
      </c>
      <c r="G5175" t="str">
        <f>HYPERLINK("https://github.com/TeamNewPipe/NewPipe", "show")</f>
        <v>show</v>
      </c>
      <c r="H5175" t="str">
        <f>HYPERLINK("https://github.com/TeamNewPipe/NewPipe/releases", "show")</f>
        <v>show</v>
      </c>
      <c r="I5175">
        <v>1</v>
      </c>
      <c r="J5175">
        <v>1</v>
      </c>
      <c r="K5175">
        <v>1</v>
      </c>
      <c r="L5175">
        <v>0</v>
      </c>
      <c r="M5175" t="s">
        <v>59</v>
      </c>
    </row>
    <row r="5176" spans="1:13" hidden="1" x14ac:dyDescent="0.15">
      <c r="A5176" t="s">
        <v>16332</v>
      </c>
      <c r="B5176" t="s">
        <v>16333</v>
      </c>
      <c r="C5176" t="s">
        <v>16334</v>
      </c>
      <c r="D5176" t="s">
        <v>16322</v>
      </c>
      <c r="E5176">
        <v>14</v>
      </c>
      <c r="F5176" t="str">
        <f>HYPERLINK("https://github.com/jellyfin/jellyfin-androidtv/issues/752", "show")</f>
        <v>show</v>
      </c>
      <c r="G5176" t="str">
        <f>HYPERLINK("https://github.com/jellyfin/jellyfin-androidtv", "show")</f>
        <v>show</v>
      </c>
      <c r="H5176" t="str">
        <f>HYPERLINK("https://github.com/jellyfin/jellyfin-androidtv/releases", "show")</f>
        <v>show</v>
      </c>
      <c r="I5176">
        <v>1</v>
      </c>
      <c r="J5176">
        <v>0</v>
      </c>
      <c r="K5176">
        <v>0</v>
      </c>
      <c r="L5176">
        <v>0</v>
      </c>
      <c r="M5176" t="s">
        <v>17</v>
      </c>
    </row>
    <row r="5177" spans="1:13" hidden="1" x14ac:dyDescent="0.15">
      <c r="A5177" t="s">
        <v>16335</v>
      </c>
      <c r="B5177" t="s">
        <v>16336</v>
      </c>
      <c r="C5177" t="s">
        <v>16337</v>
      </c>
      <c r="D5177" t="s">
        <v>16338</v>
      </c>
      <c r="E5177">
        <v>6</v>
      </c>
      <c r="F5177" t="str">
        <f>HYPERLINK("https://github.com/nextcloud/android/issues/8103", "show")</f>
        <v>show</v>
      </c>
      <c r="G5177" t="str">
        <f>HYPERLINK("https://github.com/nextcloud/android", "show")</f>
        <v>show</v>
      </c>
      <c r="H5177" t="str">
        <f>HYPERLINK("https://github.com/nextcloud/android/releases", "show")</f>
        <v>show</v>
      </c>
      <c r="I5177">
        <v>1</v>
      </c>
      <c r="J5177">
        <v>0</v>
      </c>
      <c r="K5177">
        <v>1</v>
      </c>
      <c r="L5177">
        <v>0</v>
      </c>
      <c r="M5177" t="s">
        <v>64</v>
      </c>
    </row>
    <row r="5178" spans="1:13" hidden="1" x14ac:dyDescent="0.15">
      <c r="A5178" t="s">
        <v>16339</v>
      </c>
      <c r="B5178" t="s">
        <v>16340</v>
      </c>
      <c r="C5178" t="s">
        <v>16341</v>
      </c>
      <c r="D5178" t="s">
        <v>16338</v>
      </c>
      <c r="E5178">
        <v>2</v>
      </c>
      <c r="F5178" t="str">
        <f>HYPERLINK("https://github.com/nextcloud/android/issues/8102", "show")</f>
        <v>show</v>
      </c>
      <c r="G5178" t="str">
        <f>HYPERLINK("https://github.com/nextcloud/android", "show")</f>
        <v>show</v>
      </c>
      <c r="H5178" t="str">
        <f>HYPERLINK("https://github.com/nextcloud/android/releases", "show")</f>
        <v>show</v>
      </c>
      <c r="I5178">
        <v>1</v>
      </c>
      <c r="J5178">
        <v>1</v>
      </c>
      <c r="K5178">
        <v>1</v>
      </c>
      <c r="L5178">
        <v>0</v>
      </c>
      <c r="M5178" t="s">
        <v>59</v>
      </c>
    </row>
    <row r="5179" spans="1:13" hidden="1" x14ac:dyDescent="0.15">
      <c r="A5179" t="s">
        <v>16342</v>
      </c>
      <c r="B5179" t="s">
        <v>16343</v>
      </c>
      <c r="C5179" t="s">
        <v>16344</v>
      </c>
      <c r="D5179" t="s">
        <v>16338</v>
      </c>
      <c r="E5179">
        <v>1</v>
      </c>
      <c r="F5179" t="str">
        <f>HYPERLINK("https://github.com/k9mail/k-9/issues/5187", "show")</f>
        <v>show</v>
      </c>
      <c r="G5179" t="str">
        <f>HYPERLINK("https://github.com/k9mail/k-9", "show")</f>
        <v>show</v>
      </c>
      <c r="H5179" t="str">
        <f>HYPERLINK("https://github.com/k9mail/k-9/releases", "show")</f>
        <v>show</v>
      </c>
      <c r="I5179">
        <v>1</v>
      </c>
      <c r="J5179">
        <v>1</v>
      </c>
      <c r="K5179">
        <v>1</v>
      </c>
      <c r="L5179">
        <v>0</v>
      </c>
      <c r="M5179" t="s">
        <v>59</v>
      </c>
    </row>
    <row r="5180" spans="1:13" hidden="1" x14ac:dyDescent="0.15">
      <c r="A5180" t="s">
        <v>16345</v>
      </c>
      <c r="B5180" t="s">
        <v>16346</v>
      </c>
      <c r="C5180" t="s">
        <v>16347</v>
      </c>
      <c r="D5180" t="s">
        <v>16338</v>
      </c>
      <c r="E5180">
        <v>0</v>
      </c>
      <c r="F5180" t="str">
        <f>HYPERLINK("https://github.com/TeamNewPipe/NewPipe/issues/5742", "show")</f>
        <v>show</v>
      </c>
      <c r="G5180" t="str">
        <f>HYPERLINK("https://github.com/TeamNewPipe/NewPipe", "show")</f>
        <v>show</v>
      </c>
      <c r="H5180" t="str">
        <f>HYPERLINK("https://github.com/TeamNewPipe/NewPipe/releases", "show")</f>
        <v>show</v>
      </c>
      <c r="I5180">
        <v>0</v>
      </c>
      <c r="J5180">
        <v>0</v>
      </c>
      <c r="K5180">
        <v>1</v>
      </c>
      <c r="L5180">
        <v>0</v>
      </c>
      <c r="M5180" t="s">
        <v>122</v>
      </c>
    </row>
    <row r="5181" spans="1:13" hidden="1" x14ac:dyDescent="0.15">
      <c r="A5181" t="s">
        <v>16348</v>
      </c>
      <c r="B5181" t="s">
        <v>16349</v>
      </c>
      <c r="C5181" t="s">
        <v>16350</v>
      </c>
      <c r="D5181" t="s">
        <v>16338</v>
      </c>
      <c r="E5181">
        <v>78</v>
      </c>
      <c r="F5181" t="str">
        <f>HYPERLINK("https://github.com/prebid/prebid-mobile-android/issues/240", "show")</f>
        <v>show</v>
      </c>
      <c r="G5181" t="str">
        <f>HYPERLINK("https://github.com/prebid/prebid-mobile-android", "show")</f>
        <v>show</v>
      </c>
      <c r="H5181" t="str">
        <f>HYPERLINK("https://github.com/prebid/prebid-mobile-android/releases", "show")</f>
        <v>show</v>
      </c>
      <c r="I5181">
        <v>1</v>
      </c>
      <c r="J5181">
        <v>0</v>
      </c>
      <c r="K5181">
        <v>1</v>
      </c>
      <c r="L5181">
        <v>1</v>
      </c>
      <c r="M5181" t="s">
        <v>1259</v>
      </c>
    </row>
    <row r="5182" spans="1:13" hidden="1" x14ac:dyDescent="0.15">
      <c r="A5182" t="s">
        <v>16351</v>
      </c>
      <c r="B5182" t="s">
        <v>16352</v>
      </c>
      <c r="C5182" t="s">
        <v>16353</v>
      </c>
      <c r="D5182" t="s">
        <v>16338</v>
      </c>
      <c r="E5182">
        <v>3</v>
      </c>
      <c r="F5182" t="str">
        <f>HYPERLINK("https://github.com/DanielVaknin/MamaFood/issues/16", "show")</f>
        <v>show</v>
      </c>
      <c r="G5182" t="str">
        <f>HYPERLINK("https://github.com/DanielVaknin/MamaFood", "show")</f>
        <v>show</v>
      </c>
      <c r="H5182" t="str">
        <f>HYPERLINK("https://github.com/DanielVaknin/MamaFood/releases", "show")</f>
        <v>show</v>
      </c>
      <c r="I5182">
        <v>1</v>
      </c>
      <c r="J5182">
        <v>0</v>
      </c>
      <c r="K5182">
        <v>0</v>
      </c>
      <c r="L5182">
        <v>0</v>
      </c>
      <c r="M5182" t="s">
        <v>17</v>
      </c>
    </row>
    <row r="5183" spans="1:13" hidden="1" x14ac:dyDescent="0.15">
      <c r="A5183" t="s">
        <v>16354</v>
      </c>
      <c r="B5183" t="s">
        <v>16355</v>
      </c>
      <c r="C5183" t="s">
        <v>16356</v>
      </c>
      <c r="D5183" t="s">
        <v>16338</v>
      </c>
      <c r="E5183">
        <v>98</v>
      </c>
      <c r="F5183" t="str">
        <f>HYPERLINK("https://github.com/commons-app/apps-android-commons/issues/4283", "show")</f>
        <v>show</v>
      </c>
      <c r="G5183" t="str">
        <f>HYPERLINK("https://github.com/commons-app/apps-android-commons", "show")</f>
        <v>show</v>
      </c>
      <c r="H5183" t="str">
        <f>HYPERLINK("https://github.com/commons-app/apps-android-commons/releases", "show")</f>
        <v>show</v>
      </c>
      <c r="I5183">
        <v>1</v>
      </c>
      <c r="J5183">
        <v>0</v>
      </c>
      <c r="K5183">
        <v>1</v>
      </c>
      <c r="L5183">
        <v>0</v>
      </c>
      <c r="M5183" t="s">
        <v>64</v>
      </c>
    </row>
    <row r="5184" spans="1:13" hidden="1" x14ac:dyDescent="0.15">
      <c r="A5184" t="s">
        <v>16357</v>
      </c>
      <c r="B5184" t="s">
        <v>16358</v>
      </c>
      <c r="C5184" t="s">
        <v>16359</v>
      </c>
      <c r="D5184" t="s">
        <v>16338</v>
      </c>
      <c r="E5184">
        <v>378</v>
      </c>
      <c r="F5184" t="str">
        <f>HYPERLINK("https://github.com/capacitor-community/google-maps/issues/40", "show")</f>
        <v>show</v>
      </c>
      <c r="G5184" t="str">
        <f>HYPERLINK("https://github.com/capacitor-community/google-maps", "show")</f>
        <v>show</v>
      </c>
      <c r="H5184" t="str">
        <f>HYPERLINK("https://github.com/capacitor-community/google-maps/releases", "show")</f>
        <v>show</v>
      </c>
      <c r="I5184">
        <v>1</v>
      </c>
      <c r="J5184">
        <v>0</v>
      </c>
      <c r="K5184">
        <v>0</v>
      </c>
      <c r="L5184">
        <v>0</v>
      </c>
      <c r="M5184" t="s">
        <v>17</v>
      </c>
    </row>
    <row r="5185" spans="1:13" hidden="1" x14ac:dyDescent="0.15">
      <c r="A5185" t="s">
        <v>16360</v>
      </c>
      <c r="B5185" t="s">
        <v>10882</v>
      </c>
      <c r="C5185" t="s">
        <v>16361</v>
      </c>
      <c r="D5185" t="s">
        <v>16362</v>
      </c>
      <c r="E5185">
        <v>0</v>
      </c>
      <c r="F5185" t="str">
        <f>HYPERLINK("https://github.com/PojavLauncherTeam/PojavLauncher/issues/999", "show")</f>
        <v>show</v>
      </c>
      <c r="G5185" t="str">
        <f>HYPERLINK("https://github.com/PojavLauncherTeam/PojavLauncher", "show")</f>
        <v>show</v>
      </c>
      <c r="H5185" t="str">
        <f>HYPERLINK("https://github.com/PojavLauncherTeam/PojavLauncher/releases", "show")</f>
        <v>show</v>
      </c>
      <c r="I5185">
        <v>0</v>
      </c>
      <c r="J5185">
        <v>1</v>
      </c>
      <c r="K5185">
        <v>1</v>
      </c>
      <c r="L5185">
        <v>0</v>
      </c>
      <c r="M5185" t="s">
        <v>699</v>
      </c>
    </row>
    <row r="5186" spans="1:13" hidden="1" x14ac:dyDescent="0.15">
      <c r="A5186" t="s">
        <v>16363</v>
      </c>
      <c r="B5186" t="s">
        <v>16364</v>
      </c>
      <c r="C5186" t="s">
        <v>16365</v>
      </c>
      <c r="D5186" t="s">
        <v>16362</v>
      </c>
      <c r="E5186">
        <v>1</v>
      </c>
      <c r="F5186" t="str">
        <f>HYPERLINK("https://github.com/TeamNewPipe/NewPipe/issues/5733", "show")</f>
        <v>show</v>
      </c>
      <c r="G5186" t="str">
        <f>HYPERLINK("https://github.com/TeamNewPipe/NewPipe", "show")</f>
        <v>show</v>
      </c>
      <c r="H5186" t="str">
        <f>HYPERLINK("https://github.com/TeamNewPipe/NewPipe/releases", "show")</f>
        <v>show</v>
      </c>
      <c r="I5186">
        <v>1</v>
      </c>
      <c r="J5186">
        <v>1</v>
      </c>
      <c r="K5186">
        <v>0</v>
      </c>
      <c r="L5186">
        <v>1</v>
      </c>
      <c r="M5186" t="s">
        <v>1894</v>
      </c>
    </row>
    <row r="5187" spans="1:13" hidden="1" x14ac:dyDescent="0.15">
      <c r="A5187" t="s">
        <v>16366</v>
      </c>
      <c r="B5187" t="s">
        <v>16367</v>
      </c>
      <c r="C5187" t="s">
        <v>16368</v>
      </c>
      <c r="D5187" t="s">
        <v>16362</v>
      </c>
      <c r="E5187">
        <v>178</v>
      </c>
      <c r="F5187" t="str">
        <f>HYPERLINK("https://github.com/morenoh149/react-native-contacts/issues/596", "show")</f>
        <v>show</v>
      </c>
      <c r="G5187" t="str">
        <f>HYPERLINK("https://github.com/morenoh149/react-native-contacts", "show")</f>
        <v>show</v>
      </c>
      <c r="H5187" t="str">
        <f>HYPERLINK("https://github.com/morenoh149/react-native-contacts/releases", "show")</f>
        <v>show</v>
      </c>
      <c r="I5187">
        <v>1</v>
      </c>
      <c r="J5187">
        <v>0</v>
      </c>
      <c r="K5187">
        <v>0</v>
      </c>
      <c r="L5187">
        <v>0</v>
      </c>
      <c r="M5187" t="s">
        <v>17</v>
      </c>
    </row>
    <row r="5188" spans="1:13" hidden="1" x14ac:dyDescent="0.15">
      <c r="A5188" t="s">
        <v>16369</v>
      </c>
      <c r="B5188" t="s">
        <v>16370</v>
      </c>
      <c r="C5188" t="s">
        <v>16371</v>
      </c>
      <c r="D5188" t="s">
        <v>16362</v>
      </c>
      <c r="E5188">
        <v>0</v>
      </c>
      <c r="F5188" t="str">
        <f>HYPERLINK("https://github.com/PojavLauncherTeam/PojavLauncher/issues/995", "show")</f>
        <v>show</v>
      </c>
      <c r="G5188" t="str">
        <f>HYPERLINK("https://github.com/PojavLauncherTeam/PojavLauncher", "show")</f>
        <v>show</v>
      </c>
      <c r="H5188" t="str">
        <f>HYPERLINK("https://github.com/PojavLauncherTeam/PojavLauncher/releases", "show")</f>
        <v>show</v>
      </c>
      <c r="I5188">
        <v>1</v>
      </c>
      <c r="J5188">
        <v>1</v>
      </c>
      <c r="K5188">
        <v>0</v>
      </c>
      <c r="L5188">
        <v>0</v>
      </c>
      <c r="M5188" t="s">
        <v>48</v>
      </c>
    </row>
    <row r="5189" spans="1:13" hidden="1" x14ac:dyDescent="0.15">
      <c r="A5189" t="s">
        <v>16372</v>
      </c>
      <c r="B5189" t="s">
        <v>16373</v>
      </c>
      <c r="C5189" t="s">
        <v>16374</v>
      </c>
      <c r="D5189" t="s">
        <v>16375</v>
      </c>
      <c r="E5189">
        <v>162</v>
      </c>
      <c r="F5189" t="str">
        <f>HYPERLINK("https://github.com/doublesymmetry/react-native-track-player/issues/1126", "show")</f>
        <v>show</v>
      </c>
      <c r="G5189" t="str">
        <f>HYPERLINK("https://github.com/doublesymmetry/react-native-track-player", "show")</f>
        <v>show</v>
      </c>
      <c r="H5189" t="str">
        <f>HYPERLINK("https://github.com/doublesymmetry/react-native-track-player/releases", "show")</f>
        <v>show</v>
      </c>
      <c r="I5189">
        <v>1</v>
      </c>
      <c r="J5189">
        <v>0</v>
      </c>
      <c r="K5189">
        <v>0</v>
      </c>
      <c r="L5189">
        <v>0</v>
      </c>
      <c r="M5189" t="s">
        <v>17</v>
      </c>
    </row>
    <row r="5190" spans="1:13" hidden="1" x14ac:dyDescent="0.15">
      <c r="A5190" t="s">
        <v>16376</v>
      </c>
      <c r="B5190" t="s">
        <v>16377</v>
      </c>
      <c r="C5190" t="s">
        <v>16378</v>
      </c>
      <c r="D5190" t="s">
        <v>16375</v>
      </c>
      <c r="E5190">
        <v>0</v>
      </c>
      <c r="F5190" t="str">
        <f>HYPERLINK("https://github.com/ElderDrivers/EdXposed/issues/844", "show")</f>
        <v>show</v>
      </c>
      <c r="G5190" t="str">
        <f>HYPERLINK("https://github.com/ElderDrivers/EdXposed", "show")</f>
        <v>show</v>
      </c>
      <c r="H5190" t="str">
        <f>HYPERLINK("https://github.com/ElderDrivers/EdXposed/releases", "show")</f>
        <v>show</v>
      </c>
      <c r="I5190">
        <v>0</v>
      </c>
      <c r="J5190">
        <v>1</v>
      </c>
      <c r="K5190">
        <v>0</v>
      </c>
      <c r="L5190">
        <v>1</v>
      </c>
      <c r="M5190" t="s">
        <v>1732</v>
      </c>
    </row>
    <row r="5191" spans="1:13" hidden="1" x14ac:dyDescent="0.15">
      <c r="A5191" t="s">
        <v>16379</v>
      </c>
      <c r="B5191" t="s">
        <v>16380</v>
      </c>
      <c r="C5191" t="s">
        <v>16381</v>
      </c>
      <c r="D5191" t="s">
        <v>16375</v>
      </c>
      <c r="E5191">
        <v>0</v>
      </c>
      <c r="F5191" t="str">
        <f>HYPERLINK("https://github.com/nextcloud/android/issues/8086", "show")</f>
        <v>show</v>
      </c>
      <c r="G5191" t="str">
        <f>HYPERLINK("https://github.com/nextcloud/android", "show")</f>
        <v>show</v>
      </c>
      <c r="H5191" t="str">
        <f>HYPERLINK("https://github.com/nextcloud/android/releases", "show")</f>
        <v>show</v>
      </c>
      <c r="I5191">
        <v>0</v>
      </c>
      <c r="J5191">
        <v>0</v>
      </c>
      <c r="K5191">
        <v>1</v>
      </c>
      <c r="L5191">
        <v>0</v>
      </c>
      <c r="M5191" t="s">
        <v>122</v>
      </c>
    </row>
    <row r="5192" spans="1:13" hidden="1" x14ac:dyDescent="0.15">
      <c r="A5192" t="s">
        <v>16382</v>
      </c>
      <c r="B5192" t="s">
        <v>16383</v>
      </c>
      <c r="C5192" t="s">
        <v>16384</v>
      </c>
      <c r="D5192" t="s">
        <v>16375</v>
      </c>
      <c r="E5192">
        <v>0</v>
      </c>
      <c r="F5192" t="str">
        <f>HYPERLINK("https://github.com/ZogopZ/to-do/issues/73", "show")</f>
        <v>show</v>
      </c>
      <c r="G5192" t="str">
        <f>HYPERLINK("https://github.com/ZogopZ/to-do", "show")</f>
        <v>show</v>
      </c>
      <c r="H5192" t="str">
        <f>HYPERLINK("https://github.com/ZogopZ/to-do/releases", "show")</f>
        <v>show</v>
      </c>
      <c r="I5192">
        <v>1</v>
      </c>
      <c r="J5192">
        <v>0</v>
      </c>
      <c r="K5192">
        <v>0</v>
      </c>
      <c r="L5192">
        <v>0</v>
      </c>
      <c r="M5192" t="s">
        <v>17</v>
      </c>
    </row>
    <row r="5193" spans="1:13" x14ac:dyDescent="0.15">
      <c r="A5193" t="s">
        <v>16385</v>
      </c>
      <c r="B5193" t="s">
        <v>16386</v>
      </c>
      <c r="C5193" t="s">
        <v>16387</v>
      </c>
      <c r="D5193" t="s">
        <v>16375</v>
      </c>
      <c r="E5193">
        <v>1</v>
      </c>
      <c r="F5193" t="str">
        <f>HYPERLINK("https://github.com/AOF-Dev/MCinaBox/issues/993", "show")</f>
        <v>show</v>
      </c>
      <c r="G5193" t="str">
        <f>HYPERLINK("https://github.com/AOF-Dev/MCinaBox", "show")</f>
        <v>show</v>
      </c>
      <c r="H5193" t="str">
        <f>HYPERLINK("https://github.com/AOF-Dev/MCinaBox/releases", "show")</f>
        <v>show</v>
      </c>
      <c r="I5193">
        <v>0</v>
      </c>
      <c r="J5193">
        <v>1</v>
      </c>
      <c r="K5193">
        <v>0</v>
      </c>
      <c r="L5193">
        <v>0</v>
      </c>
      <c r="M5193" t="s">
        <v>139</v>
      </c>
    </row>
    <row r="5194" spans="1:13" hidden="1" x14ac:dyDescent="0.15">
      <c r="A5194" t="s">
        <v>16388</v>
      </c>
      <c r="B5194" t="s">
        <v>16389</v>
      </c>
      <c r="C5194" t="s">
        <v>16390</v>
      </c>
      <c r="D5194" t="s">
        <v>16375</v>
      </c>
      <c r="E5194">
        <v>0</v>
      </c>
      <c r="F5194" t="str">
        <f>HYPERLINK("https://github.com/cgeo/cgeo/issues/10093", "show")</f>
        <v>show</v>
      </c>
      <c r="G5194" t="str">
        <f>HYPERLINK("https://github.com/cgeo/cgeo", "show")</f>
        <v>show</v>
      </c>
      <c r="H5194" t="str">
        <f>HYPERLINK("https://github.com/cgeo/cgeo/releases", "show")</f>
        <v>show</v>
      </c>
      <c r="I5194">
        <v>1</v>
      </c>
      <c r="J5194">
        <v>1</v>
      </c>
      <c r="K5194">
        <v>1</v>
      </c>
      <c r="L5194">
        <v>0</v>
      </c>
      <c r="M5194" t="s">
        <v>59</v>
      </c>
    </row>
    <row r="5195" spans="1:13" hidden="1" x14ac:dyDescent="0.15">
      <c r="A5195" t="s">
        <v>16391</v>
      </c>
      <c r="B5195" t="s">
        <v>16392</v>
      </c>
      <c r="C5195" t="s">
        <v>16393</v>
      </c>
      <c r="D5195" t="s">
        <v>16375</v>
      </c>
      <c r="E5195">
        <v>0</v>
      </c>
      <c r="F5195" t="str">
        <f>HYPERLINK("https://github.com/k9mail/k-9/issues/5176", "show")</f>
        <v>show</v>
      </c>
      <c r="G5195" t="str">
        <f>HYPERLINK("https://github.com/k9mail/k-9", "show")</f>
        <v>show</v>
      </c>
      <c r="H5195" t="str">
        <f>HYPERLINK("https://github.com/k9mail/k-9/releases", "show")</f>
        <v>show</v>
      </c>
      <c r="I5195">
        <v>1</v>
      </c>
      <c r="J5195">
        <v>0</v>
      </c>
      <c r="K5195">
        <v>0</v>
      </c>
      <c r="L5195">
        <v>0</v>
      </c>
      <c r="M5195" t="s">
        <v>17</v>
      </c>
    </row>
    <row r="5196" spans="1:13" hidden="1" x14ac:dyDescent="0.15">
      <c r="A5196" t="s">
        <v>16394</v>
      </c>
      <c r="B5196" t="s">
        <v>16395</v>
      </c>
      <c r="C5196" t="s">
        <v>16396</v>
      </c>
      <c r="D5196" t="s">
        <v>16375</v>
      </c>
      <c r="E5196">
        <v>1</v>
      </c>
      <c r="F5196" t="str">
        <f>HYPERLINK("https://github.com/k9mail/k-9/issues/5175", "show")</f>
        <v>show</v>
      </c>
      <c r="G5196" t="str">
        <f>HYPERLINK("https://github.com/k9mail/k-9", "show")</f>
        <v>show</v>
      </c>
      <c r="H5196" t="str">
        <f>HYPERLINK("https://github.com/k9mail/k-9/releases", "show")</f>
        <v>show</v>
      </c>
      <c r="I5196">
        <v>1</v>
      </c>
      <c r="J5196">
        <v>0</v>
      </c>
      <c r="K5196">
        <v>0</v>
      </c>
      <c r="L5196">
        <v>1</v>
      </c>
      <c r="M5196" t="s">
        <v>29</v>
      </c>
    </row>
    <row r="5197" spans="1:13" hidden="1" x14ac:dyDescent="0.15">
      <c r="A5197" t="s">
        <v>16397</v>
      </c>
      <c r="B5197" t="s">
        <v>16398</v>
      </c>
      <c r="C5197" t="s">
        <v>16399</v>
      </c>
      <c r="D5197" t="s">
        <v>16375</v>
      </c>
      <c r="E5197">
        <v>0</v>
      </c>
      <c r="F5197" t="str">
        <f>HYPERLINK("https://github.com/nextcloud/android/issues/8083", "show")</f>
        <v>show</v>
      </c>
      <c r="G5197" t="str">
        <f>HYPERLINK("https://github.com/nextcloud/android", "show")</f>
        <v>show</v>
      </c>
      <c r="H5197" t="str">
        <f>HYPERLINK("https://github.com/nextcloud/android/releases", "show")</f>
        <v>show</v>
      </c>
      <c r="I5197">
        <v>1</v>
      </c>
      <c r="J5197">
        <v>1</v>
      </c>
      <c r="K5197">
        <v>1</v>
      </c>
      <c r="L5197">
        <v>0</v>
      </c>
      <c r="M5197" t="s">
        <v>59</v>
      </c>
    </row>
    <row r="5198" spans="1:13" hidden="1" x14ac:dyDescent="0.15">
      <c r="A5198" t="s">
        <v>16400</v>
      </c>
      <c r="B5198" t="s">
        <v>16401</v>
      </c>
      <c r="C5198" t="s">
        <v>16402</v>
      </c>
      <c r="D5198" t="s">
        <v>16375</v>
      </c>
      <c r="E5198">
        <v>0</v>
      </c>
      <c r="F5198" t="str">
        <f>HYPERLINK("https://github.com/nextcloud/android/issues/8082", "show")</f>
        <v>show</v>
      </c>
      <c r="G5198" t="str">
        <f>HYPERLINK("https://github.com/nextcloud/android", "show")</f>
        <v>show</v>
      </c>
      <c r="H5198" t="str">
        <f>HYPERLINK("https://github.com/nextcloud/android/releases", "show")</f>
        <v>show</v>
      </c>
      <c r="I5198">
        <v>1</v>
      </c>
      <c r="J5198">
        <v>1</v>
      </c>
      <c r="K5198">
        <v>1</v>
      </c>
      <c r="L5198">
        <v>0</v>
      </c>
      <c r="M5198" t="s">
        <v>59</v>
      </c>
    </row>
    <row r="5199" spans="1:13" hidden="1" x14ac:dyDescent="0.15">
      <c r="A5199" t="s">
        <v>16403</v>
      </c>
      <c r="B5199" t="s">
        <v>16404</v>
      </c>
      <c r="C5199" t="s">
        <v>16405</v>
      </c>
      <c r="D5199" t="s">
        <v>16375</v>
      </c>
      <c r="E5199">
        <v>0</v>
      </c>
      <c r="F5199" t="str">
        <f>HYPERLINK("https://github.com/Anuken/Mindustry/issues/4824", "show")</f>
        <v>show</v>
      </c>
      <c r="G5199" t="str">
        <f>HYPERLINK("https://github.com/Anuken/Mindustry", "show")</f>
        <v>show</v>
      </c>
      <c r="H5199" t="str">
        <f>HYPERLINK("https://github.com/Anuken/Mindustry/releases", "show")</f>
        <v>show</v>
      </c>
      <c r="I5199">
        <v>1</v>
      </c>
      <c r="J5199">
        <v>0</v>
      </c>
      <c r="K5199">
        <v>0</v>
      </c>
      <c r="L5199">
        <v>1</v>
      </c>
      <c r="M5199" t="s">
        <v>29</v>
      </c>
    </row>
    <row r="5200" spans="1:13" hidden="1" x14ac:dyDescent="0.15">
      <c r="A5200" t="s">
        <v>16406</v>
      </c>
      <c r="B5200" t="s">
        <v>16407</v>
      </c>
      <c r="C5200" t="s">
        <v>16408</v>
      </c>
      <c r="D5200" t="s">
        <v>16375</v>
      </c>
      <c r="E5200">
        <v>0</v>
      </c>
      <c r="F5200" t="str">
        <f>HYPERLINK("https://github.com/nextcloud/android/issues/8081", "show")</f>
        <v>show</v>
      </c>
      <c r="G5200" t="str">
        <f>HYPERLINK("https://github.com/nextcloud/android", "show")</f>
        <v>show</v>
      </c>
      <c r="H5200" t="str">
        <f>HYPERLINK("https://github.com/nextcloud/android/releases", "show")</f>
        <v>show</v>
      </c>
      <c r="I5200">
        <v>1</v>
      </c>
      <c r="J5200">
        <v>0</v>
      </c>
      <c r="K5200">
        <v>1</v>
      </c>
      <c r="L5200">
        <v>0</v>
      </c>
      <c r="M5200" t="s">
        <v>64</v>
      </c>
    </row>
    <row r="5201" spans="1:13" hidden="1" x14ac:dyDescent="0.15">
      <c r="A5201" t="s">
        <v>16409</v>
      </c>
      <c r="B5201" t="s">
        <v>16410</v>
      </c>
      <c r="C5201" t="s">
        <v>16411</v>
      </c>
      <c r="D5201" t="s">
        <v>16412</v>
      </c>
      <c r="E5201">
        <v>14</v>
      </c>
      <c r="F5201" t="str">
        <f>HYPERLINK("https://github.com/PojavLauncherTeam/PojavLauncher/issues/983", "show")</f>
        <v>show</v>
      </c>
      <c r="G5201" t="str">
        <f>HYPERLINK("https://github.com/PojavLauncherTeam/PojavLauncher", "show")</f>
        <v>show</v>
      </c>
      <c r="H5201" t="str">
        <f>HYPERLINK("https://github.com/PojavLauncherTeam/PojavLauncher/releases", "show")</f>
        <v>show</v>
      </c>
      <c r="I5201">
        <v>0</v>
      </c>
      <c r="J5201">
        <v>0</v>
      </c>
      <c r="K5201">
        <v>1</v>
      </c>
      <c r="L5201">
        <v>1</v>
      </c>
      <c r="M5201" t="s">
        <v>351</v>
      </c>
    </row>
    <row r="5202" spans="1:13" hidden="1" x14ac:dyDescent="0.15">
      <c r="A5202" t="s">
        <v>16413</v>
      </c>
      <c r="B5202" t="s">
        <v>16414</v>
      </c>
      <c r="C5202" t="s">
        <v>16415</v>
      </c>
      <c r="D5202" t="s">
        <v>16412</v>
      </c>
      <c r="E5202">
        <v>4</v>
      </c>
      <c r="F5202" t="str">
        <f>HYPERLINK("https://github.com/TeamNewPipe/NewPipe/issues/5718", "show")</f>
        <v>show</v>
      </c>
      <c r="G5202" t="str">
        <f>HYPERLINK("https://github.com/TeamNewPipe/NewPipe", "show")</f>
        <v>show</v>
      </c>
      <c r="H5202" t="str">
        <f>HYPERLINK("https://github.com/TeamNewPipe/NewPipe/releases", "show")</f>
        <v>show</v>
      </c>
      <c r="I5202">
        <v>1</v>
      </c>
      <c r="J5202">
        <v>1</v>
      </c>
      <c r="K5202">
        <v>0</v>
      </c>
      <c r="L5202">
        <v>0</v>
      </c>
      <c r="M5202" t="s">
        <v>48</v>
      </c>
    </row>
    <row r="5203" spans="1:13" hidden="1" x14ac:dyDescent="0.15">
      <c r="A5203" t="s">
        <v>16416</v>
      </c>
      <c r="B5203" t="s">
        <v>16417</v>
      </c>
      <c r="C5203" t="s">
        <v>16418</v>
      </c>
      <c r="D5203" t="s">
        <v>16419</v>
      </c>
      <c r="E5203">
        <v>4</v>
      </c>
      <c r="F5203" t="str">
        <f>HYPERLINK("https://github.com/connectbot/connectbot/issues/904", "show")</f>
        <v>show</v>
      </c>
      <c r="G5203" t="str">
        <f>HYPERLINK("https://github.com/connectbot/connectbot", "show")</f>
        <v>show</v>
      </c>
      <c r="H5203" t="str">
        <f>HYPERLINK("https://github.com/connectbot/connectbot/releases", "show")</f>
        <v>show</v>
      </c>
      <c r="I5203">
        <v>1</v>
      </c>
      <c r="J5203">
        <v>1</v>
      </c>
      <c r="K5203">
        <v>0</v>
      </c>
      <c r="L5203">
        <v>0</v>
      </c>
      <c r="M5203" t="s">
        <v>48</v>
      </c>
    </row>
    <row r="5204" spans="1:13" hidden="1" x14ac:dyDescent="0.15">
      <c r="A5204" t="s">
        <v>16420</v>
      </c>
      <c r="B5204" t="s">
        <v>16421</v>
      </c>
      <c r="C5204" t="s">
        <v>16422</v>
      </c>
      <c r="D5204" t="s">
        <v>16419</v>
      </c>
      <c r="E5204">
        <v>1</v>
      </c>
      <c r="F5204" t="str">
        <f>HYPERLINK("https://github.com/OpenTracksApp/OpenTracks/issues/614", "show")</f>
        <v>show</v>
      </c>
      <c r="G5204" t="str">
        <f>HYPERLINK("https://github.com/OpenTracksApp/OpenTracks", "show")</f>
        <v>show</v>
      </c>
      <c r="H5204" t="str">
        <f>HYPERLINK("https://github.com/OpenTracksApp/OpenTracks/releases", "show")</f>
        <v>show</v>
      </c>
      <c r="I5204">
        <v>1</v>
      </c>
      <c r="J5204">
        <v>0</v>
      </c>
      <c r="K5204">
        <v>1</v>
      </c>
      <c r="L5204">
        <v>0</v>
      </c>
      <c r="M5204" t="s">
        <v>64</v>
      </c>
    </row>
    <row r="5205" spans="1:13" hidden="1" x14ac:dyDescent="0.15">
      <c r="A5205" t="s">
        <v>16423</v>
      </c>
      <c r="B5205" t="s">
        <v>16424</v>
      </c>
      <c r="C5205" t="s">
        <v>16425</v>
      </c>
      <c r="D5205" t="s">
        <v>16419</v>
      </c>
      <c r="E5205">
        <v>2</v>
      </c>
      <c r="F5205" t="str">
        <f>HYPERLINK("https://github.com/nextcloud/android/issues/8077", "show")</f>
        <v>show</v>
      </c>
      <c r="G5205" t="str">
        <f>HYPERLINK("https://github.com/nextcloud/android", "show")</f>
        <v>show</v>
      </c>
      <c r="H5205" t="str">
        <f>HYPERLINK("https://github.com/nextcloud/android/releases", "show")</f>
        <v>show</v>
      </c>
      <c r="I5205">
        <v>1</v>
      </c>
      <c r="J5205">
        <v>1</v>
      </c>
      <c r="K5205">
        <v>1</v>
      </c>
      <c r="L5205">
        <v>0</v>
      </c>
      <c r="M5205" t="s">
        <v>59</v>
      </c>
    </row>
    <row r="5206" spans="1:13" hidden="1" x14ac:dyDescent="0.15">
      <c r="A5206" t="s">
        <v>16426</v>
      </c>
      <c r="B5206" t="s">
        <v>16427</v>
      </c>
      <c r="C5206" t="s">
        <v>16428</v>
      </c>
      <c r="D5206" t="s">
        <v>16419</v>
      </c>
      <c r="E5206">
        <v>0</v>
      </c>
      <c r="F5206" t="str">
        <f>HYPERLINK("https://github.com/Anuken/Mindustry/issues/4806", "show")</f>
        <v>show</v>
      </c>
      <c r="G5206" t="str">
        <f>HYPERLINK("https://github.com/Anuken/Mindustry", "show")</f>
        <v>show</v>
      </c>
      <c r="H5206" t="str">
        <f>HYPERLINK("https://github.com/Anuken/Mindustry/releases", "show")</f>
        <v>show</v>
      </c>
      <c r="I5206">
        <v>0</v>
      </c>
      <c r="J5206">
        <v>1</v>
      </c>
      <c r="K5206">
        <v>0</v>
      </c>
      <c r="L5206">
        <v>1</v>
      </c>
      <c r="M5206" t="s">
        <v>1732</v>
      </c>
    </row>
    <row r="5207" spans="1:13" hidden="1" x14ac:dyDescent="0.15">
      <c r="A5207" t="s">
        <v>16429</v>
      </c>
      <c r="B5207" t="s">
        <v>16430</v>
      </c>
      <c r="D5207" t="s">
        <v>16419</v>
      </c>
      <c r="E5207">
        <v>0</v>
      </c>
      <c r="F5207" t="str">
        <f>HYPERLINK("https://github.com/ankitbatra11/materialistic/issues/13", "show")</f>
        <v>show</v>
      </c>
      <c r="G5207" t="str">
        <f>HYPERLINK("https://github.com/ankitbatra11/materialistic", "show")</f>
        <v>show</v>
      </c>
      <c r="H5207" t="str">
        <f>HYPERLINK("https://github.com/ankitbatra11/materialistic/releases", "show")</f>
        <v>show</v>
      </c>
      <c r="I5207">
        <v>1</v>
      </c>
      <c r="J5207">
        <v>0</v>
      </c>
      <c r="K5207">
        <v>1</v>
      </c>
      <c r="L5207">
        <v>0</v>
      </c>
      <c r="M5207" t="s">
        <v>64</v>
      </c>
    </row>
    <row r="5208" spans="1:13" hidden="1" x14ac:dyDescent="0.15">
      <c r="A5208" t="s">
        <v>16431</v>
      </c>
      <c r="B5208" t="s">
        <v>16432</v>
      </c>
      <c r="C5208" t="s">
        <v>16433</v>
      </c>
      <c r="D5208" t="s">
        <v>16434</v>
      </c>
      <c r="E5208">
        <v>26</v>
      </c>
      <c r="F5208" t="str">
        <f>HYPERLINK("https://github.com/PojavLauncherTeam/PojavLauncher/issues/974", "show")</f>
        <v>show</v>
      </c>
      <c r="G5208" t="str">
        <f>HYPERLINK("https://github.com/PojavLauncherTeam/PojavLauncher", "show")</f>
        <v>show</v>
      </c>
      <c r="H5208" t="str">
        <f>HYPERLINK("https://github.com/PojavLauncherTeam/PojavLauncher/releases", "show")</f>
        <v>show</v>
      </c>
      <c r="I5208">
        <v>1</v>
      </c>
      <c r="J5208">
        <v>1</v>
      </c>
      <c r="K5208">
        <v>0</v>
      </c>
      <c r="L5208">
        <v>0</v>
      </c>
      <c r="M5208" t="s">
        <v>48</v>
      </c>
    </row>
    <row r="5209" spans="1:13" hidden="1" x14ac:dyDescent="0.15">
      <c r="A5209" t="s">
        <v>16435</v>
      </c>
      <c r="B5209" t="s">
        <v>16436</v>
      </c>
      <c r="C5209" t="s">
        <v>16437</v>
      </c>
      <c r="D5209" t="s">
        <v>16434</v>
      </c>
      <c r="E5209">
        <v>0</v>
      </c>
      <c r="F5209" t="str">
        <f>HYPERLINK("https://github.com/MuntashirAkon/AppManager/issues/299", "show")</f>
        <v>show</v>
      </c>
      <c r="G5209" t="str">
        <f>HYPERLINK("https://github.com/MuntashirAkon/AppManager", "show")</f>
        <v>show</v>
      </c>
      <c r="H5209" t="str">
        <f>HYPERLINK("https://github.com/MuntashirAkon/AppManager/releases", "show")</f>
        <v>show</v>
      </c>
      <c r="I5209">
        <v>0</v>
      </c>
      <c r="J5209">
        <v>0</v>
      </c>
      <c r="K5209">
        <v>1</v>
      </c>
      <c r="L5209">
        <v>0</v>
      </c>
      <c r="M5209" t="s">
        <v>122</v>
      </c>
    </row>
    <row r="5210" spans="1:13" x14ac:dyDescent="0.15">
      <c r="A5210" t="s">
        <v>16438</v>
      </c>
      <c r="B5210" t="s">
        <v>16439</v>
      </c>
      <c r="C5210" t="s">
        <v>16440</v>
      </c>
      <c r="D5210" t="s">
        <v>16434</v>
      </c>
      <c r="E5210">
        <v>0</v>
      </c>
      <c r="F5210" t="str">
        <f>HYPERLINK("https://github.com/Anuken/Mindustry/issues/4802", "show")</f>
        <v>show</v>
      </c>
      <c r="G5210" t="str">
        <f>HYPERLINK("https://github.com/Anuken/Mindustry", "show")</f>
        <v>show</v>
      </c>
      <c r="H5210" t="str">
        <f>HYPERLINK("https://github.com/Anuken/Mindustry/releases", "show")</f>
        <v>show</v>
      </c>
      <c r="I5210">
        <v>0</v>
      </c>
      <c r="J5210">
        <v>1</v>
      </c>
      <c r="K5210">
        <v>0</v>
      </c>
      <c r="L5210">
        <v>0</v>
      </c>
      <c r="M5210" t="s">
        <v>139</v>
      </c>
    </row>
    <row r="5211" spans="1:13" hidden="1" x14ac:dyDescent="0.15">
      <c r="A5211" t="s">
        <v>16441</v>
      </c>
      <c r="B5211" t="s">
        <v>16442</v>
      </c>
      <c r="C5211" t="s">
        <v>16443</v>
      </c>
      <c r="D5211" t="s">
        <v>16434</v>
      </c>
      <c r="E5211">
        <v>15</v>
      </c>
      <c r="F5211" t="str">
        <f>HYPERLINK("https://github.com/SDP-group22/Helio-app/issues/84", "show")</f>
        <v>show</v>
      </c>
      <c r="G5211" t="str">
        <f>HYPERLINK("https://github.com/SDP-group22/Helio-app", "show")</f>
        <v>show</v>
      </c>
      <c r="H5211" t="str">
        <f>HYPERLINK("https://github.com/SDP-group22/Helio-app/releases", "show")</f>
        <v>show</v>
      </c>
      <c r="I5211">
        <v>1</v>
      </c>
      <c r="J5211">
        <v>0</v>
      </c>
      <c r="K5211">
        <v>0</v>
      </c>
      <c r="L5211">
        <v>0</v>
      </c>
      <c r="M5211" t="s">
        <v>17</v>
      </c>
    </row>
    <row r="5212" spans="1:13" hidden="1" x14ac:dyDescent="0.15">
      <c r="A5212" t="s">
        <v>16444</v>
      </c>
      <c r="B5212" t="s">
        <v>16445</v>
      </c>
      <c r="C5212" t="s">
        <v>16446</v>
      </c>
      <c r="D5212" t="s">
        <v>16434</v>
      </c>
      <c r="E5212">
        <v>4</v>
      </c>
      <c r="F5212" t="str">
        <f>HYPERLINK("https://github.com/nextcloud/android/issues/8072", "show")</f>
        <v>show</v>
      </c>
      <c r="G5212" t="str">
        <f>HYPERLINK("https://github.com/nextcloud/android", "show")</f>
        <v>show</v>
      </c>
      <c r="H5212" t="str">
        <f>HYPERLINK("https://github.com/nextcloud/android/releases", "show")</f>
        <v>show</v>
      </c>
      <c r="I5212">
        <v>0</v>
      </c>
      <c r="J5212">
        <v>1</v>
      </c>
      <c r="K5212">
        <v>1</v>
      </c>
      <c r="L5212">
        <v>0</v>
      </c>
      <c r="M5212" t="s">
        <v>699</v>
      </c>
    </row>
    <row r="5213" spans="1:13" hidden="1" x14ac:dyDescent="0.15">
      <c r="A5213" t="s">
        <v>16447</v>
      </c>
      <c r="B5213" t="s">
        <v>16448</v>
      </c>
      <c r="C5213" t="s">
        <v>16449</v>
      </c>
      <c r="D5213" t="s">
        <v>16434</v>
      </c>
      <c r="E5213">
        <v>4</v>
      </c>
      <c r="F5213" t="str">
        <f>HYPERLINK("https://github.com/opensrp/opensrp-client-eusm/issues/60", "show")</f>
        <v>show</v>
      </c>
      <c r="G5213" t="str">
        <f>HYPERLINK("https://github.com/opensrp/opensrp-client-eusm", "show")</f>
        <v>show</v>
      </c>
      <c r="H5213" t="str">
        <f>HYPERLINK("https://github.com/opensrp/opensrp-client-eusm/releases", "show")</f>
        <v>show</v>
      </c>
      <c r="I5213">
        <v>1</v>
      </c>
      <c r="J5213">
        <v>0</v>
      </c>
      <c r="K5213">
        <v>0</v>
      </c>
      <c r="L5213">
        <v>0</v>
      </c>
      <c r="M5213" t="s">
        <v>17</v>
      </c>
    </row>
    <row r="5214" spans="1:13" hidden="1" x14ac:dyDescent="0.15">
      <c r="A5214" t="s">
        <v>16450</v>
      </c>
      <c r="B5214" t="s">
        <v>16451</v>
      </c>
      <c r="C5214" t="s">
        <v>16452</v>
      </c>
      <c r="D5214" t="s">
        <v>16434</v>
      </c>
      <c r="E5214">
        <v>0</v>
      </c>
      <c r="F5214" t="str">
        <f>HYPERLINK("https://github.com/mtotschnig/MyExpenses/issues/771", "show")</f>
        <v>show</v>
      </c>
      <c r="G5214" t="str">
        <f>HYPERLINK("https://github.com/mtotschnig/MyExpenses", "show")</f>
        <v>show</v>
      </c>
      <c r="H5214" t="str">
        <f>HYPERLINK("https://github.com/mtotschnig/MyExpenses/releases", "show")</f>
        <v>show</v>
      </c>
      <c r="I5214">
        <v>1</v>
      </c>
      <c r="J5214">
        <v>0</v>
      </c>
      <c r="K5214">
        <v>1</v>
      </c>
      <c r="L5214">
        <v>0</v>
      </c>
      <c r="M5214" t="s">
        <v>64</v>
      </c>
    </row>
    <row r="5215" spans="1:13" hidden="1" x14ac:dyDescent="0.15">
      <c r="A5215" t="s">
        <v>16453</v>
      </c>
      <c r="B5215" t="s">
        <v>16454</v>
      </c>
      <c r="C5215" t="s">
        <v>16455</v>
      </c>
      <c r="D5215" t="s">
        <v>16434</v>
      </c>
      <c r="E5215">
        <v>0</v>
      </c>
      <c r="F5215" t="str">
        <f>HYPERLINK("https://github.com/mtotschnig/MyExpenses/issues/768", "show")</f>
        <v>show</v>
      </c>
      <c r="G5215" t="str">
        <f>HYPERLINK("https://github.com/mtotschnig/MyExpenses", "show")</f>
        <v>show</v>
      </c>
      <c r="H5215" t="str">
        <f>HYPERLINK("https://github.com/mtotschnig/MyExpenses/releases", "show")</f>
        <v>show</v>
      </c>
      <c r="I5215">
        <v>1</v>
      </c>
      <c r="J5215">
        <v>1</v>
      </c>
      <c r="K5215">
        <v>0</v>
      </c>
      <c r="L5215">
        <v>0</v>
      </c>
      <c r="M5215" t="s">
        <v>48</v>
      </c>
    </row>
    <row r="5216" spans="1:13" hidden="1" x14ac:dyDescent="0.15">
      <c r="A5216" t="s">
        <v>16456</v>
      </c>
      <c r="B5216" t="s">
        <v>16457</v>
      </c>
      <c r="C5216" t="s">
        <v>16458</v>
      </c>
      <c r="D5216" t="s">
        <v>16434</v>
      </c>
      <c r="E5216">
        <v>3</v>
      </c>
      <c r="F5216" t="str">
        <f>HYPERLINK("https://github.com/nextcloud/android/issues/8067", "show")</f>
        <v>show</v>
      </c>
      <c r="G5216" t="str">
        <f>HYPERLINK("https://github.com/nextcloud/android", "show")</f>
        <v>show</v>
      </c>
      <c r="H5216" t="str">
        <f>HYPERLINK("https://github.com/nextcloud/android/releases", "show")</f>
        <v>show</v>
      </c>
      <c r="I5216">
        <v>1</v>
      </c>
      <c r="J5216">
        <v>1</v>
      </c>
      <c r="K5216">
        <v>0</v>
      </c>
      <c r="L5216">
        <v>0</v>
      </c>
      <c r="M5216" t="s">
        <v>48</v>
      </c>
    </row>
    <row r="5217" spans="1:13" hidden="1" x14ac:dyDescent="0.15">
      <c r="A5217" t="s">
        <v>16459</v>
      </c>
      <c r="B5217" t="s">
        <v>16460</v>
      </c>
      <c r="C5217" t="s">
        <v>16461</v>
      </c>
      <c r="D5217" t="s">
        <v>16462</v>
      </c>
      <c r="E5217">
        <v>1</v>
      </c>
      <c r="F5217" t="str">
        <f>HYPERLINK("https://github.com/TeamNewPipe/NewPipe/issues/5707", "show")</f>
        <v>show</v>
      </c>
      <c r="G5217" t="str">
        <f>HYPERLINK("https://github.com/TeamNewPipe/NewPipe", "show")</f>
        <v>show</v>
      </c>
      <c r="H5217" t="str">
        <f>HYPERLINK("https://github.com/TeamNewPipe/NewPipe/releases", "show")</f>
        <v>show</v>
      </c>
      <c r="I5217">
        <v>1</v>
      </c>
      <c r="J5217">
        <v>1</v>
      </c>
      <c r="K5217">
        <v>1</v>
      </c>
      <c r="L5217">
        <v>0</v>
      </c>
      <c r="M5217" t="s">
        <v>59</v>
      </c>
    </row>
    <row r="5218" spans="1:13" hidden="1" x14ac:dyDescent="0.15">
      <c r="A5218" t="s">
        <v>16463</v>
      </c>
      <c r="B5218" t="s">
        <v>16464</v>
      </c>
      <c r="C5218" t="s">
        <v>16465</v>
      </c>
      <c r="D5218" t="s">
        <v>16462</v>
      </c>
      <c r="E5218">
        <v>0</v>
      </c>
      <c r="F5218" t="str">
        <f>HYPERLINK("https://github.com/Anuken/Mindustry/issues/4789", "show")</f>
        <v>show</v>
      </c>
      <c r="G5218" t="str">
        <f>HYPERLINK("https://github.com/Anuken/Mindustry", "show")</f>
        <v>show</v>
      </c>
      <c r="H5218" t="str">
        <f>HYPERLINK("https://github.com/Anuken/Mindustry/releases", "show")</f>
        <v>show</v>
      </c>
      <c r="I5218">
        <v>0</v>
      </c>
      <c r="J5218">
        <v>0</v>
      </c>
      <c r="K5218">
        <v>0</v>
      </c>
      <c r="L5218">
        <v>0</v>
      </c>
      <c r="M5218" t="s">
        <v>43</v>
      </c>
    </row>
    <row r="5219" spans="1:13" hidden="1" x14ac:dyDescent="0.15">
      <c r="A5219" t="s">
        <v>16466</v>
      </c>
      <c r="B5219" t="s">
        <v>16467</v>
      </c>
      <c r="C5219" t="s">
        <v>16468</v>
      </c>
      <c r="D5219" t="s">
        <v>16462</v>
      </c>
      <c r="E5219">
        <v>3</v>
      </c>
      <c r="F5219" t="str">
        <f>HYPERLINK("https://github.com/SCCapstone/TabDab/issues/97", "show")</f>
        <v>show</v>
      </c>
      <c r="G5219" t="str">
        <f>HYPERLINK("https://github.com/SCCapstone/TabDab", "show")</f>
        <v>show</v>
      </c>
      <c r="H5219" t="str">
        <f>HYPERLINK("https://github.com/SCCapstone/TabDab/releases", "show")</f>
        <v>show</v>
      </c>
      <c r="I5219">
        <v>1</v>
      </c>
      <c r="J5219">
        <v>0</v>
      </c>
      <c r="K5219">
        <v>0</v>
      </c>
      <c r="L5219">
        <v>0</v>
      </c>
      <c r="M5219" t="s">
        <v>17</v>
      </c>
    </row>
    <row r="5220" spans="1:13" hidden="1" x14ac:dyDescent="0.15">
      <c r="A5220" t="s">
        <v>16469</v>
      </c>
      <c r="B5220" t="s">
        <v>16470</v>
      </c>
      <c r="C5220" t="s">
        <v>14990</v>
      </c>
      <c r="D5220" t="s">
        <v>16462</v>
      </c>
      <c r="E5220">
        <v>6</v>
      </c>
      <c r="F5220" t="str">
        <f>HYPERLINK("https://github.com/TeamNewPipe/NewPipe/issues/5705", "show")</f>
        <v>show</v>
      </c>
      <c r="G5220" t="str">
        <f>HYPERLINK("https://github.com/TeamNewPipe/NewPipe", "show")</f>
        <v>show</v>
      </c>
      <c r="H5220" t="str">
        <f>HYPERLINK("https://github.com/TeamNewPipe/NewPipe/releases", "show")</f>
        <v>show</v>
      </c>
      <c r="I5220">
        <v>1</v>
      </c>
      <c r="J5220">
        <v>1</v>
      </c>
      <c r="K5220">
        <v>1</v>
      </c>
      <c r="L5220">
        <v>0</v>
      </c>
      <c r="M5220" t="s">
        <v>59</v>
      </c>
    </row>
    <row r="5221" spans="1:13" hidden="1" x14ac:dyDescent="0.15">
      <c r="A5221" t="s">
        <v>16471</v>
      </c>
      <c r="B5221" t="s">
        <v>16472</v>
      </c>
      <c r="C5221" t="s">
        <v>16473</v>
      </c>
      <c r="D5221" t="s">
        <v>16462</v>
      </c>
      <c r="E5221">
        <v>145</v>
      </c>
      <c r="F5221" t="str">
        <f>HYPERLINK("https://github.com/jellyfin/jellyfin-androidtv/issues/739", "show")</f>
        <v>show</v>
      </c>
      <c r="G5221" t="str">
        <f>HYPERLINK("https://github.com/jellyfin/jellyfin-androidtv", "show")</f>
        <v>show</v>
      </c>
      <c r="H5221" t="str">
        <f>HYPERLINK("https://github.com/jellyfin/jellyfin-androidtv/releases", "show")</f>
        <v>show</v>
      </c>
      <c r="I5221">
        <v>1</v>
      </c>
      <c r="J5221">
        <v>1</v>
      </c>
      <c r="K5221">
        <v>0</v>
      </c>
      <c r="L5221">
        <v>0</v>
      </c>
      <c r="M5221" t="s">
        <v>48</v>
      </c>
    </row>
    <row r="5222" spans="1:13" hidden="1" x14ac:dyDescent="0.15">
      <c r="A5222" t="s">
        <v>16474</v>
      </c>
      <c r="B5222" t="s">
        <v>16475</v>
      </c>
      <c r="C5222" t="s">
        <v>16476</v>
      </c>
      <c r="D5222" t="s">
        <v>16462</v>
      </c>
      <c r="E5222">
        <v>0</v>
      </c>
      <c r="F5222" t="str">
        <f>HYPERLINK("https://github.com/grishka/Houseclub/issues/163", "show")</f>
        <v>show</v>
      </c>
      <c r="G5222" t="str">
        <f>HYPERLINK("https://github.com/grishka/Houseclub", "show")</f>
        <v>show</v>
      </c>
      <c r="H5222" t="str">
        <f>HYPERLINK("https://github.com/grishka/Houseclub/releases", "show")</f>
        <v>show</v>
      </c>
      <c r="I5222">
        <v>1</v>
      </c>
      <c r="J5222">
        <v>1</v>
      </c>
      <c r="K5222">
        <v>0</v>
      </c>
      <c r="L5222">
        <v>0</v>
      </c>
      <c r="M5222" t="s">
        <v>48</v>
      </c>
    </row>
    <row r="5223" spans="1:13" hidden="1" x14ac:dyDescent="0.15">
      <c r="A5223" t="s">
        <v>16477</v>
      </c>
      <c r="B5223" t="s">
        <v>16478</v>
      </c>
      <c r="C5223" t="s">
        <v>16479</v>
      </c>
      <c r="D5223" t="s">
        <v>16480</v>
      </c>
      <c r="E5223">
        <v>0</v>
      </c>
      <c r="F5223" t="str">
        <f>HYPERLINK("https://github.com/Anuken/Mindustry/issues/4783", "show")</f>
        <v>show</v>
      </c>
      <c r="G5223" t="str">
        <f>HYPERLINK("https://github.com/Anuken/Mindustry", "show")</f>
        <v>show</v>
      </c>
      <c r="H5223" t="str">
        <f>HYPERLINK("https://github.com/Anuken/Mindustry/releases", "show")</f>
        <v>show</v>
      </c>
      <c r="I5223">
        <v>1</v>
      </c>
      <c r="J5223">
        <v>0</v>
      </c>
      <c r="K5223">
        <v>0</v>
      </c>
      <c r="L5223">
        <v>0</v>
      </c>
      <c r="M5223" t="s">
        <v>17</v>
      </c>
    </row>
    <row r="5224" spans="1:13" hidden="1" x14ac:dyDescent="0.15">
      <c r="A5224" t="s">
        <v>16481</v>
      </c>
      <c r="B5224" t="s">
        <v>16482</v>
      </c>
      <c r="C5224" t="s">
        <v>16483</v>
      </c>
      <c r="D5224" t="s">
        <v>16480</v>
      </c>
      <c r="E5224">
        <v>0</v>
      </c>
      <c r="F5224" t="str">
        <f>HYPERLINK("https://github.com/Anuken/Mindustry/issues/4779", "show")</f>
        <v>show</v>
      </c>
      <c r="G5224" t="str">
        <f>HYPERLINK("https://github.com/Anuken/Mindustry", "show")</f>
        <v>show</v>
      </c>
      <c r="H5224" t="str">
        <f>HYPERLINK("https://github.com/Anuken/Mindustry/releases", "show")</f>
        <v>show</v>
      </c>
      <c r="I5224">
        <v>1</v>
      </c>
      <c r="J5224">
        <v>1</v>
      </c>
      <c r="K5224">
        <v>0</v>
      </c>
      <c r="L5224">
        <v>0</v>
      </c>
      <c r="M5224" t="s">
        <v>48</v>
      </c>
    </row>
    <row r="5225" spans="1:13" x14ac:dyDescent="0.15">
      <c r="A5225" t="s">
        <v>16484</v>
      </c>
      <c r="B5225" t="s">
        <v>16485</v>
      </c>
      <c r="C5225" t="s">
        <v>16486</v>
      </c>
      <c r="D5225" t="s">
        <v>16480</v>
      </c>
      <c r="E5225">
        <v>1</v>
      </c>
      <c r="F5225" t="str">
        <f>HYPERLINK("https://github.com/react-native-share/react-native-share/issues/972", "show")</f>
        <v>show</v>
      </c>
      <c r="G5225" t="str">
        <f>HYPERLINK("https://github.com/react-native-share/react-native-share", "show")</f>
        <v>show</v>
      </c>
      <c r="H5225" t="str">
        <f>HYPERLINK("https://github.com/react-native-share/react-native-share/releases", "show")</f>
        <v>show</v>
      </c>
      <c r="I5225">
        <v>0</v>
      </c>
      <c r="J5225">
        <v>1</v>
      </c>
      <c r="K5225">
        <v>0</v>
      </c>
      <c r="L5225">
        <v>0</v>
      </c>
      <c r="M5225" t="s">
        <v>139</v>
      </c>
    </row>
    <row r="5226" spans="1:13" hidden="1" x14ac:dyDescent="0.15">
      <c r="A5226" t="s">
        <v>16487</v>
      </c>
      <c r="B5226" t="s">
        <v>16488</v>
      </c>
      <c r="C5226" t="s">
        <v>16489</v>
      </c>
      <c r="D5226" t="s">
        <v>16480</v>
      </c>
      <c r="E5226">
        <v>0</v>
      </c>
      <c r="F5226" t="str">
        <f>HYPERLINK("https://github.com/grishka/Houseclub/issues/152", "show")</f>
        <v>show</v>
      </c>
      <c r="G5226" t="str">
        <f>HYPERLINK("https://github.com/grishka/Houseclub", "show")</f>
        <v>show</v>
      </c>
      <c r="H5226" t="str">
        <f>HYPERLINK("https://github.com/grishka/Houseclub/releases", "show")</f>
        <v>show</v>
      </c>
      <c r="I5226">
        <v>1</v>
      </c>
      <c r="J5226">
        <v>0</v>
      </c>
      <c r="K5226">
        <v>0</v>
      </c>
      <c r="L5226">
        <v>0</v>
      </c>
      <c r="M5226" t="s">
        <v>17</v>
      </c>
    </row>
    <row r="5227" spans="1:13" x14ac:dyDescent="0.15">
      <c r="A5227" t="s">
        <v>16490</v>
      </c>
      <c r="B5227" t="s">
        <v>16491</v>
      </c>
      <c r="C5227" t="s">
        <v>16492</v>
      </c>
      <c r="D5227" t="s">
        <v>16480</v>
      </c>
      <c r="E5227">
        <v>191</v>
      </c>
      <c r="F5227" t="str">
        <f>HYPERLINK("https://github.com/PojavLauncherTeam/PojavLauncher/issues/948", "show")</f>
        <v>show</v>
      </c>
      <c r="G5227" t="str">
        <f>HYPERLINK("https://github.com/PojavLauncherTeam/PojavLauncher", "show")</f>
        <v>show</v>
      </c>
      <c r="H5227" t="str">
        <f>HYPERLINK("https://github.com/PojavLauncherTeam/PojavLauncher/releases", "show")</f>
        <v>show</v>
      </c>
      <c r="I5227">
        <v>0</v>
      </c>
      <c r="J5227">
        <v>1</v>
      </c>
      <c r="K5227">
        <v>0</v>
      </c>
      <c r="L5227">
        <v>0</v>
      </c>
      <c r="M5227" t="s">
        <v>139</v>
      </c>
    </row>
    <row r="5228" spans="1:13" hidden="1" x14ac:dyDescent="0.15">
      <c r="A5228" t="s">
        <v>16493</v>
      </c>
      <c r="B5228" t="s">
        <v>16494</v>
      </c>
      <c r="C5228" t="s">
        <v>16495</v>
      </c>
      <c r="D5228" t="s">
        <v>16480</v>
      </c>
      <c r="E5228">
        <v>0</v>
      </c>
      <c r="F5228" t="str">
        <f>HYPERLINK("https://github.com/Anuken/Mindustry/issues/4773", "show")</f>
        <v>show</v>
      </c>
      <c r="G5228" t="str">
        <f>HYPERLINK("https://github.com/Anuken/Mindustry", "show")</f>
        <v>show</v>
      </c>
      <c r="H5228" t="str">
        <f>HYPERLINK("https://github.com/Anuken/Mindustry/releases", "show")</f>
        <v>show</v>
      </c>
      <c r="I5228">
        <v>1</v>
      </c>
      <c r="J5228">
        <v>0</v>
      </c>
      <c r="K5228">
        <v>0</v>
      </c>
      <c r="L5228">
        <v>0</v>
      </c>
      <c r="M5228" t="s">
        <v>17</v>
      </c>
    </row>
    <row r="5229" spans="1:13" hidden="1" x14ac:dyDescent="0.15">
      <c r="A5229" t="s">
        <v>16496</v>
      </c>
      <c r="B5229" t="s">
        <v>16497</v>
      </c>
      <c r="C5229" t="s">
        <v>16498</v>
      </c>
      <c r="D5229" t="s">
        <v>16480</v>
      </c>
      <c r="E5229">
        <v>275</v>
      </c>
      <c r="F5229" t="str">
        <f>HYPERLINK("https://github.com/TeamNewPipe/NewPipe/issues/5698", "show")</f>
        <v>show</v>
      </c>
      <c r="G5229" t="str">
        <f>HYPERLINK("https://github.com/TeamNewPipe/NewPipe", "show")</f>
        <v>show</v>
      </c>
      <c r="H5229" t="str">
        <f>HYPERLINK("https://github.com/TeamNewPipe/NewPipe/releases", "show")</f>
        <v>show</v>
      </c>
      <c r="I5229">
        <v>1</v>
      </c>
      <c r="J5229">
        <v>0</v>
      </c>
      <c r="K5229">
        <v>0</v>
      </c>
      <c r="L5229">
        <v>0</v>
      </c>
      <c r="M5229" t="s">
        <v>17</v>
      </c>
    </row>
    <row r="5230" spans="1:13" hidden="1" x14ac:dyDescent="0.15">
      <c r="A5230" t="s">
        <v>16499</v>
      </c>
      <c r="B5230" t="s">
        <v>16500</v>
      </c>
      <c r="C5230" t="s">
        <v>16501</v>
      </c>
      <c r="D5230" t="s">
        <v>16480</v>
      </c>
      <c r="E5230">
        <v>0</v>
      </c>
      <c r="F5230" t="str">
        <f>HYPERLINK("https://github.com/square/okhttp/issues/6569", "show")</f>
        <v>show</v>
      </c>
      <c r="G5230" t="str">
        <f>HYPERLINK("https://github.com/square/okhttp", "show")</f>
        <v>show</v>
      </c>
      <c r="H5230" t="str">
        <f>HYPERLINK("https://github.com/square/okhttp/releases", "show")</f>
        <v>show</v>
      </c>
      <c r="I5230">
        <v>1</v>
      </c>
      <c r="J5230">
        <v>0</v>
      </c>
      <c r="K5230">
        <v>1</v>
      </c>
      <c r="L5230">
        <v>0</v>
      </c>
      <c r="M5230" t="s">
        <v>64</v>
      </c>
    </row>
    <row r="5231" spans="1:13" hidden="1" x14ac:dyDescent="0.15">
      <c r="A5231" t="s">
        <v>16502</v>
      </c>
      <c r="B5231" t="s">
        <v>16503</v>
      </c>
      <c r="C5231" t="s">
        <v>16504</v>
      </c>
      <c r="D5231" t="s">
        <v>16505</v>
      </c>
      <c r="E5231">
        <v>0</v>
      </c>
      <c r="F5231" t="str">
        <f>HYPERLINK("https://github.com/Anuken/Mindustry/issues/4770", "show")</f>
        <v>show</v>
      </c>
      <c r="G5231" t="str">
        <f>HYPERLINK("https://github.com/Anuken/Mindustry", "show")</f>
        <v>show</v>
      </c>
      <c r="H5231" t="str">
        <f>HYPERLINK("https://github.com/Anuken/Mindustry/releases", "show")</f>
        <v>show</v>
      </c>
      <c r="I5231">
        <v>1</v>
      </c>
      <c r="J5231">
        <v>1</v>
      </c>
      <c r="K5231">
        <v>0</v>
      </c>
      <c r="L5231">
        <v>0</v>
      </c>
      <c r="M5231" t="s">
        <v>48</v>
      </c>
    </row>
    <row r="5232" spans="1:13" hidden="1" x14ac:dyDescent="0.15">
      <c r="A5232" t="s">
        <v>16506</v>
      </c>
      <c r="B5232" t="s">
        <v>16507</v>
      </c>
      <c r="C5232" t="s">
        <v>16508</v>
      </c>
      <c r="D5232" t="s">
        <v>16505</v>
      </c>
      <c r="E5232">
        <v>3</v>
      </c>
      <c r="F5232" t="str">
        <f>HYPERLINK("https://github.com/ZogopZ/to-do/issues/53", "show")</f>
        <v>show</v>
      </c>
      <c r="G5232" t="str">
        <f>HYPERLINK("https://github.com/ZogopZ/to-do", "show")</f>
        <v>show</v>
      </c>
      <c r="H5232" t="str">
        <f>HYPERLINK("https://github.com/ZogopZ/to-do/releases", "show")</f>
        <v>show</v>
      </c>
      <c r="I5232">
        <v>0</v>
      </c>
      <c r="J5232">
        <v>0</v>
      </c>
      <c r="K5232">
        <v>0</v>
      </c>
      <c r="L5232">
        <v>0</v>
      </c>
      <c r="M5232" t="s">
        <v>43</v>
      </c>
    </row>
    <row r="5233" spans="1:13" hidden="1" x14ac:dyDescent="0.15">
      <c r="A5233" t="s">
        <v>16509</v>
      </c>
      <c r="B5233" t="s">
        <v>16510</v>
      </c>
      <c r="C5233" t="s">
        <v>16511</v>
      </c>
      <c r="D5233" t="s">
        <v>16505</v>
      </c>
      <c r="E5233">
        <v>1</v>
      </c>
      <c r="F5233" t="str">
        <f>HYPERLINK("https://github.com/opensrp/opensrp-client-chw/issues/1714", "show")</f>
        <v>show</v>
      </c>
      <c r="G5233" t="str">
        <f>HYPERLINK("https://github.com/opensrp/opensrp-client-chw", "show")</f>
        <v>show</v>
      </c>
      <c r="H5233" t="str">
        <f>HYPERLINK("https://github.com/opensrp/opensrp-client-chw/releases", "show")</f>
        <v>show</v>
      </c>
      <c r="I5233">
        <v>1</v>
      </c>
      <c r="J5233">
        <v>1</v>
      </c>
      <c r="K5233">
        <v>0</v>
      </c>
      <c r="L5233">
        <v>0</v>
      </c>
      <c r="M5233" t="s">
        <v>48</v>
      </c>
    </row>
    <row r="5234" spans="1:13" hidden="1" x14ac:dyDescent="0.15">
      <c r="A5234" t="s">
        <v>16512</v>
      </c>
      <c r="B5234" t="s">
        <v>16513</v>
      </c>
      <c r="C5234" t="s">
        <v>16514</v>
      </c>
      <c r="D5234" t="s">
        <v>16505</v>
      </c>
      <c r="E5234">
        <v>2</v>
      </c>
      <c r="F5234" t="str">
        <f>HYPERLINK("https://github.com/gluonhq/substrate/issues/879", "show")</f>
        <v>show</v>
      </c>
      <c r="G5234" t="str">
        <f>HYPERLINK("https://github.com/gluonhq/substrate", "show")</f>
        <v>show</v>
      </c>
      <c r="H5234" t="str">
        <f>HYPERLINK("https://github.com/gluonhq/substrate/releases", "show")</f>
        <v>show</v>
      </c>
      <c r="I5234">
        <v>1</v>
      </c>
      <c r="J5234">
        <v>0</v>
      </c>
      <c r="K5234">
        <v>0</v>
      </c>
      <c r="L5234">
        <v>0</v>
      </c>
      <c r="M5234" t="s">
        <v>17</v>
      </c>
    </row>
    <row r="5235" spans="1:13" hidden="1" x14ac:dyDescent="0.15">
      <c r="A5235" t="s">
        <v>16515</v>
      </c>
      <c r="B5235" t="s">
        <v>16516</v>
      </c>
      <c r="C5235" t="s">
        <v>16517</v>
      </c>
      <c r="D5235" t="s">
        <v>16505</v>
      </c>
      <c r="E5235">
        <v>0</v>
      </c>
      <c r="F5235" t="str">
        <f>HYPERLINK("https://github.com/onaio/rdt-standard/issues/813", "show")</f>
        <v>show</v>
      </c>
      <c r="G5235" t="str">
        <f>HYPERLINK("https://github.com/onaio/rdt-standard", "show")</f>
        <v>show</v>
      </c>
      <c r="H5235" t="str">
        <f>HYPERLINK("https://github.com/onaio/rdt-standard/releases", "show")</f>
        <v>show</v>
      </c>
      <c r="I5235">
        <v>0</v>
      </c>
      <c r="J5235">
        <v>0</v>
      </c>
      <c r="K5235">
        <v>0</v>
      </c>
      <c r="L5235">
        <v>0</v>
      </c>
      <c r="M5235" t="s">
        <v>43</v>
      </c>
    </row>
    <row r="5236" spans="1:13" hidden="1" x14ac:dyDescent="0.15">
      <c r="A5236" t="s">
        <v>16518</v>
      </c>
      <c r="B5236" t="s">
        <v>16519</v>
      </c>
      <c r="C5236" t="s">
        <v>16520</v>
      </c>
      <c r="D5236" t="s">
        <v>16505</v>
      </c>
      <c r="E5236">
        <v>190</v>
      </c>
      <c r="F5236" t="str">
        <f>HYPERLINK("https://github.com/PojavLauncherTeam/PojavLauncher/issues/945", "show")</f>
        <v>show</v>
      </c>
      <c r="G5236" t="str">
        <f>HYPERLINK("https://github.com/PojavLauncherTeam/PojavLauncher", "show")</f>
        <v>show</v>
      </c>
      <c r="H5236" t="str">
        <f>HYPERLINK("https://github.com/PojavLauncherTeam/PojavLauncher/releases", "show")</f>
        <v>show</v>
      </c>
      <c r="I5236">
        <v>1</v>
      </c>
      <c r="J5236">
        <v>1</v>
      </c>
      <c r="K5236">
        <v>0</v>
      </c>
      <c r="L5236">
        <v>0</v>
      </c>
      <c r="M5236" t="s">
        <v>48</v>
      </c>
    </row>
    <row r="5237" spans="1:13" x14ac:dyDescent="0.15">
      <c r="A5237" t="s">
        <v>16521</v>
      </c>
      <c r="B5237" t="s">
        <v>16522</v>
      </c>
      <c r="C5237" t="s">
        <v>16523</v>
      </c>
      <c r="D5237" t="s">
        <v>16524</v>
      </c>
      <c r="E5237">
        <v>1</v>
      </c>
      <c r="F5237" t="str">
        <f>HYPERLINK("https://github.com/UniRegensburg/unsere-app-fur-die-universitat-regensburg-bib-buddy/issues/73", "show")</f>
        <v>show</v>
      </c>
      <c r="G5237" t="str">
        <f>HYPERLINK("https://github.com/UniRegensburg/unsere-app-fur-die-universitat-regensburg-bib-buddy", "show")</f>
        <v>show</v>
      </c>
      <c r="H5237" t="str">
        <f>HYPERLINK("https://github.com/UniRegensburg/unsere-app-fur-die-universitat-regensburg-bib-buddy/releases", "show")</f>
        <v>show</v>
      </c>
      <c r="I5237">
        <v>0</v>
      </c>
      <c r="J5237">
        <v>1</v>
      </c>
      <c r="K5237">
        <v>0</v>
      </c>
      <c r="L5237">
        <v>0</v>
      </c>
      <c r="M5237" t="s">
        <v>139</v>
      </c>
    </row>
    <row r="5238" spans="1:13" x14ac:dyDescent="0.15">
      <c r="A5238" t="s">
        <v>16525</v>
      </c>
      <c r="B5238" t="s">
        <v>16526</v>
      </c>
      <c r="C5238" t="s">
        <v>16527</v>
      </c>
      <c r="D5238" t="s">
        <v>16528</v>
      </c>
      <c r="E5238">
        <v>73</v>
      </c>
      <c r="F5238" t="str">
        <f>HYPERLINK("https://github.com/TeamNewPipe/NewPipe/issues/5660", "show")</f>
        <v>show</v>
      </c>
      <c r="G5238" t="str">
        <f>HYPERLINK("https://github.com/TeamNewPipe/NewPipe", "show")</f>
        <v>show</v>
      </c>
      <c r="H5238" t="str">
        <f>HYPERLINK("https://github.com/TeamNewPipe/NewPipe/releases", "show")</f>
        <v>show</v>
      </c>
      <c r="I5238">
        <v>0</v>
      </c>
      <c r="J5238">
        <v>1</v>
      </c>
      <c r="K5238">
        <v>0</v>
      </c>
      <c r="L5238">
        <v>0</v>
      </c>
      <c r="M5238" t="s">
        <v>139</v>
      </c>
    </row>
    <row r="5239" spans="1:13" hidden="1" x14ac:dyDescent="0.15">
      <c r="A5239" t="s">
        <v>16529</v>
      </c>
      <c r="B5239" t="s">
        <v>16530</v>
      </c>
      <c r="C5239" t="s">
        <v>16531</v>
      </c>
      <c r="D5239" t="s">
        <v>16528</v>
      </c>
      <c r="E5239">
        <v>3</v>
      </c>
      <c r="F5239" t="str">
        <f>HYPERLINK("https://github.com/PojavLauncherTeam/PojavLauncher/issues/932", "show")</f>
        <v>show</v>
      </c>
      <c r="G5239" t="str">
        <f>HYPERLINK("https://github.com/PojavLauncherTeam/PojavLauncher", "show")</f>
        <v>show</v>
      </c>
      <c r="H5239" t="str">
        <f>HYPERLINK("https://github.com/PojavLauncherTeam/PojavLauncher/releases", "show")</f>
        <v>show</v>
      </c>
      <c r="I5239">
        <v>1</v>
      </c>
      <c r="J5239">
        <v>0</v>
      </c>
      <c r="K5239">
        <v>0</v>
      </c>
      <c r="L5239">
        <v>0</v>
      </c>
      <c r="M5239" t="s">
        <v>17</v>
      </c>
    </row>
    <row r="5240" spans="1:13" hidden="1" x14ac:dyDescent="0.15">
      <c r="A5240" t="s">
        <v>16532</v>
      </c>
      <c r="B5240" t="s">
        <v>16533</v>
      </c>
      <c r="D5240" t="s">
        <v>16534</v>
      </c>
      <c r="E5240">
        <v>49</v>
      </c>
      <c r="F5240" t="str">
        <f>HYPERLINK("https://github.com/QuranHub/quranhub-android/issues/39", "show")</f>
        <v>show</v>
      </c>
      <c r="G5240" t="str">
        <f>HYPERLINK("https://github.com/QuranHub/quranhub-android", "show")</f>
        <v>show</v>
      </c>
      <c r="H5240" t="str">
        <f>HYPERLINK("https://github.com/QuranHub/quranhub-android/releases", "show")</f>
        <v>show</v>
      </c>
      <c r="I5240">
        <v>1</v>
      </c>
      <c r="J5240">
        <v>0</v>
      </c>
      <c r="K5240">
        <v>0</v>
      </c>
      <c r="L5240">
        <v>0</v>
      </c>
      <c r="M5240" t="s">
        <v>17</v>
      </c>
    </row>
    <row r="5241" spans="1:13" hidden="1" x14ac:dyDescent="0.15">
      <c r="A5241" t="s">
        <v>16535</v>
      </c>
      <c r="B5241" t="s">
        <v>16536</v>
      </c>
      <c r="C5241" t="s">
        <v>16537</v>
      </c>
      <c r="D5241" t="s">
        <v>16534</v>
      </c>
      <c r="E5241">
        <v>193</v>
      </c>
      <c r="F5241" t="str">
        <f>HYPERLINK("https://github.com/PojavLauncherTeam/PojavLauncher/issues/930", "show")</f>
        <v>show</v>
      </c>
      <c r="G5241" t="str">
        <f>HYPERLINK("https://github.com/PojavLauncherTeam/PojavLauncher", "show")</f>
        <v>show</v>
      </c>
      <c r="H5241" t="str">
        <f>HYPERLINK("https://github.com/PojavLauncherTeam/PojavLauncher/releases", "show")</f>
        <v>show</v>
      </c>
      <c r="I5241">
        <v>1</v>
      </c>
      <c r="J5241">
        <v>0</v>
      </c>
      <c r="K5241">
        <v>0</v>
      </c>
      <c r="L5241">
        <v>0</v>
      </c>
      <c r="M5241" t="s">
        <v>17</v>
      </c>
    </row>
    <row r="5242" spans="1:13" hidden="1" x14ac:dyDescent="0.15">
      <c r="A5242" t="s">
        <v>16538</v>
      </c>
      <c r="B5242" t="s">
        <v>16539</v>
      </c>
      <c r="C5242" t="s">
        <v>16540</v>
      </c>
      <c r="D5242" t="s">
        <v>16534</v>
      </c>
      <c r="E5242">
        <v>1</v>
      </c>
      <c r="F5242" t="str">
        <f>HYPERLINK("https://github.com/Neamar/KISS/issues/1687", "show")</f>
        <v>show</v>
      </c>
      <c r="G5242" t="str">
        <f>HYPERLINK("https://github.com/Neamar/KISS", "show")</f>
        <v>show</v>
      </c>
      <c r="H5242" t="str">
        <f>HYPERLINK("https://github.com/Neamar/KISS/releases", "show")</f>
        <v>show</v>
      </c>
      <c r="I5242">
        <v>1</v>
      </c>
      <c r="J5242">
        <v>1</v>
      </c>
      <c r="K5242">
        <v>0</v>
      </c>
      <c r="L5242">
        <v>0</v>
      </c>
      <c r="M5242" t="s">
        <v>48</v>
      </c>
    </row>
    <row r="5243" spans="1:13" hidden="1" x14ac:dyDescent="0.15">
      <c r="A5243" t="s">
        <v>16541</v>
      </c>
      <c r="B5243" t="s">
        <v>16542</v>
      </c>
      <c r="C5243" t="s">
        <v>16543</v>
      </c>
      <c r="D5243" t="s">
        <v>16534</v>
      </c>
      <c r="E5243">
        <v>0</v>
      </c>
      <c r="F5243" t="str">
        <f>HYPERLINK("https://github.com/Anuken/Mindustry/issues/4739", "show")</f>
        <v>show</v>
      </c>
      <c r="G5243" t="str">
        <f>HYPERLINK("https://github.com/Anuken/Mindustry", "show")</f>
        <v>show</v>
      </c>
      <c r="H5243" t="str">
        <f>HYPERLINK("https://github.com/Anuken/Mindustry/releases", "show")</f>
        <v>show</v>
      </c>
      <c r="I5243">
        <v>0</v>
      </c>
      <c r="J5243">
        <v>0</v>
      </c>
      <c r="K5243">
        <v>1</v>
      </c>
      <c r="L5243">
        <v>0</v>
      </c>
      <c r="M5243" t="s">
        <v>122</v>
      </c>
    </row>
    <row r="5244" spans="1:13" hidden="1" x14ac:dyDescent="0.15">
      <c r="A5244" t="s">
        <v>16544</v>
      </c>
      <c r="B5244" t="s">
        <v>16545</v>
      </c>
      <c r="C5244" t="s">
        <v>16546</v>
      </c>
      <c r="D5244" t="s">
        <v>16547</v>
      </c>
      <c r="E5244">
        <v>4</v>
      </c>
      <c r="F5244" t="str">
        <f>HYPERLINK("https://github.com/PojavLauncherTeam/PojavLauncher/issues/927", "show")</f>
        <v>show</v>
      </c>
      <c r="G5244" t="str">
        <f>HYPERLINK("https://github.com/PojavLauncherTeam/PojavLauncher", "show")</f>
        <v>show</v>
      </c>
      <c r="H5244" t="str">
        <f>HYPERLINK("https://github.com/PojavLauncherTeam/PojavLauncher/releases", "show")</f>
        <v>show</v>
      </c>
      <c r="I5244">
        <v>1</v>
      </c>
      <c r="J5244">
        <v>0</v>
      </c>
      <c r="K5244">
        <v>0</v>
      </c>
      <c r="L5244">
        <v>0</v>
      </c>
      <c r="M5244" t="s">
        <v>17</v>
      </c>
    </row>
    <row r="5245" spans="1:13" hidden="1" x14ac:dyDescent="0.15">
      <c r="A5245" t="s">
        <v>16548</v>
      </c>
      <c r="B5245" t="s">
        <v>16549</v>
      </c>
      <c r="C5245" t="s">
        <v>16550</v>
      </c>
      <c r="D5245" t="s">
        <v>16547</v>
      </c>
      <c r="E5245">
        <v>4</v>
      </c>
      <c r="F5245" t="str">
        <f>HYPERLINK("https://github.com/commons-app/apps-android-commons/issues/4254", "show")</f>
        <v>show</v>
      </c>
      <c r="G5245" t="str">
        <f>HYPERLINK("https://github.com/commons-app/apps-android-commons", "show")</f>
        <v>show</v>
      </c>
      <c r="H5245" t="str">
        <f>HYPERLINK("https://github.com/commons-app/apps-android-commons/releases", "show")</f>
        <v>show</v>
      </c>
      <c r="I5245">
        <v>1</v>
      </c>
      <c r="J5245">
        <v>1</v>
      </c>
      <c r="K5245">
        <v>1</v>
      </c>
      <c r="L5245">
        <v>0</v>
      </c>
      <c r="M5245" t="s">
        <v>59</v>
      </c>
    </row>
    <row r="5246" spans="1:13" hidden="1" x14ac:dyDescent="0.15">
      <c r="A5246" t="s">
        <v>16551</v>
      </c>
      <c r="B5246" t="s">
        <v>16552</v>
      </c>
      <c r="C5246" t="s">
        <v>16553</v>
      </c>
      <c r="D5246" t="s">
        <v>16547</v>
      </c>
      <c r="E5246">
        <v>0</v>
      </c>
      <c r="F5246" t="str">
        <f>HYPERLINK("https://github.com/Anuken/Mindustry/issues/4733", "show")</f>
        <v>show</v>
      </c>
      <c r="G5246" t="str">
        <f>HYPERLINK("https://github.com/Anuken/Mindustry", "show")</f>
        <v>show</v>
      </c>
      <c r="H5246" t="str">
        <f>HYPERLINK("https://github.com/Anuken/Mindustry/releases", "show")</f>
        <v>show</v>
      </c>
      <c r="I5246">
        <v>1</v>
      </c>
      <c r="J5246">
        <v>1</v>
      </c>
      <c r="K5246">
        <v>0</v>
      </c>
      <c r="L5246">
        <v>1</v>
      </c>
      <c r="M5246" t="s">
        <v>1894</v>
      </c>
    </row>
    <row r="5247" spans="1:13" hidden="1" x14ac:dyDescent="0.15">
      <c r="A5247" t="s">
        <v>16554</v>
      </c>
      <c r="B5247" t="s">
        <v>16555</v>
      </c>
      <c r="C5247" t="s">
        <v>16556</v>
      </c>
      <c r="D5247" t="s">
        <v>16547</v>
      </c>
      <c r="E5247">
        <v>194</v>
      </c>
      <c r="F5247" t="str">
        <f>HYPERLINK("https://github.com/PojavLauncherTeam/PojavLauncher/issues/926", "show")</f>
        <v>show</v>
      </c>
      <c r="G5247" t="str">
        <f>HYPERLINK("https://github.com/PojavLauncherTeam/PojavLauncher", "show")</f>
        <v>show</v>
      </c>
      <c r="H5247" t="str">
        <f>HYPERLINK("https://github.com/PojavLauncherTeam/PojavLauncher/releases", "show")</f>
        <v>show</v>
      </c>
      <c r="I5247">
        <v>1</v>
      </c>
      <c r="J5247">
        <v>1</v>
      </c>
      <c r="K5247">
        <v>0</v>
      </c>
      <c r="L5247">
        <v>0</v>
      </c>
      <c r="M5247" t="s">
        <v>48</v>
      </c>
    </row>
    <row r="5248" spans="1:13" x14ac:dyDescent="0.15">
      <c r="A5248" t="s">
        <v>16557</v>
      </c>
      <c r="B5248" t="s">
        <v>16558</v>
      </c>
      <c r="C5248" t="s">
        <v>16559</v>
      </c>
      <c r="D5248" t="s">
        <v>16560</v>
      </c>
      <c r="E5248">
        <v>5</v>
      </c>
      <c r="F5248" t="str">
        <f>HYPERLINK("https://github.com/UniRegensburg/unsere-app-fur-die-universitat-regensburg-bib-buddy/issues/68", "show")</f>
        <v>show</v>
      </c>
      <c r="G5248" t="str">
        <f>HYPERLINK("https://github.com/UniRegensburg/unsere-app-fur-die-universitat-regensburg-bib-buddy", "show")</f>
        <v>show</v>
      </c>
      <c r="H5248" t="str">
        <f>HYPERLINK("https://github.com/UniRegensburg/unsere-app-fur-die-universitat-regensburg-bib-buddy/releases", "show")</f>
        <v>show</v>
      </c>
      <c r="I5248">
        <v>0</v>
      </c>
      <c r="J5248">
        <v>1</v>
      </c>
      <c r="K5248">
        <v>0</v>
      </c>
      <c r="L5248">
        <v>0</v>
      </c>
      <c r="M5248" t="s">
        <v>139</v>
      </c>
    </row>
    <row r="5249" spans="1:13" hidden="1" x14ac:dyDescent="0.15">
      <c r="A5249" t="s">
        <v>16561</v>
      </c>
      <c r="B5249" t="s">
        <v>16562</v>
      </c>
      <c r="C5249" t="s">
        <v>16563</v>
      </c>
      <c r="D5249" t="s">
        <v>16560</v>
      </c>
      <c r="E5249">
        <v>2</v>
      </c>
      <c r="F5249" t="str">
        <f>HYPERLINK("https://github.com/commons-app/apps-android-commons/issues/4244", "show")</f>
        <v>show</v>
      </c>
      <c r="G5249" t="str">
        <f>HYPERLINK("https://github.com/commons-app/apps-android-commons", "show")</f>
        <v>show</v>
      </c>
      <c r="H5249" t="str">
        <f>HYPERLINK("https://github.com/commons-app/apps-android-commons/releases", "show")</f>
        <v>show</v>
      </c>
      <c r="I5249">
        <v>1</v>
      </c>
      <c r="J5249">
        <v>0</v>
      </c>
      <c r="K5249">
        <v>1</v>
      </c>
      <c r="L5249">
        <v>0</v>
      </c>
      <c r="M5249" t="s">
        <v>64</v>
      </c>
    </row>
    <row r="5250" spans="1:13" hidden="1" x14ac:dyDescent="0.15">
      <c r="A5250" t="s">
        <v>16564</v>
      </c>
      <c r="B5250" t="s">
        <v>16565</v>
      </c>
      <c r="C5250" t="s">
        <v>16566</v>
      </c>
      <c r="D5250" t="s">
        <v>16560</v>
      </c>
      <c r="E5250">
        <v>0</v>
      </c>
      <c r="F5250" t="str">
        <f>HYPERLINK("https://github.com/Anuken/Mindustry/issues/4721", "show")</f>
        <v>show</v>
      </c>
      <c r="G5250" t="str">
        <f>HYPERLINK("https://github.com/Anuken/Mindustry", "show")</f>
        <v>show</v>
      </c>
      <c r="H5250" t="str">
        <f>HYPERLINK("https://github.com/Anuken/Mindustry/releases", "show")</f>
        <v>show</v>
      </c>
      <c r="I5250">
        <v>0</v>
      </c>
      <c r="J5250">
        <v>0</v>
      </c>
      <c r="K5250">
        <v>0</v>
      </c>
      <c r="L5250">
        <v>0</v>
      </c>
      <c r="M5250" t="s">
        <v>43</v>
      </c>
    </row>
    <row r="5251" spans="1:13" hidden="1" x14ac:dyDescent="0.15">
      <c r="A5251" t="s">
        <v>16567</v>
      </c>
      <c r="B5251" t="s">
        <v>16568</v>
      </c>
      <c r="C5251" t="s">
        <v>16569</v>
      </c>
      <c r="D5251" t="s">
        <v>16560</v>
      </c>
      <c r="E5251">
        <v>0</v>
      </c>
      <c r="F5251" t="str">
        <f>HYPERLINK("https://github.com/nextcloud/android/issues/8009", "show")</f>
        <v>show</v>
      </c>
      <c r="G5251" t="str">
        <f>HYPERLINK("https://github.com/nextcloud/android", "show")</f>
        <v>show</v>
      </c>
      <c r="H5251" t="str">
        <f>HYPERLINK("https://github.com/nextcloud/android/releases", "show")</f>
        <v>show</v>
      </c>
      <c r="I5251">
        <v>1</v>
      </c>
      <c r="J5251">
        <v>1</v>
      </c>
      <c r="K5251">
        <v>1</v>
      </c>
      <c r="L5251">
        <v>0</v>
      </c>
      <c r="M5251" t="s">
        <v>59</v>
      </c>
    </row>
    <row r="5252" spans="1:13" hidden="1" x14ac:dyDescent="0.15">
      <c r="A5252" t="s">
        <v>16570</v>
      </c>
      <c r="B5252" t="s">
        <v>16571</v>
      </c>
      <c r="C5252" t="s">
        <v>16572</v>
      </c>
      <c r="D5252" t="s">
        <v>16560</v>
      </c>
      <c r="E5252">
        <v>7</v>
      </c>
      <c r="F5252" t="str">
        <f>HYPERLINK("https://github.com/SkyTubeTeam/SkyTube/issues/934", "show")</f>
        <v>show</v>
      </c>
      <c r="G5252" t="str">
        <f>HYPERLINK("https://github.com/SkyTubeTeam/SkyTube", "show")</f>
        <v>show</v>
      </c>
      <c r="H5252" t="str">
        <f>HYPERLINK("https://github.com/SkyTubeTeam/SkyTube/releases", "show")</f>
        <v>show</v>
      </c>
      <c r="I5252">
        <v>1</v>
      </c>
      <c r="J5252">
        <v>0</v>
      </c>
      <c r="K5252">
        <v>0</v>
      </c>
      <c r="L5252">
        <v>0</v>
      </c>
      <c r="M5252" t="s">
        <v>17</v>
      </c>
    </row>
    <row r="5253" spans="1:13" hidden="1" x14ac:dyDescent="0.15">
      <c r="A5253" t="s">
        <v>16573</v>
      </c>
      <c r="B5253" t="s">
        <v>16574</v>
      </c>
      <c r="C5253" t="s">
        <v>16575</v>
      </c>
      <c r="D5253" t="s">
        <v>16576</v>
      </c>
      <c r="E5253">
        <v>5</v>
      </c>
      <c r="F5253" t="str">
        <f>HYPERLINK("https://github.com/ionic-team/capacitor-plugins/issues/257", "show")</f>
        <v>show</v>
      </c>
      <c r="G5253" t="str">
        <f>HYPERLINK("https://github.com/ionic-team/capacitor-plugins", "show")</f>
        <v>show</v>
      </c>
      <c r="H5253" t="str">
        <f>HYPERLINK("https://github.com/ionic-team/capacitor-plugins/releases", "show")</f>
        <v>show</v>
      </c>
      <c r="I5253">
        <v>1</v>
      </c>
      <c r="J5253">
        <v>0</v>
      </c>
      <c r="K5253">
        <v>0</v>
      </c>
      <c r="L5253">
        <v>0</v>
      </c>
      <c r="M5253" t="s">
        <v>17</v>
      </c>
    </row>
    <row r="5254" spans="1:13" hidden="1" x14ac:dyDescent="0.15">
      <c r="A5254" t="s">
        <v>16577</v>
      </c>
      <c r="B5254" t="s">
        <v>16578</v>
      </c>
      <c r="C5254" t="s">
        <v>16579</v>
      </c>
      <c r="D5254" t="s">
        <v>16576</v>
      </c>
      <c r="E5254">
        <v>9</v>
      </c>
      <c r="F5254" t="str">
        <f>HYPERLINK("https://github.com/TotalCross/totalcross/issues/304", "show")</f>
        <v>show</v>
      </c>
      <c r="G5254" t="str">
        <f>HYPERLINK("https://github.com/TotalCross/totalcross", "show")</f>
        <v>show</v>
      </c>
      <c r="H5254" t="str">
        <f>HYPERLINK("https://github.com/TotalCross/totalcross/releases", "show")</f>
        <v>show</v>
      </c>
      <c r="I5254">
        <v>1</v>
      </c>
      <c r="J5254">
        <v>0</v>
      </c>
      <c r="K5254">
        <v>0</v>
      </c>
      <c r="L5254">
        <v>1</v>
      </c>
      <c r="M5254" t="s">
        <v>29</v>
      </c>
    </row>
    <row r="5255" spans="1:13" hidden="1" x14ac:dyDescent="0.15">
      <c r="A5255" t="s">
        <v>16580</v>
      </c>
      <c r="B5255" t="s">
        <v>16581</v>
      </c>
      <c r="C5255" t="s">
        <v>16582</v>
      </c>
      <c r="D5255" t="s">
        <v>16576</v>
      </c>
      <c r="E5255">
        <v>112</v>
      </c>
      <c r="F5255" t="str">
        <f>HYPERLINK("https://github.com/getsentry/sentry-java/issues/1266", "show")</f>
        <v>show</v>
      </c>
      <c r="G5255" t="str">
        <f>HYPERLINK("https://github.com/getsentry/sentry-java", "show")</f>
        <v>show</v>
      </c>
      <c r="H5255" t="str">
        <f>HYPERLINK("https://github.com/getsentry/sentry-java/releases", "show")</f>
        <v>show</v>
      </c>
      <c r="I5255">
        <v>0</v>
      </c>
      <c r="J5255">
        <v>0</v>
      </c>
      <c r="K5255">
        <v>0</v>
      </c>
      <c r="L5255">
        <v>0</v>
      </c>
      <c r="M5255" t="s">
        <v>43</v>
      </c>
    </row>
    <row r="5256" spans="1:13" hidden="1" x14ac:dyDescent="0.15">
      <c r="A5256" t="s">
        <v>16583</v>
      </c>
      <c r="B5256" t="s">
        <v>16584</v>
      </c>
      <c r="C5256" t="s">
        <v>16585</v>
      </c>
      <c r="D5256" t="s">
        <v>16576</v>
      </c>
      <c r="E5256">
        <v>196</v>
      </c>
      <c r="F5256" t="str">
        <f>HYPERLINK("https://github.com/PojavLauncherTeam/PojavLauncher/issues/911", "show")</f>
        <v>show</v>
      </c>
      <c r="G5256" t="str">
        <f>HYPERLINK("https://github.com/PojavLauncherTeam/PojavLauncher", "show")</f>
        <v>show</v>
      </c>
      <c r="H5256" t="str">
        <f>HYPERLINK("https://github.com/PojavLauncherTeam/PojavLauncher/releases", "show")</f>
        <v>show</v>
      </c>
      <c r="I5256">
        <v>1</v>
      </c>
      <c r="J5256">
        <v>0</v>
      </c>
      <c r="K5256">
        <v>0</v>
      </c>
      <c r="L5256">
        <v>0</v>
      </c>
      <c r="M5256" t="s">
        <v>17</v>
      </c>
    </row>
    <row r="5257" spans="1:13" hidden="1" x14ac:dyDescent="0.15">
      <c r="A5257" t="s">
        <v>16586</v>
      </c>
      <c r="B5257" t="s">
        <v>16587</v>
      </c>
      <c r="C5257" t="s">
        <v>16588</v>
      </c>
      <c r="D5257" t="s">
        <v>16576</v>
      </c>
      <c r="E5257">
        <v>0</v>
      </c>
      <c r="F5257" t="str">
        <f>HYPERLINK("https://github.com/ankitbatra11/billboard/issues/29", "show")</f>
        <v>show</v>
      </c>
      <c r="G5257" t="str">
        <f>HYPERLINK("https://github.com/ankitbatra11/billboard", "show")</f>
        <v>show</v>
      </c>
      <c r="H5257" t="str">
        <f>HYPERLINK("https://github.com/ankitbatra11/billboard/releases", "show")</f>
        <v>show</v>
      </c>
      <c r="I5257">
        <v>0</v>
      </c>
      <c r="J5257">
        <v>0</v>
      </c>
      <c r="K5257">
        <v>1</v>
      </c>
      <c r="L5257">
        <v>0</v>
      </c>
      <c r="M5257" t="s">
        <v>122</v>
      </c>
    </row>
    <row r="5258" spans="1:13" hidden="1" x14ac:dyDescent="0.15">
      <c r="A5258" t="s">
        <v>16589</v>
      </c>
      <c r="B5258" t="s">
        <v>16590</v>
      </c>
      <c r="C5258" t="s">
        <v>16591</v>
      </c>
      <c r="D5258" t="s">
        <v>16576</v>
      </c>
      <c r="E5258">
        <v>67</v>
      </c>
      <c r="F5258" t="str">
        <f>HYPERLINK("https://github.com/square/okhttp/issues/6562", "show")</f>
        <v>show</v>
      </c>
      <c r="G5258" t="str">
        <f>HYPERLINK("https://github.com/square/okhttp", "show")</f>
        <v>show</v>
      </c>
      <c r="H5258" t="str">
        <f>HYPERLINK("https://github.com/square/okhttp/releases", "show")</f>
        <v>show</v>
      </c>
      <c r="I5258">
        <v>0</v>
      </c>
      <c r="J5258">
        <v>0</v>
      </c>
      <c r="K5258">
        <v>0</v>
      </c>
      <c r="L5258">
        <v>0</v>
      </c>
      <c r="M5258" t="s">
        <v>43</v>
      </c>
    </row>
    <row r="5259" spans="1:13" hidden="1" x14ac:dyDescent="0.15">
      <c r="A5259" t="s">
        <v>16592</v>
      </c>
      <c r="B5259" t="s">
        <v>16593</v>
      </c>
      <c r="C5259" t="s">
        <v>16594</v>
      </c>
      <c r="D5259" t="s">
        <v>16576</v>
      </c>
      <c r="E5259">
        <v>0</v>
      </c>
      <c r="F5259" t="str">
        <f>HYPERLINK("https://github.com/TeamNewPipe/NewPipe/issues/5612", "show")</f>
        <v>show</v>
      </c>
      <c r="G5259" t="str">
        <f>HYPERLINK("https://github.com/TeamNewPipe/NewPipe", "show")</f>
        <v>show</v>
      </c>
      <c r="H5259" t="str">
        <f>HYPERLINK("https://github.com/TeamNewPipe/NewPipe/releases", "show")</f>
        <v>show</v>
      </c>
      <c r="I5259">
        <v>1</v>
      </c>
      <c r="J5259">
        <v>1</v>
      </c>
      <c r="K5259">
        <v>0</v>
      </c>
      <c r="L5259">
        <v>1</v>
      </c>
      <c r="M5259" t="s">
        <v>1894</v>
      </c>
    </row>
    <row r="5260" spans="1:13" hidden="1" x14ac:dyDescent="0.15">
      <c r="A5260" t="s">
        <v>16595</v>
      </c>
      <c r="B5260" t="s">
        <v>16596</v>
      </c>
      <c r="C5260" t="s">
        <v>16597</v>
      </c>
      <c r="D5260" t="s">
        <v>16598</v>
      </c>
      <c r="E5260">
        <v>0</v>
      </c>
      <c r="F5260" t="str">
        <f>HYPERLINK("https://github.com/Anuken/Mindustry/issues/4702", "show")</f>
        <v>show</v>
      </c>
      <c r="G5260" t="str">
        <f>HYPERLINK("https://github.com/Anuken/Mindustry", "show")</f>
        <v>show</v>
      </c>
      <c r="H5260" t="str">
        <f>HYPERLINK("https://github.com/Anuken/Mindustry/releases", "show")</f>
        <v>show</v>
      </c>
      <c r="I5260">
        <v>0</v>
      </c>
      <c r="J5260">
        <v>1</v>
      </c>
      <c r="K5260">
        <v>0</v>
      </c>
      <c r="L5260">
        <v>1</v>
      </c>
      <c r="M5260" t="s">
        <v>1732</v>
      </c>
    </row>
    <row r="5261" spans="1:13" hidden="1" x14ac:dyDescent="0.15">
      <c r="A5261" t="s">
        <v>16599</v>
      </c>
      <c r="B5261" t="s">
        <v>16600</v>
      </c>
      <c r="C5261" t="s">
        <v>16601</v>
      </c>
      <c r="D5261" t="s">
        <v>16598</v>
      </c>
      <c r="E5261">
        <v>1</v>
      </c>
      <c r="F5261" t="str">
        <f>HYPERLINK("https://github.com/oliexdev/openScale/issues/701", "show")</f>
        <v>show</v>
      </c>
      <c r="G5261" t="str">
        <f>HYPERLINK("https://github.com/oliexdev/openScale", "show")</f>
        <v>show</v>
      </c>
      <c r="H5261" t="str">
        <f>HYPERLINK("https://github.com/oliexdev/openScale/releases", "show")</f>
        <v>show</v>
      </c>
      <c r="I5261">
        <v>1</v>
      </c>
      <c r="J5261">
        <v>1</v>
      </c>
      <c r="K5261">
        <v>1</v>
      </c>
      <c r="L5261">
        <v>0</v>
      </c>
      <c r="M5261" t="s">
        <v>59</v>
      </c>
    </row>
    <row r="5262" spans="1:13" hidden="1" x14ac:dyDescent="0.15">
      <c r="A5262" t="s">
        <v>16602</v>
      </c>
      <c r="B5262" t="s">
        <v>16603</v>
      </c>
      <c r="C5262" t="s">
        <v>16604</v>
      </c>
      <c r="D5262" t="s">
        <v>16598</v>
      </c>
      <c r="E5262">
        <v>23</v>
      </c>
      <c r="F5262" t="str">
        <f>HYPERLINK("https://github.com/opensrp/opensrp-client-path-zeir/issues/62", "show")</f>
        <v>show</v>
      </c>
      <c r="G5262" t="str">
        <f>HYPERLINK("https://github.com/opensrp/opensrp-client-path-zeir", "show")</f>
        <v>show</v>
      </c>
      <c r="H5262" t="str">
        <f>HYPERLINK("https://github.com/opensrp/opensrp-client-path-zeir/releases", "show")</f>
        <v>show</v>
      </c>
      <c r="I5262">
        <v>1</v>
      </c>
      <c r="J5262">
        <v>0</v>
      </c>
      <c r="K5262">
        <v>0</v>
      </c>
      <c r="L5262">
        <v>1</v>
      </c>
      <c r="M5262" t="s">
        <v>29</v>
      </c>
    </row>
    <row r="5263" spans="1:13" hidden="1" x14ac:dyDescent="0.15">
      <c r="A5263" t="s">
        <v>16605</v>
      </c>
      <c r="B5263" t="s">
        <v>16606</v>
      </c>
      <c r="C5263" t="s">
        <v>16607</v>
      </c>
      <c r="D5263" t="s">
        <v>16598</v>
      </c>
      <c r="E5263">
        <v>13</v>
      </c>
      <c r="F5263" t="str">
        <f>HYPERLINK("https://github.com/MuntashirAkon/AppManager/issues/286", "show")</f>
        <v>show</v>
      </c>
      <c r="G5263" t="str">
        <f>HYPERLINK("https://github.com/MuntashirAkon/AppManager", "show")</f>
        <v>show</v>
      </c>
      <c r="H5263" t="str">
        <f>HYPERLINK("https://github.com/MuntashirAkon/AppManager/releases", "show")</f>
        <v>show</v>
      </c>
      <c r="I5263">
        <v>0</v>
      </c>
      <c r="J5263">
        <v>0</v>
      </c>
      <c r="K5263">
        <v>0</v>
      </c>
      <c r="L5263">
        <v>0</v>
      </c>
      <c r="M5263" t="s">
        <v>43</v>
      </c>
    </row>
    <row r="5264" spans="1:13" hidden="1" x14ac:dyDescent="0.15">
      <c r="A5264" t="s">
        <v>16608</v>
      </c>
      <c r="B5264" t="s">
        <v>16609</v>
      </c>
      <c r="C5264" t="s">
        <v>16610</v>
      </c>
      <c r="D5264" t="s">
        <v>16598</v>
      </c>
      <c r="E5264">
        <v>2</v>
      </c>
      <c r="F5264" t="str">
        <f>HYPERLINK("https://github.com/material-components/material-components-android/issues/2073", "show")</f>
        <v>show</v>
      </c>
      <c r="G5264" t="str">
        <f>HYPERLINK("https://github.com/material-components/material-components-android", "show")</f>
        <v>show</v>
      </c>
      <c r="H5264" t="str">
        <f>HYPERLINK("https://github.com/material-components/material-components-android/releases", "show")</f>
        <v>show</v>
      </c>
      <c r="I5264">
        <v>1</v>
      </c>
      <c r="J5264">
        <v>0</v>
      </c>
      <c r="K5264">
        <v>0</v>
      </c>
      <c r="L5264">
        <v>0</v>
      </c>
      <c r="M5264" t="s">
        <v>17</v>
      </c>
    </row>
    <row r="5265" spans="1:13" hidden="1" x14ac:dyDescent="0.15">
      <c r="A5265" t="s">
        <v>16611</v>
      </c>
      <c r="B5265" t="s">
        <v>16612</v>
      </c>
      <c r="C5265" t="s">
        <v>16613</v>
      </c>
      <c r="D5265" t="s">
        <v>16598</v>
      </c>
      <c r="E5265">
        <v>55</v>
      </c>
      <c r="F5265" t="str">
        <f>HYPERLINK("https://github.com/nextcloud/android/issues/7996", "show")</f>
        <v>show</v>
      </c>
      <c r="G5265" t="str">
        <f>HYPERLINK("https://github.com/nextcloud/android", "show")</f>
        <v>show</v>
      </c>
      <c r="H5265" t="str">
        <f>HYPERLINK("https://github.com/nextcloud/android/releases", "show")</f>
        <v>show</v>
      </c>
      <c r="I5265">
        <v>0</v>
      </c>
      <c r="J5265">
        <v>1</v>
      </c>
      <c r="K5265">
        <v>1</v>
      </c>
      <c r="L5265">
        <v>0</v>
      </c>
      <c r="M5265" t="s">
        <v>699</v>
      </c>
    </row>
    <row r="5266" spans="1:13" hidden="1" x14ac:dyDescent="0.15">
      <c r="A5266" t="s">
        <v>16614</v>
      </c>
      <c r="B5266" t="s">
        <v>16615</v>
      </c>
      <c r="C5266" t="s">
        <v>16616</v>
      </c>
      <c r="D5266" t="s">
        <v>16598</v>
      </c>
      <c r="E5266">
        <v>0</v>
      </c>
      <c r="F5266" t="str">
        <f>HYPERLINK("https://github.com/aws-amplify/amplify-android/issues/1174", "show")</f>
        <v>show</v>
      </c>
      <c r="G5266" t="str">
        <f>HYPERLINK("https://github.com/aws-amplify/amplify-android", "show")</f>
        <v>show</v>
      </c>
      <c r="H5266" t="str">
        <f>HYPERLINK("https://github.com/aws-amplify/amplify-android/releases", "show")</f>
        <v>show</v>
      </c>
      <c r="I5266">
        <v>1</v>
      </c>
      <c r="J5266">
        <v>0</v>
      </c>
      <c r="K5266">
        <v>1</v>
      </c>
      <c r="L5266">
        <v>0</v>
      </c>
      <c r="M5266" t="s">
        <v>64</v>
      </c>
    </row>
    <row r="5267" spans="1:13" hidden="1" x14ac:dyDescent="0.15">
      <c r="A5267" t="s">
        <v>16617</v>
      </c>
      <c r="B5267" t="s">
        <v>16618</v>
      </c>
      <c r="C5267" t="s">
        <v>16619</v>
      </c>
      <c r="D5267" t="s">
        <v>16598</v>
      </c>
      <c r="E5267">
        <v>2</v>
      </c>
      <c r="F5267" t="str">
        <f>HYPERLINK("https://github.com/MuntashirAkon/AppManager/issues/284", "show")</f>
        <v>show</v>
      </c>
      <c r="G5267" t="str">
        <f>HYPERLINK("https://github.com/MuntashirAkon/AppManager", "show")</f>
        <v>show</v>
      </c>
      <c r="H5267" t="str">
        <f>HYPERLINK("https://github.com/MuntashirAkon/AppManager/releases", "show")</f>
        <v>show</v>
      </c>
      <c r="I5267">
        <v>0</v>
      </c>
      <c r="J5267">
        <v>0</v>
      </c>
      <c r="K5267">
        <v>1</v>
      </c>
      <c r="L5267">
        <v>0</v>
      </c>
      <c r="M5267" t="s">
        <v>122</v>
      </c>
    </row>
    <row r="5268" spans="1:13" hidden="1" x14ac:dyDescent="0.15">
      <c r="A5268" t="s">
        <v>16620</v>
      </c>
      <c r="B5268" t="s">
        <v>16621</v>
      </c>
      <c r="C5268" t="s">
        <v>16622</v>
      </c>
      <c r="D5268" t="s">
        <v>16598</v>
      </c>
      <c r="E5268">
        <v>0</v>
      </c>
      <c r="F5268" t="str">
        <f>HYPERLINK("https://github.com/Anuken/Mindustry/issues/4693", "show")</f>
        <v>show</v>
      </c>
      <c r="G5268" t="str">
        <f>HYPERLINK("https://github.com/Anuken/Mindustry", "show")</f>
        <v>show</v>
      </c>
      <c r="H5268" t="str">
        <f>HYPERLINK("https://github.com/Anuken/Mindustry/releases", "show")</f>
        <v>show</v>
      </c>
      <c r="I5268">
        <v>1</v>
      </c>
      <c r="J5268">
        <v>0</v>
      </c>
      <c r="K5268">
        <v>1</v>
      </c>
      <c r="L5268">
        <v>0</v>
      </c>
      <c r="M5268" t="s">
        <v>64</v>
      </c>
    </row>
    <row r="5269" spans="1:13" hidden="1" x14ac:dyDescent="0.15">
      <c r="A5269" t="s">
        <v>16623</v>
      </c>
      <c r="B5269" t="s">
        <v>16624</v>
      </c>
      <c r="C5269" t="s">
        <v>16625</v>
      </c>
      <c r="D5269" t="s">
        <v>16598</v>
      </c>
      <c r="E5269">
        <v>0</v>
      </c>
      <c r="F5269" t="str">
        <f>HYPERLINK("https://github.com/Anuken/Mindustry/issues/4692", "show")</f>
        <v>show</v>
      </c>
      <c r="G5269" t="str">
        <f>HYPERLINK("https://github.com/Anuken/Mindustry", "show")</f>
        <v>show</v>
      </c>
      <c r="H5269" t="str">
        <f>HYPERLINK("https://github.com/Anuken/Mindustry/releases", "show")</f>
        <v>show</v>
      </c>
      <c r="I5269">
        <v>1</v>
      </c>
      <c r="J5269">
        <v>1</v>
      </c>
      <c r="K5269">
        <v>0</v>
      </c>
      <c r="L5269">
        <v>0</v>
      </c>
      <c r="M5269" t="s">
        <v>48</v>
      </c>
    </row>
    <row r="5270" spans="1:13" hidden="1" x14ac:dyDescent="0.15">
      <c r="A5270" t="s">
        <v>16626</v>
      </c>
      <c r="B5270" t="s">
        <v>16627</v>
      </c>
      <c r="C5270" t="s">
        <v>16628</v>
      </c>
      <c r="D5270" t="s">
        <v>16629</v>
      </c>
      <c r="E5270">
        <v>2</v>
      </c>
      <c r="F5270" t="str">
        <f>HYPERLINK("https://github.com/commons-app/apps-android-commons/issues/4232", "show")</f>
        <v>show</v>
      </c>
      <c r="G5270" t="str">
        <f>HYPERLINK("https://github.com/commons-app/apps-android-commons", "show")</f>
        <v>show</v>
      </c>
      <c r="H5270" t="str">
        <f>HYPERLINK("https://github.com/commons-app/apps-android-commons/releases", "show")</f>
        <v>show</v>
      </c>
      <c r="I5270">
        <v>1</v>
      </c>
      <c r="J5270">
        <v>0</v>
      </c>
      <c r="K5270">
        <v>1</v>
      </c>
      <c r="L5270">
        <v>0</v>
      </c>
      <c r="M5270" t="s">
        <v>64</v>
      </c>
    </row>
    <row r="5271" spans="1:13" hidden="1" x14ac:dyDescent="0.15">
      <c r="A5271" t="s">
        <v>16630</v>
      </c>
      <c r="B5271" t="s">
        <v>16631</v>
      </c>
      <c r="C5271" t="s">
        <v>16632</v>
      </c>
      <c r="D5271" t="s">
        <v>16629</v>
      </c>
      <c r="E5271">
        <v>2</v>
      </c>
      <c r="F5271" t="str">
        <f>HYPERLINK("https://github.com/nextcloud/android/issues/7990", "show")</f>
        <v>show</v>
      </c>
      <c r="G5271" t="str">
        <f>HYPERLINK("https://github.com/nextcloud/android", "show")</f>
        <v>show</v>
      </c>
      <c r="H5271" t="str">
        <f>HYPERLINK("https://github.com/nextcloud/android/releases", "show")</f>
        <v>show</v>
      </c>
      <c r="I5271">
        <v>1</v>
      </c>
      <c r="J5271">
        <v>1</v>
      </c>
      <c r="K5271">
        <v>1</v>
      </c>
      <c r="L5271">
        <v>0</v>
      </c>
      <c r="M5271" t="s">
        <v>59</v>
      </c>
    </row>
    <row r="5272" spans="1:13" hidden="1" x14ac:dyDescent="0.15">
      <c r="A5272" t="s">
        <v>16633</v>
      </c>
      <c r="B5272" t="s">
        <v>16634</v>
      </c>
      <c r="C5272" t="s">
        <v>16635</v>
      </c>
      <c r="D5272" t="s">
        <v>16629</v>
      </c>
      <c r="E5272">
        <v>2</v>
      </c>
      <c r="F5272" t="str">
        <f>HYPERLINK("https://github.com/nextcloud/android/issues/7989", "show")</f>
        <v>show</v>
      </c>
      <c r="G5272" t="str">
        <f>HYPERLINK("https://github.com/nextcloud/android", "show")</f>
        <v>show</v>
      </c>
      <c r="H5272" t="str">
        <f>HYPERLINK("https://github.com/nextcloud/android/releases", "show")</f>
        <v>show</v>
      </c>
      <c r="I5272">
        <v>1</v>
      </c>
      <c r="J5272">
        <v>0</v>
      </c>
      <c r="K5272">
        <v>1</v>
      </c>
      <c r="L5272">
        <v>0</v>
      </c>
      <c r="M5272" t="s">
        <v>64</v>
      </c>
    </row>
    <row r="5273" spans="1:13" hidden="1" x14ac:dyDescent="0.15">
      <c r="A5273" t="s">
        <v>16636</v>
      </c>
      <c r="B5273" t="s">
        <v>16637</v>
      </c>
      <c r="C5273" t="s">
        <v>16638</v>
      </c>
      <c r="D5273" t="s">
        <v>16629</v>
      </c>
      <c r="E5273">
        <v>0</v>
      </c>
      <c r="F5273" t="str">
        <f>HYPERLINK("https://github.com/Anuken/Mindustry/issues/4685", "show")</f>
        <v>show</v>
      </c>
      <c r="G5273" t="str">
        <f>HYPERLINK("https://github.com/Anuken/Mindustry", "show")</f>
        <v>show</v>
      </c>
      <c r="H5273" t="str">
        <f>HYPERLINK("https://github.com/Anuken/Mindustry/releases", "show")</f>
        <v>show</v>
      </c>
      <c r="I5273">
        <v>0</v>
      </c>
      <c r="J5273">
        <v>0</v>
      </c>
      <c r="K5273">
        <v>0</v>
      </c>
      <c r="L5273">
        <v>0</v>
      </c>
      <c r="M5273" t="s">
        <v>43</v>
      </c>
    </row>
    <row r="5274" spans="1:13" hidden="1" x14ac:dyDescent="0.15">
      <c r="A5274" t="s">
        <v>16639</v>
      </c>
      <c r="B5274" t="s">
        <v>16640</v>
      </c>
      <c r="C5274" t="s">
        <v>16641</v>
      </c>
      <c r="D5274" t="s">
        <v>16629</v>
      </c>
      <c r="E5274">
        <v>8</v>
      </c>
      <c r="F5274" t="str">
        <f>HYPERLINK("https://github.com/nextcloud/android/issues/7988", "show")</f>
        <v>show</v>
      </c>
      <c r="G5274" t="str">
        <f>HYPERLINK("https://github.com/nextcloud/android", "show")</f>
        <v>show</v>
      </c>
      <c r="H5274" t="str">
        <f>HYPERLINK("https://github.com/nextcloud/android/releases", "show")</f>
        <v>show</v>
      </c>
      <c r="I5274">
        <v>1</v>
      </c>
      <c r="J5274">
        <v>1</v>
      </c>
      <c r="K5274">
        <v>0</v>
      </c>
      <c r="L5274">
        <v>0</v>
      </c>
      <c r="M5274" t="s">
        <v>48</v>
      </c>
    </row>
    <row r="5275" spans="1:13" hidden="1" x14ac:dyDescent="0.15">
      <c r="A5275" t="s">
        <v>16642</v>
      </c>
      <c r="B5275" t="s">
        <v>16643</v>
      </c>
      <c r="C5275" t="s">
        <v>16644</v>
      </c>
      <c r="D5275" t="s">
        <v>16629</v>
      </c>
      <c r="E5275">
        <v>17</v>
      </c>
      <c r="F5275" t="str">
        <f>HYPERLINK("https://github.com/TeamNewPipe/NewPipe/issues/5596", "show")</f>
        <v>show</v>
      </c>
      <c r="G5275" t="str">
        <f>HYPERLINK("https://github.com/TeamNewPipe/NewPipe", "show")</f>
        <v>show</v>
      </c>
      <c r="H5275" t="str">
        <f>HYPERLINK("https://github.com/TeamNewPipe/NewPipe/releases", "show")</f>
        <v>show</v>
      </c>
      <c r="I5275">
        <v>1</v>
      </c>
      <c r="J5275">
        <v>1</v>
      </c>
      <c r="K5275">
        <v>0</v>
      </c>
      <c r="L5275">
        <v>0</v>
      </c>
      <c r="M5275" t="s">
        <v>48</v>
      </c>
    </row>
    <row r="5276" spans="1:13" hidden="1" x14ac:dyDescent="0.15">
      <c r="A5276" t="s">
        <v>16645</v>
      </c>
      <c r="B5276" t="s">
        <v>11287</v>
      </c>
      <c r="C5276" t="s">
        <v>16646</v>
      </c>
      <c r="D5276" t="s">
        <v>16629</v>
      </c>
      <c r="E5276">
        <v>73</v>
      </c>
      <c r="F5276" t="str">
        <f>HYPERLINK("https://github.com/PojavLauncherTeam/PojavLauncher/issues/896", "show")</f>
        <v>show</v>
      </c>
      <c r="G5276" t="str">
        <f>HYPERLINK("https://github.com/PojavLauncherTeam/PojavLauncher", "show")</f>
        <v>show</v>
      </c>
      <c r="H5276" t="str">
        <f>HYPERLINK("https://github.com/PojavLauncherTeam/PojavLauncher/releases", "show")</f>
        <v>show</v>
      </c>
      <c r="I5276">
        <v>1</v>
      </c>
      <c r="J5276">
        <v>0</v>
      </c>
      <c r="K5276">
        <v>0</v>
      </c>
      <c r="L5276">
        <v>0</v>
      </c>
      <c r="M5276" t="s">
        <v>17</v>
      </c>
    </row>
    <row r="5277" spans="1:13" hidden="1" x14ac:dyDescent="0.15">
      <c r="A5277" t="s">
        <v>16647</v>
      </c>
      <c r="B5277" t="s">
        <v>16648</v>
      </c>
      <c r="C5277" t="s">
        <v>16649</v>
      </c>
      <c r="D5277" t="s">
        <v>16629</v>
      </c>
      <c r="E5277">
        <v>28</v>
      </c>
      <c r="F5277" t="str">
        <f>HYPERLINK("https://github.com/nextcloud/android/issues/7986", "show")</f>
        <v>show</v>
      </c>
      <c r="G5277" t="str">
        <f>HYPERLINK("https://github.com/nextcloud/android", "show")</f>
        <v>show</v>
      </c>
      <c r="H5277" t="str">
        <f>HYPERLINK("https://github.com/nextcloud/android/releases", "show")</f>
        <v>show</v>
      </c>
      <c r="I5277">
        <v>0</v>
      </c>
      <c r="J5277">
        <v>0</v>
      </c>
      <c r="K5277">
        <v>0</v>
      </c>
      <c r="L5277">
        <v>0</v>
      </c>
      <c r="M5277" t="s">
        <v>43</v>
      </c>
    </row>
    <row r="5278" spans="1:13" hidden="1" x14ac:dyDescent="0.15">
      <c r="A5278" t="s">
        <v>16650</v>
      </c>
      <c r="B5278" t="s">
        <v>16651</v>
      </c>
      <c r="C5278" t="s">
        <v>16652</v>
      </c>
      <c r="D5278" t="s">
        <v>16629</v>
      </c>
      <c r="E5278">
        <v>0</v>
      </c>
      <c r="F5278" t="str">
        <f>HYPERLINK("https://github.com/Anuken/Mindustry/issues/4680", "show")</f>
        <v>show</v>
      </c>
      <c r="G5278" t="str">
        <f>HYPERLINK("https://github.com/Anuken/Mindustry", "show")</f>
        <v>show</v>
      </c>
      <c r="H5278" t="str">
        <f>HYPERLINK("https://github.com/Anuken/Mindustry/releases", "show")</f>
        <v>show</v>
      </c>
      <c r="I5278">
        <v>0</v>
      </c>
      <c r="J5278">
        <v>0</v>
      </c>
      <c r="K5278">
        <v>0</v>
      </c>
      <c r="L5278">
        <v>1</v>
      </c>
      <c r="M5278" t="s">
        <v>581</v>
      </c>
    </row>
    <row r="5279" spans="1:13" hidden="1" x14ac:dyDescent="0.15">
      <c r="A5279" t="s">
        <v>16653</v>
      </c>
      <c r="B5279" t="s">
        <v>16654</v>
      </c>
      <c r="C5279" t="s">
        <v>16655</v>
      </c>
      <c r="D5279" t="s">
        <v>16629</v>
      </c>
      <c r="E5279">
        <v>0</v>
      </c>
      <c r="F5279" t="str">
        <f>HYPERLINK("https://github.com/woesss/JL-Mod/issues/22", "show")</f>
        <v>show</v>
      </c>
      <c r="G5279" t="str">
        <f>HYPERLINK("https://github.com/woesss/JL-Mod", "show")</f>
        <v>show</v>
      </c>
      <c r="H5279" t="str">
        <f>HYPERLINK("https://github.com/woesss/JL-Mod/releases", "show")</f>
        <v>show</v>
      </c>
      <c r="I5279">
        <v>0</v>
      </c>
      <c r="J5279">
        <v>0</v>
      </c>
      <c r="K5279">
        <v>0</v>
      </c>
      <c r="L5279">
        <v>1</v>
      </c>
      <c r="M5279" t="s">
        <v>581</v>
      </c>
    </row>
    <row r="5280" spans="1:13" hidden="1" x14ac:dyDescent="0.15">
      <c r="A5280" t="s">
        <v>16656</v>
      </c>
      <c r="B5280" t="s">
        <v>16657</v>
      </c>
      <c r="C5280" t="s">
        <v>16658</v>
      </c>
      <c r="D5280" t="s">
        <v>16659</v>
      </c>
      <c r="E5280">
        <v>1</v>
      </c>
      <c r="F5280" t="str">
        <f>HYPERLINK("https://github.com/cgeo/cgeo/issues/10016", "show")</f>
        <v>show</v>
      </c>
      <c r="G5280" t="str">
        <f>HYPERLINK("https://github.com/cgeo/cgeo", "show")</f>
        <v>show</v>
      </c>
      <c r="H5280" t="str">
        <f>HYPERLINK("https://github.com/cgeo/cgeo/releases", "show")</f>
        <v>show</v>
      </c>
      <c r="I5280">
        <v>1</v>
      </c>
      <c r="J5280">
        <v>0</v>
      </c>
      <c r="K5280">
        <v>1</v>
      </c>
      <c r="L5280">
        <v>0</v>
      </c>
      <c r="M5280" t="s">
        <v>64</v>
      </c>
    </row>
    <row r="5281" spans="1:13" hidden="1" x14ac:dyDescent="0.15">
      <c r="A5281" t="s">
        <v>16660</v>
      </c>
      <c r="B5281" t="s">
        <v>16661</v>
      </c>
      <c r="C5281" t="s">
        <v>16662</v>
      </c>
      <c r="D5281" t="s">
        <v>16659</v>
      </c>
      <c r="E5281">
        <v>45</v>
      </c>
      <c r="F5281" t="str">
        <f>HYPERLINK("https://github.com/TeamNewPipe/NewPipe/issues/5587", "show")</f>
        <v>show</v>
      </c>
      <c r="G5281" t="str">
        <f>HYPERLINK("https://github.com/TeamNewPipe/NewPipe", "show")</f>
        <v>show</v>
      </c>
      <c r="H5281" t="str">
        <f>HYPERLINK("https://github.com/TeamNewPipe/NewPipe/releases", "show")</f>
        <v>show</v>
      </c>
      <c r="I5281">
        <v>1</v>
      </c>
      <c r="J5281">
        <v>1</v>
      </c>
      <c r="K5281">
        <v>1</v>
      </c>
      <c r="L5281">
        <v>0</v>
      </c>
      <c r="M5281" t="s">
        <v>59</v>
      </c>
    </row>
    <row r="5282" spans="1:13" hidden="1" x14ac:dyDescent="0.15">
      <c r="A5282" t="s">
        <v>16663</v>
      </c>
      <c r="B5282" t="s">
        <v>16664</v>
      </c>
      <c r="C5282" t="s">
        <v>16665</v>
      </c>
      <c r="D5282" t="s">
        <v>16659</v>
      </c>
      <c r="E5282">
        <v>0</v>
      </c>
      <c r="F5282" t="str">
        <f>HYPERLINK("https://github.com/uscki/Wilson-Android/issues/136", "show")</f>
        <v>show</v>
      </c>
      <c r="G5282" t="str">
        <f>HYPERLINK("https://github.com/uscki/Wilson-Android", "show")</f>
        <v>show</v>
      </c>
      <c r="H5282" t="str">
        <f>HYPERLINK("https://github.com/uscki/Wilson-Android/releases", "show")</f>
        <v>show</v>
      </c>
      <c r="I5282">
        <v>0</v>
      </c>
      <c r="J5282">
        <v>0</v>
      </c>
      <c r="K5282">
        <v>0</v>
      </c>
      <c r="L5282">
        <v>0</v>
      </c>
      <c r="M5282" t="s">
        <v>43</v>
      </c>
    </row>
    <row r="5283" spans="1:13" hidden="1" x14ac:dyDescent="0.15">
      <c r="A5283" t="s">
        <v>16666</v>
      </c>
      <c r="B5283" t="s">
        <v>16667</v>
      </c>
      <c r="C5283" t="s">
        <v>16668</v>
      </c>
      <c r="D5283" t="s">
        <v>16659</v>
      </c>
      <c r="E5283">
        <v>0</v>
      </c>
      <c r="F5283" t="str">
        <f>HYPERLINK("https://github.com/uscki/Wilson-Android/issues/50", "show")</f>
        <v>show</v>
      </c>
      <c r="G5283" t="str">
        <f>HYPERLINK("https://github.com/uscki/Wilson-Android", "show")</f>
        <v>show</v>
      </c>
      <c r="H5283" t="str">
        <f>HYPERLINK("https://github.com/uscki/Wilson-Android/releases", "show")</f>
        <v>show</v>
      </c>
      <c r="I5283">
        <v>0</v>
      </c>
      <c r="J5283">
        <v>0</v>
      </c>
      <c r="K5283">
        <v>0</v>
      </c>
      <c r="L5283">
        <v>0</v>
      </c>
      <c r="M5283" t="s">
        <v>43</v>
      </c>
    </row>
    <row r="5284" spans="1:13" hidden="1" x14ac:dyDescent="0.15">
      <c r="A5284" t="s">
        <v>16669</v>
      </c>
      <c r="B5284" t="s">
        <v>16670</v>
      </c>
      <c r="C5284" t="s">
        <v>16671</v>
      </c>
      <c r="D5284" t="s">
        <v>16659</v>
      </c>
      <c r="E5284">
        <v>0</v>
      </c>
      <c r="F5284" t="str">
        <f>HYPERLINK("https://github.com/uscki/Wilson-Android/issues/42", "show")</f>
        <v>show</v>
      </c>
      <c r="G5284" t="str">
        <f>HYPERLINK("https://github.com/uscki/Wilson-Android", "show")</f>
        <v>show</v>
      </c>
      <c r="H5284" t="str">
        <f>HYPERLINK("https://github.com/uscki/Wilson-Android/releases", "show")</f>
        <v>show</v>
      </c>
      <c r="I5284">
        <v>0</v>
      </c>
      <c r="J5284">
        <v>0</v>
      </c>
      <c r="K5284">
        <v>0</v>
      </c>
      <c r="L5284">
        <v>0</v>
      </c>
      <c r="M5284" t="s">
        <v>43</v>
      </c>
    </row>
    <row r="5285" spans="1:13" hidden="1" x14ac:dyDescent="0.15">
      <c r="A5285" t="s">
        <v>16672</v>
      </c>
      <c r="B5285" t="s">
        <v>16673</v>
      </c>
      <c r="C5285" t="s">
        <v>16674</v>
      </c>
      <c r="D5285" t="s">
        <v>16659</v>
      </c>
      <c r="E5285">
        <v>0</v>
      </c>
      <c r="F5285" t="str">
        <f>HYPERLINK("https://github.com/uscki/Wilson-Android/issues/18", "show")</f>
        <v>show</v>
      </c>
      <c r="G5285" t="str">
        <f>HYPERLINK("https://github.com/uscki/Wilson-Android", "show")</f>
        <v>show</v>
      </c>
      <c r="H5285" t="str">
        <f>HYPERLINK("https://github.com/uscki/Wilson-Android/releases", "show")</f>
        <v>show</v>
      </c>
      <c r="I5285">
        <v>0</v>
      </c>
      <c r="J5285">
        <v>0</v>
      </c>
      <c r="K5285">
        <v>0</v>
      </c>
      <c r="L5285">
        <v>0</v>
      </c>
      <c r="M5285" t="s">
        <v>43</v>
      </c>
    </row>
    <row r="5286" spans="1:13" hidden="1" x14ac:dyDescent="0.15">
      <c r="A5286" t="s">
        <v>16675</v>
      </c>
      <c r="B5286" t="s">
        <v>16676</v>
      </c>
      <c r="C5286" t="s">
        <v>16677</v>
      </c>
      <c r="D5286" t="s">
        <v>16659</v>
      </c>
      <c r="E5286">
        <v>0</v>
      </c>
      <c r="F5286" t="str">
        <f>HYPERLINK("https://github.com/uscki/Wilson-Android/issues/16", "show")</f>
        <v>show</v>
      </c>
      <c r="G5286" t="str">
        <f>HYPERLINK("https://github.com/uscki/Wilson-Android", "show")</f>
        <v>show</v>
      </c>
      <c r="H5286" t="str">
        <f>HYPERLINK("https://github.com/uscki/Wilson-Android/releases", "show")</f>
        <v>show</v>
      </c>
      <c r="I5286">
        <v>0</v>
      </c>
      <c r="J5286">
        <v>0</v>
      </c>
      <c r="K5286">
        <v>0</v>
      </c>
      <c r="L5286">
        <v>0</v>
      </c>
      <c r="M5286" t="s">
        <v>43</v>
      </c>
    </row>
    <row r="5287" spans="1:13" hidden="1" x14ac:dyDescent="0.15">
      <c r="A5287" t="s">
        <v>16678</v>
      </c>
      <c r="B5287" t="s">
        <v>16679</v>
      </c>
      <c r="C5287" t="s">
        <v>16680</v>
      </c>
      <c r="D5287" t="s">
        <v>16659</v>
      </c>
      <c r="E5287">
        <v>2</v>
      </c>
      <c r="F5287" t="str">
        <f>HYPERLINK("https://github.com/deltachat/deltachat-android/issues/1807", "show")</f>
        <v>show</v>
      </c>
      <c r="G5287" t="str">
        <f>HYPERLINK("https://github.com/deltachat/deltachat-android", "show")</f>
        <v>show</v>
      </c>
      <c r="H5287" t="str">
        <f>HYPERLINK("https://github.com/deltachat/deltachat-android/releases", "show")</f>
        <v>show</v>
      </c>
      <c r="I5287">
        <v>1</v>
      </c>
      <c r="J5287">
        <v>0</v>
      </c>
      <c r="K5287">
        <v>0</v>
      </c>
      <c r="L5287">
        <v>1</v>
      </c>
      <c r="M5287" t="s">
        <v>29</v>
      </c>
    </row>
    <row r="5288" spans="1:13" hidden="1" x14ac:dyDescent="0.15">
      <c r="A5288" t="s">
        <v>16681</v>
      </c>
      <c r="B5288" t="s">
        <v>16682</v>
      </c>
      <c r="C5288" t="s">
        <v>16683</v>
      </c>
      <c r="D5288" t="s">
        <v>16659</v>
      </c>
      <c r="E5288">
        <v>11</v>
      </c>
      <c r="F5288" t="str">
        <f>HYPERLINK("https://github.com/nextcloud/android/issues/7983", "show")</f>
        <v>show</v>
      </c>
      <c r="G5288" t="str">
        <f>HYPERLINK("https://github.com/nextcloud/android", "show")</f>
        <v>show</v>
      </c>
      <c r="H5288" t="str">
        <f>HYPERLINK("https://github.com/nextcloud/android/releases", "show")</f>
        <v>show</v>
      </c>
      <c r="I5288">
        <v>1</v>
      </c>
      <c r="J5288">
        <v>1</v>
      </c>
      <c r="K5288">
        <v>1</v>
      </c>
      <c r="L5288">
        <v>0</v>
      </c>
      <c r="M5288" t="s">
        <v>59</v>
      </c>
    </row>
    <row r="5289" spans="1:13" hidden="1" x14ac:dyDescent="0.15">
      <c r="A5289" t="s">
        <v>16684</v>
      </c>
      <c r="B5289" t="s">
        <v>16685</v>
      </c>
      <c r="C5289" t="s">
        <v>16686</v>
      </c>
      <c r="D5289" t="s">
        <v>16659</v>
      </c>
      <c r="E5289">
        <v>201</v>
      </c>
      <c r="F5289" t="str">
        <f>HYPERLINK("https://github.com/PojavLauncherTeam/PojavLauncher/issues/885", "show")</f>
        <v>show</v>
      </c>
      <c r="G5289" t="str">
        <f>HYPERLINK("https://github.com/PojavLauncherTeam/PojavLauncher", "show")</f>
        <v>show</v>
      </c>
      <c r="H5289" t="str">
        <f>HYPERLINK("https://github.com/PojavLauncherTeam/PojavLauncher/releases", "show")</f>
        <v>show</v>
      </c>
      <c r="I5289">
        <v>1</v>
      </c>
      <c r="J5289">
        <v>1</v>
      </c>
      <c r="K5289">
        <v>0</v>
      </c>
      <c r="L5289">
        <v>0</v>
      </c>
      <c r="M5289" t="s">
        <v>48</v>
      </c>
    </row>
    <row r="5290" spans="1:13" hidden="1" x14ac:dyDescent="0.15">
      <c r="A5290" t="s">
        <v>16687</v>
      </c>
      <c r="B5290" t="s">
        <v>16688</v>
      </c>
      <c r="C5290" t="s">
        <v>16689</v>
      </c>
      <c r="D5290" t="s">
        <v>16659</v>
      </c>
      <c r="E5290">
        <v>202</v>
      </c>
      <c r="F5290" t="str">
        <f>HYPERLINK("https://github.com/PojavLauncherTeam/PojavLauncher/issues/884", "show")</f>
        <v>show</v>
      </c>
      <c r="G5290" t="str">
        <f>HYPERLINK("https://github.com/PojavLauncherTeam/PojavLauncher", "show")</f>
        <v>show</v>
      </c>
      <c r="H5290" t="str">
        <f>HYPERLINK("https://github.com/PojavLauncherTeam/PojavLauncher/releases", "show")</f>
        <v>show</v>
      </c>
      <c r="I5290">
        <v>1</v>
      </c>
      <c r="J5290">
        <v>1</v>
      </c>
      <c r="K5290">
        <v>1</v>
      </c>
      <c r="L5290">
        <v>0</v>
      </c>
      <c r="M5290" t="s">
        <v>59</v>
      </c>
    </row>
    <row r="5291" spans="1:13" hidden="1" x14ac:dyDescent="0.15">
      <c r="A5291" t="s">
        <v>16690</v>
      </c>
      <c r="B5291" t="s">
        <v>16691</v>
      </c>
      <c r="C5291" t="s">
        <v>16692</v>
      </c>
      <c r="D5291" t="s">
        <v>16659</v>
      </c>
      <c r="E5291">
        <v>207</v>
      </c>
      <c r="F5291" t="str">
        <f>HYPERLINK("https://github.com/TeamNewPipe/NewPipe/issues/5582", "show")</f>
        <v>show</v>
      </c>
      <c r="G5291" t="str">
        <f>HYPERLINK("https://github.com/TeamNewPipe/NewPipe", "show")</f>
        <v>show</v>
      </c>
      <c r="H5291" t="str">
        <f>HYPERLINK("https://github.com/TeamNewPipe/NewPipe/releases", "show")</f>
        <v>show</v>
      </c>
      <c r="I5291">
        <v>1</v>
      </c>
      <c r="J5291">
        <v>1</v>
      </c>
      <c r="K5291">
        <v>1</v>
      </c>
      <c r="L5291">
        <v>0</v>
      </c>
      <c r="M5291" t="s">
        <v>59</v>
      </c>
    </row>
    <row r="5292" spans="1:13" hidden="1" x14ac:dyDescent="0.15">
      <c r="A5292" t="s">
        <v>16693</v>
      </c>
      <c r="B5292" t="s">
        <v>16694</v>
      </c>
      <c r="C5292" t="s">
        <v>16695</v>
      </c>
      <c r="D5292" t="s">
        <v>16659</v>
      </c>
      <c r="E5292">
        <v>8</v>
      </c>
      <c r="F5292" t="str">
        <f>HYPERLINK("https://github.com/nextcloud/android/issues/7980", "show")</f>
        <v>show</v>
      </c>
      <c r="G5292" t="str">
        <f>HYPERLINK("https://github.com/nextcloud/android", "show")</f>
        <v>show</v>
      </c>
      <c r="H5292" t="str">
        <f>HYPERLINK("https://github.com/nextcloud/android/releases", "show")</f>
        <v>show</v>
      </c>
      <c r="I5292">
        <v>1</v>
      </c>
      <c r="J5292">
        <v>1</v>
      </c>
      <c r="K5292">
        <v>0</v>
      </c>
      <c r="L5292">
        <v>0</v>
      </c>
      <c r="M5292" t="s">
        <v>48</v>
      </c>
    </row>
    <row r="5293" spans="1:13" hidden="1" x14ac:dyDescent="0.15">
      <c r="A5293" t="s">
        <v>16696</v>
      </c>
      <c r="B5293" t="s">
        <v>16697</v>
      </c>
      <c r="C5293" t="s">
        <v>12185</v>
      </c>
      <c r="D5293" t="s">
        <v>16659</v>
      </c>
      <c r="E5293">
        <v>39</v>
      </c>
      <c r="F5293" t="str">
        <f>HYPERLINK("https://github.com/nextcloud/android/issues/7979", "show")</f>
        <v>show</v>
      </c>
      <c r="G5293" t="str">
        <f>HYPERLINK("https://github.com/nextcloud/android", "show")</f>
        <v>show</v>
      </c>
      <c r="H5293" t="str">
        <f>HYPERLINK("https://github.com/nextcloud/android/releases", "show")</f>
        <v>show</v>
      </c>
      <c r="I5293">
        <v>0</v>
      </c>
      <c r="J5293">
        <v>0</v>
      </c>
      <c r="K5293">
        <v>1</v>
      </c>
      <c r="L5293">
        <v>0</v>
      </c>
      <c r="M5293" t="s">
        <v>122</v>
      </c>
    </row>
    <row r="5294" spans="1:13" hidden="1" x14ac:dyDescent="0.15">
      <c r="A5294" t="s">
        <v>16698</v>
      </c>
      <c r="B5294" t="s">
        <v>16699</v>
      </c>
      <c r="C5294" t="s">
        <v>16700</v>
      </c>
      <c r="D5294" t="s">
        <v>16701</v>
      </c>
      <c r="E5294">
        <v>4</v>
      </c>
      <c r="F5294" t="str">
        <f>HYPERLINK("https://github.com/nextcloud/android/issues/7974", "show")</f>
        <v>show</v>
      </c>
      <c r="G5294" t="str">
        <f>HYPERLINK("https://github.com/nextcloud/android", "show")</f>
        <v>show</v>
      </c>
      <c r="H5294" t="str">
        <f>HYPERLINK("https://github.com/nextcloud/android/releases", "show")</f>
        <v>show</v>
      </c>
      <c r="I5294">
        <v>1</v>
      </c>
      <c r="J5294">
        <v>1</v>
      </c>
      <c r="K5294">
        <v>1</v>
      </c>
      <c r="L5294">
        <v>0</v>
      </c>
      <c r="M5294" t="s">
        <v>59</v>
      </c>
    </row>
    <row r="5295" spans="1:13" hidden="1" x14ac:dyDescent="0.15">
      <c r="A5295" t="s">
        <v>16702</v>
      </c>
      <c r="B5295" t="s">
        <v>16703</v>
      </c>
      <c r="C5295" t="s">
        <v>16704</v>
      </c>
      <c r="D5295" t="s">
        <v>16701</v>
      </c>
      <c r="E5295">
        <v>0</v>
      </c>
      <c r="F5295" t="str">
        <f>HYPERLINK("https://github.com/PojavLauncherTeam/PojavLauncher/issues/872", "show")</f>
        <v>show</v>
      </c>
      <c r="G5295" t="str">
        <f>HYPERLINK("https://github.com/PojavLauncherTeam/PojavLauncher", "show")</f>
        <v>show</v>
      </c>
      <c r="H5295" t="str">
        <f>HYPERLINK("https://github.com/PojavLauncherTeam/PojavLauncher/releases", "show")</f>
        <v>show</v>
      </c>
      <c r="I5295">
        <v>1</v>
      </c>
      <c r="J5295">
        <v>1</v>
      </c>
      <c r="K5295">
        <v>1</v>
      </c>
      <c r="L5295">
        <v>0</v>
      </c>
      <c r="M5295" t="s">
        <v>59</v>
      </c>
    </row>
    <row r="5296" spans="1:13" hidden="1" x14ac:dyDescent="0.15">
      <c r="A5296" t="s">
        <v>16705</v>
      </c>
      <c r="B5296" t="s">
        <v>16706</v>
      </c>
      <c r="C5296" t="s">
        <v>16707</v>
      </c>
      <c r="D5296" t="s">
        <v>16708</v>
      </c>
      <c r="E5296">
        <v>8</v>
      </c>
      <c r="F5296" t="str">
        <f>HYPERLINK("https://github.com/patzly/grocy-android/issues/351", "show")</f>
        <v>show</v>
      </c>
      <c r="G5296" t="str">
        <f>HYPERLINK("https://github.com/patzly/grocy-android", "show")</f>
        <v>show</v>
      </c>
      <c r="H5296" t="str">
        <f>HYPERLINK("https://github.com/patzly/grocy-android/releases", "show")</f>
        <v>show</v>
      </c>
      <c r="I5296">
        <v>1</v>
      </c>
      <c r="J5296">
        <v>0</v>
      </c>
      <c r="K5296">
        <v>1</v>
      </c>
      <c r="L5296">
        <v>0</v>
      </c>
      <c r="M5296" t="s">
        <v>64</v>
      </c>
    </row>
    <row r="5297" spans="1:13" hidden="1" x14ac:dyDescent="0.15">
      <c r="A5297" t="s">
        <v>16709</v>
      </c>
      <c r="B5297" t="s">
        <v>16710</v>
      </c>
      <c r="C5297" t="s">
        <v>16711</v>
      </c>
      <c r="D5297" t="s">
        <v>16708</v>
      </c>
      <c r="E5297">
        <v>26</v>
      </c>
      <c r="F5297" t="str">
        <f>HYPERLINK("https://github.com/SkyTubeTeam/SkyTube/issues/921", "show")</f>
        <v>show</v>
      </c>
      <c r="G5297" t="str">
        <f>HYPERLINK("https://github.com/SkyTubeTeam/SkyTube", "show")</f>
        <v>show</v>
      </c>
      <c r="H5297" t="str">
        <f>HYPERLINK("https://github.com/SkyTubeTeam/SkyTube/releases", "show")</f>
        <v>show</v>
      </c>
      <c r="I5297">
        <v>1</v>
      </c>
      <c r="J5297">
        <v>1</v>
      </c>
      <c r="K5297">
        <v>0</v>
      </c>
      <c r="L5297">
        <v>1</v>
      </c>
      <c r="M5297" t="s">
        <v>1894</v>
      </c>
    </row>
    <row r="5298" spans="1:13" hidden="1" x14ac:dyDescent="0.15">
      <c r="A5298" t="s">
        <v>16712</v>
      </c>
      <c r="B5298" t="s">
        <v>16713</v>
      </c>
      <c r="C5298" t="s">
        <v>16714</v>
      </c>
      <c r="D5298" t="s">
        <v>16708</v>
      </c>
      <c r="E5298">
        <v>4</v>
      </c>
      <c r="F5298" t="str">
        <f>HYPERLINK("https://github.com/opensrp/opensrp-client-chw/issues/1700", "show")</f>
        <v>show</v>
      </c>
      <c r="G5298" t="str">
        <f>HYPERLINK("https://github.com/opensrp/opensrp-client-chw", "show")</f>
        <v>show</v>
      </c>
      <c r="H5298" t="str">
        <f>HYPERLINK("https://github.com/opensrp/opensrp-client-chw/releases", "show")</f>
        <v>show</v>
      </c>
      <c r="I5298">
        <v>1</v>
      </c>
      <c r="J5298">
        <v>1</v>
      </c>
      <c r="K5298">
        <v>0</v>
      </c>
      <c r="L5298">
        <v>0</v>
      </c>
      <c r="M5298" t="s">
        <v>48</v>
      </c>
    </row>
    <row r="5299" spans="1:13" hidden="1" x14ac:dyDescent="0.15">
      <c r="A5299" t="s">
        <v>16715</v>
      </c>
      <c r="B5299" t="s">
        <v>16716</v>
      </c>
      <c r="C5299" t="s">
        <v>16717</v>
      </c>
      <c r="D5299" t="s">
        <v>16708</v>
      </c>
      <c r="E5299">
        <v>0</v>
      </c>
      <c r="F5299" t="str">
        <f>HYPERLINK("https://github.com/Anuken/Mindustry/issues/4659", "show")</f>
        <v>show</v>
      </c>
      <c r="G5299" t="str">
        <f>HYPERLINK("https://github.com/Anuken/Mindustry", "show")</f>
        <v>show</v>
      </c>
      <c r="H5299" t="str">
        <f>HYPERLINK("https://github.com/Anuken/Mindustry/releases", "show")</f>
        <v>show</v>
      </c>
      <c r="I5299">
        <v>1</v>
      </c>
      <c r="J5299">
        <v>1</v>
      </c>
      <c r="K5299">
        <v>0</v>
      </c>
      <c r="L5299">
        <v>0</v>
      </c>
      <c r="M5299" t="s">
        <v>48</v>
      </c>
    </row>
    <row r="5300" spans="1:13" hidden="1" x14ac:dyDescent="0.15">
      <c r="A5300" t="s">
        <v>16718</v>
      </c>
      <c r="B5300" t="s">
        <v>16719</v>
      </c>
      <c r="C5300" t="s">
        <v>16720</v>
      </c>
      <c r="D5300" t="s">
        <v>16721</v>
      </c>
      <c r="E5300">
        <v>0</v>
      </c>
      <c r="F5300" t="str">
        <f>HYPERLINK("https://github.com/Anuken/Mindustry/issues/4657", "show")</f>
        <v>show</v>
      </c>
      <c r="G5300" t="str">
        <f>HYPERLINK("https://github.com/Anuken/Mindustry", "show")</f>
        <v>show</v>
      </c>
      <c r="H5300" t="str">
        <f>HYPERLINK("https://github.com/Anuken/Mindustry/releases", "show")</f>
        <v>show</v>
      </c>
      <c r="I5300">
        <v>1</v>
      </c>
      <c r="J5300">
        <v>0</v>
      </c>
      <c r="K5300">
        <v>0</v>
      </c>
      <c r="L5300">
        <v>1</v>
      </c>
      <c r="M5300" t="s">
        <v>29</v>
      </c>
    </row>
    <row r="5301" spans="1:13" hidden="1" x14ac:dyDescent="0.15">
      <c r="A5301" t="s">
        <v>16722</v>
      </c>
      <c r="B5301" t="s">
        <v>16723</v>
      </c>
      <c r="C5301" t="s">
        <v>16724</v>
      </c>
      <c r="D5301" t="s">
        <v>16721</v>
      </c>
      <c r="E5301">
        <v>0</v>
      </c>
      <c r="F5301" t="str">
        <f>HYPERLINK("https://github.com/PojavLauncherTeam/PojavLauncher/issues/860", "show")</f>
        <v>show</v>
      </c>
      <c r="G5301" t="str">
        <f>HYPERLINK("https://github.com/PojavLauncherTeam/PojavLauncher", "show")</f>
        <v>show</v>
      </c>
      <c r="H5301" t="str">
        <f>HYPERLINK("https://github.com/PojavLauncherTeam/PojavLauncher/releases", "show")</f>
        <v>show</v>
      </c>
      <c r="I5301">
        <v>1</v>
      </c>
      <c r="J5301">
        <v>0</v>
      </c>
      <c r="K5301">
        <v>0</v>
      </c>
      <c r="L5301">
        <v>0</v>
      </c>
      <c r="M5301" t="s">
        <v>17</v>
      </c>
    </row>
    <row r="5302" spans="1:13" hidden="1" x14ac:dyDescent="0.15">
      <c r="A5302" t="s">
        <v>16725</v>
      </c>
      <c r="B5302" t="s">
        <v>16726</v>
      </c>
      <c r="C5302" t="s">
        <v>16727</v>
      </c>
      <c r="D5302" t="s">
        <v>16721</v>
      </c>
      <c r="E5302">
        <v>4</v>
      </c>
      <c r="F5302" t="str">
        <f>HYPERLINK("https://github.com/sparkfabrik/sparkfabrik-react-native-idfa-aaid/issues/5", "show")</f>
        <v>show</v>
      </c>
      <c r="G5302" t="str">
        <f>HYPERLINK("https://github.com/sparkfabrik/sparkfabrik-react-native-idfa-aaid", "show")</f>
        <v>show</v>
      </c>
      <c r="H5302" t="str">
        <f>HYPERLINK("https://github.com/sparkfabrik/sparkfabrik-react-native-idfa-aaid/releases", "show")</f>
        <v>show</v>
      </c>
      <c r="I5302">
        <v>1</v>
      </c>
      <c r="J5302">
        <v>0</v>
      </c>
      <c r="K5302">
        <v>0</v>
      </c>
      <c r="L5302">
        <v>0</v>
      </c>
      <c r="M5302" t="s">
        <v>17</v>
      </c>
    </row>
    <row r="5303" spans="1:13" hidden="1" x14ac:dyDescent="0.15">
      <c r="A5303" t="s">
        <v>16728</v>
      </c>
      <c r="B5303" t="s">
        <v>16729</v>
      </c>
      <c r="C5303" t="s">
        <v>16730</v>
      </c>
      <c r="D5303" t="s">
        <v>16721</v>
      </c>
      <c r="E5303">
        <v>265</v>
      </c>
      <c r="F5303" t="str">
        <f>HYPERLINK("https://github.com/material-components/material-components-android/issues/2059", "show")</f>
        <v>show</v>
      </c>
      <c r="G5303" t="str">
        <f>HYPERLINK("https://github.com/material-components/material-components-android", "show")</f>
        <v>show</v>
      </c>
      <c r="H5303" t="str">
        <f>HYPERLINK("https://github.com/material-components/material-components-android/releases", "show")</f>
        <v>show</v>
      </c>
      <c r="I5303">
        <v>1</v>
      </c>
      <c r="J5303">
        <v>0</v>
      </c>
      <c r="K5303">
        <v>0</v>
      </c>
      <c r="L5303">
        <v>1</v>
      </c>
      <c r="M5303" t="s">
        <v>29</v>
      </c>
    </row>
    <row r="5304" spans="1:13" hidden="1" x14ac:dyDescent="0.15">
      <c r="A5304" t="s">
        <v>16731</v>
      </c>
      <c r="B5304" t="s">
        <v>16732</v>
      </c>
      <c r="C5304" t="s">
        <v>16733</v>
      </c>
      <c r="D5304" t="s">
        <v>16721</v>
      </c>
      <c r="E5304">
        <v>0</v>
      </c>
      <c r="F5304" t="str">
        <f>HYPERLINK("https://github.com/square/okhttp/issues/6559", "show")</f>
        <v>show</v>
      </c>
      <c r="G5304" t="str">
        <f>HYPERLINK("https://github.com/square/okhttp", "show")</f>
        <v>show</v>
      </c>
      <c r="H5304" t="str">
        <f>HYPERLINK("https://github.com/square/okhttp/releases", "show")</f>
        <v>show</v>
      </c>
      <c r="I5304">
        <v>0</v>
      </c>
      <c r="J5304">
        <v>0</v>
      </c>
      <c r="K5304">
        <v>0</v>
      </c>
      <c r="L5304">
        <v>0</v>
      </c>
      <c r="M5304" t="s">
        <v>43</v>
      </c>
    </row>
    <row r="5305" spans="1:13" hidden="1" x14ac:dyDescent="0.15">
      <c r="A5305" t="s">
        <v>16734</v>
      </c>
      <c r="B5305" t="s">
        <v>16735</v>
      </c>
      <c r="C5305" t="s">
        <v>16736</v>
      </c>
      <c r="D5305" t="s">
        <v>16721</v>
      </c>
      <c r="E5305">
        <v>117</v>
      </c>
      <c r="F5305" t="str">
        <f>HYPERLINK("https://github.com/PojavLauncherTeam/PojavLauncher/issues/847", "show")</f>
        <v>show</v>
      </c>
      <c r="G5305" t="str">
        <f>HYPERLINK("https://github.com/PojavLauncherTeam/PojavLauncher", "show")</f>
        <v>show</v>
      </c>
      <c r="H5305" t="str">
        <f>HYPERLINK("https://github.com/PojavLauncherTeam/PojavLauncher/releases", "show")</f>
        <v>show</v>
      </c>
      <c r="I5305">
        <v>1</v>
      </c>
      <c r="J5305">
        <v>1</v>
      </c>
      <c r="K5305">
        <v>0</v>
      </c>
      <c r="L5305">
        <v>0</v>
      </c>
      <c r="M5305" t="s">
        <v>48</v>
      </c>
    </row>
    <row r="5306" spans="1:13" hidden="1" x14ac:dyDescent="0.15">
      <c r="A5306" t="s">
        <v>16737</v>
      </c>
      <c r="B5306" t="s">
        <v>16738</v>
      </c>
      <c r="C5306" t="s">
        <v>16739</v>
      </c>
      <c r="D5306" t="s">
        <v>16721</v>
      </c>
      <c r="E5306">
        <v>0</v>
      </c>
      <c r="F5306" t="str">
        <f>HYPERLINK("https://github.com/k9mail/k-9/issues/5134", "show")</f>
        <v>show</v>
      </c>
      <c r="G5306" t="str">
        <f>HYPERLINK("https://github.com/k9mail/k-9", "show")</f>
        <v>show</v>
      </c>
      <c r="H5306" t="str">
        <f>HYPERLINK("https://github.com/k9mail/k-9/releases", "show")</f>
        <v>show</v>
      </c>
      <c r="I5306">
        <v>1</v>
      </c>
      <c r="J5306">
        <v>1</v>
      </c>
      <c r="K5306">
        <v>1</v>
      </c>
      <c r="L5306">
        <v>0</v>
      </c>
      <c r="M5306" t="s">
        <v>59</v>
      </c>
    </row>
    <row r="5307" spans="1:13" hidden="1" x14ac:dyDescent="0.15">
      <c r="A5307" t="s">
        <v>16740</v>
      </c>
      <c r="B5307" t="s">
        <v>16741</v>
      </c>
      <c r="C5307" t="s">
        <v>16742</v>
      </c>
      <c r="D5307" t="s">
        <v>16721</v>
      </c>
      <c r="E5307">
        <v>0</v>
      </c>
      <c r="F5307" t="str">
        <f>HYPERLINK("https://github.com/samiurprapon/SadChat/issues/25", "show")</f>
        <v>show</v>
      </c>
      <c r="G5307" t="str">
        <f>HYPERLINK("https://github.com/samiurprapon/SadChat", "show")</f>
        <v>show</v>
      </c>
      <c r="H5307" t="str">
        <f>HYPERLINK("https://github.com/samiurprapon/SadChat/releases", "show")</f>
        <v>show</v>
      </c>
      <c r="I5307">
        <v>1</v>
      </c>
      <c r="J5307">
        <v>1</v>
      </c>
      <c r="K5307">
        <v>0</v>
      </c>
      <c r="L5307">
        <v>0</v>
      </c>
      <c r="M5307" t="s">
        <v>48</v>
      </c>
    </row>
    <row r="5308" spans="1:13" x14ac:dyDescent="0.15">
      <c r="A5308" t="s">
        <v>16743</v>
      </c>
      <c r="B5308" t="s">
        <v>16744</v>
      </c>
      <c r="C5308" t="s">
        <v>16745</v>
      </c>
      <c r="D5308" t="s">
        <v>16746</v>
      </c>
      <c r="E5308">
        <v>21</v>
      </c>
      <c r="F5308" t="str">
        <f>HYPERLINK("https://github.com/TeamNewPipe/NewPipe/issues/5552", "show")</f>
        <v>show</v>
      </c>
      <c r="G5308" t="str">
        <f>HYPERLINK("https://github.com/TeamNewPipe/NewPipe", "show")</f>
        <v>show</v>
      </c>
      <c r="H5308" t="str">
        <f>HYPERLINK("https://github.com/TeamNewPipe/NewPipe/releases", "show")</f>
        <v>show</v>
      </c>
      <c r="I5308">
        <v>0</v>
      </c>
      <c r="J5308">
        <v>1</v>
      </c>
      <c r="K5308">
        <v>0</v>
      </c>
      <c r="L5308">
        <v>0</v>
      </c>
      <c r="M5308" t="s">
        <v>139</v>
      </c>
    </row>
    <row r="5309" spans="1:13" hidden="1" x14ac:dyDescent="0.15">
      <c r="A5309" t="s">
        <v>16747</v>
      </c>
      <c r="B5309" t="s">
        <v>16748</v>
      </c>
      <c r="C5309" t="s">
        <v>16749</v>
      </c>
      <c r="D5309" t="s">
        <v>16746</v>
      </c>
      <c r="E5309">
        <v>78</v>
      </c>
      <c r="F5309" t="str">
        <f>HYPERLINK("https://github.com/PojavLauncherTeam/PojavLauncher/issues/841", "show")</f>
        <v>show</v>
      </c>
      <c r="G5309" t="str">
        <f>HYPERLINK("https://github.com/PojavLauncherTeam/PojavLauncher", "show")</f>
        <v>show</v>
      </c>
      <c r="H5309" t="str">
        <f>HYPERLINK("https://github.com/PojavLauncherTeam/PojavLauncher/releases", "show")</f>
        <v>show</v>
      </c>
      <c r="I5309">
        <v>1</v>
      </c>
      <c r="J5309">
        <v>0</v>
      </c>
      <c r="K5309">
        <v>0</v>
      </c>
      <c r="L5309">
        <v>0</v>
      </c>
      <c r="M5309" t="s">
        <v>17</v>
      </c>
    </row>
    <row r="5310" spans="1:13" hidden="1" x14ac:dyDescent="0.15">
      <c r="A5310" t="s">
        <v>16750</v>
      </c>
      <c r="B5310" t="s">
        <v>16751</v>
      </c>
      <c r="C5310" t="s">
        <v>16752</v>
      </c>
      <c r="D5310" t="s">
        <v>16746</v>
      </c>
      <c r="E5310">
        <v>139</v>
      </c>
      <c r="F5310" t="str">
        <f>HYPERLINK("https://github.com/material-components/material-components-android/issues/2056", "show")</f>
        <v>show</v>
      </c>
      <c r="G5310" t="str">
        <f>HYPERLINK("https://github.com/material-components/material-components-android", "show")</f>
        <v>show</v>
      </c>
      <c r="H5310" t="str">
        <f>HYPERLINK("https://github.com/material-components/material-components-android/releases", "show")</f>
        <v>show</v>
      </c>
      <c r="I5310">
        <v>1</v>
      </c>
      <c r="J5310">
        <v>1</v>
      </c>
      <c r="K5310">
        <v>1</v>
      </c>
      <c r="L5310">
        <v>0</v>
      </c>
      <c r="M5310" t="s">
        <v>59</v>
      </c>
    </row>
    <row r="5311" spans="1:13" hidden="1" x14ac:dyDescent="0.15">
      <c r="A5311" t="s">
        <v>16753</v>
      </c>
      <c r="B5311" t="s">
        <v>16754</v>
      </c>
      <c r="C5311" t="s">
        <v>16755</v>
      </c>
      <c r="D5311" t="s">
        <v>16746</v>
      </c>
      <c r="E5311">
        <v>0</v>
      </c>
      <c r="F5311" t="str">
        <f>HYPERLINK("https://github.com/PojavLauncherTeam/PojavLauncher/issues/839", "show")</f>
        <v>show</v>
      </c>
      <c r="G5311" t="str">
        <f>HYPERLINK("https://github.com/PojavLauncherTeam/PojavLauncher", "show")</f>
        <v>show</v>
      </c>
      <c r="H5311" t="str">
        <f>HYPERLINK("https://github.com/PojavLauncherTeam/PojavLauncher/releases", "show")</f>
        <v>show</v>
      </c>
      <c r="I5311">
        <v>1</v>
      </c>
      <c r="J5311">
        <v>0</v>
      </c>
      <c r="K5311">
        <v>0</v>
      </c>
      <c r="L5311">
        <v>0</v>
      </c>
      <c r="M5311" t="s">
        <v>17</v>
      </c>
    </row>
    <row r="5312" spans="1:13" hidden="1" x14ac:dyDescent="0.15">
      <c r="A5312" t="s">
        <v>16756</v>
      </c>
      <c r="B5312" t="s">
        <v>16757</v>
      </c>
      <c r="C5312" t="s">
        <v>16758</v>
      </c>
      <c r="D5312" t="s">
        <v>16746</v>
      </c>
      <c r="E5312">
        <v>66</v>
      </c>
      <c r="F5312" t="str">
        <f>HYPERLINK("https://github.com/TeamNewPipe/NewPipe/issues/5549", "show")</f>
        <v>show</v>
      </c>
      <c r="G5312" t="str">
        <f>HYPERLINK("https://github.com/TeamNewPipe/NewPipe", "show")</f>
        <v>show</v>
      </c>
      <c r="H5312" t="str">
        <f>HYPERLINK("https://github.com/TeamNewPipe/NewPipe/releases", "show")</f>
        <v>show</v>
      </c>
      <c r="I5312">
        <v>1</v>
      </c>
      <c r="J5312">
        <v>1</v>
      </c>
      <c r="K5312">
        <v>1</v>
      </c>
      <c r="L5312">
        <v>0</v>
      </c>
      <c r="M5312" t="s">
        <v>59</v>
      </c>
    </row>
    <row r="5313" spans="1:13" hidden="1" x14ac:dyDescent="0.15">
      <c r="A5313" t="s">
        <v>16759</v>
      </c>
      <c r="B5313" t="s">
        <v>16760</v>
      </c>
      <c r="C5313" t="s">
        <v>16761</v>
      </c>
      <c r="D5313" t="s">
        <v>16746</v>
      </c>
      <c r="E5313">
        <v>118</v>
      </c>
      <c r="F5313" t="str">
        <f>HYPERLINK("https://github.com/PojavLauncherTeam/PojavLauncher/issues/838", "show")</f>
        <v>show</v>
      </c>
      <c r="G5313" t="str">
        <f>HYPERLINK("https://github.com/PojavLauncherTeam/PojavLauncher", "show")</f>
        <v>show</v>
      </c>
      <c r="H5313" t="str">
        <f>HYPERLINK("https://github.com/PojavLauncherTeam/PojavLauncher/releases", "show")</f>
        <v>show</v>
      </c>
      <c r="I5313">
        <v>1</v>
      </c>
      <c r="J5313">
        <v>0</v>
      </c>
      <c r="K5313">
        <v>0</v>
      </c>
      <c r="L5313">
        <v>0</v>
      </c>
      <c r="M5313" t="s">
        <v>17</v>
      </c>
    </row>
    <row r="5314" spans="1:13" hidden="1" x14ac:dyDescent="0.15">
      <c r="A5314" t="s">
        <v>16762</v>
      </c>
      <c r="B5314" t="s">
        <v>16763</v>
      </c>
      <c r="C5314" t="s">
        <v>16764</v>
      </c>
      <c r="D5314" t="s">
        <v>16765</v>
      </c>
      <c r="E5314">
        <v>42</v>
      </c>
      <c r="F5314" t="str">
        <f>HYPERLINK("https://github.com/AOF-Dev/MCinaBox/issues/934", "show")</f>
        <v>show</v>
      </c>
      <c r="G5314" t="str">
        <f>HYPERLINK("https://github.com/AOF-Dev/MCinaBox", "show")</f>
        <v>show</v>
      </c>
      <c r="H5314" t="str">
        <f>HYPERLINK("https://github.com/AOF-Dev/MCinaBox/releases", "show")</f>
        <v>show</v>
      </c>
      <c r="I5314">
        <v>0</v>
      </c>
      <c r="J5314">
        <v>0</v>
      </c>
      <c r="K5314">
        <v>0</v>
      </c>
      <c r="L5314">
        <v>0</v>
      </c>
      <c r="M5314" t="s">
        <v>43</v>
      </c>
    </row>
    <row r="5315" spans="1:13" hidden="1" x14ac:dyDescent="0.15">
      <c r="A5315" t="s">
        <v>16766</v>
      </c>
      <c r="B5315" t="s">
        <v>16767</v>
      </c>
      <c r="C5315" t="s">
        <v>16768</v>
      </c>
      <c r="D5315" t="s">
        <v>16765</v>
      </c>
      <c r="E5315">
        <v>0</v>
      </c>
      <c r="F5315" t="str">
        <f>HYPERLINK("https://github.com/patzly/grocy-android/issues/343", "show")</f>
        <v>show</v>
      </c>
      <c r="G5315" t="str">
        <f>HYPERLINK("https://github.com/patzly/grocy-android", "show")</f>
        <v>show</v>
      </c>
      <c r="H5315" t="str">
        <f>HYPERLINK("https://github.com/patzly/grocy-android/releases", "show")</f>
        <v>show</v>
      </c>
      <c r="I5315">
        <v>1</v>
      </c>
      <c r="J5315">
        <v>0</v>
      </c>
      <c r="K5315">
        <v>1</v>
      </c>
      <c r="L5315">
        <v>0</v>
      </c>
      <c r="M5315" t="s">
        <v>64</v>
      </c>
    </row>
    <row r="5316" spans="1:13" hidden="1" x14ac:dyDescent="0.15">
      <c r="A5316" t="s">
        <v>16769</v>
      </c>
      <c r="B5316" t="s">
        <v>16770</v>
      </c>
      <c r="C5316" t="s">
        <v>16771</v>
      </c>
      <c r="D5316" t="s">
        <v>16765</v>
      </c>
      <c r="E5316">
        <v>0</v>
      </c>
      <c r="F5316" t="str">
        <f>HYPERLINK("https://github.com/Anuken/Mindustry/issues/4643", "show")</f>
        <v>show</v>
      </c>
      <c r="G5316" t="str">
        <f>HYPERLINK("https://github.com/Anuken/Mindustry", "show")</f>
        <v>show</v>
      </c>
      <c r="H5316" t="str">
        <f>HYPERLINK("https://github.com/Anuken/Mindustry/releases", "show")</f>
        <v>show</v>
      </c>
      <c r="I5316">
        <v>0</v>
      </c>
      <c r="J5316">
        <v>0</v>
      </c>
      <c r="K5316">
        <v>1</v>
      </c>
      <c r="L5316">
        <v>0</v>
      </c>
      <c r="M5316" t="s">
        <v>122</v>
      </c>
    </row>
    <row r="5317" spans="1:13" hidden="1" x14ac:dyDescent="0.15">
      <c r="A5317" t="s">
        <v>16772</v>
      </c>
      <c r="B5317" t="s">
        <v>16773</v>
      </c>
      <c r="C5317" t="s">
        <v>16774</v>
      </c>
      <c r="D5317" t="s">
        <v>16775</v>
      </c>
      <c r="E5317">
        <v>2</v>
      </c>
      <c r="F5317" t="str">
        <f>HYPERLINK("https://github.com/patzly/grocy-android/issues/331", "show")</f>
        <v>show</v>
      </c>
      <c r="G5317" t="str">
        <f>HYPERLINK("https://github.com/patzly/grocy-android", "show")</f>
        <v>show</v>
      </c>
      <c r="H5317" t="str">
        <f>HYPERLINK("https://github.com/patzly/grocy-android/releases", "show")</f>
        <v>show</v>
      </c>
      <c r="I5317">
        <v>0</v>
      </c>
      <c r="J5317">
        <v>0</v>
      </c>
      <c r="K5317">
        <v>1</v>
      </c>
      <c r="L5317">
        <v>1</v>
      </c>
      <c r="M5317" t="s">
        <v>351</v>
      </c>
    </row>
    <row r="5318" spans="1:13" x14ac:dyDescent="0.15">
      <c r="A5318" t="s">
        <v>16776</v>
      </c>
      <c r="B5318" t="s">
        <v>16777</v>
      </c>
      <c r="C5318" t="s">
        <v>16778</v>
      </c>
      <c r="D5318" t="s">
        <v>16775</v>
      </c>
      <c r="E5318">
        <v>10</v>
      </c>
      <c r="F5318" t="str">
        <f>HYPERLINK("https://github.com/nextcloud/android/issues/7952", "show")</f>
        <v>show</v>
      </c>
      <c r="G5318" t="str">
        <f>HYPERLINK("https://github.com/nextcloud/android", "show")</f>
        <v>show</v>
      </c>
      <c r="H5318" t="str">
        <f>HYPERLINK("https://github.com/nextcloud/android/releases", "show")</f>
        <v>show</v>
      </c>
      <c r="I5318">
        <v>0</v>
      </c>
      <c r="J5318">
        <v>1</v>
      </c>
      <c r="K5318">
        <v>0</v>
      </c>
      <c r="L5318">
        <v>0</v>
      </c>
      <c r="M5318" t="s">
        <v>139</v>
      </c>
    </row>
    <row r="5319" spans="1:13" hidden="1" x14ac:dyDescent="0.15">
      <c r="A5319" t="s">
        <v>16779</v>
      </c>
      <c r="B5319" t="s">
        <v>16780</v>
      </c>
      <c r="C5319" t="s">
        <v>16781</v>
      </c>
      <c r="D5319" t="s">
        <v>16775</v>
      </c>
      <c r="E5319">
        <v>14</v>
      </c>
      <c r="F5319" t="str">
        <f>HYPERLINK("https://github.com/nextcloud/android/issues/7951", "show")</f>
        <v>show</v>
      </c>
      <c r="G5319" t="str">
        <f>HYPERLINK("https://github.com/nextcloud/android", "show")</f>
        <v>show</v>
      </c>
      <c r="H5319" t="str">
        <f>HYPERLINK("https://github.com/nextcloud/android/releases", "show")</f>
        <v>show</v>
      </c>
      <c r="I5319">
        <v>0</v>
      </c>
      <c r="J5319">
        <v>0</v>
      </c>
      <c r="K5319">
        <v>1</v>
      </c>
      <c r="L5319">
        <v>0</v>
      </c>
      <c r="M5319" t="s">
        <v>122</v>
      </c>
    </row>
    <row r="5320" spans="1:13" hidden="1" x14ac:dyDescent="0.15">
      <c r="A5320" t="s">
        <v>16782</v>
      </c>
      <c r="B5320" t="s">
        <v>16783</v>
      </c>
      <c r="C5320" t="s">
        <v>16784</v>
      </c>
      <c r="D5320" t="s">
        <v>16775</v>
      </c>
      <c r="E5320">
        <v>12</v>
      </c>
      <c r="F5320" t="str">
        <f>HYPERLINK("https://github.com/patzly/grocy-android/issues/330", "show")</f>
        <v>show</v>
      </c>
      <c r="G5320" t="str">
        <f>HYPERLINK("https://github.com/patzly/grocy-android", "show")</f>
        <v>show</v>
      </c>
      <c r="H5320" t="str">
        <f>HYPERLINK("https://github.com/patzly/grocy-android/releases", "show")</f>
        <v>show</v>
      </c>
      <c r="I5320">
        <v>1</v>
      </c>
      <c r="J5320">
        <v>1</v>
      </c>
      <c r="K5320">
        <v>1</v>
      </c>
      <c r="L5320">
        <v>0</v>
      </c>
      <c r="M5320" t="s">
        <v>59</v>
      </c>
    </row>
    <row r="5321" spans="1:13" hidden="1" x14ac:dyDescent="0.15">
      <c r="A5321" t="s">
        <v>16785</v>
      </c>
      <c r="B5321" t="s">
        <v>16786</v>
      </c>
      <c r="C5321" t="s">
        <v>16787</v>
      </c>
      <c r="D5321" t="s">
        <v>16775</v>
      </c>
      <c r="E5321">
        <v>77</v>
      </c>
      <c r="F5321" t="str">
        <f>HYPERLINK("https://github.com/cgeo/cgeo/issues/9990", "show")</f>
        <v>show</v>
      </c>
      <c r="G5321" t="str">
        <f>HYPERLINK("https://github.com/cgeo/cgeo", "show")</f>
        <v>show</v>
      </c>
      <c r="H5321" t="str">
        <f>HYPERLINK("https://github.com/cgeo/cgeo/releases", "show")</f>
        <v>show</v>
      </c>
      <c r="I5321">
        <v>1</v>
      </c>
      <c r="J5321">
        <v>0</v>
      </c>
      <c r="K5321">
        <v>0</v>
      </c>
      <c r="L5321">
        <v>0</v>
      </c>
      <c r="M5321" t="s">
        <v>17</v>
      </c>
    </row>
    <row r="5322" spans="1:13" hidden="1" x14ac:dyDescent="0.15">
      <c r="A5322" t="s">
        <v>16788</v>
      </c>
      <c r="B5322" t="s">
        <v>16789</v>
      </c>
      <c r="C5322" t="s">
        <v>16790</v>
      </c>
      <c r="D5322" t="s">
        <v>16775</v>
      </c>
      <c r="E5322">
        <v>12</v>
      </c>
      <c r="F5322" t="str">
        <f>HYPERLINK("https://github.com/sschueller/peertube-android/issues/262", "show")</f>
        <v>show</v>
      </c>
      <c r="G5322" t="str">
        <f>HYPERLINK("https://github.com/sschueller/peertube-android", "show")</f>
        <v>show</v>
      </c>
      <c r="H5322" t="str">
        <f>HYPERLINK("https://github.com/sschueller/peertube-android/releases", "show")</f>
        <v>show</v>
      </c>
      <c r="I5322">
        <v>0</v>
      </c>
      <c r="J5322">
        <v>0</v>
      </c>
      <c r="K5322">
        <v>1</v>
      </c>
      <c r="L5322">
        <v>1</v>
      </c>
      <c r="M5322" t="s">
        <v>351</v>
      </c>
    </row>
    <row r="5323" spans="1:13" hidden="1" x14ac:dyDescent="0.15">
      <c r="A5323" t="s">
        <v>16791</v>
      </c>
      <c r="B5323" t="s">
        <v>16792</v>
      </c>
      <c r="C5323" t="s">
        <v>16793</v>
      </c>
      <c r="D5323" t="s">
        <v>16775</v>
      </c>
      <c r="E5323">
        <v>12</v>
      </c>
      <c r="F5323" t="str">
        <f>HYPERLINK("https://github.com/sschueller/peertube-android/issues/261", "show")</f>
        <v>show</v>
      </c>
      <c r="G5323" t="str">
        <f>HYPERLINK("https://github.com/sschueller/peertube-android", "show")</f>
        <v>show</v>
      </c>
      <c r="H5323" t="str">
        <f>HYPERLINK("https://github.com/sschueller/peertube-android/releases", "show")</f>
        <v>show</v>
      </c>
      <c r="I5323">
        <v>0</v>
      </c>
      <c r="J5323">
        <v>0</v>
      </c>
      <c r="K5323">
        <v>0</v>
      </c>
      <c r="L5323">
        <v>0</v>
      </c>
      <c r="M5323" t="s">
        <v>43</v>
      </c>
    </row>
    <row r="5324" spans="1:13" hidden="1" x14ac:dyDescent="0.15">
      <c r="A5324" t="s">
        <v>16794</v>
      </c>
      <c r="B5324" t="s">
        <v>16795</v>
      </c>
      <c r="C5324" t="s">
        <v>16796</v>
      </c>
      <c r="D5324" t="s">
        <v>16775</v>
      </c>
      <c r="E5324">
        <v>42</v>
      </c>
      <c r="F5324" t="str">
        <f>HYPERLINK("https://github.com/SkyTubeTeam/SkyTube/issues/916", "show")</f>
        <v>show</v>
      </c>
      <c r="G5324" t="str">
        <f>HYPERLINK("https://github.com/SkyTubeTeam/SkyTube", "show")</f>
        <v>show</v>
      </c>
      <c r="H5324" t="str">
        <f>HYPERLINK("https://github.com/SkyTubeTeam/SkyTube/releases", "show")</f>
        <v>show</v>
      </c>
      <c r="I5324">
        <v>1</v>
      </c>
      <c r="J5324">
        <v>0</v>
      </c>
      <c r="K5324">
        <v>0</v>
      </c>
      <c r="L5324">
        <v>0</v>
      </c>
      <c r="M5324" t="s">
        <v>17</v>
      </c>
    </row>
    <row r="5325" spans="1:13" hidden="1" x14ac:dyDescent="0.15">
      <c r="A5325" t="s">
        <v>16797</v>
      </c>
      <c r="B5325" t="s">
        <v>16798</v>
      </c>
      <c r="C5325" t="s">
        <v>16799</v>
      </c>
      <c r="D5325" t="s">
        <v>16775</v>
      </c>
      <c r="E5325">
        <v>0</v>
      </c>
      <c r="F5325" t="str">
        <f>HYPERLINK("https://github.com/Anuken/Mindustry/issues/4627", "show")</f>
        <v>show</v>
      </c>
      <c r="G5325" t="str">
        <f>HYPERLINK("https://github.com/Anuken/Mindustry", "show")</f>
        <v>show</v>
      </c>
      <c r="H5325" t="str">
        <f>HYPERLINK("https://github.com/Anuken/Mindustry/releases", "show")</f>
        <v>show</v>
      </c>
      <c r="I5325">
        <v>0</v>
      </c>
      <c r="J5325">
        <v>0</v>
      </c>
      <c r="K5325">
        <v>0</v>
      </c>
      <c r="L5325">
        <v>0</v>
      </c>
      <c r="M5325" t="s">
        <v>43</v>
      </c>
    </row>
    <row r="5326" spans="1:13" hidden="1" x14ac:dyDescent="0.15">
      <c r="A5326" t="s">
        <v>16800</v>
      </c>
      <c r="B5326" t="s">
        <v>16801</v>
      </c>
      <c r="C5326" t="s">
        <v>16802</v>
      </c>
      <c r="D5326" t="s">
        <v>16775</v>
      </c>
      <c r="E5326">
        <v>0</v>
      </c>
      <c r="F5326" t="str">
        <f>HYPERLINK("https://github.com/Anuken/Mindustry/issues/4621", "show")</f>
        <v>show</v>
      </c>
      <c r="G5326" t="str">
        <f>HYPERLINK("https://github.com/Anuken/Mindustry", "show")</f>
        <v>show</v>
      </c>
      <c r="H5326" t="str">
        <f>HYPERLINK("https://github.com/Anuken/Mindustry/releases", "show")</f>
        <v>show</v>
      </c>
      <c r="I5326">
        <v>1</v>
      </c>
      <c r="J5326">
        <v>0</v>
      </c>
      <c r="K5326">
        <v>1</v>
      </c>
      <c r="L5326">
        <v>1</v>
      </c>
      <c r="M5326" t="s">
        <v>1259</v>
      </c>
    </row>
    <row r="5327" spans="1:13" hidden="1" x14ac:dyDescent="0.15">
      <c r="A5327" t="s">
        <v>16803</v>
      </c>
      <c r="B5327" t="s">
        <v>16804</v>
      </c>
      <c r="C5327" t="s">
        <v>16805</v>
      </c>
      <c r="D5327" t="s">
        <v>16775</v>
      </c>
      <c r="E5327">
        <v>0</v>
      </c>
      <c r="F5327" t="str">
        <f>HYPERLINK("https://github.com/Anuken/Mindustry/issues/4620", "show")</f>
        <v>show</v>
      </c>
      <c r="G5327" t="str">
        <f>HYPERLINK("https://github.com/Anuken/Mindustry", "show")</f>
        <v>show</v>
      </c>
      <c r="H5327" t="str">
        <f>HYPERLINK("https://github.com/Anuken/Mindustry/releases", "show")</f>
        <v>show</v>
      </c>
      <c r="I5327">
        <v>1</v>
      </c>
      <c r="J5327">
        <v>1</v>
      </c>
      <c r="K5327">
        <v>0</v>
      </c>
      <c r="L5327">
        <v>0</v>
      </c>
      <c r="M5327" t="s">
        <v>48</v>
      </c>
    </row>
    <row r="5328" spans="1:13" x14ac:dyDescent="0.15">
      <c r="A5328" t="s">
        <v>16806</v>
      </c>
      <c r="B5328" t="s">
        <v>16807</v>
      </c>
      <c r="C5328" t="s">
        <v>16808</v>
      </c>
      <c r="D5328" t="s">
        <v>16809</v>
      </c>
      <c r="E5328">
        <v>0</v>
      </c>
      <c r="F5328" t="str">
        <f>HYPERLINK("https://github.com/Anuken/Mindustry/issues/4617", "show")</f>
        <v>show</v>
      </c>
      <c r="G5328" t="str">
        <f>HYPERLINK("https://github.com/Anuken/Mindustry", "show")</f>
        <v>show</v>
      </c>
      <c r="H5328" t="str">
        <f>HYPERLINK("https://github.com/Anuken/Mindustry/releases", "show")</f>
        <v>show</v>
      </c>
      <c r="I5328">
        <v>0</v>
      </c>
      <c r="J5328">
        <v>1</v>
      </c>
      <c r="K5328">
        <v>0</v>
      </c>
      <c r="L5328">
        <v>0</v>
      </c>
      <c r="M5328" t="s">
        <v>139</v>
      </c>
    </row>
    <row r="5329" spans="1:13" hidden="1" x14ac:dyDescent="0.15">
      <c r="A5329" t="s">
        <v>16810</v>
      </c>
      <c r="B5329" t="s">
        <v>16811</v>
      </c>
      <c r="C5329" t="s">
        <v>16812</v>
      </c>
      <c r="D5329" t="s">
        <v>16809</v>
      </c>
      <c r="E5329">
        <v>0</v>
      </c>
      <c r="F5329" t="str">
        <f>HYPERLINK("https://github.com/Anuken/Mindustry/issues/4616", "show")</f>
        <v>show</v>
      </c>
      <c r="G5329" t="str">
        <f>HYPERLINK("https://github.com/Anuken/Mindustry", "show")</f>
        <v>show</v>
      </c>
      <c r="H5329" t="str">
        <f>HYPERLINK("https://github.com/Anuken/Mindustry/releases", "show")</f>
        <v>show</v>
      </c>
      <c r="I5329">
        <v>0</v>
      </c>
      <c r="J5329">
        <v>1</v>
      </c>
      <c r="K5329">
        <v>0</v>
      </c>
      <c r="L5329">
        <v>1</v>
      </c>
      <c r="M5329" t="s">
        <v>1732</v>
      </c>
    </row>
    <row r="5330" spans="1:13" hidden="1" x14ac:dyDescent="0.15">
      <c r="A5330" t="s">
        <v>16813</v>
      </c>
      <c r="B5330" t="s">
        <v>16814</v>
      </c>
      <c r="C5330" t="s">
        <v>16815</v>
      </c>
      <c r="D5330" t="s">
        <v>16809</v>
      </c>
      <c r="E5330">
        <v>0</v>
      </c>
      <c r="F5330" t="str">
        <f>HYPERLINK("https://github.com/TeamNewPipe/NewPipe/issues/5537", "show")</f>
        <v>show</v>
      </c>
      <c r="G5330" t="str">
        <f>HYPERLINK("https://github.com/TeamNewPipe/NewPipe", "show")</f>
        <v>show</v>
      </c>
      <c r="H5330" t="str">
        <f>HYPERLINK("https://github.com/TeamNewPipe/NewPipe/releases", "show")</f>
        <v>show</v>
      </c>
      <c r="I5330">
        <v>1</v>
      </c>
      <c r="J5330">
        <v>1</v>
      </c>
      <c r="K5330">
        <v>1</v>
      </c>
      <c r="L5330">
        <v>0</v>
      </c>
      <c r="M5330" t="s">
        <v>59</v>
      </c>
    </row>
    <row r="5331" spans="1:13" hidden="1" x14ac:dyDescent="0.15">
      <c r="A5331" t="s">
        <v>16816</v>
      </c>
      <c r="B5331" t="s">
        <v>16817</v>
      </c>
      <c r="C5331" t="s">
        <v>16818</v>
      </c>
      <c r="D5331" t="s">
        <v>16809</v>
      </c>
      <c r="E5331">
        <v>0</v>
      </c>
      <c r="F5331" t="str">
        <f>HYPERLINK("https://github.com/Anuken/Mindustry/issues/4611", "show")</f>
        <v>show</v>
      </c>
      <c r="G5331" t="str">
        <f>HYPERLINK("https://github.com/Anuken/Mindustry", "show")</f>
        <v>show</v>
      </c>
      <c r="H5331" t="str">
        <f>HYPERLINK("https://github.com/Anuken/Mindustry/releases", "show")</f>
        <v>show</v>
      </c>
      <c r="I5331">
        <v>0</v>
      </c>
      <c r="J5331">
        <v>0</v>
      </c>
      <c r="K5331">
        <v>1</v>
      </c>
      <c r="L5331">
        <v>0</v>
      </c>
      <c r="M5331" t="s">
        <v>122</v>
      </c>
    </row>
    <row r="5332" spans="1:13" hidden="1" x14ac:dyDescent="0.15">
      <c r="A5332" t="s">
        <v>16819</v>
      </c>
      <c r="B5332" t="s">
        <v>16820</v>
      </c>
      <c r="D5332" t="s">
        <v>16809</v>
      </c>
      <c r="E5332">
        <v>9</v>
      </c>
      <c r="F5332" t="str">
        <f>HYPERLINK("https://github.com/PojavLauncherTeam/PojavLauncher/issues/821", "show")</f>
        <v>show</v>
      </c>
      <c r="G5332" t="str">
        <f>HYPERLINK("https://github.com/PojavLauncherTeam/PojavLauncher", "show")</f>
        <v>show</v>
      </c>
      <c r="H5332" t="str">
        <f>HYPERLINK("https://github.com/PojavLauncherTeam/PojavLauncher/releases", "show")</f>
        <v>show</v>
      </c>
      <c r="I5332">
        <v>0</v>
      </c>
      <c r="J5332">
        <v>0</v>
      </c>
      <c r="K5332">
        <v>1</v>
      </c>
      <c r="L5332">
        <v>0</v>
      </c>
      <c r="M5332" t="s">
        <v>122</v>
      </c>
    </row>
    <row r="5333" spans="1:13" hidden="1" x14ac:dyDescent="0.15">
      <c r="A5333" t="s">
        <v>16821</v>
      </c>
      <c r="B5333" t="s">
        <v>16822</v>
      </c>
      <c r="C5333" t="s">
        <v>16823</v>
      </c>
      <c r="D5333" t="s">
        <v>16824</v>
      </c>
      <c r="E5333">
        <v>0</v>
      </c>
      <c r="F5333" t="str">
        <f>HYPERLINK("https://github.com/Anuken/Mindustry/issues/4605", "show")</f>
        <v>show</v>
      </c>
      <c r="G5333" t="str">
        <f>HYPERLINK("https://github.com/Anuken/Mindustry", "show")</f>
        <v>show</v>
      </c>
      <c r="H5333" t="str">
        <f>HYPERLINK("https://github.com/Anuken/Mindustry/releases", "show")</f>
        <v>show</v>
      </c>
      <c r="I5333">
        <v>0</v>
      </c>
      <c r="J5333">
        <v>0</v>
      </c>
      <c r="K5333">
        <v>0</v>
      </c>
      <c r="L5333">
        <v>1</v>
      </c>
      <c r="M5333" t="s">
        <v>581</v>
      </c>
    </row>
    <row r="5334" spans="1:13" x14ac:dyDescent="0.15">
      <c r="A5334" t="s">
        <v>16825</v>
      </c>
      <c r="B5334" t="s">
        <v>16826</v>
      </c>
      <c r="C5334" t="s">
        <v>16827</v>
      </c>
      <c r="D5334" t="s">
        <v>16824</v>
      </c>
      <c r="E5334">
        <v>2</v>
      </c>
      <c r="F5334" t="str">
        <f>HYPERLINK("https://github.com/PojavLauncherTeam/PojavLauncher/issues/817", "show")</f>
        <v>show</v>
      </c>
      <c r="G5334" t="str">
        <f>HYPERLINK("https://github.com/PojavLauncherTeam/PojavLauncher", "show")</f>
        <v>show</v>
      </c>
      <c r="H5334" t="str">
        <f>HYPERLINK("https://github.com/PojavLauncherTeam/PojavLauncher/releases", "show")</f>
        <v>show</v>
      </c>
      <c r="I5334">
        <v>0</v>
      </c>
      <c r="J5334">
        <v>1</v>
      </c>
      <c r="K5334">
        <v>0</v>
      </c>
      <c r="L5334">
        <v>0</v>
      </c>
      <c r="M5334" t="s">
        <v>139</v>
      </c>
    </row>
    <row r="5335" spans="1:13" hidden="1" x14ac:dyDescent="0.15">
      <c r="A5335" t="s">
        <v>16828</v>
      </c>
      <c r="B5335" t="s">
        <v>16829</v>
      </c>
      <c r="C5335" t="s">
        <v>16830</v>
      </c>
      <c r="D5335" t="s">
        <v>16824</v>
      </c>
      <c r="E5335">
        <v>207</v>
      </c>
      <c r="F5335" t="str">
        <f>HYPERLINK("https://github.com/PojavLauncherTeam/PojavLauncher/issues/816", "show")</f>
        <v>show</v>
      </c>
      <c r="G5335" t="str">
        <f>HYPERLINK("https://github.com/PojavLauncherTeam/PojavLauncher", "show")</f>
        <v>show</v>
      </c>
      <c r="H5335" t="str">
        <f>HYPERLINK("https://github.com/PojavLauncherTeam/PojavLauncher/releases", "show")</f>
        <v>show</v>
      </c>
      <c r="I5335">
        <v>0</v>
      </c>
      <c r="J5335">
        <v>0</v>
      </c>
      <c r="K5335">
        <v>0</v>
      </c>
      <c r="L5335">
        <v>1</v>
      </c>
      <c r="M5335" t="s">
        <v>581</v>
      </c>
    </row>
    <row r="5336" spans="1:13" hidden="1" x14ac:dyDescent="0.15">
      <c r="A5336" t="s">
        <v>16831</v>
      </c>
      <c r="B5336" t="s">
        <v>8763</v>
      </c>
      <c r="C5336" t="s">
        <v>16832</v>
      </c>
      <c r="D5336" t="s">
        <v>16824</v>
      </c>
      <c r="E5336">
        <v>12</v>
      </c>
      <c r="F5336" t="str">
        <f>HYPERLINK("https://github.com/theaaron123/novara-media-reader/issues/26", "show")</f>
        <v>show</v>
      </c>
      <c r="G5336" t="str">
        <f>HYPERLINK("https://github.com/theaaron123/novara-media-reader", "show")</f>
        <v>show</v>
      </c>
      <c r="H5336" t="str">
        <f>HYPERLINK("https://github.com/theaaron123/novara-media-reader/releases", "show")</f>
        <v>show</v>
      </c>
      <c r="I5336">
        <v>1</v>
      </c>
      <c r="J5336">
        <v>0</v>
      </c>
      <c r="K5336">
        <v>0</v>
      </c>
      <c r="L5336">
        <v>0</v>
      </c>
      <c r="M5336" t="s">
        <v>17</v>
      </c>
    </row>
    <row r="5337" spans="1:13" hidden="1" x14ac:dyDescent="0.15">
      <c r="A5337" t="s">
        <v>16833</v>
      </c>
      <c r="B5337" t="s">
        <v>16834</v>
      </c>
      <c r="C5337" t="s">
        <v>16835</v>
      </c>
      <c r="D5337" t="s">
        <v>16836</v>
      </c>
      <c r="E5337">
        <v>1</v>
      </c>
      <c r="F5337" t="str">
        <f>HYPERLINK("https://github.com/Anuken/Mindustry/issues/4596", "show")</f>
        <v>show</v>
      </c>
      <c r="G5337" t="str">
        <f>HYPERLINK("https://github.com/Anuken/Mindustry", "show")</f>
        <v>show</v>
      </c>
      <c r="H5337" t="str">
        <f>HYPERLINK("https://github.com/Anuken/Mindustry/releases", "show")</f>
        <v>show</v>
      </c>
      <c r="I5337">
        <v>1</v>
      </c>
      <c r="J5337">
        <v>1</v>
      </c>
      <c r="K5337">
        <v>0</v>
      </c>
      <c r="L5337">
        <v>0</v>
      </c>
      <c r="M5337" t="s">
        <v>48</v>
      </c>
    </row>
    <row r="5338" spans="1:13" hidden="1" x14ac:dyDescent="0.15">
      <c r="A5338" t="s">
        <v>16837</v>
      </c>
      <c r="B5338" t="s">
        <v>16838</v>
      </c>
      <c r="C5338" t="s">
        <v>16839</v>
      </c>
      <c r="D5338" t="s">
        <v>16836</v>
      </c>
      <c r="E5338">
        <v>229</v>
      </c>
      <c r="F5338" t="str">
        <f>HYPERLINK("https://github.com/material-components/material-components-android/issues/2047", "show")</f>
        <v>show</v>
      </c>
      <c r="G5338" t="str">
        <f>HYPERLINK("https://github.com/material-components/material-components-android", "show")</f>
        <v>show</v>
      </c>
      <c r="H5338" t="str">
        <f>HYPERLINK("https://github.com/material-components/material-components-android/releases", "show")</f>
        <v>show</v>
      </c>
      <c r="I5338">
        <v>1</v>
      </c>
      <c r="J5338">
        <v>0</v>
      </c>
      <c r="K5338">
        <v>1</v>
      </c>
      <c r="L5338">
        <v>0</v>
      </c>
      <c r="M5338" t="s">
        <v>64</v>
      </c>
    </row>
    <row r="5339" spans="1:13" hidden="1" x14ac:dyDescent="0.15">
      <c r="A5339" t="s">
        <v>16840</v>
      </c>
      <c r="B5339" t="s">
        <v>16841</v>
      </c>
      <c r="C5339" t="s">
        <v>16842</v>
      </c>
      <c r="D5339" t="s">
        <v>16836</v>
      </c>
      <c r="E5339">
        <v>1</v>
      </c>
      <c r="F5339" t="str">
        <f>HYPERLINK("https://github.com/k9mail/k-9/issues/5121", "show")</f>
        <v>show</v>
      </c>
      <c r="G5339" t="str">
        <f>HYPERLINK("https://github.com/k9mail/k-9", "show")</f>
        <v>show</v>
      </c>
      <c r="H5339" t="str">
        <f>HYPERLINK("https://github.com/k9mail/k-9/releases", "show")</f>
        <v>show</v>
      </c>
      <c r="I5339">
        <v>1</v>
      </c>
      <c r="J5339">
        <v>1</v>
      </c>
      <c r="K5339">
        <v>0</v>
      </c>
      <c r="L5339">
        <v>0</v>
      </c>
      <c r="M5339" t="s">
        <v>48</v>
      </c>
    </row>
    <row r="5340" spans="1:13" hidden="1" x14ac:dyDescent="0.15">
      <c r="A5340" t="s">
        <v>16843</v>
      </c>
      <c r="B5340" t="s">
        <v>16844</v>
      </c>
      <c r="C5340" t="s">
        <v>16845</v>
      </c>
      <c r="D5340" t="s">
        <v>16836</v>
      </c>
      <c r="E5340">
        <v>1</v>
      </c>
      <c r="F5340" t="str">
        <f>HYPERLINK("https://github.com/PojavLauncherTeam/PojavLauncher/issues/804", "show")</f>
        <v>show</v>
      </c>
      <c r="G5340" t="str">
        <f>HYPERLINK("https://github.com/PojavLauncherTeam/PojavLauncher", "show")</f>
        <v>show</v>
      </c>
      <c r="H5340" t="str">
        <f>HYPERLINK("https://github.com/PojavLauncherTeam/PojavLauncher/releases", "show")</f>
        <v>show</v>
      </c>
      <c r="I5340">
        <v>1</v>
      </c>
      <c r="J5340">
        <v>0</v>
      </c>
      <c r="K5340">
        <v>0</v>
      </c>
      <c r="L5340">
        <v>0</v>
      </c>
      <c r="M5340" t="s">
        <v>17</v>
      </c>
    </row>
    <row r="5341" spans="1:13" hidden="1" x14ac:dyDescent="0.15">
      <c r="A5341" t="s">
        <v>16846</v>
      </c>
      <c r="B5341" t="s">
        <v>16847</v>
      </c>
      <c r="C5341" t="s">
        <v>16848</v>
      </c>
      <c r="D5341" t="s">
        <v>16836</v>
      </c>
      <c r="E5341">
        <v>26</v>
      </c>
      <c r="F5341" t="str">
        <f>HYPERLINK("https://github.com/miguelpruivo/flutter_file_picker/issues/606", "show")</f>
        <v>show</v>
      </c>
      <c r="G5341" t="str">
        <f>HYPERLINK("https://github.com/miguelpruivo/flutter_file_picker", "show")</f>
        <v>show</v>
      </c>
      <c r="H5341" t="str">
        <f>HYPERLINK("https://github.com/miguelpruivo/flutter_file_picker/releases", "show")</f>
        <v>show</v>
      </c>
      <c r="I5341">
        <v>1</v>
      </c>
      <c r="J5341">
        <v>0</v>
      </c>
      <c r="K5341">
        <v>0</v>
      </c>
      <c r="L5341">
        <v>0</v>
      </c>
      <c r="M5341" t="s">
        <v>17</v>
      </c>
    </row>
    <row r="5342" spans="1:13" hidden="1" x14ac:dyDescent="0.15">
      <c r="A5342" t="s">
        <v>16849</v>
      </c>
      <c r="B5342" t="s">
        <v>16850</v>
      </c>
      <c r="C5342" t="s">
        <v>16851</v>
      </c>
      <c r="D5342" t="s">
        <v>16836</v>
      </c>
      <c r="E5342">
        <v>1</v>
      </c>
      <c r="F5342" t="str">
        <f>HYPERLINK("https://github.com/moneymanagerex/android-money-manager-ex/issues/1408", "show")</f>
        <v>show</v>
      </c>
      <c r="G5342" t="str">
        <f>HYPERLINK("https://github.com/moneymanagerex/android-money-manager-ex", "show")</f>
        <v>show</v>
      </c>
      <c r="H5342" t="str">
        <f>HYPERLINK("https://github.com/moneymanagerex/android-money-manager-ex/releases", "show")</f>
        <v>show</v>
      </c>
      <c r="I5342">
        <v>1</v>
      </c>
      <c r="J5342">
        <v>0</v>
      </c>
      <c r="K5342">
        <v>1</v>
      </c>
      <c r="L5342">
        <v>0</v>
      </c>
      <c r="M5342" t="s">
        <v>64</v>
      </c>
    </row>
    <row r="5343" spans="1:13" hidden="1" x14ac:dyDescent="0.15">
      <c r="A5343" t="s">
        <v>16852</v>
      </c>
      <c r="B5343" t="s">
        <v>16853</v>
      </c>
      <c r="C5343" t="s">
        <v>16854</v>
      </c>
      <c r="D5343" t="s">
        <v>16836</v>
      </c>
      <c r="E5343">
        <v>20</v>
      </c>
      <c r="F5343" t="str">
        <f>HYPERLINK("https://github.com/nextcloud/android/issues/7938", "show")</f>
        <v>show</v>
      </c>
      <c r="G5343" t="str">
        <f>HYPERLINK("https://github.com/nextcloud/android", "show")</f>
        <v>show</v>
      </c>
      <c r="H5343" t="str">
        <f>HYPERLINK("https://github.com/nextcloud/android/releases", "show")</f>
        <v>show</v>
      </c>
      <c r="I5343">
        <v>1</v>
      </c>
      <c r="J5343">
        <v>0</v>
      </c>
      <c r="K5343">
        <v>1</v>
      </c>
      <c r="L5343">
        <v>0</v>
      </c>
      <c r="M5343" t="s">
        <v>64</v>
      </c>
    </row>
    <row r="5344" spans="1:13" hidden="1" x14ac:dyDescent="0.15">
      <c r="A5344" t="s">
        <v>16855</v>
      </c>
      <c r="B5344" t="s">
        <v>16856</v>
      </c>
      <c r="C5344" t="s">
        <v>16857</v>
      </c>
      <c r="D5344" t="s">
        <v>16836</v>
      </c>
      <c r="E5344">
        <v>8</v>
      </c>
      <c r="F5344" t="str">
        <f>HYPERLINK("https://github.com/canyie/pine/issues/9", "show")</f>
        <v>show</v>
      </c>
      <c r="G5344" t="str">
        <f>HYPERLINK("https://github.com/canyie/pine", "show")</f>
        <v>show</v>
      </c>
      <c r="H5344" t="str">
        <f>HYPERLINK("https://github.com/canyie/pine/releases", "show")</f>
        <v>show</v>
      </c>
      <c r="I5344">
        <v>1</v>
      </c>
      <c r="J5344">
        <v>0</v>
      </c>
      <c r="K5344">
        <v>0</v>
      </c>
      <c r="L5344">
        <v>0</v>
      </c>
      <c r="M5344" t="s">
        <v>17</v>
      </c>
    </row>
    <row r="5345" spans="1:13" hidden="1" x14ac:dyDescent="0.15">
      <c r="A5345" t="s">
        <v>16858</v>
      </c>
      <c r="B5345" t="s">
        <v>16859</v>
      </c>
      <c r="C5345" t="s">
        <v>16860</v>
      </c>
      <c r="D5345" t="s">
        <v>16836</v>
      </c>
      <c r="E5345">
        <v>0</v>
      </c>
      <c r="F5345" t="str">
        <f>HYPERLINK("https://github.com/material-components/material-components-android/issues/2038", "show")</f>
        <v>show</v>
      </c>
      <c r="G5345" t="str">
        <f>HYPERLINK("https://github.com/material-components/material-components-android", "show")</f>
        <v>show</v>
      </c>
      <c r="H5345" t="str">
        <f>HYPERLINK("https://github.com/material-components/material-components-android/releases", "show")</f>
        <v>show</v>
      </c>
      <c r="I5345">
        <v>1</v>
      </c>
      <c r="J5345">
        <v>1</v>
      </c>
      <c r="K5345">
        <v>0</v>
      </c>
      <c r="L5345">
        <v>0</v>
      </c>
      <c r="M5345" t="s">
        <v>48</v>
      </c>
    </row>
    <row r="5346" spans="1:13" hidden="1" x14ac:dyDescent="0.15">
      <c r="A5346" t="s">
        <v>16861</v>
      </c>
      <c r="B5346" t="s">
        <v>16862</v>
      </c>
      <c r="C5346" t="s">
        <v>16863</v>
      </c>
      <c r="D5346" t="s">
        <v>16864</v>
      </c>
      <c r="E5346">
        <v>1</v>
      </c>
      <c r="F5346" t="str">
        <f>HYPERLINK("https://github.com/aleksn41/corona_world_app/issues/126", "show")</f>
        <v>show</v>
      </c>
      <c r="G5346" t="str">
        <f>HYPERLINK("https://github.com/aleksn41/corona_world_app", "show")</f>
        <v>show</v>
      </c>
      <c r="H5346" t="str">
        <f>HYPERLINK("https://github.com/aleksn41/corona_world_app/releases", "show")</f>
        <v>show</v>
      </c>
      <c r="I5346">
        <v>1</v>
      </c>
      <c r="J5346">
        <v>0</v>
      </c>
      <c r="K5346">
        <v>0</v>
      </c>
      <c r="L5346">
        <v>0</v>
      </c>
      <c r="M5346" t="s">
        <v>17</v>
      </c>
    </row>
    <row r="5347" spans="1:13" hidden="1" x14ac:dyDescent="0.15">
      <c r="A5347" t="s">
        <v>16865</v>
      </c>
      <c r="B5347" t="s">
        <v>16866</v>
      </c>
      <c r="C5347" t="s">
        <v>16867</v>
      </c>
      <c r="D5347" t="s">
        <v>16864</v>
      </c>
      <c r="E5347">
        <v>0</v>
      </c>
      <c r="F5347" t="str">
        <f>HYPERLINK("https://github.com/Anuken/Mindustry/issues/4585", "show")</f>
        <v>show</v>
      </c>
      <c r="G5347" t="str">
        <f>HYPERLINK("https://github.com/Anuken/Mindustry", "show")</f>
        <v>show</v>
      </c>
      <c r="H5347" t="str">
        <f>HYPERLINK("https://github.com/Anuken/Mindustry/releases", "show")</f>
        <v>show</v>
      </c>
      <c r="I5347">
        <v>1</v>
      </c>
      <c r="J5347">
        <v>1</v>
      </c>
      <c r="K5347">
        <v>0</v>
      </c>
      <c r="L5347">
        <v>0</v>
      </c>
      <c r="M5347" t="s">
        <v>48</v>
      </c>
    </row>
    <row r="5348" spans="1:13" hidden="1" x14ac:dyDescent="0.15">
      <c r="A5348" t="s">
        <v>16868</v>
      </c>
      <c r="B5348" t="s">
        <v>16869</v>
      </c>
      <c r="C5348" t="s">
        <v>16870</v>
      </c>
      <c r="D5348" t="s">
        <v>16864</v>
      </c>
      <c r="E5348">
        <v>0</v>
      </c>
      <c r="F5348" t="str">
        <f>HYPERLINK("https://github.com/deepjavalibrary/djl/issues/596", "show")</f>
        <v>show</v>
      </c>
      <c r="G5348" t="str">
        <f>HYPERLINK("https://github.com/deepjavalibrary/djl", "show")</f>
        <v>show</v>
      </c>
      <c r="H5348" t="str">
        <f>HYPERLINK("https://github.com/deepjavalibrary/djl/releases", "show")</f>
        <v>show</v>
      </c>
      <c r="I5348">
        <v>1</v>
      </c>
      <c r="J5348">
        <v>1</v>
      </c>
      <c r="K5348">
        <v>0</v>
      </c>
      <c r="L5348">
        <v>0</v>
      </c>
      <c r="M5348" t="s">
        <v>48</v>
      </c>
    </row>
    <row r="5349" spans="1:13" hidden="1" x14ac:dyDescent="0.15">
      <c r="A5349" t="s">
        <v>16871</v>
      </c>
      <c r="B5349" t="s">
        <v>16872</v>
      </c>
      <c r="C5349" t="s">
        <v>16873</v>
      </c>
      <c r="D5349" t="s">
        <v>16874</v>
      </c>
      <c r="E5349">
        <v>3</v>
      </c>
      <c r="F5349" t="str">
        <f>HYPERLINK("https://github.com/square/okhttp/issues/6543", "show")</f>
        <v>show</v>
      </c>
      <c r="G5349" t="str">
        <f>HYPERLINK("https://github.com/square/okhttp", "show")</f>
        <v>show</v>
      </c>
      <c r="H5349" t="str">
        <f>HYPERLINK("https://github.com/square/okhttp/releases", "show")</f>
        <v>show</v>
      </c>
      <c r="I5349">
        <v>0</v>
      </c>
      <c r="J5349">
        <v>0</v>
      </c>
      <c r="K5349">
        <v>1</v>
      </c>
      <c r="L5349">
        <v>0</v>
      </c>
      <c r="M5349" t="s">
        <v>122</v>
      </c>
    </row>
    <row r="5350" spans="1:13" hidden="1" x14ac:dyDescent="0.15">
      <c r="A5350" t="s">
        <v>16875</v>
      </c>
      <c r="B5350" t="s">
        <v>16876</v>
      </c>
      <c r="D5350" t="s">
        <v>16874</v>
      </c>
      <c r="E5350">
        <v>1</v>
      </c>
      <c r="F5350" t="str">
        <f>HYPERLINK("https://github.com/mathisdt/trackworktime/issues/137", "show")</f>
        <v>show</v>
      </c>
      <c r="G5350" t="str">
        <f>HYPERLINK("https://github.com/mathisdt/trackworktime", "show")</f>
        <v>show</v>
      </c>
      <c r="H5350" t="str">
        <f>HYPERLINK("https://github.com/mathisdt/trackworktime/releases", "show")</f>
        <v>show</v>
      </c>
      <c r="I5350">
        <v>1</v>
      </c>
      <c r="J5350">
        <v>0</v>
      </c>
      <c r="K5350">
        <v>1</v>
      </c>
      <c r="L5350">
        <v>0</v>
      </c>
      <c r="M5350" t="s">
        <v>64</v>
      </c>
    </row>
    <row r="5351" spans="1:13" hidden="1" x14ac:dyDescent="0.15">
      <c r="A5351" t="s">
        <v>16877</v>
      </c>
      <c r="B5351" t="s">
        <v>16878</v>
      </c>
      <c r="C5351" t="s">
        <v>16879</v>
      </c>
      <c r="D5351" t="s">
        <v>16874</v>
      </c>
      <c r="E5351">
        <v>0</v>
      </c>
      <c r="F5351" t="str">
        <f>HYPERLINK("https://github.com/MuntashirAkon/AppManager/issues/259", "show")</f>
        <v>show</v>
      </c>
      <c r="G5351" t="str">
        <f>HYPERLINK("https://github.com/MuntashirAkon/AppManager", "show")</f>
        <v>show</v>
      </c>
      <c r="H5351" t="str">
        <f>HYPERLINK("https://github.com/MuntashirAkon/AppManager/releases", "show")</f>
        <v>show</v>
      </c>
      <c r="I5351">
        <v>1</v>
      </c>
      <c r="J5351">
        <v>0</v>
      </c>
      <c r="K5351">
        <v>1</v>
      </c>
      <c r="L5351">
        <v>0</v>
      </c>
      <c r="M5351" t="s">
        <v>64</v>
      </c>
    </row>
    <row r="5352" spans="1:13" x14ac:dyDescent="0.15">
      <c r="A5352" t="s">
        <v>16880</v>
      </c>
      <c r="B5352" t="s">
        <v>16881</v>
      </c>
      <c r="C5352" t="s">
        <v>16882</v>
      </c>
      <c r="D5352" t="s">
        <v>16874</v>
      </c>
      <c r="E5352">
        <v>0</v>
      </c>
      <c r="F5352" t="str">
        <f>HYPERLINK("https://github.com/PojavLauncherTeam/PojavLauncher/issues/794", "show")</f>
        <v>show</v>
      </c>
      <c r="G5352" t="str">
        <f>HYPERLINK("https://github.com/PojavLauncherTeam/PojavLauncher", "show")</f>
        <v>show</v>
      </c>
      <c r="H5352" t="str">
        <f>HYPERLINK("https://github.com/PojavLauncherTeam/PojavLauncher/releases", "show")</f>
        <v>show</v>
      </c>
      <c r="I5352">
        <v>0</v>
      </c>
      <c r="J5352">
        <v>1</v>
      </c>
      <c r="K5352">
        <v>0</v>
      </c>
      <c r="L5352">
        <v>0</v>
      </c>
      <c r="M5352" t="s">
        <v>139</v>
      </c>
    </row>
    <row r="5353" spans="1:13" hidden="1" x14ac:dyDescent="0.15">
      <c r="A5353" t="s">
        <v>16883</v>
      </c>
      <c r="B5353" t="s">
        <v>16884</v>
      </c>
      <c r="C5353" t="s">
        <v>16885</v>
      </c>
      <c r="D5353" t="s">
        <v>16874</v>
      </c>
      <c r="E5353">
        <v>9</v>
      </c>
      <c r="F5353" t="str">
        <f>HYPERLINK("https://github.com/AlphaWallet/alpha-wallet-android/issues/1713", "show")</f>
        <v>show</v>
      </c>
      <c r="G5353" t="str">
        <f>HYPERLINK("https://github.com/AlphaWallet/alpha-wallet-android", "show")</f>
        <v>show</v>
      </c>
      <c r="H5353" t="str">
        <f>HYPERLINK("https://github.com/AlphaWallet/alpha-wallet-android/releases", "show")</f>
        <v>show</v>
      </c>
      <c r="I5353">
        <v>1</v>
      </c>
      <c r="J5353">
        <v>1</v>
      </c>
      <c r="K5353">
        <v>0</v>
      </c>
      <c r="L5353">
        <v>1</v>
      </c>
      <c r="M5353" t="s">
        <v>1894</v>
      </c>
    </row>
    <row r="5354" spans="1:13" hidden="1" x14ac:dyDescent="0.15">
      <c r="A5354" t="s">
        <v>16886</v>
      </c>
      <c r="B5354" t="s">
        <v>16887</v>
      </c>
      <c r="C5354" t="s">
        <v>16888</v>
      </c>
      <c r="D5354" t="s">
        <v>16889</v>
      </c>
      <c r="E5354">
        <v>148</v>
      </c>
      <c r="F5354" t="str">
        <f>HYPERLINK("https://github.com/iamutkarshtiwari/Ananas/issues/85", "show")</f>
        <v>show</v>
      </c>
      <c r="G5354" t="str">
        <f>HYPERLINK("https://github.com/iamutkarshtiwari/Ananas", "show")</f>
        <v>show</v>
      </c>
      <c r="H5354" t="str">
        <f>HYPERLINK("https://github.com/iamutkarshtiwari/Ananas/releases", "show")</f>
        <v>show</v>
      </c>
      <c r="I5354">
        <v>1</v>
      </c>
      <c r="J5354">
        <v>0</v>
      </c>
      <c r="K5354">
        <v>0</v>
      </c>
      <c r="L5354">
        <v>0</v>
      </c>
      <c r="M5354" t="s">
        <v>17</v>
      </c>
    </row>
    <row r="5355" spans="1:13" hidden="1" x14ac:dyDescent="0.15">
      <c r="A5355" t="s">
        <v>16890</v>
      </c>
      <c r="B5355" t="s">
        <v>16891</v>
      </c>
      <c r="C5355" t="s">
        <v>16892</v>
      </c>
      <c r="D5355" t="s">
        <v>16889</v>
      </c>
      <c r="E5355">
        <v>0</v>
      </c>
      <c r="F5355" t="str">
        <f>HYPERLINK("https://github.com/Anuken/Mindustry/issues/4500", "show")</f>
        <v>show</v>
      </c>
      <c r="G5355" t="str">
        <f>HYPERLINK("https://github.com/Anuken/Mindustry", "show")</f>
        <v>show</v>
      </c>
      <c r="H5355" t="str">
        <f>HYPERLINK("https://github.com/Anuken/Mindustry/releases", "show")</f>
        <v>show</v>
      </c>
      <c r="I5355">
        <v>1</v>
      </c>
      <c r="J5355">
        <v>1</v>
      </c>
      <c r="K5355">
        <v>0</v>
      </c>
      <c r="L5355">
        <v>1</v>
      </c>
      <c r="M5355" t="s">
        <v>1894</v>
      </c>
    </row>
    <row r="5356" spans="1:13" hidden="1" x14ac:dyDescent="0.15">
      <c r="A5356" t="s">
        <v>16893</v>
      </c>
      <c r="B5356" t="s">
        <v>16894</v>
      </c>
      <c r="C5356" t="s">
        <v>16895</v>
      </c>
      <c r="D5356" t="s">
        <v>16889</v>
      </c>
      <c r="E5356">
        <v>116</v>
      </c>
      <c r="F5356" t="str">
        <f>HYPERLINK("https://github.com/morenoh149/react-native-contacts/issues/590", "show")</f>
        <v>show</v>
      </c>
      <c r="G5356" t="str">
        <f>HYPERLINK("https://github.com/morenoh149/react-native-contacts", "show")</f>
        <v>show</v>
      </c>
      <c r="H5356" t="str">
        <f>HYPERLINK("https://github.com/morenoh149/react-native-contacts/releases", "show")</f>
        <v>show</v>
      </c>
      <c r="I5356">
        <v>1</v>
      </c>
      <c r="J5356">
        <v>1</v>
      </c>
      <c r="K5356">
        <v>0</v>
      </c>
      <c r="L5356">
        <v>0</v>
      </c>
      <c r="M5356" t="s">
        <v>48</v>
      </c>
    </row>
    <row r="5357" spans="1:13" x14ac:dyDescent="0.15">
      <c r="A5357" t="s">
        <v>16896</v>
      </c>
      <c r="B5357" t="s">
        <v>16897</v>
      </c>
      <c r="C5357" t="s">
        <v>16898</v>
      </c>
      <c r="D5357" t="s">
        <v>16889</v>
      </c>
      <c r="E5357">
        <v>2</v>
      </c>
      <c r="F5357" t="str">
        <f>HYPERLINK("https://github.com/chr15m/PdDroidParty/issues/62", "show")</f>
        <v>show</v>
      </c>
      <c r="G5357" t="str">
        <f>HYPERLINK("https://github.com/chr15m/PdDroidParty", "show")</f>
        <v>show</v>
      </c>
      <c r="H5357" t="str">
        <f>HYPERLINK("https://github.com/chr15m/PdDroidParty/releases", "show")</f>
        <v>show</v>
      </c>
      <c r="I5357">
        <v>0</v>
      </c>
      <c r="J5357">
        <v>1</v>
      </c>
      <c r="K5357">
        <v>0</v>
      </c>
      <c r="L5357">
        <v>0</v>
      </c>
      <c r="M5357" t="s">
        <v>139</v>
      </c>
    </row>
    <row r="5358" spans="1:13" hidden="1" x14ac:dyDescent="0.15">
      <c r="A5358" t="s">
        <v>16899</v>
      </c>
      <c r="B5358" t="s">
        <v>16900</v>
      </c>
      <c r="C5358" t="s">
        <v>16901</v>
      </c>
      <c r="D5358" t="s">
        <v>16889</v>
      </c>
      <c r="E5358">
        <v>0</v>
      </c>
      <c r="F5358" t="str">
        <f>HYPERLINK("https://github.com/Anuken/Mindustry/issues/4496", "show")</f>
        <v>show</v>
      </c>
      <c r="G5358" t="str">
        <f>HYPERLINK("https://github.com/Anuken/Mindustry", "show")</f>
        <v>show</v>
      </c>
      <c r="H5358" t="str">
        <f>HYPERLINK("https://github.com/Anuken/Mindustry/releases", "show")</f>
        <v>show</v>
      </c>
      <c r="I5358">
        <v>1</v>
      </c>
      <c r="J5358">
        <v>0</v>
      </c>
      <c r="K5358">
        <v>0</v>
      </c>
      <c r="L5358">
        <v>0</v>
      </c>
      <c r="M5358" t="s">
        <v>17</v>
      </c>
    </row>
    <row r="5359" spans="1:13" hidden="1" x14ac:dyDescent="0.15">
      <c r="A5359" t="s">
        <v>16902</v>
      </c>
      <c r="B5359" t="s">
        <v>16903</v>
      </c>
      <c r="C5359" t="s">
        <v>16904</v>
      </c>
      <c r="D5359" t="s">
        <v>16905</v>
      </c>
      <c r="E5359">
        <v>0</v>
      </c>
      <c r="F5359" t="str">
        <f>HYPERLINK("https://github.com/Anuken/Mindustry/issues/4495", "show")</f>
        <v>show</v>
      </c>
      <c r="G5359" t="str">
        <f>HYPERLINK("https://github.com/Anuken/Mindustry", "show")</f>
        <v>show</v>
      </c>
      <c r="H5359" t="str">
        <f>HYPERLINK("https://github.com/Anuken/Mindustry/releases", "show")</f>
        <v>show</v>
      </c>
      <c r="I5359">
        <v>1</v>
      </c>
      <c r="J5359">
        <v>1</v>
      </c>
      <c r="K5359">
        <v>0</v>
      </c>
      <c r="L5359">
        <v>0</v>
      </c>
      <c r="M5359" t="s">
        <v>48</v>
      </c>
    </row>
    <row r="5360" spans="1:13" hidden="1" x14ac:dyDescent="0.15">
      <c r="A5360" t="s">
        <v>16906</v>
      </c>
      <c r="B5360" t="s">
        <v>16907</v>
      </c>
      <c r="C5360" t="s">
        <v>16908</v>
      </c>
      <c r="D5360" t="s">
        <v>16905</v>
      </c>
      <c r="E5360">
        <v>0</v>
      </c>
      <c r="F5360" t="str">
        <f>HYPERLINK("https://github.com/cgeo/cgeo/issues/9937", "show")</f>
        <v>show</v>
      </c>
      <c r="G5360" t="str">
        <f>HYPERLINK("https://github.com/cgeo/cgeo", "show")</f>
        <v>show</v>
      </c>
      <c r="H5360" t="str">
        <f>HYPERLINK("https://github.com/cgeo/cgeo/releases", "show")</f>
        <v>show</v>
      </c>
      <c r="I5360">
        <v>1</v>
      </c>
      <c r="J5360">
        <v>0</v>
      </c>
      <c r="K5360">
        <v>0</v>
      </c>
      <c r="L5360">
        <v>0</v>
      </c>
      <c r="M5360" t="s">
        <v>17</v>
      </c>
    </row>
    <row r="5361" spans="1:13" hidden="1" x14ac:dyDescent="0.15">
      <c r="A5361" t="s">
        <v>16909</v>
      </c>
      <c r="B5361" t="s">
        <v>16910</v>
      </c>
      <c r="C5361" t="s">
        <v>16911</v>
      </c>
      <c r="D5361" t="s">
        <v>16905</v>
      </c>
      <c r="E5361">
        <v>4</v>
      </c>
      <c r="F5361" t="str">
        <f>HYPERLINK("https://github.com/cgeo/cgeo/issues/9936", "show")</f>
        <v>show</v>
      </c>
      <c r="G5361" t="str">
        <f>HYPERLINK("https://github.com/cgeo/cgeo", "show")</f>
        <v>show</v>
      </c>
      <c r="H5361" t="str">
        <f>HYPERLINK("https://github.com/cgeo/cgeo/releases", "show")</f>
        <v>show</v>
      </c>
      <c r="I5361">
        <v>1</v>
      </c>
      <c r="J5361">
        <v>0</v>
      </c>
      <c r="K5361">
        <v>1</v>
      </c>
      <c r="L5361">
        <v>0</v>
      </c>
      <c r="M5361" t="s">
        <v>64</v>
      </c>
    </row>
    <row r="5362" spans="1:13" hidden="1" x14ac:dyDescent="0.15">
      <c r="A5362" t="s">
        <v>16912</v>
      </c>
      <c r="B5362" t="s">
        <v>16913</v>
      </c>
      <c r="C5362" t="s">
        <v>16914</v>
      </c>
      <c r="D5362" t="s">
        <v>16905</v>
      </c>
      <c r="E5362">
        <v>2</v>
      </c>
      <c r="F5362" t="str">
        <f>HYPERLINK("https://github.com/AOF-Dev/MCinaBox/issues/906", "show")</f>
        <v>show</v>
      </c>
      <c r="G5362" t="str">
        <f>HYPERLINK("https://github.com/AOF-Dev/MCinaBox", "show")</f>
        <v>show</v>
      </c>
      <c r="H5362" t="str">
        <f>HYPERLINK("https://github.com/AOF-Dev/MCinaBox/releases", "show")</f>
        <v>show</v>
      </c>
      <c r="I5362">
        <v>1</v>
      </c>
      <c r="J5362">
        <v>1</v>
      </c>
      <c r="K5362">
        <v>1</v>
      </c>
      <c r="L5362">
        <v>0</v>
      </c>
      <c r="M5362" t="s">
        <v>59</v>
      </c>
    </row>
    <row r="5363" spans="1:13" hidden="1" x14ac:dyDescent="0.15">
      <c r="A5363" t="s">
        <v>16915</v>
      </c>
      <c r="B5363" t="s">
        <v>16916</v>
      </c>
      <c r="C5363" t="s">
        <v>16901</v>
      </c>
      <c r="D5363" t="s">
        <v>16905</v>
      </c>
      <c r="E5363">
        <v>0</v>
      </c>
      <c r="F5363" t="str">
        <f>HYPERLINK("https://github.com/Anuken/Mindustry/issues/4491", "show")</f>
        <v>show</v>
      </c>
      <c r="G5363" t="str">
        <f>HYPERLINK("https://github.com/Anuken/Mindustry", "show")</f>
        <v>show</v>
      </c>
      <c r="H5363" t="str">
        <f>HYPERLINK("https://github.com/Anuken/Mindustry/releases", "show")</f>
        <v>show</v>
      </c>
      <c r="I5363">
        <v>1</v>
      </c>
      <c r="J5363">
        <v>0</v>
      </c>
      <c r="K5363">
        <v>0</v>
      </c>
      <c r="L5363">
        <v>0</v>
      </c>
      <c r="M5363" t="s">
        <v>17</v>
      </c>
    </row>
    <row r="5364" spans="1:13" hidden="1" x14ac:dyDescent="0.15">
      <c r="A5364" t="s">
        <v>16917</v>
      </c>
      <c r="B5364" t="s">
        <v>16918</v>
      </c>
      <c r="C5364" t="s">
        <v>16919</v>
      </c>
      <c r="D5364" t="s">
        <v>16905</v>
      </c>
      <c r="E5364">
        <v>22</v>
      </c>
      <c r="F5364" t="str">
        <f>HYPERLINK("https://github.com/nextcloud/android/issues/7911", "show")</f>
        <v>show</v>
      </c>
      <c r="G5364" t="str">
        <f>HYPERLINK("https://github.com/nextcloud/android", "show")</f>
        <v>show</v>
      </c>
      <c r="H5364" t="str">
        <f>HYPERLINK("https://github.com/nextcloud/android/releases", "show")</f>
        <v>show</v>
      </c>
      <c r="I5364">
        <v>0</v>
      </c>
      <c r="J5364">
        <v>1</v>
      </c>
      <c r="K5364">
        <v>1</v>
      </c>
      <c r="L5364">
        <v>0</v>
      </c>
      <c r="M5364" t="s">
        <v>699</v>
      </c>
    </row>
    <row r="5365" spans="1:13" hidden="1" x14ac:dyDescent="0.15">
      <c r="A5365" t="s">
        <v>16920</v>
      </c>
      <c r="B5365" t="s">
        <v>16921</v>
      </c>
      <c r="C5365" t="s">
        <v>16922</v>
      </c>
      <c r="D5365" t="s">
        <v>16905</v>
      </c>
      <c r="E5365">
        <v>191</v>
      </c>
      <c r="F5365" t="str">
        <f>HYPERLINK("https://github.com/TeamNewPipe/NewPipe/issues/5520", "show")</f>
        <v>show</v>
      </c>
      <c r="G5365" t="str">
        <f>HYPERLINK("https://github.com/TeamNewPipe/NewPipe", "show")</f>
        <v>show</v>
      </c>
      <c r="H5365" t="str">
        <f>HYPERLINK("https://github.com/TeamNewPipe/NewPipe/releases", "show")</f>
        <v>show</v>
      </c>
      <c r="I5365">
        <v>1</v>
      </c>
      <c r="J5365">
        <v>1</v>
      </c>
      <c r="K5365">
        <v>0</v>
      </c>
      <c r="L5365">
        <v>1</v>
      </c>
      <c r="M5365" t="s">
        <v>1894</v>
      </c>
    </row>
    <row r="5366" spans="1:13" hidden="1" x14ac:dyDescent="0.15">
      <c r="A5366" t="s">
        <v>16923</v>
      </c>
      <c r="B5366" t="s">
        <v>16924</v>
      </c>
      <c r="C5366" t="s">
        <v>16925</v>
      </c>
      <c r="D5366" t="s">
        <v>16905</v>
      </c>
      <c r="E5366">
        <v>275</v>
      </c>
      <c r="F5366" t="str">
        <f>HYPERLINK("https://github.com/material-components/material-components-android/issues/2021", "show")</f>
        <v>show</v>
      </c>
      <c r="G5366" t="str">
        <f>HYPERLINK("https://github.com/material-components/material-components-android", "show")</f>
        <v>show</v>
      </c>
      <c r="H5366" t="str">
        <f>HYPERLINK("https://github.com/material-components/material-components-android/releases", "show")</f>
        <v>show</v>
      </c>
      <c r="I5366">
        <v>1</v>
      </c>
      <c r="J5366">
        <v>0</v>
      </c>
      <c r="K5366">
        <v>1</v>
      </c>
      <c r="L5366">
        <v>0</v>
      </c>
      <c r="M5366" t="s">
        <v>64</v>
      </c>
    </row>
    <row r="5367" spans="1:13" hidden="1" x14ac:dyDescent="0.15">
      <c r="A5367" t="s">
        <v>16926</v>
      </c>
      <c r="B5367" t="s">
        <v>16927</v>
      </c>
      <c r="C5367" t="s">
        <v>16928</v>
      </c>
      <c r="D5367" t="s">
        <v>16929</v>
      </c>
      <c r="E5367">
        <v>0</v>
      </c>
      <c r="F5367" t="str">
        <f>HYPERLINK("https://github.com/Anuken/Mindustry/issues/4486", "show")</f>
        <v>show</v>
      </c>
      <c r="G5367" t="str">
        <f>HYPERLINK("https://github.com/Anuken/Mindustry", "show")</f>
        <v>show</v>
      </c>
      <c r="H5367" t="str">
        <f>HYPERLINK("https://github.com/Anuken/Mindustry/releases", "show")</f>
        <v>show</v>
      </c>
      <c r="I5367">
        <v>1</v>
      </c>
      <c r="J5367">
        <v>1</v>
      </c>
      <c r="K5367">
        <v>0</v>
      </c>
      <c r="L5367">
        <v>1</v>
      </c>
      <c r="M5367" t="s">
        <v>1894</v>
      </c>
    </row>
    <row r="5368" spans="1:13" hidden="1" x14ac:dyDescent="0.15">
      <c r="A5368" t="s">
        <v>16930</v>
      </c>
      <c r="B5368" t="s">
        <v>16931</v>
      </c>
      <c r="C5368" t="s">
        <v>16932</v>
      </c>
      <c r="D5368" t="s">
        <v>16929</v>
      </c>
      <c r="E5368">
        <v>0</v>
      </c>
      <c r="F5368" t="str">
        <f>HYPERLINK("https://github.com/Anuken/Mindustry/issues/4483", "show")</f>
        <v>show</v>
      </c>
      <c r="G5368" t="str">
        <f>HYPERLINK("https://github.com/Anuken/Mindustry", "show")</f>
        <v>show</v>
      </c>
      <c r="H5368" t="str">
        <f>HYPERLINK("https://github.com/Anuken/Mindustry/releases", "show")</f>
        <v>show</v>
      </c>
      <c r="I5368">
        <v>0</v>
      </c>
      <c r="J5368">
        <v>0</v>
      </c>
      <c r="K5368">
        <v>0</v>
      </c>
      <c r="L5368">
        <v>0</v>
      </c>
      <c r="M5368" t="s">
        <v>43</v>
      </c>
    </row>
    <row r="5369" spans="1:13" hidden="1" x14ac:dyDescent="0.15">
      <c r="A5369" t="s">
        <v>16933</v>
      </c>
      <c r="B5369" t="s">
        <v>16934</v>
      </c>
      <c r="C5369" t="s">
        <v>16935</v>
      </c>
      <c r="D5369" t="s">
        <v>16929</v>
      </c>
      <c r="E5369">
        <v>0</v>
      </c>
      <c r="F5369" t="str">
        <f>HYPERLINK("https://github.com/Anuken/Mindustry/issues/4482", "show")</f>
        <v>show</v>
      </c>
      <c r="G5369" t="str">
        <f>HYPERLINK("https://github.com/Anuken/Mindustry", "show")</f>
        <v>show</v>
      </c>
      <c r="H5369" t="str">
        <f>HYPERLINK("https://github.com/Anuken/Mindustry/releases", "show")</f>
        <v>show</v>
      </c>
      <c r="I5369">
        <v>1</v>
      </c>
      <c r="J5369">
        <v>0</v>
      </c>
      <c r="K5369">
        <v>0</v>
      </c>
      <c r="L5369">
        <v>0</v>
      </c>
      <c r="M5369" t="s">
        <v>17</v>
      </c>
    </row>
    <row r="5370" spans="1:13" hidden="1" x14ac:dyDescent="0.15">
      <c r="A5370" t="s">
        <v>16936</v>
      </c>
      <c r="B5370" t="s">
        <v>16937</v>
      </c>
      <c r="C5370" t="s">
        <v>16938</v>
      </c>
      <c r="D5370" t="s">
        <v>16929</v>
      </c>
      <c r="E5370">
        <v>0</v>
      </c>
      <c r="F5370" t="str">
        <f>HYPERLINK("https://github.com/mtotschnig/MyExpenses/issues/744", "show")</f>
        <v>show</v>
      </c>
      <c r="G5370" t="str">
        <f>HYPERLINK("https://github.com/mtotschnig/MyExpenses", "show")</f>
        <v>show</v>
      </c>
      <c r="H5370" t="str">
        <f>HYPERLINK("https://github.com/mtotschnig/MyExpenses/releases", "show")</f>
        <v>show</v>
      </c>
      <c r="I5370">
        <v>1</v>
      </c>
      <c r="J5370">
        <v>1</v>
      </c>
      <c r="K5370">
        <v>1</v>
      </c>
      <c r="L5370">
        <v>0</v>
      </c>
      <c r="M5370" t="s">
        <v>59</v>
      </c>
    </row>
    <row r="5371" spans="1:13" hidden="1" x14ac:dyDescent="0.15">
      <c r="A5371" t="s">
        <v>16939</v>
      </c>
      <c r="B5371" t="s">
        <v>16940</v>
      </c>
      <c r="C5371" t="s">
        <v>16941</v>
      </c>
      <c r="D5371" t="s">
        <v>16929</v>
      </c>
      <c r="E5371">
        <v>1</v>
      </c>
      <c r="F5371" t="str">
        <f>HYPERLINK("https://github.com/TeamNewPipe/NewPipe/issues/5517", "show")</f>
        <v>show</v>
      </c>
      <c r="G5371" t="str">
        <f>HYPERLINK("https://github.com/TeamNewPipe/NewPipe", "show")</f>
        <v>show</v>
      </c>
      <c r="H5371" t="str">
        <f>HYPERLINK("https://github.com/TeamNewPipe/NewPipe/releases", "show")</f>
        <v>show</v>
      </c>
      <c r="I5371">
        <v>1</v>
      </c>
      <c r="J5371">
        <v>1</v>
      </c>
      <c r="K5371">
        <v>0</v>
      </c>
      <c r="L5371">
        <v>0</v>
      </c>
      <c r="M5371" t="s">
        <v>48</v>
      </c>
    </row>
    <row r="5372" spans="1:13" hidden="1" x14ac:dyDescent="0.15">
      <c r="A5372" t="s">
        <v>16942</v>
      </c>
      <c r="B5372" t="s">
        <v>16943</v>
      </c>
      <c r="C5372" t="s">
        <v>16944</v>
      </c>
      <c r="D5372" t="s">
        <v>16929</v>
      </c>
      <c r="E5372">
        <v>0</v>
      </c>
      <c r="F5372" t="str">
        <f>HYPERLINK("https://github.com/AOF-Dev/MCinaBox/issues/901", "show")</f>
        <v>show</v>
      </c>
      <c r="G5372" t="str">
        <f>HYPERLINK("https://github.com/AOF-Dev/MCinaBox", "show")</f>
        <v>show</v>
      </c>
      <c r="H5372" t="str">
        <f>HYPERLINK("https://github.com/AOF-Dev/MCinaBox/releases", "show")</f>
        <v>show</v>
      </c>
      <c r="I5372">
        <v>1</v>
      </c>
      <c r="J5372">
        <v>0</v>
      </c>
      <c r="K5372">
        <v>0</v>
      </c>
      <c r="L5372">
        <v>0</v>
      </c>
      <c r="M5372" t="s">
        <v>17</v>
      </c>
    </row>
    <row r="5373" spans="1:13" hidden="1" x14ac:dyDescent="0.15">
      <c r="A5373" t="s">
        <v>16945</v>
      </c>
      <c r="B5373" t="s">
        <v>16946</v>
      </c>
      <c r="D5373" t="s">
        <v>16947</v>
      </c>
      <c r="E5373">
        <v>5</v>
      </c>
      <c r="F5373" t="str">
        <f>HYPERLINK("https://github.com/yelmio/Yelm.Hooli.HooliOS/issues/7", "show")</f>
        <v>show</v>
      </c>
      <c r="G5373" t="str">
        <f>HYPERLINK("https://github.com/yelmio/Yelm.Hooli.HooliOS", "show")</f>
        <v>show</v>
      </c>
      <c r="H5373" t="str">
        <f>HYPERLINK("https://github.com/yelmio/Yelm.Hooli.HooliOS/releases", "show")</f>
        <v>show</v>
      </c>
      <c r="I5373">
        <v>0</v>
      </c>
      <c r="J5373">
        <v>0</v>
      </c>
      <c r="K5373">
        <v>0</v>
      </c>
      <c r="L5373">
        <v>0</v>
      </c>
      <c r="M5373" t="s">
        <v>43</v>
      </c>
    </row>
    <row r="5374" spans="1:13" hidden="1" x14ac:dyDescent="0.15">
      <c r="A5374" t="s">
        <v>16948</v>
      </c>
      <c r="B5374" t="s">
        <v>16949</v>
      </c>
      <c r="C5374" t="s">
        <v>16950</v>
      </c>
      <c r="D5374" t="s">
        <v>16947</v>
      </c>
      <c r="E5374">
        <v>21</v>
      </c>
      <c r="F5374" t="str">
        <f>HYPERLINK("https://github.com/cgeo/cgeo/issues/9915", "show")</f>
        <v>show</v>
      </c>
      <c r="G5374" t="str">
        <f>HYPERLINK("https://github.com/cgeo/cgeo", "show")</f>
        <v>show</v>
      </c>
      <c r="H5374" t="str">
        <f>HYPERLINK("https://github.com/cgeo/cgeo/releases", "show")</f>
        <v>show</v>
      </c>
      <c r="I5374">
        <v>1</v>
      </c>
      <c r="J5374">
        <v>0</v>
      </c>
      <c r="K5374">
        <v>1</v>
      </c>
      <c r="L5374">
        <v>0</v>
      </c>
      <c r="M5374" t="s">
        <v>64</v>
      </c>
    </row>
    <row r="5375" spans="1:13" hidden="1" x14ac:dyDescent="0.15">
      <c r="A5375" t="s">
        <v>16951</v>
      </c>
      <c r="B5375" t="s">
        <v>16952</v>
      </c>
      <c r="C5375" t="s">
        <v>16953</v>
      </c>
      <c r="D5375" t="s">
        <v>16947</v>
      </c>
      <c r="E5375">
        <v>1</v>
      </c>
      <c r="F5375" t="str">
        <f>HYPERLINK("https://github.com/Anuken/Mindustry/issues/4475", "show")</f>
        <v>show</v>
      </c>
      <c r="G5375" t="str">
        <f>HYPERLINK("https://github.com/Anuken/Mindustry", "show")</f>
        <v>show</v>
      </c>
      <c r="H5375" t="str">
        <f>HYPERLINK("https://github.com/Anuken/Mindustry/releases", "show")</f>
        <v>show</v>
      </c>
      <c r="I5375">
        <v>1</v>
      </c>
      <c r="J5375">
        <v>0</v>
      </c>
      <c r="K5375">
        <v>1</v>
      </c>
      <c r="L5375">
        <v>0</v>
      </c>
      <c r="M5375" t="s">
        <v>64</v>
      </c>
    </row>
    <row r="5376" spans="1:13" hidden="1" x14ac:dyDescent="0.15">
      <c r="A5376" t="s">
        <v>16954</v>
      </c>
      <c r="B5376" t="s">
        <v>16955</v>
      </c>
      <c r="D5376" t="s">
        <v>16947</v>
      </c>
      <c r="E5376">
        <v>35</v>
      </c>
      <c r="F5376" t="str">
        <f>HYPERLINK("https://github.com/nextcloud/android/issues/7909", "show")</f>
        <v>show</v>
      </c>
      <c r="G5376" t="str">
        <f>HYPERLINK("https://github.com/nextcloud/android", "show")</f>
        <v>show</v>
      </c>
      <c r="H5376" t="str">
        <f>HYPERLINK("https://github.com/nextcloud/android/releases", "show")</f>
        <v>show</v>
      </c>
      <c r="I5376">
        <v>0</v>
      </c>
      <c r="J5376">
        <v>0</v>
      </c>
      <c r="K5376">
        <v>0</v>
      </c>
      <c r="L5376">
        <v>0</v>
      </c>
      <c r="M5376" t="s">
        <v>43</v>
      </c>
    </row>
    <row r="5377" spans="1:13" hidden="1" x14ac:dyDescent="0.15">
      <c r="A5377" t="s">
        <v>16956</v>
      </c>
      <c r="B5377" t="s">
        <v>16957</v>
      </c>
      <c r="C5377" t="s">
        <v>16958</v>
      </c>
      <c r="D5377" t="s">
        <v>16947</v>
      </c>
      <c r="E5377">
        <v>24</v>
      </c>
      <c r="F5377" t="str">
        <f>HYPERLINK("https://github.com/nextcloud/android/issues/7908", "show")</f>
        <v>show</v>
      </c>
      <c r="G5377" t="str">
        <f>HYPERLINK("https://github.com/nextcloud/android", "show")</f>
        <v>show</v>
      </c>
      <c r="H5377" t="str">
        <f>HYPERLINK("https://github.com/nextcloud/android/releases", "show")</f>
        <v>show</v>
      </c>
      <c r="I5377">
        <v>1</v>
      </c>
      <c r="J5377">
        <v>1</v>
      </c>
      <c r="K5377">
        <v>1</v>
      </c>
      <c r="L5377">
        <v>0</v>
      </c>
      <c r="M5377" t="s">
        <v>59</v>
      </c>
    </row>
    <row r="5378" spans="1:13" x14ac:dyDescent="0.15">
      <c r="A5378" t="s">
        <v>16959</v>
      </c>
      <c r="B5378" t="s">
        <v>16960</v>
      </c>
      <c r="C5378" t="s">
        <v>16961</v>
      </c>
      <c r="D5378" t="s">
        <v>16962</v>
      </c>
      <c r="E5378">
        <v>5</v>
      </c>
      <c r="F5378" t="str">
        <f>HYPERLINK("https://github.com/MuntashirAkon/AppManager/issues/255", "show")</f>
        <v>show</v>
      </c>
      <c r="G5378" t="str">
        <f>HYPERLINK("https://github.com/MuntashirAkon/AppManager", "show")</f>
        <v>show</v>
      </c>
      <c r="H5378" t="str">
        <f>HYPERLINK("https://github.com/MuntashirAkon/AppManager/releases", "show")</f>
        <v>show</v>
      </c>
      <c r="I5378">
        <v>0</v>
      </c>
      <c r="J5378">
        <v>1</v>
      </c>
      <c r="K5378">
        <v>0</v>
      </c>
      <c r="L5378">
        <v>0</v>
      </c>
      <c r="M5378" t="s">
        <v>139</v>
      </c>
    </row>
    <row r="5379" spans="1:13" hidden="1" x14ac:dyDescent="0.15">
      <c r="A5379" t="s">
        <v>16963</v>
      </c>
      <c r="B5379" t="s">
        <v>16964</v>
      </c>
      <c r="C5379" t="s">
        <v>16965</v>
      </c>
      <c r="D5379" t="s">
        <v>16962</v>
      </c>
      <c r="E5379">
        <v>0</v>
      </c>
      <c r="F5379" t="str">
        <f>HYPERLINK("https://github.com/Anuken/Mindustry/issues/4468", "show")</f>
        <v>show</v>
      </c>
      <c r="G5379" t="str">
        <f>HYPERLINK("https://github.com/Anuken/Mindustry", "show")</f>
        <v>show</v>
      </c>
      <c r="H5379" t="str">
        <f>HYPERLINK("https://github.com/Anuken/Mindustry/releases", "show")</f>
        <v>show</v>
      </c>
      <c r="I5379">
        <v>1</v>
      </c>
      <c r="J5379">
        <v>1</v>
      </c>
      <c r="K5379">
        <v>0</v>
      </c>
      <c r="L5379">
        <v>1</v>
      </c>
      <c r="M5379" t="s">
        <v>1894</v>
      </c>
    </row>
    <row r="5380" spans="1:13" hidden="1" x14ac:dyDescent="0.15">
      <c r="A5380" t="s">
        <v>16966</v>
      </c>
      <c r="B5380" t="s">
        <v>16967</v>
      </c>
      <c r="C5380" t="s">
        <v>16968</v>
      </c>
      <c r="D5380" t="s">
        <v>16962</v>
      </c>
      <c r="E5380">
        <v>0</v>
      </c>
      <c r="F5380" t="str">
        <f>HYPERLINK("https://github.com/Anuken/Mindustry/issues/4466", "show")</f>
        <v>show</v>
      </c>
      <c r="G5380" t="str">
        <f>HYPERLINK("https://github.com/Anuken/Mindustry", "show")</f>
        <v>show</v>
      </c>
      <c r="H5380" t="str">
        <f>HYPERLINK("https://github.com/Anuken/Mindustry/releases", "show")</f>
        <v>show</v>
      </c>
      <c r="I5380">
        <v>1</v>
      </c>
      <c r="J5380">
        <v>0</v>
      </c>
      <c r="K5380">
        <v>0</v>
      </c>
      <c r="L5380">
        <v>0</v>
      </c>
      <c r="M5380" t="s">
        <v>17</v>
      </c>
    </row>
    <row r="5381" spans="1:13" hidden="1" x14ac:dyDescent="0.15">
      <c r="A5381" t="s">
        <v>16969</v>
      </c>
      <c r="B5381" t="s">
        <v>16970</v>
      </c>
      <c r="C5381" t="s">
        <v>16971</v>
      </c>
      <c r="D5381" t="s">
        <v>16962</v>
      </c>
      <c r="E5381">
        <v>0</v>
      </c>
      <c r="F5381" t="str">
        <f>HYPERLINK("https://github.com/TeamNewPipe/NewPipe/issues/5506", "show")</f>
        <v>show</v>
      </c>
      <c r="G5381" t="str">
        <f>HYPERLINK("https://github.com/TeamNewPipe/NewPipe", "show")</f>
        <v>show</v>
      </c>
      <c r="H5381" t="str">
        <f>HYPERLINK("https://github.com/TeamNewPipe/NewPipe/releases", "show")</f>
        <v>show</v>
      </c>
      <c r="I5381">
        <v>1</v>
      </c>
      <c r="J5381">
        <v>1</v>
      </c>
      <c r="K5381">
        <v>1</v>
      </c>
      <c r="L5381">
        <v>0</v>
      </c>
      <c r="M5381" t="s">
        <v>59</v>
      </c>
    </row>
    <row r="5382" spans="1:13" hidden="1" x14ac:dyDescent="0.15">
      <c r="A5382" t="s">
        <v>16972</v>
      </c>
      <c r="B5382" t="s">
        <v>16973</v>
      </c>
      <c r="C5382" t="s">
        <v>16974</v>
      </c>
      <c r="D5382" t="s">
        <v>16962</v>
      </c>
      <c r="E5382">
        <v>42</v>
      </c>
      <c r="F5382" t="str">
        <f>HYPERLINK("https://github.com/TotalCross/totalcross/issues/291", "show")</f>
        <v>show</v>
      </c>
      <c r="G5382" t="str">
        <f>HYPERLINK("https://github.com/TotalCross/totalcross", "show")</f>
        <v>show</v>
      </c>
      <c r="H5382" t="str">
        <f>HYPERLINK("https://github.com/TotalCross/totalcross/releases", "show")</f>
        <v>show</v>
      </c>
      <c r="I5382">
        <v>1</v>
      </c>
      <c r="J5382">
        <v>1</v>
      </c>
      <c r="K5382">
        <v>0</v>
      </c>
      <c r="L5382">
        <v>1</v>
      </c>
      <c r="M5382" t="s">
        <v>1894</v>
      </c>
    </row>
    <row r="5383" spans="1:13" hidden="1" x14ac:dyDescent="0.15">
      <c r="A5383" t="s">
        <v>16975</v>
      </c>
      <c r="B5383" t="s">
        <v>16976</v>
      </c>
      <c r="C5383" t="s">
        <v>16977</v>
      </c>
      <c r="D5383" t="s">
        <v>16962</v>
      </c>
      <c r="E5383">
        <v>11</v>
      </c>
      <c r="F5383" t="str">
        <f>HYPERLINK("https://github.com/PojavLauncherTeam/PojavLauncher/issues/751", "show")</f>
        <v>show</v>
      </c>
      <c r="G5383" t="str">
        <f>HYPERLINK("https://github.com/PojavLauncherTeam/PojavLauncher", "show")</f>
        <v>show</v>
      </c>
      <c r="H5383" t="str">
        <f>HYPERLINK("https://github.com/PojavLauncherTeam/PojavLauncher/releases", "show")</f>
        <v>show</v>
      </c>
      <c r="I5383">
        <v>1</v>
      </c>
      <c r="J5383">
        <v>1</v>
      </c>
      <c r="K5383">
        <v>1</v>
      </c>
      <c r="L5383">
        <v>0</v>
      </c>
      <c r="M5383" t="s">
        <v>59</v>
      </c>
    </row>
    <row r="5384" spans="1:13" hidden="1" x14ac:dyDescent="0.15">
      <c r="A5384" t="s">
        <v>16978</v>
      </c>
      <c r="B5384" t="s">
        <v>16979</v>
      </c>
      <c r="C5384" t="s">
        <v>16980</v>
      </c>
      <c r="D5384" t="s">
        <v>16981</v>
      </c>
      <c r="E5384">
        <v>14</v>
      </c>
      <c r="F5384" t="str">
        <f>HYPERLINK("https://github.com/gluonhq/substrate/issues/867", "show")</f>
        <v>show</v>
      </c>
      <c r="G5384" t="str">
        <f>HYPERLINK("https://github.com/gluonhq/substrate", "show")</f>
        <v>show</v>
      </c>
      <c r="H5384" t="str">
        <f>HYPERLINK("https://github.com/gluonhq/substrate/releases", "show")</f>
        <v>show</v>
      </c>
      <c r="I5384">
        <v>1</v>
      </c>
      <c r="J5384">
        <v>0</v>
      </c>
      <c r="K5384">
        <v>0</v>
      </c>
      <c r="L5384">
        <v>0</v>
      </c>
      <c r="M5384" t="s">
        <v>17</v>
      </c>
    </row>
    <row r="5385" spans="1:13" hidden="1" x14ac:dyDescent="0.15">
      <c r="A5385" t="s">
        <v>16982</v>
      </c>
      <c r="B5385" t="s">
        <v>16983</v>
      </c>
      <c r="C5385" t="s">
        <v>16984</v>
      </c>
      <c r="D5385" t="s">
        <v>16981</v>
      </c>
      <c r="E5385">
        <v>0</v>
      </c>
      <c r="F5385" t="str">
        <f>HYPERLINK("https://github.com/Anuken/Mindustry/issues/4460", "show")</f>
        <v>show</v>
      </c>
      <c r="G5385" t="str">
        <f>HYPERLINK("https://github.com/Anuken/Mindustry", "show")</f>
        <v>show</v>
      </c>
      <c r="H5385" t="str">
        <f>HYPERLINK("https://github.com/Anuken/Mindustry/releases", "show")</f>
        <v>show</v>
      </c>
      <c r="I5385">
        <v>1</v>
      </c>
      <c r="J5385">
        <v>1</v>
      </c>
      <c r="K5385">
        <v>0</v>
      </c>
      <c r="L5385">
        <v>0</v>
      </c>
      <c r="M5385" t="s">
        <v>48</v>
      </c>
    </row>
    <row r="5386" spans="1:13" hidden="1" x14ac:dyDescent="0.15">
      <c r="A5386" t="s">
        <v>16985</v>
      </c>
      <c r="B5386" t="s">
        <v>16986</v>
      </c>
      <c r="C5386" t="s">
        <v>16987</v>
      </c>
      <c r="D5386" t="s">
        <v>16981</v>
      </c>
      <c r="E5386">
        <v>4</v>
      </c>
      <c r="F5386" t="str">
        <f>HYPERLINK("https://github.com/getodk/collect/issues/4364", "show")</f>
        <v>show</v>
      </c>
      <c r="G5386" t="str">
        <f>HYPERLINK("https://github.com/getodk/collect", "show")</f>
        <v>show</v>
      </c>
      <c r="H5386" t="str">
        <f>HYPERLINK("https://github.com/getodk/collect/releases", "show")</f>
        <v>show</v>
      </c>
      <c r="I5386">
        <v>1</v>
      </c>
      <c r="J5386">
        <v>1</v>
      </c>
      <c r="K5386">
        <v>0</v>
      </c>
      <c r="L5386">
        <v>0</v>
      </c>
      <c r="M5386" t="s">
        <v>48</v>
      </c>
    </row>
    <row r="5387" spans="1:13" hidden="1" x14ac:dyDescent="0.15">
      <c r="A5387" t="s">
        <v>16988</v>
      </c>
      <c r="B5387" t="s">
        <v>16989</v>
      </c>
      <c r="C5387" t="s">
        <v>16990</v>
      </c>
      <c r="D5387" t="s">
        <v>16981</v>
      </c>
      <c r="E5387">
        <v>1</v>
      </c>
      <c r="F5387" t="str">
        <f>HYPERLINK("https://github.com/ogarcia/opensudoku/issues/107", "show")</f>
        <v>show</v>
      </c>
      <c r="G5387" t="str">
        <f>HYPERLINK("https://github.com/ogarcia/opensudoku", "show")</f>
        <v>show</v>
      </c>
      <c r="H5387" t="str">
        <f>HYPERLINK("https://github.com/ogarcia/opensudoku/releases", "show")</f>
        <v>show</v>
      </c>
      <c r="I5387">
        <v>1</v>
      </c>
      <c r="J5387">
        <v>1</v>
      </c>
      <c r="K5387">
        <v>0</v>
      </c>
      <c r="L5387">
        <v>0</v>
      </c>
      <c r="M5387" t="s">
        <v>48</v>
      </c>
    </row>
    <row r="5388" spans="1:13" hidden="1" x14ac:dyDescent="0.15">
      <c r="A5388" t="s">
        <v>16991</v>
      </c>
      <c r="B5388" t="s">
        <v>16992</v>
      </c>
      <c r="C5388" t="s">
        <v>16993</v>
      </c>
      <c r="D5388" t="s">
        <v>16981</v>
      </c>
      <c r="E5388">
        <v>102</v>
      </c>
      <c r="F5388" t="str">
        <f>HYPERLINK("https://github.com/microg/GmsCore/issues/1380", "show")</f>
        <v>show</v>
      </c>
      <c r="G5388" t="str">
        <f>HYPERLINK("https://github.com/microg/GmsCore", "show")</f>
        <v>show</v>
      </c>
      <c r="H5388" t="str">
        <f>HYPERLINK("https://github.com/microg/GmsCore/releases", "show")</f>
        <v>show</v>
      </c>
      <c r="I5388">
        <v>0</v>
      </c>
      <c r="J5388">
        <v>0</v>
      </c>
      <c r="K5388">
        <v>0</v>
      </c>
      <c r="L5388">
        <v>0</v>
      </c>
      <c r="M5388" t="s">
        <v>43</v>
      </c>
    </row>
    <row r="5389" spans="1:13" hidden="1" x14ac:dyDescent="0.15">
      <c r="A5389" t="s">
        <v>16994</v>
      </c>
      <c r="B5389" t="s">
        <v>16995</v>
      </c>
      <c r="C5389" t="s">
        <v>16996</v>
      </c>
      <c r="D5389" t="s">
        <v>16981</v>
      </c>
      <c r="E5389">
        <v>271</v>
      </c>
      <c r="F5389" t="str">
        <f>HYPERLINK("https://github.com/rnyholm/skvirrel/issues/51", "show")</f>
        <v>show</v>
      </c>
      <c r="G5389" t="str">
        <f>HYPERLINK("https://github.com/rnyholm/skvirrel", "show")</f>
        <v>show</v>
      </c>
      <c r="H5389" t="str">
        <f>HYPERLINK("https://github.com/rnyholm/skvirrel/releases", "show")</f>
        <v>show</v>
      </c>
      <c r="I5389">
        <v>1</v>
      </c>
      <c r="J5389">
        <v>0</v>
      </c>
      <c r="K5389">
        <v>0</v>
      </c>
      <c r="L5389">
        <v>0</v>
      </c>
      <c r="M5389" t="s">
        <v>17</v>
      </c>
    </row>
    <row r="5390" spans="1:13" hidden="1" x14ac:dyDescent="0.15">
      <c r="A5390" t="s">
        <v>16997</v>
      </c>
      <c r="B5390" t="s">
        <v>16998</v>
      </c>
      <c r="C5390" t="s">
        <v>16999</v>
      </c>
      <c r="D5390" t="s">
        <v>17000</v>
      </c>
      <c r="E5390">
        <v>217</v>
      </c>
      <c r="F5390" t="str">
        <f>HYPERLINK("https://github.com/PojavLauncherTeam/PojavLauncher/issues/742", "show")</f>
        <v>show</v>
      </c>
      <c r="G5390" t="str">
        <f>HYPERLINK("https://github.com/PojavLauncherTeam/PojavLauncher", "show")</f>
        <v>show</v>
      </c>
      <c r="H5390" t="str">
        <f>HYPERLINK("https://github.com/PojavLauncherTeam/PojavLauncher/releases", "show")</f>
        <v>show</v>
      </c>
      <c r="I5390">
        <v>1</v>
      </c>
      <c r="J5390">
        <v>0</v>
      </c>
      <c r="K5390">
        <v>0</v>
      </c>
      <c r="L5390">
        <v>0</v>
      </c>
      <c r="M5390" t="s">
        <v>17</v>
      </c>
    </row>
    <row r="5391" spans="1:13" hidden="1" x14ac:dyDescent="0.15">
      <c r="A5391" t="s">
        <v>17001</v>
      </c>
      <c r="B5391" t="s">
        <v>17002</v>
      </c>
      <c r="D5391" t="s">
        <v>17000</v>
      </c>
      <c r="E5391">
        <v>1</v>
      </c>
      <c r="F5391" t="str">
        <f>HYPERLINK("https://github.com/Gnuhry/student-alarm/issues/125", "show")</f>
        <v>show</v>
      </c>
      <c r="G5391" t="str">
        <f>HYPERLINK("https://github.com/Gnuhry/student-alarm", "show")</f>
        <v>show</v>
      </c>
      <c r="H5391" t="str">
        <f>HYPERLINK("https://github.com/Gnuhry/student-alarm/releases", "show")</f>
        <v>show</v>
      </c>
      <c r="I5391">
        <v>1</v>
      </c>
      <c r="J5391">
        <v>0</v>
      </c>
      <c r="K5391">
        <v>0</v>
      </c>
      <c r="L5391">
        <v>0</v>
      </c>
      <c r="M5391" t="s">
        <v>17</v>
      </c>
    </row>
    <row r="5392" spans="1:13" hidden="1" x14ac:dyDescent="0.15">
      <c r="A5392" t="s">
        <v>17003</v>
      </c>
      <c r="B5392" t="s">
        <v>17004</v>
      </c>
      <c r="C5392" t="s">
        <v>17005</v>
      </c>
      <c r="D5392" t="s">
        <v>17000</v>
      </c>
      <c r="E5392">
        <v>0</v>
      </c>
      <c r="F5392" t="str">
        <f>HYPERLINK("https://github.com/mtotschnig/MyExpenses/issues/741", "show")</f>
        <v>show</v>
      </c>
      <c r="G5392" t="str">
        <f>HYPERLINK("https://github.com/mtotschnig/MyExpenses", "show")</f>
        <v>show</v>
      </c>
      <c r="H5392" t="str">
        <f>HYPERLINK("https://github.com/mtotschnig/MyExpenses/releases", "show")</f>
        <v>show</v>
      </c>
      <c r="I5392">
        <v>1</v>
      </c>
      <c r="J5392">
        <v>0</v>
      </c>
      <c r="K5392">
        <v>0</v>
      </c>
      <c r="L5392">
        <v>0</v>
      </c>
      <c r="M5392" t="s">
        <v>17</v>
      </c>
    </row>
    <row r="5393" spans="1:13" hidden="1" x14ac:dyDescent="0.15">
      <c r="A5393" t="s">
        <v>17006</v>
      </c>
      <c r="B5393" t="s">
        <v>17007</v>
      </c>
      <c r="C5393" t="s">
        <v>17008</v>
      </c>
      <c r="D5393" t="s">
        <v>17000</v>
      </c>
      <c r="E5393">
        <v>10</v>
      </c>
      <c r="F5393" t="str">
        <f>HYPERLINK("https://github.com/ElderDrivers/EdXposed/issues/813", "show")</f>
        <v>show</v>
      </c>
      <c r="G5393" t="str">
        <f>HYPERLINK("https://github.com/ElderDrivers/EdXposed", "show")</f>
        <v>show</v>
      </c>
      <c r="H5393" t="str">
        <f>HYPERLINK("https://github.com/ElderDrivers/EdXposed/releases", "show")</f>
        <v>show</v>
      </c>
      <c r="I5393">
        <v>1</v>
      </c>
      <c r="J5393">
        <v>0</v>
      </c>
      <c r="K5393">
        <v>1</v>
      </c>
      <c r="L5393">
        <v>0</v>
      </c>
      <c r="M5393" t="s">
        <v>64</v>
      </c>
    </row>
    <row r="5394" spans="1:13" hidden="1" x14ac:dyDescent="0.15">
      <c r="A5394" t="s">
        <v>17009</v>
      </c>
      <c r="B5394" t="s">
        <v>17010</v>
      </c>
      <c r="C5394" t="s">
        <v>17011</v>
      </c>
      <c r="D5394" t="s">
        <v>17000</v>
      </c>
      <c r="E5394">
        <v>33</v>
      </c>
      <c r="F5394" t="str">
        <f>HYPERLINK("https://github.com/nextcloud/android/issues/7899", "show")</f>
        <v>show</v>
      </c>
      <c r="G5394" t="str">
        <f>HYPERLINK("https://github.com/nextcloud/android", "show")</f>
        <v>show</v>
      </c>
      <c r="H5394" t="str">
        <f>HYPERLINK("https://github.com/nextcloud/android/releases", "show")</f>
        <v>show</v>
      </c>
      <c r="I5394">
        <v>1</v>
      </c>
      <c r="J5394">
        <v>1</v>
      </c>
      <c r="K5394">
        <v>0</v>
      </c>
      <c r="L5394">
        <v>0</v>
      </c>
      <c r="M5394" t="s">
        <v>48</v>
      </c>
    </row>
    <row r="5395" spans="1:13" hidden="1" x14ac:dyDescent="0.15">
      <c r="A5395" t="s">
        <v>17012</v>
      </c>
      <c r="B5395" t="s">
        <v>17013</v>
      </c>
      <c r="C5395" t="s">
        <v>17014</v>
      </c>
      <c r="D5395" t="s">
        <v>17015</v>
      </c>
      <c r="E5395">
        <v>2</v>
      </c>
      <c r="F5395" t="str">
        <f>HYPERLINK("https://github.com/PojavLauncherTeam/PojavLauncher/issues/724", "show")</f>
        <v>show</v>
      </c>
      <c r="G5395" t="str">
        <f>HYPERLINK("https://github.com/PojavLauncherTeam/PojavLauncher", "show")</f>
        <v>show</v>
      </c>
      <c r="H5395" t="str">
        <f>HYPERLINK("https://github.com/PojavLauncherTeam/PojavLauncher/releases", "show")</f>
        <v>show</v>
      </c>
      <c r="I5395">
        <v>1</v>
      </c>
      <c r="J5395">
        <v>1</v>
      </c>
      <c r="K5395">
        <v>1</v>
      </c>
      <c r="L5395">
        <v>0</v>
      </c>
      <c r="M5395" t="s">
        <v>59</v>
      </c>
    </row>
    <row r="5396" spans="1:13" hidden="1" x14ac:dyDescent="0.15">
      <c r="A5396" t="s">
        <v>17016</v>
      </c>
      <c r="B5396" t="s">
        <v>17017</v>
      </c>
      <c r="C5396" t="s">
        <v>17018</v>
      </c>
      <c r="D5396" t="s">
        <v>17015</v>
      </c>
      <c r="E5396">
        <v>10</v>
      </c>
      <c r="F5396" t="str">
        <f>HYPERLINK("https://github.com/PojavLauncherTeam/PojavLauncher/issues/723", "show")</f>
        <v>show</v>
      </c>
      <c r="G5396" t="str">
        <f>HYPERLINK("https://github.com/PojavLauncherTeam/PojavLauncher", "show")</f>
        <v>show</v>
      </c>
      <c r="H5396" t="str">
        <f>HYPERLINK("https://github.com/PojavLauncherTeam/PojavLauncher/releases", "show")</f>
        <v>show</v>
      </c>
      <c r="I5396">
        <v>1</v>
      </c>
      <c r="J5396">
        <v>1</v>
      </c>
      <c r="K5396">
        <v>0</v>
      </c>
      <c r="L5396">
        <v>0</v>
      </c>
      <c r="M5396" t="s">
        <v>48</v>
      </c>
    </row>
    <row r="5397" spans="1:13" hidden="1" x14ac:dyDescent="0.15">
      <c r="A5397" t="s">
        <v>17019</v>
      </c>
      <c r="B5397" t="s">
        <v>17020</v>
      </c>
      <c r="C5397" t="s">
        <v>17021</v>
      </c>
      <c r="D5397" t="s">
        <v>17015</v>
      </c>
      <c r="E5397">
        <v>0</v>
      </c>
      <c r="F5397" t="str">
        <f>HYPERLINK("https://github.com/PojavLauncherTeam/PojavLauncher/issues/721", "show")</f>
        <v>show</v>
      </c>
      <c r="G5397" t="str">
        <f>HYPERLINK("https://github.com/PojavLauncherTeam/PojavLauncher", "show")</f>
        <v>show</v>
      </c>
      <c r="H5397" t="str">
        <f>HYPERLINK("https://github.com/PojavLauncherTeam/PojavLauncher/releases", "show")</f>
        <v>show</v>
      </c>
      <c r="I5397">
        <v>1</v>
      </c>
      <c r="J5397">
        <v>1</v>
      </c>
      <c r="K5397">
        <v>0</v>
      </c>
      <c r="L5397">
        <v>0</v>
      </c>
      <c r="M5397" t="s">
        <v>48</v>
      </c>
    </row>
    <row r="5398" spans="1:13" x14ac:dyDescent="0.15">
      <c r="A5398" t="s">
        <v>17022</v>
      </c>
      <c r="B5398" t="s">
        <v>17023</v>
      </c>
      <c r="C5398" t="s">
        <v>17024</v>
      </c>
      <c r="D5398" t="s">
        <v>17015</v>
      </c>
      <c r="E5398">
        <v>1</v>
      </c>
      <c r="F5398" t="str">
        <f>HYPERLINK("https://github.com/PojavLauncherTeam/PojavLauncher/issues/720", "show")</f>
        <v>show</v>
      </c>
      <c r="G5398" t="str">
        <f>HYPERLINK("https://github.com/PojavLauncherTeam/PojavLauncher", "show")</f>
        <v>show</v>
      </c>
      <c r="H5398" t="str">
        <f>HYPERLINK("https://github.com/PojavLauncherTeam/PojavLauncher/releases", "show")</f>
        <v>show</v>
      </c>
      <c r="I5398">
        <v>0</v>
      </c>
      <c r="J5398">
        <v>1</v>
      </c>
      <c r="K5398">
        <v>0</v>
      </c>
      <c r="L5398">
        <v>0</v>
      </c>
      <c r="M5398" t="s">
        <v>139</v>
      </c>
    </row>
    <row r="5399" spans="1:13" hidden="1" x14ac:dyDescent="0.15">
      <c r="A5399" t="s">
        <v>17025</v>
      </c>
      <c r="B5399" t="s">
        <v>17026</v>
      </c>
      <c r="C5399" t="s">
        <v>17027</v>
      </c>
      <c r="D5399" t="s">
        <v>17015</v>
      </c>
      <c r="E5399">
        <v>16</v>
      </c>
      <c r="F5399" t="str">
        <f>HYPERLINK("https://github.com/aws-amplify/amplify-android/issues/1132", "show")</f>
        <v>show</v>
      </c>
      <c r="G5399" t="str">
        <f>HYPERLINK("https://github.com/aws-amplify/amplify-android", "show")</f>
        <v>show</v>
      </c>
      <c r="H5399" t="str">
        <f>HYPERLINK("https://github.com/aws-amplify/amplify-android/releases", "show")</f>
        <v>show</v>
      </c>
      <c r="I5399">
        <v>1</v>
      </c>
      <c r="J5399">
        <v>0</v>
      </c>
      <c r="K5399">
        <v>0</v>
      </c>
      <c r="L5399">
        <v>0</v>
      </c>
      <c r="M5399" t="s">
        <v>17</v>
      </c>
    </row>
    <row r="5400" spans="1:13" hidden="1" x14ac:dyDescent="0.15">
      <c r="A5400" t="s">
        <v>17028</v>
      </c>
      <c r="B5400" t="s">
        <v>17029</v>
      </c>
      <c r="C5400" t="s">
        <v>17030</v>
      </c>
      <c r="D5400" t="s">
        <v>17031</v>
      </c>
      <c r="E5400">
        <v>7</v>
      </c>
      <c r="F5400" t="str">
        <f>HYPERLINK("https://github.com/indomie858/app-A/issues/87", "show")</f>
        <v>show</v>
      </c>
      <c r="G5400" t="str">
        <f>HYPERLINK("https://github.com/indomie858/app-A", "show")</f>
        <v>show</v>
      </c>
      <c r="H5400" t="str">
        <f>HYPERLINK("https://github.com/indomie858/app-A/releases", "show")</f>
        <v>show</v>
      </c>
      <c r="I5400">
        <v>1</v>
      </c>
      <c r="J5400">
        <v>0</v>
      </c>
      <c r="K5400">
        <v>0</v>
      </c>
      <c r="L5400">
        <v>0</v>
      </c>
      <c r="M5400" t="s">
        <v>17</v>
      </c>
    </row>
    <row r="5401" spans="1:13" hidden="1" x14ac:dyDescent="0.15">
      <c r="A5401" t="s">
        <v>17032</v>
      </c>
      <c r="B5401" t="s">
        <v>17033</v>
      </c>
      <c r="C5401" t="s">
        <v>17034</v>
      </c>
      <c r="D5401" t="s">
        <v>17031</v>
      </c>
      <c r="E5401">
        <v>2</v>
      </c>
      <c r="F5401" t="str">
        <f>HYPERLINK("https://github.com/TeamNewPipe/NewPipe/issues/5489", "show")</f>
        <v>show</v>
      </c>
      <c r="G5401" t="str">
        <f>HYPERLINK("https://github.com/TeamNewPipe/NewPipe", "show")</f>
        <v>show</v>
      </c>
      <c r="H5401" t="str">
        <f>HYPERLINK("https://github.com/TeamNewPipe/NewPipe/releases", "show")</f>
        <v>show</v>
      </c>
      <c r="I5401">
        <v>1</v>
      </c>
      <c r="J5401">
        <v>1</v>
      </c>
      <c r="K5401">
        <v>0</v>
      </c>
      <c r="L5401">
        <v>0</v>
      </c>
      <c r="M5401" t="s">
        <v>48</v>
      </c>
    </row>
    <row r="5402" spans="1:13" hidden="1" x14ac:dyDescent="0.15">
      <c r="A5402" t="s">
        <v>17035</v>
      </c>
      <c r="B5402" t="s">
        <v>17036</v>
      </c>
      <c r="C5402" t="s">
        <v>17037</v>
      </c>
      <c r="D5402" t="s">
        <v>17031</v>
      </c>
      <c r="E5402">
        <v>1</v>
      </c>
      <c r="F5402" t="str">
        <f>HYPERLINK("https://github.com/material-components/material-components-android/issues/2005", "show")</f>
        <v>show</v>
      </c>
      <c r="G5402" t="str">
        <f>HYPERLINK("https://github.com/material-components/material-components-android", "show")</f>
        <v>show</v>
      </c>
      <c r="H5402" t="str">
        <f>HYPERLINK("https://github.com/material-components/material-components-android/releases", "show")</f>
        <v>show</v>
      </c>
      <c r="I5402">
        <v>0</v>
      </c>
      <c r="J5402">
        <v>0</v>
      </c>
      <c r="K5402">
        <v>0</v>
      </c>
      <c r="L5402">
        <v>0</v>
      </c>
      <c r="M5402" t="s">
        <v>43</v>
      </c>
    </row>
    <row r="5403" spans="1:13" hidden="1" x14ac:dyDescent="0.15">
      <c r="A5403" t="s">
        <v>17038</v>
      </c>
      <c r="B5403" t="s">
        <v>17039</v>
      </c>
      <c r="C5403" t="s">
        <v>17040</v>
      </c>
      <c r="D5403" t="s">
        <v>17031</v>
      </c>
      <c r="E5403">
        <v>0</v>
      </c>
      <c r="F5403" t="str">
        <f>HYPERLINK("https://github.com/Anuken/Mindustry/issues/4436", "show")</f>
        <v>show</v>
      </c>
      <c r="G5403" t="str">
        <f>HYPERLINK("https://github.com/Anuken/Mindustry", "show")</f>
        <v>show</v>
      </c>
      <c r="H5403" t="str">
        <f>HYPERLINK("https://github.com/Anuken/Mindustry/releases", "show")</f>
        <v>show</v>
      </c>
      <c r="I5403">
        <v>1</v>
      </c>
      <c r="J5403">
        <v>0</v>
      </c>
      <c r="K5403">
        <v>0</v>
      </c>
      <c r="L5403">
        <v>0</v>
      </c>
      <c r="M5403" t="s">
        <v>17</v>
      </c>
    </row>
    <row r="5404" spans="1:13" hidden="1" x14ac:dyDescent="0.15">
      <c r="A5404" t="s">
        <v>17041</v>
      </c>
      <c r="B5404" t="s">
        <v>17042</v>
      </c>
      <c r="C5404" t="s">
        <v>17043</v>
      </c>
      <c r="D5404" t="s">
        <v>17031</v>
      </c>
      <c r="E5404">
        <v>27</v>
      </c>
      <c r="F5404" t="str">
        <f>HYPERLINK("https://github.com/Blankj/AndroidUtilCode/issues/1438", "show")</f>
        <v>show</v>
      </c>
      <c r="G5404" t="str">
        <f>HYPERLINK("https://github.com/Blankj/AndroidUtilCode", "show")</f>
        <v>show</v>
      </c>
      <c r="H5404" t="str">
        <f>HYPERLINK("https://github.com/Blankj/AndroidUtilCode/releases", "show")</f>
        <v>show</v>
      </c>
      <c r="I5404">
        <v>1</v>
      </c>
      <c r="J5404">
        <v>0</v>
      </c>
      <c r="K5404">
        <v>1</v>
      </c>
      <c r="L5404">
        <v>0</v>
      </c>
      <c r="M5404" t="s">
        <v>64</v>
      </c>
    </row>
    <row r="5405" spans="1:13" hidden="1" x14ac:dyDescent="0.15">
      <c r="A5405" t="s">
        <v>17044</v>
      </c>
      <c r="B5405" t="s">
        <v>17045</v>
      </c>
      <c r="C5405" t="s">
        <v>17046</v>
      </c>
      <c r="D5405" t="s">
        <v>17047</v>
      </c>
      <c r="E5405">
        <v>64</v>
      </c>
      <c r="F5405" t="str">
        <f>HYPERLINK("https://github.com/nextcloud/android/issues/7893", "show")</f>
        <v>show</v>
      </c>
      <c r="G5405" t="str">
        <f>HYPERLINK("https://github.com/nextcloud/android", "show")</f>
        <v>show</v>
      </c>
      <c r="H5405" t="str">
        <f>HYPERLINK("https://github.com/nextcloud/android/releases", "show")</f>
        <v>show</v>
      </c>
      <c r="I5405">
        <v>0</v>
      </c>
      <c r="J5405">
        <v>0</v>
      </c>
      <c r="K5405">
        <v>1</v>
      </c>
      <c r="L5405">
        <v>0</v>
      </c>
      <c r="M5405" t="s">
        <v>122</v>
      </c>
    </row>
    <row r="5406" spans="1:13" hidden="1" x14ac:dyDescent="0.15">
      <c r="A5406" t="s">
        <v>17048</v>
      </c>
      <c r="B5406" t="s">
        <v>17049</v>
      </c>
      <c r="C5406" t="s">
        <v>17050</v>
      </c>
      <c r="D5406" t="s">
        <v>17047</v>
      </c>
      <c r="E5406">
        <v>17</v>
      </c>
      <c r="F5406" t="str">
        <f>HYPERLINK("https://github.com/UniRegensburg/unsere-app-fur-die-universitat-regensburg-code-companion/issues/44", "show")</f>
        <v>show</v>
      </c>
      <c r="G5406" t="str">
        <f>HYPERLINK("https://github.com/UniRegensburg/unsere-app-fur-die-universitat-regensburg-code-companion", "show")</f>
        <v>show</v>
      </c>
      <c r="H5406" t="str">
        <f>HYPERLINK("https://github.com/UniRegensburg/unsere-app-fur-die-universitat-regensburg-code-companion/releases", "show")</f>
        <v>show</v>
      </c>
      <c r="I5406">
        <v>0</v>
      </c>
      <c r="J5406">
        <v>0</v>
      </c>
      <c r="K5406">
        <v>0</v>
      </c>
      <c r="L5406">
        <v>0</v>
      </c>
      <c r="M5406" t="s">
        <v>43</v>
      </c>
    </row>
    <row r="5407" spans="1:13" hidden="1" x14ac:dyDescent="0.15">
      <c r="A5407" t="s">
        <v>17051</v>
      </c>
      <c r="B5407" t="s">
        <v>17052</v>
      </c>
      <c r="C5407" t="s">
        <v>17053</v>
      </c>
      <c r="D5407" t="s">
        <v>17047</v>
      </c>
      <c r="E5407">
        <v>99</v>
      </c>
      <c r="F5407" t="str">
        <f>HYPERLINK("https://github.com/nextcloud/android/issues/7891", "show")</f>
        <v>show</v>
      </c>
      <c r="G5407" t="str">
        <f>HYPERLINK("https://github.com/nextcloud/android", "show")</f>
        <v>show</v>
      </c>
      <c r="H5407" t="str">
        <f>HYPERLINK("https://github.com/nextcloud/android/releases", "show")</f>
        <v>show</v>
      </c>
      <c r="I5407">
        <v>1</v>
      </c>
      <c r="J5407">
        <v>1</v>
      </c>
      <c r="K5407">
        <v>1</v>
      </c>
      <c r="L5407">
        <v>0</v>
      </c>
      <c r="M5407" t="s">
        <v>59</v>
      </c>
    </row>
    <row r="5408" spans="1:13" hidden="1" x14ac:dyDescent="0.15">
      <c r="A5408" t="s">
        <v>17054</v>
      </c>
      <c r="B5408" t="s">
        <v>17055</v>
      </c>
      <c r="C5408" t="s">
        <v>17056</v>
      </c>
      <c r="D5408" t="s">
        <v>17047</v>
      </c>
      <c r="E5408">
        <v>0</v>
      </c>
      <c r="F5408" t="str">
        <f>HYPERLINK("https://github.com/PojavLauncherTeam/PojavLauncher/issues/696", "show")</f>
        <v>show</v>
      </c>
      <c r="G5408" t="str">
        <f>HYPERLINK("https://github.com/PojavLauncherTeam/PojavLauncher", "show")</f>
        <v>show</v>
      </c>
      <c r="H5408" t="str">
        <f>HYPERLINK("https://github.com/PojavLauncherTeam/PojavLauncher/releases", "show")</f>
        <v>show</v>
      </c>
      <c r="I5408">
        <v>1</v>
      </c>
      <c r="J5408">
        <v>0</v>
      </c>
      <c r="K5408">
        <v>1</v>
      </c>
      <c r="L5408">
        <v>0</v>
      </c>
      <c r="M5408" t="s">
        <v>64</v>
      </c>
    </row>
    <row r="5409" spans="1:13" hidden="1" x14ac:dyDescent="0.15">
      <c r="A5409" t="s">
        <v>17057</v>
      </c>
      <c r="B5409" t="s">
        <v>17058</v>
      </c>
      <c r="C5409" t="s">
        <v>17059</v>
      </c>
      <c r="D5409" t="s">
        <v>17047</v>
      </c>
      <c r="E5409">
        <v>0</v>
      </c>
      <c r="F5409" t="str">
        <f>HYPERLINK("https://github.com/TeamNewPipe/NewPipe/issues/5486", "show")</f>
        <v>show</v>
      </c>
      <c r="G5409" t="str">
        <f>HYPERLINK("https://github.com/TeamNewPipe/NewPipe", "show")</f>
        <v>show</v>
      </c>
      <c r="H5409" t="str">
        <f>HYPERLINK("https://github.com/TeamNewPipe/NewPipe/releases", "show")</f>
        <v>show</v>
      </c>
      <c r="I5409">
        <v>0</v>
      </c>
      <c r="J5409">
        <v>0</v>
      </c>
      <c r="K5409">
        <v>1</v>
      </c>
      <c r="L5409">
        <v>0</v>
      </c>
      <c r="M5409" t="s">
        <v>122</v>
      </c>
    </row>
    <row r="5410" spans="1:13" hidden="1" x14ac:dyDescent="0.15">
      <c r="A5410" t="s">
        <v>17060</v>
      </c>
      <c r="B5410" t="s">
        <v>17061</v>
      </c>
      <c r="C5410" t="s">
        <v>17062</v>
      </c>
      <c r="D5410" t="s">
        <v>17047</v>
      </c>
      <c r="E5410">
        <v>0</v>
      </c>
      <c r="F5410" t="str">
        <f>HYPERLINK("https://github.com/PojavLauncherTeam/PojavLauncher/issues/694", "show")</f>
        <v>show</v>
      </c>
      <c r="G5410" t="str">
        <f>HYPERLINK("https://github.com/PojavLauncherTeam/PojavLauncher", "show")</f>
        <v>show</v>
      </c>
      <c r="H5410" t="str">
        <f>HYPERLINK("https://github.com/PojavLauncherTeam/PojavLauncher/releases", "show")</f>
        <v>show</v>
      </c>
      <c r="I5410">
        <v>1</v>
      </c>
      <c r="J5410">
        <v>1</v>
      </c>
      <c r="K5410">
        <v>0</v>
      </c>
      <c r="L5410">
        <v>1</v>
      </c>
      <c r="M5410" t="s">
        <v>1894</v>
      </c>
    </row>
    <row r="5411" spans="1:13" hidden="1" x14ac:dyDescent="0.15">
      <c r="A5411" t="s">
        <v>17063</v>
      </c>
      <c r="B5411" t="s">
        <v>17064</v>
      </c>
      <c r="C5411" t="s">
        <v>17065</v>
      </c>
      <c r="D5411" t="s">
        <v>17066</v>
      </c>
      <c r="E5411">
        <v>126</v>
      </c>
      <c r="F5411" t="str">
        <f>HYPERLINK("https://github.com/openboard-team/openboard/issues/279", "show")</f>
        <v>show</v>
      </c>
      <c r="G5411" t="str">
        <f>HYPERLINK("https://github.com/openboard-team/openboard", "show")</f>
        <v>show</v>
      </c>
      <c r="H5411" t="str">
        <f>HYPERLINK("https://github.com/openboard-team/openboard/releases", "show")</f>
        <v>show</v>
      </c>
      <c r="I5411">
        <v>0</v>
      </c>
      <c r="J5411">
        <v>0</v>
      </c>
      <c r="K5411">
        <v>0</v>
      </c>
      <c r="L5411">
        <v>0</v>
      </c>
      <c r="M5411" t="s">
        <v>43</v>
      </c>
    </row>
    <row r="5412" spans="1:13" hidden="1" x14ac:dyDescent="0.15">
      <c r="A5412" t="s">
        <v>17067</v>
      </c>
      <c r="B5412" t="s">
        <v>17068</v>
      </c>
      <c r="C5412" t="s">
        <v>17069</v>
      </c>
      <c r="D5412" t="s">
        <v>17066</v>
      </c>
      <c r="E5412">
        <v>0</v>
      </c>
      <c r="F5412" t="str">
        <f>HYPERLINK("https://github.com/Anuken/Mindustry/issues/4422", "show")</f>
        <v>show</v>
      </c>
      <c r="G5412" t="str">
        <f>HYPERLINK("https://github.com/Anuken/Mindustry", "show")</f>
        <v>show</v>
      </c>
      <c r="H5412" t="str">
        <f>HYPERLINK("https://github.com/Anuken/Mindustry/releases", "show")</f>
        <v>show</v>
      </c>
      <c r="I5412">
        <v>1</v>
      </c>
      <c r="J5412">
        <v>1</v>
      </c>
      <c r="K5412">
        <v>0</v>
      </c>
      <c r="L5412">
        <v>0</v>
      </c>
      <c r="M5412" t="s">
        <v>48</v>
      </c>
    </row>
    <row r="5413" spans="1:13" hidden="1" x14ac:dyDescent="0.15">
      <c r="A5413" t="s">
        <v>17070</v>
      </c>
      <c r="B5413" t="s">
        <v>17071</v>
      </c>
      <c r="C5413" t="s">
        <v>17072</v>
      </c>
      <c r="D5413" t="s">
        <v>17066</v>
      </c>
      <c r="E5413">
        <v>221</v>
      </c>
      <c r="F5413" t="str">
        <f>HYPERLINK("https://github.com/PojavLauncherTeam/PojavLauncher/issues/685", "show")</f>
        <v>show</v>
      </c>
      <c r="G5413" t="str">
        <f>HYPERLINK("https://github.com/PojavLauncherTeam/PojavLauncher", "show")</f>
        <v>show</v>
      </c>
      <c r="H5413" t="str">
        <f>HYPERLINK("https://github.com/PojavLauncherTeam/PojavLauncher/releases", "show")</f>
        <v>show</v>
      </c>
      <c r="I5413">
        <v>1</v>
      </c>
      <c r="J5413">
        <v>0</v>
      </c>
      <c r="K5413">
        <v>0</v>
      </c>
      <c r="L5413">
        <v>0</v>
      </c>
      <c r="M5413" t="s">
        <v>17</v>
      </c>
    </row>
    <row r="5414" spans="1:13" hidden="1" x14ac:dyDescent="0.15">
      <c r="A5414" t="s">
        <v>17073</v>
      </c>
      <c r="B5414" t="s">
        <v>17074</v>
      </c>
      <c r="C5414" t="s">
        <v>17075</v>
      </c>
      <c r="D5414" t="s">
        <v>17066</v>
      </c>
      <c r="E5414">
        <v>3</v>
      </c>
      <c r="F5414" t="str">
        <f>HYPERLINK("https://github.com/chr15m/PdDroidParty/issues/59", "show")</f>
        <v>show</v>
      </c>
      <c r="G5414" t="str">
        <f>HYPERLINK("https://github.com/chr15m/PdDroidParty", "show")</f>
        <v>show</v>
      </c>
      <c r="H5414" t="str">
        <f>HYPERLINK("https://github.com/chr15m/PdDroidParty/releases", "show")</f>
        <v>show</v>
      </c>
      <c r="I5414">
        <v>1</v>
      </c>
      <c r="J5414">
        <v>0</v>
      </c>
      <c r="K5414">
        <v>0</v>
      </c>
      <c r="L5414">
        <v>0</v>
      </c>
      <c r="M5414" t="s">
        <v>17</v>
      </c>
    </row>
    <row r="5415" spans="1:13" hidden="1" x14ac:dyDescent="0.15">
      <c r="A5415" t="s">
        <v>17076</v>
      </c>
      <c r="B5415" t="s">
        <v>17077</v>
      </c>
      <c r="C5415" t="s">
        <v>17078</v>
      </c>
      <c r="D5415" t="s">
        <v>17066</v>
      </c>
      <c r="E5415">
        <v>0</v>
      </c>
      <c r="F5415" t="str">
        <f>HYPERLINK("https://github.com/Anuken/Mindustry/issues/4418", "show")</f>
        <v>show</v>
      </c>
      <c r="G5415" t="str">
        <f>HYPERLINK("https://github.com/Anuken/Mindustry", "show")</f>
        <v>show</v>
      </c>
      <c r="H5415" t="str">
        <f>HYPERLINK("https://github.com/Anuken/Mindustry/releases", "show")</f>
        <v>show</v>
      </c>
      <c r="I5415">
        <v>0</v>
      </c>
      <c r="J5415">
        <v>0</v>
      </c>
      <c r="K5415">
        <v>0</v>
      </c>
      <c r="L5415">
        <v>1</v>
      </c>
      <c r="M5415" t="s">
        <v>581</v>
      </c>
    </row>
    <row r="5416" spans="1:13" hidden="1" x14ac:dyDescent="0.15">
      <c r="A5416" t="s">
        <v>17079</v>
      </c>
      <c r="B5416" t="s">
        <v>17080</v>
      </c>
      <c r="C5416" t="s">
        <v>17081</v>
      </c>
      <c r="D5416" t="s">
        <v>17066</v>
      </c>
      <c r="E5416">
        <v>0</v>
      </c>
      <c r="F5416" t="str">
        <f>HYPERLINK("https://github.com/Anuken/Mindustry/issues/4416", "show")</f>
        <v>show</v>
      </c>
      <c r="G5416" t="str">
        <f>HYPERLINK("https://github.com/Anuken/Mindustry", "show")</f>
        <v>show</v>
      </c>
      <c r="H5416" t="str">
        <f>HYPERLINK("https://github.com/Anuken/Mindustry/releases", "show")</f>
        <v>show</v>
      </c>
      <c r="I5416">
        <v>0</v>
      </c>
      <c r="J5416">
        <v>0</v>
      </c>
      <c r="K5416">
        <v>0</v>
      </c>
      <c r="L5416">
        <v>1</v>
      </c>
      <c r="M5416" t="s">
        <v>581</v>
      </c>
    </row>
    <row r="5417" spans="1:13" hidden="1" x14ac:dyDescent="0.15">
      <c r="A5417" t="s">
        <v>17082</v>
      </c>
      <c r="B5417" t="s">
        <v>17083</v>
      </c>
      <c r="C5417" t="s">
        <v>17084</v>
      </c>
      <c r="D5417" t="s">
        <v>17066</v>
      </c>
      <c r="E5417">
        <v>0</v>
      </c>
      <c r="F5417" t="str">
        <f>HYPERLINK("https://github.com/Anuken/Mindustry/issues/4415", "show")</f>
        <v>show</v>
      </c>
      <c r="G5417" t="str">
        <f>HYPERLINK("https://github.com/Anuken/Mindustry", "show")</f>
        <v>show</v>
      </c>
      <c r="H5417" t="str">
        <f>HYPERLINK("https://github.com/Anuken/Mindustry/releases", "show")</f>
        <v>show</v>
      </c>
      <c r="I5417">
        <v>1</v>
      </c>
      <c r="J5417">
        <v>1</v>
      </c>
      <c r="K5417">
        <v>0</v>
      </c>
      <c r="L5417">
        <v>0</v>
      </c>
      <c r="M5417" t="s">
        <v>48</v>
      </c>
    </row>
    <row r="5418" spans="1:13" hidden="1" x14ac:dyDescent="0.15">
      <c r="A5418" t="s">
        <v>17085</v>
      </c>
      <c r="B5418" t="s">
        <v>17086</v>
      </c>
      <c r="C5418" t="s">
        <v>17087</v>
      </c>
      <c r="D5418" t="s">
        <v>17088</v>
      </c>
      <c r="E5418">
        <v>52</v>
      </c>
      <c r="F5418" t="str">
        <f>HYPERLINK("https://github.com/noi-techpark/it.bz.beacon.admin.android/issues/48", "show")</f>
        <v>show</v>
      </c>
      <c r="G5418" t="str">
        <f>HYPERLINK("https://github.com/noi-techpark/it.bz.beacon.admin.android", "show")</f>
        <v>show</v>
      </c>
      <c r="H5418" t="str">
        <f>HYPERLINK("https://github.com/noi-techpark/it.bz.beacon.admin.android/releases", "show")</f>
        <v>show</v>
      </c>
      <c r="I5418">
        <v>1</v>
      </c>
      <c r="J5418">
        <v>0</v>
      </c>
      <c r="K5418">
        <v>0</v>
      </c>
      <c r="L5418">
        <v>0</v>
      </c>
      <c r="M5418" t="s">
        <v>17</v>
      </c>
    </row>
    <row r="5419" spans="1:13" hidden="1" x14ac:dyDescent="0.15">
      <c r="A5419" t="s">
        <v>17089</v>
      </c>
      <c r="B5419" t="s">
        <v>17090</v>
      </c>
      <c r="C5419" t="s">
        <v>17091</v>
      </c>
      <c r="D5419" t="s">
        <v>17088</v>
      </c>
      <c r="E5419">
        <v>222</v>
      </c>
      <c r="F5419" t="str">
        <f>HYPERLINK("https://github.com/PojavLauncherTeam/PojavLauncher/issues/677", "show")</f>
        <v>show</v>
      </c>
      <c r="G5419" t="str">
        <f>HYPERLINK("https://github.com/PojavLauncherTeam/PojavLauncher", "show")</f>
        <v>show</v>
      </c>
      <c r="H5419" t="str">
        <f>HYPERLINK("https://github.com/PojavLauncherTeam/PojavLauncher/releases", "show")</f>
        <v>show</v>
      </c>
      <c r="I5419">
        <v>1</v>
      </c>
      <c r="J5419">
        <v>0</v>
      </c>
      <c r="K5419">
        <v>0</v>
      </c>
      <c r="L5419">
        <v>0</v>
      </c>
      <c r="M5419" t="s">
        <v>17</v>
      </c>
    </row>
    <row r="5420" spans="1:13" hidden="1" x14ac:dyDescent="0.15">
      <c r="A5420" t="s">
        <v>17092</v>
      </c>
      <c r="B5420" t="s">
        <v>17093</v>
      </c>
      <c r="C5420" t="s">
        <v>17094</v>
      </c>
      <c r="D5420" t="s">
        <v>17088</v>
      </c>
      <c r="E5420">
        <v>0</v>
      </c>
      <c r="F5420" t="str">
        <f>HYPERLINK("https://github.com/MuntashirAkon/AppManager/issues/246", "show")</f>
        <v>show</v>
      </c>
      <c r="G5420" t="str">
        <f>HYPERLINK("https://github.com/MuntashirAkon/AppManager", "show")</f>
        <v>show</v>
      </c>
      <c r="H5420" t="str">
        <f>HYPERLINK("https://github.com/MuntashirAkon/AppManager/releases", "show")</f>
        <v>show</v>
      </c>
      <c r="I5420">
        <v>1</v>
      </c>
      <c r="J5420">
        <v>1</v>
      </c>
      <c r="K5420">
        <v>0</v>
      </c>
      <c r="L5420">
        <v>1</v>
      </c>
      <c r="M5420" t="s">
        <v>1894</v>
      </c>
    </row>
    <row r="5421" spans="1:13" hidden="1" x14ac:dyDescent="0.15">
      <c r="A5421" t="s">
        <v>17095</v>
      </c>
      <c r="B5421" t="s">
        <v>17096</v>
      </c>
      <c r="C5421" t="s">
        <v>17097</v>
      </c>
      <c r="D5421" t="s">
        <v>17088</v>
      </c>
      <c r="E5421">
        <v>0</v>
      </c>
      <c r="F5421" t="str">
        <f>HYPERLINK("https://github.com/Anuken/Mindustry/issues/4410", "show")</f>
        <v>show</v>
      </c>
      <c r="G5421" t="str">
        <f>HYPERLINK("https://github.com/Anuken/Mindustry", "show")</f>
        <v>show</v>
      </c>
      <c r="H5421" t="str">
        <f>HYPERLINK("https://github.com/Anuken/Mindustry/releases", "show")</f>
        <v>show</v>
      </c>
      <c r="I5421">
        <v>1</v>
      </c>
      <c r="J5421">
        <v>0</v>
      </c>
      <c r="K5421">
        <v>0</v>
      </c>
      <c r="L5421">
        <v>0</v>
      </c>
      <c r="M5421" t="s">
        <v>17</v>
      </c>
    </row>
    <row r="5422" spans="1:13" hidden="1" x14ac:dyDescent="0.15">
      <c r="A5422" t="s">
        <v>17098</v>
      </c>
      <c r="B5422" t="s">
        <v>17099</v>
      </c>
      <c r="C5422" t="s">
        <v>17100</v>
      </c>
      <c r="D5422" t="s">
        <v>17088</v>
      </c>
      <c r="E5422">
        <v>2</v>
      </c>
      <c r="F5422" t="str">
        <f>HYPERLINK("https://github.com/PojavLauncherTeam/PojavLauncher/issues/670", "show")</f>
        <v>show</v>
      </c>
      <c r="G5422" t="str">
        <f>HYPERLINK("https://github.com/PojavLauncherTeam/PojavLauncher", "show")</f>
        <v>show</v>
      </c>
      <c r="H5422" t="str">
        <f>HYPERLINK("https://github.com/PojavLauncherTeam/PojavLauncher/releases", "show")</f>
        <v>show</v>
      </c>
      <c r="I5422">
        <v>0</v>
      </c>
      <c r="J5422">
        <v>0</v>
      </c>
      <c r="K5422">
        <v>0</v>
      </c>
      <c r="L5422">
        <v>0</v>
      </c>
      <c r="M5422" t="s">
        <v>43</v>
      </c>
    </row>
    <row r="5423" spans="1:13" hidden="1" x14ac:dyDescent="0.15">
      <c r="A5423" t="s">
        <v>17101</v>
      </c>
      <c r="B5423" t="s">
        <v>17102</v>
      </c>
      <c r="C5423" t="s">
        <v>17103</v>
      </c>
      <c r="D5423" t="s">
        <v>17104</v>
      </c>
      <c r="E5423">
        <v>11</v>
      </c>
      <c r="F5423" t="str">
        <f>HYPERLINK("https://github.com/muxinc/mux-stats-sdk-exoplayer/issues/79", "show")</f>
        <v>show</v>
      </c>
      <c r="G5423" t="str">
        <f>HYPERLINK("https://github.com/muxinc/mux-stats-sdk-exoplayer", "show")</f>
        <v>show</v>
      </c>
      <c r="H5423" t="str">
        <f>HYPERLINK("https://github.com/muxinc/mux-stats-sdk-exoplayer/releases", "show")</f>
        <v>show</v>
      </c>
      <c r="I5423">
        <v>1</v>
      </c>
      <c r="J5423">
        <v>0</v>
      </c>
      <c r="K5423">
        <v>0</v>
      </c>
      <c r="L5423">
        <v>0</v>
      </c>
      <c r="M5423" t="s">
        <v>17</v>
      </c>
    </row>
    <row r="5424" spans="1:13" hidden="1" x14ac:dyDescent="0.15">
      <c r="A5424" t="s">
        <v>17105</v>
      </c>
      <c r="B5424" t="s">
        <v>17106</v>
      </c>
      <c r="C5424" t="s">
        <v>17107</v>
      </c>
      <c r="D5424" t="s">
        <v>17104</v>
      </c>
      <c r="E5424">
        <v>89</v>
      </c>
      <c r="F5424" t="str">
        <f>HYPERLINK("https://github.com/nextcloud/android/issues/7881", "show")</f>
        <v>show</v>
      </c>
      <c r="G5424" t="str">
        <f>HYPERLINK("https://github.com/nextcloud/android", "show")</f>
        <v>show</v>
      </c>
      <c r="H5424" t="str">
        <f>HYPERLINK("https://github.com/nextcloud/android/releases", "show")</f>
        <v>show</v>
      </c>
      <c r="I5424">
        <v>1</v>
      </c>
      <c r="J5424">
        <v>1</v>
      </c>
      <c r="K5424">
        <v>1</v>
      </c>
      <c r="L5424">
        <v>0</v>
      </c>
      <c r="M5424" t="s">
        <v>59</v>
      </c>
    </row>
    <row r="5425" spans="1:13" hidden="1" x14ac:dyDescent="0.15">
      <c r="A5425" t="s">
        <v>17108</v>
      </c>
      <c r="B5425" t="s">
        <v>17109</v>
      </c>
      <c r="C5425" t="s">
        <v>17110</v>
      </c>
      <c r="D5425" t="s">
        <v>17104</v>
      </c>
      <c r="E5425">
        <v>28</v>
      </c>
      <c r="F5425" t="str">
        <f>HYPERLINK("https://github.com/aws-amplify/amplify-android/issues/1119", "show")</f>
        <v>show</v>
      </c>
      <c r="G5425" t="str">
        <f>HYPERLINK("https://github.com/aws-amplify/amplify-android", "show")</f>
        <v>show</v>
      </c>
      <c r="H5425" t="str">
        <f>HYPERLINK("https://github.com/aws-amplify/amplify-android/releases", "show")</f>
        <v>show</v>
      </c>
      <c r="I5425">
        <v>0</v>
      </c>
      <c r="J5425">
        <v>0</v>
      </c>
      <c r="K5425">
        <v>0</v>
      </c>
      <c r="L5425">
        <v>0</v>
      </c>
      <c r="M5425" t="s">
        <v>43</v>
      </c>
    </row>
    <row r="5426" spans="1:13" hidden="1" x14ac:dyDescent="0.15">
      <c r="A5426" t="s">
        <v>17111</v>
      </c>
      <c r="B5426" t="s">
        <v>17112</v>
      </c>
      <c r="C5426" t="s">
        <v>17113</v>
      </c>
      <c r="D5426" t="s">
        <v>17104</v>
      </c>
      <c r="E5426">
        <v>2</v>
      </c>
      <c r="F5426" t="str">
        <f>HYPERLINK("https://github.com/PojavLauncherTeam/PojavLauncher/issues/666", "show")</f>
        <v>show</v>
      </c>
      <c r="G5426" t="str">
        <f>HYPERLINK("https://github.com/PojavLauncherTeam/PojavLauncher", "show")</f>
        <v>show</v>
      </c>
      <c r="H5426" t="str">
        <f>HYPERLINK("https://github.com/PojavLauncherTeam/PojavLauncher/releases", "show")</f>
        <v>show</v>
      </c>
      <c r="I5426">
        <v>1</v>
      </c>
      <c r="J5426">
        <v>1</v>
      </c>
      <c r="K5426">
        <v>0</v>
      </c>
      <c r="L5426">
        <v>0</v>
      </c>
      <c r="M5426" t="s">
        <v>48</v>
      </c>
    </row>
    <row r="5427" spans="1:13" hidden="1" x14ac:dyDescent="0.15">
      <c r="A5427" t="s">
        <v>17114</v>
      </c>
      <c r="B5427" t="s">
        <v>17115</v>
      </c>
      <c r="C5427" t="s">
        <v>17116</v>
      </c>
      <c r="D5427" t="s">
        <v>17104</v>
      </c>
      <c r="E5427">
        <v>450</v>
      </c>
      <c r="F5427" t="str">
        <f>HYPERLINK("https://github.com/TeamNewPipe/NewPipe/issues/5470", "show")</f>
        <v>show</v>
      </c>
      <c r="G5427" t="str">
        <f>HYPERLINK("https://github.com/TeamNewPipe/NewPipe", "show")</f>
        <v>show</v>
      </c>
      <c r="H5427" t="str">
        <f>HYPERLINK("https://github.com/TeamNewPipe/NewPipe/releases", "show")</f>
        <v>show</v>
      </c>
      <c r="I5427">
        <v>1</v>
      </c>
      <c r="J5427">
        <v>1</v>
      </c>
      <c r="K5427">
        <v>1</v>
      </c>
      <c r="L5427">
        <v>0</v>
      </c>
      <c r="M5427" t="s">
        <v>59</v>
      </c>
    </row>
    <row r="5428" spans="1:13" hidden="1" x14ac:dyDescent="0.15">
      <c r="A5428" t="s">
        <v>17117</v>
      </c>
      <c r="B5428" t="s">
        <v>17118</v>
      </c>
      <c r="C5428" t="s">
        <v>17119</v>
      </c>
      <c r="D5428" t="s">
        <v>17104</v>
      </c>
      <c r="E5428">
        <v>0</v>
      </c>
      <c r="F5428" t="str">
        <f>HYPERLINK("https://github.com/gluonhq/substrate/issues/863", "show")</f>
        <v>show</v>
      </c>
      <c r="G5428" t="str">
        <f>HYPERLINK("https://github.com/gluonhq/substrate", "show")</f>
        <v>show</v>
      </c>
      <c r="H5428" t="str">
        <f>HYPERLINK("https://github.com/gluonhq/substrate/releases", "show")</f>
        <v>show</v>
      </c>
      <c r="I5428">
        <v>1</v>
      </c>
      <c r="J5428">
        <v>1</v>
      </c>
      <c r="K5428">
        <v>1</v>
      </c>
      <c r="L5428">
        <v>0</v>
      </c>
      <c r="M5428" t="s">
        <v>59</v>
      </c>
    </row>
    <row r="5429" spans="1:13" hidden="1" x14ac:dyDescent="0.15">
      <c r="A5429" t="s">
        <v>17120</v>
      </c>
      <c r="B5429" t="s">
        <v>17121</v>
      </c>
      <c r="C5429" t="s">
        <v>17122</v>
      </c>
      <c r="D5429" t="s">
        <v>17104</v>
      </c>
      <c r="E5429">
        <v>0</v>
      </c>
      <c r="F5429" t="str">
        <f>HYPERLINK("https://github.com/Anuken/Mindustry/issues/4395", "show")</f>
        <v>show</v>
      </c>
      <c r="G5429" t="str">
        <f>HYPERLINK("https://github.com/Anuken/Mindustry", "show")</f>
        <v>show</v>
      </c>
      <c r="H5429" t="str">
        <f>HYPERLINK("https://github.com/Anuken/Mindustry/releases", "show")</f>
        <v>show</v>
      </c>
      <c r="I5429">
        <v>0</v>
      </c>
      <c r="J5429">
        <v>0</v>
      </c>
      <c r="K5429">
        <v>0</v>
      </c>
      <c r="L5429">
        <v>0</v>
      </c>
      <c r="M5429" t="s">
        <v>43</v>
      </c>
    </row>
    <row r="5430" spans="1:13" hidden="1" x14ac:dyDescent="0.15">
      <c r="A5430" t="s">
        <v>17123</v>
      </c>
      <c r="B5430" t="s">
        <v>17124</v>
      </c>
      <c r="C5430" t="s">
        <v>17100</v>
      </c>
      <c r="D5430" t="s">
        <v>17104</v>
      </c>
      <c r="E5430">
        <v>134</v>
      </c>
      <c r="F5430" t="str">
        <f>HYPERLINK("https://github.com/PojavLauncherTeam/PojavLauncher/issues/661", "show")</f>
        <v>show</v>
      </c>
      <c r="G5430" t="str">
        <f>HYPERLINK("https://github.com/PojavLauncherTeam/PojavLauncher", "show")</f>
        <v>show</v>
      </c>
      <c r="H5430" t="str">
        <f>HYPERLINK("https://github.com/PojavLauncherTeam/PojavLauncher/releases", "show")</f>
        <v>show</v>
      </c>
      <c r="I5430">
        <v>0</v>
      </c>
      <c r="J5430">
        <v>0</v>
      </c>
      <c r="K5430">
        <v>0</v>
      </c>
      <c r="L5430">
        <v>0</v>
      </c>
      <c r="M5430" t="s">
        <v>43</v>
      </c>
    </row>
    <row r="5431" spans="1:13" hidden="1" x14ac:dyDescent="0.15">
      <c r="A5431" t="s">
        <v>17125</v>
      </c>
      <c r="B5431" t="s">
        <v>17126</v>
      </c>
      <c r="C5431" t="s">
        <v>17127</v>
      </c>
      <c r="D5431" t="s">
        <v>17104</v>
      </c>
      <c r="E5431">
        <v>27</v>
      </c>
      <c r="F5431" t="str">
        <f>HYPERLINK("https://github.com/commons-app/apps-android-commons/issues/4196", "show")</f>
        <v>show</v>
      </c>
      <c r="G5431" t="str">
        <f>HYPERLINK("https://github.com/commons-app/apps-android-commons", "show")</f>
        <v>show</v>
      </c>
      <c r="H5431" t="str">
        <f>HYPERLINK("https://github.com/commons-app/apps-android-commons/releases", "show")</f>
        <v>show</v>
      </c>
      <c r="I5431">
        <v>1</v>
      </c>
      <c r="J5431">
        <v>0</v>
      </c>
      <c r="K5431">
        <v>1</v>
      </c>
      <c r="L5431">
        <v>0</v>
      </c>
      <c r="M5431" t="s">
        <v>64</v>
      </c>
    </row>
    <row r="5432" spans="1:13" hidden="1" x14ac:dyDescent="0.15">
      <c r="A5432" t="s">
        <v>17128</v>
      </c>
      <c r="B5432" t="s">
        <v>17129</v>
      </c>
      <c r="C5432" t="s">
        <v>17130</v>
      </c>
      <c r="D5432" t="s">
        <v>17104</v>
      </c>
      <c r="E5432">
        <v>0</v>
      </c>
      <c r="F5432" t="str">
        <f>HYPERLINK("https://github.com/Anuken/Mindustry/issues/4393", "show")</f>
        <v>show</v>
      </c>
      <c r="G5432" t="str">
        <f>HYPERLINK("https://github.com/Anuken/Mindustry", "show")</f>
        <v>show</v>
      </c>
      <c r="H5432" t="str">
        <f>HYPERLINK("https://github.com/Anuken/Mindustry/releases", "show")</f>
        <v>show</v>
      </c>
      <c r="I5432">
        <v>1</v>
      </c>
      <c r="J5432">
        <v>1</v>
      </c>
      <c r="K5432">
        <v>0</v>
      </c>
      <c r="L5432">
        <v>0</v>
      </c>
      <c r="M5432" t="s">
        <v>48</v>
      </c>
    </row>
    <row r="5433" spans="1:13" hidden="1" x14ac:dyDescent="0.15">
      <c r="A5433" t="s">
        <v>17131</v>
      </c>
      <c r="B5433" t="s">
        <v>17132</v>
      </c>
      <c r="C5433" t="s">
        <v>17133</v>
      </c>
      <c r="D5433" t="s">
        <v>17104</v>
      </c>
      <c r="E5433">
        <v>156</v>
      </c>
      <c r="F5433" t="str">
        <f>HYPERLINK("https://github.com/react-native-camera/react-native-camera/issues/3092", "show")</f>
        <v>show</v>
      </c>
      <c r="G5433" t="str">
        <f>HYPERLINK("https://github.com/react-native-camera/react-native-camera", "show")</f>
        <v>show</v>
      </c>
      <c r="H5433" t="str">
        <f>HYPERLINK("https://github.com/react-native-camera/react-native-camera/releases", "show")</f>
        <v>show</v>
      </c>
      <c r="I5433">
        <v>0</v>
      </c>
      <c r="J5433">
        <v>0</v>
      </c>
      <c r="K5433">
        <v>0</v>
      </c>
      <c r="L5433">
        <v>1</v>
      </c>
      <c r="M5433" t="s">
        <v>581</v>
      </c>
    </row>
    <row r="5434" spans="1:13" hidden="1" x14ac:dyDescent="0.15">
      <c r="A5434" t="s">
        <v>17134</v>
      </c>
      <c r="B5434" t="s">
        <v>17135</v>
      </c>
      <c r="C5434" t="s">
        <v>17136</v>
      </c>
      <c r="D5434" t="s">
        <v>17137</v>
      </c>
      <c r="E5434">
        <v>1</v>
      </c>
      <c r="F5434" t="str">
        <f>HYPERLINK("https://github.com/TotalCross/totalcross/issues/279", "show")</f>
        <v>show</v>
      </c>
      <c r="G5434" t="str">
        <f>HYPERLINK("https://github.com/TotalCross/totalcross", "show")</f>
        <v>show</v>
      </c>
      <c r="H5434" t="str">
        <f>HYPERLINK("https://github.com/TotalCross/totalcross/releases", "show")</f>
        <v>show</v>
      </c>
      <c r="I5434">
        <v>1</v>
      </c>
      <c r="J5434">
        <v>0</v>
      </c>
      <c r="K5434">
        <v>0</v>
      </c>
      <c r="L5434">
        <v>0</v>
      </c>
      <c r="M5434" t="s">
        <v>17</v>
      </c>
    </row>
    <row r="5435" spans="1:13" hidden="1" x14ac:dyDescent="0.15">
      <c r="A5435" t="s">
        <v>17138</v>
      </c>
      <c r="B5435" t="s">
        <v>17139</v>
      </c>
      <c r="C5435" t="s">
        <v>17140</v>
      </c>
      <c r="D5435" t="s">
        <v>17137</v>
      </c>
      <c r="E5435">
        <v>0</v>
      </c>
      <c r="F5435" t="str">
        <f>HYPERLINK("https://github.com/Anuken/Mindustry/issues/4387", "show")</f>
        <v>show</v>
      </c>
      <c r="G5435" t="str">
        <f>HYPERLINK("https://github.com/Anuken/Mindustry", "show")</f>
        <v>show</v>
      </c>
      <c r="H5435" t="str">
        <f>HYPERLINK("https://github.com/Anuken/Mindustry/releases", "show")</f>
        <v>show</v>
      </c>
      <c r="I5435">
        <v>1</v>
      </c>
      <c r="J5435">
        <v>1</v>
      </c>
      <c r="K5435">
        <v>0</v>
      </c>
      <c r="L5435">
        <v>0</v>
      </c>
      <c r="M5435" t="s">
        <v>48</v>
      </c>
    </row>
    <row r="5436" spans="1:13" hidden="1" x14ac:dyDescent="0.15">
      <c r="A5436" t="s">
        <v>17141</v>
      </c>
      <c r="B5436" t="s">
        <v>17142</v>
      </c>
      <c r="C5436" t="s">
        <v>17143</v>
      </c>
      <c r="D5436" t="s">
        <v>17137</v>
      </c>
      <c r="E5436">
        <v>1</v>
      </c>
      <c r="F5436" t="str">
        <f>HYPERLINK("https://github.com/square/okhttp/issues/6520", "show")</f>
        <v>show</v>
      </c>
      <c r="G5436" t="str">
        <f>HYPERLINK("https://github.com/square/okhttp", "show")</f>
        <v>show</v>
      </c>
      <c r="H5436" t="str">
        <f>HYPERLINK("https://github.com/square/okhttp/releases", "show")</f>
        <v>show</v>
      </c>
      <c r="I5436">
        <v>0</v>
      </c>
      <c r="J5436">
        <v>0</v>
      </c>
      <c r="K5436">
        <v>1</v>
      </c>
      <c r="L5436">
        <v>0</v>
      </c>
      <c r="M5436" t="s">
        <v>122</v>
      </c>
    </row>
    <row r="5437" spans="1:13" hidden="1" x14ac:dyDescent="0.15">
      <c r="A5437" t="s">
        <v>17144</v>
      </c>
      <c r="B5437" t="s">
        <v>17145</v>
      </c>
      <c r="C5437" t="s">
        <v>17146</v>
      </c>
      <c r="D5437" t="s">
        <v>17137</v>
      </c>
      <c r="E5437">
        <v>14</v>
      </c>
      <c r="F5437" t="str">
        <f>HYPERLINK("https://github.com/TeamNewPipe/NewPipe/issues/5464", "show")</f>
        <v>show</v>
      </c>
      <c r="G5437" t="str">
        <f>HYPERLINK("https://github.com/TeamNewPipe/NewPipe", "show")</f>
        <v>show</v>
      </c>
      <c r="H5437" t="str">
        <f>HYPERLINK("https://github.com/TeamNewPipe/NewPipe/releases", "show")</f>
        <v>show</v>
      </c>
      <c r="I5437">
        <v>1</v>
      </c>
      <c r="J5437">
        <v>0</v>
      </c>
      <c r="K5437">
        <v>0</v>
      </c>
      <c r="L5437">
        <v>0</v>
      </c>
      <c r="M5437" t="s">
        <v>17</v>
      </c>
    </row>
    <row r="5438" spans="1:13" hidden="1" x14ac:dyDescent="0.15">
      <c r="A5438" t="s">
        <v>17147</v>
      </c>
      <c r="B5438" t="s">
        <v>17148</v>
      </c>
      <c r="C5438" t="s">
        <v>17149</v>
      </c>
      <c r="D5438" t="s">
        <v>17150</v>
      </c>
      <c r="E5438">
        <v>5</v>
      </c>
      <c r="F5438" t="str">
        <f>HYPERLINK("https://github.com/stefan-niedermann/nextcloud-notes/issues/1047", "show")</f>
        <v>show</v>
      </c>
      <c r="G5438" t="str">
        <f>HYPERLINK("https://github.com/stefan-niedermann/nextcloud-notes", "show")</f>
        <v>show</v>
      </c>
      <c r="H5438" t="str">
        <f>HYPERLINK("https://github.com/stefan-niedermann/nextcloud-notes/releases", "show")</f>
        <v>show</v>
      </c>
      <c r="I5438">
        <v>1</v>
      </c>
      <c r="J5438">
        <v>0</v>
      </c>
      <c r="K5438">
        <v>0</v>
      </c>
      <c r="L5438">
        <v>0</v>
      </c>
      <c r="M5438" t="s">
        <v>17</v>
      </c>
    </row>
    <row r="5439" spans="1:13" hidden="1" x14ac:dyDescent="0.15">
      <c r="A5439" t="s">
        <v>17151</v>
      </c>
      <c r="B5439" t="s">
        <v>17152</v>
      </c>
      <c r="C5439" t="s">
        <v>17153</v>
      </c>
      <c r="D5439" t="s">
        <v>17150</v>
      </c>
      <c r="E5439">
        <v>3</v>
      </c>
      <c r="F5439" t="str">
        <f>HYPERLINK("https://github.com/noi-techpark/it.bz.beacon.admin.android/issues/39", "show")</f>
        <v>show</v>
      </c>
      <c r="G5439" t="str">
        <f>HYPERLINK("https://github.com/noi-techpark/it.bz.beacon.admin.android", "show")</f>
        <v>show</v>
      </c>
      <c r="H5439" t="str">
        <f>HYPERLINK("https://github.com/noi-techpark/it.bz.beacon.admin.android/releases", "show")</f>
        <v>show</v>
      </c>
      <c r="I5439">
        <v>1</v>
      </c>
      <c r="J5439">
        <v>0</v>
      </c>
      <c r="K5439">
        <v>0</v>
      </c>
      <c r="L5439">
        <v>0</v>
      </c>
      <c r="M5439" t="s">
        <v>17</v>
      </c>
    </row>
    <row r="5440" spans="1:13" hidden="1" x14ac:dyDescent="0.15">
      <c r="A5440" t="s">
        <v>17154</v>
      </c>
      <c r="B5440" t="s">
        <v>17155</v>
      </c>
      <c r="C5440" t="s">
        <v>17156</v>
      </c>
      <c r="D5440" t="s">
        <v>17150</v>
      </c>
      <c r="E5440">
        <v>0</v>
      </c>
      <c r="F5440" t="str">
        <f>HYPERLINK("https://github.com/Anuken/Mindustry/issues/4376", "show")</f>
        <v>show</v>
      </c>
      <c r="G5440" t="str">
        <f>HYPERLINK("https://github.com/Anuken/Mindustry", "show")</f>
        <v>show</v>
      </c>
      <c r="H5440" t="str">
        <f>HYPERLINK("https://github.com/Anuken/Mindustry/releases", "show")</f>
        <v>show</v>
      </c>
      <c r="I5440">
        <v>1</v>
      </c>
      <c r="J5440">
        <v>0</v>
      </c>
      <c r="K5440">
        <v>0</v>
      </c>
      <c r="L5440">
        <v>0</v>
      </c>
      <c r="M5440" t="s">
        <v>17</v>
      </c>
    </row>
    <row r="5441" spans="1:13" hidden="1" x14ac:dyDescent="0.15">
      <c r="A5441" t="s">
        <v>17157</v>
      </c>
      <c r="B5441" t="s">
        <v>17158</v>
      </c>
      <c r="C5441" t="s">
        <v>17159</v>
      </c>
      <c r="D5441" t="s">
        <v>17150</v>
      </c>
      <c r="E5441">
        <v>0</v>
      </c>
      <c r="F5441" t="str">
        <f>HYPERLINK("https://github.com/square/okhttp/issues/6517", "show")</f>
        <v>show</v>
      </c>
      <c r="G5441" t="str">
        <f>HYPERLINK("https://github.com/square/okhttp", "show")</f>
        <v>show</v>
      </c>
      <c r="H5441" t="str">
        <f>HYPERLINK("https://github.com/square/okhttp/releases", "show")</f>
        <v>show</v>
      </c>
      <c r="I5441">
        <v>0</v>
      </c>
      <c r="J5441">
        <v>0</v>
      </c>
      <c r="K5441">
        <v>1</v>
      </c>
      <c r="L5441">
        <v>1</v>
      </c>
      <c r="M5441" t="s">
        <v>351</v>
      </c>
    </row>
    <row r="5442" spans="1:13" hidden="1" x14ac:dyDescent="0.15">
      <c r="A5442" t="s">
        <v>17160</v>
      </c>
      <c r="B5442" t="s">
        <v>17161</v>
      </c>
      <c r="C5442" t="s">
        <v>17162</v>
      </c>
      <c r="D5442" t="s">
        <v>17163</v>
      </c>
      <c r="E5442">
        <v>3</v>
      </c>
      <c r="F5442" t="str">
        <f>HYPERLINK("https://github.com/AOF-Dev/MCinaBox/issues/856", "show")</f>
        <v>show</v>
      </c>
      <c r="G5442" t="str">
        <f>HYPERLINK("https://github.com/AOF-Dev/MCinaBox", "show")</f>
        <v>show</v>
      </c>
      <c r="H5442" t="str">
        <f>HYPERLINK("https://github.com/AOF-Dev/MCinaBox/releases", "show")</f>
        <v>show</v>
      </c>
      <c r="I5442">
        <v>0</v>
      </c>
      <c r="J5442">
        <v>0</v>
      </c>
      <c r="K5442">
        <v>0</v>
      </c>
      <c r="L5442">
        <v>0</v>
      </c>
      <c r="M5442" t="s">
        <v>43</v>
      </c>
    </row>
    <row r="5443" spans="1:13" hidden="1" x14ac:dyDescent="0.15">
      <c r="A5443" t="s">
        <v>17164</v>
      </c>
      <c r="B5443" t="s">
        <v>17165</v>
      </c>
      <c r="C5443" t="s">
        <v>17166</v>
      </c>
      <c r="D5443" t="s">
        <v>17163</v>
      </c>
      <c r="E5443">
        <v>7</v>
      </c>
      <c r="F5443" t="str">
        <f>HYPERLINK("https://github.com/SkyTubeTeam/SkyTube/issues/893", "show")</f>
        <v>show</v>
      </c>
      <c r="G5443" t="str">
        <f>HYPERLINK("https://github.com/SkyTubeTeam/SkyTube", "show")</f>
        <v>show</v>
      </c>
      <c r="H5443" t="str">
        <f>HYPERLINK("https://github.com/SkyTubeTeam/SkyTube/releases", "show")</f>
        <v>show</v>
      </c>
      <c r="I5443">
        <v>1</v>
      </c>
      <c r="J5443">
        <v>0</v>
      </c>
      <c r="K5443">
        <v>0</v>
      </c>
      <c r="L5443">
        <v>0</v>
      </c>
      <c r="M5443" t="s">
        <v>17</v>
      </c>
    </row>
    <row r="5444" spans="1:13" hidden="1" x14ac:dyDescent="0.15">
      <c r="A5444" t="s">
        <v>17167</v>
      </c>
      <c r="B5444" t="s">
        <v>17168</v>
      </c>
      <c r="C5444" t="s">
        <v>17169</v>
      </c>
      <c r="D5444" t="s">
        <v>17163</v>
      </c>
      <c r="E5444">
        <v>0</v>
      </c>
      <c r="F5444" t="str">
        <f>HYPERLINK("https://github.com/Anuken/Mindustry/issues/4368", "show")</f>
        <v>show</v>
      </c>
      <c r="G5444" t="str">
        <f>HYPERLINK("https://github.com/Anuken/Mindustry", "show")</f>
        <v>show</v>
      </c>
      <c r="H5444" t="str">
        <f>HYPERLINK("https://github.com/Anuken/Mindustry/releases", "show")</f>
        <v>show</v>
      </c>
      <c r="I5444">
        <v>1</v>
      </c>
      <c r="J5444">
        <v>0</v>
      </c>
      <c r="K5444">
        <v>0</v>
      </c>
      <c r="L5444">
        <v>1</v>
      </c>
      <c r="M5444" t="s">
        <v>29</v>
      </c>
    </row>
    <row r="5445" spans="1:13" hidden="1" x14ac:dyDescent="0.15">
      <c r="A5445" t="s">
        <v>17170</v>
      </c>
      <c r="B5445" t="s">
        <v>17171</v>
      </c>
      <c r="C5445" t="s">
        <v>17172</v>
      </c>
      <c r="D5445" t="s">
        <v>17163</v>
      </c>
      <c r="E5445">
        <v>0</v>
      </c>
      <c r="F5445" t="str">
        <f>HYPERLINK("https://github.com/Anuken/Mindustry/issues/4367", "show")</f>
        <v>show</v>
      </c>
      <c r="G5445" t="str">
        <f>HYPERLINK("https://github.com/Anuken/Mindustry", "show")</f>
        <v>show</v>
      </c>
      <c r="H5445" t="str">
        <f>HYPERLINK("https://github.com/Anuken/Mindustry/releases", "show")</f>
        <v>show</v>
      </c>
      <c r="I5445">
        <v>1</v>
      </c>
      <c r="J5445">
        <v>0</v>
      </c>
      <c r="K5445">
        <v>0</v>
      </c>
      <c r="L5445">
        <v>0</v>
      </c>
      <c r="M5445" t="s">
        <v>17</v>
      </c>
    </row>
    <row r="5446" spans="1:13" hidden="1" x14ac:dyDescent="0.15">
      <c r="A5446" t="s">
        <v>17173</v>
      </c>
      <c r="B5446" t="s">
        <v>17174</v>
      </c>
      <c r="C5446" t="s">
        <v>17175</v>
      </c>
      <c r="D5446" t="s">
        <v>17163</v>
      </c>
      <c r="E5446">
        <v>10</v>
      </c>
      <c r="F5446" t="str">
        <f>HYPERLINK("https://github.com/GoogleCloudPlatform/fda-mystudies/issues/2938", "show")</f>
        <v>show</v>
      </c>
      <c r="G5446" t="str">
        <f>HYPERLINK("https://github.com/GoogleCloudPlatform/fda-mystudies", "show")</f>
        <v>show</v>
      </c>
      <c r="H5446" t="str">
        <f>HYPERLINK("https://github.com/GoogleCloudPlatform/fda-mystudies/releases", "show")</f>
        <v>show</v>
      </c>
      <c r="I5446">
        <v>1</v>
      </c>
      <c r="J5446">
        <v>1</v>
      </c>
      <c r="K5446">
        <v>0</v>
      </c>
      <c r="L5446">
        <v>0</v>
      </c>
      <c r="M5446" t="s">
        <v>48</v>
      </c>
    </row>
    <row r="5447" spans="1:13" hidden="1" x14ac:dyDescent="0.15">
      <c r="A5447" t="s">
        <v>17176</v>
      </c>
      <c r="B5447" t="s">
        <v>17177</v>
      </c>
      <c r="C5447" t="s">
        <v>17178</v>
      </c>
      <c r="D5447" t="s">
        <v>17163</v>
      </c>
      <c r="E5447">
        <v>2</v>
      </c>
      <c r="F5447" t="str">
        <f>HYPERLINK("https://github.com/Azure/azure-iot-sdk-java/issues/1067", "show")</f>
        <v>show</v>
      </c>
      <c r="G5447" t="str">
        <f>HYPERLINK("https://github.com/Azure/azure-iot-sdk-java", "show")</f>
        <v>show</v>
      </c>
      <c r="H5447" t="str">
        <f>HYPERLINK("https://github.com/Azure/azure-iot-sdk-java/releases", "show")</f>
        <v>show</v>
      </c>
      <c r="I5447">
        <v>0</v>
      </c>
      <c r="J5447">
        <v>0</v>
      </c>
      <c r="K5447">
        <v>1</v>
      </c>
      <c r="L5447">
        <v>0</v>
      </c>
      <c r="M5447" t="s">
        <v>122</v>
      </c>
    </row>
    <row r="5448" spans="1:13" hidden="1" x14ac:dyDescent="0.15">
      <c r="A5448" t="s">
        <v>17179</v>
      </c>
      <c r="B5448" t="s">
        <v>17180</v>
      </c>
      <c r="C5448" t="s">
        <v>17181</v>
      </c>
      <c r="D5448" t="s">
        <v>17163</v>
      </c>
      <c r="E5448">
        <v>109</v>
      </c>
      <c r="F5448" t="str">
        <f>HYPERLINK("https://github.com/CTemplar/android/issues/306", "show")</f>
        <v>show</v>
      </c>
      <c r="G5448" t="str">
        <f>HYPERLINK("https://github.com/CTemplar/android", "show")</f>
        <v>show</v>
      </c>
      <c r="H5448" t="str">
        <f>HYPERLINK("https://github.com/CTemplar/android/releases", "show")</f>
        <v>show</v>
      </c>
      <c r="I5448">
        <v>1</v>
      </c>
      <c r="J5448">
        <v>0</v>
      </c>
      <c r="K5448">
        <v>0</v>
      </c>
      <c r="L5448">
        <v>0</v>
      </c>
      <c r="M5448" t="s">
        <v>17</v>
      </c>
    </row>
    <row r="5449" spans="1:13" hidden="1" x14ac:dyDescent="0.15">
      <c r="A5449" t="s">
        <v>17182</v>
      </c>
      <c r="B5449" t="s">
        <v>17183</v>
      </c>
      <c r="C5449" t="s">
        <v>17184</v>
      </c>
      <c r="D5449" t="s">
        <v>17163</v>
      </c>
      <c r="E5449">
        <v>0</v>
      </c>
      <c r="F5449" t="str">
        <f>HYPERLINK("https://github.com/Anuken/Mindustry/issues/4366", "show")</f>
        <v>show</v>
      </c>
      <c r="G5449" t="str">
        <f>HYPERLINK("https://github.com/Anuken/Mindustry", "show")</f>
        <v>show</v>
      </c>
      <c r="H5449" t="str">
        <f>HYPERLINK("https://github.com/Anuken/Mindustry/releases", "show")</f>
        <v>show</v>
      </c>
      <c r="I5449">
        <v>1</v>
      </c>
      <c r="J5449">
        <v>0</v>
      </c>
      <c r="K5449">
        <v>0</v>
      </c>
      <c r="L5449">
        <v>0</v>
      </c>
      <c r="M5449" t="s">
        <v>17</v>
      </c>
    </row>
    <row r="5450" spans="1:13" hidden="1" x14ac:dyDescent="0.15">
      <c r="A5450" t="s">
        <v>17185</v>
      </c>
      <c r="B5450" t="s">
        <v>17186</v>
      </c>
      <c r="C5450" t="s">
        <v>17187</v>
      </c>
      <c r="D5450" t="s">
        <v>17163</v>
      </c>
      <c r="E5450">
        <v>0</v>
      </c>
      <c r="F5450" t="str">
        <f>HYPERLINK("https://github.com/Anuken/Mindustry/issues/4364", "show")</f>
        <v>show</v>
      </c>
      <c r="G5450" t="str">
        <f>HYPERLINK("https://github.com/Anuken/Mindustry", "show")</f>
        <v>show</v>
      </c>
      <c r="H5450" t="str">
        <f>HYPERLINK("https://github.com/Anuken/Mindustry/releases", "show")</f>
        <v>show</v>
      </c>
      <c r="I5450">
        <v>0</v>
      </c>
      <c r="J5450">
        <v>0</v>
      </c>
      <c r="K5450">
        <v>0</v>
      </c>
      <c r="L5450">
        <v>1</v>
      </c>
      <c r="M5450" t="s">
        <v>581</v>
      </c>
    </row>
    <row r="5451" spans="1:13" hidden="1" x14ac:dyDescent="0.15">
      <c r="A5451" t="s">
        <v>17188</v>
      </c>
      <c r="B5451" t="s">
        <v>17189</v>
      </c>
      <c r="C5451" t="s">
        <v>17190</v>
      </c>
      <c r="D5451" t="s">
        <v>17191</v>
      </c>
      <c r="E5451">
        <v>8</v>
      </c>
      <c r="F5451" t="str">
        <f>HYPERLINK("https://github.com/PojavLauncherTeam/PojavLauncher/issues/638", "show")</f>
        <v>show</v>
      </c>
      <c r="G5451" t="str">
        <f>HYPERLINK("https://github.com/PojavLauncherTeam/PojavLauncher", "show")</f>
        <v>show</v>
      </c>
      <c r="H5451" t="str">
        <f>HYPERLINK("https://github.com/PojavLauncherTeam/PojavLauncher/releases", "show")</f>
        <v>show</v>
      </c>
      <c r="I5451">
        <v>1</v>
      </c>
      <c r="J5451">
        <v>1</v>
      </c>
      <c r="K5451">
        <v>0</v>
      </c>
      <c r="L5451">
        <v>1</v>
      </c>
      <c r="M5451" t="s">
        <v>1894</v>
      </c>
    </row>
    <row r="5452" spans="1:13" hidden="1" x14ac:dyDescent="0.15">
      <c r="A5452" t="s">
        <v>17192</v>
      </c>
      <c r="B5452" t="s">
        <v>17193</v>
      </c>
      <c r="C5452" t="s">
        <v>17194</v>
      </c>
      <c r="D5452" t="s">
        <v>17191</v>
      </c>
      <c r="E5452">
        <v>1</v>
      </c>
      <c r="F5452" t="str">
        <f>HYPERLINK("https://github.com/Poing-Studios/godot-admob-android/issues/44", "show")</f>
        <v>show</v>
      </c>
      <c r="G5452" t="str">
        <f>HYPERLINK("https://github.com/Poing-Studios/godot-admob-android", "show")</f>
        <v>show</v>
      </c>
      <c r="H5452" t="str">
        <f>HYPERLINK("https://github.com/Poing-Studios/godot-admob-android/releases", "show")</f>
        <v>show</v>
      </c>
      <c r="I5452">
        <v>0</v>
      </c>
      <c r="J5452">
        <v>0</v>
      </c>
      <c r="K5452">
        <v>0</v>
      </c>
      <c r="L5452">
        <v>0</v>
      </c>
      <c r="M5452" t="s">
        <v>43</v>
      </c>
    </row>
    <row r="5453" spans="1:13" hidden="1" x14ac:dyDescent="0.15">
      <c r="A5453" t="s">
        <v>17195</v>
      </c>
      <c r="B5453" t="s">
        <v>11287</v>
      </c>
      <c r="C5453" t="s">
        <v>17196</v>
      </c>
      <c r="D5453" t="s">
        <v>17191</v>
      </c>
      <c r="E5453">
        <v>0</v>
      </c>
      <c r="F5453" t="str">
        <f>HYPERLINK("https://github.com/PojavLauncherTeam/PojavLauncher/issues/636", "show")</f>
        <v>show</v>
      </c>
      <c r="G5453" t="str">
        <f>HYPERLINK("https://github.com/PojavLauncherTeam/PojavLauncher", "show")</f>
        <v>show</v>
      </c>
      <c r="H5453" t="str">
        <f>HYPERLINK("https://github.com/PojavLauncherTeam/PojavLauncher/releases", "show")</f>
        <v>show</v>
      </c>
      <c r="I5453">
        <v>0</v>
      </c>
      <c r="J5453">
        <v>1</v>
      </c>
      <c r="K5453">
        <v>1</v>
      </c>
      <c r="L5453">
        <v>0</v>
      </c>
      <c r="M5453" t="s">
        <v>699</v>
      </c>
    </row>
    <row r="5454" spans="1:13" hidden="1" x14ac:dyDescent="0.15">
      <c r="A5454" t="s">
        <v>17197</v>
      </c>
      <c r="B5454" t="s">
        <v>17198</v>
      </c>
      <c r="C5454" t="s">
        <v>17199</v>
      </c>
      <c r="D5454" t="s">
        <v>17191</v>
      </c>
      <c r="E5454">
        <v>1</v>
      </c>
      <c r="F5454" t="str">
        <f>HYPERLINK("https://github.com/TeamNewPipe/NewPipe/issues/5442", "show")</f>
        <v>show</v>
      </c>
      <c r="G5454" t="str">
        <f>HYPERLINK("https://github.com/TeamNewPipe/NewPipe", "show")</f>
        <v>show</v>
      </c>
      <c r="H5454" t="str">
        <f>HYPERLINK("https://github.com/TeamNewPipe/NewPipe/releases", "show")</f>
        <v>show</v>
      </c>
      <c r="I5454">
        <v>1</v>
      </c>
      <c r="J5454">
        <v>0</v>
      </c>
      <c r="K5454">
        <v>1</v>
      </c>
      <c r="L5454">
        <v>0</v>
      </c>
      <c r="M5454" t="s">
        <v>64</v>
      </c>
    </row>
    <row r="5455" spans="1:13" hidden="1" x14ac:dyDescent="0.15">
      <c r="A5455" t="s">
        <v>17200</v>
      </c>
      <c r="B5455" t="s">
        <v>17201</v>
      </c>
      <c r="C5455" t="s">
        <v>17056</v>
      </c>
      <c r="D5455" t="s">
        <v>17191</v>
      </c>
      <c r="E5455">
        <v>0</v>
      </c>
      <c r="F5455" t="str">
        <f>HYPERLINK("https://github.com/PojavLauncherTeam/PojavLauncher/issues/627", "show")</f>
        <v>show</v>
      </c>
      <c r="G5455" t="str">
        <f>HYPERLINK("https://github.com/PojavLauncherTeam/PojavLauncher", "show")</f>
        <v>show</v>
      </c>
      <c r="H5455" t="str">
        <f>HYPERLINK("https://github.com/PojavLauncherTeam/PojavLauncher/releases", "show")</f>
        <v>show</v>
      </c>
      <c r="I5455">
        <v>0</v>
      </c>
      <c r="J5455">
        <v>0</v>
      </c>
      <c r="K5455">
        <v>1</v>
      </c>
      <c r="L5455">
        <v>0</v>
      </c>
      <c r="M5455" t="s">
        <v>122</v>
      </c>
    </row>
    <row r="5456" spans="1:13" x14ac:dyDescent="0.15">
      <c r="A5456" t="s">
        <v>17202</v>
      </c>
      <c r="B5456" t="s">
        <v>17203</v>
      </c>
      <c r="C5456" t="s">
        <v>11582</v>
      </c>
      <c r="D5456" t="s">
        <v>17191</v>
      </c>
      <c r="E5456">
        <v>52</v>
      </c>
      <c r="F5456" t="str">
        <f>HYPERLINK("https://github.com/nextcloud/android/issues/7856", "show")</f>
        <v>show</v>
      </c>
      <c r="G5456" t="str">
        <f>HYPERLINK("https://github.com/nextcloud/android", "show")</f>
        <v>show</v>
      </c>
      <c r="H5456" t="str">
        <f>HYPERLINK("https://github.com/nextcloud/android/releases", "show")</f>
        <v>show</v>
      </c>
      <c r="I5456">
        <v>0</v>
      </c>
      <c r="J5456">
        <v>1</v>
      </c>
      <c r="K5456">
        <v>0</v>
      </c>
      <c r="L5456">
        <v>0</v>
      </c>
      <c r="M5456" t="s">
        <v>139</v>
      </c>
    </row>
    <row r="5457" spans="1:13" hidden="1" x14ac:dyDescent="0.15">
      <c r="A5457" t="s">
        <v>17204</v>
      </c>
      <c r="B5457" t="s">
        <v>141</v>
      </c>
      <c r="C5457" t="s">
        <v>17205</v>
      </c>
      <c r="D5457" t="s">
        <v>17191</v>
      </c>
      <c r="E5457">
        <v>0</v>
      </c>
      <c r="F5457" t="str">
        <f>HYPERLINK("https://github.com/nextcloud/android/issues/7855", "show")</f>
        <v>show</v>
      </c>
      <c r="G5457" t="str">
        <f>HYPERLINK("https://github.com/nextcloud/android", "show")</f>
        <v>show</v>
      </c>
      <c r="H5457" t="str">
        <f>HYPERLINK("https://github.com/nextcloud/android/releases", "show")</f>
        <v>show</v>
      </c>
      <c r="I5457">
        <v>1</v>
      </c>
      <c r="J5457">
        <v>1</v>
      </c>
      <c r="K5457">
        <v>1</v>
      </c>
      <c r="L5457">
        <v>0</v>
      </c>
      <c r="M5457" t="s">
        <v>59</v>
      </c>
    </row>
    <row r="5458" spans="1:13" hidden="1" x14ac:dyDescent="0.15">
      <c r="A5458" t="s">
        <v>17206</v>
      </c>
      <c r="B5458" t="s">
        <v>17207</v>
      </c>
      <c r="C5458" t="s">
        <v>17208</v>
      </c>
      <c r="D5458" t="s">
        <v>17191</v>
      </c>
      <c r="E5458">
        <v>3</v>
      </c>
      <c r="F5458" t="str">
        <f>HYPERLINK("https://github.com/NSU-FA20-CSE486-1/1731136_FA2020_CSE486.1/issues/41", "show")</f>
        <v>show</v>
      </c>
      <c r="G5458" t="str">
        <f>HYPERLINK("https://github.com/NSU-FA20-CSE486-1/1731136_FA2020_CSE486.1", "show")</f>
        <v>show</v>
      </c>
      <c r="H5458" t="str">
        <f>HYPERLINK("https://github.com/NSU-FA20-CSE486-1/1731136_FA2020_CSE486.1/releases", "show")</f>
        <v>show</v>
      </c>
      <c r="I5458">
        <v>1</v>
      </c>
      <c r="J5458">
        <v>0</v>
      </c>
      <c r="K5458">
        <v>0</v>
      </c>
      <c r="L5458">
        <v>0</v>
      </c>
      <c r="M5458" t="s">
        <v>17</v>
      </c>
    </row>
    <row r="5459" spans="1:13" hidden="1" x14ac:dyDescent="0.15">
      <c r="A5459" t="s">
        <v>17209</v>
      </c>
      <c r="B5459" t="s">
        <v>17210</v>
      </c>
      <c r="C5459" t="s">
        <v>17211</v>
      </c>
      <c r="D5459" t="s">
        <v>17212</v>
      </c>
      <c r="E5459">
        <v>0</v>
      </c>
      <c r="F5459" t="str">
        <f>HYPERLINK("https://github.com/TeamNewPipe/NewPipe/issues/5436", "show")</f>
        <v>show</v>
      </c>
      <c r="G5459" t="str">
        <f>HYPERLINK("https://github.com/TeamNewPipe/NewPipe", "show")</f>
        <v>show</v>
      </c>
      <c r="H5459" t="str">
        <f>HYPERLINK("https://github.com/TeamNewPipe/NewPipe/releases", "show")</f>
        <v>show</v>
      </c>
      <c r="I5459">
        <v>1</v>
      </c>
      <c r="J5459">
        <v>1</v>
      </c>
      <c r="K5459">
        <v>1</v>
      </c>
      <c r="L5459">
        <v>0</v>
      </c>
      <c r="M5459" t="s">
        <v>59</v>
      </c>
    </row>
    <row r="5460" spans="1:13" hidden="1" x14ac:dyDescent="0.15">
      <c r="A5460" t="s">
        <v>17213</v>
      </c>
      <c r="B5460" t="s">
        <v>17214</v>
      </c>
      <c r="C5460" t="s">
        <v>17215</v>
      </c>
      <c r="D5460" t="s">
        <v>17212</v>
      </c>
      <c r="E5460">
        <v>1</v>
      </c>
      <c r="F5460" t="str">
        <f>HYPERLINK("https://github.com/Anuken/Mindustry/issues/4351", "show")</f>
        <v>show</v>
      </c>
      <c r="G5460" t="str">
        <f>HYPERLINK("https://github.com/Anuken/Mindustry", "show")</f>
        <v>show</v>
      </c>
      <c r="H5460" t="str">
        <f>HYPERLINK("https://github.com/Anuken/Mindustry/releases", "show")</f>
        <v>show</v>
      </c>
      <c r="I5460">
        <v>1</v>
      </c>
      <c r="J5460">
        <v>1</v>
      </c>
      <c r="K5460">
        <v>0</v>
      </c>
      <c r="L5460">
        <v>0</v>
      </c>
      <c r="M5460" t="s">
        <v>48</v>
      </c>
    </row>
    <row r="5461" spans="1:13" hidden="1" x14ac:dyDescent="0.15">
      <c r="A5461" t="s">
        <v>17216</v>
      </c>
      <c r="B5461" t="s">
        <v>17217</v>
      </c>
      <c r="C5461" t="s">
        <v>17218</v>
      </c>
      <c r="D5461" t="s">
        <v>17212</v>
      </c>
      <c r="E5461">
        <v>2</v>
      </c>
      <c r="F5461" t="str">
        <f>HYPERLINK("https://github.com/TeamNewPipe/NewPipe/issues/5429", "show")</f>
        <v>show</v>
      </c>
      <c r="G5461" t="str">
        <f>HYPERLINK("https://github.com/TeamNewPipe/NewPipe", "show")</f>
        <v>show</v>
      </c>
      <c r="H5461" t="str">
        <f>HYPERLINK("https://github.com/TeamNewPipe/NewPipe/releases", "show")</f>
        <v>show</v>
      </c>
      <c r="I5461">
        <v>1</v>
      </c>
      <c r="J5461">
        <v>0</v>
      </c>
      <c r="K5461">
        <v>0</v>
      </c>
      <c r="L5461">
        <v>0</v>
      </c>
      <c r="M5461" t="s">
        <v>17</v>
      </c>
    </row>
    <row r="5462" spans="1:13" hidden="1" x14ac:dyDescent="0.15">
      <c r="A5462" t="s">
        <v>17219</v>
      </c>
      <c r="B5462" t="s">
        <v>17220</v>
      </c>
      <c r="C5462" t="s">
        <v>17221</v>
      </c>
      <c r="D5462" t="s">
        <v>17212</v>
      </c>
      <c r="E5462">
        <v>0</v>
      </c>
      <c r="F5462" t="str">
        <f>HYPERLINK("https://github.com/MuntashirAkon/AppManager/issues/232", "show")</f>
        <v>show</v>
      </c>
      <c r="G5462" t="str">
        <f>HYPERLINK("https://github.com/MuntashirAkon/AppManager", "show")</f>
        <v>show</v>
      </c>
      <c r="H5462" t="str">
        <f>HYPERLINK("https://github.com/MuntashirAkon/AppManager/releases", "show")</f>
        <v>show</v>
      </c>
      <c r="I5462">
        <v>1</v>
      </c>
      <c r="J5462">
        <v>1</v>
      </c>
      <c r="K5462">
        <v>1</v>
      </c>
      <c r="L5462">
        <v>0</v>
      </c>
      <c r="M5462" t="s">
        <v>59</v>
      </c>
    </row>
    <row r="5463" spans="1:13" hidden="1" x14ac:dyDescent="0.15">
      <c r="A5463" t="s">
        <v>17222</v>
      </c>
      <c r="B5463" t="s">
        <v>17223</v>
      </c>
      <c r="C5463" t="s">
        <v>17224</v>
      </c>
      <c r="D5463" t="s">
        <v>17212</v>
      </c>
      <c r="E5463">
        <v>31</v>
      </c>
      <c r="F5463" t="str">
        <f>HYPERLINK("https://github.com/PojavLauncherTeam/PojavLauncher/issues/619", "show")</f>
        <v>show</v>
      </c>
      <c r="G5463" t="str">
        <f>HYPERLINK("https://github.com/PojavLauncherTeam/PojavLauncher", "show")</f>
        <v>show</v>
      </c>
      <c r="H5463" t="str">
        <f>HYPERLINK("https://github.com/PojavLauncherTeam/PojavLauncher/releases", "show")</f>
        <v>show</v>
      </c>
      <c r="I5463">
        <v>1</v>
      </c>
      <c r="J5463">
        <v>1</v>
      </c>
      <c r="K5463">
        <v>1</v>
      </c>
      <c r="L5463">
        <v>0</v>
      </c>
      <c r="M5463" t="s">
        <v>59</v>
      </c>
    </row>
    <row r="5464" spans="1:13" hidden="1" x14ac:dyDescent="0.15">
      <c r="A5464" t="s">
        <v>17225</v>
      </c>
      <c r="B5464" t="s">
        <v>17226</v>
      </c>
      <c r="C5464" t="s">
        <v>17227</v>
      </c>
      <c r="D5464" t="s">
        <v>17212</v>
      </c>
      <c r="E5464">
        <v>0</v>
      </c>
      <c r="F5464" t="str">
        <f>HYPERLINK("https://github.com/PojavLauncherTeam/PojavLauncher/issues/617", "show")</f>
        <v>show</v>
      </c>
      <c r="G5464" t="str">
        <f>HYPERLINK("https://github.com/PojavLauncherTeam/PojavLauncher", "show")</f>
        <v>show</v>
      </c>
      <c r="H5464" t="str">
        <f>HYPERLINK("https://github.com/PojavLauncherTeam/PojavLauncher/releases", "show")</f>
        <v>show</v>
      </c>
      <c r="I5464">
        <v>1</v>
      </c>
      <c r="J5464">
        <v>0</v>
      </c>
      <c r="K5464">
        <v>1</v>
      </c>
      <c r="L5464">
        <v>0</v>
      </c>
      <c r="M5464" t="s">
        <v>64</v>
      </c>
    </row>
    <row r="5465" spans="1:13" hidden="1" x14ac:dyDescent="0.15">
      <c r="A5465" t="s">
        <v>17228</v>
      </c>
      <c r="B5465" t="s">
        <v>17229</v>
      </c>
      <c r="C5465" t="s">
        <v>17230</v>
      </c>
      <c r="D5465" t="s">
        <v>17212</v>
      </c>
      <c r="E5465">
        <v>1</v>
      </c>
      <c r="F5465" t="str">
        <f>HYPERLINK("https://github.com/Anuken/Mindustry/issues/4339", "show")</f>
        <v>show</v>
      </c>
      <c r="G5465" t="str">
        <f>HYPERLINK("https://github.com/Anuken/Mindustry", "show")</f>
        <v>show</v>
      </c>
      <c r="H5465" t="str">
        <f>HYPERLINK("https://github.com/Anuken/Mindustry/releases", "show")</f>
        <v>show</v>
      </c>
      <c r="I5465">
        <v>1</v>
      </c>
      <c r="J5465">
        <v>0</v>
      </c>
      <c r="K5465">
        <v>0</v>
      </c>
      <c r="L5465">
        <v>0</v>
      </c>
      <c r="M5465" t="s">
        <v>17</v>
      </c>
    </row>
    <row r="5466" spans="1:13" hidden="1" x14ac:dyDescent="0.15">
      <c r="A5466" t="s">
        <v>17231</v>
      </c>
      <c r="B5466" t="s">
        <v>17232</v>
      </c>
      <c r="C5466" t="s">
        <v>17233</v>
      </c>
      <c r="D5466" t="s">
        <v>17234</v>
      </c>
      <c r="E5466">
        <v>0</v>
      </c>
      <c r="F5466" t="str">
        <f>HYPERLINK("https://github.com/Anuken/Mindustry/issues/4336", "show")</f>
        <v>show</v>
      </c>
      <c r="G5466" t="str">
        <f>HYPERLINK("https://github.com/Anuken/Mindustry", "show")</f>
        <v>show</v>
      </c>
      <c r="H5466" t="str">
        <f>HYPERLINK("https://github.com/Anuken/Mindustry/releases", "show")</f>
        <v>show</v>
      </c>
      <c r="I5466">
        <v>1</v>
      </c>
      <c r="J5466">
        <v>1</v>
      </c>
      <c r="K5466">
        <v>0</v>
      </c>
      <c r="L5466">
        <v>0</v>
      </c>
      <c r="M5466" t="s">
        <v>48</v>
      </c>
    </row>
    <row r="5467" spans="1:13" hidden="1" x14ac:dyDescent="0.15">
      <c r="A5467" t="s">
        <v>17235</v>
      </c>
      <c r="B5467" t="s">
        <v>17236</v>
      </c>
      <c r="C5467" t="s">
        <v>17237</v>
      </c>
      <c r="D5467" t="s">
        <v>17234</v>
      </c>
      <c r="E5467">
        <v>0</v>
      </c>
      <c r="F5467" t="str">
        <f>HYPERLINK("https://github.com/Anuken/Mindustry/issues/4335", "show")</f>
        <v>show</v>
      </c>
      <c r="G5467" t="str">
        <f>HYPERLINK("https://github.com/Anuken/Mindustry", "show")</f>
        <v>show</v>
      </c>
      <c r="H5467" t="str">
        <f>HYPERLINK("https://github.com/Anuken/Mindustry/releases", "show")</f>
        <v>show</v>
      </c>
      <c r="I5467">
        <v>1</v>
      </c>
      <c r="J5467">
        <v>1</v>
      </c>
      <c r="K5467">
        <v>0</v>
      </c>
      <c r="L5467">
        <v>0</v>
      </c>
      <c r="M5467" t="s">
        <v>48</v>
      </c>
    </row>
    <row r="5468" spans="1:13" hidden="1" x14ac:dyDescent="0.15">
      <c r="A5468" t="s">
        <v>17238</v>
      </c>
      <c r="B5468" t="s">
        <v>17239</v>
      </c>
      <c r="C5468" t="s">
        <v>17240</v>
      </c>
      <c r="D5468" t="s">
        <v>17234</v>
      </c>
      <c r="E5468">
        <v>6</v>
      </c>
      <c r="F5468" t="str">
        <f>HYPERLINK("https://github.com/material-components/material-components-android/issues/1987", "show")</f>
        <v>show</v>
      </c>
      <c r="G5468" t="str">
        <f>HYPERLINK("https://github.com/material-components/material-components-android", "show")</f>
        <v>show</v>
      </c>
      <c r="H5468" t="str">
        <f>HYPERLINK("https://github.com/material-components/material-components-android/releases", "show")</f>
        <v>show</v>
      </c>
      <c r="I5468">
        <v>0</v>
      </c>
      <c r="J5468">
        <v>0</v>
      </c>
      <c r="K5468">
        <v>1</v>
      </c>
      <c r="L5468">
        <v>0</v>
      </c>
      <c r="M5468" t="s">
        <v>122</v>
      </c>
    </row>
    <row r="5469" spans="1:13" hidden="1" x14ac:dyDescent="0.15">
      <c r="A5469" t="s">
        <v>17241</v>
      </c>
      <c r="B5469" t="s">
        <v>17242</v>
      </c>
      <c r="C5469" t="s">
        <v>17243</v>
      </c>
      <c r="D5469" t="s">
        <v>17234</v>
      </c>
      <c r="E5469">
        <v>0</v>
      </c>
      <c r="F5469" t="str">
        <f>HYPERLINK("https://github.com/Anuken/Mindustry/issues/4330", "show")</f>
        <v>show</v>
      </c>
      <c r="G5469" t="str">
        <f>HYPERLINK("https://github.com/Anuken/Mindustry", "show")</f>
        <v>show</v>
      </c>
      <c r="H5469" t="str">
        <f>HYPERLINK("https://github.com/Anuken/Mindustry/releases", "show")</f>
        <v>show</v>
      </c>
      <c r="I5469">
        <v>1</v>
      </c>
      <c r="J5469">
        <v>1</v>
      </c>
      <c r="K5469">
        <v>0</v>
      </c>
      <c r="L5469">
        <v>0</v>
      </c>
      <c r="M5469" t="s">
        <v>48</v>
      </c>
    </row>
    <row r="5470" spans="1:13" hidden="1" x14ac:dyDescent="0.15">
      <c r="A5470" t="s">
        <v>17244</v>
      </c>
      <c r="B5470" t="s">
        <v>17245</v>
      </c>
      <c r="C5470" t="s">
        <v>17246</v>
      </c>
      <c r="D5470" t="s">
        <v>17234</v>
      </c>
      <c r="E5470">
        <v>5</v>
      </c>
      <c r="F5470" t="str">
        <f>HYPERLINK("https://github.com/GoogleCloudPlatform/fda-mystudies/issues/2853", "show")</f>
        <v>show</v>
      </c>
      <c r="G5470" t="str">
        <f>HYPERLINK("https://github.com/GoogleCloudPlatform/fda-mystudies", "show")</f>
        <v>show</v>
      </c>
      <c r="H5470" t="str">
        <f>HYPERLINK("https://github.com/GoogleCloudPlatform/fda-mystudies/releases", "show")</f>
        <v>show</v>
      </c>
      <c r="I5470">
        <v>0</v>
      </c>
      <c r="J5470">
        <v>0</v>
      </c>
      <c r="K5470">
        <v>0</v>
      </c>
      <c r="L5470">
        <v>0</v>
      </c>
      <c r="M5470" t="s">
        <v>43</v>
      </c>
    </row>
    <row r="5471" spans="1:13" hidden="1" x14ac:dyDescent="0.15">
      <c r="A5471" t="s">
        <v>17247</v>
      </c>
      <c r="B5471" t="s">
        <v>17248</v>
      </c>
      <c r="C5471" t="s">
        <v>17249</v>
      </c>
      <c r="D5471" t="s">
        <v>17234</v>
      </c>
      <c r="E5471">
        <v>0</v>
      </c>
      <c r="F5471" t="str">
        <f>HYPERLINK("https://github.com/gsantner/markor/issues/1194", "show")</f>
        <v>show</v>
      </c>
      <c r="G5471" t="str">
        <f>HYPERLINK("https://github.com/gsantner/markor", "show")</f>
        <v>show</v>
      </c>
      <c r="H5471" t="str">
        <f>HYPERLINK("https://github.com/gsantner/markor/releases", "show")</f>
        <v>show</v>
      </c>
      <c r="I5471">
        <v>1</v>
      </c>
      <c r="J5471">
        <v>1</v>
      </c>
      <c r="K5471">
        <v>1</v>
      </c>
      <c r="L5471">
        <v>0</v>
      </c>
      <c r="M5471" t="s">
        <v>59</v>
      </c>
    </row>
    <row r="5472" spans="1:13" hidden="1" x14ac:dyDescent="0.15">
      <c r="A5472" t="s">
        <v>17250</v>
      </c>
      <c r="B5472" t="s">
        <v>17251</v>
      </c>
      <c r="C5472" t="s">
        <v>17252</v>
      </c>
      <c r="D5472" t="s">
        <v>17234</v>
      </c>
      <c r="E5472">
        <v>0</v>
      </c>
      <c r="F5472" t="str">
        <f>HYPERLINK("https://github.com/Anuken/Mindustry/issues/4328", "show")</f>
        <v>show</v>
      </c>
      <c r="G5472" t="str">
        <f>HYPERLINK("https://github.com/Anuken/Mindustry", "show")</f>
        <v>show</v>
      </c>
      <c r="H5472" t="str">
        <f>HYPERLINK("https://github.com/Anuken/Mindustry/releases", "show")</f>
        <v>show</v>
      </c>
      <c r="I5472">
        <v>1</v>
      </c>
      <c r="J5472">
        <v>1</v>
      </c>
      <c r="K5472">
        <v>0</v>
      </c>
      <c r="L5472">
        <v>0</v>
      </c>
      <c r="M5472" t="s">
        <v>48</v>
      </c>
    </row>
    <row r="5473" spans="1:13" hidden="1" x14ac:dyDescent="0.15">
      <c r="A5473" t="s">
        <v>17253</v>
      </c>
      <c r="B5473" t="s">
        <v>17254</v>
      </c>
      <c r="C5473" t="s">
        <v>17255</v>
      </c>
      <c r="D5473" t="s">
        <v>17256</v>
      </c>
      <c r="E5473">
        <v>7</v>
      </c>
      <c r="F5473" t="str">
        <f>HYPERLINK("https://github.com/valkriaine/Factor_Launcher_Reboot/issues/31", "show")</f>
        <v>show</v>
      </c>
      <c r="G5473" t="str">
        <f>HYPERLINK("https://github.com/valkriaine/Factor_Launcher_Reboot", "show")</f>
        <v>show</v>
      </c>
      <c r="H5473" t="str">
        <f>HYPERLINK("https://github.com/valkriaine/Factor_Launcher_Reboot/releases", "show")</f>
        <v>show</v>
      </c>
      <c r="I5473">
        <v>0</v>
      </c>
      <c r="J5473">
        <v>0</v>
      </c>
      <c r="K5473">
        <v>0</v>
      </c>
      <c r="L5473">
        <v>0</v>
      </c>
      <c r="M5473" t="s">
        <v>43</v>
      </c>
    </row>
    <row r="5474" spans="1:13" hidden="1" x14ac:dyDescent="0.15">
      <c r="A5474" t="s">
        <v>17257</v>
      </c>
      <c r="B5474" t="s">
        <v>17258</v>
      </c>
      <c r="C5474" t="s">
        <v>17259</v>
      </c>
      <c r="D5474" t="s">
        <v>17256</v>
      </c>
      <c r="E5474">
        <v>84</v>
      </c>
      <c r="F5474" t="str">
        <f>HYPERLINK("https://github.com/nextcloud/android/issues/7837", "show")</f>
        <v>show</v>
      </c>
      <c r="G5474" t="str">
        <f>HYPERLINK("https://github.com/nextcloud/android", "show")</f>
        <v>show</v>
      </c>
      <c r="H5474" t="str">
        <f>HYPERLINK("https://github.com/nextcloud/android/releases", "show")</f>
        <v>show</v>
      </c>
      <c r="I5474">
        <v>1</v>
      </c>
      <c r="J5474">
        <v>1</v>
      </c>
      <c r="K5474">
        <v>1</v>
      </c>
      <c r="L5474">
        <v>0</v>
      </c>
      <c r="M5474" t="s">
        <v>59</v>
      </c>
    </row>
    <row r="5475" spans="1:13" hidden="1" x14ac:dyDescent="0.15">
      <c r="A5475" t="s">
        <v>17260</v>
      </c>
      <c r="B5475" t="s">
        <v>17261</v>
      </c>
      <c r="C5475" t="s">
        <v>17262</v>
      </c>
      <c r="D5475" t="s">
        <v>17256</v>
      </c>
      <c r="E5475">
        <v>18</v>
      </c>
      <c r="F5475" t="str">
        <f>HYPERLINK("https://github.com/MuntashirAkon/AppManager/issues/224", "show")</f>
        <v>show</v>
      </c>
      <c r="G5475" t="str">
        <f>HYPERLINK("https://github.com/MuntashirAkon/AppManager", "show")</f>
        <v>show</v>
      </c>
      <c r="H5475" t="str">
        <f>HYPERLINK("https://github.com/MuntashirAkon/AppManager/releases", "show")</f>
        <v>show</v>
      </c>
      <c r="I5475">
        <v>1</v>
      </c>
      <c r="J5475">
        <v>1</v>
      </c>
      <c r="K5475">
        <v>1</v>
      </c>
      <c r="L5475">
        <v>0</v>
      </c>
      <c r="M5475" t="s">
        <v>59</v>
      </c>
    </row>
    <row r="5476" spans="1:13" hidden="1" x14ac:dyDescent="0.15">
      <c r="A5476" t="s">
        <v>17263</v>
      </c>
      <c r="B5476" t="s">
        <v>17264</v>
      </c>
      <c r="C5476" t="s">
        <v>17265</v>
      </c>
      <c r="D5476" t="s">
        <v>17256</v>
      </c>
      <c r="E5476">
        <v>0</v>
      </c>
      <c r="F5476" t="str">
        <f>HYPERLINK("https://github.com/Anuken/Mindustry/issues/4325", "show")</f>
        <v>show</v>
      </c>
      <c r="G5476" t="str">
        <f>HYPERLINK("https://github.com/Anuken/Mindustry", "show")</f>
        <v>show</v>
      </c>
      <c r="H5476" t="str">
        <f>HYPERLINK("https://github.com/Anuken/Mindustry/releases", "show")</f>
        <v>show</v>
      </c>
      <c r="I5476">
        <v>1</v>
      </c>
      <c r="J5476">
        <v>1</v>
      </c>
      <c r="K5476">
        <v>0</v>
      </c>
      <c r="L5476">
        <v>0</v>
      </c>
      <c r="M5476" t="s">
        <v>48</v>
      </c>
    </row>
    <row r="5477" spans="1:13" hidden="1" x14ac:dyDescent="0.15">
      <c r="A5477" t="s">
        <v>17266</v>
      </c>
      <c r="B5477" t="s">
        <v>17267</v>
      </c>
      <c r="C5477" t="s">
        <v>17268</v>
      </c>
      <c r="D5477" t="s">
        <v>17256</v>
      </c>
      <c r="E5477">
        <v>373</v>
      </c>
      <c r="F5477" t="str">
        <f>HYPERLINK("https://github.com/rafaco/InAppDevTools/issues/14", "show")</f>
        <v>show</v>
      </c>
      <c r="G5477" t="str">
        <f>HYPERLINK("https://github.com/rafaco/InAppDevTools", "show")</f>
        <v>show</v>
      </c>
      <c r="H5477" t="str">
        <f>HYPERLINK("https://github.com/rafaco/InAppDevTools/releases", "show")</f>
        <v>show</v>
      </c>
      <c r="I5477">
        <v>0</v>
      </c>
      <c r="J5477">
        <v>0</v>
      </c>
      <c r="K5477">
        <v>0</v>
      </c>
      <c r="L5477">
        <v>1</v>
      </c>
      <c r="M5477" t="s">
        <v>581</v>
      </c>
    </row>
    <row r="5478" spans="1:13" hidden="1" x14ac:dyDescent="0.15">
      <c r="A5478" t="s">
        <v>17269</v>
      </c>
      <c r="B5478" t="s">
        <v>141</v>
      </c>
      <c r="C5478" t="s">
        <v>17270</v>
      </c>
      <c r="D5478" t="s">
        <v>17256</v>
      </c>
      <c r="E5478">
        <v>0</v>
      </c>
      <c r="F5478" t="str">
        <f>HYPERLINK("https://github.com/Anuken/Mindustry/issues/4323", "show")</f>
        <v>show</v>
      </c>
      <c r="G5478" t="str">
        <f>HYPERLINK("https://github.com/Anuken/Mindustry", "show")</f>
        <v>show</v>
      </c>
      <c r="H5478" t="str">
        <f>HYPERLINK("https://github.com/Anuken/Mindustry/releases", "show")</f>
        <v>show</v>
      </c>
      <c r="I5478">
        <v>0</v>
      </c>
      <c r="J5478">
        <v>0</v>
      </c>
      <c r="K5478">
        <v>1</v>
      </c>
      <c r="L5478">
        <v>0</v>
      </c>
      <c r="M5478" t="s">
        <v>122</v>
      </c>
    </row>
    <row r="5479" spans="1:13" hidden="1" x14ac:dyDescent="0.15">
      <c r="A5479" t="s">
        <v>17271</v>
      </c>
      <c r="B5479" t="s">
        <v>17272</v>
      </c>
      <c r="C5479" t="s">
        <v>17273</v>
      </c>
      <c r="D5479" t="s">
        <v>17274</v>
      </c>
      <c r="E5479">
        <v>0</v>
      </c>
      <c r="F5479" t="str">
        <f>HYPERLINK("https://github.com/Anuken/Mindustry/issues/4321", "show")</f>
        <v>show</v>
      </c>
      <c r="G5479" t="str">
        <f>HYPERLINK("https://github.com/Anuken/Mindustry", "show")</f>
        <v>show</v>
      </c>
      <c r="H5479" t="str">
        <f>HYPERLINK("https://github.com/Anuken/Mindustry/releases", "show")</f>
        <v>show</v>
      </c>
      <c r="I5479">
        <v>1</v>
      </c>
      <c r="J5479">
        <v>1</v>
      </c>
      <c r="K5479">
        <v>0</v>
      </c>
      <c r="L5479">
        <v>0</v>
      </c>
      <c r="M5479" t="s">
        <v>48</v>
      </c>
    </row>
    <row r="5480" spans="1:13" hidden="1" x14ac:dyDescent="0.15">
      <c r="A5480" t="s">
        <v>17275</v>
      </c>
      <c r="B5480" t="s">
        <v>17276</v>
      </c>
      <c r="C5480" t="s">
        <v>17277</v>
      </c>
      <c r="D5480" t="s">
        <v>17274</v>
      </c>
      <c r="E5480">
        <v>1</v>
      </c>
      <c r="F5480" t="str">
        <f>HYPERLINK("https://github.com/TeamNewPipe/NewPipe/issues/5406", "show")</f>
        <v>show</v>
      </c>
      <c r="G5480" t="str">
        <f>HYPERLINK("https://github.com/TeamNewPipe/NewPipe", "show")</f>
        <v>show</v>
      </c>
      <c r="H5480" t="str">
        <f>HYPERLINK("https://github.com/TeamNewPipe/NewPipe/releases", "show")</f>
        <v>show</v>
      </c>
      <c r="I5480">
        <v>1</v>
      </c>
      <c r="J5480">
        <v>1</v>
      </c>
      <c r="K5480">
        <v>1</v>
      </c>
      <c r="L5480">
        <v>0</v>
      </c>
      <c r="M5480" t="s">
        <v>59</v>
      </c>
    </row>
    <row r="5481" spans="1:13" hidden="1" x14ac:dyDescent="0.15">
      <c r="A5481" t="s">
        <v>17278</v>
      </c>
      <c r="B5481" t="s">
        <v>17279</v>
      </c>
      <c r="C5481" t="s">
        <v>17280</v>
      </c>
      <c r="D5481" t="s">
        <v>17274</v>
      </c>
      <c r="E5481">
        <v>0</v>
      </c>
      <c r="F5481" t="str">
        <f>HYPERLINK("https://github.com/Anuken/Mindustry/issues/4320", "show")</f>
        <v>show</v>
      </c>
      <c r="G5481" t="str">
        <f>HYPERLINK("https://github.com/Anuken/Mindustry", "show")</f>
        <v>show</v>
      </c>
      <c r="H5481" t="str">
        <f>HYPERLINK("https://github.com/Anuken/Mindustry/releases", "show")</f>
        <v>show</v>
      </c>
      <c r="I5481">
        <v>1</v>
      </c>
      <c r="J5481">
        <v>0</v>
      </c>
      <c r="K5481">
        <v>1</v>
      </c>
      <c r="L5481">
        <v>0</v>
      </c>
      <c r="M5481" t="s">
        <v>64</v>
      </c>
    </row>
    <row r="5482" spans="1:13" x14ac:dyDescent="0.15">
      <c r="A5482" t="s">
        <v>17281</v>
      </c>
      <c r="B5482" t="s">
        <v>17282</v>
      </c>
      <c r="C5482" t="s">
        <v>17283</v>
      </c>
      <c r="D5482" t="s">
        <v>17274</v>
      </c>
      <c r="E5482">
        <v>0</v>
      </c>
      <c r="F5482" t="str">
        <f>HYPERLINK("https://github.com/PojavLauncherTeam/PojavLauncher/issues/609", "show")</f>
        <v>show</v>
      </c>
      <c r="G5482" t="str">
        <f>HYPERLINK("https://github.com/PojavLauncherTeam/PojavLauncher", "show")</f>
        <v>show</v>
      </c>
      <c r="H5482" t="str">
        <f>HYPERLINK("https://github.com/PojavLauncherTeam/PojavLauncher/releases", "show")</f>
        <v>show</v>
      </c>
      <c r="I5482">
        <v>0</v>
      </c>
      <c r="J5482">
        <v>1</v>
      </c>
      <c r="K5482">
        <v>0</v>
      </c>
      <c r="L5482">
        <v>0</v>
      </c>
      <c r="M5482" t="s">
        <v>139</v>
      </c>
    </row>
    <row r="5483" spans="1:13" hidden="1" x14ac:dyDescent="0.15">
      <c r="A5483" t="s">
        <v>17284</v>
      </c>
      <c r="B5483" t="s">
        <v>17285</v>
      </c>
      <c r="C5483" t="s">
        <v>17286</v>
      </c>
      <c r="D5483" t="s">
        <v>17274</v>
      </c>
      <c r="E5483">
        <v>0</v>
      </c>
      <c r="F5483" t="str">
        <f>HYPERLINK("https://github.com/Anuken/Mindustry/issues/4319", "show")</f>
        <v>show</v>
      </c>
      <c r="G5483" t="str">
        <f>HYPERLINK("https://github.com/Anuken/Mindustry", "show")</f>
        <v>show</v>
      </c>
      <c r="H5483" t="str">
        <f>HYPERLINK("https://github.com/Anuken/Mindustry/releases", "show")</f>
        <v>show</v>
      </c>
      <c r="I5483">
        <v>1</v>
      </c>
      <c r="J5483">
        <v>1</v>
      </c>
      <c r="K5483">
        <v>0</v>
      </c>
      <c r="L5483">
        <v>0</v>
      </c>
      <c r="M5483" t="s">
        <v>48</v>
      </c>
    </row>
    <row r="5484" spans="1:13" hidden="1" x14ac:dyDescent="0.15">
      <c r="A5484" t="s">
        <v>17287</v>
      </c>
      <c r="B5484" t="s">
        <v>17288</v>
      </c>
      <c r="C5484" t="s">
        <v>17289</v>
      </c>
      <c r="D5484" t="s">
        <v>17274</v>
      </c>
      <c r="E5484">
        <v>213</v>
      </c>
      <c r="F5484" t="str">
        <f>HYPERLINK("https://github.com/PojavLauncherTeam/PojavLauncher/issues/606", "show")</f>
        <v>show</v>
      </c>
      <c r="G5484" t="str">
        <f>HYPERLINK("https://github.com/PojavLauncherTeam/PojavLauncher", "show")</f>
        <v>show</v>
      </c>
      <c r="H5484" t="str">
        <f>HYPERLINK("https://github.com/PojavLauncherTeam/PojavLauncher/releases", "show")</f>
        <v>show</v>
      </c>
      <c r="I5484">
        <v>1</v>
      </c>
      <c r="J5484">
        <v>0</v>
      </c>
      <c r="K5484">
        <v>0</v>
      </c>
      <c r="L5484">
        <v>0</v>
      </c>
      <c r="M5484" t="s">
        <v>17</v>
      </c>
    </row>
    <row r="5485" spans="1:13" hidden="1" x14ac:dyDescent="0.15">
      <c r="A5485" t="s">
        <v>17290</v>
      </c>
      <c r="B5485" t="s">
        <v>17291</v>
      </c>
      <c r="C5485" t="s">
        <v>17292</v>
      </c>
      <c r="D5485" t="s">
        <v>17274</v>
      </c>
      <c r="E5485">
        <v>0</v>
      </c>
      <c r="F5485" t="str">
        <f>HYPERLINK("https://github.com/Anuken/Mindustry/issues/4318", "show")</f>
        <v>show</v>
      </c>
      <c r="G5485" t="str">
        <f>HYPERLINK("https://github.com/Anuken/Mindustry", "show")</f>
        <v>show</v>
      </c>
      <c r="H5485" t="str">
        <f>HYPERLINK("https://github.com/Anuken/Mindustry/releases", "show")</f>
        <v>show</v>
      </c>
      <c r="I5485">
        <v>1</v>
      </c>
      <c r="J5485">
        <v>1</v>
      </c>
      <c r="K5485">
        <v>0</v>
      </c>
      <c r="L5485">
        <v>0</v>
      </c>
      <c r="M5485" t="s">
        <v>48</v>
      </c>
    </row>
    <row r="5486" spans="1:13" hidden="1" x14ac:dyDescent="0.15">
      <c r="A5486" t="s">
        <v>17293</v>
      </c>
      <c r="B5486" t="s">
        <v>17294</v>
      </c>
      <c r="C5486" t="s">
        <v>17295</v>
      </c>
      <c r="D5486" t="s">
        <v>17296</v>
      </c>
      <c r="E5486">
        <v>55</v>
      </c>
      <c r="F5486" t="str">
        <f>HYPERLINK("https://github.com/nextcloud/android/issues/7816", "show")</f>
        <v>show</v>
      </c>
      <c r="G5486" t="str">
        <f>HYPERLINK("https://github.com/nextcloud/android", "show")</f>
        <v>show</v>
      </c>
      <c r="H5486" t="str">
        <f>HYPERLINK("https://github.com/nextcloud/android/releases", "show")</f>
        <v>show</v>
      </c>
      <c r="I5486">
        <v>1</v>
      </c>
      <c r="J5486">
        <v>1</v>
      </c>
      <c r="K5486">
        <v>1</v>
      </c>
      <c r="L5486">
        <v>0</v>
      </c>
      <c r="M5486" t="s">
        <v>59</v>
      </c>
    </row>
    <row r="5487" spans="1:13" hidden="1" x14ac:dyDescent="0.15">
      <c r="A5487" t="s">
        <v>17297</v>
      </c>
      <c r="B5487" t="s">
        <v>17298</v>
      </c>
      <c r="C5487" t="s">
        <v>17299</v>
      </c>
      <c r="D5487" t="s">
        <v>17296</v>
      </c>
      <c r="E5487">
        <v>0</v>
      </c>
      <c r="F5487" t="str">
        <f>HYPERLINK("https://github.com/Anuken/Mindustry/issues/4316", "show")</f>
        <v>show</v>
      </c>
      <c r="G5487" t="str">
        <f>HYPERLINK("https://github.com/Anuken/Mindustry", "show")</f>
        <v>show</v>
      </c>
      <c r="H5487" t="str">
        <f>HYPERLINK("https://github.com/Anuken/Mindustry/releases", "show")</f>
        <v>show</v>
      </c>
      <c r="I5487">
        <v>1</v>
      </c>
      <c r="J5487">
        <v>1</v>
      </c>
      <c r="K5487">
        <v>0</v>
      </c>
      <c r="L5487">
        <v>0</v>
      </c>
      <c r="M5487" t="s">
        <v>48</v>
      </c>
    </row>
    <row r="5488" spans="1:13" hidden="1" x14ac:dyDescent="0.15">
      <c r="A5488" t="s">
        <v>17300</v>
      </c>
      <c r="B5488" t="s">
        <v>17301</v>
      </c>
      <c r="C5488" t="s">
        <v>17302</v>
      </c>
      <c r="D5488" t="s">
        <v>17296</v>
      </c>
      <c r="E5488">
        <v>5</v>
      </c>
      <c r="F5488" t="str">
        <f>HYPERLINK("https://github.com/cgeo/cgeo/issues/9789", "show")</f>
        <v>show</v>
      </c>
      <c r="G5488" t="str">
        <f>HYPERLINK("https://github.com/cgeo/cgeo", "show")</f>
        <v>show</v>
      </c>
      <c r="H5488" t="str">
        <f>HYPERLINK("https://github.com/cgeo/cgeo/releases", "show")</f>
        <v>show</v>
      </c>
      <c r="I5488">
        <v>1</v>
      </c>
      <c r="J5488">
        <v>1</v>
      </c>
      <c r="K5488">
        <v>1</v>
      </c>
      <c r="L5488">
        <v>0</v>
      </c>
      <c r="M5488" t="s">
        <v>59</v>
      </c>
    </row>
    <row r="5489" spans="1:13" hidden="1" x14ac:dyDescent="0.15">
      <c r="A5489" t="s">
        <v>17303</v>
      </c>
      <c r="B5489" t="s">
        <v>17304</v>
      </c>
      <c r="D5489" t="s">
        <v>17296</v>
      </c>
      <c r="E5489">
        <v>4</v>
      </c>
      <c r="F5489" t="str">
        <f>HYPERLINK("https://github.com/kammt/SecretHitlerMobileCompanion/issues/22", "show")</f>
        <v>show</v>
      </c>
      <c r="G5489" t="str">
        <f>HYPERLINK("https://github.com/kammt/SecretHitlerMobileCompanion", "show")</f>
        <v>show</v>
      </c>
      <c r="H5489" t="str">
        <f>HYPERLINK("https://github.com/kammt/SecretHitlerMobileCompanion/releases", "show")</f>
        <v>show</v>
      </c>
      <c r="I5489">
        <v>0</v>
      </c>
      <c r="J5489">
        <v>0</v>
      </c>
      <c r="K5489">
        <v>0</v>
      </c>
      <c r="L5489">
        <v>0</v>
      </c>
      <c r="M5489" t="s">
        <v>43</v>
      </c>
    </row>
    <row r="5490" spans="1:13" hidden="1" x14ac:dyDescent="0.15">
      <c r="A5490" t="s">
        <v>17305</v>
      </c>
      <c r="B5490" t="s">
        <v>17306</v>
      </c>
      <c r="C5490" t="s">
        <v>17307</v>
      </c>
      <c r="D5490" t="s">
        <v>17296</v>
      </c>
      <c r="E5490">
        <v>7</v>
      </c>
      <c r="F5490" t="str">
        <f>HYPERLINK("https://github.com/Ninjaman494/Hanji-Android-App/issues/51", "show")</f>
        <v>show</v>
      </c>
      <c r="G5490" t="str">
        <f>HYPERLINK("https://github.com/Ninjaman494/Hanji-Android-App", "show")</f>
        <v>show</v>
      </c>
      <c r="H5490" t="str">
        <f>HYPERLINK("https://github.com/Ninjaman494/Hanji-Android-App/releases", "show")</f>
        <v>show</v>
      </c>
      <c r="I5490">
        <v>1</v>
      </c>
      <c r="J5490">
        <v>0</v>
      </c>
      <c r="K5490">
        <v>0</v>
      </c>
      <c r="L5490">
        <v>0</v>
      </c>
      <c r="M5490" t="s">
        <v>17</v>
      </c>
    </row>
    <row r="5491" spans="1:13" hidden="1" x14ac:dyDescent="0.15">
      <c r="A5491" t="s">
        <v>17308</v>
      </c>
      <c r="B5491" t="s">
        <v>17309</v>
      </c>
      <c r="C5491" t="s">
        <v>17310</v>
      </c>
      <c r="D5491" t="s">
        <v>17296</v>
      </c>
      <c r="E5491">
        <v>22</v>
      </c>
      <c r="F5491" t="str">
        <f>HYPERLINK("https://github.com/MuntashirAkon/AppManager/issues/223", "show")</f>
        <v>show</v>
      </c>
      <c r="G5491" t="str">
        <f>HYPERLINK("https://github.com/MuntashirAkon/AppManager", "show")</f>
        <v>show</v>
      </c>
      <c r="H5491" t="str">
        <f>HYPERLINK("https://github.com/MuntashirAkon/AppManager/releases", "show")</f>
        <v>show</v>
      </c>
      <c r="I5491">
        <v>1</v>
      </c>
      <c r="J5491">
        <v>0</v>
      </c>
      <c r="K5491">
        <v>0</v>
      </c>
      <c r="L5491">
        <v>0</v>
      </c>
      <c r="M5491" t="s">
        <v>17</v>
      </c>
    </row>
    <row r="5492" spans="1:13" hidden="1" x14ac:dyDescent="0.15">
      <c r="A5492" t="s">
        <v>17311</v>
      </c>
      <c r="B5492" t="s">
        <v>17312</v>
      </c>
      <c r="C5492" t="s">
        <v>17313</v>
      </c>
      <c r="D5492" t="s">
        <v>17314</v>
      </c>
      <c r="E5492">
        <v>7</v>
      </c>
      <c r="F5492" t="str">
        <f>HYPERLINK("https://github.com/nextcloud/android/issues/7812", "show")</f>
        <v>show</v>
      </c>
      <c r="G5492" t="str">
        <f>HYPERLINK("https://github.com/nextcloud/android", "show")</f>
        <v>show</v>
      </c>
      <c r="H5492" t="str">
        <f>HYPERLINK("https://github.com/nextcloud/android/releases", "show")</f>
        <v>show</v>
      </c>
      <c r="I5492">
        <v>1</v>
      </c>
      <c r="J5492">
        <v>0</v>
      </c>
      <c r="K5492">
        <v>1</v>
      </c>
      <c r="L5492">
        <v>0</v>
      </c>
      <c r="M5492" t="s">
        <v>64</v>
      </c>
    </row>
    <row r="5493" spans="1:13" hidden="1" x14ac:dyDescent="0.15">
      <c r="A5493" t="s">
        <v>17315</v>
      </c>
      <c r="B5493" t="s">
        <v>17316</v>
      </c>
      <c r="C5493" t="s">
        <v>17317</v>
      </c>
      <c r="D5493" t="s">
        <v>17314</v>
      </c>
      <c r="E5493">
        <v>7</v>
      </c>
      <c r="F5493" t="str">
        <f>HYPERLINK("https://github.com/cgeo/cgeo/issues/9784", "show")</f>
        <v>show</v>
      </c>
      <c r="G5493" t="str">
        <f>HYPERLINK("https://github.com/cgeo/cgeo", "show")</f>
        <v>show</v>
      </c>
      <c r="H5493" t="str">
        <f>HYPERLINK("https://github.com/cgeo/cgeo/releases", "show")</f>
        <v>show</v>
      </c>
      <c r="I5493">
        <v>1</v>
      </c>
      <c r="J5493">
        <v>0</v>
      </c>
      <c r="K5493">
        <v>0</v>
      </c>
      <c r="L5493">
        <v>0</v>
      </c>
      <c r="M5493" t="s">
        <v>17</v>
      </c>
    </row>
    <row r="5494" spans="1:13" hidden="1" x14ac:dyDescent="0.15">
      <c r="A5494" t="s">
        <v>17318</v>
      </c>
      <c r="B5494" t="s">
        <v>17282</v>
      </c>
      <c r="C5494" t="s">
        <v>17319</v>
      </c>
      <c r="D5494" t="s">
        <v>17314</v>
      </c>
      <c r="E5494">
        <v>1</v>
      </c>
      <c r="F5494" t="str">
        <f>HYPERLINK("https://github.com/PojavLauncherTeam/PojavLauncher/issues/596", "show")</f>
        <v>show</v>
      </c>
      <c r="G5494" t="str">
        <f>HYPERLINK("https://github.com/PojavLauncherTeam/PojavLauncher", "show")</f>
        <v>show</v>
      </c>
      <c r="H5494" t="str">
        <f>HYPERLINK("https://github.com/PojavLauncherTeam/PojavLauncher/releases", "show")</f>
        <v>show</v>
      </c>
      <c r="I5494">
        <v>1</v>
      </c>
      <c r="J5494">
        <v>1</v>
      </c>
      <c r="K5494">
        <v>0</v>
      </c>
      <c r="L5494">
        <v>0</v>
      </c>
      <c r="M5494" t="s">
        <v>48</v>
      </c>
    </row>
    <row r="5495" spans="1:13" hidden="1" x14ac:dyDescent="0.15">
      <c r="A5495" t="s">
        <v>17320</v>
      </c>
      <c r="B5495" t="s">
        <v>17321</v>
      </c>
      <c r="C5495" t="s">
        <v>17322</v>
      </c>
      <c r="D5495" t="s">
        <v>17314</v>
      </c>
      <c r="E5495">
        <v>1</v>
      </c>
      <c r="F5495" t="str">
        <f>HYPERLINK("https://github.com/SkyTubeTeam/SkyTube/issues/885", "show")</f>
        <v>show</v>
      </c>
      <c r="G5495" t="str">
        <f>HYPERLINK("https://github.com/SkyTubeTeam/SkyTube", "show")</f>
        <v>show</v>
      </c>
      <c r="H5495" t="str">
        <f>HYPERLINK("https://github.com/SkyTubeTeam/SkyTube/releases", "show")</f>
        <v>show</v>
      </c>
      <c r="I5495">
        <v>1</v>
      </c>
      <c r="J5495">
        <v>0</v>
      </c>
      <c r="K5495">
        <v>1</v>
      </c>
      <c r="L5495">
        <v>0</v>
      </c>
      <c r="M5495" t="s">
        <v>64</v>
      </c>
    </row>
    <row r="5496" spans="1:13" hidden="1" x14ac:dyDescent="0.15">
      <c r="A5496" t="s">
        <v>17323</v>
      </c>
      <c r="B5496" t="s">
        <v>17324</v>
      </c>
      <c r="C5496" t="s">
        <v>17325</v>
      </c>
      <c r="D5496" t="s">
        <v>17314</v>
      </c>
      <c r="E5496">
        <v>0</v>
      </c>
      <c r="F5496" t="str">
        <f>HYPERLINK("https://github.com/NSU-FA20-CSE299-3/Group01/issues/30", "show")</f>
        <v>show</v>
      </c>
      <c r="G5496" t="str">
        <f>HYPERLINK("https://github.com/NSU-FA20-CSE299-3/Group01", "show")</f>
        <v>show</v>
      </c>
      <c r="H5496" t="str">
        <f>HYPERLINK("https://github.com/NSU-FA20-CSE299-3/Group01/releases", "show")</f>
        <v>show</v>
      </c>
      <c r="I5496">
        <v>0</v>
      </c>
      <c r="J5496">
        <v>0</v>
      </c>
      <c r="K5496">
        <v>0</v>
      </c>
      <c r="L5496">
        <v>0</v>
      </c>
      <c r="M5496" t="s">
        <v>43</v>
      </c>
    </row>
    <row r="5497" spans="1:13" hidden="1" x14ac:dyDescent="0.15">
      <c r="A5497" t="s">
        <v>17326</v>
      </c>
      <c r="B5497" t="s">
        <v>17327</v>
      </c>
      <c r="C5497" t="s">
        <v>17328</v>
      </c>
      <c r="D5497" t="s">
        <v>17314</v>
      </c>
      <c r="E5497">
        <v>79</v>
      </c>
      <c r="F5497" t="str">
        <f>HYPERLINK("https://github.com/tchapgouv/tchap-android-legacy/issues/694", "show")</f>
        <v>show</v>
      </c>
      <c r="G5497" t="str">
        <f>HYPERLINK("https://github.com/tchapgouv/tchap-android-legacy", "show")</f>
        <v>show</v>
      </c>
      <c r="H5497" t="str">
        <f>HYPERLINK("https://github.com/tchapgouv/tchap-android-legacy/releases", "show")</f>
        <v>show</v>
      </c>
      <c r="I5497">
        <v>1</v>
      </c>
      <c r="J5497">
        <v>0</v>
      </c>
      <c r="K5497">
        <v>1</v>
      </c>
      <c r="L5497">
        <v>0</v>
      </c>
      <c r="M5497" t="s">
        <v>64</v>
      </c>
    </row>
    <row r="5498" spans="1:13" hidden="1" x14ac:dyDescent="0.15">
      <c r="A5498" t="s">
        <v>17329</v>
      </c>
      <c r="B5498" t="s">
        <v>17330</v>
      </c>
      <c r="C5498" t="s">
        <v>17331</v>
      </c>
      <c r="D5498" t="s">
        <v>17314</v>
      </c>
      <c r="E5498">
        <v>15</v>
      </c>
      <c r="F5498" t="str">
        <f>HYPERLINK("https://github.com/AOF-Dev/MCinaBox/issues/820", "show")</f>
        <v>show</v>
      </c>
      <c r="G5498" t="str">
        <f>HYPERLINK("https://github.com/AOF-Dev/MCinaBox", "show")</f>
        <v>show</v>
      </c>
      <c r="H5498" t="str">
        <f>HYPERLINK("https://github.com/AOF-Dev/MCinaBox/releases", "show")</f>
        <v>show</v>
      </c>
      <c r="I5498">
        <v>1</v>
      </c>
      <c r="J5498">
        <v>0</v>
      </c>
      <c r="K5498">
        <v>0</v>
      </c>
      <c r="L5498">
        <v>0</v>
      </c>
      <c r="M5498" t="s">
        <v>17</v>
      </c>
    </row>
    <row r="5499" spans="1:13" hidden="1" x14ac:dyDescent="0.15">
      <c r="A5499" t="s">
        <v>17332</v>
      </c>
      <c r="B5499" t="s">
        <v>17333</v>
      </c>
      <c r="C5499" t="s">
        <v>17334</v>
      </c>
      <c r="D5499" t="s">
        <v>17335</v>
      </c>
      <c r="E5499">
        <v>125</v>
      </c>
      <c r="F5499" t="str">
        <f>HYPERLINK("https://github.com/TeamNewPipe/NewPipe/issues/5387", "show")</f>
        <v>show</v>
      </c>
      <c r="G5499" t="str">
        <f>HYPERLINK("https://github.com/TeamNewPipe/NewPipe", "show")</f>
        <v>show</v>
      </c>
      <c r="H5499" t="str">
        <f>HYPERLINK("https://github.com/TeamNewPipe/NewPipe/releases", "show")</f>
        <v>show</v>
      </c>
      <c r="I5499">
        <v>1</v>
      </c>
      <c r="J5499">
        <v>1</v>
      </c>
      <c r="K5499">
        <v>0</v>
      </c>
      <c r="L5499">
        <v>1</v>
      </c>
      <c r="M5499" t="s">
        <v>1894</v>
      </c>
    </row>
    <row r="5500" spans="1:13" hidden="1" x14ac:dyDescent="0.15">
      <c r="A5500" t="s">
        <v>17336</v>
      </c>
      <c r="B5500" t="s">
        <v>17337</v>
      </c>
      <c r="C5500" t="s">
        <v>17338</v>
      </c>
      <c r="D5500" t="s">
        <v>17335</v>
      </c>
      <c r="E5500">
        <v>8</v>
      </c>
      <c r="F5500" t="str">
        <f>HYPERLINK("https://github.com/TeamNewPipe/NewPipe/issues/5382", "show")</f>
        <v>show</v>
      </c>
      <c r="G5500" t="str">
        <f>HYPERLINK("https://github.com/TeamNewPipe/NewPipe", "show")</f>
        <v>show</v>
      </c>
      <c r="H5500" t="str">
        <f>HYPERLINK("https://github.com/TeamNewPipe/NewPipe/releases", "show")</f>
        <v>show</v>
      </c>
      <c r="I5500">
        <v>1</v>
      </c>
      <c r="J5500">
        <v>1</v>
      </c>
      <c r="K5500">
        <v>1</v>
      </c>
      <c r="L5500">
        <v>0</v>
      </c>
      <c r="M5500" t="s">
        <v>59</v>
      </c>
    </row>
    <row r="5501" spans="1:13" hidden="1" x14ac:dyDescent="0.15">
      <c r="A5501" t="s">
        <v>17339</v>
      </c>
      <c r="B5501" t="s">
        <v>17340</v>
      </c>
      <c r="C5501" t="s">
        <v>17341</v>
      </c>
      <c r="D5501" t="s">
        <v>17335</v>
      </c>
      <c r="E5501">
        <v>67</v>
      </c>
      <c r="F5501" t="str">
        <f>HYPERLINK("https://github.com/nextcloud/android/issues/7803", "show")</f>
        <v>show</v>
      </c>
      <c r="G5501" t="str">
        <f>HYPERLINK("https://github.com/nextcloud/android", "show")</f>
        <v>show</v>
      </c>
      <c r="H5501" t="str">
        <f>HYPERLINK("https://github.com/nextcloud/android/releases", "show")</f>
        <v>show</v>
      </c>
      <c r="I5501">
        <v>0</v>
      </c>
      <c r="J5501">
        <v>0</v>
      </c>
      <c r="K5501">
        <v>0</v>
      </c>
      <c r="L5501">
        <v>0</v>
      </c>
      <c r="M5501" t="s">
        <v>43</v>
      </c>
    </row>
    <row r="5502" spans="1:13" hidden="1" x14ac:dyDescent="0.15">
      <c r="A5502" t="s">
        <v>17342</v>
      </c>
      <c r="B5502" t="s">
        <v>17343</v>
      </c>
      <c r="C5502" t="s">
        <v>17344</v>
      </c>
      <c r="D5502" t="s">
        <v>17335</v>
      </c>
      <c r="E5502">
        <v>191</v>
      </c>
      <c r="F5502" t="str">
        <f>HYPERLINK("https://github.com/nextcloud/android/issues/7802", "show")</f>
        <v>show</v>
      </c>
      <c r="G5502" t="str">
        <f>HYPERLINK("https://github.com/nextcloud/android", "show")</f>
        <v>show</v>
      </c>
      <c r="H5502" t="str">
        <f>HYPERLINK("https://github.com/nextcloud/android/releases", "show")</f>
        <v>show</v>
      </c>
      <c r="I5502">
        <v>0</v>
      </c>
      <c r="J5502">
        <v>1</v>
      </c>
      <c r="K5502">
        <v>1</v>
      </c>
      <c r="L5502">
        <v>0</v>
      </c>
      <c r="M5502" t="s">
        <v>699</v>
      </c>
    </row>
    <row r="5503" spans="1:13" hidden="1" x14ac:dyDescent="0.15">
      <c r="A5503" t="s">
        <v>17345</v>
      </c>
      <c r="B5503" t="s">
        <v>17346</v>
      </c>
      <c r="C5503" t="s">
        <v>11582</v>
      </c>
      <c r="D5503" t="s">
        <v>17335</v>
      </c>
      <c r="E5503">
        <v>25</v>
      </c>
      <c r="F5503" t="str">
        <f>HYPERLINK("https://github.com/nextcloud/android/issues/7801", "show")</f>
        <v>show</v>
      </c>
      <c r="G5503" t="str">
        <f>HYPERLINK("https://github.com/nextcloud/android", "show")</f>
        <v>show</v>
      </c>
      <c r="H5503" t="str">
        <f>HYPERLINK("https://github.com/nextcloud/android/releases", "show")</f>
        <v>show</v>
      </c>
      <c r="I5503">
        <v>1</v>
      </c>
      <c r="J5503">
        <v>1</v>
      </c>
      <c r="K5503">
        <v>0</v>
      </c>
      <c r="L5503">
        <v>0</v>
      </c>
      <c r="M5503" t="s">
        <v>48</v>
      </c>
    </row>
    <row r="5504" spans="1:13" hidden="1" x14ac:dyDescent="0.15">
      <c r="A5504" t="s">
        <v>17347</v>
      </c>
      <c r="B5504" t="s">
        <v>14589</v>
      </c>
      <c r="C5504" t="s">
        <v>17348</v>
      </c>
      <c r="D5504" t="s">
        <v>17349</v>
      </c>
      <c r="E5504">
        <v>0</v>
      </c>
      <c r="F5504" t="str">
        <f>HYPERLINK("https://github.com/Anuken/Mindustry/issues/4296", "show")</f>
        <v>show</v>
      </c>
      <c r="G5504" t="str">
        <f>HYPERLINK("https://github.com/Anuken/Mindustry", "show")</f>
        <v>show</v>
      </c>
      <c r="H5504" t="str">
        <f>HYPERLINK("https://github.com/Anuken/Mindustry/releases", "show")</f>
        <v>show</v>
      </c>
      <c r="I5504">
        <v>1</v>
      </c>
      <c r="J5504">
        <v>0</v>
      </c>
      <c r="K5504">
        <v>0</v>
      </c>
      <c r="L5504">
        <v>0</v>
      </c>
      <c r="M5504" t="s">
        <v>17</v>
      </c>
    </row>
    <row r="5505" spans="1:13" hidden="1" x14ac:dyDescent="0.15">
      <c r="A5505" t="s">
        <v>17350</v>
      </c>
      <c r="B5505" t="s">
        <v>17351</v>
      </c>
      <c r="C5505" t="s">
        <v>17352</v>
      </c>
      <c r="D5505" t="s">
        <v>17349</v>
      </c>
      <c r="E5505">
        <v>0</v>
      </c>
      <c r="F5505" t="str">
        <f>HYPERLINK("https://github.com/Anuken/Mindustry/issues/4293", "show")</f>
        <v>show</v>
      </c>
      <c r="G5505" t="str">
        <f>HYPERLINK("https://github.com/Anuken/Mindustry", "show")</f>
        <v>show</v>
      </c>
      <c r="H5505" t="str">
        <f>HYPERLINK("https://github.com/Anuken/Mindustry/releases", "show")</f>
        <v>show</v>
      </c>
      <c r="I5505">
        <v>0</v>
      </c>
      <c r="J5505">
        <v>0</v>
      </c>
      <c r="K5505">
        <v>0</v>
      </c>
      <c r="L5505">
        <v>0</v>
      </c>
      <c r="M5505" t="s">
        <v>43</v>
      </c>
    </row>
    <row r="5506" spans="1:13" hidden="1" x14ac:dyDescent="0.15">
      <c r="A5506" t="s">
        <v>17353</v>
      </c>
      <c r="B5506" t="s">
        <v>17354</v>
      </c>
      <c r="C5506" t="s">
        <v>17355</v>
      </c>
      <c r="D5506" t="s">
        <v>17349</v>
      </c>
      <c r="E5506">
        <v>8</v>
      </c>
      <c r="F5506" t="str">
        <f>HYPERLINK("https://github.com/PojavLauncherTeam/PojavLauncher/issues/583", "show")</f>
        <v>show</v>
      </c>
      <c r="G5506" t="str">
        <f>HYPERLINK("https://github.com/PojavLauncherTeam/PojavLauncher", "show")</f>
        <v>show</v>
      </c>
      <c r="H5506" t="str">
        <f>HYPERLINK("https://github.com/PojavLauncherTeam/PojavLauncher/releases", "show")</f>
        <v>show</v>
      </c>
      <c r="I5506">
        <v>0</v>
      </c>
      <c r="J5506">
        <v>1</v>
      </c>
      <c r="K5506">
        <v>1</v>
      </c>
      <c r="L5506">
        <v>0</v>
      </c>
      <c r="M5506" t="s">
        <v>699</v>
      </c>
    </row>
    <row r="5507" spans="1:13" hidden="1" x14ac:dyDescent="0.15">
      <c r="A5507" t="s">
        <v>17356</v>
      </c>
      <c r="B5507" t="s">
        <v>17357</v>
      </c>
      <c r="C5507" t="s">
        <v>17358</v>
      </c>
      <c r="D5507" t="s">
        <v>17349</v>
      </c>
      <c r="E5507">
        <v>5</v>
      </c>
      <c r="F5507" t="str">
        <f>HYPERLINK("https://github.com/nextcloud/android/issues/7796", "show")</f>
        <v>show</v>
      </c>
      <c r="G5507" t="str">
        <f>HYPERLINK("https://github.com/nextcloud/android", "show")</f>
        <v>show</v>
      </c>
      <c r="H5507" t="str">
        <f>HYPERLINK("https://github.com/nextcloud/android/releases", "show")</f>
        <v>show</v>
      </c>
      <c r="I5507">
        <v>1</v>
      </c>
      <c r="J5507">
        <v>0</v>
      </c>
      <c r="K5507">
        <v>1</v>
      </c>
      <c r="L5507">
        <v>0</v>
      </c>
      <c r="M5507" t="s">
        <v>64</v>
      </c>
    </row>
    <row r="5508" spans="1:13" hidden="1" x14ac:dyDescent="0.15">
      <c r="A5508" t="s">
        <v>17359</v>
      </c>
      <c r="B5508" t="s">
        <v>17360</v>
      </c>
      <c r="C5508" t="s">
        <v>17361</v>
      </c>
      <c r="D5508" t="s">
        <v>17349</v>
      </c>
      <c r="E5508">
        <v>3</v>
      </c>
      <c r="F5508" t="str">
        <f>HYPERLINK("https://github.com/ultrasonic/ultrasonic/issues/371", "show")</f>
        <v>show</v>
      </c>
      <c r="G5508" t="str">
        <f>HYPERLINK("https://github.com/ultrasonic/ultrasonic", "show")</f>
        <v>show</v>
      </c>
      <c r="H5508" t="str">
        <f>HYPERLINK("https://github.com/ultrasonic/ultrasonic/releases", "show")</f>
        <v>show</v>
      </c>
      <c r="I5508">
        <v>1</v>
      </c>
      <c r="J5508">
        <v>1</v>
      </c>
      <c r="K5508">
        <v>0</v>
      </c>
      <c r="L5508">
        <v>0</v>
      </c>
      <c r="M5508" t="s">
        <v>48</v>
      </c>
    </row>
    <row r="5509" spans="1:13" hidden="1" x14ac:dyDescent="0.15">
      <c r="A5509" t="s">
        <v>17362</v>
      </c>
      <c r="B5509" t="s">
        <v>17363</v>
      </c>
      <c r="C5509" t="s">
        <v>17364</v>
      </c>
      <c r="D5509" t="s">
        <v>17365</v>
      </c>
      <c r="E5509">
        <v>3</v>
      </c>
      <c r="F5509" t="str">
        <f>HYPERLINK("https://github.com/PojavLauncherTeam/PojavLauncher/issues/580", "show")</f>
        <v>show</v>
      </c>
      <c r="G5509" t="str">
        <f>HYPERLINK("https://github.com/PojavLauncherTeam/PojavLauncher", "show")</f>
        <v>show</v>
      </c>
      <c r="H5509" t="str">
        <f>HYPERLINK("https://github.com/PojavLauncherTeam/PojavLauncher/releases", "show")</f>
        <v>show</v>
      </c>
      <c r="I5509">
        <v>1</v>
      </c>
      <c r="J5509">
        <v>1</v>
      </c>
      <c r="K5509">
        <v>0</v>
      </c>
      <c r="L5509">
        <v>0</v>
      </c>
      <c r="M5509" t="s">
        <v>48</v>
      </c>
    </row>
    <row r="5510" spans="1:13" hidden="1" x14ac:dyDescent="0.15">
      <c r="A5510" t="s">
        <v>17366</v>
      </c>
      <c r="B5510" t="s">
        <v>17367</v>
      </c>
      <c r="C5510" t="s">
        <v>17368</v>
      </c>
      <c r="D5510" t="s">
        <v>17365</v>
      </c>
      <c r="E5510">
        <v>3</v>
      </c>
      <c r="F5510" t="str">
        <f>HYPERLINK("https://github.com/GoogleCloudPlatform/fda-mystudies/issues/2791", "show")</f>
        <v>show</v>
      </c>
      <c r="G5510" t="str">
        <f>HYPERLINK("https://github.com/GoogleCloudPlatform/fda-mystudies", "show")</f>
        <v>show</v>
      </c>
      <c r="H5510" t="str">
        <f>HYPERLINK("https://github.com/GoogleCloudPlatform/fda-mystudies/releases", "show")</f>
        <v>show</v>
      </c>
      <c r="I5510">
        <v>1</v>
      </c>
      <c r="J5510">
        <v>1</v>
      </c>
      <c r="K5510">
        <v>0</v>
      </c>
      <c r="L5510">
        <v>0</v>
      </c>
      <c r="M5510" t="s">
        <v>48</v>
      </c>
    </row>
    <row r="5511" spans="1:13" hidden="1" x14ac:dyDescent="0.15">
      <c r="A5511" t="s">
        <v>17369</v>
      </c>
      <c r="B5511" t="s">
        <v>17370</v>
      </c>
      <c r="C5511" t="s">
        <v>17371</v>
      </c>
      <c r="D5511" t="s">
        <v>17365</v>
      </c>
      <c r="E5511">
        <v>6</v>
      </c>
      <c r="F5511" t="str">
        <f>HYPERLINK("https://github.com/nextcloud/android/issues/7793", "show")</f>
        <v>show</v>
      </c>
      <c r="G5511" t="str">
        <f>HYPERLINK("https://github.com/nextcloud/android", "show")</f>
        <v>show</v>
      </c>
      <c r="H5511" t="str">
        <f>HYPERLINK("https://github.com/nextcloud/android/releases", "show")</f>
        <v>show</v>
      </c>
      <c r="I5511">
        <v>0</v>
      </c>
      <c r="J5511">
        <v>0</v>
      </c>
      <c r="K5511">
        <v>1</v>
      </c>
      <c r="L5511">
        <v>0</v>
      </c>
      <c r="M5511" t="s">
        <v>122</v>
      </c>
    </row>
    <row r="5512" spans="1:13" hidden="1" x14ac:dyDescent="0.15">
      <c r="A5512" t="s">
        <v>17372</v>
      </c>
      <c r="B5512" t="s">
        <v>17373</v>
      </c>
      <c r="C5512" t="s">
        <v>17374</v>
      </c>
      <c r="D5512" t="s">
        <v>17375</v>
      </c>
      <c r="E5512">
        <v>1</v>
      </c>
      <c r="F5512" t="str">
        <f>HYPERLINK("https://github.com/square/okhttp/issues/6505", "show")</f>
        <v>show</v>
      </c>
      <c r="G5512" t="str">
        <f>HYPERLINK("https://github.com/square/okhttp", "show")</f>
        <v>show</v>
      </c>
      <c r="H5512" t="str">
        <f>HYPERLINK("https://github.com/square/okhttp/releases", "show")</f>
        <v>show</v>
      </c>
      <c r="I5512">
        <v>1</v>
      </c>
      <c r="J5512">
        <v>0</v>
      </c>
      <c r="K5512">
        <v>1</v>
      </c>
      <c r="L5512">
        <v>0</v>
      </c>
      <c r="M5512" t="s">
        <v>64</v>
      </c>
    </row>
    <row r="5513" spans="1:13" hidden="1" x14ac:dyDescent="0.15">
      <c r="A5513" t="s">
        <v>17376</v>
      </c>
      <c r="B5513" t="s">
        <v>17377</v>
      </c>
      <c r="C5513" t="s">
        <v>17378</v>
      </c>
      <c r="D5513" t="s">
        <v>17375</v>
      </c>
      <c r="E5513">
        <v>41</v>
      </c>
      <c r="F5513" t="str">
        <f>HYPERLINK("https://github.com/deepjavalibrary/djl/issues/494", "show")</f>
        <v>show</v>
      </c>
      <c r="G5513" t="str">
        <f>HYPERLINK("https://github.com/deepjavalibrary/djl", "show")</f>
        <v>show</v>
      </c>
      <c r="H5513" t="str">
        <f>HYPERLINK("https://github.com/deepjavalibrary/djl/releases", "show")</f>
        <v>show</v>
      </c>
      <c r="I5513">
        <v>1</v>
      </c>
      <c r="J5513">
        <v>0</v>
      </c>
      <c r="K5513">
        <v>0</v>
      </c>
      <c r="L5513">
        <v>0</v>
      </c>
      <c r="M5513" t="s">
        <v>17</v>
      </c>
    </row>
    <row r="5514" spans="1:13" hidden="1" x14ac:dyDescent="0.15">
      <c r="A5514" t="s">
        <v>17379</v>
      </c>
      <c r="B5514" t="s">
        <v>17380</v>
      </c>
      <c r="C5514" t="s">
        <v>17381</v>
      </c>
      <c r="D5514" t="s">
        <v>17375</v>
      </c>
      <c r="E5514">
        <v>7</v>
      </c>
      <c r="F5514" t="str">
        <f>HYPERLINK("https://github.com/nextcloud/android/issues/7791", "show")</f>
        <v>show</v>
      </c>
      <c r="G5514" t="str">
        <f>HYPERLINK("https://github.com/nextcloud/android", "show")</f>
        <v>show</v>
      </c>
      <c r="H5514" t="str">
        <f>HYPERLINK("https://github.com/nextcloud/android/releases", "show")</f>
        <v>show</v>
      </c>
      <c r="I5514">
        <v>0</v>
      </c>
      <c r="J5514">
        <v>1</v>
      </c>
      <c r="K5514">
        <v>1</v>
      </c>
      <c r="L5514">
        <v>0</v>
      </c>
      <c r="M5514" t="s">
        <v>699</v>
      </c>
    </row>
    <row r="5515" spans="1:13" hidden="1" x14ac:dyDescent="0.15">
      <c r="A5515" t="s">
        <v>17382</v>
      </c>
      <c r="B5515" t="s">
        <v>17383</v>
      </c>
      <c r="D5515" t="s">
        <v>17375</v>
      </c>
      <c r="E5515">
        <v>1</v>
      </c>
      <c r="F5515" t="str">
        <f>HYPERLINK("https://github.com/valkriaine/Factor_Launcher_Reboot/issues/20", "show")</f>
        <v>show</v>
      </c>
      <c r="G5515" t="str">
        <f>HYPERLINK("https://github.com/valkriaine/Factor_Launcher_Reboot", "show")</f>
        <v>show</v>
      </c>
      <c r="H5515" t="str">
        <f>HYPERLINK("https://github.com/valkriaine/Factor_Launcher_Reboot/releases", "show")</f>
        <v>show</v>
      </c>
      <c r="I5515">
        <v>1</v>
      </c>
      <c r="J5515">
        <v>0</v>
      </c>
      <c r="K5515">
        <v>0</v>
      </c>
      <c r="L5515">
        <v>0</v>
      </c>
      <c r="M5515" t="s">
        <v>17</v>
      </c>
    </row>
    <row r="5516" spans="1:13" hidden="1" x14ac:dyDescent="0.15">
      <c r="A5516" t="s">
        <v>17384</v>
      </c>
      <c r="B5516" t="s">
        <v>17385</v>
      </c>
      <c r="C5516" t="s">
        <v>17386</v>
      </c>
      <c r="D5516" t="s">
        <v>17375</v>
      </c>
      <c r="E5516">
        <v>29</v>
      </c>
      <c r="F5516" t="str">
        <f>HYPERLINK("https://github.com/nextcloud/android/issues/7790", "show")</f>
        <v>show</v>
      </c>
      <c r="G5516" t="str">
        <f>HYPERLINK("https://github.com/nextcloud/android", "show")</f>
        <v>show</v>
      </c>
      <c r="H5516" t="str">
        <f>HYPERLINK("https://github.com/nextcloud/android/releases", "show")</f>
        <v>show</v>
      </c>
      <c r="I5516">
        <v>1</v>
      </c>
      <c r="J5516">
        <v>1</v>
      </c>
      <c r="K5516">
        <v>1</v>
      </c>
      <c r="L5516">
        <v>0</v>
      </c>
      <c r="M5516" t="s">
        <v>59</v>
      </c>
    </row>
    <row r="5517" spans="1:13" hidden="1" x14ac:dyDescent="0.15">
      <c r="A5517" t="s">
        <v>17387</v>
      </c>
      <c r="B5517" t="s">
        <v>17388</v>
      </c>
      <c r="C5517" t="s">
        <v>17389</v>
      </c>
      <c r="D5517" t="s">
        <v>17390</v>
      </c>
      <c r="E5517">
        <v>8</v>
      </c>
      <c r="F5517" t="str">
        <f>HYPERLINK("https://github.com/onaio/rdt-standard/issues/671", "show")</f>
        <v>show</v>
      </c>
      <c r="G5517" t="str">
        <f>HYPERLINK("https://github.com/onaio/rdt-standard", "show")</f>
        <v>show</v>
      </c>
      <c r="H5517" t="str">
        <f>HYPERLINK("https://github.com/onaio/rdt-standard/releases", "show")</f>
        <v>show</v>
      </c>
      <c r="I5517">
        <v>1</v>
      </c>
      <c r="J5517">
        <v>1</v>
      </c>
      <c r="K5517">
        <v>0</v>
      </c>
      <c r="L5517">
        <v>0</v>
      </c>
      <c r="M5517" t="s">
        <v>48</v>
      </c>
    </row>
    <row r="5518" spans="1:13" hidden="1" x14ac:dyDescent="0.15">
      <c r="A5518" t="s">
        <v>17391</v>
      </c>
      <c r="B5518" t="s">
        <v>17392</v>
      </c>
      <c r="C5518" t="s">
        <v>17393</v>
      </c>
      <c r="D5518" t="s">
        <v>17390</v>
      </c>
      <c r="E5518">
        <v>111</v>
      </c>
      <c r="F5518" t="str">
        <f>HYPERLINK("https://github.com/MuntashirAkon/AppManager/issues/214", "show")</f>
        <v>show</v>
      </c>
      <c r="G5518" t="str">
        <f>HYPERLINK("https://github.com/MuntashirAkon/AppManager", "show")</f>
        <v>show</v>
      </c>
      <c r="H5518" t="str">
        <f>HYPERLINK("https://github.com/MuntashirAkon/AppManager/releases", "show")</f>
        <v>show</v>
      </c>
      <c r="I5518">
        <v>1</v>
      </c>
      <c r="J5518">
        <v>0</v>
      </c>
      <c r="K5518">
        <v>1</v>
      </c>
      <c r="L5518">
        <v>0</v>
      </c>
      <c r="M5518" t="s">
        <v>64</v>
      </c>
    </row>
    <row r="5519" spans="1:13" hidden="1" x14ac:dyDescent="0.15">
      <c r="A5519" t="s">
        <v>17394</v>
      </c>
      <c r="B5519" t="s">
        <v>17395</v>
      </c>
      <c r="C5519" t="s">
        <v>17396</v>
      </c>
      <c r="D5519" t="s">
        <v>17390</v>
      </c>
      <c r="E5519">
        <v>0</v>
      </c>
      <c r="F5519" t="str">
        <f>HYPERLINK("https://github.com/Anuken/Mindustry/issues/4276", "show")</f>
        <v>show</v>
      </c>
      <c r="G5519" t="str">
        <f>HYPERLINK("https://github.com/Anuken/Mindustry", "show")</f>
        <v>show</v>
      </c>
      <c r="H5519" t="str">
        <f>HYPERLINK("https://github.com/Anuken/Mindustry/releases", "show")</f>
        <v>show</v>
      </c>
      <c r="I5519">
        <v>1</v>
      </c>
      <c r="J5519">
        <v>1</v>
      </c>
      <c r="K5519">
        <v>0</v>
      </c>
      <c r="L5519">
        <v>1</v>
      </c>
      <c r="M5519" t="s">
        <v>1894</v>
      </c>
    </row>
    <row r="5520" spans="1:13" hidden="1" x14ac:dyDescent="0.15">
      <c r="A5520" t="s">
        <v>17397</v>
      </c>
      <c r="B5520" t="s">
        <v>17398</v>
      </c>
      <c r="C5520" t="s">
        <v>17399</v>
      </c>
      <c r="D5520" t="s">
        <v>17390</v>
      </c>
      <c r="E5520">
        <v>0</v>
      </c>
      <c r="F5520" t="str">
        <f>HYPERLINK("https://github.com/Anuken/Mindustry/issues/4274", "show")</f>
        <v>show</v>
      </c>
      <c r="G5520" t="str">
        <f>HYPERLINK("https://github.com/Anuken/Mindustry", "show")</f>
        <v>show</v>
      </c>
      <c r="H5520" t="str">
        <f>HYPERLINK("https://github.com/Anuken/Mindustry/releases", "show")</f>
        <v>show</v>
      </c>
      <c r="I5520">
        <v>1</v>
      </c>
      <c r="J5520">
        <v>1</v>
      </c>
      <c r="K5520">
        <v>0</v>
      </c>
      <c r="L5520">
        <v>0</v>
      </c>
      <c r="M5520" t="s">
        <v>48</v>
      </c>
    </row>
    <row r="5521" spans="1:13" hidden="1" x14ac:dyDescent="0.15">
      <c r="A5521" t="s">
        <v>17400</v>
      </c>
      <c r="B5521" t="s">
        <v>17401</v>
      </c>
      <c r="C5521" t="s">
        <v>17402</v>
      </c>
      <c r="D5521" t="s">
        <v>17390</v>
      </c>
      <c r="E5521">
        <v>372</v>
      </c>
      <c r="F5521" t="str">
        <f>HYPERLINK("https://github.com/doublesymmetry/react-native-track-player/issues/1096", "show")</f>
        <v>show</v>
      </c>
      <c r="G5521" t="str">
        <f>HYPERLINK("https://github.com/doublesymmetry/react-native-track-player", "show")</f>
        <v>show</v>
      </c>
      <c r="H5521" t="str">
        <f>HYPERLINK("https://github.com/doublesymmetry/react-native-track-player/releases", "show")</f>
        <v>show</v>
      </c>
      <c r="I5521">
        <v>1</v>
      </c>
      <c r="J5521">
        <v>1</v>
      </c>
      <c r="K5521">
        <v>1</v>
      </c>
      <c r="L5521">
        <v>0</v>
      </c>
      <c r="M5521" t="s">
        <v>59</v>
      </c>
    </row>
    <row r="5522" spans="1:13" hidden="1" x14ac:dyDescent="0.15">
      <c r="A5522" t="s">
        <v>17403</v>
      </c>
      <c r="B5522" t="s">
        <v>17404</v>
      </c>
      <c r="C5522" t="s">
        <v>17405</v>
      </c>
      <c r="D5522" t="s">
        <v>17390</v>
      </c>
      <c r="E5522">
        <v>1</v>
      </c>
      <c r="F5522" t="str">
        <f>HYPERLINK("https://github.com/Chimerapps/niddler/issues/21", "show")</f>
        <v>show</v>
      </c>
      <c r="G5522" t="str">
        <f>HYPERLINK("https://github.com/Chimerapps/niddler", "show")</f>
        <v>show</v>
      </c>
      <c r="H5522" t="str">
        <f>HYPERLINK("https://github.com/Chimerapps/niddler/releases", "show")</f>
        <v>show</v>
      </c>
      <c r="I5522">
        <v>0</v>
      </c>
      <c r="J5522">
        <v>0</v>
      </c>
      <c r="K5522">
        <v>0</v>
      </c>
      <c r="L5522">
        <v>0</v>
      </c>
      <c r="M5522" t="s">
        <v>43</v>
      </c>
    </row>
    <row r="5523" spans="1:13" hidden="1" x14ac:dyDescent="0.15">
      <c r="A5523" t="s">
        <v>17406</v>
      </c>
      <c r="B5523" t="s">
        <v>17407</v>
      </c>
      <c r="C5523" t="s">
        <v>17408</v>
      </c>
      <c r="D5523" t="s">
        <v>17390</v>
      </c>
      <c r="E5523">
        <v>0</v>
      </c>
      <c r="F5523" t="str">
        <f>HYPERLINK("https://github.com/plazzy99/Heal-O-Chat/issues/95", "show")</f>
        <v>show</v>
      </c>
      <c r="G5523" t="str">
        <f>HYPERLINK("https://github.com/plazzy99/Heal-O-Chat", "show")</f>
        <v>show</v>
      </c>
      <c r="H5523" t="str">
        <f>HYPERLINK("https://github.com/plazzy99/Heal-O-Chat/releases", "show")</f>
        <v>show</v>
      </c>
      <c r="I5523">
        <v>0</v>
      </c>
      <c r="J5523">
        <v>0</v>
      </c>
      <c r="K5523">
        <v>0</v>
      </c>
      <c r="L5523">
        <v>0</v>
      </c>
      <c r="M5523" t="s">
        <v>43</v>
      </c>
    </row>
    <row r="5524" spans="1:13" hidden="1" x14ac:dyDescent="0.15">
      <c r="A5524" t="s">
        <v>17409</v>
      </c>
      <c r="B5524" t="s">
        <v>17410</v>
      </c>
      <c r="C5524" t="s">
        <v>17411</v>
      </c>
      <c r="D5524" t="s">
        <v>17412</v>
      </c>
      <c r="E5524">
        <v>71</v>
      </c>
      <c r="F5524" t="str">
        <f>HYPERLINK("https://github.com/microsoft/appcenter-sdk-android/issues/1497", "show")</f>
        <v>show</v>
      </c>
      <c r="G5524" t="str">
        <f>HYPERLINK("https://github.com/microsoft/appcenter-sdk-android", "show")</f>
        <v>show</v>
      </c>
      <c r="H5524" t="str">
        <f>HYPERLINK("https://github.com/microsoft/appcenter-sdk-android/releases", "show")</f>
        <v>show</v>
      </c>
      <c r="I5524">
        <v>1</v>
      </c>
      <c r="J5524">
        <v>0</v>
      </c>
      <c r="K5524">
        <v>0</v>
      </c>
      <c r="L5524">
        <v>1</v>
      </c>
      <c r="M5524" t="s">
        <v>29</v>
      </c>
    </row>
    <row r="5525" spans="1:13" hidden="1" x14ac:dyDescent="0.15">
      <c r="A5525" t="s">
        <v>17413</v>
      </c>
      <c r="B5525" t="s">
        <v>17414</v>
      </c>
      <c r="C5525" t="s">
        <v>17415</v>
      </c>
      <c r="D5525" t="s">
        <v>17412</v>
      </c>
      <c r="E5525">
        <v>0</v>
      </c>
      <c r="F5525" t="str">
        <f>HYPERLINK("https://github.com/Anuken/Mindustry/issues/4267", "show")</f>
        <v>show</v>
      </c>
      <c r="G5525" t="str">
        <f>HYPERLINK("https://github.com/Anuken/Mindustry", "show")</f>
        <v>show</v>
      </c>
      <c r="H5525" t="str">
        <f>HYPERLINK("https://github.com/Anuken/Mindustry/releases", "show")</f>
        <v>show</v>
      </c>
      <c r="I5525">
        <v>1</v>
      </c>
      <c r="J5525">
        <v>0</v>
      </c>
      <c r="K5525">
        <v>0</v>
      </c>
      <c r="L5525">
        <v>0</v>
      </c>
      <c r="M5525" t="s">
        <v>17</v>
      </c>
    </row>
    <row r="5526" spans="1:13" x14ac:dyDescent="0.15">
      <c r="A5526" t="s">
        <v>17416</v>
      </c>
      <c r="B5526" t="s">
        <v>17417</v>
      </c>
      <c r="C5526" t="s">
        <v>17418</v>
      </c>
      <c r="D5526" t="s">
        <v>17412</v>
      </c>
      <c r="E5526">
        <v>0</v>
      </c>
      <c r="F5526" t="str">
        <f>HYPERLINK("https://github.com/Anuken/Mindustry/issues/4266", "show")</f>
        <v>show</v>
      </c>
      <c r="G5526" t="str">
        <f>HYPERLINK("https://github.com/Anuken/Mindustry", "show")</f>
        <v>show</v>
      </c>
      <c r="H5526" t="str">
        <f>HYPERLINK("https://github.com/Anuken/Mindustry/releases", "show")</f>
        <v>show</v>
      </c>
      <c r="I5526">
        <v>0</v>
      </c>
      <c r="J5526">
        <v>1</v>
      </c>
      <c r="K5526">
        <v>0</v>
      </c>
      <c r="L5526">
        <v>0</v>
      </c>
      <c r="M5526" t="s">
        <v>139</v>
      </c>
    </row>
    <row r="5527" spans="1:13" hidden="1" x14ac:dyDescent="0.15">
      <c r="A5527" t="s">
        <v>17419</v>
      </c>
      <c r="B5527" t="s">
        <v>17420</v>
      </c>
      <c r="C5527" t="s">
        <v>17421</v>
      </c>
      <c r="D5527" t="s">
        <v>17412</v>
      </c>
      <c r="E5527">
        <v>1</v>
      </c>
      <c r="F5527" t="str">
        <f>HYPERLINK("https://github.com/TeamNewPipe/NewPipe/issues/5354", "show")</f>
        <v>show</v>
      </c>
      <c r="G5527" t="str">
        <f>HYPERLINK("https://github.com/TeamNewPipe/NewPipe", "show")</f>
        <v>show</v>
      </c>
      <c r="H5527" t="str">
        <f>HYPERLINK("https://github.com/TeamNewPipe/NewPipe/releases", "show")</f>
        <v>show</v>
      </c>
      <c r="I5527">
        <v>0</v>
      </c>
      <c r="J5527">
        <v>0</v>
      </c>
      <c r="K5527">
        <v>1</v>
      </c>
      <c r="L5527">
        <v>0</v>
      </c>
      <c r="M5527" t="s">
        <v>122</v>
      </c>
    </row>
    <row r="5528" spans="1:13" hidden="1" x14ac:dyDescent="0.15">
      <c r="A5528" t="s">
        <v>17422</v>
      </c>
      <c r="B5528" t="s">
        <v>17423</v>
      </c>
      <c r="C5528" t="s">
        <v>17424</v>
      </c>
      <c r="D5528" t="s">
        <v>17425</v>
      </c>
      <c r="E5528">
        <v>1</v>
      </c>
      <c r="F5528" t="str">
        <f>HYPERLINK("https://github.com/SoltauFintel/blockpuzzle/issues/15", "show")</f>
        <v>show</v>
      </c>
      <c r="G5528" t="str">
        <f>HYPERLINK("https://github.com/SoltauFintel/blockpuzzle", "show")</f>
        <v>show</v>
      </c>
      <c r="H5528" t="str">
        <f>HYPERLINK("https://github.com/SoltauFintel/blockpuzzle/releases", "show")</f>
        <v>show</v>
      </c>
      <c r="I5528">
        <v>0</v>
      </c>
      <c r="J5528">
        <v>0</v>
      </c>
      <c r="K5528">
        <v>0</v>
      </c>
      <c r="L5528">
        <v>0</v>
      </c>
      <c r="M5528" t="s">
        <v>43</v>
      </c>
    </row>
    <row r="5529" spans="1:13" hidden="1" x14ac:dyDescent="0.15">
      <c r="A5529" t="s">
        <v>17426</v>
      </c>
      <c r="B5529" t="s">
        <v>17427</v>
      </c>
      <c r="C5529" t="s">
        <v>17428</v>
      </c>
      <c r="D5529" t="s">
        <v>17425</v>
      </c>
      <c r="E5529">
        <v>395</v>
      </c>
      <c r="F5529" t="str">
        <f>HYPERLINK("https://github.com/MuntashirAkon/AppManager/issues/211", "show")</f>
        <v>show</v>
      </c>
      <c r="G5529" t="str">
        <f>HYPERLINK("https://github.com/MuntashirAkon/AppManager", "show")</f>
        <v>show</v>
      </c>
      <c r="H5529" t="str">
        <f>HYPERLINK("https://github.com/MuntashirAkon/AppManager/releases", "show")</f>
        <v>show</v>
      </c>
      <c r="I5529">
        <v>1</v>
      </c>
      <c r="J5529">
        <v>1</v>
      </c>
      <c r="K5529">
        <v>0</v>
      </c>
      <c r="L5529">
        <v>1</v>
      </c>
      <c r="M5529" t="s">
        <v>1894</v>
      </c>
    </row>
    <row r="5530" spans="1:13" hidden="1" x14ac:dyDescent="0.15">
      <c r="A5530" t="s">
        <v>17429</v>
      </c>
      <c r="B5530" t="s">
        <v>17430</v>
      </c>
      <c r="C5530" t="s">
        <v>17431</v>
      </c>
      <c r="D5530" t="s">
        <v>17432</v>
      </c>
      <c r="E5530">
        <v>0</v>
      </c>
      <c r="F5530" t="str">
        <f>HYPERLINK("https://github.com/TeamNewPipe/NewPipe/issues/5341", "show")</f>
        <v>show</v>
      </c>
      <c r="G5530" t="str">
        <f>HYPERLINK("https://github.com/TeamNewPipe/NewPipe", "show")</f>
        <v>show</v>
      </c>
      <c r="H5530" t="str">
        <f>HYPERLINK("https://github.com/TeamNewPipe/NewPipe/releases", "show")</f>
        <v>show</v>
      </c>
      <c r="I5530">
        <v>1</v>
      </c>
      <c r="J5530">
        <v>1</v>
      </c>
      <c r="K5530">
        <v>0</v>
      </c>
      <c r="L5530">
        <v>1</v>
      </c>
      <c r="M5530" t="s">
        <v>1894</v>
      </c>
    </row>
    <row r="5531" spans="1:13" hidden="1" x14ac:dyDescent="0.15">
      <c r="A5531" t="s">
        <v>17433</v>
      </c>
      <c r="B5531" t="s">
        <v>17434</v>
      </c>
      <c r="C5531" t="s">
        <v>17435</v>
      </c>
      <c r="D5531" t="s">
        <v>17432</v>
      </c>
      <c r="E5531">
        <v>0</v>
      </c>
      <c r="F5531" t="str">
        <f>HYPERLINK("https://github.com/nextcloud/android/issues/7773", "show")</f>
        <v>show</v>
      </c>
      <c r="G5531" t="str">
        <f>HYPERLINK("https://github.com/nextcloud/android", "show")</f>
        <v>show</v>
      </c>
      <c r="H5531" t="str">
        <f>HYPERLINK("https://github.com/nextcloud/android/releases", "show")</f>
        <v>show</v>
      </c>
      <c r="I5531">
        <v>0</v>
      </c>
      <c r="J5531">
        <v>0</v>
      </c>
      <c r="K5531">
        <v>1</v>
      </c>
      <c r="L5531">
        <v>0</v>
      </c>
      <c r="M5531" t="s">
        <v>122</v>
      </c>
    </row>
    <row r="5532" spans="1:13" hidden="1" x14ac:dyDescent="0.15">
      <c r="A5532" t="s">
        <v>17436</v>
      </c>
      <c r="B5532" t="s">
        <v>17437</v>
      </c>
      <c r="C5532" t="s">
        <v>17438</v>
      </c>
      <c r="D5532" t="s">
        <v>17432</v>
      </c>
      <c r="E5532">
        <v>0</v>
      </c>
      <c r="F5532" t="str">
        <f>HYPERLINK("https://github.com/nwrkbiz/android-xserver/issues/22", "show")</f>
        <v>show</v>
      </c>
      <c r="G5532" t="str">
        <f>HYPERLINK("https://github.com/nwrkbiz/android-xserver", "show")</f>
        <v>show</v>
      </c>
      <c r="H5532" t="str">
        <f>HYPERLINK("https://github.com/nwrkbiz/android-xserver/releases", "show")</f>
        <v>show</v>
      </c>
      <c r="I5532">
        <v>1</v>
      </c>
      <c r="J5532">
        <v>0</v>
      </c>
      <c r="K5532">
        <v>0</v>
      </c>
      <c r="L5532">
        <v>0</v>
      </c>
      <c r="M5532" t="s">
        <v>17</v>
      </c>
    </row>
    <row r="5533" spans="1:13" hidden="1" x14ac:dyDescent="0.15">
      <c r="A5533" t="s">
        <v>17439</v>
      </c>
      <c r="B5533" t="s">
        <v>17440</v>
      </c>
      <c r="C5533" t="s">
        <v>17441</v>
      </c>
      <c r="D5533" t="s">
        <v>17442</v>
      </c>
      <c r="E5533">
        <v>0</v>
      </c>
      <c r="F5533" t="str">
        <f>HYPERLINK("https://github.com/Anuken/Mindustry/issues/4237", "show")</f>
        <v>show</v>
      </c>
      <c r="G5533" t="str">
        <f>HYPERLINK("https://github.com/Anuken/Mindustry", "show")</f>
        <v>show</v>
      </c>
      <c r="H5533" t="str">
        <f>HYPERLINK("https://github.com/Anuken/Mindustry/releases", "show")</f>
        <v>show</v>
      </c>
      <c r="I5533">
        <v>1</v>
      </c>
      <c r="J5533">
        <v>1</v>
      </c>
      <c r="K5533">
        <v>0</v>
      </c>
      <c r="L5533">
        <v>0</v>
      </c>
      <c r="M5533" t="s">
        <v>48</v>
      </c>
    </row>
    <row r="5534" spans="1:13" hidden="1" x14ac:dyDescent="0.15">
      <c r="A5534" t="s">
        <v>17443</v>
      </c>
      <c r="B5534" t="s">
        <v>17444</v>
      </c>
      <c r="C5534" t="s">
        <v>17445</v>
      </c>
      <c r="D5534" t="s">
        <v>17442</v>
      </c>
      <c r="E5534">
        <v>7</v>
      </c>
      <c r="F5534" t="str">
        <f>HYPERLINK("https://github.com/lexica/lexica/issues/221", "show")</f>
        <v>show</v>
      </c>
      <c r="G5534" t="str">
        <f>HYPERLINK("https://github.com/lexica/lexica", "show")</f>
        <v>show</v>
      </c>
      <c r="H5534" t="str">
        <f>HYPERLINK("https://github.com/lexica/lexica/releases", "show")</f>
        <v>show</v>
      </c>
      <c r="I5534">
        <v>1</v>
      </c>
      <c r="J5534">
        <v>0</v>
      </c>
      <c r="K5534">
        <v>1</v>
      </c>
      <c r="L5534">
        <v>0</v>
      </c>
      <c r="M5534" t="s">
        <v>64</v>
      </c>
    </row>
    <row r="5535" spans="1:13" hidden="1" x14ac:dyDescent="0.15">
      <c r="A5535" t="s">
        <v>17446</v>
      </c>
      <c r="B5535" t="s">
        <v>17447</v>
      </c>
      <c r="C5535" t="s">
        <v>17448</v>
      </c>
      <c r="D5535" t="s">
        <v>17442</v>
      </c>
      <c r="E5535">
        <v>1</v>
      </c>
      <c r="F5535" t="str">
        <f>HYPERLINK("https://github.com/MuntashirAkon/AppManager/issues/210", "show")</f>
        <v>show</v>
      </c>
      <c r="G5535" t="str">
        <f>HYPERLINK("https://github.com/MuntashirAkon/AppManager", "show")</f>
        <v>show</v>
      </c>
      <c r="H5535" t="str">
        <f>HYPERLINK("https://github.com/MuntashirAkon/AppManager/releases", "show")</f>
        <v>show</v>
      </c>
      <c r="I5535">
        <v>1</v>
      </c>
      <c r="J5535">
        <v>1</v>
      </c>
      <c r="K5535">
        <v>0</v>
      </c>
      <c r="L5535">
        <v>0</v>
      </c>
      <c r="M5535" t="s">
        <v>48</v>
      </c>
    </row>
    <row r="5536" spans="1:13" x14ac:dyDescent="0.15">
      <c r="A5536" t="s">
        <v>17449</v>
      </c>
      <c r="B5536" t="s">
        <v>17450</v>
      </c>
      <c r="C5536" t="s">
        <v>17451</v>
      </c>
      <c r="D5536" t="s">
        <v>17442</v>
      </c>
      <c r="E5536">
        <v>0</v>
      </c>
      <c r="F5536" t="str">
        <f>HYPERLINK("https://github.com/Anuken/Mindustry/issues/4229", "show")</f>
        <v>show</v>
      </c>
      <c r="G5536" t="str">
        <f>HYPERLINK("https://github.com/Anuken/Mindustry", "show")</f>
        <v>show</v>
      </c>
      <c r="H5536" t="str">
        <f>HYPERLINK("https://github.com/Anuken/Mindustry/releases", "show")</f>
        <v>show</v>
      </c>
      <c r="I5536">
        <v>0</v>
      </c>
      <c r="J5536">
        <v>1</v>
      </c>
      <c r="K5536">
        <v>0</v>
      </c>
      <c r="L5536">
        <v>0</v>
      </c>
      <c r="M5536" t="s">
        <v>139</v>
      </c>
    </row>
    <row r="5537" spans="1:13" hidden="1" x14ac:dyDescent="0.15">
      <c r="A5537" t="s">
        <v>17452</v>
      </c>
      <c r="B5537" t="s">
        <v>17453</v>
      </c>
      <c r="C5537" t="s">
        <v>17435</v>
      </c>
      <c r="D5537" t="s">
        <v>17454</v>
      </c>
      <c r="E5537">
        <v>12</v>
      </c>
      <c r="F5537" t="str">
        <f>HYPERLINK("https://github.com/nextcloud/android/issues/7769", "show")</f>
        <v>show</v>
      </c>
      <c r="G5537" t="str">
        <f>HYPERLINK("https://github.com/nextcloud/android", "show")</f>
        <v>show</v>
      </c>
      <c r="H5537" t="str">
        <f>HYPERLINK("https://github.com/nextcloud/android/releases", "show")</f>
        <v>show</v>
      </c>
      <c r="I5537">
        <v>0</v>
      </c>
      <c r="J5537">
        <v>0</v>
      </c>
      <c r="K5537">
        <v>1</v>
      </c>
      <c r="L5537">
        <v>0</v>
      </c>
      <c r="M5537" t="s">
        <v>122</v>
      </c>
    </row>
    <row r="5538" spans="1:13" hidden="1" x14ac:dyDescent="0.15">
      <c r="A5538" t="s">
        <v>17455</v>
      </c>
      <c r="B5538" t="s">
        <v>17456</v>
      </c>
      <c r="C5538" t="s">
        <v>17457</v>
      </c>
      <c r="D5538" t="s">
        <v>17454</v>
      </c>
      <c r="E5538">
        <v>0</v>
      </c>
      <c r="F5538" t="str">
        <f>HYPERLINK("https://github.com/Anuken/Mindustry/issues/4217", "show")</f>
        <v>show</v>
      </c>
      <c r="G5538" t="str">
        <f>HYPERLINK("https://github.com/Anuken/Mindustry", "show")</f>
        <v>show</v>
      </c>
      <c r="H5538" t="str">
        <f>HYPERLINK("https://github.com/Anuken/Mindustry/releases", "show")</f>
        <v>show</v>
      </c>
      <c r="I5538">
        <v>1</v>
      </c>
      <c r="J5538">
        <v>0</v>
      </c>
      <c r="K5538">
        <v>0</v>
      </c>
      <c r="L5538">
        <v>0</v>
      </c>
      <c r="M5538" t="s">
        <v>17</v>
      </c>
    </row>
    <row r="5539" spans="1:13" hidden="1" x14ac:dyDescent="0.15">
      <c r="A5539" t="s">
        <v>17458</v>
      </c>
      <c r="B5539" t="s">
        <v>17459</v>
      </c>
      <c r="C5539" t="s">
        <v>17460</v>
      </c>
      <c r="D5539" t="s">
        <v>17454</v>
      </c>
      <c r="E5539">
        <v>0</v>
      </c>
      <c r="F5539" t="str">
        <f>HYPERLINK("https://github.com/Anuken/Mindustry/issues/4214", "show")</f>
        <v>show</v>
      </c>
      <c r="G5539" t="str">
        <f>HYPERLINK("https://github.com/Anuken/Mindustry", "show")</f>
        <v>show</v>
      </c>
      <c r="H5539" t="str">
        <f>HYPERLINK("https://github.com/Anuken/Mindustry/releases", "show")</f>
        <v>show</v>
      </c>
      <c r="I5539">
        <v>1</v>
      </c>
      <c r="J5539">
        <v>1</v>
      </c>
      <c r="K5539">
        <v>0</v>
      </c>
      <c r="L5539">
        <v>0</v>
      </c>
      <c r="M5539" t="s">
        <v>48</v>
      </c>
    </row>
    <row r="5540" spans="1:13" hidden="1" x14ac:dyDescent="0.15">
      <c r="A5540" t="s">
        <v>17461</v>
      </c>
      <c r="B5540" t="s">
        <v>17462</v>
      </c>
      <c r="C5540" t="s">
        <v>17463</v>
      </c>
      <c r="D5540" t="s">
        <v>17454</v>
      </c>
      <c r="E5540">
        <v>12</v>
      </c>
      <c r="F5540" t="str">
        <f>HYPERLINK("https://github.com/google/ExoPlayer/issues/8420", "show")</f>
        <v>show</v>
      </c>
      <c r="G5540" t="str">
        <f>HYPERLINK("https://github.com/google/ExoPlayer", "show")</f>
        <v>show</v>
      </c>
      <c r="H5540" t="str">
        <f>HYPERLINK("https://github.com/google/ExoPlayer/releases", "show")</f>
        <v>show</v>
      </c>
      <c r="I5540">
        <v>1</v>
      </c>
      <c r="J5540">
        <v>0</v>
      </c>
      <c r="K5540">
        <v>1</v>
      </c>
      <c r="L5540">
        <v>0</v>
      </c>
      <c r="M5540" t="s">
        <v>64</v>
      </c>
    </row>
    <row r="5541" spans="1:13" hidden="1" x14ac:dyDescent="0.15">
      <c r="A5541" t="s">
        <v>17464</v>
      </c>
      <c r="B5541" t="s">
        <v>17465</v>
      </c>
      <c r="C5541" t="s">
        <v>17466</v>
      </c>
      <c r="D5541" t="s">
        <v>17454</v>
      </c>
      <c r="E5541">
        <v>3</v>
      </c>
      <c r="F5541" t="str">
        <f>HYPERLINK("https://github.com/ElderDrivers/EdXposed/issues/783", "show")</f>
        <v>show</v>
      </c>
      <c r="G5541" t="str">
        <f>HYPERLINK("https://github.com/ElderDrivers/EdXposed", "show")</f>
        <v>show</v>
      </c>
      <c r="H5541" t="str">
        <f>HYPERLINK("https://github.com/ElderDrivers/EdXposed/releases", "show")</f>
        <v>show</v>
      </c>
      <c r="I5541">
        <v>1</v>
      </c>
      <c r="J5541">
        <v>0</v>
      </c>
      <c r="K5541">
        <v>0</v>
      </c>
      <c r="L5541">
        <v>0</v>
      </c>
      <c r="M5541" t="s">
        <v>17</v>
      </c>
    </row>
    <row r="5542" spans="1:13" hidden="1" x14ac:dyDescent="0.15">
      <c r="A5542" t="s">
        <v>17467</v>
      </c>
      <c r="B5542" t="s">
        <v>17468</v>
      </c>
      <c r="C5542" t="s">
        <v>17469</v>
      </c>
      <c r="D5542" t="s">
        <v>17454</v>
      </c>
      <c r="E5542">
        <v>14</v>
      </c>
      <c r="F5542" t="str">
        <f>HYPERLINK("https://github.com/TeamNewPipe/NewPipe/issues/5328", "show")</f>
        <v>show</v>
      </c>
      <c r="G5542" t="str">
        <f>HYPERLINK("https://github.com/TeamNewPipe/NewPipe", "show")</f>
        <v>show</v>
      </c>
      <c r="H5542" t="str">
        <f>HYPERLINK("https://github.com/TeamNewPipe/NewPipe/releases", "show")</f>
        <v>show</v>
      </c>
      <c r="I5542">
        <v>1</v>
      </c>
      <c r="J5542">
        <v>1</v>
      </c>
      <c r="K5542">
        <v>1</v>
      </c>
      <c r="L5542">
        <v>0</v>
      </c>
      <c r="M5542" t="s">
        <v>59</v>
      </c>
    </row>
    <row r="5543" spans="1:13" hidden="1" x14ac:dyDescent="0.15">
      <c r="A5543" t="s">
        <v>17470</v>
      </c>
      <c r="B5543" t="s">
        <v>17471</v>
      </c>
      <c r="C5543" t="s">
        <v>17472</v>
      </c>
      <c r="D5543" t="s">
        <v>17473</v>
      </c>
      <c r="E5543">
        <v>52</v>
      </c>
      <c r="F5543" t="str">
        <f>HYPERLINK("https://github.com/commons-app/apps-android-commons/issues/4143", "show")</f>
        <v>show</v>
      </c>
      <c r="G5543" t="str">
        <f>HYPERLINK("https://github.com/commons-app/apps-android-commons", "show")</f>
        <v>show</v>
      </c>
      <c r="H5543" t="str">
        <f>HYPERLINK("https://github.com/commons-app/apps-android-commons/releases", "show")</f>
        <v>show</v>
      </c>
      <c r="I5543">
        <v>0</v>
      </c>
      <c r="J5543">
        <v>1</v>
      </c>
      <c r="K5543">
        <v>1</v>
      </c>
      <c r="L5543">
        <v>1</v>
      </c>
      <c r="M5543" t="s">
        <v>427</v>
      </c>
    </row>
    <row r="5544" spans="1:13" hidden="1" x14ac:dyDescent="0.15">
      <c r="A5544" t="s">
        <v>17474</v>
      </c>
      <c r="B5544" t="s">
        <v>17475</v>
      </c>
      <c r="C5544" t="s">
        <v>17476</v>
      </c>
      <c r="D5544" t="s">
        <v>17473</v>
      </c>
      <c r="E5544">
        <v>0</v>
      </c>
      <c r="F5544" t="str">
        <f>HYPERLINK("https://github.com/Anuken/Mindustry/issues/4193", "show")</f>
        <v>show</v>
      </c>
      <c r="G5544" t="str">
        <f>HYPERLINK("https://github.com/Anuken/Mindustry", "show")</f>
        <v>show</v>
      </c>
      <c r="H5544" t="str">
        <f>HYPERLINK("https://github.com/Anuken/Mindustry/releases", "show")</f>
        <v>show</v>
      </c>
      <c r="I5544">
        <v>1</v>
      </c>
      <c r="J5544">
        <v>0</v>
      </c>
      <c r="K5544">
        <v>0</v>
      </c>
      <c r="L5544">
        <v>0</v>
      </c>
      <c r="M5544" t="s">
        <v>17</v>
      </c>
    </row>
    <row r="5545" spans="1:13" hidden="1" x14ac:dyDescent="0.15">
      <c r="A5545" t="s">
        <v>17477</v>
      </c>
      <c r="B5545" t="s">
        <v>17478</v>
      </c>
      <c r="C5545" t="s">
        <v>17479</v>
      </c>
      <c r="D5545" t="s">
        <v>17473</v>
      </c>
      <c r="E5545">
        <v>5</v>
      </c>
      <c r="F5545" t="str">
        <f>HYPERLINK("https://github.com/google/ExoPlayer/issues/8419", "show")</f>
        <v>show</v>
      </c>
      <c r="G5545" t="str">
        <f>HYPERLINK("https://github.com/google/ExoPlayer", "show")</f>
        <v>show</v>
      </c>
      <c r="H5545" t="str">
        <f>HYPERLINK("https://github.com/google/ExoPlayer/releases", "show")</f>
        <v>show</v>
      </c>
      <c r="I5545">
        <v>0</v>
      </c>
      <c r="J5545">
        <v>0</v>
      </c>
      <c r="K5545">
        <v>1</v>
      </c>
      <c r="L5545">
        <v>0</v>
      </c>
      <c r="M5545" t="s">
        <v>122</v>
      </c>
    </row>
    <row r="5546" spans="1:13" hidden="1" x14ac:dyDescent="0.15">
      <c r="A5546" t="s">
        <v>17480</v>
      </c>
      <c r="B5546" t="s">
        <v>17481</v>
      </c>
      <c r="C5546" t="s">
        <v>17482</v>
      </c>
      <c r="D5546" t="s">
        <v>17473</v>
      </c>
      <c r="E5546">
        <v>0</v>
      </c>
      <c r="F5546" t="str">
        <f>HYPERLINK("https://github.com/devgianlu/PretendYoureXyzzyAndroid/issues/84", "show")</f>
        <v>show</v>
      </c>
      <c r="G5546" t="str">
        <f>HYPERLINK("https://github.com/devgianlu/PretendYoureXyzzyAndroid", "show")</f>
        <v>show</v>
      </c>
      <c r="H5546" t="str">
        <f>HYPERLINK("https://github.com/devgianlu/PretendYoureXyzzyAndroid/releases", "show")</f>
        <v>show</v>
      </c>
      <c r="I5546">
        <v>1</v>
      </c>
      <c r="J5546">
        <v>0</v>
      </c>
      <c r="K5546">
        <v>0</v>
      </c>
      <c r="L5546">
        <v>0</v>
      </c>
      <c r="M5546" t="s">
        <v>17</v>
      </c>
    </row>
    <row r="5547" spans="1:13" hidden="1" x14ac:dyDescent="0.15">
      <c r="A5547" t="s">
        <v>17483</v>
      </c>
      <c r="B5547" t="s">
        <v>17484</v>
      </c>
      <c r="C5547" t="s">
        <v>17485</v>
      </c>
      <c r="D5547" t="s">
        <v>17473</v>
      </c>
      <c r="E5547">
        <v>5</v>
      </c>
      <c r="F5547" t="str">
        <f>HYPERLINK("https://github.com/MCMrARM/revolution-irc/issues/273", "show")</f>
        <v>show</v>
      </c>
      <c r="G5547" t="str">
        <f>HYPERLINK("https://github.com/MCMrARM/revolution-irc", "show")</f>
        <v>show</v>
      </c>
      <c r="H5547" t="str">
        <f>HYPERLINK("https://github.com/MCMrARM/revolution-irc/releases", "show")</f>
        <v>show</v>
      </c>
      <c r="I5547">
        <v>1</v>
      </c>
      <c r="J5547">
        <v>0</v>
      </c>
      <c r="K5547">
        <v>0</v>
      </c>
      <c r="L5547">
        <v>0</v>
      </c>
      <c r="M5547" t="s">
        <v>17</v>
      </c>
    </row>
    <row r="5548" spans="1:13" hidden="1" x14ac:dyDescent="0.15">
      <c r="A5548" t="s">
        <v>17486</v>
      </c>
      <c r="B5548" t="s">
        <v>17487</v>
      </c>
      <c r="C5548" t="s">
        <v>17488</v>
      </c>
      <c r="D5548" t="s">
        <v>17473</v>
      </c>
      <c r="E5548">
        <v>5</v>
      </c>
      <c r="F5548" t="str">
        <f>HYPERLINK("https://github.com/techie66/EngineDataLogger---Dashboard/issues/1", "show")</f>
        <v>show</v>
      </c>
      <c r="G5548" t="str">
        <f>HYPERLINK("https://github.com/techie66/EngineDataLogger---Dashboard", "show")</f>
        <v>show</v>
      </c>
      <c r="H5548" t="str">
        <f>HYPERLINK("https://github.com/techie66/EngineDataLogger---Dashboard/releases", "show")</f>
        <v>show</v>
      </c>
      <c r="I5548">
        <v>1</v>
      </c>
      <c r="J5548">
        <v>0</v>
      </c>
      <c r="K5548">
        <v>0</v>
      </c>
      <c r="L5548">
        <v>0</v>
      </c>
      <c r="M5548" t="s">
        <v>17</v>
      </c>
    </row>
    <row r="5549" spans="1:13" hidden="1" x14ac:dyDescent="0.15">
      <c r="A5549" t="s">
        <v>17489</v>
      </c>
      <c r="B5549" t="s">
        <v>17490</v>
      </c>
      <c r="C5549" t="s">
        <v>17491</v>
      </c>
      <c r="D5549" t="s">
        <v>17492</v>
      </c>
      <c r="E5549">
        <v>0</v>
      </c>
      <c r="F5549" t="str">
        <f>HYPERLINK("https://github.com/Anuken/Mindustry/issues/4190", "show")</f>
        <v>show</v>
      </c>
      <c r="G5549" t="str">
        <f>HYPERLINK("https://github.com/Anuken/Mindustry", "show")</f>
        <v>show</v>
      </c>
      <c r="H5549" t="str">
        <f>HYPERLINK("https://github.com/Anuken/Mindustry/releases", "show")</f>
        <v>show</v>
      </c>
      <c r="I5549">
        <v>0</v>
      </c>
      <c r="J5549">
        <v>0</v>
      </c>
      <c r="K5549">
        <v>0</v>
      </c>
      <c r="L5549">
        <v>0</v>
      </c>
      <c r="M5549" t="s">
        <v>43</v>
      </c>
    </row>
    <row r="5550" spans="1:13" hidden="1" x14ac:dyDescent="0.15">
      <c r="A5550" t="s">
        <v>17493</v>
      </c>
      <c r="B5550" t="s">
        <v>17494</v>
      </c>
      <c r="C5550" t="s">
        <v>17495</v>
      </c>
      <c r="D5550" t="s">
        <v>17492</v>
      </c>
      <c r="E5550">
        <v>6</v>
      </c>
      <c r="F5550" t="str">
        <f>HYPERLINK("https://github.com/MCMrARM/revolution-irc/issues/272", "show")</f>
        <v>show</v>
      </c>
      <c r="G5550" t="str">
        <f>HYPERLINK("https://github.com/MCMrARM/revolution-irc", "show")</f>
        <v>show</v>
      </c>
      <c r="H5550" t="str">
        <f>HYPERLINK("https://github.com/MCMrARM/revolution-irc/releases", "show")</f>
        <v>show</v>
      </c>
      <c r="I5550">
        <v>1</v>
      </c>
      <c r="J5550">
        <v>0</v>
      </c>
      <c r="K5550">
        <v>0</v>
      </c>
      <c r="L5550">
        <v>0</v>
      </c>
      <c r="M5550" t="s">
        <v>17</v>
      </c>
    </row>
    <row r="5551" spans="1:13" hidden="1" x14ac:dyDescent="0.15">
      <c r="A5551" t="s">
        <v>17496</v>
      </c>
      <c r="B5551" t="s">
        <v>141</v>
      </c>
      <c r="C5551" t="s">
        <v>17497</v>
      </c>
      <c r="D5551" t="s">
        <v>17492</v>
      </c>
      <c r="E5551">
        <v>38</v>
      </c>
      <c r="F5551" t="str">
        <f>HYPERLINK("https://github.com/SubhamTyagi/Last-Launcher/issues/110", "show")</f>
        <v>show</v>
      </c>
      <c r="G5551" t="str">
        <f>HYPERLINK("https://github.com/SubhamTyagi/Last-Launcher", "show")</f>
        <v>show</v>
      </c>
      <c r="H5551" t="str">
        <f>HYPERLINK("https://github.com/SubhamTyagi/Last-Launcher/releases", "show")</f>
        <v>show</v>
      </c>
      <c r="I5551">
        <v>0</v>
      </c>
      <c r="J5551">
        <v>0</v>
      </c>
      <c r="K5551">
        <v>1</v>
      </c>
      <c r="L5551">
        <v>0</v>
      </c>
      <c r="M5551" t="s">
        <v>122</v>
      </c>
    </row>
    <row r="5552" spans="1:13" hidden="1" x14ac:dyDescent="0.15">
      <c r="A5552" t="s">
        <v>17498</v>
      </c>
      <c r="B5552" t="s">
        <v>17499</v>
      </c>
      <c r="C5552" t="s">
        <v>17500</v>
      </c>
      <c r="D5552" t="s">
        <v>17492</v>
      </c>
      <c r="E5552">
        <v>0</v>
      </c>
      <c r="F5552" t="str">
        <f>HYPERLINK("https://github.com/Anuken/Mindustry/issues/4185", "show")</f>
        <v>show</v>
      </c>
      <c r="G5552" t="str">
        <f>HYPERLINK("https://github.com/Anuken/Mindustry", "show")</f>
        <v>show</v>
      </c>
      <c r="H5552" t="str">
        <f>HYPERLINK("https://github.com/Anuken/Mindustry/releases", "show")</f>
        <v>show</v>
      </c>
      <c r="I5552">
        <v>1</v>
      </c>
      <c r="J5552">
        <v>0</v>
      </c>
      <c r="K5552">
        <v>0</v>
      </c>
      <c r="L5552">
        <v>0</v>
      </c>
      <c r="M5552" t="s">
        <v>17</v>
      </c>
    </row>
    <row r="5553" spans="1:13" hidden="1" x14ac:dyDescent="0.15">
      <c r="A5553" t="s">
        <v>17501</v>
      </c>
      <c r="B5553" t="s">
        <v>17502</v>
      </c>
      <c r="C5553" t="s">
        <v>17503</v>
      </c>
      <c r="D5553" t="s">
        <v>17492</v>
      </c>
      <c r="E5553">
        <v>0</v>
      </c>
      <c r="F5553" t="str">
        <f>HYPERLINK("https://github.com/Anuken/Mindustry/issues/4183", "show")</f>
        <v>show</v>
      </c>
      <c r="G5553" t="str">
        <f>HYPERLINK("https://github.com/Anuken/Mindustry", "show")</f>
        <v>show</v>
      </c>
      <c r="H5553" t="str">
        <f>HYPERLINK("https://github.com/Anuken/Mindustry/releases", "show")</f>
        <v>show</v>
      </c>
      <c r="I5553">
        <v>0</v>
      </c>
      <c r="J5553">
        <v>1</v>
      </c>
      <c r="K5553">
        <v>0</v>
      </c>
      <c r="L5553">
        <v>1</v>
      </c>
      <c r="M5553" t="s">
        <v>1732</v>
      </c>
    </row>
    <row r="5554" spans="1:13" hidden="1" x14ac:dyDescent="0.15">
      <c r="A5554" t="s">
        <v>17504</v>
      </c>
      <c r="B5554" t="s">
        <v>17505</v>
      </c>
      <c r="C5554" t="s">
        <v>17506</v>
      </c>
      <c r="D5554" t="s">
        <v>17492</v>
      </c>
      <c r="E5554">
        <v>57</v>
      </c>
      <c r="F5554" t="str">
        <f>HYPERLINK("https://github.com/Azure/azure-iot-sdk-java/issues/1035", "show")</f>
        <v>show</v>
      </c>
      <c r="G5554" t="str">
        <f>HYPERLINK("https://github.com/Azure/azure-iot-sdk-java", "show")</f>
        <v>show</v>
      </c>
      <c r="H5554" t="str">
        <f>HYPERLINK("https://github.com/Azure/azure-iot-sdk-java/releases", "show")</f>
        <v>show</v>
      </c>
      <c r="I5554">
        <v>0</v>
      </c>
      <c r="J5554">
        <v>0</v>
      </c>
      <c r="K5554">
        <v>1</v>
      </c>
      <c r="L5554">
        <v>0</v>
      </c>
      <c r="M5554" t="s">
        <v>122</v>
      </c>
    </row>
    <row r="5555" spans="1:13" hidden="1" x14ac:dyDescent="0.15">
      <c r="A5555" t="s">
        <v>17507</v>
      </c>
      <c r="B5555" t="s">
        <v>17508</v>
      </c>
      <c r="C5555" t="s">
        <v>17509</v>
      </c>
      <c r="D5555" t="s">
        <v>17492</v>
      </c>
      <c r="E5555">
        <v>48</v>
      </c>
      <c r="F5555" t="str">
        <f>HYPERLINK("https://github.com/commons-app/apps-android-commons/issues/4142", "show")</f>
        <v>show</v>
      </c>
      <c r="G5555" t="str">
        <f>HYPERLINK("https://github.com/commons-app/apps-android-commons", "show")</f>
        <v>show</v>
      </c>
      <c r="H5555" t="str">
        <f>HYPERLINK("https://github.com/commons-app/apps-android-commons/releases", "show")</f>
        <v>show</v>
      </c>
      <c r="I5555">
        <v>1</v>
      </c>
      <c r="J5555">
        <v>0</v>
      </c>
      <c r="K5555">
        <v>0</v>
      </c>
      <c r="L5555">
        <v>0</v>
      </c>
      <c r="M5555" t="s">
        <v>17</v>
      </c>
    </row>
    <row r="5556" spans="1:13" hidden="1" x14ac:dyDescent="0.15">
      <c r="A5556" t="s">
        <v>17510</v>
      </c>
      <c r="B5556" t="s">
        <v>17511</v>
      </c>
      <c r="C5556" t="s">
        <v>17512</v>
      </c>
      <c r="D5556" t="s">
        <v>17492</v>
      </c>
      <c r="E5556">
        <v>0</v>
      </c>
      <c r="F5556" t="str">
        <f>HYPERLINK("https://github.com/square/okhttp/issues/6494", "show")</f>
        <v>show</v>
      </c>
      <c r="G5556" t="str">
        <f>HYPERLINK("https://github.com/square/okhttp", "show")</f>
        <v>show</v>
      </c>
      <c r="H5556" t="str">
        <f>HYPERLINK("https://github.com/square/okhttp/releases", "show")</f>
        <v>show</v>
      </c>
      <c r="I5556">
        <v>1</v>
      </c>
      <c r="J5556">
        <v>0</v>
      </c>
      <c r="K5556">
        <v>1</v>
      </c>
      <c r="L5556">
        <v>0</v>
      </c>
      <c r="M5556" t="s">
        <v>64</v>
      </c>
    </row>
    <row r="5557" spans="1:13" hidden="1" x14ac:dyDescent="0.15">
      <c r="A5557" t="s">
        <v>17513</v>
      </c>
      <c r="B5557" t="s">
        <v>17514</v>
      </c>
      <c r="C5557" t="s">
        <v>17515</v>
      </c>
      <c r="D5557" t="s">
        <v>17492</v>
      </c>
      <c r="E5557">
        <v>0</v>
      </c>
      <c r="F5557" t="str">
        <f>HYPERLINK("https://github.com/mindustry-antigrief/mindustry-client/issues/22", "show")</f>
        <v>show</v>
      </c>
      <c r="G5557" t="str">
        <f>HYPERLINK("https://github.com/mindustry-antigrief/mindustry-client", "show")</f>
        <v>show</v>
      </c>
      <c r="H5557" t="str">
        <f>HYPERLINK("https://github.com/mindustry-antigrief/mindustry-client/releases", "show")</f>
        <v>show</v>
      </c>
      <c r="I5557">
        <v>1</v>
      </c>
      <c r="J5557">
        <v>0</v>
      </c>
      <c r="K5557">
        <v>0</v>
      </c>
      <c r="L5557">
        <v>0</v>
      </c>
      <c r="M5557" t="s">
        <v>17</v>
      </c>
    </row>
    <row r="5558" spans="1:13" hidden="1" x14ac:dyDescent="0.15">
      <c r="A5558" t="s">
        <v>17516</v>
      </c>
      <c r="B5558" t="s">
        <v>17517</v>
      </c>
      <c r="C5558" t="s">
        <v>17518</v>
      </c>
      <c r="D5558" t="s">
        <v>17492</v>
      </c>
      <c r="E5558">
        <v>0</v>
      </c>
      <c r="F5558" t="str">
        <f>HYPERLINK("https://github.com/Anuken/Mindustry/issues/4176", "show")</f>
        <v>show</v>
      </c>
      <c r="G5558" t="str">
        <f>HYPERLINK("https://github.com/Anuken/Mindustry", "show")</f>
        <v>show</v>
      </c>
      <c r="H5558" t="str">
        <f>HYPERLINK("https://github.com/Anuken/Mindustry/releases", "show")</f>
        <v>show</v>
      </c>
      <c r="I5558">
        <v>0</v>
      </c>
      <c r="J5558">
        <v>0</v>
      </c>
      <c r="K5558">
        <v>1</v>
      </c>
      <c r="L5558">
        <v>0</v>
      </c>
      <c r="M5558" t="s">
        <v>122</v>
      </c>
    </row>
    <row r="5559" spans="1:13" x14ac:dyDescent="0.15">
      <c r="A5559" t="s">
        <v>17519</v>
      </c>
      <c r="B5559" t="s">
        <v>17520</v>
      </c>
      <c r="C5559" t="s">
        <v>17521</v>
      </c>
      <c r="D5559" t="s">
        <v>17522</v>
      </c>
      <c r="E5559">
        <v>0</v>
      </c>
      <c r="F5559" t="str">
        <f>HYPERLINK("https://github.com/Anuken/Mindustry/issues/4174", "show")</f>
        <v>show</v>
      </c>
      <c r="G5559" t="str">
        <f>HYPERLINK("https://github.com/Anuken/Mindustry", "show")</f>
        <v>show</v>
      </c>
      <c r="H5559" t="str">
        <f>HYPERLINK("https://github.com/Anuken/Mindustry/releases", "show")</f>
        <v>show</v>
      </c>
      <c r="I5559">
        <v>0</v>
      </c>
      <c r="J5559">
        <v>1</v>
      </c>
      <c r="K5559">
        <v>0</v>
      </c>
      <c r="L5559">
        <v>0</v>
      </c>
      <c r="M5559" t="s">
        <v>139</v>
      </c>
    </row>
    <row r="5560" spans="1:13" hidden="1" x14ac:dyDescent="0.15">
      <c r="A5560" t="s">
        <v>17523</v>
      </c>
      <c r="B5560" t="s">
        <v>17524</v>
      </c>
      <c r="C5560" t="s">
        <v>17525</v>
      </c>
      <c r="D5560" t="s">
        <v>17522</v>
      </c>
      <c r="E5560">
        <v>160</v>
      </c>
      <c r="F5560" t="str">
        <f>HYPERLINK("https://github.com/aws-amplify/amplify-android/issues/1090", "show")</f>
        <v>show</v>
      </c>
      <c r="G5560" t="str">
        <f>HYPERLINK("https://github.com/aws-amplify/amplify-android", "show")</f>
        <v>show</v>
      </c>
      <c r="H5560" t="str">
        <f>HYPERLINK("https://github.com/aws-amplify/amplify-android/releases", "show")</f>
        <v>show</v>
      </c>
      <c r="I5560">
        <v>1</v>
      </c>
      <c r="J5560">
        <v>0</v>
      </c>
      <c r="K5560">
        <v>1</v>
      </c>
      <c r="L5560">
        <v>0</v>
      </c>
      <c r="M5560" t="s">
        <v>64</v>
      </c>
    </row>
    <row r="5561" spans="1:13" hidden="1" x14ac:dyDescent="0.15">
      <c r="A5561" t="s">
        <v>17526</v>
      </c>
      <c r="B5561" t="s">
        <v>17527</v>
      </c>
      <c r="C5561" t="s">
        <v>17528</v>
      </c>
      <c r="D5561" t="s">
        <v>17522</v>
      </c>
      <c r="E5561">
        <v>0</v>
      </c>
      <c r="F5561" t="str">
        <f>HYPERLINK("https://github.com/Anuken/Mindustry/issues/4172", "show")</f>
        <v>show</v>
      </c>
      <c r="G5561" t="str">
        <f>HYPERLINK("https://github.com/Anuken/Mindustry", "show")</f>
        <v>show</v>
      </c>
      <c r="H5561" t="str">
        <f>HYPERLINK("https://github.com/Anuken/Mindustry/releases", "show")</f>
        <v>show</v>
      </c>
      <c r="I5561">
        <v>1</v>
      </c>
      <c r="J5561">
        <v>1</v>
      </c>
      <c r="K5561">
        <v>0</v>
      </c>
      <c r="L5561">
        <v>1</v>
      </c>
      <c r="M5561" t="s">
        <v>1894</v>
      </c>
    </row>
    <row r="5562" spans="1:13" hidden="1" x14ac:dyDescent="0.15">
      <c r="A5562" t="s">
        <v>17529</v>
      </c>
      <c r="B5562" t="s">
        <v>17530</v>
      </c>
      <c r="C5562" t="s">
        <v>17531</v>
      </c>
      <c r="D5562" t="s">
        <v>17522</v>
      </c>
      <c r="E5562">
        <v>55</v>
      </c>
      <c r="F5562" t="str">
        <f>HYPERLINK("https://github.com/nextcloud/android/issues/7750", "show")</f>
        <v>show</v>
      </c>
      <c r="G5562" t="str">
        <f>HYPERLINK("https://github.com/nextcloud/android", "show")</f>
        <v>show</v>
      </c>
      <c r="H5562" t="str">
        <f>HYPERLINK("https://github.com/nextcloud/android/releases", "show")</f>
        <v>show</v>
      </c>
      <c r="I5562">
        <v>1</v>
      </c>
      <c r="J5562">
        <v>1</v>
      </c>
      <c r="K5562">
        <v>0</v>
      </c>
      <c r="L5562">
        <v>0</v>
      </c>
      <c r="M5562" t="s">
        <v>48</v>
      </c>
    </row>
    <row r="5563" spans="1:13" hidden="1" x14ac:dyDescent="0.15">
      <c r="A5563" t="s">
        <v>17532</v>
      </c>
      <c r="B5563" t="s">
        <v>17533</v>
      </c>
      <c r="C5563" t="s">
        <v>17534</v>
      </c>
      <c r="D5563" t="s">
        <v>17522</v>
      </c>
      <c r="E5563">
        <v>0</v>
      </c>
      <c r="F5563" t="str">
        <f>HYPERLINK("https://github.com/TeamNewPipe/NewPipe/issues/5308", "show")</f>
        <v>show</v>
      </c>
      <c r="G5563" t="str">
        <f>HYPERLINK("https://github.com/TeamNewPipe/NewPipe", "show")</f>
        <v>show</v>
      </c>
      <c r="H5563" t="str">
        <f>HYPERLINK("https://github.com/TeamNewPipe/NewPipe/releases", "show")</f>
        <v>show</v>
      </c>
      <c r="I5563">
        <v>1</v>
      </c>
      <c r="J5563">
        <v>1</v>
      </c>
      <c r="K5563">
        <v>1</v>
      </c>
      <c r="L5563">
        <v>0</v>
      </c>
      <c r="M5563" t="s">
        <v>59</v>
      </c>
    </row>
    <row r="5564" spans="1:13" hidden="1" x14ac:dyDescent="0.15">
      <c r="A5564" t="s">
        <v>17535</v>
      </c>
      <c r="B5564" t="s">
        <v>16073</v>
      </c>
      <c r="C5564" t="s">
        <v>17536</v>
      </c>
      <c r="D5564" t="s">
        <v>17522</v>
      </c>
      <c r="E5564">
        <v>0</v>
      </c>
      <c r="F5564" t="str">
        <f>HYPERLINK("https://github.com/Anuken/Mindustry/issues/4166", "show")</f>
        <v>show</v>
      </c>
      <c r="G5564" t="str">
        <f>HYPERLINK("https://github.com/Anuken/Mindustry", "show")</f>
        <v>show</v>
      </c>
      <c r="H5564" t="str">
        <f>HYPERLINK("https://github.com/Anuken/Mindustry/releases", "show")</f>
        <v>show</v>
      </c>
      <c r="I5564">
        <v>0</v>
      </c>
      <c r="J5564">
        <v>0</v>
      </c>
      <c r="K5564">
        <v>1</v>
      </c>
      <c r="L5564">
        <v>0</v>
      </c>
      <c r="M5564" t="s">
        <v>122</v>
      </c>
    </row>
    <row r="5565" spans="1:13" hidden="1" x14ac:dyDescent="0.15">
      <c r="A5565" t="s">
        <v>17537</v>
      </c>
      <c r="B5565" t="s">
        <v>17538</v>
      </c>
      <c r="C5565" t="s">
        <v>17539</v>
      </c>
      <c r="D5565" t="s">
        <v>17522</v>
      </c>
      <c r="E5565">
        <v>0</v>
      </c>
      <c r="F5565" t="str">
        <f>HYPERLINK("https://github.com/Anuken/Mindustry/issues/4162", "show")</f>
        <v>show</v>
      </c>
      <c r="G5565" t="str">
        <f>HYPERLINK("https://github.com/Anuken/Mindustry", "show")</f>
        <v>show</v>
      </c>
      <c r="H5565" t="str">
        <f>HYPERLINK("https://github.com/Anuken/Mindustry/releases", "show")</f>
        <v>show</v>
      </c>
      <c r="I5565">
        <v>0</v>
      </c>
      <c r="J5565">
        <v>1</v>
      </c>
      <c r="K5565">
        <v>0</v>
      </c>
      <c r="L5565">
        <v>1</v>
      </c>
      <c r="M5565" t="s">
        <v>1732</v>
      </c>
    </row>
    <row r="5566" spans="1:13" hidden="1" x14ac:dyDescent="0.15">
      <c r="A5566" t="s">
        <v>17540</v>
      </c>
      <c r="B5566" t="s">
        <v>17541</v>
      </c>
      <c r="C5566" t="s">
        <v>17542</v>
      </c>
      <c r="D5566" t="s">
        <v>17522</v>
      </c>
      <c r="E5566">
        <v>54</v>
      </c>
      <c r="F5566" t="str">
        <f>HYPERLINK("https://github.com/Blankj/AndroidUtilCode/issues/1412", "show")</f>
        <v>show</v>
      </c>
      <c r="G5566" t="str">
        <f>HYPERLINK("https://github.com/Blankj/AndroidUtilCode", "show")</f>
        <v>show</v>
      </c>
      <c r="H5566" t="str">
        <f>HYPERLINK("https://github.com/Blankj/AndroidUtilCode/releases", "show")</f>
        <v>show</v>
      </c>
      <c r="I5566">
        <v>0</v>
      </c>
      <c r="J5566">
        <v>0</v>
      </c>
      <c r="K5566">
        <v>0</v>
      </c>
      <c r="L5566">
        <v>0</v>
      </c>
      <c r="M5566" t="s">
        <v>43</v>
      </c>
    </row>
    <row r="5567" spans="1:13" hidden="1" x14ac:dyDescent="0.15">
      <c r="A5567" t="s">
        <v>17543</v>
      </c>
      <c r="B5567" t="s">
        <v>17544</v>
      </c>
      <c r="C5567" t="s">
        <v>17545</v>
      </c>
      <c r="D5567" t="s">
        <v>17522</v>
      </c>
      <c r="E5567">
        <v>0</v>
      </c>
      <c r="F5567" t="str">
        <f>HYPERLINK("https://github.com/Anuken/Mindustry/issues/4159", "show")</f>
        <v>show</v>
      </c>
      <c r="G5567" t="str">
        <f>HYPERLINK("https://github.com/Anuken/Mindustry", "show")</f>
        <v>show</v>
      </c>
      <c r="H5567" t="str">
        <f>HYPERLINK("https://github.com/Anuken/Mindustry/releases", "show")</f>
        <v>show</v>
      </c>
      <c r="I5567">
        <v>1</v>
      </c>
      <c r="J5567">
        <v>1</v>
      </c>
      <c r="K5567">
        <v>0</v>
      </c>
      <c r="L5567">
        <v>1</v>
      </c>
      <c r="M5567" t="s">
        <v>1894</v>
      </c>
    </row>
    <row r="5568" spans="1:13" x14ac:dyDescent="0.15">
      <c r="A5568" t="s">
        <v>17546</v>
      </c>
      <c r="B5568" t="s">
        <v>17547</v>
      </c>
      <c r="C5568" t="s">
        <v>17548</v>
      </c>
      <c r="D5568" t="s">
        <v>17549</v>
      </c>
      <c r="E5568">
        <v>0</v>
      </c>
      <c r="F5568" t="str">
        <f>HYPERLINK("https://github.com/Anuken/Mindustry/issues/4158", "show")</f>
        <v>show</v>
      </c>
      <c r="G5568" t="str">
        <f>HYPERLINK("https://github.com/Anuken/Mindustry", "show")</f>
        <v>show</v>
      </c>
      <c r="H5568" t="str">
        <f>HYPERLINK("https://github.com/Anuken/Mindustry/releases", "show")</f>
        <v>show</v>
      </c>
      <c r="I5568">
        <v>0</v>
      </c>
      <c r="J5568">
        <v>1</v>
      </c>
      <c r="K5568">
        <v>0</v>
      </c>
      <c r="L5568">
        <v>0</v>
      </c>
      <c r="M5568" t="s">
        <v>139</v>
      </c>
    </row>
    <row r="5569" spans="1:13" hidden="1" x14ac:dyDescent="0.15">
      <c r="A5569" t="s">
        <v>17550</v>
      </c>
      <c r="B5569" t="s">
        <v>17551</v>
      </c>
      <c r="C5569" t="s">
        <v>17552</v>
      </c>
      <c r="D5569" t="s">
        <v>17549</v>
      </c>
      <c r="E5569">
        <v>311</v>
      </c>
      <c r="F5569" t="str">
        <f>HYPERLINK("https://github.com/material-components/material-components-android/issues/1955", "show")</f>
        <v>show</v>
      </c>
      <c r="G5569" t="str">
        <f>HYPERLINK("https://github.com/material-components/material-components-android", "show")</f>
        <v>show</v>
      </c>
      <c r="H5569" t="str">
        <f>HYPERLINK("https://github.com/material-components/material-components-android/releases", "show")</f>
        <v>show</v>
      </c>
      <c r="I5569">
        <v>1</v>
      </c>
      <c r="J5569">
        <v>0</v>
      </c>
      <c r="K5569">
        <v>1</v>
      </c>
      <c r="L5569">
        <v>0</v>
      </c>
      <c r="M5569" t="s">
        <v>64</v>
      </c>
    </row>
    <row r="5570" spans="1:13" hidden="1" x14ac:dyDescent="0.15">
      <c r="A5570" t="s">
        <v>17553</v>
      </c>
      <c r="B5570" t="s">
        <v>17554</v>
      </c>
      <c r="C5570" t="s">
        <v>17555</v>
      </c>
      <c r="D5570" t="s">
        <v>17549</v>
      </c>
      <c r="E5570">
        <v>0</v>
      </c>
      <c r="F5570" t="str">
        <f>HYPERLINK("https://github.com/Anuken/Mindustry/issues/4156", "show")</f>
        <v>show</v>
      </c>
      <c r="G5570" t="str">
        <f>HYPERLINK("https://github.com/Anuken/Mindustry", "show")</f>
        <v>show</v>
      </c>
      <c r="H5570" t="str">
        <f>HYPERLINK("https://github.com/Anuken/Mindustry/releases", "show")</f>
        <v>show</v>
      </c>
      <c r="I5570">
        <v>0</v>
      </c>
      <c r="J5570">
        <v>0</v>
      </c>
      <c r="K5570">
        <v>1</v>
      </c>
      <c r="L5570">
        <v>0</v>
      </c>
      <c r="M5570" t="s">
        <v>122</v>
      </c>
    </row>
    <row r="5571" spans="1:13" hidden="1" x14ac:dyDescent="0.15">
      <c r="A5571" t="s">
        <v>17556</v>
      </c>
      <c r="B5571" t="s">
        <v>17557</v>
      </c>
      <c r="C5571" t="s">
        <v>17558</v>
      </c>
      <c r="D5571" t="s">
        <v>17549</v>
      </c>
      <c r="E5571">
        <v>0</v>
      </c>
      <c r="F5571" t="str">
        <f>HYPERLINK("https://github.com/MuntashirAkon/AppManager/issues/204", "show")</f>
        <v>show</v>
      </c>
      <c r="G5571" t="str">
        <f>HYPERLINK("https://github.com/MuntashirAkon/AppManager", "show")</f>
        <v>show</v>
      </c>
      <c r="H5571" t="str">
        <f>HYPERLINK("https://github.com/MuntashirAkon/AppManager/releases", "show")</f>
        <v>show</v>
      </c>
      <c r="I5571">
        <v>1</v>
      </c>
      <c r="J5571">
        <v>1</v>
      </c>
      <c r="K5571">
        <v>1</v>
      </c>
      <c r="L5571">
        <v>0</v>
      </c>
      <c r="M5571" t="s">
        <v>59</v>
      </c>
    </row>
    <row r="5572" spans="1:13" hidden="1" x14ac:dyDescent="0.15">
      <c r="A5572" t="s">
        <v>17559</v>
      </c>
      <c r="B5572" t="s">
        <v>17560</v>
      </c>
      <c r="C5572" t="s">
        <v>17561</v>
      </c>
      <c r="D5572" t="s">
        <v>17549</v>
      </c>
      <c r="E5572">
        <v>1</v>
      </c>
      <c r="F5572" t="str">
        <f>HYPERLINK("https://github.com/neosensory/neosensory-sdk-for-android-java/issues/7", "show")</f>
        <v>show</v>
      </c>
      <c r="G5572" t="str">
        <f>HYPERLINK("https://github.com/neosensory/neosensory-sdk-for-android-java", "show")</f>
        <v>show</v>
      </c>
      <c r="H5572" t="str">
        <f>HYPERLINK("https://github.com/neosensory/neosensory-sdk-for-android-java/releases", "show")</f>
        <v>show</v>
      </c>
      <c r="I5572">
        <v>1</v>
      </c>
      <c r="J5572">
        <v>0</v>
      </c>
      <c r="K5572">
        <v>0</v>
      </c>
      <c r="L5572">
        <v>0</v>
      </c>
      <c r="M5572" t="s">
        <v>17</v>
      </c>
    </row>
    <row r="5573" spans="1:13" hidden="1" x14ac:dyDescent="0.15">
      <c r="A5573" t="s">
        <v>17562</v>
      </c>
      <c r="B5573" t="s">
        <v>17563</v>
      </c>
      <c r="C5573" t="s">
        <v>17564</v>
      </c>
      <c r="D5573" t="s">
        <v>17549</v>
      </c>
      <c r="E5573">
        <v>0</v>
      </c>
      <c r="F5573" t="str">
        <f>HYPERLINK("https://github.com/Anuken/Mindustry/issues/4151", "show")</f>
        <v>show</v>
      </c>
      <c r="G5573" t="str">
        <f>HYPERLINK("https://github.com/Anuken/Mindustry", "show")</f>
        <v>show</v>
      </c>
      <c r="H5573" t="str">
        <f>HYPERLINK("https://github.com/Anuken/Mindustry/releases", "show")</f>
        <v>show</v>
      </c>
      <c r="I5573">
        <v>0</v>
      </c>
      <c r="J5573">
        <v>0</v>
      </c>
      <c r="K5573">
        <v>0</v>
      </c>
      <c r="L5573">
        <v>1</v>
      </c>
      <c r="M5573" t="s">
        <v>581</v>
      </c>
    </row>
    <row r="5574" spans="1:13" hidden="1" x14ac:dyDescent="0.15">
      <c r="A5574" t="s">
        <v>17565</v>
      </c>
      <c r="B5574" t="s">
        <v>17566</v>
      </c>
      <c r="C5574" t="s">
        <v>16901</v>
      </c>
      <c r="D5574" t="s">
        <v>17567</v>
      </c>
      <c r="E5574">
        <v>0</v>
      </c>
      <c r="F5574" t="str">
        <f>HYPERLINK("https://github.com/Anuken/Mindustry/issues/4145", "show")</f>
        <v>show</v>
      </c>
      <c r="G5574" t="str">
        <f>HYPERLINK("https://github.com/Anuken/Mindustry", "show")</f>
        <v>show</v>
      </c>
      <c r="H5574" t="str">
        <f>HYPERLINK("https://github.com/Anuken/Mindustry/releases", "show")</f>
        <v>show</v>
      </c>
      <c r="I5574">
        <v>1</v>
      </c>
      <c r="J5574">
        <v>0</v>
      </c>
      <c r="K5574">
        <v>0</v>
      </c>
      <c r="L5574">
        <v>0</v>
      </c>
      <c r="M5574" t="s">
        <v>17</v>
      </c>
    </row>
    <row r="5575" spans="1:13" hidden="1" x14ac:dyDescent="0.15">
      <c r="A5575" t="s">
        <v>17568</v>
      </c>
      <c r="B5575" t="s">
        <v>17569</v>
      </c>
      <c r="C5575" t="s">
        <v>17570</v>
      </c>
      <c r="D5575" t="s">
        <v>17567</v>
      </c>
      <c r="E5575">
        <v>482</v>
      </c>
      <c r="F5575" t="str">
        <f>HYPERLINK("https://github.com/TeamNewPipe/NewPipe/issues/5293", "show")</f>
        <v>show</v>
      </c>
      <c r="G5575" t="str">
        <f>HYPERLINK("https://github.com/TeamNewPipe/NewPipe", "show")</f>
        <v>show</v>
      </c>
      <c r="H5575" t="str">
        <f>HYPERLINK("https://github.com/TeamNewPipe/NewPipe/releases", "show")</f>
        <v>show</v>
      </c>
      <c r="I5575">
        <v>1</v>
      </c>
      <c r="J5575">
        <v>1</v>
      </c>
      <c r="K5575">
        <v>1</v>
      </c>
      <c r="L5575">
        <v>0</v>
      </c>
      <c r="M5575" t="s">
        <v>59</v>
      </c>
    </row>
    <row r="5576" spans="1:13" hidden="1" x14ac:dyDescent="0.15">
      <c r="A5576" t="s">
        <v>17571</v>
      </c>
      <c r="B5576" t="s">
        <v>17572</v>
      </c>
      <c r="C5576" t="s">
        <v>17573</v>
      </c>
      <c r="D5576" t="s">
        <v>17567</v>
      </c>
      <c r="E5576">
        <v>85</v>
      </c>
      <c r="F5576" t="str">
        <f>HYPERLINK("https://github.com/k9mail/k-9/issues/5081", "show")</f>
        <v>show</v>
      </c>
      <c r="G5576" t="str">
        <f>HYPERLINK("https://github.com/k9mail/k-9", "show")</f>
        <v>show</v>
      </c>
      <c r="H5576" t="str">
        <f>HYPERLINK("https://github.com/k9mail/k-9/releases", "show")</f>
        <v>show</v>
      </c>
      <c r="I5576">
        <v>0</v>
      </c>
      <c r="J5576">
        <v>0</v>
      </c>
      <c r="K5576">
        <v>0</v>
      </c>
      <c r="L5576">
        <v>0</v>
      </c>
      <c r="M5576" t="s">
        <v>43</v>
      </c>
    </row>
    <row r="5577" spans="1:13" hidden="1" x14ac:dyDescent="0.15">
      <c r="A5577" t="s">
        <v>17574</v>
      </c>
      <c r="B5577" t="s">
        <v>17575</v>
      </c>
      <c r="C5577" t="s">
        <v>17576</v>
      </c>
      <c r="D5577" t="s">
        <v>17567</v>
      </c>
      <c r="E5577">
        <v>193</v>
      </c>
      <c r="F5577" t="str">
        <f>HYPERLINK("https://github.com/NightscoutFoundation/xDrip/issues/1578", "show")</f>
        <v>show</v>
      </c>
      <c r="G5577" t="str">
        <f>HYPERLINK("https://github.com/NightscoutFoundation/xDrip", "show")</f>
        <v>show</v>
      </c>
      <c r="H5577" t="str">
        <f>HYPERLINK("https://github.com/NightscoutFoundation/xDrip/releases", "show")</f>
        <v>show</v>
      </c>
      <c r="I5577">
        <v>1</v>
      </c>
      <c r="J5577">
        <v>0</v>
      </c>
      <c r="K5577">
        <v>0</v>
      </c>
      <c r="L5577">
        <v>0</v>
      </c>
      <c r="M5577" t="s">
        <v>17</v>
      </c>
    </row>
    <row r="5578" spans="1:13" hidden="1" x14ac:dyDescent="0.15">
      <c r="A5578" t="s">
        <v>17577</v>
      </c>
      <c r="B5578" t="s">
        <v>17578</v>
      </c>
      <c r="C5578" t="s">
        <v>17579</v>
      </c>
      <c r="D5578" t="s">
        <v>17567</v>
      </c>
      <c r="E5578">
        <v>8</v>
      </c>
      <c r="F5578" t="str">
        <f>HYPERLINK("https://github.com/osudroid/osu-droid/issues/64", "show")</f>
        <v>show</v>
      </c>
      <c r="G5578" t="str">
        <f>HYPERLINK("https://github.com/osudroid/osu-droid", "show")</f>
        <v>show</v>
      </c>
      <c r="H5578" t="str">
        <f>HYPERLINK("https://github.com/osudroid/osu-droid/releases", "show")</f>
        <v>show</v>
      </c>
      <c r="I5578">
        <v>1</v>
      </c>
      <c r="J5578">
        <v>0</v>
      </c>
      <c r="K5578">
        <v>0</v>
      </c>
      <c r="L5578">
        <v>0</v>
      </c>
      <c r="M5578" t="s">
        <v>17</v>
      </c>
    </row>
    <row r="5579" spans="1:13" hidden="1" x14ac:dyDescent="0.15">
      <c r="A5579" t="s">
        <v>17580</v>
      </c>
      <c r="B5579" t="s">
        <v>17581</v>
      </c>
      <c r="C5579" t="s">
        <v>17582</v>
      </c>
      <c r="D5579" t="s">
        <v>17567</v>
      </c>
      <c r="E5579">
        <v>0</v>
      </c>
      <c r="F5579" t="str">
        <f>HYPERLINK("https://github.com/Anuken/Mindustry/issues/4140", "show")</f>
        <v>show</v>
      </c>
      <c r="G5579" t="str">
        <f>HYPERLINK("https://github.com/Anuken/Mindustry", "show")</f>
        <v>show</v>
      </c>
      <c r="H5579" t="str">
        <f>HYPERLINK("https://github.com/Anuken/Mindustry/releases", "show")</f>
        <v>show</v>
      </c>
      <c r="I5579">
        <v>1</v>
      </c>
      <c r="J5579">
        <v>1</v>
      </c>
      <c r="K5579">
        <v>0</v>
      </c>
      <c r="L5579">
        <v>0</v>
      </c>
      <c r="M5579" t="s">
        <v>48</v>
      </c>
    </row>
    <row r="5580" spans="1:13" hidden="1" x14ac:dyDescent="0.15">
      <c r="A5580" t="s">
        <v>17583</v>
      </c>
      <c r="B5580" t="s">
        <v>17584</v>
      </c>
      <c r="C5580" t="s">
        <v>17585</v>
      </c>
      <c r="D5580" t="s">
        <v>17567</v>
      </c>
      <c r="E5580">
        <v>0</v>
      </c>
      <c r="F5580" t="str">
        <f>HYPERLINK("https://github.com/microg/GmsCore/issues/1343", "show")</f>
        <v>show</v>
      </c>
      <c r="G5580" t="str">
        <f>HYPERLINK("https://github.com/microg/GmsCore", "show")</f>
        <v>show</v>
      </c>
      <c r="H5580" t="str">
        <f>HYPERLINK("https://github.com/microg/GmsCore/releases", "show")</f>
        <v>show</v>
      </c>
      <c r="I5580">
        <v>0</v>
      </c>
      <c r="J5580">
        <v>0</v>
      </c>
      <c r="K5580">
        <v>0</v>
      </c>
      <c r="L5580">
        <v>0</v>
      </c>
      <c r="M5580" t="s">
        <v>43</v>
      </c>
    </row>
    <row r="5581" spans="1:13" hidden="1" x14ac:dyDescent="0.15">
      <c r="A5581" t="s">
        <v>17586</v>
      </c>
      <c r="B5581" t="s">
        <v>17587</v>
      </c>
      <c r="C5581" t="s">
        <v>17588</v>
      </c>
      <c r="D5581" t="s">
        <v>17567</v>
      </c>
      <c r="E5581">
        <v>0</v>
      </c>
      <c r="F5581" t="str">
        <f>HYPERLINK("https://github.com/akaecliptic/Cinephile/issues/5", "show")</f>
        <v>show</v>
      </c>
      <c r="G5581" t="str">
        <f>HYPERLINK("https://github.com/akaecliptic/Cinephile", "show")</f>
        <v>show</v>
      </c>
      <c r="H5581" t="str">
        <f>HYPERLINK("https://github.com/akaecliptic/Cinephile/releases", "show")</f>
        <v>show</v>
      </c>
      <c r="I5581">
        <v>1</v>
      </c>
      <c r="J5581">
        <v>0</v>
      </c>
      <c r="K5581">
        <v>0</v>
      </c>
      <c r="L5581">
        <v>0</v>
      </c>
      <c r="M5581" t="s">
        <v>17</v>
      </c>
    </row>
    <row r="5582" spans="1:13" hidden="1" x14ac:dyDescent="0.15">
      <c r="A5582" t="s">
        <v>17589</v>
      </c>
      <c r="B5582" t="s">
        <v>17590</v>
      </c>
      <c r="C5582" t="s">
        <v>17591</v>
      </c>
      <c r="D5582" t="s">
        <v>17567</v>
      </c>
      <c r="E5582">
        <v>0</v>
      </c>
      <c r="F5582" t="str">
        <f>HYPERLINK("https://github.com/TeamNewPipe/NewPipe/issues/5287", "show")</f>
        <v>show</v>
      </c>
      <c r="G5582" t="str">
        <f>HYPERLINK("https://github.com/TeamNewPipe/NewPipe", "show")</f>
        <v>show</v>
      </c>
      <c r="H5582" t="str">
        <f>HYPERLINK("https://github.com/TeamNewPipe/NewPipe/releases", "show")</f>
        <v>show</v>
      </c>
      <c r="I5582">
        <v>1</v>
      </c>
      <c r="J5582">
        <v>1</v>
      </c>
      <c r="K5582">
        <v>1</v>
      </c>
      <c r="L5582">
        <v>0</v>
      </c>
      <c r="M5582" t="s">
        <v>59</v>
      </c>
    </row>
    <row r="5583" spans="1:13" x14ac:dyDescent="0.15">
      <c r="A5583" t="s">
        <v>17592</v>
      </c>
      <c r="B5583" t="s">
        <v>17593</v>
      </c>
      <c r="C5583" t="s">
        <v>17594</v>
      </c>
      <c r="D5583" t="s">
        <v>17567</v>
      </c>
      <c r="E5583">
        <v>73</v>
      </c>
      <c r="F5583" t="str">
        <f>HYPERLINK("https://github.com/nextcloud/android/issues/7739", "show")</f>
        <v>show</v>
      </c>
      <c r="G5583" t="str">
        <f>HYPERLINK("https://github.com/nextcloud/android", "show")</f>
        <v>show</v>
      </c>
      <c r="H5583" t="str">
        <f>HYPERLINK("https://github.com/nextcloud/android/releases", "show")</f>
        <v>show</v>
      </c>
      <c r="I5583">
        <v>0</v>
      </c>
      <c r="J5583">
        <v>1</v>
      </c>
      <c r="K5583">
        <v>0</v>
      </c>
      <c r="L5583">
        <v>0</v>
      </c>
      <c r="M5583" t="s">
        <v>139</v>
      </c>
    </row>
    <row r="5584" spans="1:13" hidden="1" x14ac:dyDescent="0.15">
      <c r="A5584" t="s">
        <v>17595</v>
      </c>
      <c r="B5584" t="s">
        <v>17596</v>
      </c>
      <c r="C5584" t="s">
        <v>17597</v>
      </c>
      <c r="D5584" t="s">
        <v>17567</v>
      </c>
      <c r="E5584">
        <v>0</v>
      </c>
      <c r="F5584" t="str">
        <f>HYPERLINK("https://github.com/PojavLauncherTeam/PojavLauncher/issues/542", "show")</f>
        <v>show</v>
      </c>
      <c r="G5584" t="str">
        <f>HYPERLINK("https://github.com/PojavLauncherTeam/PojavLauncher", "show")</f>
        <v>show</v>
      </c>
      <c r="H5584" t="str">
        <f>HYPERLINK("https://github.com/PojavLauncherTeam/PojavLauncher/releases", "show")</f>
        <v>show</v>
      </c>
      <c r="I5584">
        <v>0</v>
      </c>
      <c r="J5584">
        <v>1</v>
      </c>
      <c r="K5584">
        <v>0</v>
      </c>
      <c r="L5584">
        <v>1</v>
      </c>
      <c r="M5584" t="s">
        <v>1732</v>
      </c>
    </row>
    <row r="5585" spans="1:13" hidden="1" x14ac:dyDescent="0.15">
      <c r="A5585" t="s">
        <v>17598</v>
      </c>
      <c r="B5585" t="s">
        <v>4312</v>
      </c>
      <c r="C5585" t="s">
        <v>17599</v>
      </c>
      <c r="D5585" t="s">
        <v>17600</v>
      </c>
      <c r="E5585">
        <v>13</v>
      </c>
      <c r="F5585" t="str">
        <f>HYPERLINK("https://github.com/nextcloud/android/issues/7734", "show")</f>
        <v>show</v>
      </c>
      <c r="G5585" t="str">
        <f>HYPERLINK("https://github.com/nextcloud/android", "show")</f>
        <v>show</v>
      </c>
      <c r="H5585" t="str">
        <f>HYPERLINK("https://github.com/nextcloud/android/releases", "show")</f>
        <v>show</v>
      </c>
      <c r="I5585">
        <v>0</v>
      </c>
      <c r="J5585">
        <v>1</v>
      </c>
      <c r="K5585">
        <v>1</v>
      </c>
      <c r="L5585">
        <v>0</v>
      </c>
      <c r="M5585" t="s">
        <v>699</v>
      </c>
    </row>
    <row r="5586" spans="1:13" hidden="1" x14ac:dyDescent="0.15">
      <c r="A5586" t="s">
        <v>17601</v>
      </c>
      <c r="B5586" t="s">
        <v>17602</v>
      </c>
      <c r="C5586" t="s">
        <v>17603</v>
      </c>
      <c r="D5586" t="s">
        <v>17600</v>
      </c>
      <c r="E5586">
        <v>0</v>
      </c>
      <c r="F5586" t="str">
        <f>HYPERLINK("https://github.com/Anuken/Mindustry/issues/4130", "show")</f>
        <v>show</v>
      </c>
      <c r="G5586" t="str">
        <f>HYPERLINK("https://github.com/Anuken/Mindustry", "show")</f>
        <v>show</v>
      </c>
      <c r="H5586" t="str">
        <f>HYPERLINK("https://github.com/Anuken/Mindustry/releases", "show")</f>
        <v>show</v>
      </c>
      <c r="I5586">
        <v>1</v>
      </c>
      <c r="J5586">
        <v>1</v>
      </c>
      <c r="K5586">
        <v>0</v>
      </c>
      <c r="L5586">
        <v>0</v>
      </c>
      <c r="M5586" t="s">
        <v>48</v>
      </c>
    </row>
    <row r="5587" spans="1:13" hidden="1" x14ac:dyDescent="0.15">
      <c r="A5587" t="s">
        <v>17604</v>
      </c>
      <c r="B5587" t="s">
        <v>17605</v>
      </c>
      <c r="C5587" t="s">
        <v>17606</v>
      </c>
      <c r="D5587" t="s">
        <v>17607</v>
      </c>
      <c r="E5587">
        <v>97</v>
      </c>
      <c r="F5587" t="str">
        <f>HYPERLINK("https://github.com/nextcloud/android/issues/7732", "show")</f>
        <v>show</v>
      </c>
      <c r="G5587" t="str">
        <f>HYPERLINK("https://github.com/nextcloud/android", "show")</f>
        <v>show</v>
      </c>
      <c r="H5587" t="str">
        <f>HYPERLINK("https://github.com/nextcloud/android/releases", "show")</f>
        <v>show</v>
      </c>
      <c r="I5587">
        <v>0</v>
      </c>
      <c r="J5587">
        <v>1</v>
      </c>
      <c r="K5587">
        <v>1</v>
      </c>
      <c r="L5587">
        <v>0</v>
      </c>
      <c r="M5587" t="s">
        <v>699</v>
      </c>
    </row>
    <row r="5588" spans="1:13" hidden="1" x14ac:dyDescent="0.15">
      <c r="A5588" t="s">
        <v>17608</v>
      </c>
      <c r="B5588" t="s">
        <v>17609</v>
      </c>
      <c r="C5588" t="s">
        <v>17610</v>
      </c>
      <c r="D5588" t="s">
        <v>17607</v>
      </c>
      <c r="E5588">
        <v>0</v>
      </c>
      <c r="F5588" t="str">
        <f>HYPERLINK("https://github.com/Anuken/Mindustry/issues/4124", "show")</f>
        <v>show</v>
      </c>
      <c r="G5588" t="str">
        <f>HYPERLINK("https://github.com/Anuken/Mindustry", "show")</f>
        <v>show</v>
      </c>
      <c r="H5588" t="str">
        <f>HYPERLINK("https://github.com/Anuken/Mindustry/releases", "show")</f>
        <v>show</v>
      </c>
      <c r="I5588">
        <v>1</v>
      </c>
      <c r="J5588">
        <v>1</v>
      </c>
      <c r="K5588">
        <v>0</v>
      </c>
      <c r="L5588">
        <v>0</v>
      </c>
      <c r="M5588" t="s">
        <v>48</v>
      </c>
    </row>
    <row r="5589" spans="1:13" hidden="1" x14ac:dyDescent="0.15">
      <c r="A5589" t="s">
        <v>17611</v>
      </c>
      <c r="B5589" t="s">
        <v>17612</v>
      </c>
      <c r="C5589" t="s">
        <v>17613</v>
      </c>
      <c r="D5589" t="s">
        <v>17607</v>
      </c>
      <c r="E5589">
        <v>32</v>
      </c>
      <c r="F5589" t="str">
        <f>HYPERLINK("https://github.com/libgdx/libgdx/issues/6331", "show")</f>
        <v>show</v>
      </c>
      <c r="G5589" t="str">
        <f>HYPERLINK("https://github.com/libgdx/libgdx", "show")</f>
        <v>show</v>
      </c>
      <c r="H5589" t="str">
        <f>HYPERLINK("https://github.com/libgdx/libgdx/releases", "show")</f>
        <v>show</v>
      </c>
      <c r="I5589">
        <v>1</v>
      </c>
      <c r="J5589">
        <v>0</v>
      </c>
      <c r="K5589">
        <v>0</v>
      </c>
      <c r="L5589">
        <v>0</v>
      </c>
      <c r="M5589" t="s">
        <v>17</v>
      </c>
    </row>
    <row r="5590" spans="1:13" hidden="1" x14ac:dyDescent="0.15">
      <c r="A5590" t="s">
        <v>17614</v>
      </c>
      <c r="B5590" t="s">
        <v>17615</v>
      </c>
      <c r="C5590" t="s">
        <v>17616</v>
      </c>
      <c r="D5590" t="s">
        <v>17607</v>
      </c>
      <c r="E5590">
        <v>63</v>
      </c>
      <c r="F5590" t="str">
        <f>HYPERLINK("https://github.com/commons-app/apps-android-commons/issues/4129", "show")</f>
        <v>show</v>
      </c>
      <c r="G5590" t="str">
        <f>HYPERLINK("https://github.com/commons-app/apps-android-commons", "show")</f>
        <v>show</v>
      </c>
      <c r="H5590" t="str">
        <f>HYPERLINK("https://github.com/commons-app/apps-android-commons/releases", "show")</f>
        <v>show</v>
      </c>
      <c r="I5590">
        <v>1</v>
      </c>
      <c r="J5590">
        <v>1</v>
      </c>
      <c r="K5590">
        <v>1</v>
      </c>
      <c r="L5590">
        <v>0</v>
      </c>
      <c r="M5590" t="s">
        <v>59</v>
      </c>
    </row>
    <row r="5591" spans="1:13" hidden="1" x14ac:dyDescent="0.15">
      <c r="A5591" t="s">
        <v>17617</v>
      </c>
      <c r="B5591" t="s">
        <v>17618</v>
      </c>
      <c r="C5591" t="s">
        <v>17619</v>
      </c>
      <c r="D5591" t="s">
        <v>17607</v>
      </c>
      <c r="E5591">
        <v>0</v>
      </c>
      <c r="F5591" t="str">
        <f>HYPERLINK("https://github.com/Anuken/Mindustry/issues/4120", "show")</f>
        <v>show</v>
      </c>
      <c r="G5591" t="str">
        <f>HYPERLINK("https://github.com/Anuken/Mindustry", "show")</f>
        <v>show</v>
      </c>
      <c r="H5591" t="str">
        <f>HYPERLINK("https://github.com/Anuken/Mindustry/releases", "show")</f>
        <v>show</v>
      </c>
      <c r="I5591">
        <v>1</v>
      </c>
      <c r="J5591">
        <v>1</v>
      </c>
      <c r="K5591">
        <v>0</v>
      </c>
      <c r="L5591">
        <v>0</v>
      </c>
      <c r="M5591" t="s">
        <v>48</v>
      </c>
    </row>
    <row r="5592" spans="1:13" hidden="1" x14ac:dyDescent="0.15">
      <c r="A5592" t="s">
        <v>17620</v>
      </c>
      <c r="B5592" t="s">
        <v>17621</v>
      </c>
      <c r="C5592" t="s">
        <v>17622</v>
      </c>
      <c r="D5592" t="s">
        <v>17607</v>
      </c>
      <c r="E5592">
        <v>69</v>
      </c>
      <c r="F5592" t="str">
        <f>HYPERLINK("https://github.com/MarquisLP/World-Scribe/issues/60", "show")</f>
        <v>show</v>
      </c>
      <c r="G5592" t="str">
        <f>HYPERLINK("https://github.com/MarquisLP/World-Scribe", "show")</f>
        <v>show</v>
      </c>
      <c r="H5592" t="str">
        <f>HYPERLINK("https://github.com/MarquisLP/World-Scribe/releases", "show")</f>
        <v>show</v>
      </c>
      <c r="I5592">
        <v>1</v>
      </c>
      <c r="J5592">
        <v>1</v>
      </c>
      <c r="K5592">
        <v>0</v>
      </c>
      <c r="L5592">
        <v>0</v>
      </c>
      <c r="M5592" t="s">
        <v>48</v>
      </c>
    </row>
    <row r="5593" spans="1:13" hidden="1" x14ac:dyDescent="0.15">
      <c r="A5593" t="s">
        <v>17623</v>
      </c>
      <c r="B5593" t="s">
        <v>17624</v>
      </c>
      <c r="C5593" t="s">
        <v>17625</v>
      </c>
      <c r="D5593" t="s">
        <v>17607</v>
      </c>
      <c r="E5593">
        <v>0</v>
      </c>
      <c r="F5593" t="str">
        <f>HYPERLINK("https://github.com/MuntashirAkon/AppManager/issues/203", "show")</f>
        <v>show</v>
      </c>
      <c r="G5593" t="str">
        <f>HYPERLINK("https://github.com/MuntashirAkon/AppManager", "show")</f>
        <v>show</v>
      </c>
      <c r="H5593" t="str">
        <f>HYPERLINK("https://github.com/MuntashirAkon/AppManager/releases", "show")</f>
        <v>show</v>
      </c>
      <c r="I5593">
        <v>1</v>
      </c>
      <c r="J5593">
        <v>1</v>
      </c>
      <c r="K5593">
        <v>1</v>
      </c>
      <c r="L5593">
        <v>0</v>
      </c>
      <c r="M5593" t="s">
        <v>59</v>
      </c>
    </row>
    <row r="5594" spans="1:13" hidden="1" x14ac:dyDescent="0.15">
      <c r="A5594" t="s">
        <v>17626</v>
      </c>
      <c r="B5594" t="s">
        <v>17627</v>
      </c>
      <c r="C5594" t="s">
        <v>17628</v>
      </c>
      <c r="D5594" t="s">
        <v>17607</v>
      </c>
      <c r="E5594">
        <v>64</v>
      </c>
      <c r="F5594" t="str">
        <f>HYPERLINK("https://github.com/ElderDrivers/EdXposed/issues/770", "show")</f>
        <v>show</v>
      </c>
      <c r="G5594" t="str">
        <f>HYPERLINK("https://github.com/ElderDrivers/EdXposed", "show")</f>
        <v>show</v>
      </c>
      <c r="H5594" t="str">
        <f>HYPERLINK("https://github.com/ElderDrivers/EdXposed/releases", "show")</f>
        <v>show</v>
      </c>
      <c r="I5594">
        <v>0</v>
      </c>
      <c r="J5594">
        <v>0</v>
      </c>
      <c r="K5594">
        <v>0</v>
      </c>
      <c r="L5594">
        <v>0</v>
      </c>
      <c r="M5594" t="s">
        <v>43</v>
      </c>
    </row>
    <row r="5595" spans="1:13" hidden="1" x14ac:dyDescent="0.15">
      <c r="A5595" t="s">
        <v>17629</v>
      </c>
      <c r="B5595" t="s">
        <v>17630</v>
      </c>
      <c r="C5595" t="s">
        <v>17631</v>
      </c>
      <c r="D5595" t="s">
        <v>17607</v>
      </c>
      <c r="E5595">
        <v>0</v>
      </c>
      <c r="F5595" t="str">
        <f>HYPERLINK("https://github.com/Anuken/Mindustry/issues/4118", "show")</f>
        <v>show</v>
      </c>
      <c r="G5595" t="str">
        <f>HYPERLINK("https://github.com/Anuken/Mindustry", "show")</f>
        <v>show</v>
      </c>
      <c r="H5595" t="str">
        <f>HYPERLINK("https://github.com/Anuken/Mindustry/releases", "show")</f>
        <v>show</v>
      </c>
      <c r="I5595">
        <v>1</v>
      </c>
      <c r="J5595">
        <v>1</v>
      </c>
      <c r="K5595">
        <v>0</v>
      </c>
      <c r="L5595">
        <v>1</v>
      </c>
      <c r="M5595" t="s">
        <v>1894</v>
      </c>
    </row>
    <row r="5596" spans="1:13" hidden="1" x14ac:dyDescent="0.15">
      <c r="A5596" t="s">
        <v>17632</v>
      </c>
      <c r="B5596" t="s">
        <v>17633</v>
      </c>
      <c r="C5596" t="s">
        <v>17634</v>
      </c>
      <c r="D5596" t="s">
        <v>17607</v>
      </c>
      <c r="E5596">
        <v>0</v>
      </c>
      <c r="F5596" t="str">
        <f>HYPERLINK("https://github.com/Anuken/Mindustry/issues/4117", "show")</f>
        <v>show</v>
      </c>
      <c r="G5596" t="str">
        <f>HYPERLINK("https://github.com/Anuken/Mindustry", "show")</f>
        <v>show</v>
      </c>
      <c r="H5596" t="str">
        <f>HYPERLINK("https://github.com/Anuken/Mindustry/releases", "show")</f>
        <v>show</v>
      </c>
      <c r="I5596">
        <v>1</v>
      </c>
      <c r="J5596">
        <v>1</v>
      </c>
      <c r="K5596">
        <v>0</v>
      </c>
      <c r="L5596">
        <v>0</v>
      </c>
      <c r="M5596" t="s">
        <v>48</v>
      </c>
    </row>
    <row r="5597" spans="1:13" hidden="1" x14ac:dyDescent="0.15">
      <c r="A5597" t="s">
        <v>17635</v>
      </c>
      <c r="B5597" t="s">
        <v>17636</v>
      </c>
      <c r="C5597" t="s">
        <v>17637</v>
      </c>
      <c r="D5597" t="s">
        <v>17607</v>
      </c>
      <c r="E5597">
        <v>1</v>
      </c>
      <c r="F5597" t="str">
        <f>HYPERLINK("https://github.com/Poing-Studios/godot-admob-android/issues/30", "show")</f>
        <v>show</v>
      </c>
      <c r="G5597" t="str">
        <f>HYPERLINK("https://github.com/Poing-Studios/godot-admob-android", "show")</f>
        <v>show</v>
      </c>
      <c r="H5597" t="str">
        <f>HYPERLINK("https://github.com/Poing-Studios/godot-admob-android/releases", "show")</f>
        <v>show</v>
      </c>
      <c r="I5597">
        <v>1</v>
      </c>
      <c r="J5597">
        <v>0</v>
      </c>
      <c r="K5597">
        <v>0</v>
      </c>
      <c r="L5597">
        <v>1</v>
      </c>
      <c r="M5597" t="s">
        <v>29</v>
      </c>
    </row>
    <row r="5598" spans="1:13" hidden="1" x14ac:dyDescent="0.15">
      <c r="A5598" t="s">
        <v>17638</v>
      </c>
      <c r="B5598" t="s">
        <v>17639</v>
      </c>
      <c r="C5598" t="s">
        <v>17640</v>
      </c>
      <c r="D5598" t="s">
        <v>17607</v>
      </c>
      <c r="E5598">
        <v>0</v>
      </c>
      <c r="F5598" t="str">
        <f>HYPERLINK("https://github.com/Anuken/Mindustry/issues/4114", "show")</f>
        <v>show</v>
      </c>
      <c r="G5598" t="str">
        <f>HYPERLINK("https://github.com/Anuken/Mindustry", "show")</f>
        <v>show</v>
      </c>
      <c r="H5598" t="str">
        <f>HYPERLINK("https://github.com/Anuken/Mindustry/releases", "show")</f>
        <v>show</v>
      </c>
      <c r="I5598">
        <v>0</v>
      </c>
      <c r="J5598">
        <v>0</v>
      </c>
      <c r="K5598">
        <v>0</v>
      </c>
      <c r="L5598">
        <v>0</v>
      </c>
      <c r="M5598" t="s">
        <v>43</v>
      </c>
    </row>
    <row r="5599" spans="1:13" hidden="1" x14ac:dyDescent="0.15">
      <c r="A5599" t="s">
        <v>17641</v>
      </c>
      <c r="B5599" t="s">
        <v>17642</v>
      </c>
      <c r="C5599" t="s">
        <v>17643</v>
      </c>
      <c r="D5599" t="s">
        <v>17644</v>
      </c>
      <c r="E5599">
        <v>1</v>
      </c>
      <c r="F5599" t="str">
        <f>HYPERLINK("https://github.com/codingforceLM/IronDolphinMusicPlayer/issues/18", "show")</f>
        <v>show</v>
      </c>
      <c r="G5599" t="str">
        <f>HYPERLINK("https://github.com/codingforceLM/IronDolphinMusicPlayer", "show")</f>
        <v>show</v>
      </c>
      <c r="H5599" t="str">
        <f>HYPERLINK("https://github.com/codingforceLM/IronDolphinMusicPlayer/releases", "show")</f>
        <v>show</v>
      </c>
      <c r="I5599">
        <v>1</v>
      </c>
      <c r="J5599">
        <v>0</v>
      </c>
      <c r="K5599">
        <v>0</v>
      </c>
      <c r="L5599">
        <v>0</v>
      </c>
      <c r="M5599" t="s">
        <v>17</v>
      </c>
    </row>
    <row r="5600" spans="1:13" hidden="1" x14ac:dyDescent="0.15">
      <c r="A5600" t="s">
        <v>17645</v>
      </c>
      <c r="B5600" t="s">
        <v>17646</v>
      </c>
      <c r="D5600" t="s">
        <v>17644</v>
      </c>
      <c r="E5600">
        <v>0</v>
      </c>
      <c r="F5600" t="str">
        <f>HYPERLINK("https://github.com/Horizontal-org/Tella-Android/issues/58", "show")</f>
        <v>show</v>
      </c>
      <c r="G5600" t="str">
        <f>HYPERLINK("https://github.com/Horizontal-org/Tella-Android", "show")</f>
        <v>show</v>
      </c>
      <c r="H5600" t="str">
        <f>HYPERLINK("https://github.com/Horizontal-org/Tella-Android/releases", "show")</f>
        <v>show</v>
      </c>
      <c r="I5600">
        <v>1</v>
      </c>
      <c r="J5600">
        <v>0</v>
      </c>
      <c r="K5600">
        <v>0</v>
      </c>
      <c r="L5600">
        <v>0</v>
      </c>
      <c r="M5600" t="s">
        <v>17</v>
      </c>
    </row>
    <row r="5601" spans="1:13" hidden="1" x14ac:dyDescent="0.15">
      <c r="A5601" t="s">
        <v>17647</v>
      </c>
      <c r="B5601" t="s">
        <v>17648</v>
      </c>
      <c r="C5601" t="s">
        <v>12185</v>
      </c>
      <c r="D5601" t="s">
        <v>17644</v>
      </c>
      <c r="E5601">
        <v>0</v>
      </c>
      <c r="F5601" t="str">
        <f>HYPERLINK("https://github.com/nextcloud/android/issues/7725", "show")</f>
        <v>show</v>
      </c>
      <c r="G5601" t="str">
        <f>HYPERLINK("https://github.com/nextcloud/android", "show")</f>
        <v>show</v>
      </c>
      <c r="H5601" t="str">
        <f>HYPERLINK("https://github.com/nextcloud/android/releases", "show")</f>
        <v>show</v>
      </c>
      <c r="I5601">
        <v>0</v>
      </c>
      <c r="J5601">
        <v>0</v>
      </c>
      <c r="K5601">
        <v>1</v>
      </c>
      <c r="L5601">
        <v>0</v>
      </c>
      <c r="M5601" t="s">
        <v>122</v>
      </c>
    </row>
    <row r="5602" spans="1:13" hidden="1" x14ac:dyDescent="0.15">
      <c r="A5602" t="s">
        <v>17649</v>
      </c>
      <c r="B5602" t="s">
        <v>17650</v>
      </c>
      <c r="C5602" t="s">
        <v>17651</v>
      </c>
      <c r="D5602" t="s">
        <v>17644</v>
      </c>
      <c r="E5602">
        <v>0</v>
      </c>
      <c r="F5602" t="str">
        <f>HYPERLINK("https://github.com/Anuken/Mindustry/issues/4107", "show")</f>
        <v>show</v>
      </c>
      <c r="G5602" t="str">
        <f>HYPERLINK("https://github.com/Anuken/Mindustry", "show")</f>
        <v>show</v>
      </c>
      <c r="H5602" t="str">
        <f>HYPERLINK("https://github.com/Anuken/Mindustry/releases", "show")</f>
        <v>show</v>
      </c>
      <c r="I5602">
        <v>1</v>
      </c>
      <c r="J5602">
        <v>1</v>
      </c>
      <c r="K5602">
        <v>0</v>
      </c>
      <c r="L5602">
        <v>1</v>
      </c>
      <c r="M5602" t="s">
        <v>1894</v>
      </c>
    </row>
    <row r="5603" spans="1:13" hidden="1" x14ac:dyDescent="0.15">
      <c r="A5603" t="s">
        <v>17652</v>
      </c>
      <c r="B5603" t="s">
        <v>17653</v>
      </c>
      <c r="C5603" t="s">
        <v>17654</v>
      </c>
      <c r="D5603" t="s">
        <v>17644</v>
      </c>
      <c r="E5603">
        <v>0</v>
      </c>
      <c r="F5603" t="str">
        <f>HYPERLINK("https://github.com/TeamNewPipe/NewPipe/issues/5265", "show")</f>
        <v>show</v>
      </c>
      <c r="G5603" t="str">
        <f>HYPERLINK("https://github.com/TeamNewPipe/NewPipe", "show")</f>
        <v>show</v>
      </c>
      <c r="H5603" t="str">
        <f>HYPERLINK("https://github.com/TeamNewPipe/NewPipe/releases", "show")</f>
        <v>show</v>
      </c>
      <c r="I5603">
        <v>1</v>
      </c>
      <c r="J5603">
        <v>0</v>
      </c>
      <c r="K5603">
        <v>1</v>
      </c>
      <c r="L5603">
        <v>0</v>
      </c>
      <c r="M5603" t="s">
        <v>64</v>
      </c>
    </row>
    <row r="5604" spans="1:13" hidden="1" x14ac:dyDescent="0.15">
      <c r="A5604" t="s">
        <v>17655</v>
      </c>
      <c r="B5604" t="s">
        <v>17656</v>
      </c>
      <c r="C5604" t="s">
        <v>17657</v>
      </c>
      <c r="D5604" t="s">
        <v>17644</v>
      </c>
      <c r="E5604">
        <v>0</v>
      </c>
      <c r="F5604" t="str">
        <f>HYPERLINK("https://github.com/Anuken/Mindustry/issues/4103", "show")</f>
        <v>show</v>
      </c>
      <c r="G5604" t="str">
        <f>HYPERLINK("https://github.com/Anuken/Mindustry", "show")</f>
        <v>show</v>
      </c>
      <c r="H5604" t="str">
        <f>HYPERLINK("https://github.com/Anuken/Mindustry/releases", "show")</f>
        <v>show</v>
      </c>
      <c r="I5604">
        <v>0</v>
      </c>
      <c r="J5604">
        <v>0</v>
      </c>
      <c r="K5604">
        <v>0</v>
      </c>
      <c r="L5604">
        <v>0</v>
      </c>
      <c r="M5604" t="s">
        <v>43</v>
      </c>
    </row>
    <row r="5605" spans="1:13" hidden="1" x14ac:dyDescent="0.15">
      <c r="A5605" t="s">
        <v>17658</v>
      </c>
      <c r="B5605" t="s">
        <v>17659</v>
      </c>
      <c r="C5605" t="s">
        <v>17660</v>
      </c>
      <c r="D5605" t="s">
        <v>17644</v>
      </c>
      <c r="E5605">
        <v>10</v>
      </c>
      <c r="F5605" t="str">
        <f>HYPERLINK("https://github.com/NightscoutFoundation/xDrip/issues/1572", "show")</f>
        <v>show</v>
      </c>
      <c r="G5605" t="str">
        <f>HYPERLINK("https://github.com/NightscoutFoundation/xDrip", "show")</f>
        <v>show</v>
      </c>
      <c r="H5605" t="str">
        <f>HYPERLINK("https://github.com/NightscoutFoundation/xDrip/releases", "show")</f>
        <v>show</v>
      </c>
      <c r="I5605">
        <v>1</v>
      </c>
      <c r="J5605">
        <v>0</v>
      </c>
      <c r="K5605">
        <v>0</v>
      </c>
      <c r="L5605">
        <v>0</v>
      </c>
      <c r="M5605" t="s">
        <v>17</v>
      </c>
    </row>
    <row r="5606" spans="1:13" hidden="1" x14ac:dyDescent="0.15">
      <c r="A5606" t="s">
        <v>17661</v>
      </c>
      <c r="B5606" t="s">
        <v>17662</v>
      </c>
      <c r="C5606" t="s">
        <v>17663</v>
      </c>
      <c r="D5606" t="s">
        <v>17644</v>
      </c>
      <c r="E5606">
        <v>357</v>
      </c>
      <c r="F5606" t="str">
        <f>HYPERLINK("https://github.com/TeamNewPipe/NewPipe/issues/5264", "show")</f>
        <v>show</v>
      </c>
      <c r="G5606" t="str">
        <f>HYPERLINK("https://github.com/TeamNewPipe/NewPipe", "show")</f>
        <v>show</v>
      </c>
      <c r="H5606" t="str">
        <f>HYPERLINK("https://github.com/TeamNewPipe/NewPipe/releases", "show")</f>
        <v>show</v>
      </c>
      <c r="I5606">
        <v>1</v>
      </c>
      <c r="J5606">
        <v>1</v>
      </c>
      <c r="K5606">
        <v>1</v>
      </c>
      <c r="L5606">
        <v>0</v>
      </c>
      <c r="M5606" t="s">
        <v>59</v>
      </c>
    </row>
    <row r="5607" spans="1:13" hidden="1" x14ac:dyDescent="0.15">
      <c r="A5607" t="s">
        <v>17664</v>
      </c>
      <c r="B5607" t="s">
        <v>17665</v>
      </c>
      <c r="C5607" t="s">
        <v>17666</v>
      </c>
      <c r="D5607" t="s">
        <v>17667</v>
      </c>
      <c r="E5607">
        <v>0</v>
      </c>
      <c r="F5607" t="str">
        <f>HYPERLINK("https://github.com/Anuken/Mindustry/issues/4094", "show")</f>
        <v>show</v>
      </c>
      <c r="G5607" t="str">
        <f>HYPERLINK("https://github.com/Anuken/Mindustry", "show")</f>
        <v>show</v>
      </c>
      <c r="H5607" t="str">
        <f>HYPERLINK("https://github.com/Anuken/Mindustry/releases", "show")</f>
        <v>show</v>
      </c>
      <c r="I5607">
        <v>1</v>
      </c>
      <c r="J5607">
        <v>1</v>
      </c>
      <c r="K5607">
        <v>0</v>
      </c>
      <c r="L5607">
        <v>1</v>
      </c>
      <c r="M5607" t="s">
        <v>1894</v>
      </c>
    </row>
    <row r="5608" spans="1:13" hidden="1" x14ac:dyDescent="0.15">
      <c r="A5608" t="s">
        <v>17668</v>
      </c>
      <c r="B5608" t="s">
        <v>17669</v>
      </c>
      <c r="C5608" t="s">
        <v>17670</v>
      </c>
      <c r="D5608" t="s">
        <v>17667</v>
      </c>
      <c r="E5608">
        <v>132</v>
      </c>
      <c r="F5608" t="str">
        <f>HYPERLINK("https://github.com/wallabag/android-app/issues/1125", "show")</f>
        <v>show</v>
      </c>
      <c r="G5608" t="str">
        <f>HYPERLINK("https://github.com/wallabag/android-app", "show")</f>
        <v>show</v>
      </c>
      <c r="H5608" t="str">
        <f>HYPERLINK("https://github.com/wallabag/android-app/releases", "show")</f>
        <v>show</v>
      </c>
      <c r="I5608">
        <v>1</v>
      </c>
      <c r="J5608">
        <v>1</v>
      </c>
      <c r="K5608">
        <v>0</v>
      </c>
      <c r="L5608">
        <v>0</v>
      </c>
      <c r="M5608" t="s">
        <v>48</v>
      </c>
    </row>
    <row r="5609" spans="1:13" hidden="1" x14ac:dyDescent="0.15">
      <c r="A5609" t="s">
        <v>17671</v>
      </c>
      <c r="B5609" t="s">
        <v>17672</v>
      </c>
      <c r="C5609" t="s">
        <v>17673</v>
      </c>
      <c r="D5609" t="s">
        <v>17667</v>
      </c>
      <c r="E5609">
        <v>0</v>
      </c>
      <c r="F5609" t="str">
        <f>HYPERLINK("https://github.com/Anuken/Mindustry/issues/4092", "show")</f>
        <v>show</v>
      </c>
      <c r="G5609" t="str">
        <f>HYPERLINK("https://github.com/Anuken/Mindustry", "show")</f>
        <v>show</v>
      </c>
      <c r="H5609" t="str">
        <f>HYPERLINK("https://github.com/Anuken/Mindustry/releases", "show")</f>
        <v>show</v>
      </c>
      <c r="I5609">
        <v>1</v>
      </c>
      <c r="J5609">
        <v>1</v>
      </c>
      <c r="K5609">
        <v>0</v>
      </c>
      <c r="L5609">
        <v>0</v>
      </c>
      <c r="M5609" t="s">
        <v>48</v>
      </c>
    </row>
    <row r="5610" spans="1:13" hidden="1" x14ac:dyDescent="0.15">
      <c r="A5610" t="s">
        <v>17674</v>
      </c>
      <c r="B5610" t="s">
        <v>17675</v>
      </c>
      <c r="C5610" t="s">
        <v>17676</v>
      </c>
      <c r="D5610" t="s">
        <v>17667</v>
      </c>
      <c r="E5610">
        <v>6</v>
      </c>
      <c r="F5610" t="str">
        <f>HYPERLINK("https://github.com/microg/GmsCore/issues/1335", "show")</f>
        <v>show</v>
      </c>
      <c r="G5610" t="str">
        <f>HYPERLINK("https://github.com/microg/GmsCore", "show")</f>
        <v>show</v>
      </c>
      <c r="H5610" t="str">
        <f>HYPERLINK("https://github.com/microg/GmsCore/releases", "show")</f>
        <v>show</v>
      </c>
      <c r="I5610">
        <v>1</v>
      </c>
      <c r="J5610">
        <v>0</v>
      </c>
      <c r="K5610">
        <v>0</v>
      </c>
      <c r="L5610">
        <v>0</v>
      </c>
      <c r="M5610" t="s">
        <v>17</v>
      </c>
    </row>
    <row r="5611" spans="1:13" hidden="1" x14ac:dyDescent="0.15">
      <c r="A5611" t="s">
        <v>17677</v>
      </c>
      <c r="B5611" t="s">
        <v>17678</v>
      </c>
      <c r="C5611" t="s">
        <v>17679</v>
      </c>
      <c r="D5611" t="s">
        <v>17667</v>
      </c>
      <c r="E5611">
        <v>2</v>
      </c>
      <c r="F5611" t="str">
        <f>HYPERLINK("https://github.com/MuntashirAkon/AppManager/issues/201", "show")</f>
        <v>show</v>
      </c>
      <c r="G5611" t="str">
        <f>HYPERLINK("https://github.com/MuntashirAkon/AppManager", "show")</f>
        <v>show</v>
      </c>
      <c r="H5611" t="str">
        <f>HYPERLINK("https://github.com/MuntashirAkon/AppManager/releases", "show")</f>
        <v>show</v>
      </c>
      <c r="I5611">
        <v>1</v>
      </c>
      <c r="J5611">
        <v>1</v>
      </c>
      <c r="K5611">
        <v>1</v>
      </c>
      <c r="L5611">
        <v>0</v>
      </c>
      <c r="M5611" t="s">
        <v>59</v>
      </c>
    </row>
    <row r="5612" spans="1:13" hidden="1" x14ac:dyDescent="0.15">
      <c r="A5612" t="s">
        <v>17680</v>
      </c>
      <c r="B5612" t="s">
        <v>17681</v>
      </c>
      <c r="C5612" t="s">
        <v>17100</v>
      </c>
      <c r="D5612" t="s">
        <v>17667</v>
      </c>
      <c r="E5612">
        <v>20</v>
      </c>
      <c r="F5612" t="str">
        <f>HYPERLINK("https://github.com/PojavLauncherTeam/PojavLauncher/issues/533", "show")</f>
        <v>show</v>
      </c>
      <c r="G5612" t="str">
        <f>HYPERLINK("https://github.com/PojavLauncherTeam/PojavLauncher", "show")</f>
        <v>show</v>
      </c>
      <c r="H5612" t="str">
        <f>HYPERLINK("https://github.com/PojavLauncherTeam/PojavLauncher/releases", "show")</f>
        <v>show</v>
      </c>
      <c r="I5612">
        <v>0</v>
      </c>
      <c r="J5612">
        <v>0</v>
      </c>
      <c r="K5612">
        <v>0</v>
      </c>
      <c r="L5612">
        <v>0</v>
      </c>
      <c r="M5612" t="s">
        <v>43</v>
      </c>
    </row>
    <row r="5613" spans="1:13" hidden="1" x14ac:dyDescent="0.15">
      <c r="A5613" t="s">
        <v>17682</v>
      </c>
      <c r="B5613" t="s">
        <v>17683</v>
      </c>
      <c r="C5613" t="s">
        <v>17684</v>
      </c>
      <c r="D5613" t="s">
        <v>17667</v>
      </c>
      <c r="E5613">
        <v>163</v>
      </c>
      <c r="F5613" t="str">
        <f>HYPERLINK("https://github.com/PojavLauncherTeam/PojavLauncher/issues/530", "show")</f>
        <v>show</v>
      </c>
      <c r="G5613" t="str">
        <f>HYPERLINK("https://github.com/PojavLauncherTeam/PojavLauncher", "show")</f>
        <v>show</v>
      </c>
      <c r="H5613" t="str">
        <f>HYPERLINK("https://github.com/PojavLauncherTeam/PojavLauncher/releases", "show")</f>
        <v>show</v>
      </c>
      <c r="I5613">
        <v>1</v>
      </c>
      <c r="J5613">
        <v>1</v>
      </c>
      <c r="K5613">
        <v>0</v>
      </c>
      <c r="L5613">
        <v>0</v>
      </c>
      <c r="M5613" t="s">
        <v>48</v>
      </c>
    </row>
    <row r="5614" spans="1:13" hidden="1" x14ac:dyDescent="0.15">
      <c r="A5614" t="s">
        <v>17685</v>
      </c>
      <c r="B5614" t="s">
        <v>17686</v>
      </c>
      <c r="C5614" t="s">
        <v>17687</v>
      </c>
      <c r="D5614" t="s">
        <v>17667</v>
      </c>
      <c r="E5614">
        <v>0</v>
      </c>
      <c r="F5614" t="str">
        <f>HYPERLINK("https://github.com/Anuken/Mindustry/issues/4082", "show")</f>
        <v>show</v>
      </c>
      <c r="G5614" t="str">
        <f>HYPERLINK("https://github.com/Anuken/Mindustry", "show")</f>
        <v>show</v>
      </c>
      <c r="H5614" t="str">
        <f>HYPERLINK("https://github.com/Anuken/Mindustry/releases", "show")</f>
        <v>show</v>
      </c>
      <c r="I5614">
        <v>1</v>
      </c>
      <c r="J5614">
        <v>0</v>
      </c>
      <c r="K5614">
        <v>0</v>
      </c>
      <c r="L5614">
        <v>0</v>
      </c>
      <c r="M5614" t="s">
        <v>17</v>
      </c>
    </row>
    <row r="5615" spans="1:13" hidden="1" x14ac:dyDescent="0.15">
      <c r="A5615" t="s">
        <v>17688</v>
      </c>
      <c r="B5615" t="s">
        <v>17689</v>
      </c>
      <c r="C5615" t="s">
        <v>17690</v>
      </c>
      <c r="D5615" t="s">
        <v>17691</v>
      </c>
      <c r="E5615">
        <v>20</v>
      </c>
      <c r="F5615" t="str">
        <f>HYPERLINK("https://github.com/commons-app/apps-android-commons/issues/4123", "show")</f>
        <v>show</v>
      </c>
      <c r="G5615" t="str">
        <f>HYPERLINK("https://github.com/commons-app/apps-android-commons", "show")</f>
        <v>show</v>
      </c>
      <c r="H5615" t="str">
        <f>HYPERLINK("https://github.com/commons-app/apps-android-commons/releases", "show")</f>
        <v>show</v>
      </c>
      <c r="I5615">
        <v>1</v>
      </c>
      <c r="J5615">
        <v>1</v>
      </c>
      <c r="K5615">
        <v>0</v>
      </c>
      <c r="L5615">
        <v>0</v>
      </c>
      <c r="M5615" t="s">
        <v>48</v>
      </c>
    </row>
    <row r="5616" spans="1:13" hidden="1" x14ac:dyDescent="0.15">
      <c r="A5616" t="s">
        <v>17692</v>
      </c>
      <c r="B5616" t="s">
        <v>17693</v>
      </c>
      <c r="C5616" t="s">
        <v>17694</v>
      </c>
      <c r="D5616" t="s">
        <v>17691</v>
      </c>
      <c r="E5616">
        <v>1</v>
      </c>
      <c r="F5616" t="str">
        <f>HYPERLINK("https://github.com/k9mail/k-9/issues/5077", "show")</f>
        <v>show</v>
      </c>
      <c r="G5616" t="str">
        <f>HYPERLINK("https://github.com/k9mail/k-9", "show")</f>
        <v>show</v>
      </c>
      <c r="H5616" t="str">
        <f>HYPERLINK("https://github.com/k9mail/k-9/releases", "show")</f>
        <v>show</v>
      </c>
      <c r="I5616">
        <v>1</v>
      </c>
      <c r="J5616">
        <v>1</v>
      </c>
      <c r="K5616">
        <v>1</v>
      </c>
      <c r="L5616">
        <v>0</v>
      </c>
      <c r="M5616" t="s">
        <v>59</v>
      </c>
    </row>
    <row r="5617" spans="1:13" hidden="1" x14ac:dyDescent="0.15">
      <c r="A5617" t="s">
        <v>17695</v>
      </c>
      <c r="B5617" t="s">
        <v>17696</v>
      </c>
      <c r="C5617" t="s">
        <v>17697</v>
      </c>
      <c r="D5617" t="s">
        <v>17691</v>
      </c>
      <c r="E5617">
        <v>4</v>
      </c>
      <c r="F5617" t="str">
        <f>HYPERLINK("https://github.com/Technical-Hackers/Health-Log/issues/35", "show")</f>
        <v>show</v>
      </c>
      <c r="G5617" t="str">
        <f>HYPERLINK("https://github.com/Technical-Hackers/Health-Log", "show")</f>
        <v>show</v>
      </c>
      <c r="H5617" t="str">
        <f>HYPERLINK("https://github.com/Technical-Hackers/Health-Log/releases", "show")</f>
        <v>show</v>
      </c>
      <c r="I5617">
        <v>1</v>
      </c>
      <c r="J5617">
        <v>1</v>
      </c>
      <c r="K5617">
        <v>0</v>
      </c>
      <c r="L5617">
        <v>0</v>
      </c>
      <c r="M5617" t="s">
        <v>48</v>
      </c>
    </row>
    <row r="5618" spans="1:13" x14ac:dyDescent="0.15">
      <c r="A5618" t="s">
        <v>17698</v>
      </c>
      <c r="B5618" t="s">
        <v>12078</v>
      </c>
      <c r="C5618" t="s">
        <v>17699</v>
      </c>
      <c r="D5618" t="s">
        <v>17700</v>
      </c>
      <c r="E5618">
        <v>0</v>
      </c>
      <c r="F5618" t="str">
        <f>HYPERLINK("https://github.com/nextcloud/android/issues/7713", "show")</f>
        <v>show</v>
      </c>
      <c r="G5618" t="str">
        <f>HYPERLINK("https://github.com/nextcloud/android", "show")</f>
        <v>show</v>
      </c>
      <c r="H5618" t="str">
        <f>HYPERLINK("https://github.com/nextcloud/android/releases", "show")</f>
        <v>show</v>
      </c>
      <c r="I5618">
        <v>0</v>
      </c>
      <c r="J5618">
        <v>1</v>
      </c>
      <c r="K5618">
        <v>0</v>
      </c>
      <c r="L5618">
        <v>0</v>
      </c>
      <c r="M5618" t="s">
        <v>139</v>
      </c>
    </row>
    <row r="5619" spans="1:13" x14ac:dyDescent="0.15">
      <c r="A5619" t="s">
        <v>17701</v>
      </c>
      <c r="B5619" t="s">
        <v>17702</v>
      </c>
      <c r="C5619" t="s">
        <v>11582</v>
      </c>
      <c r="D5619" t="s">
        <v>17700</v>
      </c>
      <c r="E5619">
        <v>0</v>
      </c>
      <c r="F5619" t="str">
        <f>HYPERLINK("https://github.com/nextcloud/android/issues/7711", "show")</f>
        <v>show</v>
      </c>
      <c r="G5619" t="str">
        <f>HYPERLINK("https://github.com/nextcloud/android", "show")</f>
        <v>show</v>
      </c>
      <c r="H5619" t="str">
        <f>HYPERLINK("https://github.com/nextcloud/android/releases", "show")</f>
        <v>show</v>
      </c>
      <c r="I5619">
        <v>0</v>
      </c>
      <c r="J5619">
        <v>1</v>
      </c>
      <c r="K5619">
        <v>0</v>
      </c>
      <c r="L5619">
        <v>0</v>
      </c>
      <c r="M5619" t="s">
        <v>139</v>
      </c>
    </row>
    <row r="5620" spans="1:13" hidden="1" x14ac:dyDescent="0.15">
      <c r="A5620" t="s">
        <v>17703</v>
      </c>
      <c r="B5620" t="s">
        <v>17704</v>
      </c>
      <c r="C5620" t="s">
        <v>17705</v>
      </c>
      <c r="D5620" t="s">
        <v>17700</v>
      </c>
      <c r="E5620">
        <v>0</v>
      </c>
      <c r="F5620" t="str">
        <f>HYPERLINK("https://github.com/Anuken/Mindustry/issues/4067", "show")</f>
        <v>show</v>
      </c>
      <c r="G5620" t="str">
        <f>HYPERLINK("https://github.com/Anuken/Mindustry", "show")</f>
        <v>show</v>
      </c>
      <c r="H5620" t="str">
        <f>HYPERLINK("https://github.com/Anuken/Mindustry/releases", "show")</f>
        <v>show</v>
      </c>
      <c r="I5620">
        <v>1</v>
      </c>
      <c r="J5620">
        <v>1</v>
      </c>
      <c r="K5620">
        <v>0</v>
      </c>
      <c r="L5620">
        <v>0</v>
      </c>
      <c r="M5620" t="s">
        <v>48</v>
      </c>
    </row>
    <row r="5621" spans="1:13" hidden="1" x14ac:dyDescent="0.15">
      <c r="A5621" t="s">
        <v>17706</v>
      </c>
      <c r="B5621" t="s">
        <v>17707</v>
      </c>
      <c r="C5621" t="s">
        <v>17708</v>
      </c>
      <c r="D5621" t="s">
        <v>17700</v>
      </c>
      <c r="E5621">
        <v>1</v>
      </c>
      <c r="F5621" t="str">
        <f>HYPERLINK("https://github.com/wiglenet/wigle-wifi-wardriving/issues/457", "show")</f>
        <v>show</v>
      </c>
      <c r="G5621" t="str">
        <f>HYPERLINK("https://github.com/wiglenet/wigle-wifi-wardriving", "show")</f>
        <v>show</v>
      </c>
      <c r="H5621" t="str">
        <f>HYPERLINK("https://github.com/wiglenet/wigle-wifi-wardriving/releases", "show")</f>
        <v>show</v>
      </c>
      <c r="I5621">
        <v>1</v>
      </c>
      <c r="J5621">
        <v>0</v>
      </c>
      <c r="K5621">
        <v>0</v>
      </c>
      <c r="L5621">
        <v>0</v>
      </c>
      <c r="M5621" t="s">
        <v>17</v>
      </c>
    </row>
    <row r="5622" spans="1:13" hidden="1" x14ac:dyDescent="0.15">
      <c r="A5622" t="s">
        <v>17709</v>
      </c>
      <c r="B5622" t="s">
        <v>17710</v>
      </c>
      <c r="C5622" t="s">
        <v>17711</v>
      </c>
      <c r="D5622" t="s">
        <v>17700</v>
      </c>
      <c r="E5622">
        <v>1</v>
      </c>
      <c r="F5622" t="str">
        <f>HYPERLINK("https://github.com/getsentry/sentry-java/issues/1131", "show")</f>
        <v>show</v>
      </c>
      <c r="G5622" t="str">
        <f>HYPERLINK("https://github.com/getsentry/sentry-java", "show")</f>
        <v>show</v>
      </c>
      <c r="H5622" t="str">
        <f>HYPERLINK("https://github.com/getsentry/sentry-java/releases", "show")</f>
        <v>show</v>
      </c>
      <c r="I5622">
        <v>1</v>
      </c>
      <c r="J5622">
        <v>0</v>
      </c>
      <c r="K5622">
        <v>0</v>
      </c>
      <c r="L5622">
        <v>0</v>
      </c>
      <c r="M5622" t="s">
        <v>17</v>
      </c>
    </row>
    <row r="5623" spans="1:13" hidden="1" x14ac:dyDescent="0.15">
      <c r="A5623" t="s">
        <v>17712</v>
      </c>
      <c r="B5623" t="s">
        <v>17713</v>
      </c>
      <c r="C5623" t="s">
        <v>17714</v>
      </c>
      <c r="D5623" t="s">
        <v>17700</v>
      </c>
      <c r="E5623">
        <v>211</v>
      </c>
      <c r="F5623" t="str">
        <f>HYPERLINK("https://github.com/material-components/material-components-android/issues/1946", "show")</f>
        <v>show</v>
      </c>
      <c r="G5623" t="str">
        <f>HYPERLINK("https://github.com/material-components/material-components-android", "show")</f>
        <v>show</v>
      </c>
      <c r="H5623" t="str">
        <f>HYPERLINK("https://github.com/material-components/material-components-android/releases", "show")</f>
        <v>show</v>
      </c>
      <c r="I5623">
        <v>1</v>
      </c>
      <c r="J5623">
        <v>1</v>
      </c>
      <c r="K5623">
        <v>1</v>
      </c>
      <c r="L5623">
        <v>0</v>
      </c>
      <c r="M5623" t="s">
        <v>59</v>
      </c>
    </row>
    <row r="5624" spans="1:13" hidden="1" x14ac:dyDescent="0.15">
      <c r="A5624" t="s">
        <v>17715</v>
      </c>
      <c r="B5624" t="s">
        <v>17716</v>
      </c>
      <c r="C5624" t="s">
        <v>17717</v>
      </c>
      <c r="D5624" t="s">
        <v>17700</v>
      </c>
      <c r="E5624">
        <v>0</v>
      </c>
      <c r="F5624" t="str">
        <f>HYPERLINK("https://github.com/Anuken/Mindustry/issues/4064", "show")</f>
        <v>show</v>
      </c>
      <c r="G5624" t="str">
        <f>HYPERLINK("https://github.com/Anuken/Mindustry", "show")</f>
        <v>show</v>
      </c>
      <c r="H5624" t="str">
        <f>HYPERLINK("https://github.com/Anuken/Mindustry/releases", "show")</f>
        <v>show</v>
      </c>
      <c r="I5624">
        <v>0</v>
      </c>
      <c r="J5624">
        <v>1</v>
      </c>
      <c r="K5624">
        <v>0</v>
      </c>
      <c r="L5624">
        <v>1</v>
      </c>
      <c r="M5624" t="s">
        <v>1732</v>
      </c>
    </row>
    <row r="5625" spans="1:13" hidden="1" x14ac:dyDescent="0.15">
      <c r="A5625" t="s">
        <v>17718</v>
      </c>
      <c r="B5625" t="s">
        <v>17719</v>
      </c>
      <c r="C5625" t="s">
        <v>17720</v>
      </c>
      <c r="D5625" t="s">
        <v>17700</v>
      </c>
      <c r="E5625">
        <v>2</v>
      </c>
      <c r="F5625" t="str">
        <f>HYPERLINK("https://github.com/PojavLauncherTeam/PojavLauncher/issues/527", "show")</f>
        <v>show</v>
      </c>
      <c r="G5625" t="str">
        <f>HYPERLINK("https://github.com/PojavLauncherTeam/PojavLauncher", "show")</f>
        <v>show</v>
      </c>
      <c r="H5625" t="str">
        <f>HYPERLINK("https://github.com/PojavLauncherTeam/PojavLauncher/releases", "show")</f>
        <v>show</v>
      </c>
      <c r="I5625">
        <v>1</v>
      </c>
      <c r="J5625">
        <v>1</v>
      </c>
      <c r="K5625">
        <v>0</v>
      </c>
      <c r="L5625">
        <v>0</v>
      </c>
      <c r="M5625" t="s">
        <v>48</v>
      </c>
    </row>
    <row r="5626" spans="1:13" hidden="1" x14ac:dyDescent="0.15">
      <c r="A5626" t="s">
        <v>17721</v>
      </c>
      <c r="B5626" t="s">
        <v>17722</v>
      </c>
      <c r="C5626" t="s">
        <v>17723</v>
      </c>
      <c r="D5626" t="s">
        <v>17700</v>
      </c>
      <c r="E5626">
        <v>0</v>
      </c>
      <c r="F5626" t="str">
        <f>HYPERLINK("https://github.com/Anuken/Mindustry/issues/4062", "show")</f>
        <v>show</v>
      </c>
      <c r="G5626" t="str">
        <f>HYPERLINK("https://github.com/Anuken/Mindustry", "show")</f>
        <v>show</v>
      </c>
      <c r="H5626" t="str">
        <f>HYPERLINK("https://github.com/Anuken/Mindustry/releases", "show")</f>
        <v>show</v>
      </c>
      <c r="I5626">
        <v>0</v>
      </c>
      <c r="J5626">
        <v>0</v>
      </c>
      <c r="K5626">
        <v>0</v>
      </c>
      <c r="L5626">
        <v>1</v>
      </c>
      <c r="M5626" t="s">
        <v>581</v>
      </c>
    </row>
    <row r="5627" spans="1:13" hidden="1" x14ac:dyDescent="0.15">
      <c r="A5627" t="s">
        <v>17724</v>
      </c>
      <c r="B5627" t="s">
        <v>17725</v>
      </c>
      <c r="C5627" t="s">
        <v>17726</v>
      </c>
      <c r="D5627" t="s">
        <v>17700</v>
      </c>
      <c r="E5627">
        <v>0</v>
      </c>
      <c r="F5627" t="str">
        <f>HYPERLINK("https://github.com/cgeo/WhereYouGo/issues/244", "show")</f>
        <v>show</v>
      </c>
      <c r="G5627" t="str">
        <f>HYPERLINK("https://github.com/cgeo/WhereYouGo", "show")</f>
        <v>show</v>
      </c>
      <c r="H5627" t="str">
        <f>HYPERLINK("https://github.com/cgeo/WhereYouGo/releases", "show")</f>
        <v>show</v>
      </c>
      <c r="I5627">
        <v>1</v>
      </c>
      <c r="J5627">
        <v>0</v>
      </c>
      <c r="K5627">
        <v>0</v>
      </c>
      <c r="L5627">
        <v>1</v>
      </c>
      <c r="M5627" t="s">
        <v>29</v>
      </c>
    </row>
    <row r="5628" spans="1:13" hidden="1" x14ac:dyDescent="0.15">
      <c r="A5628" t="s">
        <v>17727</v>
      </c>
      <c r="B5628" t="s">
        <v>17728</v>
      </c>
      <c r="C5628" t="s">
        <v>11744</v>
      </c>
      <c r="D5628" t="s">
        <v>17700</v>
      </c>
      <c r="E5628">
        <v>0</v>
      </c>
      <c r="F5628" t="str">
        <f>HYPERLINK("https://github.com/Blankj/AndroidUtilCode/issues/1404", "show")</f>
        <v>show</v>
      </c>
      <c r="G5628" t="str">
        <f>HYPERLINK("https://github.com/Blankj/AndroidUtilCode", "show")</f>
        <v>show</v>
      </c>
      <c r="H5628" t="str">
        <f>HYPERLINK("https://github.com/Blankj/AndroidUtilCode/releases", "show")</f>
        <v>show</v>
      </c>
      <c r="I5628">
        <v>1</v>
      </c>
      <c r="J5628">
        <v>1</v>
      </c>
      <c r="K5628">
        <v>1</v>
      </c>
      <c r="L5628">
        <v>0</v>
      </c>
      <c r="M5628" t="s">
        <v>59</v>
      </c>
    </row>
    <row r="5629" spans="1:13" hidden="1" x14ac:dyDescent="0.15">
      <c r="A5629" t="s">
        <v>17729</v>
      </c>
      <c r="B5629" t="s">
        <v>17730</v>
      </c>
      <c r="C5629" t="s">
        <v>17731</v>
      </c>
      <c r="D5629" t="s">
        <v>17700</v>
      </c>
      <c r="E5629">
        <v>0</v>
      </c>
      <c r="F5629" t="str">
        <f>HYPERLINK("https://github.com/nextcloud/android/issues/7709", "show")</f>
        <v>show</v>
      </c>
      <c r="G5629" t="str">
        <f>HYPERLINK("https://github.com/nextcloud/android", "show")</f>
        <v>show</v>
      </c>
      <c r="H5629" t="str">
        <f>HYPERLINK("https://github.com/nextcloud/android/releases", "show")</f>
        <v>show</v>
      </c>
      <c r="I5629">
        <v>1</v>
      </c>
      <c r="J5629">
        <v>1</v>
      </c>
      <c r="K5629">
        <v>1</v>
      </c>
      <c r="L5629">
        <v>0</v>
      </c>
      <c r="M5629" t="s">
        <v>59</v>
      </c>
    </row>
    <row r="5630" spans="1:13" hidden="1" x14ac:dyDescent="0.15">
      <c r="A5630" t="s">
        <v>17732</v>
      </c>
      <c r="B5630" t="s">
        <v>17733</v>
      </c>
      <c r="C5630" t="s">
        <v>17734</v>
      </c>
      <c r="D5630" t="s">
        <v>17700</v>
      </c>
      <c r="E5630">
        <v>0</v>
      </c>
      <c r="F5630" t="str">
        <f>HYPERLINK("https://github.com/Anuken/Mindustry/issues/4058", "show")</f>
        <v>show</v>
      </c>
      <c r="G5630" t="str">
        <f>HYPERLINK("https://github.com/Anuken/Mindustry", "show")</f>
        <v>show</v>
      </c>
      <c r="H5630" t="str">
        <f>HYPERLINK("https://github.com/Anuken/Mindustry/releases", "show")</f>
        <v>show</v>
      </c>
      <c r="I5630">
        <v>0</v>
      </c>
      <c r="J5630">
        <v>0</v>
      </c>
      <c r="K5630">
        <v>0</v>
      </c>
      <c r="L5630">
        <v>1</v>
      </c>
      <c r="M5630" t="s">
        <v>581</v>
      </c>
    </row>
    <row r="5631" spans="1:13" hidden="1" x14ac:dyDescent="0.15">
      <c r="A5631" t="s">
        <v>17735</v>
      </c>
      <c r="B5631" t="s">
        <v>17736</v>
      </c>
      <c r="C5631" t="s">
        <v>17737</v>
      </c>
      <c r="D5631" t="s">
        <v>17738</v>
      </c>
      <c r="E5631">
        <v>7</v>
      </c>
      <c r="F5631" t="str">
        <f>HYPERLINK("https://github.com/PojavLauncherTeam/PojavLauncher/issues/523", "show")</f>
        <v>show</v>
      </c>
      <c r="G5631" t="str">
        <f>HYPERLINK("https://github.com/PojavLauncherTeam/PojavLauncher", "show")</f>
        <v>show</v>
      </c>
      <c r="H5631" t="str">
        <f>HYPERLINK("https://github.com/PojavLauncherTeam/PojavLauncher/releases", "show")</f>
        <v>show</v>
      </c>
      <c r="I5631">
        <v>1</v>
      </c>
      <c r="J5631">
        <v>1</v>
      </c>
      <c r="K5631">
        <v>0</v>
      </c>
      <c r="L5631">
        <v>1</v>
      </c>
      <c r="M5631" t="s">
        <v>1894</v>
      </c>
    </row>
    <row r="5632" spans="1:13" hidden="1" x14ac:dyDescent="0.15">
      <c r="A5632" t="s">
        <v>17739</v>
      </c>
      <c r="B5632" t="s">
        <v>17740</v>
      </c>
      <c r="C5632" t="s">
        <v>17741</v>
      </c>
      <c r="D5632" t="s">
        <v>17738</v>
      </c>
      <c r="E5632">
        <v>20</v>
      </c>
      <c r="F5632" t="str">
        <f>HYPERLINK("https://github.com/nextcloud/android/issues/7704", "show")</f>
        <v>show</v>
      </c>
      <c r="G5632" t="str">
        <f>HYPERLINK("https://github.com/nextcloud/android", "show")</f>
        <v>show</v>
      </c>
      <c r="H5632" t="str">
        <f>HYPERLINK("https://github.com/nextcloud/android/releases", "show")</f>
        <v>show</v>
      </c>
      <c r="I5632">
        <v>1</v>
      </c>
      <c r="J5632">
        <v>0</v>
      </c>
      <c r="K5632">
        <v>1</v>
      </c>
      <c r="L5632">
        <v>0</v>
      </c>
      <c r="M5632" t="s">
        <v>64</v>
      </c>
    </row>
    <row r="5633" spans="1:13" hidden="1" x14ac:dyDescent="0.15">
      <c r="A5633" t="s">
        <v>17742</v>
      </c>
      <c r="B5633" t="s">
        <v>17743</v>
      </c>
      <c r="C5633" t="s">
        <v>12185</v>
      </c>
      <c r="D5633" t="s">
        <v>17738</v>
      </c>
      <c r="E5633">
        <v>66</v>
      </c>
      <c r="F5633" t="str">
        <f>HYPERLINK("https://github.com/nextcloud/android/issues/7701", "show")</f>
        <v>show</v>
      </c>
      <c r="G5633" t="str">
        <f>HYPERLINK("https://github.com/nextcloud/android", "show")</f>
        <v>show</v>
      </c>
      <c r="H5633" t="str">
        <f>HYPERLINK("https://github.com/nextcloud/android/releases", "show")</f>
        <v>show</v>
      </c>
      <c r="I5633">
        <v>1</v>
      </c>
      <c r="J5633">
        <v>0</v>
      </c>
      <c r="K5633">
        <v>1</v>
      </c>
      <c r="L5633">
        <v>0</v>
      </c>
      <c r="M5633" t="s">
        <v>64</v>
      </c>
    </row>
    <row r="5634" spans="1:13" hidden="1" x14ac:dyDescent="0.15">
      <c r="A5634" t="s">
        <v>17744</v>
      </c>
      <c r="B5634" t="s">
        <v>17745</v>
      </c>
      <c r="C5634" t="s">
        <v>17746</v>
      </c>
      <c r="D5634" t="s">
        <v>17738</v>
      </c>
      <c r="E5634">
        <v>0</v>
      </c>
      <c r="F5634" t="str">
        <f>HYPERLINK("https://github.com/Anuken/Mindustry/issues/4050", "show")</f>
        <v>show</v>
      </c>
      <c r="G5634" t="str">
        <f>HYPERLINK("https://github.com/Anuken/Mindustry", "show")</f>
        <v>show</v>
      </c>
      <c r="H5634" t="str">
        <f>HYPERLINK("https://github.com/Anuken/Mindustry/releases", "show")</f>
        <v>show</v>
      </c>
      <c r="I5634">
        <v>1</v>
      </c>
      <c r="J5634">
        <v>1</v>
      </c>
      <c r="K5634">
        <v>0</v>
      </c>
      <c r="L5634">
        <v>0</v>
      </c>
      <c r="M5634" t="s">
        <v>48</v>
      </c>
    </row>
    <row r="5635" spans="1:13" hidden="1" x14ac:dyDescent="0.15">
      <c r="A5635" t="s">
        <v>17747</v>
      </c>
      <c r="B5635" t="s">
        <v>17748</v>
      </c>
      <c r="C5635" t="s">
        <v>17749</v>
      </c>
      <c r="D5635" t="s">
        <v>17750</v>
      </c>
      <c r="E5635">
        <v>0</v>
      </c>
      <c r="F5635" t="str">
        <f>HYPERLINK("https://github.com/Anuken/Mindustry/issues/4044", "show")</f>
        <v>show</v>
      </c>
      <c r="G5635" t="str">
        <f>HYPERLINK("https://github.com/Anuken/Mindustry", "show")</f>
        <v>show</v>
      </c>
      <c r="H5635" t="str">
        <f>HYPERLINK("https://github.com/Anuken/Mindustry/releases", "show")</f>
        <v>show</v>
      </c>
      <c r="I5635">
        <v>1</v>
      </c>
      <c r="J5635">
        <v>1</v>
      </c>
      <c r="K5635">
        <v>0</v>
      </c>
      <c r="L5635">
        <v>0</v>
      </c>
      <c r="M5635" t="s">
        <v>48</v>
      </c>
    </row>
    <row r="5636" spans="1:13" hidden="1" x14ac:dyDescent="0.15">
      <c r="A5636" t="s">
        <v>17751</v>
      </c>
      <c r="B5636" t="s">
        <v>17752</v>
      </c>
      <c r="C5636" t="s">
        <v>12185</v>
      </c>
      <c r="D5636" t="s">
        <v>17750</v>
      </c>
      <c r="E5636">
        <v>20</v>
      </c>
      <c r="F5636" t="str">
        <f>HYPERLINK("https://github.com/nextcloud/android/issues/7697", "show")</f>
        <v>show</v>
      </c>
      <c r="G5636" t="str">
        <f>HYPERLINK("https://github.com/nextcloud/android", "show")</f>
        <v>show</v>
      </c>
      <c r="H5636" t="str">
        <f>HYPERLINK("https://github.com/nextcloud/android/releases", "show")</f>
        <v>show</v>
      </c>
      <c r="I5636">
        <v>0</v>
      </c>
      <c r="J5636">
        <v>0</v>
      </c>
      <c r="K5636">
        <v>1</v>
      </c>
      <c r="L5636">
        <v>0</v>
      </c>
      <c r="M5636" t="s">
        <v>122</v>
      </c>
    </row>
    <row r="5637" spans="1:13" hidden="1" x14ac:dyDescent="0.15">
      <c r="A5637" t="s">
        <v>17753</v>
      </c>
      <c r="B5637" t="s">
        <v>17754</v>
      </c>
      <c r="C5637" t="s">
        <v>17755</v>
      </c>
      <c r="D5637" t="s">
        <v>17750</v>
      </c>
      <c r="E5637">
        <v>36</v>
      </c>
      <c r="F5637" t="str">
        <f>HYPERLINK("https://github.com/chalalala/OnlineMusicPlayer/issues/13", "show")</f>
        <v>show</v>
      </c>
      <c r="G5637" t="str">
        <f>HYPERLINK("https://github.com/chalalala/OnlineMusicPlayer", "show")</f>
        <v>show</v>
      </c>
      <c r="H5637" t="str">
        <f>HYPERLINK("https://github.com/chalalala/OnlineMusicPlayer/releases", "show")</f>
        <v>show</v>
      </c>
      <c r="I5637">
        <v>0</v>
      </c>
      <c r="J5637">
        <v>0</v>
      </c>
      <c r="K5637">
        <v>0</v>
      </c>
      <c r="L5637">
        <v>1</v>
      </c>
      <c r="M5637" t="s">
        <v>581</v>
      </c>
    </row>
    <row r="5638" spans="1:13" hidden="1" x14ac:dyDescent="0.15">
      <c r="A5638" t="s">
        <v>17756</v>
      </c>
      <c r="B5638" t="s">
        <v>17757</v>
      </c>
      <c r="C5638" t="s">
        <v>17758</v>
      </c>
      <c r="D5638" t="s">
        <v>17750</v>
      </c>
      <c r="E5638">
        <v>188</v>
      </c>
      <c r="F5638" t="str">
        <f>HYPERLINK("https://github.com/opentok/opentok-react-native/issues/462", "show")</f>
        <v>show</v>
      </c>
      <c r="G5638" t="str">
        <f>HYPERLINK("https://github.com/opentok/opentok-react-native", "show")</f>
        <v>show</v>
      </c>
      <c r="H5638" t="str">
        <f>HYPERLINK("https://github.com/opentok/opentok-react-native/releases", "show")</f>
        <v>show</v>
      </c>
      <c r="I5638">
        <v>1</v>
      </c>
      <c r="J5638">
        <v>0</v>
      </c>
      <c r="K5638">
        <v>0</v>
      </c>
      <c r="L5638">
        <v>1</v>
      </c>
      <c r="M5638" t="s">
        <v>29</v>
      </c>
    </row>
    <row r="5639" spans="1:13" hidden="1" x14ac:dyDescent="0.15">
      <c r="A5639" t="s">
        <v>17759</v>
      </c>
      <c r="B5639" t="s">
        <v>17760</v>
      </c>
      <c r="C5639" t="s">
        <v>736</v>
      </c>
      <c r="D5639" t="s">
        <v>17750</v>
      </c>
      <c r="E5639">
        <v>48</v>
      </c>
      <c r="F5639" t="str">
        <f>HYPERLINK("https://github.com/canyie/pine/issues/5", "show")</f>
        <v>show</v>
      </c>
      <c r="G5639" t="str">
        <f>HYPERLINK("https://github.com/canyie/pine", "show")</f>
        <v>show</v>
      </c>
      <c r="H5639" t="str">
        <f>HYPERLINK("https://github.com/canyie/pine/releases", "show")</f>
        <v>show</v>
      </c>
      <c r="I5639">
        <v>0</v>
      </c>
      <c r="J5639">
        <v>0</v>
      </c>
      <c r="K5639">
        <v>0</v>
      </c>
      <c r="L5639">
        <v>0</v>
      </c>
      <c r="M5639" t="s">
        <v>43</v>
      </c>
    </row>
    <row r="5640" spans="1:13" hidden="1" x14ac:dyDescent="0.15">
      <c r="A5640" t="s">
        <v>17761</v>
      </c>
      <c r="B5640" t="s">
        <v>17762</v>
      </c>
      <c r="C5640" t="s">
        <v>17763</v>
      </c>
      <c r="D5640" t="s">
        <v>17750</v>
      </c>
      <c r="E5640">
        <v>5</v>
      </c>
      <c r="F5640" t="str">
        <f>HYPERLINK("https://github.com/barbeau/gpstest/issues/463", "show")</f>
        <v>show</v>
      </c>
      <c r="G5640" t="str">
        <f>HYPERLINK("https://github.com/barbeau/gpstest", "show")</f>
        <v>show</v>
      </c>
      <c r="H5640" t="str">
        <f>HYPERLINK("https://github.com/barbeau/gpstest/releases", "show")</f>
        <v>show</v>
      </c>
      <c r="I5640">
        <v>1</v>
      </c>
      <c r="J5640">
        <v>1</v>
      </c>
      <c r="K5640">
        <v>0</v>
      </c>
      <c r="L5640">
        <v>0</v>
      </c>
      <c r="M5640" t="s">
        <v>48</v>
      </c>
    </row>
    <row r="5641" spans="1:13" hidden="1" x14ac:dyDescent="0.15">
      <c r="A5641" t="s">
        <v>17764</v>
      </c>
      <c r="B5641" t="s">
        <v>17765</v>
      </c>
      <c r="C5641" t="s">
        <v>17766</v>
      </c>
      <c r="D5641" t="s">
        <v>17767</v>
      </c>
      <c r="E5641">
        <v>0</v>
      </c>
      <c r="F5641" t="str">
        <f>HYPERLINK("https://github.com/Anuken/Mindustry/issues/4033", "show")</f>
        <v>show</v>
      </c>
      <c r="G5641" t="str">
        <f>HYPERLINK("https://github.com/Anuken/Mindustry", "show")</f>
        <v>show</v>
      </c>
      <c r="H5641" t="str">
        <f>HYPERLINK("https://github.com/Anuken/Mindustry/releases", "show")</f>
        <v>show</v>
      </c>
      <c r="I5641">
        <v>1</v>
      </c>
      <c r="J5641">
        <v>1</v>
      </c>
      <c r="K5641">
        <v>1</v>
      </c>
      <c r="L5641">
        <v>0</v>
      </c>
      <c r="M5641" t="s">
        <v>59</v>
      </c>
    </row>
    <row r="5642" spans="1:13" hidden="1" x14ac:dyDescent="0.15">
      <c r="A5642" t="s">
        <v>17768</v>
      </c>
      <c r="B5642" t="s">
        <v>17769</v>
      </c>
      <c r="C5642" t="s">
        <v>17770</v>
      </c>
      <c r="D5642" t="s">
        <v>17767</v>
      </c>
      <c r="E5642">
        <v>0</v>
      </c>
      <c r="F5642" t="str">
        <f>HYPERLINK("https://github.com/gsantner/markor/issues/1162", "show")</f>
        <v>show</v>
      </c>
      <c r="G5642" t="str">
        <f>HYPERLINK("https://github.com/gsantner/markor", "show")</f>
        <v>show</v>
      </c>
      <c r="H5642" t="str">
        <f>HYPERLINK("https://github.com/gsantner/markor/releases", "show")</f>
        <v>show</v>
      </c>
      <c r="I5642">
        <v>1</v>
      </c>
      <c r="J5642">
        <v>0</v>
      </c>
      <c r="K5642">
        <v>0</v>
      </c>
      <c r="L5642">
        <v>0</v>
      </c>
      <c r="M5642" t="s">
        <v>17</v>
      </c>
    </row>
    <row r="5643" spans="1:13" hidden="1" x14ac:dyDescent="0.15">
      <c r="A5643" t="s">
        <v>17771</v>
      </c>
      <c r="B5643" t="s">
        <v>17772</v>
      </c>
      <c r="C5643" t="s">
        <v>17773</v>
      </c>
      <c r="D5643" t="s">
        <v>17767</v>
      </c>
      <c r="E5643">
        <v>3</v>
      </c>
      <c r="F5643" t="str">
        <f>HYPERLINK("https://github.com/commons-app/apps-android-commons/issues/4116", "show")</f>
        <v>show</v>
      </c>
      <c r="G5643" t="str">
        <f>HYPERLINK("https://github.com/commons-app/apps-android-commons", "show")</f>
        <v>show</v>
      </c>
      <c r="H5643" t="str">
        <f>HYPERLINK("https://github.com/commons-app/apps-android-commons/releases", "show")</f>
        <v>show</v>
      </c>
      <c r="I5643">
        <v>1</v>
      </c>
      <c r="J5643">
        <v>0</v>
      </c>
      <c r="K5643">
        <v>1</v>
      </c>
      <c r="L5643">
        <v>0</v>
      </c>
      <c r="M5643" t="s">
        <v>64</v>
      </c>
    </row>
    <row r="5644" spans="1:13" hidden="1" x14ac:dyDescent="0.15">
      <c r="A5644" t="s">
        <v>17774</v>
      </c>
      <c r="B5644" t="s">
        <v>17775</v>
      </c>
      <c r="C5644" t="s">
        <v>17776</v>
      </c>
      <c r="D5644" t="s">
        <v>17767</v>
      </c>
      <c r="E5644">
        <v>17</v>
      </c>
      <c r="F5644" t="str">
        <f>HYPERLINK("https://github.com/tr4wzified/SocialReadingApp/issues/19", "show")</f>
        <v>show</v>
      </c>
      <c r="G5644" t="str">
        <f>HYPERLINK("https://github.com/tr4wzified/SocialReadingApp", "show")</f>
        <v>show</v>
      </c>
      <c r="H5644" t="str">
        <f>HYPERLINK("https://github.com/tr4wzified/SocialReadingApp/releases", "show")</f>
        <v>show</v>
      </c>
      <c r="I5644">
        <v>0</v>
      </c>
      <c r="J5644">
        <v>0</v>
      </c>
      <c r="K5644">
        <v>0</v>
      </c>
      <c r="L5644">
        <v>0</v>
      </c>
      <c r="M5644" t="s">
        <v>43</v>
      </c>
    </row>
    <row r="5645" spans="1:13" hidden="1" x14ac:dyDescent="0.15">
      <c r="A5645" t="s">
        <v>17777</v>
      </c>
      <c r="B5645" t="s">
        <v>17778</v>
      </c>
      <c r="C5645" t="s">
        <v>17779</v>
      </c>
      <c r="D5645" t="s">
        <v>17767</v>
      </c>
      <c r="E5645">
        <v>214</v>
      </c>
      <c r="F5645" t="str">
        <f>HYPERLINK("https://github.com/material-components/material-components-android/issues/1936", "show")</f>
        <v>show</v>
      </c>
      <c r="G5645" t="str">
        <f>HYPERLINK("https://github.com/material-components/material-components-android", "show")</f>
        <v>show</v>
      </c>
      <c r="H5645" t="str">
        <f>HYPERLINK("https://github.com/material-components/material-components-android/releases", "show")</f>
        <v>show</v>
      </c>
      <c r="I5645">
        <v>1</v>
      </c>
      <c r="J5645">
        <v>0</v>
      </c>
      <c r="K5645">
        <v>0</v>
      </c>
      <c r="L5645">
        <v>0</v>
      </c>
      <c r="M5645" t="s">
        <v>17</v>
      </c>
    </row>
    <row r="5646" spans="1:13" hidden="1" x14ac:dyDescent="0.15">
      <c r="A5646" t="s">
        <v>17780</v>
      </c>
      <c r="B5646" t="s">
        <v>17781</v>
      </c>
      <c r="D5646" t="s">
        <v>17767</v>
      </c>
      <c r="E5646">
        <v>64</v>
      </c>
      <c r="F5646" t="str">
        <f>HYPERLINK("https://github.com/ElderDrivers/EdXposed/issues/740", "show")</f>
        <v>show</v>
      </c>
      <c r="G5646" t="str">
        <f>HYPERLINK("https://github.com/ElderDrivers/EdXposed", "show")</f>
        <v>show</v>
      </c>
      <c r="H5646" t="str">
        <f>HYPERLINK("https://github.com/ElderDrivers/EdXposed/releases", "show")</f>
        <v>show</v>
      </c>
      <c r="I5646">
        <v>0</v>
      </c>
      <c r="J5646">
        <v>0</v>
      </c>
      <c r="K5646">
        <v>0</v>
      </c>
      <c r="L5646">
        <v>0</v>
      </c>
      <c r="M5646" t="s">
        <v>43</v>
      </c>
    </row>
    <row r="5647" spans="1:13" hidden="1" x14ac:dyDescent="0.15">
      <c r="A5647" t="s">
        <v>17782</v>
      </c>
      <c r="B5647" t="s">
        <v>17783</v>
      </c>
      <c r="C5647" t="s">
        <v>17784</v>
      </c>
      <c r="D5647" t="s">
        <v>17767</v>
      </c>
      <c r="E5647">
        <v>4</v>
      </c>
      <c r="F5647" t="str">
        <f>HYPERLINK("https://github.com/nwrkbiz/android-xserver/issues/6", "show")</f>
        <v>show</v>
      </c>
      <c r="G5647" t="str">
        <f>HYPERLINK("https://github.com/nwrkbiz/android-xserver", "show")</f>
        <v>show</v>
      </c>
      <c r="H5647" t="str">
        <f>HYPERLINK("https://github.com/nwrkbiz/android-xserver/releases", "show")</f>
        <v>show</v>
      </c>
      <c r="I5647">
        <v>1</v>
      </c>
      <c r="J5647">
        <v>0</v>
      </c>
      <c r="K5647">
        <v>0</v>
      </c>
      <c r="L5647">
        <v>0</v>
      </c>
      <c r="M5647" t="s">
        <v>17</v>
      </c>
    </row>
    <row r="5648" spans="1:13" hidden="1" x14ac:dyDescent="0.15">
      <c r="A5648" t="s">
        <v>17785</v>
      </c>
      <c r="B5648" t="s">
        <v>17786</v>
      </c>
      <c r="C5648" t="s">
        <v>17787</v>
      </c>
      <c r="D5648" t="s">
        <v>17767</v>
      </c>
      <c r="E5648">
        <v>1</v>
      </c>
      <c r="F5648" t="str">
        <f>HYPERLINK("https://github.com/TeamNewPipe/NewPipe/issues/5211", "show")</f>
        <v>show</v>
      </c>
      <c r="G5648" t="str">
        <f>HYPERLINK("https://github.com/TeamNewPipe/NewPipe", "show")</f>
        <v>show</v>
      </c>
      <c r="H5648" t="str">
        <f>HYPERLINK("https://github.com/TeamNewPipe/NewPipe/releases", "show")</f>
        <v>show</v>
      </c>
      <c r="I5648">
        <v>1</v>
      </c>
      <c r="J5648">
        <v>1</v>
      </c>
      <c r="K5648">
        <v>0</v>
      </c>
      <c r="L5648">
        <v>0</v>
      </c>
      <c r="M5648" t="s">
        <v>48</v>
      </c>
    </row>
    <row r="5649" spans="1:13" hidden="1" x14ac:dyDescent="0.15">
      <c r="A5649" t="s">
        <v>17788</v>
      </c>
      <c r="B5649" t="s">
        <v>17789</v>
      </c>
      <c r="C5649" t="s">
        <v>17790</v>
      </c>
      <c r="D5649" t="s">
        <v>17767</v>
      </c>
      <c r="E5649">
        <v>0</v>
      </c>
      <c r="F5649" t="str">
        <f>HYPERLINK("https://github.com/Anuken/Mindustry/issues/4021", "show")</f>
        <v>show</v>
      </c>
      <c r="G5649" t="str">
        <f>HYPERLINK("https://github.com/Anuken/Mindustry", "show")</f>
        <v>show</v>
      </c>
      <c r="H5649" t="str">
        <f>HYPERLINK("https://github.com/Anuken/Mindustry/releases", "show")</f>
        <v>show</v>
      </c>
      <c r="I5649">
        <v>1</v>
      </c>
      <c r="J5649">
        <v>1</v>
      </c>
      <c r="K5649">
        <v>0</v>
      </c>
      <c r="L5649">
        <v>0</v>
      </c>
      <c r="M5649" t="s">
        <v>48</v>
      </c>
    </row>
    <row r="5650" spans="1:13" hidden="1" x14ac:dyDescent="0.15">
      <c r="A5650" t="s">
        <v>17791</v>
      </c>
      <c r="B5650" t="s">
        <v>17792</v>
      </c>
      <c r="C5650" t="s">
        <v>17793</v>
      </c>
      <c r="D5650" t="s">
        <v>17767</v>
      </c>
      <c r="E5650">
        <v>11</v>
      </c>
      <c r="F5650" t="str">
        <f>HYPERLINK("https://github.com/PojavLauncherTeam/PojavLauncher/issues/509", "show")</f>
        <v>show</v>
      </c>
      <c r="G5650" t="str">
        <f>HYPERLINK("https://github.com/PojavLauncherTeam/PojavLauncher", "show")</f>
        <v>show</v>
      </c>
      <c r="H5650" t="str">
        <f>HYPERLINK("https://github.com/PojavLauncherTeam/PojavLauncher/releases", "show")</f>
        <v>show</v>
      </c>
      <c r="I5650">
        <v>0</v>
      </c>
      <c r="J5650">
        <v>0</v>
      </c>
      <c r="K5650">
        <v>0</v>
      </c>
      <c r="L5650">
        <v>0</v>
      </c>
      <c r="M5650" t="s">
        <v>43</v>
      </c>
    </row>
    <row r="5651" spans="1:13" hidden="1" x14ac:dyDescent="0.15">
      <c r="A5651" t="s">
        <v>17794</v>
      </c>
      <c r="B5651" t="s">
        <v>17795</v>
      </c>
      <c r="C5651" t="s">
        <v>17796</v>
      </c>
      <c r="D5651" t="s">
        <v>17797</v>
      </c>
      <c r="E5651">
        <v>1</v>
      </c>
      <c r="F5651" t="str">
        <f>HYPERLINK("https://github.com/MuntashirAkon/AppManager/issues/194", "show")</f>
        <v>show</v>
      </c>
      <c r="G5651" t="str">
        <f>HYPERLINK("https://github.com/MuntashirAkon/AppManager", "show")</f>
        <v>show</v>
      </c>
      <c r="H5651" t="str">
        <f>HYPERLINK("https://github.com/MuntashirAkon/AppManager/releases", "show")</f>
        <v>show</v>
      </c>
      <c r="I5651">
        <v>1</v>
      </c>
      <c r="J5651">
        <v>1</v>
      </c>
      <c r="K5651">
        <v>1</v>
      </c>
      <c r="L5651">
        <v>0</v>
      </c>
      <c r="M5651" t="s">
        <v>59</v>
      </c>
    </row>
    <row r="5652" spans="1:13" hidden="1" x14ac:dyDescent="0.15">
      <c r="A5652" t="s">
        <v>17798</v>
      </c>
      <c r="B5652" t="s">
        <v>17799</v>
      </c>
      <c r="C5652" t="s">
        <v>17800</v>
      </c>
      <c r="D5652" t="s">
        <v>17797</v>
      </c>
      <c r="E5652">
        <v>1</v>
      </c>
      <c r="F5652" t="str">
        <f>HYPERLINK("https://github.com/square/okhttp/issues/6480", "show")</f>
        <v>show</v>
      </c>
      <c r="G5652" t="str">
        <f>HYPERLINK("https://github.com/square/okhttp", "show")</f>
        <v>show</v>
      </c>
      <c r="H5652" t="str">
        <f>HYPERLINK("https://github.com/square/okhttp/releases", "show")</f>
        <v>show</v>
      </c>
      <c r="I5652">
        <v>1</v>
      </c>
      <c r="J5652">
        <v>0</v>
      </c>
      <c r="K5652">
        <v>1</v>
      </c>
      <c r="L5652">
        <v>0</v>
      </c>
      <c r="M5652" t="s">
        <v>64</v>
      </c>
    </row>
    <row r="5653" spans="1:13" hidden="1" x14ac:dyDescent="0.15">
      <c r="A5653" t="s">
        <v>17801</v>
      </c>
      <c r="B5653" t="s">
        <v>17802</v>
      </c>
      <c r="C5653" t="s">
        <v>17803</v>
      </c>
      <c r="D5653" t="s">
        <v>17797</v>
      </c>
      <c r="E5653">
        <v>0</v>
      </c>
      <c r="F5653" t="str">
        <f>HYPERLINK("https://github.com/inverse-inc/packetfence-android-agent/issues/11", "show")</f>
        <v>show</v>
      </c>
      <c r="G5653" t="str">
        <f>HYPERLINK("https://github.com/inverse-inc/packetfence-android-agent", "show")</f>
        <v>show</v>
      </c>
      <c r="H5653" t="str">
        <f>HYPERLINK("https://github.com/inverse-inc/packetfence-android-agent/releases", "show")</f>
        <v>show</v>
      </c>
      <c r="I5653">
        <v>0</v>
      </c>
      <c r="J5653">
        <v>0</v>
      </c>
      <c r="K5653">
        <v>0</v>
      </c>
      <c r="L5653">
        <v>0</v>
      </c>
      <c r="M5653" t="s">
        <v>43</v>
      </c>
    </row>
    <row r="5654" spans="1:13" hidden="1" x14ac:dyDescent="0.15">
      <c r="A5654" t="s">
        <v>17804</v>
      </c>
      <c r="B5654" t="s">
        <v>17805</v>
      </c>
      <c r="C5654" t="s">
        <v>17806</v>
      </c>
      <c r="D5654" t="s">
        <v>17797</v>
      </c>
      <c r="E5654">
        <v>0</v>
      </c>
      <c r="F5654" t="str">
        <f>HYPERLINK("https://github.com/Anuken/Mindustry/issues/4020", "show")</f>
        <v>show</v>
      </c>
      <c r="G5654" t="str">
        <f>HYPERLINK("https://github.com/Anuken/Mindustry", "show")</f>
        <v>show</v>
      </c>
      <c r="H5654" t="str">
        <f>HYPERLINK("https://github.com/Anuken/Mindustry/releases", "show")</f>
        <v>show</v>
      </c>
      <c r="I5654">
        <v>1</v>
      </c>
      <c r="J5654">
        <v>1</v>
      </c>
      <c r="K5654">
        <v>0</v>
      </c>
      <c r="L5654">
        <v>0</v>
      </c>
      <c r="M5654" t="s">
        <v>48</v>
      </c>
    </row>
    <row r="5655" spans="1:13" hidden="1" x14ac:dyDescent="0.15">
      <c r="A5655" t="s">
        <v>17807</v>
      </c>
      <c r="B5655" t="s">
        <v>17808</v>
      </c>
      <c r="C5655" t="s">
        <v>17809</v>
      </c>
      <c r="D5655" t="s">
        <v>17797</v>
      </c>
      <c r="E5655">
        <v>0</v>
      </c>
      <c r="F5655" t="str">
        <f>HYPERLINK("https://github.com/valkriaine/Factor_Launcher_Reboot/issues/3", "show")</f>
        <v>show</v>
      </c>
      <c r="G5655" t="str">
        <f>HYPERLINK("https://github.com/valkriaine/Factor_Launcher_Reboot", "show")</f>
        <v>show</v>
      </c>
      <c r="H5655" t="str">
        <f>HYPERLINK("https://github.com/valkriaine/Factor_Launcher_Reboot/releases", "show")</f>
        <v>show</v>
      </c>
      <c r="I5655">
        <v>1</v>
      </c>
      <c r="J5655">
        <v>0</v>
      </c>
      <c r="K5655">
        <v>0</v>
      </c>
      <c r="L5655">
        <v>0</v>
      </c>
      <c r="M5655" t="s">
        <v>17</v>
      </c>
    </row>
    <row r="5656" spans="1:13" hidden="1" x14ac:dyDescent="0.15">
      <c r="A5656" t="s">
        <v>17810</v>
      </c>
      <c r="B5656" t="s">
        <v>17811</v>
      </c>
      <c r="C5656" t="s">
        <v>17812</v>
      </c>
      <c r="D5656" t="s">
        <v>17797</v>
      </c>
      <c r="E5656">
        <v>4</v>
      </c>
      <c r="F5656" t="str">
        <f>HYPERLINK("https://github.com/microg/GmsCore/issues/1321", "show")</f>
        <v>show</v>
      </c>
      <c r="G5656" t="str">
        <f>HYPERLINK("https://github.com/microg/GmsCore", "show")</f>
        <v>show</v>
      </c>
      <c r="H5656" t="str">
        <f>HYPERLINK("https://github.com/microg/GmsCore/releases", "show")</f>
        <v>show</v>
      </c>
      <c r="I5656">
        <v>0</v>
      </c>
      <c r="J5656">
        <v>0</v>
      </c>
      <c r="K5656">
        <v>0</v>
      </c>
      <c r="L5656">
        <v>0</v>
      </c>
      <c r="M5656" t="s">
        <v>43</v>
      </c>
    </row>
    <row r="5657" spans="1:13" hidden="1" x14ac:dyDescent="0.15">
      <c r="A5657" t="s">
        <v>17813</v>
      </c>
      <c r="B5657" t="s">
        <v>17814</v>
      </c>
      <c r="C5657" t="s">
        <v>17815</v>
      </c>
      <c r="D5657" t="s">
        <v>17797</v>
      </c>
      <c r="E5657">
        <v>0</v>
      </c>
      <c r="F5657" t="str">
        <f>HYPERLINK("https://github.com/Anuken/Mindustry/issues/4013", "show")</f>
        <v>show</v>
      </c>
      <c r="G5657" t="str">
        <f>HYPERLINK("https://github.com/Anuken/Mindustry", "show")</f>
        <v>show</v>
      </c>
      <c r="H5657" t="str">
        <f>HYPERLINK("https://github.com/Anuken/Mindustry/releases", "show")</f>
        <v>show</v>
      </c>
      <c r="I5657">
        <v>0</v>
      </c>
      <c r="J5657">
        <v>1</v>
      </c>
      <c r="K5657">
        <v>0</v>
      </c>
      <c r="L5657">
        <v>1</v>
      </c>
      <c r="M5657" t="s">
        <v>1732</v>
      </c>
    </row>
    <row r="5658" spans="1:13" hidden="1" x14ac:dyDescent="0.15">
      <c r="A5658" t="s">
        <v>17816</v>
      </c>
      <c r="B5658" t="s">
        <v>17817</v>
      </c>
      <c r="D5658" t="s">
        <v>17797</v>
      </c>
      <c r="E5658">
        <v>50</v>
      </c>
      <c r="F5658" t="str">
        <f>HYPERLINK("https://github.com/opensrp/opensrp-client-goldsmith/issues/36", "show")</f>
        <v>show</v>
      </c>
      <c r="G5658" t="str">
        <f>HYPERLINK("https://github.com/opensrp/opensrp-client-goldsmith", "show")</f>
        <v>show</v>
      </c>
      <c r="H5658" t="str">
        <f>HYPERLINK("https://github.com/opensrp/opensrp-client-goldsmith/releases", "show")</f>
        <v>show</v>
      </c>
      <c r="I5658">
        <v>1</v>
      </c>
      <c r="J5658">
        <v>0</v>
      </c>
      <c r="K5658">
        <v>0</v>
      </c>
      <c r="L5658">
        <v>0</v>
      </c>
      <c r="M5658" t="s">
        <v>17</v>
      </c>
    </row>
    <row r="5659" spans="1:13" hidden="1" x14ac:dyDescent="0.15">
      <c r="A5659" t="s">
        <v>17818</v>
      </c>
      <c r="B5659" t="s">
        <v>17819</v>
      </c>
      <c r="C5659" t="s">
        <v>17820</v>
      </c>
      <c r="D5659" t="s">
        <v>17797</v>
      </c>
      <c r="E5659">
        <v>0</v>
      </c>
      <c r="F5659" t="str">
        <f>HYPERLINK("https://github.com/Anuken/Mindustry/issues/4010", "show")</f>
        <v>show</v>
      </c>
      <c r="G5659" t="str">
        <f>HYPERLINK("https://github.com/Anuken/Mindustry", "show")</f>
        <v>show</v>
      </c>
      <c r="H5659" t="str">
        <f>HYPERLINK("https://github.com/Anuken/Mindustry/releases", "show")</f>
        <v>show</v>
      </c>
      <c r="I5659">
        <v>1</v>
      </c>
      <c r="J5659">
        <v>1</v>
      </c>
      <c r="K5659">
        <v>0</v>
      </c>
      <c r="L5659">
        <v>1</v>
      </c>
      <c r="M5659" t="s">
        <v>1894</v>
      </c>
    </row>
    <row r="5660" spans="1:13" hidden="1" x14ac:dyDescent="0.15">
      <c r="A5660" t="s">
        <v>17821</v>
      </c>
      <c r="B5660" t="s">
        <v>7086</v>
      </c>
      <c r="C5660" t="s">
        <v>17822</v>
      </c>
      <c r="D5660" t="s">
        <v>17823</v>
      </c>
      <c r="E5660">
        <v>28</v>
      </c>
      <c r="F5660" t="str">
        <f>HYPERLINK("https://github.com/NightscoutFoundation/xDrip/issues/1558", "show")</f>
        <v>show</v>
      </c>
      <c r="G5660" t="str">
        <f>HYPERLINK("https://github.com/NightscoutFoundation/xDrip", "show")</f>
        <v>show</v>
      </c>
      <c r="H5660" t="str">
        <f>HYPERLINK("https://github.com/NightscoutFoundation/xDrip/releases", "show")</f>
        <v>show</v>
      </c>
      <c r="I5660">
        <v>1</v>
      </c>
      <c r="J5660">
        <v>0</v>
      </c>
      <c r="K5660">
        <v>0</v>
      </c>
      <c r="L5660">
        <v>0</v>
      </c>
      <c r="M5660" t="s">
        <v>17</v>
      </c>
    </row>
    <row r="5661" spans="1:13" hidden="1" x14ac:dyDescent="0.15">
      <c r="A5661" t="s">
        <v>17824</v>
      </c>
      <c r="B5661" t="s">
        <v>17825</v>
      </c>
      <c r="C5661" t="s">
        <v>17826</v>
      </c>
      <c r="D5661" t="s">
        <v>17823</v>
      </c>
      <c r="E5661">
        <v>174</v>
      </c>
      <c r="F5661" t="str">
        <f>HYPERLINK("https://github.com/TeamNewPipe/NewPipe/issues/5198", "show")</f>
        <v>show</v>
      </c>
      <c r="G5661" t="str">
        <f>HYPERLINK("https://github.com/TeamNewPipe/NewPipe", "show")</f>
        <v>show</v>
      </c>
      <c r="H5661" t="str">
        <f>HYPERLINK("https://github.com/TeamNewPipe/NewPipe/releases", "show")</f>
        <v>show</v>
      </c>
      <c r="I5661">
        <v>1</v>
      </c>
      <c r="J5661">
        <v>1</v>
      </c>
      <c r="K5661">
        <v>1</v>
      </c>
      <c r="L5661">
        <v>0</v>
      </c>
      <c r="M5661" t="s">
        <v>59</v>
      </c>
    </row>
    <row r="5662" spans="1:13" hidden="1" x14ac:dyDescent="0.15">
      <c r="A5662" t="s">
        <v>17827</v>
      </c>
      <c r="B5662" t="s">
        <v>17828</v>
      </c>
      <c r="C5662" t="s">
        <v>17829</v>
      </c>
      <c r="D5662" t="s">
        <v>17823</v>
      </c>
      <c r="E5662">
        <v>0</v>
      </c>
      <c r="F5662" t="str">
        <f>HYPERLINK("https://github.com/Anuken/Mindustry/issues/4005", "show")</f>
        <v>show</v>
      </c>
      <c r="G5662" t="str">
        <f>HYPERLINK("https://github.com/Anuken/Mindustry", "show")</f>
        <v>show</v>
      </c>
      <c r="H5662" t="str">
        <f>HYPERLINK("https://github.com/Anuken/Mindustry/releases", "show")</f>
        <v>show</v>
      </c>
      <c r="I5662">
        <v>1</v>
      </c>
      <c r="J5662">
        <v>1</v>
      </c>
      <c r="K5662">
        <v>0</v>
      </c>
      <c r="L5662">
        <v>0</v>
      </c>
      <c r="M5662" t="s">
        <v>48</v>
      </c>
    </row>
    <row r="5663" spans="1:13" hidden="1" x14ac:dyDescent="0.15">
      <c r="A5663" t="s">
        <v>17830</v>
      </c>
      <c r="B5663" t="s">
        <v>11287</v>
      </c>
      <c r="C5663" t="s">
        <v>17831</v>
      </c>
      <c r="D5663" t="s">
        <v>17823</v>
      </c>
      <c r="E5663">
        <v>1</v>
      </c>
      <c r="F5663" t="str">
        <f>HYPERLINK("https://github.com/PojavLauncherTeam/PojavLauncher/issues/505", "show")</f>
        <v>show</v>
      </c>
      <c r="G5663" t="str">
        <f>HYPERLINK("https://github.com/PojavLauncherTeam/PojavLauncher", "show")</f>
        <v>show</v>
      </c>
      <c r="H5663" t="str">
        <f>HYPERLINK("https://github.com/PojavLauncherTeam/PojavLauncher/releases", "show")</f>
        <v>show</v>
      </c>
      <c r="I5663">
        <v>1</v>
      </c>
      <c r="J5663">
        <v>0</v>
      </c>
      <c r="K5663">
        <v>0</v>
      </c>
      <c r="L5663">
        <v>1</v>
      </c>
      <c r="M5663" t="s">
        <v>29</v>
      </c>
    </row>
    <row r="5664" spans="1:13" hidden="1" x14ac:dyDescent="0.15">
      <c r="A5664" t="s">
        <v>17832</v>
      </c>
      <c r="B5664" t="s">
        <v>17833</v>
      </c>
      <c r="C5664" t="s">
        <v>17834</v>
      </c>
      <c r="D5664" t="s">
        <v>17823</v>
      </c>
      <c r="E5664">
        <v>175</v>
      </c>
      <c r="F5664" t="str">
        <f>HYPERLINK("https://github.com/Rapsssito/react-native-background-actions/issues/61", "show")</f>
        <v>show</v>
      </c>
      <c r="G5664" t="str">
        <f>HYPERLINK("https://github.com/Rapsssito/react-native-background-actions", "show")</f>
        <v>show</v>
      </c>
      <c r="H5664" t="str">
        <f>HYPERLINK("https://github.com/Rapsssito/react-native-background-actions/releases", "show")</f>
        <v>show</v>
      </c>
      <c r="I5664">
        <v>0</v>
      </c>
      <c r="J5664">
        <v>0</v>
      </c>
      <c r="K5664">
        <v>0</v>
      </c>
      <c r="L5664">
        <v>0</v>
      </c>
      <c r="M5664" t="s">
        <v>43</v>
      </c>
    </row>
    <row r="5665" spans="1:13" hidden="1" x14ac:dyDescent="0.15">
      <c r="A5665" t="s">
        <v>17835</v>
      </c>
      <c r="B5665" t="s">
        <v>17836</v>
      </c>
      <c r="C5665" t="s">
        <v>17837</v>
      </c>
      <c r="D5665" t="s">
        <v>17823</v>
      </c>
      <c r="E5665">
        <v>20</v>
      </c>
      <c r="F5665" t="str">
        <f>HYPERLINK("https://github.com/hzi-braunschweig/SORMAS-Project/issues/3805", "show")</f>
        <v>show</v>
      </c>
      <c r="G5665" t="str">
        <f>HYPERLINK("https://github.com/hzi-braunschweig/SORMAS-Project", "show")</f>
        <v>show</v>
      </c>
      <c r="H5665" t="str">
        <f>HYPERLINK("https://github.com/hzi-braunschweig/SORMAS-Project/releases", "show")</f>
        <v>show</v>
      </c>
      <c r="I5665">
        <v>1</v>
      </c>
      <c r="J5665">
        <v>0</v>
      </c>
      <c r="K5665">
        <v>0</v>
      </c>
      <c r="L5665">
        <v>0</v>
      </c>
      <c r="M5665" t="s">
        <v>17</v>
      </c>
    </row>
    <row r="5666" spans="1:13" hidden="1" x14ac:dyDescent="0.15">
      <c r="A5666" t="s">
        <v>17838</v>
      </c>
      <c r="B5666" t="s">
        <v>17839</v>
      </c>
      <c r="C5666" t="s">
        <v>17840</v>
      </c>
      <c r="D5666" t="s">
        <v>17823</v>
      </c>
      <c r="E5666">
        <v>6</v>
      </c>
      <c r="F5666" t="str">
        <f>HYPERLINK("https://github.com/PojavLauncherTeam/PojavLauncher/issues/501", "show")</f>
        <v>show</v>
      </c>
      <c r="G5666" t="str">
        <f>HYPERLINK("https://github.com/PojavLauncherTeam/PojavLauncher", "show")</f>
        <v>show</v>
      </c>
      <c r="H5666" t="str">
        <f>HYPERLINK("https://github.com/PojavLauncherTeam/PojavLauncher/releases", "show")</f>
        <v>show</v>
      </c>
      <c r="I5666">
        <v>1</v>
      </c>
      <c r="J5666">
        <v>1</v>
      </c>
      <c r="K5666">
        <v>0</v>
      </c>
      <c r="L5666">
        <v>0</v>
      </c>
      <c r="M5666" t="s">
        <v>48</v>
      </c>
    </row>
    <row r="5667" spans="1:13" hidden="1" x14ac:dyDescent="0.15">
      <c r="A5667" t="s">
        <v>17841</v>
      </c>
      <c r="B5667" t="s">
        <v>17842</v>
      </c>
      <c r="C5667" t="s">
        <v>16901</v>
      </c>
      <c r="D5667" t="s">
        <v>17843</v>
      </c>
      <c r="E5667">
        <v>0</v>
      </c>
      <c r="F5667" t="str">
        <f>HYPERLINK("https://github.com/Anuken/Mindustry/issues/3995", "show")</f>
        <v>show</v>
      </c>
      <c r="G5667" t="str">
        <f>HYPERLINK("https://github.com/Anuken/Mindustry", "show")</f>
        <v>show</v>
      </c>
      <c r="H5667" t="str">
        <f>HYPERLINK("https://github.com/Anuken/Mindustry/releases", "show")</f>
        <v>show</v>
      </c>
      <c r="I5667">
        <v>1</v>
      </c>
      <c r="J5667">
        <v>0</v>
      </c>
      <c r="K5667">
        <v>0</v>
      </c>
      <c r="L5667">
        <v>0</v>
      </c>
      <c r="M5667" t="s">
        <v>17</v>
      </c>
    </row>
    <row r="5668" spans="1:13" x14ac:dyDescent="0.15">
      <c r="A5668" t="s">
        <v>17844</v>
      </c>
      <c r="B5668" t="s">
        <v>17845</v>
      </c>
      <c r="C5668" t="s">
        <v>17846</v>
      </c>
      <c r="D5668" t="s">
        <v>17843</v>
      </c>
      <c r="E5668">
        <v>0</v>
      </c>
      <c r="F5668" t="str">
        <f>HYPERLINK("https://github.com/Anuken/Mindustry/issues/3994", "show")</f>
        <v>show</v>
      </c>
      <c r="G5668" t="str">
        <f>HYPERLINK("https://github.com/Anuken/Mindustry", "show")</f>
        <v>show</v>
      </c>
      <c r="H5668" t="str">
        <f>HYPERLINK("https://github.com/Anuken/Mindustry/releases", "show")</f>
        <v>show</v>
      </c>
      <c r="I5668">
        <v>0</v>
      </c>
      <c r="J5668">
        <v>1</v>
      </c>
      <c r="K5668">
        <v>0</v>
      </c>
      <c r="L5668">
        <v>0</v>
      </c>
      <c r="M5668" t="s">
        <v>139</v>
      </c>
    </row>
    <row r="5669" spans="1:13" hidden="1" x14ac:dyDescent="0.15">
      <c r="A5669" t="s">
        <v>17847</v>
      </c>
      <c r="B5669" t="s">
        <v>17848</v>
      </c>
      <c r="C5669" t="s">
        <v>16901</v>
      </c>
      <c r="D5669" t="s">
        <v>17843</v>
      </c>
      <c r="E5669">
        <v>0</v>
      </c>
      <c r="F5669" t="str">
        <f>HYPERLINK("https://github.com/Anuken/Mindustry/issues/3993", "show")</f>
        <v>show</v>
      </c>
      <c r="G5669" t="str">
        <f>HYPERLINK("https://github.com/Anuken/Mindustry", "show")</f>
        <v>show</v>
      </c>
      <c r="H5669" t="str">
        <f>HYPERLINK("https://github.com/Anuken/Mindustry/releases", "show")</f>
        <v>show</v>
      </c>
      <c r="I5669">
        <v>1</v>
      </c>
      <c r="J5669">
        <v>0</v>
      </c>
      <c r="K5669">
        <v>0</v>
      </c>
      <c r="L5669">
        <v>0</v>
      </c>
      <c r="M5669" t="s">
        <v>17</v>
      </c>
    </row>
    <row r="5670" spans="1:13" hidden="1" x14ac:dyDescent="0.15">
      <c r="A5670" t="s">
        <v>17849</v>
      </c>
      <c r="B5670" t="s">
        <v>17850</v>
      </c>
      <c r="D5670" t="s">
        <v>17843</v>
      </c>
      <c r="E5670">
        <v>26</v>
      </c>
      <c r="F5670" t="str">
        <f>HYPERLINK("https://github.com/AHSAppDevTeam/Arcadia-High-Mobile/issues/16", "show")</f>
        <v>show</v>
      </c>
      <c r="G5670" t="str">
        <f>HYPERLINK("https://github.com/AHSAppDevTeam/Arcadia-High-Mobile", "show")</f>
        <v>show</v>
      </c>
      <c r="H5670" t="str">
        <f>HYPERLINK("https://github.com/AHSAppDevTeam/Arcadia-High-Mobile/releases", "show")</f>
        <v>show</v>
      </c>
      <c r="I5670">
        <v>1</v>
      </c>
      <c r="J5670">
        <v>0</v>
      </c>
      <c r="K5670">
        <v>0</v>
      </c>
      <c r="L5670">
        <v>0</v>
      </c>
      <c r="M5670" t="s">
        <v>17</v>
      </c>
    </row>
    <row r="5671" spans="1:13" hidden="1" x14ac:dyDescent="0.15">
      <c r="A5671" t="s">
        <v>17851</v>
      </c>
      <c r="B5671" t="s">
        <v>17852</v>
      </c>
      <c r="C5671" t="s">
        <v>17853</v>
      </c>
      <c r="D5671" t="s">
        <v>17843</v>
      </c>
      <c r="E5671">
        <v>32</v>
      </c>
      <c r="F5671" t="str">
        <f>HYPERLINK("https://github.com/TeamNewPipe/NewPipe/issues/5187", "show")</f>
        <v>show</v>
      </c>
      <c r="G5671" t="str">
        <f>HYPERLINK("https://github.com/TeamNewPipe/NewPipe", "show")</f>
        <v>show</v>
      </c>
      <c r="H5671" t="str">
        <f>HYPERLINK("https://github.com/TeamNewPipe/NewPipe/releases", "show")</f>
        <v>show</v>
      </c>
      <c r="I5671">
        <v>1</v>
      </c>
      <c r="J5671">
        <v>1</v>
      </c>
      <c r="K5671">
        <v>0</v>
      </c>
      <c r="L5671">
        <v>1</v>
      </c>
      <c r="M5671" t="s">
        <v>1894</v>
      </c>
    </row>
    <row r="5672" spans="1:13" hidden="1" x14ac:dyDescent="0.15">
      <c r="A5672" t="s">
        <v>17854</v>
      </c>
      <c r="B5672" t="s">
        <v>17855</v>
      </c>
      <c r="C5672" t="s">
        <v>17856</v>
      </c>
      <c r="D5672" t="s">
        <v>17843</v>
      </c>
      <c r="E5672">
        <v>0</v>
      </c>
      <c r="F5672" t="str">
        <f>HYPERLINK("https://github.com/Anuken/Mindustry/issues/3988", "show")</f>
        <v>show</v>
      </c>
      <c r="G5672" t="str">
        <f>HYPERLINK("https://github.com/Anuken/Mindustry", "show")</f>
        <v>show</v>
      </c>
      <c r="H5672" t="str">
        <f>HYPERLINK("https://github.com/Anuken/Mindustry/releases", "show")</f>
        <v>show</v>
      </c>
      <c r="I5672">
        <v>1</v>
      </c>
      <c r="J5672">
        <v>1</v>
      </c>
      <c r="K5672">
        <v>0</v>
      </c>
      <c r="L5672">
        <v>1</v>
      </c>
      <c r="M5672" t="s">
        <v>1894</v>
      </c>
    </row>
    <row r="5673" spans="1:13" hidden="1" x14ac:dyDescent="0.15">
      <c r="A5673" t="s">
        <v>17857</v>
      </c>
      <c r="B5673" t="s">
        <v>17858</v>
      </c>
      <c r="C5673" t="s">
        <v>17859</v>
      </c>
      <c r="D5673" t="s">
        <v>17843</v>
      </c>
      <c r="E5673">
        <v>1</v>
      </c>
      <c r="F5673" t="str">
        <f>HYPERLINK("https://github.com/barbeau/gpstest/issues/459", "show")</f>
        <v>show</v>
      </c>
      <c r="G5673" t="str">
        <f>HYPERLINK("https://github.com/barbeau/gpstest", "show")</f>
        <v>show</v>
      </c>
      <c r="H5673" t="str">
        <f>HYPERLINK("https://github.com/barbeau/gpstest/releases", "show")</f>
        <v>show</v>
      </c>
      <c r="I5673">
        <v>1</v>
      </c>
      <c r="J5673">
        <v>0</v>
      </c>
      <c r="K5673">
        <v>0</v>
      </c>
      <c r="L5673">
        <v>0</v>
      </c>
      <c r="M5673" t="s">
        <v>17</v>
      </c>
    </row>
    <row r="5674" spans="1:13" hidden="1" x14ac:dyDescent="0.15">
      <c r="A5674" t="s">
        <v>17860</v>
      </c>
      <c r="B5674" t="s">
        <v>17861</v>
      </c>
      <c r="C5674" t="s">
        <v>17862</v>
      </c>
      <c r="D5674" t="s">
        <v>17843</v>
      </c>
      <c r="E5674">
        <v>85</v>
      </c>
      <c r="F5674" t="str">
        <f>HYPERLINK("https://github.com/nextcloud/android/issues/7669", "show")</f>
        <v>show</v>
      </c>
      <c r="G5674" t="str">
        <f>HYPERLINK("https://github.com/nextcloud/android", "show")</f>
        <v>show</v>
      </c>
      <c r="H5674" t="str">
        <f>HYPERLINK("https://github.com/nextcloud/android/releases", "show")</f>
        <v>show</v>
      </c>
      <c r="I5674">
        <v>1</v>
      </c>
      <c r="J5674">
        <v>1</v>
      </c>
      <c r="K5674">
        <v>1</v>
      </c>
      <c r="L5674">
        <v>0</v>
      </c>
      <c r="M5674" t="s">
        <v>59</v>
      </c>
    </row>
    <row r="5675" spans="1:13" hidden="1" x14ac:dyDescent="0.15">
      <c r="A5675" t="s">
        <v>17863</v>
      </c>
      <c r="B5675" t="s">
        <v>17864</v>
      </c>
      <c r="C5675" t="s">
        <v>17865</v>
      </c>
      <c r="D5675" t="s">
        <v>17843</v>
      </c>
      <c r="E5675">
        <v>0</v>
      </c>
      <c r="F5675" t="str">
        <f>HYPERLINK("https://github.com/MAC10SOFTINC/TinyURL/issues/11", "show")</f>
        <v>show</v>
      </c>
      <c r="G5675" t="str">
        <f>HYPERLINK("https://github.com/MAC10SOFTINC/TinyURL", "show")</f>
        <v>show</v>
      </c>
      <c r="H5675" t="str">
        <f>HYPERLINK("https://github.com/MAC10SOFTINC/TinyURL/releases", "show")</f>
        <v>show</v>
      </c>
      <c r="I5675">
        <v>0</v>
      </c>
      <c r="J5675">
        <v>0</v>
      </c>
      <c r="K5675">
        <v>1</v>
      </c>
      <c r="L5675">
        <v>0</v>
      </c>
      <c r="M5675" t="s">
        <v>122</v>
      </c>
    </row>
    <row r="5676" spans="1:13" hidden="1" x14ac:dyDescent="0.15">
      <c r="A5676" t="s">
        <v>17866</v>
      </c>
      <c r="B5676" t="s">
        <v>17867</v>
      </c>
      <c r="C5676" t="s">
        <v>17868</v>
      </c>
      <c r="D5676" t="s">
        <v>17869</v>
      </c>
      <c r="E5676">
        <v>1</v>
      </c>
      <c r="F5676" t="str">
        <f>HYPERLINK("https://github.com/TeamNewPipe/NewPipe/issues/5175", "show")</f>
        <v>show</v>
      </c>
      <c r="G5676" t="str">
        <f>HYPERLINK("https://github.com/TeamNewPipe/NewPipe", "show")</f>
        <v>show</v>
      </c>
      <c r="H5676" t="str">
        <f>HYPERLINK("https://github.com/TeamNewPipe/NewPipe/releases", "show")</f>
        <v>show</v>
      </c>
      <c r="I5676">
        <v>1</v>
      </c>
      <c r="J5676">
        <v>1</v>
      </c>
      <c r="K5676">
        <v>1</v>
      </c>
      <c r="L5676">
        <v>0</v>
      </c>
      <c r="M5676" t="s">
        <v>59</v>
      </c>
    </row>
    <row r="5677" spans="1:13" hidden="1" x14ac:dyDescent="0.15">
      <c r="A5677" t="s">
        <v>17870</v>
      </c>
      <c r="B5677" t="s">
        <v>17871</v>
      </c>
      <c r="C5677" t="s">
        <v>17872</v>
      </c>
      <c r="D5677" t="s">
        <v>17869</v>
      </c>
      <c r="E5677">
        <v>0</v>
      </c>
      <c r="F5677" t="str">
        <f>HYPERLINK("https://github.com/Anuken/Mindustry/issues/3981", "show")</f>
        <v>show</v>
      </c>
      <c r="G5677" t="str">
        <f>HYPERLINK("https://github.com/Anuken/Mindustry", "show")</f>
        <v>show</v>
      </c>
      <c r="H5677" t="str">
        <f>HYPERLINK("https://github.com/Anuken/Mindustry/releases", "show")</f>
        <v>show</v>
      </c>
      <c r="I5677">
        <v>1</v>
      </c>
      <c r="J5677">
        <v>1</v>
      </c>
      <c r="K5677">
        <v>0</v>
      </c>
      <c r="L5677">
        <v>1</v>
      </c>
      <c r="M5677" t="s">
        <v>1894</v>
      </c>
    </row>
    <row r="5678" spans="1:13" hidden="1" x14ac:dyDescent="0.15">
      <c r="A5678" t="s">
        <v>17873</v>
      </c>
      <c r="B5678" t="s">
        <v>17874</v>
      </c>
      <c r="C5678" t="s">
        <v>17875</v>
      </c>
      <c r="D5678" t="s">
        <v>17869</v>
      </c>
      <c r="E5678">
        <v>0</v>
      </c>
      <c r="F5678" t="str">
        <f>HYPERLINK("https://github.com/Anuken/Mindustry/issues/3979", "show")</f>
        <v>show</v>
      </c>
      <c r="G5678" t="str">
        <f>HYPERLINK("https://github.com/Anuken/Mindustry", "show")</f>
        <v>show</v>
      </c>
      <c r="H5678" t="str">
        <f>HYPERLINK("https://github.com/Anuken/Mindustry/releases", "show")</f>
        <v>show</v>
      </c>
      <c r="I5678">
        <v>0</v>
      </c>
      <c r="J5678">
        <v>0</v>
      </c>
      <c r="K5678">
        <v>0</v>
      </c>
      <c r="L5678">
        <v>0</v>
      </c>
      <c r="M5678" t="s">
        <v>43</v>
      </c>
    </row>
    <row r="5679" spans="1:13" hidden="1" x14ac:dyDescent="0.15">
      <c r="A5679" t="s">
        <v>17876</v>
      </c>
      <c r="B5679" t="s">
        <v>17877</v>
      </c>
      <c r="C5679" t="s">
        <v>17878</v>
      </c>
      <c r="D5679" t="s">
        <v>17869</v>
      </c>
      <c r="E5679">
        <v>3</v>
      </c>
      <c r="F5679" t="str">
        <f>HYPERLINK("https://github.com/MuntashirAkon/AppManager/issues/189", "show")</f>
        <v>show</v>
      </c>
      <c r="G5679" t="str">
        <f>HYPERLINK("https://github.com/MuntashirAkon/AppManager", "show")</f>
        <v>show</v>
      </c>
      <c r="H5679" t="str">
        <f>HYPERLINK("https://github.com/MuntashirAkon/AppManager/releases", "show")</f>
        <v>show</v>
      </c>
      <c r="I5679">
        <v>1</v>
      </c>
      <c r="J5679">
        <v>1</v>
      </c>
      <c r="K5679">
        <v>0</v>
      </c>
      <c r="L5679">
        <v>0</v>
      </c>
      <c r="M5679" t="s">
        <v>48</v>
      </c>
    </row>
    <row r="5680" spans="1:13" hidden="1" x14ac:dyDescent="0.15">
      <c r="A5680" t="s">
        <v>17879</v>
      </c>
      <c r="B5680" t="s">
        <v>17880</v>
      </c>
      <c r="C5680" t="s">
        <v>17881</v>
      </c>
      <c r="D5680" t="s">
        <v>17869</v>
      </c>
      <c r="E5680">
        <v>0</v>
      </c>
      <c r="F5680" t="str">
        <f>HYPERLINK("https://github.com/Anuken/Mindustry/issues/3976", "show")</f>
        <v>show</v>
      </c>
      <c r="G5680" t="str">
        <f>HYPERLINK("https://github.com/Anuken/Mindustry", "show")</f>
        <v>show</v>
      </c>
      <c r="H5680" t="str">
        <f>HYPERLINK("https://github.com/Anuken/Mindustry/releases", "show")</f>
        <v>show</v>
      </c>
      <c r="I5680">
        <v>1</v>
      </c>
      <c r="J5680">
        <v>1</v>
      </c>
      <c r="K5680">
        <v>0</v>
      </c>
      <c r="L5680">
        <v>0</v>
      </c>
      <c r="M5680" t="s">
        <v>48</v>
      </c>
    </row>
    <row r="5681" spans="1:13" hidden="1" x14ac:dyDescent="0.15">
      <c r="A5681" t="s">
        <v>17882</v>
      </c>
      <c r="B5681" t="s">
        <v>17883</v>
      </c>
      <c r="C5681" t="s">
        <v>17884</v>
      </c>
      <c r="D5681" t="s">
        <v>17869</v>
      </c>
      <c r="E5681">
        <v>1</v>
      </c>
      <c r="F5681" t="str">
        <f>HYPERLINK("https://github.com/square/okhttp/issues/6473", "show")</f>
        <v>show</v>
      </c>
      <c r="G5681" t="str">
        <f>HYPERLINK("https://github.com/square/okhttp", "show")</f>
        <v>show</v>
      </c>
      <c r="H5681" t="str">
        <f>HYPERLINK("https://github.com/square/okhttp/releases", "show")</f>
        <v>show</v>
      </c>
      <c r="I5681">
        <v>1</v>
      </c>
      <c r="J5681">
        <v>0</v>
      </c>
      <c r="K5681">
        <v>1</v>
      </c>
      <c r="L5681">
        <v>0</v>
      </c>
      <c r="M5681" t="s">
        <v>64</v>
      </c>
    </row>
    <row r="5682" spans="1:13" hidden="1" x14ac:dyDescent="0.15">
      <c r="A5682" t="s">
        <v>17885</v>
      </c>
      <c r="B5682" t="s">
        <v>17886</v>
      </c>
      <c r="C5682" t="s">
        <v>17887</v>
      </c>
      <c r="D5682" t="s">
        <v>17869</v>
      </c>
      <c r="E5682">
        <v>1</v>
      </c>
      <c r="F5682" t="str">
        <f>HYPERLINK("https://github.com/dimagi/commcare-android/issues/2420", "show")</f>
        <v>show</v>
      </c>
      <c r="G5682" t="str">
        <f>HYPERLINK("https://github.com/dimagi/commcare-android", "show")</f>
        <v>show</v>
      </c>
      <c r="H5682" t="str">
        <f>HYPERLINK("https://github.com/dimagi/commcare-android/releases", "show")</f>
        <v>show</v>
      </c>
      <c r="I5682">
        <v>0</v>
      </c>
      <c r="J5682">
        <v>0</v>
      </c>
      <c r="K5682">
        <v>1</v>
      </c>
      <c r="L5682">
        <v>0</v>
      </c>
      <c r="M5682" t="s">
        <v>122</v>
      </c>
    </row>
    <row r="5683" spans="1:13" hidden="1" x14ac:dyDescent="0.15">
      <c r="A5683" t="s">
        <v>17888</v>
      </c>
      <c r="B5683" t="s">
        <v>17889</v>
      </c>
      <c r="C5683" t="s">
        <v>17890</v>
      </c>
      <c r="D5683" t="s">
        <v>17869</v>
      </c>
      <c r="E5683">
        <v>0</v>
      </c>
      <c r="F5683" t="str">
        <f>HYPERLINK("https://github.com/Anuken/Mindustry/issues/3975", "show")</f>
        <v>show</v>
      </c>
      <c r="G5683" t="str">
        <f>HYPERLINK("https://github.com/Anuken/Mindustry", "show")</f>
        <v>show</v>
      </c>
      <c r="H5683" t="str">
        <f>HYPERLINK("https://github.com/Anuken/Mindustry/releases", "show")</f>
        <v>show</v>
      </c>
      <c r="I5683">
        <v>1</v>
      </c>
      <c r="J5683">
        <v>0</v>
      </c>
      <c r="K5683">
        <v>0</v>
      </c>
      <c r="L5683">
        <v>0</v>
      </c>
      <c r="M5683" t="s">
        <v>17</v>
      </c>
    </row>
    <row r="5684" spans="1:13" hidden="1" x14ac:dyDescent="0.15">
      <c r="A5684" t="s">
        <v>17891</v>
      </c>
      <c r="B5684" t="s">
        <v>17892</v>
      </c>
      <c r="C5684" t="s">
        <v>17893</v>
      </c>
      <c r="D5684" t="s">
        <v>17869</v>
      </c>
      <c r="E5684">
        <v>0</v>
      </c>
      <c r="F5684" t="str">
        <f>HYPERLINK("https://github.com/Anuken/Mindustry/issues/3972", "show")</f>
        <v>show</v>
      </c>
      <c r="G5684" t="str">
        <f>HYPERLINK("https://github.com/Anuken/Mindustry", "show")</f>
        <v>show</v>
      </c>
      <c r="H5684" t="str">
        <f>HYPERLINK("https://github.com/Anuken/Mindustry/releases", "show")</f>
        <v>show</v>
      </c>
      <c r="I5684">
        <v>1</v>
      </c>
      <c r="J5684">
        <v>0</v>
      </c>
      <c r="K5684">
        <v>0</v>
      </c>
      <c r="L5684">
        <v>0</v>
      </c>
      <c r="M5684" t="s">
        <v>17</v>
      </c>
    </row>
    <row r="5685" spans="1:13" hidden="1" x14ac:dyDescent="0.15">
      <c r="A5685" t="s">
        <v>17894</v>
      </c>
      <c r="B5685" t="s">
        <v>17895</v>
      </c>
      <c r="D5685" t="s">
        <v>17896</v>
      </c>
      <c r="E5685">
        <v>0</v>
      </c>
      <c r="F5685" t="str">
        <f>HYPERLINK("https://github.com/barrven/ScavengerHunt/issues/20", "show")</f>
        <v>show</v>
      </c>
      <c r="G5685" t="str">
        <f>HYPERLINK("https://github.com/barrven/ScavengerHunt", "show")</f>
        <v>show</v>
      </c>
      <c r="H5685" t="str">
        <f>HYPERLINK("https://github.com/barrven/ScavengerHunt/releases", "show")</f>
        <v>show</v>
      </c>
      <c r="I5685">
        <v>1</v>
      </c>
      <c r="J5685">
        <v>0</v>
      </c>
      <c r="K5685">
        <v>0</v>
      </c>
      <c r="L5685">
        <v>0</v>
      </c>
      <c r="M5685" t="s">
        <v>17</v>
      </c>
    </row>
    <row r="5686" spans="1:13" hidden="1" x14ac:dyDescent="0.15">
      <c r="A5686" t="s">
        <v>17897</v>
      </c>
      <c r="B5686" t="s">
        <v>17898</v>
      </c>
      <c r="C5686" t="s">
        <v>17899</v>
      </c>
      <c r="D5686" t="s">
        <v>17896</v>
      </c>
      <c r="E5686">
        <v>0</v>
      </c>
      <c r="F5686" t="str">
        <f>HYPERLINK("https://github.com/Anuken/Mindustry/issues/3969", "show")</f>
        <v>show</v>
      </c>
      <c r="G5686" t="str">
        <f>HYPERLINK("https://github.com/Anuken/Mindustry", "show")</f>
        <v>show</v>
      </c>
      <c r="H5686" t="str">
        <f>HYPERLINK("https://github.com/Anuken/Mindustry/releases", "show")</f>
        <v>show</v>
      </c>
      <c r="I5686">
        <v>1</v>
      </c>
      <c r="J5686">
        <v>1</v>
      </c>
      <c r="K5686">
        <v>0</v>
      </c>
      <c r="L5686">
        <v>0</v>
      </c>
      <c r="M5686" t="s">
        <v>48</v>
      </c>
    </row>
    <row r="5687" spans="1:13" x14ac:dyDescent="0.15">
      <c r="A5687" t="s">
        <v>17900</v>
      </c>
      <c r="B5687" t="s">
        <v>17901</v>
      </c>
      <c r="C5687" t="s">
        <v>17902</v>
      </c>
      <c r="D5687" t="s">
        <v>17896</v>
      </c>
      <c r="E5687">
        <v>1</v>
      </c>
      <c r="F5687" t="str">
        <f>HYPERLINK("https://github.com/microg/GmsCore/issues/1312", "show")</f>
        <v>show</v>
      </c>
      <c r="G5687" t="str">
        <f>HYPERLINK("https://github.com/microg/GmsCore", "show")</f>
        <v>show</v>
      </c>
      <c r="H5687" t="str">
        <f>HYPERLINK("https://github.com/microg/GmsCore/releases", "show")</f>
        <v>show</v>
      </c>
      <c r="I5687">
        <v>0</v>
      </c>
      <c r="J5687">
        <v>1</v>
      </c>
      <c r="K5687">
        <v>0</v>
      </c>
      <c r="L5687">
        <v>0</v>
      </c>
      <c r="M5687" t="s">
        <v>139</v>
      </c>
    </row>
    <row r="5688" spans="1:13" hidden="1" x14ac:dyDescent="0.15">
      <c r="A5688" t="s">
        <v>17903</v>
      </c>
      <c r="B5688" t="s">
        <v>17904</v>
      </c>
      <c r="C5688" t="s">
        <v>17905</v>
      </c>
      <c r="D5688" t="s">
        <v>17896</v>
      </c>
      <c r="E5688">
        <v>87</v>
      </c>
      <c r="F5688" t="str">
        <f>HYPERLINK("https://github.com/nextcloud/android/issues/7658", "show")</f>
        <v>show</v>
      </c>
      <c r="G5688" t="str">
        <f>HYPERLINK("https://github.com/nextcloud/android", "show")</f>
        <v>show</v>
      </c>
      <c r="H5688" t="str">
        <f>HYPERLINK("https://github.com/nextcloud/android/releases", "show")</f>
        <v>show</v>
      </c>
      <c r="I5688">
        <v>0</v>
      </c>
      <c r="J5688">
        <v>1</v>
      </c>
      <c r="K5688">
        <v>1</v>
      </c>
      <c r="L5688">
        <v>0</v>
      </c>
      <c r="M5688" t="s">
        <v>699</v>
      </c>
    </row>
    <row r="5689" spans="1:13" hidden="1" x14ac:dyDescent="0.15">
      <c r="A5689" t="s">
        <v>17906</v>
      </c>
      <c r="B5689" t="s">
        <v>17907</v>
      </c>
      <c r="C5689" t="s">
        <v>17908</v>
      </c>
      <c r="D5689" t="s">
        <v>17896</v>
      </c>
      <c r="E5689">
        <v>0</v>
      </c>
      <c r="F5689" t="str">
        <f>HYPERLINK("https://github.com/PojavLauncherTeam/PojavLauncher/issues/489", "show")</f>
        <v>show</v>
      </c>
      <c r="G5689" t="str">
        <f>HYPERLINK("https://github.com/PojavLauncherTeam/PojavLauncher", "show")</f>
        <v>show</v>
      </c>
      <c r="H5689" t="str">
        <f>HYPERLINK("https://github.com/PojavLauncherTeam/PojavLauncher/releases", "show")</f>
        <v>show</v>
      </c>
      <c r="I5689">
        <v>0</v>
      </c>
      <c r="J5689">
        <v>1</v>
      </c>
      <c r="K5689">
        <v>1</v>
      </c>
      <c r="L5689">
        <v>0</v>
      </c>
      <c r="M5689" t="s">
        <v>699</v>
      </c>
    </row>
    <row r="5690" spans="1:13" hidden="1" x14ac:dyDescent="0.15">
      <c r="A5690" t="s">
        <v>17909</v>
      </c>
      <c r="B5690" t="s">
        <v>17910</v>
      </c>
      <c r="C5690" t="s">
        <v>17911</v>
      </c>
      <c r="D5690" t="s">
        <v>17896</v>
      </c>
      <c r="E5690">
        <v>3</v>
      </c>
      <c r="F5690" t="str">
        <f>HYPERLINK("https://github.com/microg/GmsCore/issues/1309", "show")</f>
        <v>show</v>
      </c>
      <c r="G5690" t="str">
        <f>HYPERLINK("https://github.com/microg/GmsCore", "show")</f>
        <v>show</v>
      </c>
      <c r="H5690" t="str">
        <f>HYPERLINK("https://github.com/microg/GmsCore/releases", "show")</f>
        <v>show</v>
      </c>
      <c r="I5690">
        <v>1</v>
      </c>
      <c r="J5690">
        <v>0</v>
      </c>
      <c r="K5690">
        <v>0</v>
      </c>
      <c r="L5690">
        <v>0</v>
      </c>
      <c r="M5690" t="s">
        <v>17</v>
      </c>
    </row>
    <row r="5691" spans="1:13" hidden="1" x14ac:dyDescent="0.15">
      <c r="A5691" t="s">
        <v>17912</v>
      </c>
      <c r="B5691" t="s">
        <v>17913</v>
      </c>
      <c r="C5691" t="s">
        <v>17014</v>
      </c>
      <c r="D5691" t="s">
        <v>17896</v>
      </c>
      <c r="E5691">
        <v>0</v>
      </c>
      <c r="F5691" t="str">
        <f>HYPERLINK("https://github.com/PojavLauncherTeam/PojavLauncher/issues/487", "show")</f>
        <v>show</v>
      </c>
      <c r="G5691" t="str">
        <f>HYPERLINK("https://github.com/PojavLauncherTeam/PojavLauncher", "show")</f>
        <v>show</v>
      </c>
      <c r="H5691" t="str">
        <f>HYPERLINK("https://github.com/PojavLauncherTeam/PojavLauncher/releases", "show")</f>
        <v>show</v>
      </c>
      <c r="I5691">
        <v>1</v>
      </c>
      <c r="J5691">
        <v>1</v>
      </c>
      <c r="K5691">
        <v>1</v>
      </c>
      <c r="L5691">
        <v>0</v>
      </c>
      <c r="M5691" t="s">
        <v>59</v>
      </c>
    </row>
    <row r="5692" spans="1:13" hidden="1" x14ac:dyDescent="0.15">
      <c r="A5692" t="s">
        <v>17914</v>
      </c>
      <c r="B5692" t="s">
        <v>17915</v>
      </c>
      <c r="C5692" t="s">
        <v>17916</v>
      </c>
      <c r="D5692" t="s">
        <v>17896</v>
      </c>
      <c r="E5692">
        <v>0</v>
      </c>
      <c r="F5692" t="str">
        <f>HYPERLINK("https://github.com/Anuken/Mindustry/issues/3952", "show")</f>
        <v>show</v>
      </c>
      <c r="G5692" t="str">
        <f>HYPERLINK("https://github.com/Anuken/Mindustry", "show")</f>
        <v>show</v>
      </c>
      <c r="H5692" t="str">
        <f>HYPERLINK("https://github.com/Anuken/Mindustry/releases", "show")</f>
        <v>show</v>
      </c>
      <c r="I5692">
        <v>1</v>
      </c>
      <c r="J5692">
        <v>1</v>
      </c>
      <c r="K5692">
        <v>0</v>
      </c>
      <c r="L5692">
        <v>0</v>
      </c>
      <c r="M5692" t="s">
        <v>48</v>
      </c>
    </row>
    <row r="5693" spans="1:13" hidden="1" x14ac:dyDescent="0.15">
      <c r="A5693" t="s">
        <v>17917</v>
      </c>
      <c r="B5693" t="s">
        <v>17918</v>
      </c>
      <c r="C5693" t="s">
        <v>17919</v>
      </c>
      <c r="D5693" t="s">
        <v>17920</v>
      </c>
      <c r="E5693">
        <v>0</v>
      </c>
      <c r="F5693" t="str">
        <f>HYPERLINK("https://github.com/AdamLBS/LineFlag/issues/56", "show")</f>
        <v>show</v>
      </c>
      <c r="G5693" t="str">
        <f>HYPERLINK("https://github.com/AdamLBS/LineFlag", "show")</f>
        <v>show</v>
      </c>
      <c r="H5693" t="str">
        <f>HYPERLINK("https://github.com/AdamLBS/LineFlag/releases", "show")</f>
        <v>show</v>
      </c>
      <c r="I5693">
        <v>1</v>
      </c>
      <c r="J5693">
        <v>0</v>
      </c>
      <c r="K5693">
        <v>0</v>
      </c>
      <c r="L5693">
        <v>0</v>
      </c>
      <c r="M5693" t="s">
        <v>17</v>
      </c>
    </row>
    <row r="5694" spans="1:13" hidden="1" x14ac:dyDescent="0.15">
      <c r="A5694" t="s">
        <v>17921</v>
      </c>
      <c r="B5694" t="s">
        <v>17922</v>
      </c>
      <c r="C5694" t="s">
        <v>17923</v>
      </c>
      <c r="D5694" t="s">
        <v>17920</v>
      </c>
      <c r="E5694">
        <v>19</v>
      </c>
      <c r="F5694" t="str">
        <f>HYPERLINK("https://github.com/SkyTubeTeam/SkyTube/issues/852", "show")</f>
        <v>show</v>
      </c>
      <c r="G5694" t="str">
        <f>HYPERLINK("https://github.com/SkyTubeTeam/SkyTube", "show")</f>
        <v>show</v>
      </c>
      <c r="H5694" t="str">
        <f>HYPERLINK("https://github.com/SkyTubeTeam/SkyTube/releases", "show")</f>
        <v>show</v>
      </c>
      <c r="I5694">
        <v>1</v>
      </c>
      <c r="J5694">
        <v>0</v>
      </c>
      <c r="K5694">
        <v>0</v>
      </c>
      <c r="L5694">
        <v>0</v>
      </c>
      <c r="M5694" t="s">
        <v>17</v>
      </c>
    </row>
    <row r="5695" spans="1:13" hidden="1" x14ac:dyDescent="0.15">
      <c r="A5695" t="s">
        <v>17924</v>
      </c>
      <c r="B5695" t="s">
        <v>17925</v>
      </c>
      <c r="C5695" t="s">
        <v>17926</v>
      </c>
      <c r="D5695" t="s">
        <v>17920</v>
      </c>
      <c r="E5695">
        <v>0</v>
      </c>
      <c r="F5695" t="str">
        <f>HYPERLINK("https://github.com/ElderDrivers/EdXposed/issues/727", "show")</f>
        <v>show</v>
      </c>
      <c r="G5695" t="str">
        <f>HYPERLINK("https://github.com/ElderDrivers/EdXposed", "show")</f>
        <v>show</v>
      </c>
      <c r="H5695" t="str">
        <f>HYPERLINK("https://github.com/ElderDrivers/EdXposed/releases", "show")</f>
        <v>show</v>
      </c>
      <c r="I5695">
        <v>1</v>
      </c>
      <c r="J5695">
        <v>0</v>
      </c>
      <c r="K5695">
        <v>0</v>
      </c>
      <c r="L5695">
        <v>0</v>
      </c>
      <c r="M5695" t="s">
        <v>17</v>
      </c>
    </row>
    <row r="5696" spans="1:13" x14ac:dyDescent="0.15">
      <c r="A5696" t="s">
        <v>17927</v>
      </c>
      <c r="B5696" t="s">
        <v>17928</v>
      </c>
      <c r="C5696" t="s">
        <v>17929</v>
      </c>
      <c r="D5696" t="s">
        <v>17920</v>
      </c>
      <c r="E5696">
        <v>0</v>
      </c>
      <c r="F5696" t="str">
        <f>HYPERLINK("https://github.com/Anuken/Mindustry/issues/3946", "show")</f>
        <v>show</v>
      </c>
      <c r="G5696" t="str">
        <f>HYPERLINK("https://github.com/Anuken/Mindustry", "show")</f>
        <v>show</v>
      </c>
      <c r="H5696" t="str">
        <f>HYPERLINK("https://github.com/Anuken/Mindustry/releases", "show")</f>
        <v>show</v>
      </c>
      <c r="I5696">
        <v>0</v>
      </c>
      <c r="J5696">
        <v>1</v>
      </c>
      <c r="K5696">
        <v>0</v>
      </c>
      <c r="L5696">
        <v>0</v>
      </c>
      <c r="M5696" t="s">
        <v>139</v>
      </c>
    </row>
    <row r="5697" spans="1:13" hidden="1" x14ac:dyDescent="0.15">
      <c r="A5697" t="s">
        <v>17930</v>
      </c>
      <c r="B5697" t="s">
        <v>17931</v>
      </c>
      <c r="C5697" t="s">
        <v>17932</v>
      </c>
      <c r="D5697" t="s">
        <v>17920</v>
      </c>
      <c r="E5697">
        <v>0</v>
      </c>
      <c r="F5697" t="str">
        <f>HYPERLINK("https://github.com/Anuken/Mindustry/issues/3944", "show")</f>
        <v>show</v>
      </c>
      <c r="G5697" t="str">
        <f>HYPERLINK("https://github.com/Anuken/Mindustry", "show")</f>
        <v>show</v>
      </c>
      <c r="H5697" t="str">
        <f>HYPERLINK("https://github.com/Anuken/Mindustry/releases", "show")</f>
        <v>show</v>
      </c>
      <c r="I5697">
        <v>1</v>
      </c>
      <c r="J5697">
        <v>0</v>
      </c>
      <c r="K5697">
        <v>0</v>
      </c>
      <c r="L5697">
        <v>0</v>
      </c>
      <c r="M5697" t="s">
        <v>17</v>
      </c>
    </row>
    <row r="5698" spans="1:13" hidden="1" x14ac:dyDescent="0.15">
      <c r="A5698" t="s">
        <v>17933</v>
      </c>
      <c r="B5698" t="s">
        <v>17934</v>
      </c>
      <c r="C5698" t="s">
        <v>17935</v>
      </c>
      <c r="D5698" t="s">
        <v>17920</v>
      </c>
      <c r="E5698">
        <v>34</v>
      </c>
      <c r="F5698" t="str">
        <f>HYPERLINK("https://github.com/TeamNewPipe/NewPipe/issues/5162", "show")</f>
        <v>show</v>
      </c>
      <c r="G5698" t="str">
        <f>HYPERLINK("https://github.com/TeamNewPipe/NewPipe", "show")</f>
        <v>show</v>
      </c>
      <c r="H5698" t="str">
        <f>HYPERLINK("https://github.com/TeamNewPipe/NewPipe/releases", "show")</f>
        <v>show</v>
      </c>
      <c r="I5698">
        <v>1</v>
      </c>
      <c r="J5698">
        <v>1</v>
      </c>
      <c r="K5698">
        <v>0</v>
      </c>
      <c r="L5698">
        <v>0</v>
      </c>
      <c r="M5698" t="s">
        <v>48</v>
      </c>
    </row>
    <row r="5699" spans="1:13" hidden="1" x14ac:dyDescent="0.15">
      <c r="A5699" t="s">
        <v>17936</v>
      </c>
      <c r="B5699" t="s">
        <v>17937</v>
      </c>
      <c r="C5699" t="s">
        <v>17938</v>
      </c>
      <c r="D5699" t="s">
        <v>17920</v>
      </c>
      <c r="E5699">
        <v>0</v>
      </c>
      <c r="F5699" t="str">
        <f>HYPERLINK("https://github.com/Anuken/Mindustry/issues/3940", "show")</f>
        <v>show</v>
      </c>
      <c r="G5699" t="str">
        <f>HYPERLINK("https://github.com/Anuken/Mindustry", "show")</f>
        <v>show</v>
      </c>
      <c r="H5699" t="str">
        <f>HYPERLINK("https://github.com/Anuken/Mindustry/releases", "show")</f>
        <v>show</v>
      </c>
      <c r="I5699">
        <v>1</v>
      </c>
      <c r="J5699">
        <v>1</v>
      </c>
      <c r="K5699">
        <v>1</v>
      </c>
      <c r="L5699">
        <v>0</v>
      </c>
      <c r="M5699" t="s">
        <v>59</v>
      </c>
    </row>
    <row r="5700" spans="1:13" hidden="1" x14ac:dyDescent="0.15">
      <c r="A5700" t="s">
        <v>17939</v>
      </c>
      <c r="B5700" t="s">
        <v>17940</v>
      </c>
      <c r="C5700" t="s">
        <v>17941</v>
      </c>
      <c r="D5700" t="s">
        <v>17920</v>
      </c>
      <c r="E5700">
        <v>0</v>
      </c>
      <c r="F5700" t="str">
        <f>HYPERLINK("https://github.com/Anuken/Mindustry/issues/3938", "show")</f>
        <v>show</v>
      </c>
      <c r="G5700" t="str">
        <f>HYPERLINK("https://github.com/Anuken/Mindustry", "show")</f>
        <v>show</v>
      </c>
      <c r="H5700" t="str">
        <f>HYPERLINK("https://github.com/Anuken/Mindustry/releases", "show")</f>
        <v>show</v>
      </c>
      <c r="I5700">
        <v>1</v>
      </c>
      <c r="J5700">
        <v>0</v>
      </c>
      <c r="K5700">
        <v>1</v>
      </c>
      <c r="L5700">
        <v>0</v>
      </c>
      <c r="M5700" t="s">
        <v>64</v>
      </c>
    </row>
    <row r="5701" spans="1:13" hidden="1" x14ac:dyDescent="0.15">
      <c r="A5701" t="s">
        <v>17942</v>
      </c>
      <c r="B5701" t="s">
        <v>17943</v>
      </c>
      <c r="C5701" t="s">
        <v>17944</v>
      </c>
      <c r="D5701" t="s">
        <v>17920</v>
      </c>
      <c r="E5701">
        <v>0</v>
      </c>
      <c r="F5701" t="str">
        <f>HYPERLINK("https://github.com/schaefer30038/easy-meal-prep/issues/8", "show")</f>
        <v>show</v>
      </c>
      <c r="G5701" t="str">
        <f>HYPERLINK("https://github.com/schaefer30038/easy-meal-prep", "show")</f>
        <v>show</v>
      </c>
      <c r="H5701" t="str">
        <f>HYPERLINK("https://github.com/schaefer30038/easy-meal-prep/releases", "show")</f>
        <v>show</v>
      </c>
      <c r="I5701">
        <v>1</v>
      </c>
      <c r="J5701">
        <v>1</v>
      </c>
      <c r="K5701">
        <v>0</v>
      </c>
      <c r="L5701">
        <v>0</v>
      </c>
      <c r="M5701" t="s">
        <v>48</v>
      </c>
    </row>
    <row r="5702" spans="1:13" hidden="1" x14ac:dyDescent="0.15">
      <c r="A5702" t="s">
        <v>17945</v>
      </c>
      <c r="B5702" t="s">
        <v>17946</v>
      </c>
      <c r="C5702" t="s">
        <v>17947</v>
      </c>
      <c r="D5702" t="s">
        <v>17920</v>
      </c>
      <c r="E5702">
        <v>0</v>
      </c>
      <c r="F5702" t="str">
        <f>HYPERLINK("https://github.com/Anuken/Mindustry/issues/3932", "show")</f>
        <v>show</v>
      </c>
      <c r="G5702" t="str">
        <f>HYPERLINK("https://github.com/Anuken/Mindustry", "show")</f>
        <v>show</v>
      </c>
      <c r="H5702" t="str">
        <f>HYPERLINK("https://github.com/Anuken/Mindustry/releases", "show")</f>
        <v>show</v>
      </c>
      <c r="I5702">
        <v>1</v>
      </c>
      <c r="J5702">
        <v>1</v>
      </c>
      <c r="K5702">
        <v>0</v>
      </c>
      <c r="L5702">
        <v>0</v>
      </c>
      <c r="M5702" t="s">
        <v>48</v>
      </c>
    </row>
    <row r="5703" spans="1:13" hidden="1" x14ac:dyDescent="0.15">
      <c r="A5703" t="s">
        <v>17948</v>
      </c>
      <c r="B5703" t="s">
        <v>17949</v>
      </c>
      <c r="C5703" t="s">
        <v>17950</v>
      </c>
      <c r="D5703" t="s">
        <v>17951</v>
      </c>
      <c r="E5703">
        <v>302</v>
      </c>
      <c r="F5703" t="str">
        <f>HYPERLINK("https://github.com/TeamNewPipe/NewPipe/issues/5155", "show")</f>
        <v>show</v>
      </c>
      <c r="G5703" t="str">
        <f>HYPERLINK("https://github.com/TeamNewPipe/NewPipe", "show")</f>
        <v>show</v>
      </c>
      <c r="H5703" t="str">
        <f>HYPERLINK("https://github.com/TeamNewPipe/NewPipe/releases", "show")</f>
        <v>show</v>
      </c>
      <c r="I5703">
        <v>1</v>
      </c>
      <c r="J5703">
        <v>1</v>
      </c>
      <c r="K5703">
        <v>1</v>
      </c>
      <c r="L5703">
        <v>1</v>
      </c>
      <c r="M5703" t="s">
        <v>2875</v>
      </c>
    </row>
    <row r="5704" spans="1:13" hidden="1" x14ac:dyDescent="0.15">
      <c r="A5704" t="s">
        <v>17952</v>
      </c>
      <c r="B5704" t="s">
        <v>17953</v>
      </c>
      <c r="C5704" t="s">
        <v>17954</v>
      </c>
      <c r="D5704" t="s">
        <v>17951</v>
      </c>
      <c r="E5704">
        <v>0</v>
      </c>
      <c r="F5704" t="str">
        <f>HYPERLINK("https://github.com/square/okhttp/issues/6467", "show")</f>
        <v>show</v>
      </c>
      <c r="G5704" t="str">
        <f>HYPERLINK("https://github.com/square/okhttp", "show")</f>
        <v>show</v>
      </c>
      <c r="H5704" t="str">
        <f>HYPERLINK("https://github.com/square/okhttp/releases", "show")</f>
        <v>show</v>
      </c>
      <c r="I5704">
        <v>1</v>
      </c>
      <c r="J5704">
        <v>0</v>
      </c>
      <c r="K5704">
        <v>1</v>
      </c>
      <c r="L5704">
        <v>0</v>
      </c>
      <c r="M5704" t="s">
        <v>64</v>
      </c>
    </row>
    <row r="5705" spans="1:13" hidden="1" x14ac:dyDescent="0.15">
      <c r="A5705" t="s">
        <v>17955</v>
      </c>
      <c r="B5705" t="s">
        <v>17956</v>
      </c>
      <c r="C5705" t="s">
        <v>17957</v>
      </c>
      <c r="D5705" t="s">
        <v>17951</v>
      </c>
      <c r="E5705">
        <v>0</v>
      </c>
      <c r="F5705" t="str">
        <f>HYPERLINK("https://github.com/inverse-inc/packetfence-android-agent/issues/9", "show")</f>
        <v>show</v>
      </c>
      <c r="G5705" t="str">
        <f>HYPERLINK("https://github.com/inverse-inc/packetfence-android-agent", "show")</f>
        <v>show</v>
      </c>
      <c r="H5705" t="str">
        <f>HYPERLINK("https://github.com/inverse-inc/packetfence-android-agent/releases", "show")</f>
        <v>show</v>
      </c>
      <c r="I5705">
        <v>0</v>
      </c>
      <c r="J5705">
        <v>0</v>
      </c>
      <c r="K5705">
        <v>0</v>
      </c>
      <c r="L5705">
        <v>0</v>
      </c>
      <c r="M5705" t="s">
        <v>43</v>
      </c>
    </row>
    <row r="5706" spans="1:13" hidden="1" x14ac:dyDescent="0.15">
      <c r="A5706" t="s">
        <v>17958</v>
      </c>
      <c r="B5706" t="s">
        <v>17959</v>
      </c>
      <c r="C5706" t="s">
        <v>17960</v>
      </c>
      <c r="D5706" t="s">
        <v>17951</v>
      </c>
      <c r="E5706">
        <v>6</v>
      </c>
      <c r="F5706" t="str">
        <f>HYPERLINK("https://github.com/twilio/video-quickstart-android/issues/595", "show")</f>
        <v>show</v>
      </c>
      <c r="G5706" t="str">
        <f>HYPERLINK("https://github.com/twilio/video-quickstart-android", "show")</f>
        <v>show</v>
      </c>
      <c r="H5706" t="str">
        <f>HYPERLINK("https://github.com/twilio/video-quickstart-android/releases", "show")</f>
        <v>show</v>
      </c>
      <c r="I5706">
        <v>1</v>
      </c>
      <c r="J5706">
        <v>1</v>
      </c>
      <c r="K5706">
        <v>0</v>
      </c>
      <c r="L5706">
        <v>0</v>
      </c>
      <c r="M5706" t="s">
        <v>48</v>
      </c>
    </row>
    <row r="5707" spans="1:13" x14ac:dyDescent="0.15">
      <c r="A5707" t="s">
        <v>17961</v>
      </c>
      <c r="B5707" t="s">
        <v>17962</v>
      </c>
      <c r="C5707" t="s">
        <v>17963</v>
      </c>
      <c r="D5707" t="s">
        <v>17951</v>
      </c>
      <c r="E5707">
        <v>93</v>
      </c>
      <c r="F5707" t="str">
        <f>HYPERLINK("https://github.com/TeamNewPipe/NewPipe/issues/5148", "show")</f>
        <v>show</v>
      </c>
      <c r="G5707" t="str">
        <f>HYPERLINK("https://github.com/TeamNewPipe/NewPipe", "show")</f>
        <v>show</v>
      </c>
      <c r="H5707" t="str">
        <f>HYPERLINK("https://github.com/TeamNewPipe/NewPipe/releases", "show")</f>
        <v>show</v>
      </c>
      <c r="I5707">
        <v>0</v>
      </c>
      <c r="J5707">
        <v>1</v>
      </c>
      <c r="K5707">
        <v>0</v>
      </c>
      <c r="L5707">
        <v>0</v>
      </c>
      <c r="M5707" t="s">
        <v>139</v>
      </c>
    </row>
    <row r="5708" spans="1:13" hidden="1" x14ac:dyDescent="0.15">
      <c r="A5708" t="s">
        <v>17964</v>
      </c>
      <c r="B5708" t="s">
        <v>17965</v>
      </c>
      <c r="C5708" t="s">
        <v>17966</v>
      </c>
      <c r="D5708" t="s">
        <v>17951</v>
      </c>
      <c r="E5708">
        <v>1</v>
      </c>
      <c r="F5708" t="str">
        <f>HYPERLINK("https://github.com/Rapsssito/react-native-tcp-socket/issues/89", "show")</f>
        <v>show</v>
      </c>
      <c r="G5708" t="str">
        <f>HYPERLINK("https://github.com/Rapsssito/react-native-tcp-socket", "show")</f>
        <v>show</v>
      </c>
      <c r="H5708" t="str">
        <f>HYPERLINK("https://github.com/Rapsssito/react-native-tcp-socket/releases", "show")</f>
        <v>show</v>
      </c>
      <c r="I5708">
        <v>1</v>
      </c>
      <c r="J5708">
        <v>0</v>
      </c>
      <c r="K5708">
        <v>0</v>
      </c>
      <c r="L5708">
        <v>0</v>
      </c>
      <c r="M5708" t="s">
        <v>17</v>
      </c>
    </row>
    <row r="5709" spans="1:13" hidden="1" x14ac:dyDescent="0.15">
      <c r="A5709" t="s">
        <v>17967</v>
      </c>
      <c r="B5709" t="s">
        <v>17968</v>
      </c>
      <c r="C5709" t="s">
        <v>17969</v>
      </c>
      <c r="D5709" t="s">
        <v>17951</v>
      </c>
      <c r="E5709">
        <v>0</v>
      </c>
      <c r="F5709" t="str">
        <f>HYPERLINK("https://github.com/Anuken/Mindustry/issues/3922", "show")</f>
        <v>show</v>
      </c>
      <c r="G5709" t="str">
        <f>HYPERLINK("https://github.com/Anuken/Mindustry", "show")</f>
        <v>show</v>
      </c>
      <c r="H5709" t="str">
        <f>HYPERLINK("https://github.com/Anuken/Mindustry/releases", "show")</f>
        <v>show</v>
      </c>
      <c r="I5709">
        <v>0</v>
      </c>
      <c r="J5709">
        <v>0</v>
      </c>
      <c r="K5709">
        <v>0</v>
      </c>
      <c r="L5709">
        <v>0</v>
      </c>
      <c r="M5709" t="s">
        <v>43</v>
      </c>
    </row>
    <row r="5710" spans="1:13" hidden="1" x14ac:dyDescent="0.15">
      <c r="A5710" t="s">
        <v>17970</v>
      </c>
      <c r="B5710" t="s">
        <v>17971</v>
      </c>
      <c r="C5710" t="s">
        <v>17972</v>
      </c>
      <c r="D5710" t="s">
        <v>17951</v>
      </c>
      <c r="E5710">
        <v>1</v>
      </c>
      <c r="F5710" t="str">
        <f>HYPERLINK("https://github.com/gurrhack/ForkFront-Android/issues/4", "show")</f>
        <v>show</v>
      </c>
      <c r="G5710" t="str">
        <f>HYPERLINK("https://github.com/gurrhack/ForkFront-Android", "show")</f>
        <v>show</v>
      </c>
      <c r="H5710" t="str">
        <f>HYPERLINK("https://github.com/gurrhack/ForkFront-Android/releases", "show")</f>
        <v>show</v>
      </c>
      <c r="I5710">
        <v>1</v>
      </c>
      <c r="J5710">
        <v>0</v>
      </c>
      <c r="K5710">
        <v>0</v>
      </c>
      <c r="L5710">
        <v>0</v>
      </c>
      <c r="M5710" t="s">
        <v>17</v>
      </c>
    </row>
    <row r="5711" spans="1:13" hidden="1" x14ac:dyDescent="0.15">
      <c r="A5711" t="s">
        <v>17973</v>
      </c>
      <c r="B5711" t="s">
        <v>17974</v>
      </c>
      <c r="C5711" t="s">
        <v>17975</v>
      </c>
      <c r="D5711" t="s">
        <v>17951</v>
      </c>
      <c r="E5711">
        <v>1</v>
      </c>
      <c r="F5711" t="str">
        <f>HYPERLINK("https://github.com/MuntashirAkon/AppManager/issues/185", "show")</f>
        <v>show</v>
      </c>
      <c r="G5711" t="str">
        <f>HYPERLINK("https://github.com/MuntashirAkon/AppManager", "show")</f>
        <v>show</v>
      </c>
      <c r="H5711" t="str">
        <f>HYPERLINK("https://github.com/MuntashirAkon/AppManager/releases", "show")</f>
        <v>show</v>
      </c>
      <c r="I5711">
        <v>1</v>
      </c>
      <c r="J5711">
        <v>0</v>
      </c>
      <c r="K5711">
        <v>1</v>
      </c>
      <c r="L5711">
        <v>0</v>
      </c>
      <c r="M5711" t="s">
        <v>64</v>
      </c>
    </row>
    <row r="5712" spans="1:13" hidden="1" x14ac:dyDescent="0.15">
      <c r="A5712" t="s">
        <v>17976</v>
      </c>
      <c r="B5712" t="s">
        <v>17977</v>
      </c>
      <c r="C5712" t="s">
        <v>17978</v>
      </c>
      <c r="D5712" t="s">
        <v>17951</v>
      </c>
      <c r="E5712">
        <v>0</v>
      </c>
      <c r="F5712" t="str">
        <f>HYPERLINK("https://github.com/Anuken/Mindustry/issues/3919", "show")</f>
        <v>show</v>
      </c>
      <c r="G5712" t="str">
        <f>HYPERLINK("https://github.com/Anuken/Mindustry", "show")</f>
        <v>show</v>
      </c>
      <c r="H5712" t="str">
        <f>HYPERLINK("https://github.com/Anuken/Mindustry/releases", "show")</f>
        <v>show</v>
      </c>
      <c r="I5712">
        <v>0</v>
      </c>
      <c r="J5712">
        <v>0</v>
      </c>
      <c r="K5712">
        <v>0</v>
      </c>
      <c r="L5712">
        <v>0</v>
      </c>
      <c r="M5712" t="s">
        <v>43</v>
      </c>
    </row>
    <row r="5713" spans="1:13" hidden="1" x14ac:dyDescent="0.15">
      <c r="A5713" t="s">
        <v>17979</v>
      </c>
      <c r="B5713" t="s">
        <v>17980</v>
      </c>
      <c r="C5713" t="s">
        <v>17981</v>
      </c>
      <c r="D5713" t="s">
        <v>17951</v>
      </c>
      <c r="E5713">
        <v>0</v>
      </c>
      <c r="F5713" t="str">
        <f>HYPERLINK("https://github.com/Anuken/Mindustry/issues/3918", "show")</f>
        <v>show</v>
      </c>
      <c r="G5713" t="str">
        <f>HYPERLINK("https://github.com/Anuken/Mindustry", "show")</f>
        <v>show</v>
      </c>
      <c r="H5713" t="str">
        <f>HYPERLINK("https://github.com/Anuken/Mindustry/releases", "show")</f>
        <v>show</v>
      </c>
      <c r="I5713">
        <v>0</v>
      </c>
      <c r="J5713">
        <v>0</v>
      </c>
      <c r="K5713">
        <v>0</v>
      </c>
      <c r="L5713">
        <v>0</v>
      </c>
      <c r="M5713" t="s">
        <v>43</v>
      </c>
    </row>
    <row r="5714" spans="1:13" hidden="1" x14ac:dyDescent="0.15">
      <c r="A5714" t="s">
        <v>17982</v>
      </c>
      <c r="B5714" t="s">
        <v>17983</v>
      </c>
      <c r="C5714" t="s">
        <v>17984</v>
      </c>
      <c r="D5714" t="s">
        <v>17951</v>
      </c>
      <c r="E5714">
        <v>0</v>
      </c>
      <c r="F5714" t="str">
        <f>HYPERLINK("https://github.com/Anuken/Mindustry/issues/3917", "show")</f>
        <v>show</v>
      </c>
      <c r="G5714" t="str">
        <f>HYPERLINK("https://github.com/Anuken/Mindustry", "show")</f>
        <v>show</v>
      </c>
      <c r="H5714" t="str">
        <f>HYPERLINK("https://github.com/Anuken/Mindustry/releases", "show")</f>
        <v>show</v>
      </c>
      <c r="I5714">
        <v>1</v>
      </c>
      <c r="J5714">
        <v>1</v>
      </c>
      <c r="K5714">
        <v>0</v>
      </c>
      <c r="L5714">
        <v>0</v>
      </c>
      <c r="M5714" t="s">
        <v>48</v>
      </c>
    </row>
    <row r="5715" spans="1:13" hidden="1" x14ac:dyDescent="0.15">
      <c r="A5715" t="s">
        <v>17985</v>
      </c>
      <c r="B5715" t="s">
        <v>17986</v>
      </c>
      <c r="C5715" t="s">
        <v>17987</v>
      </c>
      <c r="D5715" t="s">
        <v>17988</v>
      </c>
      <c r="E5715">
        <v>5</v>
      </c>
      <c r="F5715" t="str">
        <f>HYPERLINK("https://github.com/lazoft/oPlay/issues/18", "show")</f>
        <v>show</v>
      </c>
      <c r="G5715" t="str">
        <f>HYPERLINK("https://github.com/lazoft/oPlay", "show")</f>
        <v>show</v>
      </c>
      <c r="H5715" t="str">
        <f>HYPERLINK("https://github.com/lazoft/oPlay/releases", "show")</f>
        <v>show</v>
      </c>
      <c r="I5715">
        <v>0</v>
      </c>
      <c r="J5715">
        <v>0</v>
      </c>
      <c r="K5715">
        <v>0</v>
      </c>
      <c r="L5715">
        <v>0</v>
      </c>
      <c r="M5715" t="s">
        <v>43</v>
      </c>
    </row>
    <row r="5716" spans="1:13" hidden="1" x14ac:dyDescent="0.15">
      <c r="A5716" t="s">
        <v>17989</v>
      </c>
      <c r="B5716" t="s">
        <v>17990</v>
      </c>
      <c r="C5716" t="s">
        <v>17991</v>
      </c>
      <c r="D5716" t="s">
        <v>17988</v>
      </c>
      <c r="E5716">
        <v>2</v>
      </c>
      <c r="F5716" t="str">
        <f>HYPERLINK("https://github.com/wiglenet/wigle-wifi-wardriving/issues/456", "show")</f>
        <v>show</v>
      </c>
      <c r="G5716" t="str">
        <f>HYPERLINK("https://github.com/wiglenet/wigle-wifi-wardriving", "show")</f>
        <v>show</v>
      </c>
      <c r="H5716" t="str">
        <f>HYPERLINK("https://github.com/wiglenet/wigle-wifi-wardriving/releases", "show")</f>
        <v>show</v>
      </c>
      <c r="I5716">
        <v>1</v>
      </c>
      <c r="J5716">
        <v>0</v>
      </c>
      <c r="K5716">
        <v>0</v>
      </c>
      <c r="L5716">
        <v>0</v>
      </c>
      <c r="M5716" t="s">
        <v>17</v>
      </c>
    </row>
    <row r="5717" spans="1:13" hidden="1" x14ac:dyDescent="0.15">
      <c r="A5717" t="s">
        <v>17992</v>
      </c>
      <c r="B5717" t="s">
        <v>17993</v>
      </c>
      <c r="C5717" t="s">
        <v>17994</v>
      </c>
      <c r="D5717" t="s">
        <v>17988</v>
      </c>
      <c r="E5717">
        <v>0</v>
      </c>
      <c r="F5717" t="str">
        <f>HYPERLINK("https://github.com/Anuken/Mindustry/issues/3909", "show")</f>
        <v>show</v>
      </c>
      <c r="G5717" t="str">
        <f>HYPERLINK("https://github.com/Anuken/Mindustry", "show")</f>
        <v>show</v>
      </c>
      <c r="H5717" t="str">
        <f>HYPERLINK("https://github.com/Anuken/Mindustry/releases", "show")</f>
        <v>show</v>
      </c>
      <c r="I5717">
        <v>0</v>
      </c>
      <c r="J5717">
        <v>0</v>
      </c>
      <c r="K5717">
        <v>0</v>
      </c>
      <c r="L5717">
        <v>1</v>
      </c>
      <c r="M5717" t="s">
        <v>581</v>
      </c>
    </row>
    <row r="5718" spans="1:13" hidden="1" x14ac:dyDescent="0.15">
      <c r="A5718" t="s">
        <v>17995</v>
      </c>
      <c r="B5718" t="s">
        <v>17996</v>
      </c>
      <c r="C5718" t="s">
        <v>17997</v>
      </c>
      <c r="D5718" t="s">
        <v>17988</v>
      </c>
      <c r="E5718">
        <v>5</v>
      </c>
      <c r="F5718" t="str">
        <f>HYPERLINK("https://github.com/getodk/collect/issues/4294", "show")</f>
        <v>show</v>
      </c>
      <c r="G5718" t="str">
        <f>HYPERLINK("https://github.com/getodk/collect", "show")</f>
        <v>show</v>
      </c>
      <c r="H5718" t="str">
        <f>HYPERLINK("https://github.com/getodk/collect/releases", "show")</f>
        <v>show</v>
      </c>
      <c r="I5718">
        <v>1</v>
      </c>
      <c r="J5718">
        <v>1</v>
      </c>
      <c r="K5718">
        <v>0</v>
      </c>
      <c r="L5718">
        <v>0</v>
      </c>
      <c r="M5718" t="s">
        <v>48</v>
      </c>
    </row>
    <row r="5719" spans="1:13" x14ac:dyDescent="0.15">
      <c r="A5719" t="s">
        <v>17998</v>
      </c>
      <c r="B5719" t="s">
        <v>17999</v>
      </c>
      <c r="C5719" t="s">
        <v>11582</v>
      </c>
      <c r="D5719" t="s">
        <v>17988</v>
      </c>
      <c r="E5719">
        <v>8</v>
      </c>
      <c r="F5719" t="str">
        <f>HYPERLINK("https://github.com/nextcloud/android/issues/7644", "show")</f>
        <v>show</v>
      </c>
      <c r="G5719" t="str">
        <f>HYPERLINK("https://github.com/nextcloud/android", "show")</f>
        <v>show</v>
      </c>
      <c r="H5719" t="str">
        <f>HYPERLINK("https://github.com/nextcloud/android/releases", "show")</f>
        <v>show</v>
      </c>
      <c r="I5719">
        <v>0</v>
      </c>
      <c r="J5719">
        <v>1</v>
      </c>
      <c r="K5719">
        <v>0</v>
      </c>
      <c r="L5719">
        <v>0</v>
      </c>
      <c r="M5719" t="s">
        <v>139</v>
      </c>
    </row>
    <row r="5720" spans="1:13" hidden="1" x14ac:dyDescent="0.15">
      <c r="A5720" t="s">
        <v>18000</v>
      </c>
      <c r="B5720" t="s">
        <v>18001</v>
      </c>
      <c r="C5720" t="s">
        <v>18002</v>
      </c>
      <c r="D5720" t="s">
        <v>17988</v>
      </c>
      <c r="E5720">
        <v>0</v>
      </c>
      <c r="F5720" t="str">
        <f>HYPERLINK("https://github.com/BugBattle/Android-SDK/issues/4", "show")</f>
        <v>show</v>
      </c>
      <c r="G5720" t="str">
        <f>HYPERLINK("https://github.com/BugBattle/Android-SDK", "show")</f>
        <v>show</v>
      </c>
      <c r="H5720" t="str">
        <f>HYPERLINK("https://github.com/BugBattle/Android-SDK/releases", "show")</f>
        <v>show</v>
      </c>
      <c r="I5720">
        <v>0</v>
      </c>
      <c r="J5720">
        <v>0</v>
      </c>
      <c r="K5720">
        <v>1</v>
      </c>
      <c r="L5720">
        <v>0</v>
      </c>
      <c r="M5720" t="s">
        <v>122</v>
      </c>
    </row>
    <row r="5721" spans="1:13" hidden="1" x14ac:dyDescent="0.15">
      <c r="A5721" t="s">
        <v>18003</v>
      </c>
      <c r="B5721" t="s">
        <v>18004</v>
      </c>
      <c r="C5721" t="s">
        <v>18005</v>
      </c>
      <c r="D5721" t="s">
        <v>17988</v>
      </c>
      <c r="E5721">
        <v>0</v>
      </c>
      <c r="F5721" t="str">
        <f>HYPERLINK("https://github.com/Anuken/Mindustry/issues/3903", "show")</f>
        <v>show</v>
      </c>
      <c r="G5721" t="str">
        <f>HYPERLINK("https://github.com/Anuken/Mindustry", "show")</f>
        <v>show</v>
      </c>
      <c r="H5721" t="str">
        <f>HYPERLINK("https://github.com/Anuken/Mindustry/releases", "show")</f>
        <v>show</v>
      </c>
      <c r="I5721">
        <v>1</v>
      </c>
      <c r="J5721">
        <v>1</v>
      </c>
      <c r="K5721">
        <v>0</v>
      </c>
      <c r="L5721">
        <v>0</v>
      </c>
      <c r="M5721" t="s">
        <v>48</v>
      </c>
    </row>
    <row r="5722" spans="1:13" hidden="1" x14ac:dyDescent="0.15">
      <c r="A5722" t="s">
        <v>18006</v>
      </c>
      <c r="B5722" t="s">
        <v>18007</v>
      </c>
      <c r="C5722" t="s">
        <v>18008</v>
      </c>
      <c r="D5722" t="s">
        <v>17988</v>
      </c>
      <c r="E5722">
        <v>0</v>
      </c>
      <c r="F5722" t="str">
        <f>HYPERLINK("https://github.com/Anuken/Mindustry/issues/3899", "show")</f>
        <v>show</v>
      </c>
      <c r="G5722" t="str">
        <f>HYPERLINK("https://github.com/Anuken/Mindustry", "show")</f>
        <v>show</v>
      </c>
      <c r="H5722" t="str">
        <f>HYPERLINK("https://github.com/Anuken/Mindustry/releases", "show")</f>
        <v>show</v>
      </c>
      <c r="I5722">
        <v>0</v>
      </c>
      <c r="J5722">
        <v>0</v>
      </c>
      <c r="K5722">
        <v>0</v>
      </c>
      <c r="L5722">
        <v>0</v>
      </c>
      <c r="M5722" t="s">
        <v>43</v>
      </c>
    </row>
    <row r="5723" spans="1:13" hidden="1" x14ac:dyDescent="0.15">
      <c r="A5723" t="s">
        <v>18009</v>
      </c>
      <c r="B5723" t="s">
        <v>18010</v>
      </c>
      <c r="C5723" t="s">
        <v>18011</v>
      </c>
      <c r="D5723" t="s">
        <v>18012</v>
      </c>
      <c r="E5723">
        <v>1</v>
      </c>
      <c r="F5723" t="str">
        <f>HYPERLINK("https://github.com/elimu-ai/content-provider/issues/71", "show")</f>
        <v>show</v>
      </c>
      <c r="G5723" t="str">
        <f>HYPERLINK("https://github.com/elimu-ai/content-provider", "show")</f>
        <v>show</v>
      </c>
      <c r="H5723" t="str">
        <f>HYPERLINK("https://github.com/elimu-ai/content-provider/releases", "show")</f>
        <v>show</v>
      </c>
      <c r="I5723">
        <v>0</v>
      </c>
      <c r="J5723">
        <v>0</v>
      </c>
      <c r="K5723">
        <v>0</v>
      </c>
      <c r="L5723">
        <v>0</v>
      </c>
      <c r="M5723" t="s">
        <v>43</v>
      </c>
    </row>
    <row r="5724" spans="1:13" hidden="1" x14ac:dyDescent="0.15">
      <c r="A5724" t="s">
        <v>18013</v>
      </c>
      <c r="B5724" t="s">
        <v>18014</v>
      </c>
      <c r="C5724" t="s">
        <v>18015</v>
      </c>
      <c r="D5724" t="s">
        <v>18012</v>
      </c>
      <c r="E5724">
        <v>0</v>
      </c>
      <c r="F5724" t="str">
        <f>HYPERLINK("https://github.com/Anuken/Mindustry/issues/3895", "show")</f>
        <v>show</v>
      </c>
      <c r="G5724" t="str">
        <f>HYPERLINK("https://github.com/Anuken/Mindustry", "show")</f>
        <v>show</v>
      </c>
      <c r="H5724" t="str">
        <f>HYPERLINK("https://github.com/Anuken/Mindustry/releases", "show")</f>
        <v>show</v>
      </c>
      <c r="I5724">
        <v>1</v>
      </c>
      <c r="J5724">
        <v>1</v>
      </c>
      <c r="K5724">
        <v>0</v>
      </c>
      <c r="L5724">
        <v>0</v>
      </c>
      <c r="M5724" t="s">
        <v>48</v>
      </c>
    </row>
    <row r="5725" spans="1:13" hidden="1" x14ac:dyDescent="0.15">
      <c r="A5725" t="s">
        <v>18016</v>
      </c>
      <c r="B5725" t="s">
        <v>18017</v>
      </c>
      <c r="C5725" t="s">
        <v>18018</v>
      </c>
      <c r="D5725" t="s">
        <v>18012</v>
      </c>
      <c r="E5725">
        <v>0</v>
      </c>
      <c r="F5725" t="str">
        <f>HYPERLINK("https://github.com/Anuken/Mindustry/issues/3892", "show")</f>
        <v>show</v>
      </c>
      <c r="G5725" t="str">
        <f>HYPERLINK("https://github.com/Anuken/Mindustry", "show")</f>
        <v>show</v>
      </c>
      <c r="H5725" t="str">
        <f>HYPERLINK("https://github.com/Anuken/Mindustry/releases", "show")</f>
        <v>show</v>
      </c>
      <c r="I5725">
        <v>1</v>
      </c>
      <c r="J5725">
        <v>1</v>
      </c>
      <c r="K5725">
        <v>0</v>
      </c>
      <c r="L5725">
        <v>0</v>
      </c>
      <c r="M5725" t="s">
        <v>48</v>
      </c>
    </row>
    <row r="5726" spans="1:13" hidden="1" x14ac:dyDescent="0.15">
      <c r="A5726" t="s">
        <v>18019</v>
      </c>
      <c r="B5726" t="s">
        <v>18020</v>
      </c>
      <c r="C5726" t="s">
        <v>16901</v>
      </c>
      <c r="D5726" t="s">
        <v>18012</v>
      </c>
      <c r="E5726">
        <v>0</v>
      </c>
      <c r="F5726" t="str">
        <f>HYPERLINK("https://github.com/Anuken/Mindustry/issues/3891", "show")</f>
        <v>show</v>
      </c>
      <c r="G5726" t="str">
        <f>HYPERLINK("https://github.com/Anuken/Mindustry", "show")</f>
        <v>show</v>
      </c>
      <c r="H5726" t="str">
        <f>HYPERLINK("https://github.com/Anuken/Mindustry/releases", "show")</f>
        <v>show</v>
      </c>
      <c r="I5726">
        <v>1</v>
      </c>
      <c r="J5726">
        <v>0</v>
      </c>
      <c r="K5726">
        <v>0</v>
      </c>
      <c r="L5726">
        <v>0</v>
      </c>
      <c r="M5726" t="s">
        <v>17</v>
      </c>
    </row>
    <row r="5727" spans="1:13" hidden="1" x14ac:dyDescent="0.15">
      <c r="A5727" t="s">
        <v>18021</v>
      </c>
      <c r="B5727" t="s">
        <v>18022</v>
      </c>
      <c r="C5727" t="s">
        <v>18023</v>
      </c>
      <c r="D5727" t="s">
        <v>18012</v>
      </c>
      <c r="E5727">
        <v>0</v>
      </c>
      <c r="F5727" t="str">
        <f>HYPERLINK("https://github.com/Anuken/Mindustry/issues/3890", "show")</f>
        <v>show</v>
      </c>
      <c r="G5727" t="str">
        <f>HYPERLINK("https://github.com/Anuken/Mindustry", "show")</f>
        <v>show</v>
      </c>
      <c r="H5727" t="str">
        <f>HYPERLINK("https://github.com/Anuken/Mindustry/releases", "show")</f>
        <v>show</v>
      </c>
      <c r="I5727">
        <v>0</v>
      </c>
      <c r="J5727">
        <v>0</v>
      </c>
      <c r="K5727">
        <v>0</v>
      </c>
      <c r="L5727">
        <v>0</v>
      </c>
      <c r="M5727" t="s">
        <v>43</v>
      </c>
    </row>
    <row r="5728" spans="1:13" hidden="1" x14ac:dyDescent="0.15">
      <c r="A5728" t="s">
        <v>18024</v>
      </c>
      <c r="B5728" t="s">
        <v>18025</v>
      </c>
      <c r="C5728" t="s">
        <v>18026</v>
      </c>
      <c r="D5728" t="s">
        <v>18012</v>
      </c>
      <c r="E5728">
        <v>3</v>
      </c>
      <c r="F5728" t="str">
        <f>HYPERLINK("https://github.com/mybigday/react-native-external-display/issues/211", "show")</f>
        <v>show</v>
      </c>
      <c r="G5728" t="str">
        <f>HYPERLINK("https://github.com/mybigday/react-native-external-display", "show")</f>
        <v>show</v>
      </c>
      <c r="H5728" t="str">
        <f>HYPERLINK("https://github.com/mybigday/react-native-external-display/releases", "show")</f>
        <v>show</v>
      </c>
      <c r="I5728">
        <v>1</v>
      </c>
      <c r="J5728">
        <v>1</v>
      </c>
      <c r="K5728">
        <v>1</v>
      </c>
      <c r="L5728">
        <v>0</v>
      </c>
      <c r="M5728" t="s">
        <v>59</v>
      </c>
    </row>
    <row r="5729" spans="1:13" hidden="1" x14ac:dyDescent="0.15">
      <c r="A5729" t="s">
        <v>18027</v>
      </c>
      <c r="B5729" t="s">
        <v>18028</v>
      </c>
      <c r="C5729" t="s">
        <v>18029</v>
      </c>
      <c r="D5729" t="s">
        <v>18012</v>
      </c>
      <c r="E5729">
        <v>0</v>
      </c>
      <c r="F5729" t="str">
        <f>HYPERLINK("https://github.com/Anuken/Mindustry/issues/3888", "show")</f>
        <v>show</v>
      </c>
      <c r="G5729" t="str">
        <f>HYPERLINK("https://github.com/Anuken/Mindustry", "show")</f>
        <v>show</v>
      </c>
      <c r="H5729" t="str">
        <f>HYPERLINK("https://github.com/Anuken/Mindustry/releases", "show")</f>
        <v>show</v>
      </c>
      <c r="I5729">
        <v>1</v>
      </c>
      <c r="J5729">
        <v>1</v>
      </c>
      <c r="K5729">
        <v>0</v>
      </c>
      <c r="L5729">
        <v>1</v>
      </c>
      <c r="M5729" t="s">
        <v>1894</v>
      </c>
    </row>
    <row r="5730" spans="1:13" hidden="1" x14ac:dyDescent="0.15">
      <c r="A5730" t="s">
        <v>18030</v>
      </c>
      <c r="B5730" t="s">
        <v>18031</v>
      </c>
      <c r="C5730" t="s">
        <v>18032</v>
      </c>
      <c r="D5730" t="s">
        <v>18012</v>
      </c>
      <c r="E5730">
        <v>0</v>
      </c>
      <c r="F5730" t="str">
        <f>HYPERLINK("https://github.com/Anuken/Mindustry/issues/3887", "show")</f>
        <v>show</v>
      </c>
      <c r="G5730" t="str">
        <f>HYPERLINK("https://github.com/Anuken/Mindustry", "show")</f>
        <v>show</v>
      </c>
      <c r="H5730" t="str">
        <f>HYPERLINK("https://github.com/Anuken/Mindustry/releases", "show")</f>
        <v>show</v>
      </c>
      <c r="I5730">
        <v>0</v>
      </c>
      <c r="J5730">
        <v>0</v>
      </c>
      <c r="K5730">
        <v>0</v>
      </c>
      <c r="L5730">
        <v>0</v>
      </c>
      <c r="M5730" t="s">
        <v>43</v>
      </c>
    </row>
    <row r="5731" spans="1:13" hidden="1" x14ac:dyDescent="0.15">
      <c r="A5731" t="s">
        <v>18033</v>
      </c>
      <c r="B5731" t="s">
        <v>2929</v>
      </c>
      <c r="C5731" t="s">
        <v>18034</v>
      </c>
      <c r="D5731" t="s">
        <v>18012</v>
      </c>
      <c r="E5731">
        <v>0</v>
      </c>
      <c r="F5731" t="str">
        <f>HYPERLINK("https://github.com/Anuken/Mindustry/issues/3884", "show")</f>
        <v>show</v>
      </c>
      <c r="G5731" t="str">
        <f>HYPERLINK("https://github.com/Anuken/Mindustry", "show")</f>
        <v>show</v>
      </c>
      <c r="H5731" t="str">
        <f>HYPERLINK("https://github.com/Anuken/Mindustry/releases", "show")</f>
        <v>show</v>
      </c>
      <c r="I5731">
        <v>0</v>
      </c>
      <c r="J5731">
        <v>0</v>
      </c>
      <c r="K5731">
        <v>0</v>
      </c>
      <c r="L5731">
        <v>0</v>
      </c>
      <c r="M5731" t="s">
        <v>43</v>
      </c>
    </row>
    <row r="5732" spans="1:13" hidden="1" x14ac:dyDescent="0.15">
      <c r="A5732" t="s">
        <v>18035</v>
      </c>
      <c r="B5732" t="s">
        <v>18036</v>
      </c>
      <c r="C5732" t="s">
        <v>18037</v>
      </c>
      <c r="D5732" t="s">
        <v>18012</v>
      </c>
      <c r="E5732">
        <v>0</v>
      </c>
      <c r="F5732" t="str">
        <f>HYPERLINK("https://github.com/Anuken/Mindustry/issues/3883", "show")</f>
        <v>show</v>
      </c>
      <c r="G5732" t="str">
        <f>HYPERLINK("https://github.com/Anuken/Mindustry", "show")</f>
        <v>show</v>
      </c>
      <c r="H5732" t="str">
        <f>HYPERLINK("https://github.com/Anuken/Mindustry/releases", "show")</f>
        <v>show</v>
      </c>
      <c r="I5732">
        <v>1</v>
      </c>
      <c r="J5732">
        <v>1</v>
      </c>
      <c r="K5732">
        <v>0</v>
      </c>
      <c r="L5732">
        <v>0</v>
      </c>
      <c r="M5732" t="s">
        <v>48</v>
      </c>
    </row>
    <row r="5733" spans="1:13" hidden="1" x14ac:dyDescent="0.15">
      <c r="A5733" t="s">
        <v>18038</v>
      </c>
      <c r="B5733" t="s">
        <v>18039</v>
      </c>
      <c r="C5733" t="s">
        <v>18040</v>
      </c>
      <c r="D5733" t="s">
        <v>18012</v>
      </c>
      <c r="E5733">
        <v>2</v>
      </c>
      <c r="F5733" t="str">
        <f>HYPERLINK("https://github.com/getodk/collect/issues/4287", "show")</f>
        <v>show</v>
      </c>
      <c r="G5733" t="str">
        <f>HYPERLINK("https://github.com/getodk/collect", "show")</f>
        <v>show</v>
      </c>
      <c r="H5733" t="str">
        <f>HYPERLINK("https://github.com/getodk/collect/releases", "show")</f>
        <v>show</v>
      </c>
      <c r="I5733">
        <v>1</v>
      </c>
      <c r="J5733">
        <v>1</v>
      </c>
      <c r="K5733">
        <v>1</v>
      </c>
      <c r="L5733">
        <v>1</v>
      </c>
      <c r="M5733" t="s">
        <v>2875</v>
      </c>
    </row>
    <row r="5734" spans="1:13" hidden="1" x14ac:dyDescent="0.15">
      <c r="A5734" t="s">
        <v>18041</v>
      </c>
      <c r="B5734" t="s">
        <v>18042</v>
      </c>
      <c r="D5734" t="s">
        <v>18012</v>
      </c>
      <c r="E5734">
        <v>0</v>
      </c>
      <c r="F5734" t="str">
        <f>HYPERLINK("https://github.com/Jaybit0/SpeedQuestAndroid/issues/3", "show")</f>
        <v>show</v>
      </c>
      <c r="G5734" t="str">
        <f>HYPERLINK("https://github.com/Jaybit0/SpeedQuestAndroid", "show")</f>
        <v>show</v>
      </c>
      <c r="H5734" t="str">
        <f>HYPERLINK("https://github.com/Jaybit0/SpeedQuestAndroid/releases", "show")</f>
        <v>show</v>
      </c>
      <c r="I5734">
        <v>1</v>
      </c>
      <c r="J5734">
        <v>0</v>
      </c>
      <c r="K5734">
        <v>0</v>
      </c>
      <c r="L5734">
        <v>0</v>
      </c>
      <c r="M5734" t="s">
        <v>17</v>
      </c>
    </row>
    <row r="5735" spans="1:13" hidden="1" x14ac:dyDescent="0.15">
      <c r="A5735" t="s">
        <v>18043</v>
      </c>
      <c r="B5735" t="s">
        <v>18044</v>
      </c>
      <c r="C5735" t="s">
        <v>18045</v>
      </c>
      <c r="D5735" t="s">
        <v>18012</v>
      </c>
      <c r="E5735">
        <v>0</v>
      </c>
      <c r="F5735" t="str">
        <f>HYPERLINK("https://github.com/Anuken/Mindustry/issues/3878", "show")</f>
        <v>show</v>
      </c>
      <c r="G5735" t="str">
        <f t="shared" ref="G5735:G5741" si="16">HYPERLINK("https://github.com/Anuken/Mindustry", "show")</f>
        <v>show</v>
      </c>
      <c r="H5735" t="str">
        <f t="shared" ref="H5735:H5741" si="17">HYPERLINK("https://github.com/Anuken/Mindustry/releases", "show")</f>
        <v>show</v>
      </c>
      <c r="I5735">
        <v>1</v>
      </c>
      <c r="J5735">
        <v>0</v>
      </c>
      <c r="K5735">
        <v>0</v>
      </c>
      <c r="L5735">
        <v>0</v>
      </c>
      <c r="M5735" t="s">
        <v>17</v>
      </c>
    </row>
    <row r="5736" spans="1:13" x14ac:dyDescent="0.15">
      <c r="A5736" t="s">
        <v>18046</v>
      </c>
      <c r="B5736" t="s">
        <v>18047</v>
      </c>
      <c r="C5736" t="s">
        <v>18048</v>
      </c>
      <c r="D5736" t="s">
        <v>18012</v>
      </c>
      <c r="E5736">
        <v>0</v>
      </c>
      <c r="F5736" t="str">
        <f>HYPERLINK("https://github.com/Anuken/Mindustry/issues/3876", "show")</f>
        <v>show</v>
      </c>
      <c r="G5736" t="str">
        <f t="shared" si="16"/>
        <v>show</v>
      </c>
      <c r="H5736" t="str">
        <f t="shared" si="17"/>
        <v>show</v>
      </c>
      <c r="I5736">
        <v>0</v>
      </c>
      <c r="J5736">
        <v>1</v>
      </c>
      <c r="K5736">
        <v>0</v>
      </c>
      <c r="L5736">
        <v>0</v>
      </c>
      <c r="M5736" t="s">
        <v>139</v>
      </c>
    </row>
    <row r="5737" spans="1:13" hidden="1" x14ac:dyDescent="0.15">
      <c r="A5737" t="s">
        <v>18049</v>
      </c>
      <c r="B5737" t="s">
        <v>18050</v>
      </c>
      <c r="C5737" t="s">
        <v>18051</v>
      </c>
      <c r="D5737" t="s">
        <v>18012</v>
      </c>
      <c r="E5737">
        <v>0</v>
      </c>
      <c r="F5737" t="str">
        <f>HYPERLINK("https://github.com/Anuken/Mindustry/issues/3874", "show")</f>
        <v>show</v>
      </c>
      <c r="G5737" t="str">
        <f t="shared" si="16"/>
        <v>show</v>
      </c>
      <c r="H5737" t="str">
        <f t="shared" si="17"/>
        <v>show</v>
      </c>
      <c r="I5737">
        <v>0</v>
      </c>
      <c r="J5737">
        <v>0</v>
      </c>
      <c r="K5737">
        <v>1</v>
      </c>
      <c r="L5737">
        <v>0</v>
      </c>
      <c r="M5737" t="s">
        <v>122</v>
      </c>
    </row>
    <row r="5738" spans="1:13" hidden="1" x14ac:dyDescent="0.15">
      <c r="A5738" t="s">
        <v>18052</v>
      </c>
      <c r="B5738" t="s">
        <v>18053</v>
      </c>
      <c r="C5738" t="s">
        <v>18054</v>
      </c>
      <c r="D5738" t="s">
        <v>18055</v>
      </c>
      <c r="E5738">
        <v>0</v>
      </c>
      <c r="F5738" t="str">
        <f>HYPERLINK("https://github.com/Anuken/Mindustry/issues/3872", "show")</f>
        <v>show</v>
      </c>
      <c r="G5738" t="str">
        <f t="shared" si="16"/>
        <v>show</v>
      </c>
      <c r="H5738" t="str">
        <f t="shared" si="17"/>
        <v>show</v>
      </c>
      <c r="I5738">
        <v>0</v>
      </c>
      <c r="J5738">
        <v>0</v>
      </c>
      <c r="K5738">
        <v>0</v>
      </c>
      <c r="L5738">
        <v>1</v>
      </c>
      <c r="M5738" t="s">
        <v>581</v>
      </c>
    </row>
    <row r="5739" spans="1:13" hidden="1" x14ac:dyDescent="0.15">
      <c r="A5739" t="s">
        <v>18056</v>
      </c>
      <c r="B5739" t="s">
        <v>18057</v>
      </c>
      <c r="C5739" t="s">
        <v>17518</v>
      </c>
      <c r="D5739" t="s">
        <v>18055</v>
      </c>
      <c r="E5739">
        <v>0</v>
      </c>
      <c r="F5739" t="str">
        <f>HYPERLINK("https://github.com/Anuken/Mindustry/issues/3868", "show")</f>
        <v>show</v>
      </c>
      <c r="G5739" t="str">
        <f t="shared" si="16"/>
        <v>show</v>
      </c>
      <c r="H5739" t="str">
        <f t="shared" si="17"/>
        <v>show</v>
      </c>
      <c r="I5739">
        <v>0</v>
      </c>
      <c r="J5739">
        <v>0</v>
      </c>
      <c r="K5739">
        <v>1</v>
      </c>
      <c r="L5739">
        <v>0</v>
      </c>
      <c r="M5739" t="s">
        <v>122</v>
      </c>
    </row>
    <row r="5740" spans="1:13" hidden="1" x14ac:dyDescent="0.15">
      <c r="A5740" t="s">
        <v>18058</v>
      </c>
      <c r="B5740" t="s">
        <v>18059</v>
      </c>
      <c r="C5740" t="s">
        <v>18060</v>
      </c>
      <c r="D5740" t="s">
        <v>18055</v>
      </c>
      <c r="E5740">
        <v>0</v>
      </c>
      <c r="F5740" t="str">
        <f>HYPERLINK("https://github.com/Anuken/Mindustry/issues/3867", "show")</f>
        <v>show</v>
      </c>
      <c r="G5740" t="str">
        <f t="shared" si="16"/>
        <v>show</v>
      </c>
      <c r="H5740" t="str">
        <f t="shared" si="17"/>
        <v>show</v>
      </c>
      <c r="I5740">
        <v>0</v>
      </c>
      <c r="J5740">
        <v>0</v>
      </c>
      <c r="K5740">
        <v>0</v>
      </c>
      <c r="L5740">
        <v>0</v>
      </c>
      <c r="M5740" t="s">
        <v>43</v>
      </c>
    </row>
    <row r="5741" spans="1:13" hidden="1" x14ac:dyDescent="0.15">
      <c r="A5741" t="s">
        <v>18061</v>
      </c>
      <c r="B5741" t="s">
        <v>18062</v>
      </c>
      <c r="C5741" t="s">
        <v>18063</v>
      </c>
      <c r="D5741" t="s">
        <v>18055</v>
      </c>
      <c r="E5741">
        <v>0</v>
      </c>
      <c r="F5741" t="str">
        <f>HYPERLINK("https://github.com/Anuken/Mindustry/issues/3864", "show")</f>
        <v>show</v>
      </c>
      <c r="G5741" t="str">
        <f t="shared" si="16"/>
        <v>show</v>
      </c>
      <c r="H5741" t="str">
        <f t="shared" si="17"/>
        <v>show</v>
      </c>
      <c r="I5741">
        <v>1</v>
      </c>
      <c r="J5741">
        <v>1</v>
      </c>
      <c r="K5741">
        <v>0</v>
      </c>
      <c r="L5741">
        <v>0</v>
      </c>
      <c r="M5741" t="s">
        <v>48</v>
      </c>
    </row>
    <row r="5742" spans="1:13" hidden="1" x14ac:dyDescent="0.15">
      <c r="A5742" t="s">
        <v>18064</v>
      </c>
      <c r="B5742" t="s">
        <v>18065</v>
      </c>
      <c r="C5742" t="s">
        <v>18066</v>
      </c>
      <c r="D5742" t="s">
        <v>18055</v>
      </c>
      <c r="E5742">
        <v>21</v>
      </c>
      <c r="F5742" t="str">
        <f>HYPERLINK("https://github.com/dimagi/commcare-android/issues/2417", "show")</f>
        <v>show</v>
      </c>
      <c r="G5742" t="str">
        <f>HYPERLINK("https://github.com/dimagi/commcare-android", "show")</f>
        <v>show</v>
      </c>
      <c r="H5742" t="str">
        <f>HYPERLINK("https://github.com/dimagi/commcare-android/releases", "show")</f>
        <v>show</v>
      </c>
      <c r="I5742">
        <v>0</v>
      </c>
      <c r="J5742">
        <v>0</v>
      </c>
      <c r="K5742">
        <v>1</v>
      </c>
      <c r="L5742">
        <v>0</v>
      </c>
      <c r="M5742" t="s">
        <v>122</v>
      </c>
    </row>
    <row r="5743" spans="1:13" hidden="1" x14ac:dyDescent="0.15">
      <c r="A5743" t="s">
        <v>18067</v>
      </c>
      <c r="B5743" t="s">
        <v>18068</v>
      </c>
      <c r="C5743" t="s">
        <v>18069</v>
      </c>
      <c r="D5743" t="s">
        <v>18055</v>
      </c>
      <c r="E5743">
        <v>0</v>
      </c>
      <c r="F5743" t="str">
        <f>HYPERLINK("https://github.com/react-native-share/react-native-share/issues/922", "show")</f>
        <v>show</v>
      </c>
      <c r="G5743" t="str">
        <f>HYPERLINK("https://github.com/react-native-share/react-native-share", "show")</f>
        <v>show</v>
      </c>
      <c r="H5743" t="str">
        <f>HYPERLINK("https://github.com/react-native-share/react-native-share/releases", "show")</f>
        <v>show</v>
      </c>
      <c r="I5743">
        <v>1</v>
      </c>
      <c r="J5743">
        <v>1</v>
      </c>
      <c r="K5743">
        <v>0</v>
      </c>
      <c r="L5743">
        <v>1</v>
      </c>
      <c r="M5743" t="s">
        <v>1894</v>
      </c>
    </row>
    <row r="5744" spans="1:13" hidden="1" x14ac:dyDescent="0.15">
      <c r="A5744" t="s">
        <v>18070</v>
      </c>
      <c r="B5744" t="s">
        <v>18071</v>
      </c>
      <c r="C5744" t="s">
        <v>18072</v>
      </c>
      <c r="D5744" t="s">
        <v>18055</v>
      </c>
      <c r="E5744">
        <v>4</v>
      </c>
      <c r="F5744" t="str">
        <f>HYPERLINK("https://github.com/Technical-Hackers/Health-Log/issues/17", "show")</f>
        <v>show</v>
      </c>
      <c r="G5744" t="str">
        <f>HYPERLINK("https://github.com/Technical-Hackers/Health-Log", "show")</f>
        <v>show</v>
      </c>
      <c r="H5744" t="str">
        <f>HYPERLINK("https://github.com/Technical-Hackers/Health-Log/releases", "show")</f>
        <v>show</v>
      </c>
      <c r="I5744">
        <v>1</v>
      </c>
      <c r="J5744">
        <v>0</v>
      </c>
      <c r="K5744">
        <v>0</v>
      </c>
      <c r="L5744">
        <v>0</v>
      </c>
      <c r="M5744" t="s">
        <v>17</v>
      </c>
    </row>
    <row r="5745" spans="1:13" hidden="1" x14ac:dyDescent="0.15">
      <c r="A5745" t="s">
        <v>18073</v>
      </c>
      <c r="B5745" t="s">
        <v>18074</v>
      </c>
      <c r="C5745" t="s">
        <v>11744</v>
      </c>
      <c r="D5745" t="s">
        <v>18055</v>
      </c>
      <c r="E5745">
        <v>0</v>
      </c>
      <c r="F5745" t="str">
        <f>HYPERLINK("https://github.com/Blankj/AndroidUtilCode/issues/1389", "show")</f>
        <v>show</v>
      </c>
      <c r="G5745" t="str">
        <f>HYPERLINK("https://github.com/Blankj/AndroidUtilCode", "show")</f>
        <v>show</v>
      </c>
      <c r="H5745" t="str">
        <f>HYPERLINK("https://github.com/Blankj/AndroidUtilCode/releases", "show")</f>
        <v>show</v>
      </c>
      <c r="I5745">
        <v>1</v>
      </c>
      <c r="J5745">
        <v>1</v>
      </c>
      <c r="K5745">
        <v>1</v>
      </c>
      <c r="L5745">
        <v>0</v>
      </c>
      <c r="M5745" t="s">
        <v>59</v>
      </c>
    </row>
    <row r="5746" spans="1:13" hidden="1" x14ac:dyDescent="0.15">
      <c r="A5746" t="s">
        <v>18075</v>
      </c>
      <c r="B5746" t="s">
        <v>18076</v>
      </c>
      <c r="C5746" t="s">
        <v>18077</v>
      </c>
      <c r="D5746" t="s">
        <v>18078</v>
      </c>
      <c r="E5746">
        <v>0</v>
      </c>
      <c r="F5746" t="str">
        <f>HYPERLINK("https://github.com/Anuken/Mindustry/issues/3852", "show")</f>
        <v>show</v>
      </c>
      <c r="G5746" t="str">
        <f>HYPERLINK("https://github.com/Anuken/Mindustry", "show")</f>
        <v>show</v>
      </c>
      <c r="H5746" t="str">
        <f>HYPERLINK("https://github.com/Anuken/Mindustry/releases", "show")</f>
        <v>show</v>
      </c>
      <c r="I5746">
        <v>0</v>
      </c>
      <c r="J5746">
        <v>0</v>
      </c>
      <c r="K5746">
        <v>1</v>
      </c>
      <c r="L5746">
        <v>0</v>
      </c>
      <c r="M5746" t="s">
        <v>122</v>
      </c>
    </row>
    <row r="5747" spans="1:13" hidden="1" x14ac:dyDescent="0.15">
      <c r="A5747" t="s">
        <v>18079</v>
      </c>
      <c r="B5747" t="s">
        <v>18076</v>
      </c>
      <c r="C5747" t="s">
        <v>18077</v>
      </c>
      <c r="D5747" t="s">
        <v>18078</v>
      </c>
      <c r="E5747">
        <v>0</v>
      </c>
      <c r="F5747" t="str">
        <f>HYPERLINK("https://github.com/Anuken/Mindustry/issues/3851", "show")</f>
        <v>show</v>
      </c>
      <c r="G5747" t="str">
        <f>HYPERLINK("https://github.com/Anuken/Mindustry", "show")</f>
        <v>show</v>
      </c>
      <c r="H5747" t="str">
        <f>HYPERLINK("https://github.com/Anuken/Mindustry/releases", "show")</f>
        <v>show</v>
      </c>
      <c r="I5747">
        <v>0</v>
      </c>
      <c r="J5747">
        <v>0</v>
      </c>
      <c r="K5747">
        <v>1</v>
      </c>
      <c r="L5747">
        <v>0</v>
      </c>
      <c r="M5747" t="s">
        <v>122</v>
      </c>
    </row>
    <row r="5748" spans="1:13" hidden="1" x14ac:dyDescent="0.15">
      <c r="A5748" t="s">
        <v>18080</v>
      </c>
      <c r="B5748" t="s">
        <v>18081</v>
      </c>
      <c r="C5748" t="s">
        <v>18082</v>
      </c>
      <c r="D5748" t="s">
        <v>18078</v>
      </c>
      <c r="E5748">
        <v>0</v>
      </c>
      <c r="F5748" t="str">
        <f>HYPERLINK("https://github.com/AOF-Dev/MCinaBox/issues/727", "show")</f>
        <v>show</v>
      </c>
      <c r="G5748" t="str">
        <f>HYPERLINK("https://github.com/AOF-Dev/MCinaBox", "show")</f>
        <v>show</v>
      </c>
      <c r="H5748" t="str">
        <f>HYPERLINK("https://github.com/AOF-Dev/MCinaBox/releases", "show")</f>
        <v>show</v>
      </c>
      <c r="I5748">
        <v>1</v>
      </c>
      <c r="J5748">
        <v>0</v>
      </c>
      <c r="K5748">
        <v>0</v>
      </c>
      <c r="L5748">
        <v>0</v>
      </c>
      <c r="M5748" t="s">
        <v>17</v>
      </c>
    </row>
    <row r="5749" spans="1:13" hidden="1" x14ac:dyDescent="0.15">
      <c r="A5749" t="s">
        <v>18083</v>
      </c>
      <c r="B5749" t="s">
        <v>18084</v>
      </c>
      <c r="C5749" t="s">
        <v>18085</v>
      </c>
      <c r="D5749" t="s">
        <v>18078</v>
      </c>
      <c r="E5749">
        <v>10</v>
      </c>
      <c r="F5749" t="str">
        <f>HYPERLINK("https://github.com/google/ExoPlayer/issues/8323", "show")</f>
        <v>show</v>
      </c>
      <c r="G5749" t="str">
        <f>HYPERLINK("https://github.com/google/ExoPlayer", "show")</f>
        <v>show</v>
      </c>
      <c r="H5749" t="str">
        <f>HYPERLINK("https://github.com/google/ExoPlayer/releases", "show")</f>
        <v>show</v>
      </c>
      <c r="I5749">
        <v>1</v>
      </c>
      <c r="J5749">
        <v>0</v>
      </c>
      <c r="K5749">
        <v>1</v>
      </c>
      <c r="L5749">
        <v>0</v>
      </c>
      <c r="M5749" t="s">
        <v>64</v>
      </c>
    </row>
    <row r="5750" spans="1:13" hidden="1" x14ac:dyDescent="0.15">
      <c r="A5750" t="s">
        <v>18086</v>
      </c>
      <c r="B5750" t="s">
        <v>18087</v>
      </c>
      <c r="C5750" t="s">
        <v>18088</v>
      </c>
      <c r="D5750" t="s">
        <v>18078</v>
      </c>
      <c r="E5750">
        <v>0</v>
      </c>
      <c r="F5750" t="str">
        <f>HYPERLINK("https://github.com/Anuken/Mindustry/issues/3850", "show")</f>
        <v>show</v>
      </c>
      <c r="G5750" t="str">
        <f>HYPERLINK("https://github.com/Anuken/Mindustry", "show")</f>
        <v>show</v>
      </c>
      <c r="H5750" t="str">
        <f>HYPERLINK("https://github.com/Anuken/Mindustry/releases", "show")</f>
        <v>show</v>
      </c>
      <c r="I5750">
        <v>1</v>
      </c>
      <c r="J5750">
        <v>0</v>
      </c>
      <c r="K5750">
        <v>0</v>
      </c>
      <c r="L5750">
        <v>0</v>
      </c>
      <c r="M5750" t="s">
        <v>17</v>
      </c>
    </row>
    <row r="5751" spans="1:13" hidden="1" x14ac:dyDescent="0.15">
      <c r="A5751" t="s">
        <v>18089</v>
      </c>
      <c r="B5751" t="s">
        <v>18090</v>
      </c>
      <c r="C5751" t="s">
        <v>18091</v>
      </c>
      <c r="D5751" t="s">
        <v>18078</v>
      </c>
      <c r="E5751">
        <v>0</v>
      </c>
      <c r="F5751" t="str">
        <f>HYPERLINK("https://github.com/Anuken/Mindustry/issues/3849", "show")</f>
        <v>show</v>
      </c>
      <c r="G5751" t="str">
        <f>HYPERLINK("https://github.com/Anuken/Mindustry", "show")</f>
        <v>show</v>
      </c>
      <c r="H5751" t="str">
        <f>HYPERLINK("https://github.com/Anuken/Mindustry/releases", "show")</f>
        <v>show</v>
      </c>
      <c r="I5751">
        <v>1</v>
      </c>
      <c r="J5751">
        <v>1</v>
      </c>
      <c r="K5751">
        <v>0</v>
      </c>
      <c r="L5751">
        <v>0</v>
      </c>
      <c r="M5751" t="s">
        <v>48</v>
      </c>
    </row>
    <row r="5752" spans="1:13" x14ac:dyDescent="0.15">
      <c r="A5752" t="s">
        <v>18092</v>
      </c>
      <c r="B5752" t="s">
        <v>18093</v>
      </c>
      <c r="C5752" t="s">
        <v>18094</v>
      </c>
      <c r="D5752" t="s">
        <v>18078</v>
      </c>
      <c r="E5752">
        <v>0</v>
      </c>
      <c r="F5752" t="str">
        <f>HYPERLINK("https://github.com/Anuken/Mindustry/issues/3848", "show")</f>
        <v>show</v>
      </c>
      <c r="G5752" t="str">
        <f>HYPERLINK("https://github.com/Anuken/Mindustry", "show")</f>
        <v>show</v>
      </c>
      <c r="H5752" t="str">
        <f>HYPERLINK("https://github.com/Anuken/Mindustry/releases", "show")</f>
        <v>show</v>
      </c>
      <c r="I5752">
        <v>0</v>
      </c>
      <c r="J5752">
        <v>1</v>
      </c>
      <c r="K5752">
        <v>0</v>
      </c>
      <c r="L5752">
        <v>0</v>
      </c>
      <c r="M5752" t="s">
        <v>139</v>
      </c>
    </row>
    <row r="5753" spans="1:13" hidden="1" x14ac:dyDescent="0.15">
      <c r="A5753" t="s">
        <v>18095</v>
      </c>
      <c r="B5753" t="s">
        <v>18096</v>
      </c>
      <c r="C5753" t="s">
        <v>18097</v>
      </c>
      <c r="D5753" t="s">
        <v>18078</v>
      </c>
      <c r="E5753">
        <v>25</v>
      </c>
      <c r="F5753" t="str">
        <f>HYPERLINK("https://github.com/commons-app/apps-android-commons/issues/4086", "show")</f>
        <v>show</v>
      </c>
      <c r="G5753" t="str">
        <f>HYPERLINK("https://github.com/commons-app/apps-android-commons", "show")</f>
        <v>show</v>
      </c>
      <c r="H5753" t="str">
        <f>HYPERLINK("https://github.com/commons-app/apps-android-commons/releases", "show")</f>
        <v>show</v>
      </c>
      <c r="I5753">
        <v>1</v>
      </c>
      <c r="J5753">
        <v>1</v>
      </c>
      <c r="K5753">
        <v>1</v>
      </c>
      <c r="L5753">
        <v>1</v>
      </c>
      <c r="M5753" t="s">
        <v>2875</v>
      </c>
    </row>
    <row r="5754" spans="1:13" x14ac:dyDescent="0.15">
      <c r="A5754" t="s">
        <v>18098</v>
      </c>
      <c r="B5754" t="s">
        <v>18099</v>
      </c>
      <c r="C5754" t="s">
        <v>18100</v>
      </c>
      <c r="D5754" t="s">
        <v>18078</v>
      </c>
      <c r="E5754">
        <v>71</v>
      </c>
      <c r="F5754" t="str">
        <f>HYPERLINK("https://github.com/gsantner/markor/issues/1149", "show")</f>
        <v>show</v>
      </c>
      <c r="G5754" t="str">
        <f>HYPERLINK("https://github.com/gsantner/markor", "show")</f>
        <v>show</v>
      </c>
      <c r="H5754" t="str">
        <f>HYPERLINK("https://github.com/gsantner/markor/releases", "show")</f>
        <v>show</v>
      </c>
      <c r="I5754">
        <v>0</v>
      </c>
      <c r="J5754">
        <v>1</v>
      </c>
      <c r="K5754">
        <v>0</v>
      </c>
      <c r="L5754">
        <v>0</v>
      </c>
      <c r="M5754" t="s">
        <v>139</v>
      </c>
    </row>
    <row r="5755" spans="1:13" hidden="1" x14ac:dyDescent="0.15">
      <c r="A5755" t="s">
        <v>18101</v>
      </c>
      <c r="B5755" t="s">
        <v>18102</v>
      </c>
      <c r="C5755" t="s">
        <v>18103</v>
      </c>
      <c r="D5755" t="s">
        <v>18078</v>
      </c>
      <c r="E5755">
        <v>0</v>
      </c>
      <c r="F5755" t="str">
        <f>HYPERLINK("https://github.com/Anuken/Mindustry/issues/3839", "show")</f>
        <v>show</v>
      </c>
      <c r="G5755" t="str">
        <f>HYPERLINK("https://github.com/Anuken/Mindustry", "show")</f>
        <v>show</v>
      </c>
      <c r="H5755" t="str">
        <f>HYPERLINK("https://github.com/Anuken/Mindustry/releases", "show")</f>
        <v>show</v>
      </c>
      <c r="I5755">
        <v>1</v>
      </c>
      <c r="J5755">
        <v>0</v>
      </c>
      <c r="K5755">
        <v>1</v>
      </c>
      <c r="L5755">
        <v>1</v>
      </c>
      <c r="M5755" t="s">
        <v>1259</v>
      </c>
    </row>
    <row r="5756" spans="1:13" hidden="1" x14ac:dyDescent="0.15">
      <c r="A5756" t="s">
        <v>18104</v>
      </c>
      <c r="B5756" t="s">
        <v>18105</v>
      </c>
      <c r="C5756" t="s">
        <v>18106</v>
      </c>
      <c r="D5756" t="s">
        <v>18078</v>
      </c>
      <c r="E5756">
        <v>76</v>
      </c>
      <c r="F5756" t="str">
        <f>HYPERLINK("https://github.com/Blankj/AndroidUtilCode/issues/1388", "show")</f>
        <v>show</v>
      </c>
      <c r="G5756" t="str">
        <f>HYPERLINK("https://github.com/Blankj/AndroidUtilCode", "show")</f>
        <v>show</v>
      </c>
      <c r="H5756" t="str">
        <f>HYPERLINK("https://github.com/Blankj/AndroidUtilCode/releases", "show")</f>
        <v>show</v>
      </c>
      <c r="I5756">
        <v>0</v>
      </c>
      <c r="J5756">
        <v>0</v>
      </c>
      <c r="K5756">
        <v>0</v>
      </c>
      <c r="L5756">
        <v>1</v>
      </c>
      <c r="M5756" t="s">
        <v>581</v>
      </c>
    </row>
    <row r="5757" spans="1:13" hidden="1" x14ac:dyDescent="0.15">
      <c r="A5757" t="s">
        <v>18107</v>
      </c>
      <c r="B5757" t="s">
        <v>3180</v>
      </c>
      <c r="C5757" t="s">
        <v>12056</v>
      </c>
      <c r="D5757" t="s">
        <v>18078</v>
      </c>
      <c r="E5757">
        <v>93</v>
      </c>
      <c r="F5757" t="str">
        <f>HYPERLINK("https://github.com/nextcloud/android/issues/7621", "show")</f>
        <v>show</v>
      </c>
      <c r="G5757" t="str">
        <f>HYPERLINK("https://github.com/nextcloud/android", "show")</f>
        <v>show</v>
      </c>
      <c r="H5757" t="str">
        <f>HYPERLINK("https://github.com/nextcloud/android/releases", "show")</f>
        <v>show</v>
      </c>
      <c r="I5757">
        <v>0</v>
      </c>
      <c r="J5757">
        <v>1</v>
      </c>
      <c r="K5757">
        <v>1</v>
      </c>
      <c r="L5757">
        <v>0</v>
      </c>
      <c r="M5757" t="s">
        <v>699</v>
      </c>
    </row>
    <row r="5758" spans="1:13" hidden="1" x14ac:dyDescent="0.15">
      <c r="A5758" t="s">
        <v>18108</v>
      </c>
      <c r="B5758" t="s">
        <v>18109</v>
      </c>
      <c r="C5758" t="s">
        <v>18110</v>
      </c>
      <c r="D5758" t="s">
        <v>18078</v>
      </c>
      <c r="E5758">
        <v>0</v>
      </c>
      <c r="F5758" t="str">
        <f>HYPERLINK("https://github.com/Anuken/Mindustry/issues/3835", "show")</f>
        <v>show</v>
      </c>
      <c r="G5758" t="str">
        <f>HYPERLINK("https://github.com/Anuken/Mindustry", "show")</f>
        <v>show</v>
      </c>
      <c r="H5758" t="str">
        <f>HYPERLINK("https://github.com/Anuken/Mindustry/releases", "show")</f>
        <v>show</v>
      </c>
      <c r="I5758">
        <v>0</v>
      </c>
      <c r="J5758">
        <v>1</v>
      </c>
      <c r="K5758">
        <v>0</v>
      </c>
      <c r="L5758">
        <v>1</v>
      </c>
      <c r="M5758" t="s">
        <v>1732</v>
      </c>
    </row>
    <row r="5759" spans="1:13" hidden="1" x14ac:dyDescent="0.15">
      <c r="A5759" t="s">
        <v>18111</v>
      </c>
      <c r="B5759" t="s">
        <v>18112</v>
      </c>
      <c r="C5759" t="s">
        <v>18113</v>
      </c>
      <c r="D5759" t="s">
        <v>18078</v>
      </c>
      <c r="E5759">
        <v>0</v>
      </c>
      <c r="F5759" t="str">
        <f>HYPERLINK("https://github.com/Anuken/Mindustry/issues/3834", "show")</f>
        <v>show</v>
      </c>
      <c r="G5759" t="str">
        <f>HYPERLINK("https://github.com/Anuken/Mindustry", "show")</f>
        <v>show</v>
      </c>
      <c r="H5759" t="str">
        <f>HYPERLINK("https://github.com/Anuken/Mindustry/releases", "show")</f>
        <v>show</v>
      </c>
      <c r="I5759">
        <v>0</v>
      </c>
      <c r="J5759">
        <v>0</v>
      </c>
      <c r="K5759">
        <v>0</v>
      </c>
      <c r="L5759">
        <v>0</v>
      </c>
      <c r="M5759" t="s">
        <v>43</v>
      </c>
    </row>
    <row r="5760" spans="1:13" hidden="1" x14ac:dyDescent="0.15">
      <c r="A5760" t="s">
        <v>18114</v>
      </c>
      <c r="B5760" t="s">
        <v>18115</v>
      </c>
      <c r="C5760" t="s">
        <v>18116</v>
      </c>
      <c r="D5760" t="s">
        <v>18078</v>
      </c>
      <c r="E5760">
        <v>35</v>
      </c>
      <c r="F5760" t="str">
        <f>HYPERLINK("https://github.com/commons-app/apps-android-commons/issues/4081", "show")</f>
        <v>show</v>
      </c>
      <c r="G5760" t="str">
        <f>HYPERLINK("https://github.com/commons-app/apps-android-commons", "show")</f>
        <v>show</v>
      </c>
      <c r="H5760" t="str">
        <f>HYPERLINK("https://github.com/commons-app/apps-android-commons/releases", "show")</f>
        <v>show</v>
      </c>
      <c r="I5760">
        <v>1</v>
      </c>
      <c r="J5760">
        <v>0</v>
      </c>
      <c r="K5760">
        <v>1</v>
      </c>
      <c r="L5760">
        <v>1</v>
      </c>
      <c r="M5760" t="s">
        <v>1259</v>
      </c>
    </row>
    <row r="5761" spans="1:13" hidden="1" x14ac:dyDescent="0.15">
      <c r="A5761" t="s">
        <v>18117</v>
      </c>
      <c r="B5761" t="s">
        <v>18118</v>
      </c>
      <c r="C5761" t="s">
        <v>18119</v>
      </c>
      <c r="D5761" t="s">
        <v>18078</v>
      </c>
      <c r="E5761">
        <v>0</v>
      </c>
      <c r="F5761" t="str">
        <f>HYPERLINK("https://github.com/CelesteHackmann/JustWrite/issues/18", "show")</f>
        <v>show</v>
      </c>
      <c r="G5761" t="str">
        <f>HYPERLINK("https://github.com/CelesteHackmann/JustWrite", "show")</f>
        <v>show</v>
      </c>
      <c r="H5761" t="str">
        <f>HYPERLINK("https://github.com/CelesteHackmann/JustWrite/releases", "show")</f>
        <v>show</v>
      </c>
      <c r="I5761">
        <v>0</v>
      </c>
      <c r="J5761">
        <v>0</v>
      </c>
      <c r="K5761">
        <v>0</v>
      </c>
      <c r="L5761">
        <v>0</v>
      </c>
      <c r="M5761" t="s">
        <v>43</v>
      </c>
    </row>
    <row r="5762" spans="1:13" hidden="1" x14ac:dyDescent="0.15">
      <c r="A5762" t="s">
        <v>18120</v>
      </c>
      <c r="B5762" t="s">
        <v>18121</v>
      </c>
      <c r="C5762" t="s">
        <v>18122</v>
      </c>
      <c r="D5762" t="s">
        <v>18123</v>
      </c>
      <c r="E5762">
        <v>6</v>
      </c>
      <c r="F5762" t="str">
        <f>HYPERLINK("https://github.com/cgeo/cgeo/issues/9509", "show")</f>
        <v>show</v>
      </c>
      <c r="G5762" t="str">
        <f>HYPERLINK("https://github.com/cgeo/cgeo", "show")</f>
        <v>show</v>
      </c>
      <c r="H5762" t="str">
        <f>HYPERLINK("https://github.com/cgeo/cgeo/releases", "show")</f>
        <v>show</v>
      </c>
      <c r="I5762">
        <v>1</v>
      </c>
      <c r="J5762">
        <v>1</v>
      </c>
      <c r="K5762">
        <v>0</v>
      </c>
      <c r="L5762">
        <v>0</v>
      </c>
      <c r="M5762" t="s">
        <v>48</v>
      </c>
    </row>
    <row r="5763" spans="1:13" hidden="1" x14ac:dyDescent="0.15">
      <c r="A5763" t="s">
        <v>18124</v>
      </c>
      <c r="B5763" t="s">
        <v>18125</v>
      </c>
      <c r="C5763" t="s">
        <v>18126</v>
      </c>
      <c r="D5763" t="s">
        <v>18123</v>
      </c>
      <c r="E5763">
        <v>1</v>
      </c>
      <c r="F5763" t="str">
        <f>HYPERLINK("https://github.com/cgeo/cgeo/issues/9508", "show")</f>
        <v>show</v>
      </c>
      <c r="G5763" t="str">
        <f>HYPERLINK("https://github.com/cgeo/cgeo", "show")</f>
        <v>show</v>
      </c>
      <c r="H5763" t="str">
        <f>HYPERLINK("https://github.com/cgeo/cgeo/releases", "show")</f>
        <v>show</v>
      </c>
      <c r="I5763">
        <v>1</v>
      </c>
      <c r="J5763">
        <v>0</v>
      </c>
      <c r="K5763">
        <v>1</v>
      </c>
      <c r="L5763">
        <v>0</v>
      </c>
      <c r="M5763" t="s">
        <v>64</v>
      </c>
    </row>
    <row r="5764" spans="1:13" hidden="1" x14ac:dyDescent="0.15">
      <c r="A5764" t="s">
        <v>18127</v>
      </c>
      <c r="B5764" t="s">
        <v>18128</v>
      </c>
      <c r="C5764" t="s">
        <v>18129</v>
      </c>
      <c r="D5764" t="s">
        <v>18123</v>
      </c>
      <c r="E5764">
        <v>0</v>
      </c>
      <c r="F5764" t="str">
        <f>HYPERLINK("https://github.com/Anuken/Mindustry/issues/3820", "show")</f>
        <v>show</v>
      </c>
      <c r="G5764" t="str">
        <f>HYPERLINK("https://github.com/Anuken/Mindustry", "show")</f>
        <v>show</v>
      </c>
      <c r="H5764" t="str">
        <f>HYPERLINK("https://github.com/Anuken/Mindustry/releases", "show")</f>
        <v>show</v>
      </c>
      <c r="I5764">
        <v>0</v>
      </c>
      <c r="J5764">
        <v>0</v>
      </c>
      <c r="K5764">
        <v>0</v>
      </c>
      <c r="L5764">
        <v>0</v>
      </c>
      <c r="M5764" t="s">
        <v>43</v>
      </c>
    </row>
    <row r="5765" spans="1:13" hidden="1" x14ac:dyDescent="0.15">
      <c r="A5765" t="s">
        <v>18130</v>
      </c>
      <c r="B5765" t="s">
        <v>18131</v>
      </c>
      <c r="C5765" t="s">
        <v>18132</v>
      </c>
      <c r="D5765" t="s">
        <v>18123</v>
      </c>
      <c r="E5765">
        <v>0</v>
      </c>
      <c r="F5765" t="str">
        <f>HYPERLINK("https://github.com/Anuken/Mindustry/issues/3819", "show")</f>
        <v>show</v>
      </c>
      <c r="G5765" t="str">
        <f>HYPERLINK("https://github.com/Anuken/Mindustry", "show")</f>
        <v>show</v>
      </c>
      <c r="H5765" t="str">
        <f>HYPERLINK("https://github.com/Anuken/Mindustry/releases", "show")</f>
        <v>show</v>
      </c>
      <c r="I5765">
        <v>1</v>
      </c>
      <c r="J5765">
        <v>1</v>
      </c>
      <c r="K5765">
        <v>0</v>
      </c>
      <c r="L5765">
        <v>0</v>
      </c>
      <c r="M5765" t="s">
        <v>48</v>
      </c>
    </row>
    <row r="5766" spans="1:13" hidden="1" x14ac:dyDescent="0.15">
      <c r="A5766" t="s">
        <v>18133</v>
      </c>
      <c r="B5766" t="s">
        <v>18134</v>
      </c>
      <c r="C5766" t="s">
        <v>18135</v>
      </c>
      <c r="D5766" t="s">
        <v>18123</v>
      </c>
      <c r="E5766">
        <v>0</v>
      </c>
      <c r="F5766" t="str">
        <f>HYPERLINK("https://github.com/Anuken/Mindustry/issues/3816", "show")</f>
        <v>show</v>
      </c>
      <c r="G5766" t="str">
        <f>HYPERLINK("https://github.com/Anuken/Mindustry", "show")</f>
        <v>show</v>
      </c>
      <c r="H5766" t="str">
        <f>HYPERLINK("https://github.com/Anuken/Mindustry/releases", "show")</f>
        <v>show</v>
      </c>
      <c r="I5766">
        <v>1</v>
      </c>
      <c r="J5766">
        <v>0</v>
      </c>
      <c r="K5766">
        <v>0</v>
      </c>
      <c r="L5766">
        <v>0</v>
      </c>
      <c r="M5766" t="s">
        <v>17</v>
      </c>
    </row>
    <row r="5767" spans="1:13" hidden="1" x14ac:dyDescent="0.15">
      <c r="A5767" t="s">
        <v>18136</v>
      </c>
      <c r="B5767" t="s">
        <v>18137</v>
      </c>
      <c r="C5767" t="s">
        <v>18138</v>
      </c>
      <c r="D5767" t="s">
        <v>18123</v>
      </c>
      <c r="E5767">
        <v>0</v>
      </c>
      <c r="F5767" t="str">
        <f>HYPERLINK("https://github.com/ElderDrivers/EdXposed/issues/711", "show")</f>
        <v>show</v>
      </c>
      <c r="G5767" t="str">
        <f>HYPERLINK("https://github.com/ElderDrivers/EdXposed", "show")</f>
        <v>show</v>
      </c>
      <c r="H5767" t="str">
        <f>HYPERLINK("https://github.com/ElderDrivers/EdXposed/releases", "show")</f>
        <v>show</v>
      </c>
      <c r="I5767">
        <v>1</v>
      </c>
      <c r="J5767">
        <v>0</v>
      </c>
      <c r="K5767">
        <v>0</v>
      </c>
      <c r="L5767">
        <v>0</v>
      </c>
      <c r="M5767" t="s">
        <v>17</v>
      </c>
    </row>
    <row r="5768" spans="1:13" hidden="1" x14ac:dyDescent="0.15">
      <c r="A5768" t="s">
        <v>18139</v>
      </c>
      <c r="B5768" t="s">
        <v>18140</v>
      </c>
      <c r="C5768" t="s">
        <v>18141</v>
      </c>
      <c r="D5768" t="s">
        <v>18123</v>
      </c>
      <c r="E5768">
        <v>0</v>
      </c>
      <c r="F5768" t="str">
        <f>HYPERLINK("https://github.com/cgeo/cgeo/issues/9500", "show")</f>
        <v>show</v>
      </c>
      <c r="G5768" t="str">
        <f>HYPERLINK("https://github.com/cgeo/cgeo", "show")</f>
        <v>show</v>
      </c>
      <c r="H5768" t="str">
        <f>HYPERLINK("https://github.com/cgeo/cgeo/releases", "show")</f>
        <v>show</v>
      </c>
      <c r="I5768">
        <v>1</v>
      </c>
      <c r="J5768">
        <v>1</v>
      </c>
      <c r="K5768">
        <v>0</v>
      </c>
      <c r="L5768">
        <v>0</v>
      </c>
      <c r="M5768" t="s">
        <v>48</v>
      </c>
    </row>
    <row r="5769" spans="1:13" hidden="1" x14ac:dyDescent="0.15">
      <c r="A5769" t="s">
        <v>18142</v>
      </c>
      <c r="B5769" t="s">
        <v>18143</v>
      </c>
      <c r="C5769" t="s">
        <v>18144</v>
      </c>
      <c r="D5769" t="s">
        <v>18123</v>
      </c>
      <c r="E5769">
        <v>0</v>
      </c>
      <c r="F5769" t="str">
        <f>HYPERLINK("https://github.com/Anuken/Mindustry/issues/3814", "show")</f>
        <v>show</v>
      </c>
      <c r="G5769" t="str">
        <f t="shared" ref="G5769:G5774" si="18">HYPERLINK("https://github.com/Anuken/Mindustry", "show")</f>
        <v>show</v>
      </c>
      <c r="H5769" t="str">
        <f t="shared" ref="H5769:H5774" si="19">HYPERLINK("https://github.com/Anuken/Mindustry/releases", "show")</f>
        <v>show</v>
      </c>
      <c r="I5769">
        <v>1</v>
      </c>
      <c r="J5769">
        <v>1</v>
      </c>
      <c r="K5769">
        <v>0</v>
      </c>
      <c r="L5769">
        <v>0</v>
      </c>
      <c r="M5769" t="s">
        <v>48</v>
      </c>
    </row>
    <row r="5770" spans="1:13" hidden="1" x14ac:dyDescent="0.15">
      <c r="A5770" t="s">
        <v>18145</v>
      </c>
      <c r="B5770" t="s">
        <v>18146</v>
      </c>
      <c r="C5770" t="s">
        <v>18147</v>
      </c>
      <c r="D5770" t="s">
        <v>18123</v>
      </c>
      <c r="E5770">
        <v>0</v>
      </c>
      <c r="F5770" t="str">
        <f>HYPERLINK("https://github.com/Anuken/Mindustry/issues/3813", "show")</f>
        <v>show</v>
      </c>
      <c r="G5770" t="str">
        <f t="shared" si="18"/>
        <v>show</v>
      </c>
      <c r="H5770" t="str">
        <f t="shared" si="19"/>
        <v>show</v>
      </c>
      <c r="I5770">
        <v>1</v>
      </c>
      <c r="J5770">
        <v>0</v>
      </c>
      <c r="K5770">
        <v>0</v>
      </c>
      <c r="L5770">
        <v>0</v>
      </c>
      <c r="M5770" t="s">
        <v>17</v>
      </c>
    </row>
    <row r="5771" spans="1:13" x14ac:dyDescent="0.15">
      <c r="A5771" t="s">
        <v>18148</v>
      </c>
      <c r="B5771" t="s">
        <v>18149</v>
      </c>
      <c r="C5771" t="s">
        <v>18150</v>
      </c>
      <c r="D5771" t="s">
        <v>18123</v>
      </c>
      <c r="E5771">
        <v>0</v>
      </c>
      <c r="F5771" t="str">
        <f>HYPERLINK("https://github.com/Anuken/Mindustry/issues/3812", "show")</f>
        <v>show</v>
      </c>
      <c r="G5771" t="str">
        <f t="shared" si="18"/>
        <v>show</v>
      </c>
      <c r="H5771" t="str">
        <f t="shared" si="19"/>
        <v>show</v>
      </c>
      <c r="I5771">
        <v>0</v>
      </c>
      <c r="J5771">
        <v>1</v>
      </c>
      <c r="K5771">
        <v>0</v>
      </c>
      <c r="L5771">
        <v>0</v>
      </c>
      <c r="M5771" t="s">
        <v>139</v>
      </c>
    </row>
    <row r="5772" spans="1:13" hidden="1" x14ac:dyDescent="0.15">
      <c r="A5772" t="s">
        <v>18151</v>
      </c>
      <c r="B5772" t="s">
        <v>18152</v>
      </c>
      <c r="C5772" t="s">
        <v>18153</v>
      </c>
      <c r="D5772" t="s">
        <v>18154</v>
      </c>
      <c r="E5772">
        <v>0</v>
      </c>
      <c r="F5772" t="str">
        <f>HYPERLINK("https://github.com/Anuken/Mindustry/issues/3810", "show")</f>
        <v>show</v>
      </c>
      <c r="G5772" t="str">
        <f t="shared" si="18"/>
        <v>show</v>
      </c>
      <c r="H5772" t="str">
        <f t="shared" si="19"/>
        <v>show</v>
      </c>
      <c r="I5772">
        <v>0</v>
      </c>
      <c r="J5772">
        <v>1</v>
      </c>
      <c r="K5772">
        <v>0</v>
      </c>
      <c r="L5772">
        <v>1</v>
      </c>
      <c r="M5772" t="s">
        <v>1732</v>
      </c>
    </row>
    <row r="5773" spans="1:13" hidden="1" x14ac:dyDescent="0.15">
      <c r="A5773" t="s">
        <v>18155</v>
      </c>
      <c r="B5773" t="s">
        <v>18156</v>
      </c>
      <c r="C5773" t="s">
        <v>18157</v>
      </c>
      <c r="D5773" t="s">
        <v>18154</v>
      </c>
      <c r="E5773">
        <v>0</v>
      </c>
      <c r="F5773" t="str">
        <f>HYPERLINK("https://github.com/Anuken/Mindustry/issues/3808", "show")</f>
        <v>show</v>
      </c>
      <c r="G5773" t="str">
        <f t="shared" si="18"/>
        <v>show</v>
      </c>
      <c r="H5773" t="str">
        <f t="shared" si="19"/>
        <v>show</v>
      </c>
      <c r="I5773">
        <v>1</v>
      </c>
      <c r="J5773">
        <v>0</v>
      </c>
      <c r="K5773">
        <v>1</v>
      </c>
      <c r="L5773">
        <v>0</v>
      </c>
      <c r="M5773" t="s">
        <v>64</v>
      </c>
    </row>
    <row r="5774" spans="1:13" hidden="1" x14ac:dyDescent="0.15">
      <c r="A5774" t="s">
        <v>18158</v>
      </c>
      <c r="B5774" t="s">
        <v>18159</v>
      </c>
      <c r="C5774" t="s">
        <v>18160</v>
      </c>
      <c r="D5774" t="s">
        <v>18154</v>
      </c>
      <c r="E5774">
        <v>0</v>
      </c>
      <c r="F5774" t="str">
        <f>HYPERLINK("https://github.com/Anuken/Mindustry/issues/3807", "show")</f>
        <v>show</v>
      </c>
      <c r="G5774" t="str">
        <f t="shared" si="18"/>
        <v>show</v>
      </c>
      <c r="H5774" t="str">
        <f t="shared" si="19"/>
        <v>show</v>
      </c>
      <c r="I5774">
        <v>0</v>
      </c>
      <c r="J5774">
        <v>0</v>
      </c>
      <c r="K5774">
        <v>0</v>
      </c>
      <c r="L5774">
        <v>0</v>
      </c>
      <c r="M5774" t="s">
        <v>43</v>
      </c>
    </row>
    <row r="5775" spans="1:13" x14ac:dyDescent="0.15">
      <c r="A5775" t="s">
        <v>18161</v>
      </c>
      <c r="B5775" t="s">
        <v>18162</v>
      </c>
      <c r="C5775" t="s">
        <v>18163</v>
      </c>
      <c r="D5775" t="s">
        <v>18154</v>
      </c>
      <c r="E5775">
        <v>1</v>
      </c>
      <c r="F5775" t="str">
        <f>HYPERLINK("https://github.com/TeamNewPipe/NewPipe/issues/5103", "show")</f>
        <v>show</v>
      </c>
      <c r="G5775" t="str">
        <f>HYPERLINK("https://github.com/TeamNewPipe/NewPipe", "show")</f>
        <v>show</v>
      </c>
      <c r="H5775" t="str">
        <f>HYPERLINK("https://github.com/TeamNewPipe/NewPipe/releases", "show")</f>
        <v>show</v>
      </c>
      <c r="I5775">
        <v>0</v>
      </c>
      <c r="J5775">
        <v>1</v>
      </c>
      <c r="K5775">
        <v>0</v>
      </c>
      <c r="L5775">
        <v>0</v>
      </c>
      <c r="M5775" t="s">
        <v>139</v>
      </c>
    </row>
    <row r="5776" spans="1:13" hidden="1" x14ac:dyDescent="0.15">
      <c r="A5776" t="s">
        <v>18164</v>
      </c>
      <c r="B5776" t="s">
        <v>18165</v>
      </c>
      <c r="C5776" t="s">
        <v>18166</v>
      </c>
      <c r="D5776" t="s">
        <v>18154</v>
      </c>
      <c r="E5776">
        <v>0</v>
      </c>
      <c r="F5776" t="str">
        <f>HYPERLINK("https://github.com/Anuken/Mindustry/issues/3805", "show")</f>
        <v>show</v>
      </c>
      <c r="G5776" t="str">
        <f>HYPERLINK("https://github.com/Anuken/Mindustry", "show")</f>
        <v>show</v>
      </c>
      <c r="H5776" t="str">
        <f>HYPERLINK("https://github.com/Anuken/Mindustry/releases", "show")</f>
        <v>show</v>
      </c>
      <c r="I5776">
        <v>1</v>
      </c>
      <c r="J5776">
        <v>1</v>
      </c>
      <c r="K5776">
        <v>0</v>
      </c>
      <c r="L5776">
        <v>0</v>
      </c>
      <c r="M5776" t="s">
        <v>48</v>
      </c>
    </row>
    <row r="5777" spans="1:13" hidden="1" x14ac:dyDescent="0.15">
      <c r="A5777" t="s">
        <v>18167</v>
      </c>
      <c r="B5777" t="s">
        <v>18168</v>
      </c>
      <c r="C5777" t="s">
        <v>18169</v>
      </c>
      <c r="D5777" t="s">
        <v>18154</v>
      </c>
      <c r="E5777">
        <v>0</v>
      </c>
      <c r="F5777" t="str">
        <f>HYPERLINK("https://github.com/Anuken/Mindustry/issues/3803", "show")</f>
        <v>show</v>
      </c>
      <c r="G5777" t="str">
        <f>HYPERLINK("https://github.com/Anuken/Mindustry", "show")</f>
        <v>show</v>
      </c>
      <c r="H5777" t="str">
        <f>HYPERLINK("https://github.com/Anuken/Mindustry/releases", "show")</f>
        <v>show</v>
      </c>
      <c r="I5777">
        <v>1</v>
      </c>
      <c r="J5777">
        <v>0</v>
      </c>
      <c r="K5777">
        <v>0</v>
      </c>
      <c r="L5777">
        <v>0</v>
      </c>
      <c r="M5777" t="s">
        <v>17</v>
      </c>
    </row>
    <row r="5778" spans="1:13" hidden="1" x14ac:dyDescent="0.15">
      <c r="A5778" t="s">
        <v>18170</v>
      </c>
      <c r="B5778" t="s">
        <v>18171</v>
      </c>
      <c r="C5778" t="s">
        <v>18172</v>
      </c>
      <c r="D5778" t="s">
        <v>18154</v>
      </c>
      <c r="E5778">
        <v>0</v>
      </c>
      <c r="F5778" t="str">
        <f>HYPERLINK("https://github.com/Anuken/Mindustry/issues/3802", "show")</f>
        <v>show</v>
      </c>
      <c r="G5778" t="str">
        <f>HYPERLINK("https://github.com/Anuken/Mindustry", "show")</f>
        <v>show</v>
      </c>
      <c r="H5778" t="str">
        <f>HYPERLINK("https://github.com/Anuken/Mindustry/releases", "show")</f>
        <v>show</v>
      </c>
      <c r="I5778">
        <v>1</v>
      </c>
      <c r="J5778">
        <v>1</v>
      </c>
      <c r="K5778">
        <v>0</v>
      </c>
      <c r="L5778">
        <v>0</v>
      </c>
      <c r="M5778" t="s">
        <v>48</v>
      </c>
    </row>
    <row r="5779" spans="1:13" hidden="1" x14ac:dyDescent="0.15">
      <c r="A5779" t="s">
        <v>18173</v>
      </c>
      <c r="B5779" t="s">
        <v>18174</v>
      </c>
      <c r="C5779" t="s">
        <v>18175</v>
      </c>
      <c r="D5779" t="s">
        <v>18154</v>
      </c>
      <c r="E5779">
        <v>0</v>
      </c>
      <c r="F5779" t="str">
        <f>HYPERLINK("https://github.com/Anuken/Mindustry/issues/3798", "show")</f>
        <v>show</v>
      </c>
      <c r="G5779" t="str">
        <f>HYPERLINK("https://github.com/Anuken/Mindustry", "show")</f>
        <v>show</v>
      </c>
      <c r="H5779" t="str">
        <f>HYPERLINK("https://github.com/Anuken/Mindustry/releases", "show")</f>
        <v>show</v>
      </c>
      <c r="I5779">
        <v>0</v>
      </c>
      <c r="J5779">
        <v>0</v>
      </c>
      <c r="K5779">
        <v>0</v>
      </c>
      <c r="L5779">
        <v>1</v>
      </c>
      <c r="M5779" t="s">
        <v>581</v>
      </c>
    </row>
    <row r="5780" spans="1:13" hidden="1" x14ac:dyDescent="0.15">
      <c r="A5780" t="s">
        <v>18176</v>
      </c>
      <c r="B5780" t="s">
        <v>18177</v>
      </c>
      <c r="C5780" t="s">
        <v>18178</v>
      </c>
      <c r="D5780" t="s">
        <v>18154</v>
      </c>
      <c r="E5780">
        <v>0</v>
      </c>
      <c r="F5780" t="str">
        <f>HYPERLINK("https://github.com/Anuken/Mindustry/issues/3797", "show")</f>
        <v>show</v>
      </c>
      <c r="G5780" t="str">
        <f>HYPERLINK("https://github.com/Anuken/Mindustry", "show")</f>
        <v>show</v>
      </c>
      <c r="H5780" t="str">
        <f>HYPERLINK("https://github.com/Anuken/Mindustry/releases", "show")</f>
        <v>show</v>
      </c>
      <c r="I5780">
        <v>1</v>
      </c>
      <c r="J5780">
        <v>1</v>
      </c>
      <c r="K5780">
        <v>0</v>
      </c>
      <c r="L5780">
        <v>0</v>
      </c>
      <c r="M5780" t="s">
        <v>48</v>
      </c>
    </row>
    <row r="5781" spans="1:13" hidden="1" x14ac:dyDescent="0.15">
      <c r="A5781" t="s">
        <v>18179</v>
      </c>
      <c r="B5781" t="s">
        <v>18180</v>
      </c>
      <c r="C5781" t="s">
        <v>18181</v>
      </c>
      <c r="D5781" t="s">
        <v>18154</v>
      </c>
      <c r="E5781">
        <v>1</v>
      </c>
      <c r="F5781" t="str">
        <f>HYPERLINK("https://github.com/cgeo/cgeo/issues/9493", "show")</f>
        <v>show</v>
      </c>
      <c r="G5781" t="str">
        <f>HYPERLINK("https://github.com/cgeo/cgeo", "show")</f>
        <v>show</v>
      </c>
      <c r="H5781" t="str">
        <f>HYPERLINK("https://github.com/cgeo/cgeo/releases", "show")</f>
        <v>show</v>
      </c>
      <c r="I5781">
        <v>1</v>
      </c>
      <c r="J5781">
        <v>0</v>
      </c>
      <c r="K5781">
        <v>1</v>
      </c>
      <c r="L5781">
        <v>0</v>
      </c>
      <c r="M5781" t="s">
        <v>64</v>
      </c>
    </row>
    <row r="5782" spans="1:13" hidden="1" x14ac:dyDescent="0.15">
      <c r="A5782" t="s">
        <v>18182</v>
      </c>
      <c r="B5782" t="s">
        <v>18183</v>
      </c>
      <c r="C5782" t="s">
        <v>18184</v>
      </c>
      <c r="D5782" t="s">
        <v>18185</v>
      </c>
      <c r="E5782">
        <v>0</v>
      </c>
      <c r="F5782" t="str">
        <f>HYPERLINK("https://github.com/Anuken/Mindustry/issues/3782", "show")</f>
        <v>show</v>
      </c>
      <c r="G5782" t="str">
        <f>HYPERLINK("https://github.com/Anuken/Mindustry", "show")</f>
        <v>show</v>
      </c>
      <c r="H5782" t="str">
        <f>HYPERLINK("https://github.com/Anuken/Mindustry/releases", "show")</f>
        <v>show</v>
      </c>
      <c r="I5782">
        <v>0</v>
      </c>
      <c r="J5782">
        <v>0</v>
      </c>
      <c r="K5782">
        <v>0</v>
      </c>
      <c r="L5782">
        <v>0</v>
      </c>
      <c r="M5782" t="s">
        <v>43</v>
      </c>
    </row>
    <row r="5783" spans="1:13" hidden="1" x14ac:dyDescent="0.15">
      <c r="A5783" t="s">
        <v>18186</v>
      </c>
      <c r="B5783" t="s">
        <v>18187</v>
      </c>
      <c r="C5783" t="s">
        <v>18188</v>
      </c>
      <c r="D5783" t="s">
        <v>18185</v>
      </c>
      <c r="E5783">
        <v>18</v>
      </c>
      <c r="F5783" t="str">
        <f>HYPERLINK("https://github.com/nextcloud/android/issues/7607", "show")</f>
        <v>show</v>
      </c>
      <c r="G5783" t="str">
        <f>HYPERLINK("https://github.com/nextcloud/android", "show")</f>
        <v>show</v>
      </c>
      <c r="H5783" t="str">
        <f>HYPERLINK("https://github.com/nextcloud/android/releases", "show")</f>
        <v>show</v>
      </c>
      <c r="I5783">
        <v>1</v>
      </c>
      <c r="J5783">
        <v>1</v>
      </c>
      <c r="K5783">
        <v>1</v>
      </c>
      <c r="L5783">
        <v>0</v>
      </c>
      <c r="M5783" t="s">
        <v>59</v>
      </c>
    </row>
    <row r="5784" spans="1:13" hidden="1" x14ac:dyDescent="0.15">
      <c r="A5784" t="s">
        <v>18189</v>
      </c>
      <c r="B5784" t="s">
        <v>18190</v>
      </c>
      <c r="C5784" t="s">
        <v>18191</v>
      </c>
      <c r="D5784" t="s">
        <v>18185</v>
      </c>
      <c r="E5784">
        <v>0</v>
      </c>
      <c r="F5784" t="str">
        <f>HYPERLINK("https://github.com/Anuken/Mindustry/issues/3778", "show")</f>
        <v>show</v>
      </c>
      <c r="G5784" t="str">
        <f>HYPERLINK("https://github.com/Anuken/Mindustry", "show")</f>
        <v>show</v>
      </c>
      <c r="H5784" t="str">
        <f>HYPERLINK("https://github.com/Anuken/Mindustry/releases", "show")</f>
        <v>show</v>
      </c>
      <c r="I5784">
        <v>0</v>
      </c>
      <c r="J5784">
        <v>0</v>
      </c>
      <c r="K5784">
        <v>0</v>
      </c>
      <c r="L5784">
        <v>0</v>
      </c>
      <c r="M5784" t="s">
        <v>43</v>
      </c>
    </row>
    <row r="5785" spans="1:13" hidden="1" x14ac:dyDescent="0.15">
      <c r="A5785" t="s">
        <v>18192</v>
      </c>
      <c r="B5785" t="s">
        <v>18193</v>
      </c>
      <c r="C5785" t="s">
        <v>18194</v>
      </c>
      <c r="D5785" t="s">
        <v>18185</v>
      </c>
      <c r="E5785">
        <v>0</v>
      </c>
      <c r="F5785" t="str">
        <f>HYPERLINK("https://github.com/Anuken/Mindustry/issues/3774", "show")</f>
        <v>show</v>
      </c>
      <c r="G5785" t="str">
        <f>HYPERLINK("https://github.com/Anuken/Mindustry", "show")</f>
        <v>show</v>
      </c>
      <c r="H5785" t="str">
        <f>HYPERLINK("https://github.com/Anuken/Mindustry/releases", "show")</f>
        <v>show</v>
      </c>
      <c r="I5785">
        <v>1</v>
      </c>
      <c r="J5785">
        <v>0</v>
      </c>
      <c r="K5785">
        <v>0</v>
      </c>
      <c r="L5785">
        <v>0</v>
      </c>
      <c r="M5785" t="s">
        <v>17</v>
      </c>
    </row>
    <row r="5786" spans="1:13" hidden="1" x14ac:dyDescent="0.15">
      <c r="A5786" t="s">
        <v>18195</v>
      </c>
      <c r="B5786" t="s">
        <v>18196</v>
      </c>
      <c r="C5786" t="s">
        <v>18197</v>
      </c>
      <c r="D5786" t="s">
        <v>18185</v>
      </c>
      <c r="E5786">
        <v>1</v>
      </c>
      <c r="F5786" t="str">
        <f>HYPERLINK("https://github.com/Ninjaman494/Hanji-Android-App/issues/46", "show")</f>
        <v>show</v>
      </c>
      <c r="G5786" t="str">
        <f>HYPERLINK("https://github.com/Ninjaman494/Hanji-Android-App", "show")</f>
        <v>show</v>
      </c>
      <c r="H5786" t="str">
        <f>HYPERLINK("https://github.com/Ninjaman494/Hanji-Android-App/releases", "show")</f>
        <v>show</v>
      </c>
      <c r="I5786">
        <v>1</v>
      </c>
      <c r="J5786">
        <v>0</v>
      </c>
      <c r="K5786">
        <v>0</v>
      </c>
      <c r="L5786">
        <v>0</v>
      </c>
      <c r="M5786" t="s">
        <v>17</v>
      </c>
    </row>
    <row r="5787" spans="1:13" hidden="1" x14ac:dyDescent="0.15">
      <c r="A5787" t="s">
        <v>18198</v>
      </c>
      <c r="B5787" t="s">
        <v>18199</v>
      </c>
      <c r="C5787" t="s">
        <v>18200</v>
      </c>
      <c r="D5787" t="s">
        <v>18185</v>
      </c>
      <c r="E5787">
        <v>2</v>
      </c>
      <c r="F5787" t="str">
        <f>HYPERLINK("https://github.com/Ninjaman494/Hanji-Android-App/issues/45", "show")</f>
        <v>show</v>
      </c>
      <c r="G5787" t="str">
        <f>HYPERLINK("https://github.com/Ninjaman494/Hanji-Android-App", "show")</f>
        <v>show</v>
      </c>
      <c r="H5787" t="str">
        <f>HYPERLINK("https://github.com/Ninjaman494/Hanji-Android-App/releases", "show")</f>
        <v>show</v>
      </c>
      <c r="I5787">
        <v>1</v>
      </c>
      <c r="J5787">
        <v>0</v>
      </c>
      <c r="K5787">
        <v>0</v>
      </c>
      <c r="L5787">
        <v>0</v>
      </c>
      <c r="M5787" t="s">
        <v>17</v>
      </c>
    </row>
    <row r="5788" spans="1:13" hidden="1" x14ac:dyDescent="0.15">
      <c r="A5788" t="s">
        <v>18201</v>
      </c>
      <c r="B5788" t="s">
        <v>18202</v>
      </c>
      <c r="C5788" t="s">
        <v>18203</v>
      </c>
      <c r="D5788" t="s">
        <v>18185</v>
      </c>
      <c r="E5788">
        <v>12</v>
      </c>
      <c r="F5788" t="str">
        <f>HYPERLINK("https://github.com/nextcloud/android/issues/7600", "show")</f>
        <v>show</v>
      </c>
      <c r="G5788" t="str">
        <f>HYPERLINK("https://github.com/nextcloud/android", "show")</f>
        <v>show</v>
      </c>
      <c r="H5788" t="str">
        <f>HYPERLINK("https://github.com/nextcloud/android/releases", "show")</f>
        <v>show</v>
      </c>
      <c r="I5788">
        <v>1</v>
      </c>
      <c r="J5788">
        <v>0</v>
      </c>
      <c r="K5788">
        <v>1</v>
      </c>
      <c r="L5788">
        <v>0</v>
      </c>
      <c r="M5788" t="s">
        <v>64</v>
      </c>
    </row>
    <row r="5789" spans="1:13" hidden="1" x14ac:dyDescent="0.15">
      <c r="A5789" t="s">
        <v>18204</v>
      </c>
      <c r="B5789" t="s">
        <v>18205</v>
      </c>
      <c r="C5789" t="s">
        <v>18206</v>
      </c>
      <c r="D5789" t="s">
        <v>18185</v>
      </c>
      <c r="E5789">
        <v>0</v>
      </c>
      <c r="F5789" t="str">
        <f>HYPERLINK("https://github.com/Anuken/Mindustry/issues/3771", "show")</f>
        <v>show</v>
      </c>
      <c r="G5789" t="str">
        <f t="shared" ref="G5789:G5808" si="20">HYPERLINK("https://github.com/Anuken/Mindustry", "show")</f>
        <v>show</v>
      </c>
      <c r="H5789" t="str">
        <f t="shared" ref="H5789:H5808" si="21">HYPERLINK("https://github.com/Anuken/Mindustry/releases", "show")</f>
        <v>show</v>
      </c>
      <c r="I5789">
        <v>0</v>
      </c>
      <c r="J5789">
        <v>0</v>
      </c>
      <c r="K5789">
        <v>0</v>
      </c>
      <c r="L5789">
        <v>1</v>
      </c>
      <c r="M5789" t="s">
        <v>581</v>
      </c>
    </row>
    <row r="5790" spans="1:13" hidden="1" x14ac:dyDescent="0.15">
      <c r="A5790" t="s">
        <v>18207</v>
      </c>
      <c r="B5790" t="s">
        <v>18208</v>
      </c>
      <c r="C5790" t="s">
        <v>18209</v>
      </c>
      <c r="D5790" t="s">
        <v>18185</v>
      </c>
      <c r="E5790">
        <v>0</v>
      </c>
      <c r="F5790" t="str">
        <f>HYPERLINK("https://github.com/Anuken/Mindustry/issues/3770", "show")</f>
        <v>show</v>
      </c>
      <c r="G5790" t="str">
        <f t="shared" si="20"/>
        <v>show</v>
      </c>
      <c r="H5790" t="str">
        <f t="shared" si="21"/>
        <v>show</v>
      </c>
      <c r="I5790">
        <v>1</v>
      </c>
      <c r="J5790">
        <v>1</v>
      </c>
      <c r="K5790">
        <v>0</v>
      </c>
      <c r="L5790">
        <v>1</v>
      </c>
      <c r="M5790" t="s">
        <v>1894</v>
      </c>
    </row>
    <row r="5791" spans="1:13" hidden="1" x14ac:dyDescent="0.15">
      <c r="A5791" t="s">
        <v>18210</v>
      </c>
      <c r="B5791" t="s">
        <v>18211</v>
      </c>
      <c r="C5791" t="s">
        <v>18212</v>
      </c>
      <c r="D5791" t="s">
        <v>18185</v>
      </c>
      <c r="E5791">
        <v>0</v>
      </c>
      <c r="F5791" t="str">
        <f>HYPERLINK("https://github.com/Anuken/Mindustry/issues/3769", "show")</f>
        <v>show</v>
      </c>
      <c r="G5791" t="str">
        <f t="shared" si="20"/>
        <v>show</v>
      </c>
      <c r="H5791" t="str">
        <f t="shared" si="21"/>
        <v>show</v>
      </c>
      <c r="I5791">
        <v>1</v>
      </c>
      <c r="J5791">
        <v>1</v>
      </c>
      <c r="K5791">
        <v>0</v>
      </c>
      <c r="L5791">
        <v>1</v>
      </c>
      <c r="M5791" t="s">
        <v>1894</v>
      </c>
    </row>
    <row r="5792" spans="1:13" hidden="1" x14ac:dyDescent="0.15">
      <c r="A5792" t="s">
        <v>18213</v>
      </c>
      <c r="B5792" t="s">
        <v>18214</v>
      </c>
      <c r="C5792" t="s">
        <v>18215</v>
      </c>
      <c r="D5792" t="s">
        <v>18185</v>
      </c>
      <c r="E5792">
        <v>0</v>
      </c>
      <c r="F5792" t="str">
        <f>HYPERLINK("https://github.com/Anuken/Mindustry/issues/3763", "show")</f>
        <v>show</v>
      </c>
      <c r="G5792" t="str">
        <f t="shared" si="20"/>
        <v>show</v>
      </c>
      <c r="H5792" t="str">
        <f t="shared" si="21"/>
        <v>show</v>
      </c>
      <c r="I5792">
        <v>1</v>
      </c>
      <c r="J5792">
        <v>1</v>
      </c>
      <c r="K5792">
        <v>0</v>
      </c>
      <c r="L5792">
        <v>0</v>
      </c>
      <c r="M5792" t="s">
        <v>48</v>
      </c>
    </row>
    <row r="5793" spans="1:13" hidden="1" x14ac:dyDescent="0.15">
      <c r="A5793" t="s">
        <v>18216</v>
      </c>
      <c r="B5793" t="s">
        <v>18217</v>
      </c>
      <c r="C5793" t="s">
        <v>18218</v>
      </c>
      <c r="D5793" t="s">
        <v>18185</v>
      </c>
      <c r="E5793">
        <v>0</v>
      </c>
      <c r="F5793" t="str">
        <f>HYPERLINK("https://github.com/Anuken/Mindustry/issues/3761", "show")</f>
        <v>show</v>
      </c>
      <c r="G5793" t="str">
        <f t="shared" si="20"/>
        <v>show</v>
      </c>
      <c r="H5793" t="str">
        <f t="shared" si="21"/>
        <v>show</v>
      </c>
      <c r="I5793">
        <v>1</v>
      </c>
      <c r="J5793">
        <v>1</v>
      </c>
      <c r="K5793">
        <v>0</v>
      </c>
      <c r="L5793">
        <v>0</v>
      </c>
      <c r="M5793" t="s">
        <v>48</v>
      </c>
    </row>
    <row r="5794" spans="1:13" hidden="1" x14ac:dyDescent="0.15">
      <c r="A5794" t="s">
        <v>18219</v>
      </c>
      <c r="B5794" t="s">
        <v>18220</v>
      </c>
      <c r="C5794" t="s">
        <v>18221</v>
      </c>
      <c r="D5794" t="s">
        <v>18185</v>
      </c>
      <c r="E5794">
        <v>0</v>
      </c>
      <c r="F5794" t="str">
        <f>HYPERLINK("https://github.com/Anuken/Mindustry/issues/3760", "show")</f>
        <v>show</v>
      </c>
      <c r="G5794" t="str">
        <f t="shared" si="20"/>
        <v>show</v>
      </c>
      <c r="H5794" t="str">
        <f t="shared" si="21"/>
        <v>show</v>
      </c>
      <c r="I5794">
        <v>0</v>
      </c>
      <c r="J5794">
        <v>0</v>
      </c>
      <c r="K5794">
        <v>0</v>
      </c>
      <c r="L5794">
        <v>1</v>
      </c>
      <c r="M5794" t="s">
        <v>581</v>
      </c>
    </row>
    <row r="5795" spans="1:13" hidden="1" x14ac:dyDescent="0.15">
      <c r="A5795" t="s">
        <v>18222</v>
      </c>
      <c r="B5795" t="s">
        <v>18223</v>
      </c>
      <c r="C5795" t="s">
        <v>18224</v>
      </c>
      <c r="D5795" t="s">
        <v>18225</v>
      </c>
      <c r="E5795">
        <v>0</v>
      </c>
      <c r="F5795" t="str">
        <f>HYPERLINK("https://github.com/Anuken/Mindustry/issues/3758", "show")</f>
        <v>show</v>
      </c>
      <c r="G5795" t="str">
        <f t="shared" si="20"/>
        <v>show</v>
      </c>
      <c r="H5795" t="str">
        <f t="shared" si="21"/>
        <v>show</v>
      </c>
      <c r="I5795">
        <v>0</v>
      </c>
      <c r="J5795">
        <v>0</v>
      </c>
      <c r="K5795">
        <v>0</v>
      </c>
      <c r="L5795">
        <v>0</v>
      </c>
      <c r="M5795" t="s">
        <v>43</v>
      </c>
    </row>
    <row r="5796" spans="1:13" hidden="1" x14ac:dyDescent="0.15">
      <c r="A5796" t="s">
        <v>18226</v>
      </c>
      <c r="B5796" t="s">
        <v>18227</v>
      </c>
      <c r="C5796" t="s">
        <v>18228</v>
      </c>
      <c r="D5796" t="s">
        <v>18225</v>
      </c>
      <c r="E5796">
        <v>1</v>
      </c>
      <c r="F5796" t="str">
        <f>HYPERLINK("https://github.com/Anuken/Mindustry/issues/3756", "show")</f>
        <v>show</v>
      </c>
      <c r="G5796" t="str">
        <f t="shared" si="20"/>
        <v>show</v>
      </c>
      <c r="H5796" t="str">
        <f t="shared" si="21"/>
        <v>show</v>
      </c>
      <c r="I5796">
        <v>1</v>
      </c>
      <c r="J5796">
        <v>0</v>
      </c>
      <c r="K5796">
        <v>0</v>
      </c>
      <c r="L5796">
        <v>0</v>
      </c>
      <c r="M5796" t="s">
        <v>17</v>
      </c>
    </row>
    <row r="5797" spans="1:13" hidden="1" x14ac:dyDescent="0.15">
      <c r="A5797" t="s">
        <v>18229</v>
      </c>
      <c r="B5797" t="s">
        <v>18230</v>
      </c>
      <c r="C5797" t="s">
        <v>18231</v>
      </c>
      <c r="D5797" t="s">
        <v>18225</v>
      </c>
      <c r="E5797">
        <v>1</v>
      </c>
      <c r="F5797" t="str">
        <f>HYPERLINK("https://github.com/Anuken/Mindustry/issues/3754", "show")</f>
        <v>show</v>
      </c>
      <c r="G5797" t="str">
        <f t="shared" si="20"/>
        <v>show</v>
      </c>
      <c r="H5797" t="str">
        <f t="shared" si="21"/>
        <v>show</v>
      </c>
      <c r="I5797">
        <v>0</v>
      </c>
      <c r="J5797">
        <v>0</v>
      </c>
      <c r="K5797">
        <v>0</v>
      </c>
      <c r="L5797">
        <v>0</v>
      </c>
      <c r="M5797" t="s">
        <v>43</v>
      </c>
    </row>
    <row r="5798" spans="1:13" hidden="1" x14ac:dyDescent="0.15">
      <c r="A5798" t="s">
        <v>18232</v>
      </c>
      <c r="B5798" t="s">
        <v>18233</v>
      </c>
      <c r="C5798" t="s">
        <v>18234</v>
      </c>
      <c r="D5798" t="s">
        <v>18225</v>
      </c>
      <c r="E5798">
        <v>0</v>
      </c>
      <c r="F5798" t="str">
        <f>HYPERLINK("https://github.com/Anuken/Mindustry/issues/3752", "show")</f>
        <v>show</v>
      </c>
      <c r="G5798" t="str">
        <f t="shared" si="20"/>
        <v>show</v>
      </c>
      <c r="H5798" t="str">
        <f t="shared" si="21"/>
        <v>show</v>
      </c>
      <c r="I5798">
        <v>1</v>
      </c>
      <c r="J5798">
        <v>1</v>
      </c>
      <c r="K5798">
        <v>0</v>
      </c>
      <c r="L5798">
        <v>0</v>
      </c>
      <c r="M5798" t="s">
        <v>48</v>
      </c>
    </row>
    <row r="5799" spans="1:13" hidden="1" x14ac:dyDescent="0.15">
      <c r="A5799" t="s">
        <v>18235</v>
      </c>
      <c r="B5799" t="s">
        <v>18236</v>
      </c>
      <c r="C5799" t="s">
        <v>18237</v>
      </c>
      <c r="D5799" t="s">
        <v>18225</v>
      </c>
      <c r="E5799">
        <v>0</v>
      </c>
      <c r="F5799" t="str">
        <f>HYPERLINK("https://github.com/Anuken/Mindustry/issues/3750", "show")</f>
        <v>show</v>
      </c>
      <c r="G5799" t="str">
        <f t="shared" si="20"/>
        <v>show</v>
      </c>
      <c r="H5799" t="str">
        <f t="shared" si="21"/>
        <v>show</v>
      </c>
      <c r="I5799">
        <v>0</v>
      </c>
      <c r="J5799">
        <v>0</v>
      </c>
      <c r="K5799">
        <v>0</v>
      </c>
      <c r="L5799">
        <v>1</v>
      </c>
      <c r="M5799" t="s">
        <v>581</v>
      </c>
    </row>
    <row r="5800" spans="1:13" hidden="1" x14ac:dyDescent="0.15">
      <c r="A5800" t="s">
        <v>18238</v>
      </c>
      <c r="B5800" t="s">
        <v>18239</v>
      </c>
      <c r="C5800" t="s">
        <v>18240</v>
      </c>
      <c r="D5800" t="s">
        <v>18225</v>
      </c>
      <c r="E5800">
        <v>0</v>
      </c>
      <c r="F5800" t="str">
        <f>HYPERLINK("https://github.com/Anuken/Mindustry/issues/3749", "show")</f>
        <v>show</v>
      </c>
      <c r="G5800" t="str">
        <f t="shared" si="20"/>
        <v>show</v>
      </c>
      <c r="H5800" t="str">
        <f t="shared" si="21"/>
        <v>show</v>
      </c>
      <c r="I5800">
        <v>0</v>
      </c>
      <c r="J5800">
        <v>0</v>
      </c>
      <c r="K5800">
        <v>0</v>
      </c>
      <c r="L5800">
        <v>0</v>
      </c>
      <c r="M5800" t="s">
        <v>43</v>
      </c>
    </row>
    <row r="5801" spans="1:13" hidden="1" x14ac:dyDescent="0.15">
      <c r="A5801" t="s">
        <v>18241</v>
      </c>
      <c r="B5801" t="s">
        <v>18242</v>
      </c>
      <c r="C5801" t="s">
        <v>18243</v>
      </c>
      <c r="D5801" t="s">
        <v>18225</v>
      </c>
      <c r="E5801">
        <v>0</v>
      </c>
      <c r="F5801" t="str">
        <f>HYPERLINK("https://github.com/Anuken/Mindustry/issues/3748", "show")</f>
        <v>show</v>
      </c>
      <c r="G5801" t="str">
        <f t="shared" si="20"/>
        <v>show</v>
      </c>
      <c r="H5801" t="str">
        <f t="shared" si="21"/>
        <v>show</v>
      </c>
      <c r="I5801">
        <v>0</v>
      </c>
      <c r="J5801">
        <v>0</v>
      </c>
      <c r="K5801">
        <v>0</v>
      </c>
      <c r="L5801">
        <v>0</v>
      </c>
      <c r="M5801" t="s">
        <v>43</v>
      </c>
    </row>
    <row r="5802" spans="1:13" hidden="1" x14ac:dyDescent="0.15">
      <c r="A5802" t="s">
        <v>18244</v>
      </c>
      <c r="B5802" t="s">
        <v>18245</v>
      </c>
      <c r="C5802" t="s">
        <v>18246</v>
      </c>
      <c r="D5802" t="s">
        <v>18225</v>
      </c>
      <c r="E5802">
        <v>0</v>
      </c>
      <c r="F5802" t="str">
        <f>HYPERLINK("https://github.com/Anuken/Mindustry/issues/3746", "show")</f>
        <v>show</v>
      </c>
      <c r="G5802" t="str">
        <f t="shared" si="20"/>
        <v>show</v>
      </c>
      <c r="H5802" t="str">
        <f t="shared" si="21"/>
        <v>show</v>
      </c>
      <c r="I5802">
        <v>0</v>
      </c>
      <c r="J5802">
        <v>0</v>
      </c>
      <c r="K5802">
        <v>0</v>
      </c>
      <c r="L5802">
        <v>0</v>
      </c>
      <c r="M5802" t="s">
        <v>43</v>
      </c>
    </row>
    <row r="5803" spans="1:13" hidden="1" x14ac:dyDescent="0.15">
      <c r="A5803" t="s">
        <v>18247</v>
      </c>
      <c r="B5803" t="s">
        <v>18248</v>
      </c>
      <c r="C5803" t="s">
        <v>18249</v>
      </c>
      <c r="D5803" t="s">
        <v>18225</v>
      </c>
      <c r="E5803">
        <v>0</v>
      </c>
      <c r="F5803" t="str">
        <f>HYPERLINK("https://github.com/Anuken/Mindustry/issues/3745", "show")</f>
        <v>show</v>
      </c>
      <c r="G5803" t="str">
        <f t="shared" si="20"/>
        <v>show</v>
      </c>
      <c r="H5803" t="str">
        <f t="shared" si="21"/>
        <v>show</v>
      </c>
      <c r="I5803">
        <v>0</v>
      </c>
      <c r="J5803">
        <v>0</v>
      </c>
      <c r="K5803">
        <v>0</v>
      </c>
      <c r="L5803">
        <v>0</v>
      </c>
      <c r="M5803" t="s">
        <v>43</v>
      </c>
    </row>
    <row r="5804" spans="1:13" hidden="1" x14ac:dyDescent="0.15">
      <c r="A5804" t="s">
        <v>18250</v>
      </c>
      <c r="B5804" t="s">
        <v>18251</v>
      </c>
      <c r="C5804" t="s">
        <v>18252</v>
      </c>
      <c r="D5804" t="s">
        <v>18225</v>
      </c>
      <c r="E5804">
        <v>0</v>
      </c>
      <c r="F5804" t="str">
        <f>HYPERLINK("https://github.com/Anuken/Mindustry/issues/3744", "show")</f>
        <v>show</v>
      </c>
      <c r="G5804" t="str">
        <f t="shared" si="20"/>
        <v>show</v>
      </c>
      <c r="H5804" t="str">
        <f t="shared" si="21"/>
        <v>show</v>
      </c>
      <c r="I5804">
        <v>1</v>
      </c>
      <c r="J5804">
        <v>1</v>
      </c>
      <c r="K5804">
        <v>1</v>
      </c>
      <c r="L5804">
        <v>0</v>
      </c>
      <c r="M5804" t="s">
        <v>59</v>
      </c>
    </row>
    <row r="5805" spans="1:13" hidden="1" x14ac:dyDescent="0.15">
      <c r="A5805" t="s">
        <v>18253</v>
      </c>
      <c r="B5805" t="s">
        <v>18254</v>
      </c>
      <c r="C5805" t="s">
        <v>18249</v>
      </c>
      <c r="D5805" t="s">
        <v>18225</v>
      </c>
      <c r="E5805">
        <v>0</v>
      </c>
      <c r="F5805" t="str">
        <f>HYPERLINK("https://github.com/Anuken/Mindustry/issues/3743", "show")</f>
        <v>show</v>
      </c>
      <c r="G5805" t="str">
        <f t="shared" si="20"/>
        <v>show</v>
      </c>
      <c r="H5805" t="str">
        <f t="shared" si="21"/>
        <v>show</v>
      </c>
      <c r="I5805">
        <v>0</v>
      </c>
      <c r="J5805">
        <v>0</v>
      </c>
      <c r="K5805">
        <v>0</v>
      </c>
      <c r="L5805">
        <v>0</v>
      </c>
      <c r="M5805" t="s">
        <v>43</v>
      </c>
    </row>
    <row r="5806" spans="1:13" hidden="1" x14ac:dyDescent="0.15">
      <c r="A5806" t="s">
        <v>18255</v>
      </c>
      <c r="B5806" t="s">
        <v>18256</v>
      </c>
      <c r="C5806" t="s">
        <v>18257</v>
      </c>
      <c r="D5806" t="s">
        <v>18225</v>
      </c>
      <c r="E5806">
        <v>0</v>
      </c>
      <c r="F5806" t="str">
        <f>HYPERLINK("https://github.com/Anuken/Mindustry/issues/3742", "show")</f>
        <v>show</v>
      </c>
      <c r="G5806" t="str">
        <f t="shared" si="20"/>
        <v>show</v>
      </c>
      <c r="H5806" t="str">
        <f t="shared" si="21"/>
        <v>show</v>
      </c>
      <c r="I5806">
        <v>0</v>
      </c>
      <c r="J5806">
        <v>0</v>
      </c>
      <c r="K5806">
        <v>0</v>
      </c>
      <c r="L5806">
        <v>0</v>
      </c>
      <c r="M5806" t="s">
        <v>43</v>
      </c>
    </row>
    <row r="5807" spans="1:13" hidden="1" x14ac:dyDescent="0.15">
      <c r="A5807" t="s">
        <v>18258</v>
      </c>
      <c r="B5807" t="s">
        <v>18259</v>
      </c>
      <c r="C5807" t="s">
        <v>18260</v>
      </c>
      <c r="D5807" t="s">
        <v>18225</v>
      </c>
      <c r="E5807">
        <v>0</v>
      </c>
      <c r="F5807" t="str">
        <f>HYPERLINK("https://github.com/Anuken/Mindustry/issues/3741", "show")</f>
        <v>show</v>
      </c>
      <c r="G5807" t="str">
        <f t="shared" si="20"/>
        <v>show</v>
      </c>
      <c r="H5807" t="str">
        <f t="shared" si="21"/>
        <v>show</v>
      </c>
      <c r="I5807">
        <v>0</v>
      </c>
      <c r="J5807">
        <v>0</v>
      </c>
      <c r="K5807">
        <v>0</v>
      </c>
      <c r="L5807">
        <v>1</v>
      </c>
      <c r="M5807" t="s">
        <v>581</v>
      </c>
    </row>
    <row r="5808" spans="1:13" hidden="1" x14ac:dyDescent="0.15">
      <c r="A5808" t="s">
        <v>18261</v>
      </c>
      <c r="B5808" t="s">
        <v>18262</v>
      </c>
      <c r="C5808" t="s">
        <v>18263</v>
      </c>
      <c r="D5808" t="s">
        <v>18225</v>
      </c>
      <c r="E5808">
        <v>0</v>
      </c>
      <c r="F5808" t="str">
        <f>HYPERLINK("https://github.com/Anuken/Mindustry/issues/3739", "show")</f>
        <v>show</v>
      </c>
      <c r="G5808" t="str">
        <f t="shared" si="20"/>
        <v>show</v>
      </c>
      <c r="H5808" t="str">
        <f t="shared" si="21"/>
        <v>show</v>
      </c>
      <c r="I5808">
        <v>0</v>
      </c>
      <c r="J5808">
        <v>0</v>
      </c>
      <c r="K5808">
        <v>0</v>
      </c>
      <c r="L5808">
        <v>1</v>
      </c>
      <c r="M5808" t="s">
        <v>581</v>
      </c>
    </row>
    <row r="5809" spans="1:13" hidden="1" x14ac:dyDescent="0.15">
      <c r="A5809" t="s">
        <v>18264</v>
      </c>
      <c r="B5809" t="s">
        <v>18265</v>
      </c>
      <c r="C5809" t="s">
        <v>18266</v>
      </c>
      <c r="D5809" t="s">
        <v>18225</v>
      </c>
      <c r="E5809">
        <v>47</v>
      </c>
      <c r="F5809" t="str">
        <f>HYPERLINK("https://github.com/tradle/react-native-udp/issues/147", "show")</f>
        <v>show</v>
      </c>
      <c r="G5809" t="str">
        <f>HYPERLINK("https://github.com/tradle/react-native-udp", "show")</f>
        <v>show</v>
      </c>
      <c r="H5809" t="str">
        <f>HYPERLINK("https://github.com/tradle/react-native-udp/releases", "show")</f>
        <v>show</v>
      </c>
      <c r="I5809">
        <v>1</v>
      </c>
      <c r="J5809">
        <v>0</v>
      </c>
      <c r="K5809">
        <v>1</v>
      </c>
      <c r="L5809">
        <v>0</v>
      </c>
      <c r="M5809" t="s">
        <v>64</v>
      </c>
    </row>
    <row r="5810" spans="1:13" hidden="1" x14ac:dyDescent="0.15">
      <c r="A5810" t="s">
        <v>18267</v>
      </c>
      <c r="B5810" t="s">
        <v>18268</v>
      </c>
      <c r="C5810" t="s">
        <v>18269</v>
      </c>
      <c r="D5810" t="s">
        <v>18225</v>
      </c>
      <c r="E5810">
        <v>0</v>
      </c>
      <c r="F5810" t="str">
        <f>HYPERLINK("https://github.com/Anuken/Mindustry/issues/3738", "show")</f>
        <v>show</v>
      </c>
      <c r="G5810" t="str">
        <f>HYPERLINK("https://github.com/Anuken/Mindustry", "show")</f>
        <v>show</v>
      </c>
      <c r="H5810" t="str">
        <f>HYPERLINK("https://github.com/Anuken/Mindustry/releases", "show")</f>
        <v>show</v>
      </c>
      <c r="I5810">
        <v>0</v>
      </c>
      <c r="J5810">
        <v>0</v>
      </c>
      <c r="K5810">
        <v>0</v>
      </c>
      <c r="L5810">
        <v>0</v>
      </c>
      <c r="M5810" t="s">
        <v>43</v>
      </c>
    </row>
    <row r="5811" spans="1:13" hidden="1" x14ac:dyDescent="0.15">
      <c r="A5811" t="s">
        <v>18270</v>
      </c>
      <c r="B5811" t="s">
        <v>18271</v>
      </c>
      <c r="C5811" t="s">
        <v>12185</v>
      </c>
      <c r="D5811" t="s">
        <v>18225</v>
      </c>
      <c r="E5811">
        <v>1</v>
      </c>
      <c r="F5811" t="str">
        <f>HYPERLINK("https://github.com/nextcloud/android/issues/7592", "show")</f>
        <v>show</v>
      </c>
      <c r="G5811" t="str">
        <f>HYPERLINK("https://github.com/nextcloud/android", "show")</f>
        <v>show</v>
      </c>
      <c r="H5811" t="str">
        <f>HYPERLINK("https://github.com/nextcloud/android/releases", "show")</f>
        <v>show</v>
      </c>
      <c r="I5811">
        <v>1</v>
      </c>
      <c r="J5811">
        <v>0</v>
      </c>
      <c r="K5811">
        <v>1</v>
      </c>
      <c r="L5811">
        <v>0</v>
      </c>
      <c r="M5811" t="s">
        <v>64</v>
      </c>
    </row>
    <row r="5812" spans="1:13" hidden="1" x14ac:dyDescent="0.15">
      <c r="A5812" t="s">
        <v>18272</v>
      </c>
      <c r="B5812" t="s">
        <v>4272</v>
      </c>
      <c r="C5812" t="s">
        <v>18273</v>
      </c>
      <c r="D5812" t="s">
        <v>18225</v>
      </c>
      <c r="E5812">
        <v>2</v>
      </c>
      <c r="F5812" t="str">
        <f>HYPERLINK("https://github.com/stefan-niedermann/nextcloud-notes/issues/995", "show")</f>
        <v>show</v>
      </c>
      <c r="G5812" t="str">
        <f>HYPERLINK("https://github.com/stefan-niedermann/nextcloud-notes", "show")</f>
        <v>show</v>
      </c>
      <c r="H5812" t="str">
        <f>HYPERLINK("https://github.com/stefan-niedermann/nextcloud-notes/releases", "show")</f>
        <v>show</v>
      </c>
      <c r="I5812">
        <v>0</v>
      </c>
      <c r="J5812">
        <v>1</v>
      </c>
      <c r="K5812">
        <v>1</v>
      </c>
      <c r="L5812">
        <v>0</v>
      </c>
      <c r="M5812" t="s">
        <v>699</v>
      </c>
    </row>
    <row r="5813" spans="1:13" hidden="1" x14ac:dyDescent="0.15">
      <c r="A5813" t="s">
        <v>18274</v>
      </c>
      <c r="B5813" t="s">
        <v>18275</v>
      </c>
      <c r="C5813" t="s">
        <v>18276</v>
      </c>
      <c r="D5813" t="s">
        <v>18225</v>
      </c>
      <c r="E5813">
        <v>0</v>
      </c>
      <c r="F5813" t="str">
        <f>HYPERLINK("https://github.com/TeamNewPipe/NewPipe/issues/5088", "show")</f>
        <v>show</v>
      </c>
      <c r="G5813" t="str">
        <f>HYPERLINK("https://github.com/TeamNewPipe/NewPipe", "show")</f>
        <v>show</v>
      </c>
      <c r="H5813" t="str">
        <f>HYPERLINK("https://github.com/TeamNewPipe/NewPipe/releases", "show")</f>
        <v>show</v>
      </c>
      <c r="I5813">
        <v>1</v>
      </c>
      <c r="J5813">
        <v>1</v>
      </c>
      <c r="K5813">
        <v>1</v>
      </c>
      <c r="L5813">
        <v>0</v>
      </c>
      <c r="M5813" t="s">
        <v>59</v>
      </c>
    </row>
    <row r="5814" spans="1:13" hidden="1" x14ac:dyDescent="0.15">
      <c r="A5814" t="s">
        <v>18277</v>
      </c>
      <c r="B5814" t="s">
        <v>18278</v>
      </c>
      <c r="C5814" t="s">
        <v>18279</v>
      </c>
      <c r="D5814" t="s">
        <v>18225</v>
      </c>
      <c r="E5814">
        <v>0</v>
      </c>
      <c r="F5814" t="str">
        <f>HYPERLINK("https://github.com/TeamNewPipe/NewPipe/issues/5087", "show")</f>
        <v>show</v>
      </c>
      <c r="G5814" t="str">
        <f>HYPERLINK("https://github.com/TeamNewPipe/NewPipe", "show")</f>
        <v>show</v>
      </c>
      <c r="H5814" t="str">
        <f>HYPERLINK("https://github.com/TeamNewPipe/NewPipe/releases", "show")</f>
        <v>show</v>
      </c>
      <c r="I5814">
        <v>1</v>
      </c>
      <c r="J5814">
        <v>1</v>
      </c>
      <c r="K5814">
        <v>1</v>
      </c>
      <c r="L5814">
        <v>0</v>
      </c>
      <c r="M5814" t="s">
        <v>59</v>
      </c>
    </row>
    <row r="5815" spans="1:13" hidden="1" x14ac:dyDescent="0.15">
      <c r="A5815" t="s">
        <v>18280</v>
      </c>
      <c r="B5815" t="s">
        <v>18281</v>
      </c>
      <c r="C5815" t="s">
        <v>18237</v>
      </c>
      <c r="D5815" t="s">
        <v>18225</v>
      </c>
      <c r="E5815">
        <v>0</v>
      </c>
      <c r="F5815" t="str">
        <f>HYPERLINK("https://github.com/Anuken/Mindustry/issues/3733", "show")</f>
        <v>show</v>
      </c>
      <c r="G5815" t="str">
        <f>HYPERLINK("https://github.com/Anuken/Mindustry", "show")</f>
        <v>show</v>
      </c>
      <c r="H5815" t="str">
        <f>HYPERLINK("https://github.com/Anuken/Mindustry/releases", "show")</f>
        <v>show</v>
      </c>
      <c r="I5815">
        <v>0</v>
      </c>
      <c r="J5815">
        <v>0</v>
      </c>
      <c r="K5815">
        <v>0</v>
      </c>
      <c r="L5815">
        <v>1</v>
      </c>
      <c r="M5815" t="s">
        <v>581</v>
      </c>
    </row>
    <row r="5816" spans="1:13" hidden="1" x14ac:dyDescent="0.15">
      <c r="A5816" t="s">
        <v>18282</v>
      </c>
      <c r="B5816" t="s">
        <v>18283</v>
      </c>
      <c r="C5816" t="s">
        <v>18284</v>
      </c>
      <c r="D5816" t="s">
        <v>18225</v>
      </c>
      <c r="E5816">
        <v>0</v>
      </c>
      <c r="F5816" t="str">
        <f>HYPERLINK("https://github.com/Anuken/Mindustry/issues/3731", "show")</f>
        <v>show</v>
      </c>
      <c r="G5816" t="str">
        <f>HYPERLINK("https://github.com/Anuken/Mindustry", "show")</f>
        <v>show</v>
      </c>
      <c r="H5816" t="str">
        <f>HYPERLINK("https://github.com/Anuken/Mindustry/releases", "show")</f>
        <v>show</v>
      </c>
      <c r="I5816">
        <v>0</v>
      </c>
      <c r="J5816">
        <v>0</v>
      </c>
      <c r="K5816">
        <v>0</v>
      </c>
      <c r="L5816">
        <v>0</v>
      </c>
      <c r="M5816" t="s">
        <v>43</v>
      </c>
    </row>
    <row r="5817" spans="1:13" hidden="1" x14ac:dyDescent="0.15">
      <c r="A5817" t="s">
        <v>18285</v>
      </c>
      <c r="B5817" t="s">
        <v>18286</v>
      </c>
      <c r="C5817" t="s">
        <v>18287</v>
      </c>
      <c r="D5817" t="s">
        <v>18225</v>
      </c>
      <c r="E5817">
        <v>0</v>
      </c>
      <c r="F5817" t="str">
        <f>HYPERLINK("https://github.com/Anuken/Mindustry/issues/3730", "show")</f>
        <v>show</v>
      </c>
      <c r="G5817" t="str">
        <f>HYPERLINK("https://github.com/Anuken/Mindustry", "show")</f>
        <v>show</v>
      </c>
      <c r="H5817" t="str">
        <f>HYPERLINK("https://github.com/Anuken/Mindustry/releases", "show")</f>
        <v>show</v>
      </c>
      <c r="I5817">
        <v>0</v>
      </c>
      <c r="J5817">
        <v>0</v>
      </c>
      <c r="K5817">
        <v>0</v>
      </c>
      <c r="L5817">
        <v>0</v>
      </c>
      <c r="M5817" t="s">
        <v>43</v>
      </c>
    </row>
    <row r="5818" spans="1:13" hidden="1" x14ac:dyDescent="0.15">
      <c r="A5818" t="s">
        <v>18288</v>
      </c>
      <c r="B5818" t="s">
        <v>18289</v>
      </c>
      <c r="C5818" t="s">
        <v>18290</v>
      </c>
      <c r="D5818" t="s">
        <v>18225</v>
      </c>
      <c r="E5818">
        <v>0</v>
      </c>
      <c r="F5818" t="str">
        <f>HYPERLINK("https://github.com/aws-amplify/amplify-android/issues/1022", "show")</f>
        <v>show</v>
      </c>
      <c r="G5818" t="str">
        <f>HYPERLINK("https://github.com/aws-amplify/amplify-android", "show")</f>
        <v>show</v>
      </c>
      <c r="H5818" t="str">
        <f>HYPERLINK("https://github.com/aws-amplify/amplify-android/releases", "show")</f>
        <v>show</v>
      </c>
      <c r="I5818">
        <v>1</v>
      </c>
      <c r="J5818">
        <v>0</v>
      </c>
      <c r="K5818">
        <v>0</v>
      </c>
      <c r="L5818">
        <v>0</v>
      </c>
      <c r="M5818" t="s">
        <v>17</v>
      </c>
    </row>
    <row r="5819" spans="1:13" hidden="1" x14ac:dyDescent="0.15">
      <c r="A5819" t="s">
        <v>18291</v>
      </c>
      <c r="B5819" t="s">
        <v>18292</v>
      </c>
      <c r="C5819" t="s">
        <v>18293</v>
      </c>
      <c r="D5819" t="s">
        <v>18225</v>
      </c>
      <c r="E5819">
        <v>0</v>
      </c>
      <c r="F5819" t="str">
        <f>HYPERLINK("https://github.com/nextcloud/android/issues/7590", "show")</f>
        <v>show</v>
      </c>
      <c r="G5819" t="str">
        <f>HYPERLINK("https://github.com/nextcloud/android", "show")</f>
        <v>show</v>
      </c>
      <c r="H5819" t="str">
        <f>HYPERLINK("https://github.com/nextcloud/android/releases", "show")</f>
        <v>show</v>
      </c>
      <c r="I5819">
        <v>1</v>
      </c>
      <c r="J5819">
        <v>1</v>
      </c>
      <c r="K5819">
        <v>1</v>
      </c>
      <c r="L5819">
        <v>0</v>
      </c>
      <c r="M5819" t="s">
        <v>59</v>
      </c>
    </row>
    <row r="5820" spans="1:13" hidden="1" x14ac:dyDescent="0.15">
      <c r="A5820" t="s">
        <v>18294</v>
      </c>
      <c r="B5820" t="s">
        <v>18295</v>
      </c>
      <c r="C5820" t="s">
        <v>18296</v>
      </c>
      <c r="D5820" t="s">
        <v>18297</v>
      </c>
      <c r="E5820">
        <v>1</v>
      </c>
      <c r="F5820" t="str">
        <f>HYPERLINK("https://github.com/TeamNewPipe/NewPipe/issues/5076", "show")</f>
        <v>show</v>
      </c>
      <c r="G5820" t="str">
        <f>HYPERLINK("https://github.com/TeamNewPipe/NewPipe", "show")</f>
        <v>show</v>
      </c>
      <c r="H5820" t="str">
        <f>HYPERLINK("https://github.com/TeamNewPipe/NewPipe/releases", "show")</f>
        <v>show</v>
      </c>
      <c r="I5820">
        <v>1</v>
      </c>
      <c r="J5820">
        <v>1</v>
      </c>
      <c r="K5820">
        <v>1</v>
      </c>
      <c r="L5820">
        <v>0</v>
      </c>
      <c r="M5820" t="s">
        <v>59</v>
      </c>
    </row>
    <row r="5821" spans="1:13" hidden="1" x14ac:dyDescent="0.15">
      <c r="A5821" t="s">
        <v>18298</v>
      </c>
      <c r="B5821" t="s">
        <v>18299</v>
      </c>
      <c r="C5821" t="s">
        <v>18300</v>
      </c>
      <c r="D5821" t="s">
        <v>18297</v>
      </c>
      <c r="E5821">
        <v>28</v>
      </c>
      <c r="F5821" t="str">
        <f>HYPERLINK("https://github.com/cgeo/cgeo/issues/9488", "show")</f>
        <v>show</v>
      </c>
      <c r="G5821" t="str">
        <f>HYPERLINK("https://github.com/cgeo/cgeo", "show")</f>
        <v>show</v>
      </c>
      <c r="H5821" t="str">
        <f>HYPERLINK("https://github.com/cgeo/cgeo/releases", "show")</f>
        <v>show</v>
      </c>
      <c r="I5821">
        <v>0</v>
      </c>
      <c r="J5821">
        <v>0</v>
      </c>
      <c r="K5821">
        <v>1</v>
      </c>
      <c r="L5821">
        <v>0</v>
      </c>
      <c r="M5821" t="s">
        <v>122</v>
      </c>
    </row>
    <row r="5822" spans="1:13" hidden="1" x14ac:dyDescent="0.15">
      <c r="A5822" t="s">
        <v>18301</v>
      </c>
      <c r="B5822" t="s">
        <v>18302</v>
      </c>
      <c r="C5822" t="s">
        <v>18303</v>
      </c>
      <c r="D5822" t="s">
        <v>18297</v>
      </c>
      <c r="E5822">
        <v>1</v>
      </c>
      <c r="F5822" t="str">
        <f>HYPERLINK("https://github.com/opensrp/opensrp-client-chw/issues/1605", "show")</f>
        <v>show</v>
      </c>
      <c r="G5822" t="str">
        <f>HYPERLINK("https://github.com/opensrp/opensrp-client-chw", "show")</f>
        <v>show</v>
      </c>
      <c r="H5822" t="str">
        <f>HYPERLINK("https://github.com/opensrp/opensrp-client-chw/releases", "show")</f>
        <v>show</v>
      </c>
      <c r="I5822">
        <v>0</v>
      </c>
      <c r="J5822">
        <v>0</v>
      </c>
      <c r="K5822">
        <v>0</v>
      </c>
      <c r="L5822">
        <v>0</v>
      </c>
      <c r="M5822" t="s">
        <v>43</v>
      </c>
    </row>
    <row r="5823" spans="1:13" hidden="1" x14ac:dyDescent="0.15">
      <c r="A5823" t="s">
        <v>18304</v>
      </c>
      <c r="B5823" t="s">
        <v>18305</v>
      </c>
      <c r="C5823" t="s">
        <v>18306</v>
      </c>
      <c r="D5823" t="s">
        <v>18297</v>
      </c>
      <c r="E5823">
        <v>0</v>
      </c>
      <c r="F5823" t="str">
        <f>HYPERLINK("https://github.com/akshat46/Boreas/issues/25", "show")</f>
        <v>show</v>
      </c>
      <c r="G5823" t="str">
        <f>HYPERLINK("https://github.com/akshat46/Boreas", "show")</f>
        <v>show</v>
      </c>
      <c r="H5823" t="str">
        <f>HYPERLINK("https://github.com/akshat46/Boreas/releases", "show")</f>
        <v>show</v>
      </c>
      <c r="I5823">
        <v>1</v>
      </c>
      <c r="J5823">
        <v>1</v>
      </c>
      <c r="K5823">
        <v>1</v>
      </c>
      <c r="L5823">
        <v>0</v>
      </c>
      <c r="M5823" t="s">
        <v>59</v>
      </c>
    </row>
    <row r="5824" spans="1:13" hidden="1" x14ac:dyDescent="0.15">
      <c r="A5824" t="s">
        <v>18307</v>
      </c>
      <c r="B5824" t="s">
        <v>18308</v>
      </c>
      <c r="D5824" t="s">
        <v>18297</v>
      </c>
      <c r="E5824">
        <v>0</v>
      </c>
      <c r="F5824" t="str">
        <f>HYPERLINK("https://github.com/ModdingFox/OpenFuraffinityClient/issues/87", "show")</f>
        <v>show</v>
      </c>
      <c r="G5824" t="str">
        <f>HYPERLINK("https://github.com/ModdingFox/OpenFuraffinityClient", "show")</f>
        <v>show</v>
      </c>
      <c r="H5824" t="str">
        <f>HYPERLINK("https://github.com/ModdingFox/OpenFuraffinityClient/releases", "show")</f>
        <v>show</v>
      </c>
      <c r="I5824">
        <v>0</v>
      </c>
      <c r="J5824">
        <v>0</v>
      </c>
      <c r="K5824">
        <v>0</v>
      </c>
      <c r="L5824">
        <v>0</v>
      </c>
      <c r="M5824" t="s">
        <v>43</v>
      </c>
    </row>
    <row r="5825" spans="1:13" hidden="1" x14ac:dyDescent="0.15">
      <c r="A5825" t="s">
        <v>18309</v>
      </c>
      <c r="B5825" t="s">
        <v>18310</v>
      </c>
      <c r="C5825" t="s">
        <v>18311</v>
      </c>
      <c r="D5825" t="s">
        <v>18297</v>
      </c>
      <c r="E5825">
        <v>0</v>
      </c>
      <c r="F5825" t="str">
        <f>HYPERLINK("https://github.com/ModdingFox/OpenFuraffinityClient/issues/86", "show")</f>
        <v>show</v>
      </c>
      <c r="G5825" t="str">
        <f>HYPERLINK("https://github.com/ModdingFox/OpenFuraffinityClient", "show")</f>
        <v>show</v>
      </c>
      <c r="H5825" t="str">
        <f>HYPERLINK("https://github.com/ModdingFox/OpenFuraffinityClient/releases", "show")</f>
        <v>show</v>
      </c>
      <c r="I5825">
        <v>1</v>
      </c>
      <c r="J5825">
        <v>0</v>
      </c>
      <c r="K5825">
        <v>0</v>
      </c>
      <c r="L5825">
        <v>0</v>
      </c>
      <c r="M5825" t="s">
        <v>17</v>
      </c>
    </row>
    <row r="5826" spans="1:13" hidden="1" x14ac:dyDescent="0.15">
      <c r="A5826" t="s">
        <v>18312</v>
      </c>
      <c r="B5826" t="s">
        <v>18313</v>
      </c>
      <c r="C5826" t="s">
        <v>18314</v>
      </c>
      <c r="D5826" t="s">
        <v>18297</v>
      </c>
      <c r="E5826">
        <v>0</v>
      </c>
      <c r="F5826" t="str">
        <f>HYPERLINK("https://github.com/Anuken/Mindustry/issues/3723", "show")</f>
        <v>show</v>
      </c>
      <c r="G5826" t="str">
        <f>HYPERLINK("https://github.com/Anuken/Mindustry", "show")</f>
        <v>show</v>
      </c>
      <c r="H5826" t="str">
        <f>HYPERLINK("https://github.com/Anuken/Mindustry/releases", "show")</f>
        <v>show</v>
      </c>
      <c r="I5826">
        <v>1</v>
      </c>
      <c r="J5826">
        <v>1</v>
      </c>
      <c r="K5826">
        <v>1</v>
      </c>
      <c r="L5826">
        <v>0</v>
      </c>
      <c r="M5826" t="s">
        <v>59</v>
      </c>
    </row>
    <row r="5827" spans="1:13" hidden="1" x14ac:dyDescent="0.15">
      <c r="A5827" t="s">
        <v>18315</v>
      </c>
      <c r="B5827" t="s">
        <v>18316</v>
      </c>
      <c r="C5827" t="s">
        <v>18317</v>
      </c>
      <c r="D5827" t="s">
        <v>18297</v>
      </c>
      <c r="E5827">
        <v>0</v>
      </c>
      <c r="F5827" t="str">
        <f>HYPERLINK("https://github.com/nextcloud/android/issues/7582", "show")</f>
        <v>show</v>
      </c>
      <c r="G5827" t="str">
        <f>HYPERLINK("https://github.com/nextcloud/android", "show")</f>
        <v>show</v>
      </c>
      <c r="H5827" t="str">
        <f>HYPERLINK("https://github.com/nextcloud/android/releases", "show")</f>
        <v>show</v>
      </c>
      <c r="I5827">
        <v>1</v>
      </c>
      <c r="J5827">
        <v>1</v>
      </c>
      <c r="K5827">
        <v>1</v>
      </c>
      <c r="L5827">
        <v>0</v>
      </c>
      <c r="M5827" t="s">
        <v>59</v>
      </c>
    </row>
    <row r="5828" spans="1:13" hidden="1" x14ac:dyDescent="0.15">
      <c r="A5828" t="s">
        <v>18318</v>
      </c>
      <c r="B5828" t="s">
        <v>18319</v>
      </c>
      <c r="C5828" t="s">
        <v>18320</v>
      </c>
      <c r="D5828" t="s">
        <v>18321</v>
      </c>
      <c r="E5828">
        <v>0</v>
      </c>
      <c r="F5828" t="str">
        <f>HYPERLINK("https://github.com/Anuken/Mindustry/issues/3704", "show")</f>
        <v>show</v>
      </c>
      <c r="G5828" t="str">
        <f>HYPERLINK("https://github.com/Anuken/Mindustry", "show")</f>
        <v>show</v>
      </c>
      <c r="H5828" t="str">
        <f>HYPERLINK("https://github.com/Anuken/Mindustry/releases", "show")</f>
        <v>show</v>
      </c>
      <c r="I5828">
        <v>1</v>
      </c>
      <c r="J5828">
        <v>0</v>
      </c>
      <c r="K5828">
        <v>0</v>
      </c>
      <c r="L5828">
        <v>0</v>
      </c>
      <c r="M5828" t="s">
        <v>17</v>
      </c>
    </row>
    <row r="5829" spans="1:13" hidden="1" x14ac:dyDescent="0.15">
      <c r="A5829" t="s">
        <v>18322</v>
      </c>
      <c r="B5829" t="s">
        <v>18323</v>
      </c>
      <c r="C5829" t="s">
        <v>18324</v>
      </c>
      <c r="D5829" t="s">
        <v>18321</v>
      </c>
      <c r="E5829">
        <v>1</v>
      </c>
      <c r="F5829" t="str">
        <f>HYPERLINK("https://github.com/nextcloud/android/issues/7577", "show")</f>
        <v>show</v>
      </c>
      <c r="G5829" t="str">
        <f>HYPERLINK("https://github.com/nextcloud/android", "show")</f>
        <v>show</v>
      </c>
      <c r="H5829" t="str">
        <f>HYPERLINK("https://github.com/nextcloud/android/releases", "show")</f>
        <v>show</v>
      </c>
      <c r="I5829">
        <v>1</v>
      </c>
      <c r="J5829">
        <v>0</v>
      </c>
      <c r="K5829">
        <v>1</v>
      </c>
      <c r="L5829">
        <v>0</v>
      </c>
      <c r="M5829" t="s">
        <v>64</v>
      </c>
    </row>
    <row r="5830" spans="1:13" hidden="1" x14ac:dyDescent="0.15">
      <c r="A5830" t="s">
        <v>18325</v>
      </c>
      <c r="B5830" t="s">
        <v>141</v>
      </c>
      <c r="C5830" t="s">
        <v>18326</v>
      </c>
      <c r="D5830" t="s">
        <v>18321</v>
      </c>
      <c r="E5830">
        <v>0</v>
      </c>
      <c r="F5830" t="str">
        <f>HYPERLINK("https://github.com/Anuken/Mindustry/issues/3702", "show")</f>
        <v>show</v>
      </c>
      <c r="G5830" t="str">
        <f>HYPERLINK("https://github.com/Anuken/Mindustry", "show")</f>
        <v>show</v>
      </c>
      <c r="H5830" t="str">
        <f>HYPERLINK("https://github.com/Anuken/Mindustry/releases", "show")</f>
        <v>show</v>
      </c>
      <c r="I5830">
        <v>0</v>
      </c>
      <c r="J5830">
        <v>0</v>
      </c>
      <c r="K5830">
        <v>1</v>
      </c>
      <c r="L5830">
        <v>0</v>
      </c>
      <c r="M5830" t="s">
        <v>122</v>
      </c>
    </row>
    <row r="5831" spans="1:13" hidden="1" x14ac:dyDescent="0.15">
      <c r="A5831" t="s">
        <v>18327</v>
      </c>
      <c r="B5831" t="s">
        <v>18328</v>
      </c>
      <c r="C5831" t="s">
        <v>18329</v>
      </c>
      <c r="D5831" t="s">
        <v>18321</v>
      </c>
      <c r="E5831">
        <v>0</v>
      </c>
      <c r="F5831" t="str">
        <f>HYPERLINK("https://github.com/Anuken/Mindustry/issues/3694", "show")</f>
        <v>show</v>
      </c>
      <c r="G5831" t="str">
        <f>HYPERLINK("https://github.com/Anuken/Mindustry", "show")</f>
        <v>show</v>
      </c>
      <c r="H5831" t="str">
        <f>HYPERLINK("https://github.com/Anuken/Mindustry/releases", "show")</f>
        <v>show</v>
      </c>
      <c r="I5831">
        <v>0</v>
      </c>
      <c r="J5831">
        <v>0</v>
      </c>
      <c r="K5831">
        <v>0</v>
      </c>
      <c r="L5831">
        <v>0</v>
      </c>
      <c r="M5831" t="s">
        <v>43</v>
      </c>
    </row>
    <row r="5832" spans="1:13" hidden="1" x14ac:dyDescent="0.15">
      <c r="A5832" t="s">
        <v>18330</v>
      </c>
      <c r="B5832" t="s">
        <v>18331</v>
      </c>
      <c r="C5832" t="s">
        <v>18249</v>
      </c>
      <c r="D5832" t="s">
        <v>18321</v>
      </c>
      <c r="E5832">
        <v>0</v>
      </c>
      <c r="F5832" t="str">
        <f>HYPERLINK("https://github.com/Anuken/Mindustry/issues/3693", "show")</f>
        <v>show</v>
      </c>
      <c r="G5832" t="str">
        <f>HYPERLINK("https://github.com/Anuken/Mindustry", "show")</f>
        <v>show</v>
      </c>
      <c r="H5832" t="str">
        <f>HYPERLINK("https://github.com/Anuken/Mindustry/releases", "show")</f>
        <v>show</v>
      </c>
      <c r="I5832">
        <v>0</v>
      </c>
      <c r="J5832">
        <v>0</v>
      </c>
      <c r="K5832">
        <v>0</v>
      </c>
      <c r="L5832">
        <v>0</v>
      </c>
      <c r="M5832" t="s">
        <v>43</v>
      </c>
    </row>
    <row r="5833" spans="1:13" hidden="1" x14ac:dyDescent="0.15">
      <c r="A5833" t="s">
        <v>18332</v>
      </c>
      <c r="B5833" t="s">
        <v>18333</v>
      </c>
      <c r="C5833" t="s">
        <v>12185</v>
      </c>
      <c r="D5833" t="s">
        <v>18321</v>
      </c>
      <c r="E5833">
        <v>1</v>
      </c>
      <c r="F5833" t="str">
        <f>HYPERLINK("https://github.com/nextcloud/android/issues/7575", "show")</f>
        <v>show</v>
      </c>
      <c r="G5833" t="str">
        <f>HYPERLINK("https://github.com/nextcloud/android", "show")</f>
        <v>show</v>
      </c>
      <c r="H5833" t="str">
        <f>HYPERLINK("https://github.com/nextcloud/android/releases", "show")</f>
        <v>show</v>
      </c>
      <c r="I5833">
        <v>0</v>
      </c>
      <c r="J5833">
        <v>0</v>
      </c>
      <c r="K5833">
        <v>1</v>
      </c>
      <c r="L5833">
        <v>0</v>
      </c>
      <c r="M5833" t="s">
        <v>122</v>
      </c>
    </row>
    <row r="5834" spans="1:13" x14ac:dyDescent="0.15">
      <c r="A5834" t="s">
        <v>18334</v>
      </c>
      <c r="B5834" t="s">
        <v>18335</v>
      </c>
      <c r="C5834" t="s">
        <v>18336</v>
      </c>
      <c r="D5834" t="s">
        <v>18321</v>
      </c>
      <c r="E5834">
        <v>0</v>
      </c>
      <c r="F5834" t="str">
        <f>HYPERLINK("https://github.com/Anuken/Mindustry/issues/3690", "show")</f>
        <v>show</v>
      </c>
      <c r="G5834" t="str">
        <f>HYPERLINK("https://github.com/Anuken/Mindustry", "show")</f>
        <v>show</v>
      </c>
      <c r="H5834" t="str">
        <f>HYPERLINK("https://github.com/Anuken/Mindustry/releases", "show")</f>
        <v>show</v>
      </c>
      <c r="I5834">
        <v>0</v>
      </c>
      <c r="J5834">
        <v>1</v>
      </c>
      <c r="K5834">
        <v>0</v>
      </c>
      <c r="L5834">
        <v>0</v>
      </c>
      <c r="M5834" t="s">
        <v>139</v>
      </c>
    </row>
    <row r="5835" spans="1:13" hidden="1" x14ac:dyDescent="0.15">
      <c r="A5835" t="s">
        <v>18337</v>
      </c>
      <c r="B5835" t="s">
        <v>18338</v>
      </c>
      <c r="C5835" t="s">
        <v>18339</v>
      </c>
      <c r="D5835" t="s">
        <v>18321</v>
      </c>
      <c r="E5835">
        <v>1</v>
      </c>
      <c r="F5835" t="str">
        <f>HYPERLINK("https://github.com/onaio/rdt-standard/issues/641", "show")</f>
        <v>show</v>
      </c>
      <c r="G5835" t="str">
        <f>HYPERLINK("https://github.com/onaio/rdt-standard", "show")</f>
        <v>show</v>
      </c>
      <c r="H5835" t="str">
        <f>HYPERLINK("https://github.com/onaio/rdt-standard/releases", "show")</f>
        <v>show</v>
      </c>
      <c r="I5835">
        <v>0</v>
      </c>
      <c r="J5835">
        <v>0</v>
      </c>
      <c r="K5835">
        <v>1</v>
      </c>
      <c r="L5835">
        <v>0</v>
      </c>
      <c r="M5835" t="s">
        <v>122</v>
      </c>
    </row>
    <row r="5836" spans="1:13" hidden="1" x14ac:dyDescent="0.15">
      <c r="A5836" t="s">
        <v>18340</v>
      </c>
      <c r="B5836" t="s">
        <v>18341</v>
      </c>
      <c r="C5836" t="s">
        <v>18342</v>
      </c>
      <c r="D5836" t="s">
        <v>18321</v>
      </c>
      <c r="E5836">
        <v>1</v>
      </c>
      <c r="F5836" t="str">
        <f>HYPERLINK("https://github.com/onaio/rdt-standard/issues/640", "show")</f>
        <v>show</v>
      </c>
      <c r="G5836" t="str">
        <f>HYPERLINK("https://github.com/onaio/rdt-standard", "show")</f>
        <v>show</v>
      </c>
      <c r="H5836" t="str">
        <f>HYPERLINK("https://github.com/onaio/rdt-standard/releases", "show")</f>
        <v>show</v>
      </c>
      <c r="I5836">
        <v>0</v>
      </c>
      <c r="J5836">
        <v>0</v>
      </c>
      <c r="K5836">
        <v>1</v>
      </c>
      <c r="L5836">
        <v>0</v>
      </c>
      <c r="M5836" t="s">
        <v>122</v>
      </c>
    </row>
    <row r="5837" spans="1:13" hidden="1" x14ac:dyDescent="0.15">
      <c r="A5837" t="s">
        <v>18343</v>
      </c>
      <c r="B5837" t="s">
        <v>18344</v>
      </c>
      <c r="C5837" t="s">
        <v>18345</v>
      </c>
      <c r="D5837" t="s">
        <v>18346</v>
      </c>
      <c r="E5837">
        <v>2</v>
      </c>
      <c r="F5837" t="str">
        <f>HYPERLINK("https://github.com/adamhh/450Group8/issues/143", "show")</f>
        <v>show</v>
      </c>
      <c r="G5837" t="str">
        <f>HYPERLINK("https://github.com/adamhh/450Group8", "show")</f>
        <v>show</v>
      </c>
      <c r="H5837" t="str">
        <f>HYPERLINK("https://github.com/adamhh/450Group8/releases", "show")</f>
        <v>show</v>
      </c>
      <c r="I5837">
        <v>1</v>
      </c>
      <c r="J5837">
        <v>0</v>
      </c>
      <c r="K5837">
        <v>0</v>
      </c>
      <c r="L5837">
        <v>0</v>
      </c>
      <c r="M5837" t="s">
        <v>17</v>
      </c>
    </row>
    <row r="5838" spans="1:13" x14ac:dyDescent="0.15">
      <c r="A5838" t="s">
        <v>18347</v>
      </c>
      <c r="B5838" t="s">
        <v>18348</v>
      </c>
      <c r="C5838" t="s">
        <v>18349</v>
      </c>
      <c r="D5838" t="s">
        <v>18346</v>
      </c>
      <c r="E5838">
        <v>0</v>
      </c>
      <c r="F5838" t="str">
        <f>HYPERLINK("https://github.com/Anuken/Mindustry/issues/3678", "show")</f>
        <v>show</v>
      </c>
      <c r="G5838" t="str">
        <f>HYPERLINK("https://github.com/Anuken/Mindustry", "show")</f>
        <v>show</v>
      </c>
      <c r="H5838" t="str">
        <f>HYPERLINK("https://github.com/Anuken/Mindustry/releases", "show")</f>
        <v>show</v>
      </c>
      <c r="I5838">
        <v>0</v>
      </c>
      <c r="J5838">
        <v>1</v>
      </c>
      <c r="K5838">
        <v>0</v>
      </c>
      <c r="L5838">
        <v>0</v>
      </c>
      <c r="M5838" t="s">
        <v>139</v>
      </c>
    </row>
    <row r="5839" spans="1:13" hidden="1" x14ac:dyDescent="0.15">
      <c r="A5839" t="s">
        <v>18350</v>
      </c>
      <c r="B5839" t="s">
        <v>18351</v>
      </c>
      <c r="C5839" t="s">
        <v>18352</v>
      </c>
      <c r="D5839" t="s">
        <v>18346</v>
      </c>
      <c r="E5839">
        <v>0</v>
      </c>
      <c r="F5839" t="str">
        <f>HYPERLINK("https://github.com/popcorn-official/popcorn-android/issues/724", "show")</f>
        <v>show</v>
      </c>
      <c r="G5839" t="str">
        <f>HYPERLINK("https://github.com/popcorn-official/popcorn-android", "show")</f>
        <v>show</v>
      </c>
      <c r="H5839" t="str">
        <f>HYPERLINK("https://github.com/popcorn-official/popcorn-android/releases", "show")</f>
        <v>show</v>
      </c>
      <c r="I5839">
        <v>1</v>
      </c>
      <c r="J5839">
        <v>1</v>
      </c>
      <c r="K5839">
        <v>0</v>
      </c>
      <c r="L5839">
        <v>0</v>
      </c>
      <c r="M5839" t="s">
        <v>48</v>
      </c>
    </row>
    <row r="5840" spans="1:13" hidden="1" x14ac:dyDescent="0.15">
      <c r="A5840" t="s">
        <v>18353</v>
      </c>
      <c r="B5840" t="s">
        <v>18354</v>
      </c>
      <c r="C5840" t="s">
        <v>18355</v>
      </c>
      <c r="D5840" t="s">
        <v>18346</v>
      </c>
      <c r="E5840">
        <v>8</v>
      </c>
      <c r="F5840" t="str">
        <f>HYPERLINK("https://github.com/aws-amplify/amplify-android/issues/1010", "show")</f>
        <v>show</v>
      </c>
      <c r="G5840" t="str">
        <f>HYPERLINK("https://github.com/aws-amplify/amplify-android", "show")</f>
        <v>show</v>
      </c>
      <c r="H5840" t="str">
        <f>HYPERLINK("https://github.com/aws-amplify/amplify-android/releases", "show")</f>
        <v>show</v>
      </c>
      <c r="I5840">
        <v>0</v>
      </c>
      <c r="J5840">
        <v>0</v>
      </c>
      <c r="K5840">
        <v>1</v>
      </c>
      <c r="L5840">
        <v>0</v>
      </c>
      <c r="M5840" t="s">
        <v>122</v>
      </c>
    </row>
    <row r="5841" spans="1:13" hidden="1" x14ac:dyDescent="0.15">
      <c r="A5841" t="s">
        <v>18356</v>
      </c>
      <c r="B5841" t="s">
        <v>18357</v>
      </c>
      <c r="C5841" t="s">
        <v>18358</v>
      </c>
      <c r="D5841" t="s">
        <v>18346</v>
      </c>
      <c r="E5841">
        <v>2</v>
      </c>
      <c r="F5841" t="str">
        <f>HYPERLINK("https://github.com/opensrp/opensrp-client-chw/issues/1601", "show")</f>
        <v>show</v>
      </c>
      <c r="G5841" t="str">
        <f>HYPERLINK("https://github.com/opensrp/opensrp-client-chw", "show")</f>
        <v>show</v>
      </c>
      <c r="H5841" t="str">
        <f>HYPERLINK("https://github.com/opensrp/opensrp-client-chw/releases", "show")</f>
        <v>show</v>
      </c>
      <c r="I5841">
        <v>0</v>
      </c>
      <c r="J5841">
        <v>0</v>
      </c>
      <c r="K5841">
        <v>0</v>
      </c>
      <c r="L5841">
        <v>0</v>
      </c>
      <c r="M5841" t="s">
        <v>43</v>
      </c>
    </row>
    <row r="5842" spans="1:13" hidden="1" x14ac:dyDescent="0.15">
      <c r="A5842" t="s">
        <v>18359</v>
      </c>
      <c r="B5842" t="s">
        <v>18360</v>
      </c>
      <c r="C5842" t="s">
        <v>18361</v>
      </c>
      <c r="D5842" t="s">
        <v>18346</v>
      </c>
      <c r="E5842">
        <v>0</v>
      </c>
      <c r="F5842" t="str">
        <f>HYPERLINK("https://github.com/Anuken/Mindustry/issues/3663", "show")</f>
        <v>show</v>
      </c>
      <c r="G5842" t="str">
        <f>HYPERLINK("https://github.com/Anuken/Mindustry", "show")</f>
        <v>show</v>
      </c>
      <c r="H5842" t="str">
        <f>HYPERLINK("https://github.com/Anuken/Mindustry/releases", "show")</f>
        <v>show</v>
      </c>
      <c r="I5842">
        <v>1</v>
      </c>
      <c r="J5842">
        <v>0</v>
      </c>
      <c r="K5842">
        <v>0</v>
      </c>
      <c r="L5842">
        <v>0</v>
      </c>
      <c r="M5842" t="s">
        <v>17</v>
      </c>
    </row>
    <row r="5843" spans="1:13" hidden="1" x14ac:dyDescent="0.15">
      <c r="A5843" t="s">
        <v>18362</v>
      </c>
      <c r="B5843" t="s">
        <v>18363</v>
      </c>
      <c r="C5843" t="s">
        <v>18364</v>
      </c>
      <c r="D5843" t="s">
        <v>18346</v>
      </c>
      <c r="E5843">
        <v>208</v>
      </c>
      <c r="F5843" t="str">
        <f>HYPERLINK("https://github.com/proyecto26/react-native-inappbrowser/issues/218", "show")</f>
        <v>show</v>
      </c>
      <c r="G5843" t="str">
        <f>HYPERLINK("https://github.com/proyecto26/react-native-inappbrowser", "show")</f>
        <v>show</v>
      </c>
      <c r="H5843" t="str">
        <f>HYPERLINK("https://github.com/proyecto26/react-native-inappbrowser/releases", "show")</f>
        <v>show</v>
      </c>
      <c r="I5843">
        <v>1</v>
      </c>
      <c r="J5843">
        <v>1</v>
      </c>
      <c r="K5843">
        <v>0</v>
      </c>
      <c r="L5843">
        <v>0</v>
      </c>
      <c r="M5843" t="s">
        <v>48</v>
      </c>
    </row>
    <row r="5844" spans="1:13" hidden="1" x14ac:dyDescent="0.15">
      <c r="A5844" t="s">
        <v>18365</v>
      </c>
      <c r="B5844" t="s">
        <v>18366</v>
      </c>
      <c r="C5844" t="s">
        <v>18367</v>
      </c>
      <c r="D5844" t="s">
        <v>18346</v>
      </c>
      <c r="E5844">
        <v>12</v>
      </c>
      <c r="F5844" t="str">
        <f>HYPERLINK("https://github.com/cgeo/cgeo/issues/9463", "show")</f>
        <v>show</v>
      </c>
      <c r="G5844" t="str">
        <f>HYPERLINK("https://github.com/cgeo/cgeo", "show")</f>
        <v>show</v>
      </c>
      <c r="H5844" t="str">
        <f>HYPERLINK("https://github.com/cgeo/cgeo/releases", "show")</f>
        <v>show</v>
      </c>
      <c r="I5844">
        <v>1</v>
      </c>
      <c r="J5844">
        <v>1</v>
      </c>
      <c r="K5844">
        <v>0</v>
      </c>
      <c r="L5844">
        <v>0</v>
      </c>
      <c r="M5844" t="s">
        <v>48</v>
      </c>
    </row>
    <row r="5845" spans="1:13" hidden="1" x14ac:dyDescent="0.15">
      <c r="A5845" t="s">
        <v>18368</v>
      </c>
      <c r="B5845" t="s">
        <v>18369</v>
      </c>
      <c r="C5845" t="s">
        <v>18370</v>
      </c>
      <c r="D5845" t="s">
        <v>18346</v>
      </c>
      <c r="E5845">
        <v>0</v>
      </c>
      <c r="F5845" t="str">
        <f>HYPERLINK("https://github.com/nextcloud/android/issues/7562", "show")</f>
        <v>show</v>
      </c>
      <c r="G5845" t="str">
        <f>HYPERLINK("https://github.com/nextcloud/android", "show")</f>
        <v>show</v>
      </c>
      <c r="H5845" t="str">
        <f>HYPERLINK("https://github.com/nextcloud/android/releases", "show")</f>
        <v>show</v>
      </c>
      <c r="I5845">
        <v>0</v>
      </c>
      <c r="J5845">
        <v>1</v>
      </c>
      <c r="K5845">
        <v>1</v>
      </c>
      <c r="L5845">
        <v>0</v>
      </c>
      <c r="M5845" t="s">
        <v>699</v>
      </c>
    </row>
    <row r="5846" spans="1:13" hidden="1" x14ac:dyDescent="0.15">
      <c r="A5846" t="s">
        <v>18371</v>
      </c>
      <c r="B5846" t="s">
        <v>18372</v>
      </c>
      <c r="C5846" t="s">
        <v>18373</v>
      </c>
      <c r="D5846" t="s">
        <v>18346</v>
      </c>
      <c r="E5846">
        <v>3</v>
      </c>
      <c r="F5846" t="str">
        <f>HYPERLINK("https://github.com/nitrite/nitrite-java/issues/386", "show")</f>
        <v>show</v>
      </c>
      <c r="G5846" t="str">
        <f>HYPERLINK("https://github.com/nitrite/nitrite-java", "show")</f>
        <v>show</v>
      </c>
      <c r="H5846" t="str">
        <f>HYPERLINK("https://github.com/nitrite/nitrite-java/releases", "show")</f>
        <v>show</v>
      </c>
      <c r="I5846">
        <v>1</v>
      </c>
      <c r="J5846">
        <v>0</v>
      </c>
      <c r="K5846">
        <v>1</v>
      </c>
      <c r="L5846">
        <v>0</v>
      </c>
      <c r="M5846" t="s">
        <v>64</v>
      </c>
    </row>
    <row r="5847" spans="1:13" hidden="1" x14ac:dyDescent="0.15">
      <c r="A5847" t="s">
        <v>18374</v>
      </c>
      <c r="B5847" t="s">
        <v>18375</v>
      </c>
      <c r="C5847" t="s">
        <v>18376</v>
      </c>
      <c r="D5847" t="s">
        <v>18346</v>
      </c>
      <c r="E5847">
        <v>0</v>
      </c>
      <c r="F5847" t="str">
        <f>HYPERLINK("https://github.com/nextcloud/android/issues/7561", "show")</f>
        <v>show</v>
      </c>
      <c r="G5847" t="str">
        <f>HYPERLINK("https://github.com/nextcloud/android", "show")</f>
        <v>show</v>
      </c>
      <c r="H5847" t="str">
        <f>HYPERLINK("https://github.com/nextcloud/android/releases", "show")</f>
        <v>show</v>
      </c>
      <c r="I5847">
        <v>0</v>
      </c>
      <c r="J5847">
        <v>0</v>
      </c>
      <c r="K5847">
        <v>1</v>
      </c>
      <c r="L5847">
        <v>0</v>
      </c>
      <c r="M5847" t="s">
        <v>122</v>
      </c>
    </row>
    <row r="5848" spans="1:13" hidden="1" x14ac:dyDescent="0.15">
      <c r="A5848" t="s">
        <v>18377</v>
      </c>
      <c r="B5848" t="s">
        <v>18378</v>
      </c>
      <c r="C5848" t="s">
        <v>18379</v>
      </c>
      <c r="D5848" t="s">
        <v>18346</v>
      </c>
      <c r="E5848">
        <v>0</v>
      </c>
      <c r="F5848" t="str">
        <f>HYPERLINK("https://github.com/Anuken/Mindustry/issues/3659", "show")</f>
        <v>show</v>
      </c>
      <c r="G5848" t="str">
        <f>HYPERLINK("https://github.com/Anuken/Mindustry", "show")</f>
        <v>show</v>
      </c>
      <c r="H5848" t="str">
        <f>HYPERLINK("https://github.com/Anuken/Mindustry/releases", "show")</f>
        <v>show</v>
      </c>
      <c r="I5848">
        <v>0</v>
      </c>
      <c r="J5848">
        <v>0</v>
      </c>
      <c r="K5848">
        <v>0</v>
      </c>
      <c r="L5848">
        <v>0</v>
      </c>
      <c r="M5848" t="s">
        <v>43</v>
      </c>
    </row>
    <row r="5849" spans="1:13" hidden="1" x14ac:dyDescent="0.15">
      <c r="A5849" t="s">
        <v>18380</v>
      </c>
      <c r="B5849" t="s">
        <v>5840</v>
      </c>
      <c r="C5849" t="s">
        <v>18381</v>
      </c>
      <c r="D5849" t="s">
        <v>18382</v>
      </c>
      <c r="E5849">
        <v>1</v>
      </c>
      <c r="F5849" t="str">
        <f>HYPERLINK("https://github.com/nextcloud/android/issues/7559", "show")</f>
        <v>show</v>
      </c>
      <c r="G5849" t="str">
        <f>HYPERLINK("https://github.com/nextcloud/android", "show")</f>
        <v>show</v>
      </c>
      <c r="H5849" t="str">
        <f>HYPERLINK("https://github.com/nextcloud/android/releases", "show")</f>
        <v>show</v>
      </c>
      <c r="I5849">
        <v>0</v>
      </c>
      <c r="J5849">
        <v>0</v>
      </c>
      <c r="K5849">
        <v>1</v>
      </c>
      <c r="L5849">
        <v>0</v>
      </c>
      <c r="M5849" t="s">
        <v>122</v>
      </c>
    </row>
    <row r="5850" spans="1:13" hidden="1" x14ac:dyDescent="0.15">
      <c r="A5850" t="s">
        <v>18383</v>
      </c>
      <c r="B5850" t="s">
        <v>18384</v>
      </c>
      <c r="C5850" t="s">
        <v>18385</v>
      </c>
      <c r="D5850" t="s">
        <v>18382</v>
      </c>
      <c r="E5850">
        <v>101</v>
      </c>
      <c r="F5850" t="str">
        <f>HYPERLINK("https://github.com/nextcloud/android/issues/7557", "show")</f>
        <v>show</v>
      </c>
      <c r="G5850" t="str">
        <f>HYPERLINK("https://github.com/nextcloud/android", "show")</f>
        <v>show</v>
      </c>
      <c r="H5850" t="str">
        <f>HYPERLINK("https://github.com/nextcloud/android/releases", "show")</f>
        <v>show</v>
      </c>
      <c r="I5850">
        <v>1</v>
      </c>
      <c r="J5850">
        <v>1</v>
      </c>
      <c r="K5850">
        <v>1</v>
      </c>
      <c r="L5850">
        <v>0</v>
      </c>
      <c r="M5850" t="s">
        <v>59</v>
      </c>
    </row>
    <row r="5851" spans="1:13" hidden="1" x14ac:dyDescent="0.15">
      <c r="A5851" t="s">
        <v>18386</v>
      </c>
      <c r="B5851" t="s">
        <v>16500</v>
      </c>
      <c r="C5851" t="s">
        <v>18387</v>
      </c>
      <c r="D5851" t="s">
        <v>18382</v>
      </c>
      <c r="E5851">
        <v>196</v>
      </c>
      <c r="F5851" t="str">
        <f>HYPERLINK("https://github.com/zixpo/candybar-sample/issues/19", "show")</f>
        <v>show</v>
      </c>
      <c r="G5851" t="str">
        <f>HYPERLINK("https://github.com/zixpo/candybar-sample", "show")</f>
        <v>show</v>
      </c>
      <c r="H5851" t="str">
        <f>HYPERLINK("https://github.com/zixpo/candybar-sample/releases", "show")</f>
        <v>show</v>
      </c>
      <c r="I5851">
        <v>1</v>
      </c>
      <c r="J5851">
        <v>0</v>
      </c>
      <c r="K5851">
        <v>1</v>
      </c>
      <c r="L5851">
        <v>0</v>
      </c>
      <c r="M5851" t="s">
        <v>64</v>
      </c>
    </row>
    <row r="5852" spans="1:13" hidden="1" x14ac:dyDescent="0.15">
      <c r="A5852" t="s">
        <v>18388</v>
      </c>
      <c r="B5852" t="s">
        <v>18389</v>
      </c>
      <c r="C5852" t="s">
        <v>12185</v>
      </c>
      <c r="D5852" t="s">
        <v>18382</v>
      </c>
      <c r="E5852">
        <v>1</v>
      </c>
      <c r="F5852" t="str">
        <f>HYPERLINK("https://github.com/nextcloud/android/issues/7555", "show")</f>
        <v>show</v>
      </c>
      <c r="G5852" t="str">
        <f>HYPERLINK("https://github.com/nextcloud/android", "show")</f>
        <v>show</v>
      </c>
      <c r="H5852" t="str">
        <f>HYPERLINK("https://github.com/nextcloud/android/releases", "show")</f>
        <v>show</v>
      </c>
      <c r="I5852">
        <v>0</v>
      </c>
      <c r="J5852">
        <v>0</v>
      </c>
      <c r="K5852">
        <v>1</v>
      </c>
      <c r="L5852">
        <v>0</v>
      </c>
      <c r="M5852" t="s">
        <v>122</v>
      </c>
    </row>
    <row r="5853" spans="1:13" hidden="1" x14ac:dyDescent="0.15">
      <c r="A5853" t="s">
        <v>18390</v>
      </c>
      <c r="B5853" t="s">
        <v>18391</v>
      </c>
      <c r="C5853" t="s">
        <v>12185</v>
      </c>
      <c r="D5853" t="s">
        <v>18382</v>
      </c>
      <c r="E5853">
        <v>1</v>
      </c>
      <c r="F5853" t="str">
        <f>HYPERLINK("https://github.com/nextcloud/android/issues/7554", "show")</f>
        <v>show</v>
      </c>
      <c r="G5853" t="str">
        <f>HYPERLINK("https://github.com/nextcloud/android", "show")</f>
        <v>show</v>
      </c>
      <c r="H5853" t="str">
        <f>HYPERLINK("https://github.com/nextcloud/android/releases", "show")</f>
        <v>show</v>
      </c>
      <c r="I5853">
        <v>0</v>
      </c>
      <c r="J5853">
        <v>0</v>
      </c>
      <c r="K5853">
        <v>1</v>
      </c>
      <c r="L5853">
        <v>0</v>
      </c>
      <c r="M5853" t="s">
        <v>122</v>
      </c>
    </row>
    <row r="5854" spans="1:13" hidden="1" x14ac:dyDescent="0.15">
      <c r="A5854" t="s">
        <v>18392</v>
      </c>
      <c r="B5854" t="s">
        <v>18393</v>
      </c>
      <c r="C5854" t="s">
        <v>18394</v>
      </c>
      <c r="D5854" t="s">
        <v>18382</v>
      </c>
      <c r="E5854">
        <v>1</v>
      </c>
      <c r="F5854" t="str">
        <f>HYPERLINK("https://github.com/cgeo/cgeo/issues/9459", "show")</f>
        <v>show</v>
      </c>
      <c r="G5854" t="str">
        <f>HYPERLINK("https://github.com/cgeo/cgeo", "show")</f>
        <v>show</v>
      </c>
      <c r="H5854" t="str">
        <f>HYPERLINK("https://github.com/cgeo/cgeo/releases", "show")</f>
        <v>show</v>
      </c>
      <c r="I5854">
        <v>0</v>
      </c>
      <c r="J5854">
        <v>0</v>
      </c>
      <c r="K5854">
        <v>1</v>
      </c>
      <c r="L5854">
        <v>0</v>
      </c>
      <c r="M5854" t="s">
        <v>122</v>
      </c>
    </row>
    <row r="5855" spans="1:13" hidden="1" x14ac:dyDescent="0.15">
      <c r="A5855" t="s">
        <v>18395</v>
      </c>
      <c r="B5855" t="s">
        <v>17752</v>
      </c>
      <c r="C5855" t="s">
        <v>18396</v>
      </c>
      <c r="D5855" t="s">
        <v>18382</v>
      </c>
      <c r="E5855">
        <v>1</v>
      </c>
      <c r="F5855" t="str">
        <f>HYPERLINK("https://github.com/nextcloud/android/issues/7553", "show")</f>
        <v>show</v>
      </c>
      <c r="G5855" t="str">
        <f>HYPERLINK("https://github.com/nextcloud/android", "show")</f>
        <v>show</v>
      </c>
      <c r="H5855" t="str">
        <f>HYPERLINK("https://github.com/nextcloud/android/releases", "show")</f>
        <v>show</v>
      </c>
      <c r="I5855">
        <v>0</v>
      </c>
      <c r="J5855">
        <v>0</v>
      </c>
      <c r="K5855">
        <v>1</v>
      </c>
      <c r="L5855">
        <v>0</v>
      </c>
      <c r="M5855" t="s">
        <v>122</v>
      </c>
    </row>
    <row r="5856" spans="1:13" hidden="1" x14ac:dyDescent="0.15">
      <c r="A5856" t="s">
        <v>18397</v>
      </c>
      <c r="B5856" t="s">
        <v>18398</v>
      </c>
      <c r="D5856" t="s">
        <v>18382</v>
      </c>
      <c r="E5856">
        <v>1</v>
      </c>
      <c r="F5856" t="str">
        <f>HYPERLINK("https://github.com/harry-cramp/Droog/issues/18", "show")</f>
        <v>show</v>
      </c>
      <c r="G5856" t="str">
        <f>HYPERLINK("https://github.com/harry-cramp/Droog", "show")</f>
        <v>show</v>
      </c>
      <c r="H5856" t="str">
        <f>HYPERLINK("https://github.com/harry-cramp/Droog/releases", "show")</f>
        <v>show</v>
      </c>
      <c r="I5856">
        <v>1</v>
      </c>
      <c r="J5856">
        <v>0</v>
      </c>
      <c r="K5856">
        <v>0</v>
      </c>
      <c r="L5856">
        <v>0</v>
      </c>
      <c r="M5856" t="s">
        <v>17</v>
      </c>
    </row>
    <row r="5857" spans="1:13" hidden="1" x14ac:dyDescent="0.15">
      <c r="A5857" t="s">
        <v>18399</v>
      </c>
      <c r="B5857" t="s">
        <v>18400</v>
      </c>
      <c r="C5857" t="s">
        <v>18401</v>
      </c>
      <c r="D5857" t="s">
        <v>18382</v>
      </c>
      <c r="E5857">
        <v>1</v>
      </c>
      <c r="F5857" t="str">
        <f>HYPERLINK("https://github.com/nextcloud/android/issues/7551", "show")</f>
        <v>show</v>
      </c>
      <c r="G5857" t="str">
        <f>HYPERLINK("https://github.com/nextcloud/android", "show")</f>
        <v>show</v>
      </c>
      <c r="H5857" t="str">
        <f>HYPERLINK("https://github.com/nextcloud/android/releases", "show")</f>
        <v>show</v>
      </c>
      <c r="I5857">
        <v>0</v>
      </c>
      <c r="J5857">
        <v>1</v>
      </c>
      <c r="K5857">
        <v>1</v>
      </c>
      <c r="L5857">
        <v>0</v>
      </c>
      <c r="M5857" t="s">
        <v>699</v>
      </c>
    </row>
    <row r="5858" spans="1:13" hidden="1" x14ac:dyDescent="0.15">
      <c r="A5858" t="s">
        <v>18402</v>
      </c>
      <c r="B5858" t="s">
        <v>18403</v>
      </c>
      <c r="C5858" t="s">
        <v>18404</v>
      </c>
      <c r="D5858" t="s">
        <v>18382</v>
      </c>
      <c r="E5858">
        <v>0</v>
      </c>
      <c r="F5858" t="str">
        <f>HYPERLINK("https://github.com/microg/UnifiedNlp/issues/201", "show")</f>
        <v>show</v>
      </c>
      <c r="G5858" t="str">
        <f>HYPERLINK("https://github.com/microg/UnifiedNlp", "show")</f>
        <v>show</v>
      </c>
      <c r="H5858" t="str">
        <f>HYPERLINK("https://github.com/microg/UnifiedNlp/releases", "show")</f>
        <v>show</v>
      </c>
      <c r="I5858">
        <v>0</v>
      </c>
      <c r="J5858">
        <v>1</v>
      </c>
      <c r="K5858">
        <v>1</v>
      </c>
      <c r="L5858">
        <v>0</v>
      </c>
      <c r="M5858" t="s">
        <v>699</v>
      </c>
    </row>
    <row r="5859" spans="1:13" hidden="1" x14ac:dyDescent="0.15">
      <c r="A5859" t="s">
        <v>18405</v>
      </c>
      <c r="B5859" t="s">
        <v>18406</v>
      </c>
      <c r="C5859" t="s">
        <v>12185</v>
      </c>
      <c r="D5859" t="s">
        <v>18382</v>
      </c>
      <c r="E5859">
        <v>1</v>
      </c>
      <c r="F5859" t="str">
        <f>HYPERLINK("https://github.com/nextcloud/android/issues/7547", "show")</f>
        <v>show</v>
      </c>
      <c r="G5859" t="str">
        <f t="shared" ref="G5859:G5864" si="22">HYPERLINK("https://github.com/nextcloud/android", "show")</f>
        <v>show</v>
      </c>
      <c r="H5859" t="str">
        <f t="shared" ref="H5859:H5864" si="23">HYPERLINK("https://github.com/nextcloud/android/releases", "show")</f>
        <v>show</v>
      </c>
      <c r="I5859">
        <v>1</v>
      </c>
      <c r="J5859">
        <v>0</v>
      </c>
      <c r="K5859">
        <v>1</v>
      </c>
      <c r="L5859">
        <v>0</v>
      </c>
      <c r="M5859" t="s">
        <v>64</v>
      </c>
    </row>
    <row r="5860" spans="1:13" hidden="1" x14ac:dyDescent="0.15">
      <c r="A5860" t="s">
        <v>18407</v>
      </c>
      <c r="B5860" t="s">
        <v>18408</v>
      </c>
      <c r="C5860" t="s">
        <v>18409</v>
      </c>
      <c r="D5860" t="s">
        <v>18382</v>
      </c>
      <c r="E5860">
        <v>1</v>
      </c>
      <c r="F5860" t="str">
        <f>HYPERLINK("https://github.com/nextcloud/android/issues/7546", "show")</f>
        <v>show</v>
      </c>
      <c r="G5860" t="str">
        <f t="shared" si="22"/>
        <v>show</v>
      </c>
      <c r="H5860" t="str">
        <f t="shared" si="23"/>
        <v>show</v>
      </c>
      <c r="I5860">
        <v>1</v>
      </c>
      <c r="J5860">
        <v>1</v>
      </c>
      <c r="K5860">
        <v>0</v>
      </c>
      <c r="L5860">
        <v>0</v>
      </c>
      <c r="M5860" t="s">
        <v>48</v>
      </c>
    </row>
    <row r="5861" spans="1:13" hidden="1" x14ac:dyDescent="0.15">
      <c r="A5861" t="s">
        <v>18410</v>
      </c>
      <c r="B5861" t="s">
        <v>18411</v>
      </c>
      <c r="C5861" t="s">
        <v>18412</v>
      </c>
      <c r="D5861" t="s">
        <v>18382</v>
      </c>
      <c r="E5861">
        <v>1</v>
      </c>
      <c r="F5861" t="str">
        <f>HYPERLINK("https://github.com/nextcloud/android/issues/7544", "show")</f>
        <v>show</v>
      </c>
      <c r="G5861" t="str">
        <f t="shared" si="22"/>
        <v>show</v>
      </c>
      <c r="H5861" t="str">
        <f t="shared" si="23"/>
        <v>show</v>
      </c>
      <c r="I5861">
        <v>1</v>
      </c>
      <c r="J5861">
        <v>0</v>
      </c>
      <c r="K5861">
        <v>1</v>
      </c>
      <c r="L5861">
        <v>0</v>
      </c>
      <c r="M5861" t="s">
        <v>64</v>
      </c>
    </row>
    <row r="5862" spans="1:13" hidden="1" x14ac:dyDescent="0.15">
      <c r="A5862" t="s">
        <v>18413</v>
      </c>
      <c r="B5862" t="s">
        <v>18414</v>
      </c>
      <c r="C5862" t="s">
        <v>18415</v>
      </c>
      <c r="D5862" t="s">
        <v>18382</v>
      </c>
      <c r="E5862">
        <v>1</v>
      </c>
      <c r="F5862" t="str">
        <f>HYPERLINK("https://github.com/nextcloud/android/issues/7543", "show")</f>
        <v>show</v>
      </c>
      <c r="G5862" t="str">
        <f t="shared" si="22"/>
        <v>show</v>
      </c>
      <c r="H5862" t="str">
        <f t="shared" si="23"/>
        <v>show</v>
      </c>
      <c r="I5862">
        <v>1</v>
      </c>
      <c r="J5862">
        <v>1</v>
      </c>
      <c r="K5862">
        <v>1</v>
      </c>
      <c r="L5862">
        <v>0</v>
      </c>
      <c r="M5862" t="s">
        <v>59</v>
      </c>
    </row>
    <row r="5863" spans="1:13" x14ac:dyDescent="0.15">
      <c r="A5863" t="s">
        <v>18416</v>
      </c>
      <c r="B5863" t="s">
        <v>18417</v>
      </c>
      <c r="C5863" t="s">
        <v>18418</v>
      </c>
      <c r="D5863" t="s">
        <v>18382</v>
      </c>
      <c r="E5863">
        <v>1</v>
      </c>
      <c r="F5863" t="str">
        <f>HYPERLINK("https://github.com/nextcloud/android/issues/7542", "show")</f>
        <v>show</v>
      </c>
      <c r="G5863" t="str">
        <f t="shared" si="22"/>
        <v>show</v>
      </c>
      <c r="H5863" t="str">
        <f t="shared" si="23"/>
        <v>show</v>
      </c>
      <c r="I5863">
        <v>0</v>
      </c>
      <c r="J5863">
        <v>1</v>
      </c>
      <c r="K5863">
        <v>0</v>
      </c>
      <c r="L5863">
        <v>0</v>
      </c>
      <c r="M5863" t="s">
        <v>139</v>
      </c>
    </row>
    <row r="5864" spans="1:13" hidden="1" x14ac:dyDescent="0.15">
      <c r="A5864" t="s">
        <v>18419</v>
      </c>
      <c r="B5864" t="s">
        <v>18420</v>
      </c>
      <c r="C5864" t="s">
        <v>11582</v>
      </c>
      <c r="D5864" t="s">
        <v>18382</v>
      </c>
      <c r="E5864">
        <v>0</v>
      </c>
      <c r="F5864" t="str">
        <f>HYPERLINK("https://github.com/nextcloud/android/issues/7541", "show")</f>
        <v>show</v>
      </c>
      <c r="G5864" t="str">
        <f t="shared" si="22"/>
        <v>show</v>
      </c>
      <c r="H5864" t="str">
        <f t="shared" si="23"/>
        <v>show</v>
      </c>
      <c r="I5864">
        <v>1</v>
      </c>
      <c r="J5864">
        <v>1</v>
      </c>
      <c r="K5864">
        <v>0</v>
      </c>
      <c r="L5864">
        <v>0</v>
      </c>
      <c r="M5864" t="s">
        <v>48</v>
      </c>
    </row>
    <row r="5865" spans="1:13" hidden="1" x14ac:dyDescent="0.15">
      <c r="A5865" t="s">
        <v>18421</v>
      </c>
      <c r="B5865" t="s">
        <v>18422</v>
      </c>
      <c r="C5865" t="s">
        <v>18423</v>
      </c>
      <c r="D5865" t="s">
        <v>18424</v>
      </c>
      <c r="E5865">
        <v>2</v>
      </c>
      <c r="F5865" t="str">
        <f>HYPERLINK("https://github.com/tanersener/react-native-ffmpeg/issues/216", "show")</f>
        <v>show</v>
      </c>
      <c r="G5865" t="str">
        <f>HYPERLINK("https://github.com/tanersener/react-native-ffmpeg", "show")</f>
        <v>show</v>
      </c>
      <c r="H5865" t="str">
        <f>HYPERLINK("https://github.com/tanersener/react-native-ffmpeg/releases", "show")</f>
        <v>show</v>
      </c>
      <c r="I5865">
        <v>1</v>
      </c>
      <c r="J5865">
        <v>0</v>
      </c>
      <c r="K5865">
        <v>1</v>
      </c>
      <c r="L5865">
        <v>0</v>
      </c>
      <c r="M5865" t="s">
        <v>64</v>
      </c>
    </row>
    <row r="5866" spans="1:13" hidden="1" x14ac:dyDescent="0.15">
      <c r="A5866" t="s">
        <v>18425</v>
      </c>
      <c r="B5866" t="s">
        <v>18426</v>
      </c>
      <c r="C5866" t="s">
        <v>18427</v>
      </c>
      <c r="D5866" t="s">
        <v>18424</v>
      </c>
      <c r="E5866">
        <v>2</v>
      </c>
      <c r="F5866" t="str">
        <f>HYPERLINK("https://github.com/nextcloud/android/issues/7537", "show")</f>
        <v>show</v>
      </c>
      <c r="G5866" t="str">
        <f>HYPERLINK("https://github.com/nextcloud/android", "show")</f>
        <v>show</v>
      </c>
      <c r="H5866" t="str">
        <f>HYPERLINK("https://github.com/nextcloud/android/releases", "show")</f>
        <v>show</v>
      </c>
      <c r="I5866">
        <v>1</v>
      </c>
      <c r="J5866">
        <v>1</v>
      </c>
      <c r="K5866">
        <v>1</v>
      </c>
      <c r="L5866">
        <v>0</v>
      </c>
      <c r="M5866" t="s">
        <v>59</v>
      </c>
    </row>
    <row r="5867" spans="1:13" hidden="1" x14ac:dyDescent="0.15">
      <c r="A5867" t="s">
        <v>18428</v>
      </c>
      <c r="B5867" t="s">
        <v>18429</v>
      </c>
      <c r="C5867" t="s">
        <v>18430</v>
      </c>
      <c r="D5867" t="s">
        <v>18424</v>
      </c>
      <c r="E5867">
        <v>0</v>
      </c>
      <c r="F5867" t="str">
        <f>HYPERLINK("https://github.com/Anuken/Mindustry/issues/3645", "show")</f>
        <v>show</v>
      </c>
      <c r="G5867" t="str">
        <f>HYPERLINK("https://github.com/Anuken/Mindustry", "show")</f>
        <v>show</v>
      </c>
      <c r="H5867" t="str">
        <f>HYPERLINK("https://github.com/Anuken/Mindustry/releases", "show")</f>
        <v>show</v>
      </c>
      <c r="I5867">
        <v>0</v>
      </c>
      <c r="J5867">
        <v>0</v>
      </c>
      <c r="K5867">
        <v>1</v>
      </c>
      <c r="L5867">
        <v>0</v>
      </c>
      <c r="M5867" t="s">
        <v>122</v>
      </c>
    </row>
    <row r="5868" spans="1:13" hidden="1" x14ac:dyDescent="0.15">
      <c r="A5868" t="s">
        <v>18431</v>
      </c>
      <c r="B5868" t="s">
        <v>18432</v>
      </c>
      <c r="C5868" t="s">
        <v>18433</v>
      </c>
      <c r="D5868" t="s">
        <v>18424</v>
      </c>
      <c r="E5868">
        <v>0</v>
      </c>
      <c r="F5868" t="str">
        <f>HYPERLINK("https://github.com/Anuken/Mindustry/issues/3644", "show")</f>
        <v>show</v>
      </c>
      <c r="G5868" t="str">
        <f>HYPERLINK("https://github.com/Anuken/Mindustry", "show")</f>
        <v>show</v>
      </c>
      <c r="H5868" t="str">
        <f>HYPERLINK("https://github.com/Anuken/Mindustry/releases", "show")</f>
        <v>show</v>
      </c>
      <c r="I5868">
        <v>0</v>
      </c>
      <c r="J5868">
        <v>0</v>
      </c>
      <c r="K5868">
        <v>1</v>
      </c>
      <c r="L5868">
        <v>0</v>
      </c>
      <c r="M5868" t="s">
        <v>122</v>
      </c>
    </row>
    <row r="5869" spans="1:13" hidden="1" x14ac:dyDescent="0.15">
      <c r="A5869" t="s">
        <v>18434</v>
      </c>
      <c r="B5869" t="s">
        <v>18435</v>
      </c>
      <c r="C5869" t="s">
        <v>18436</v>
      </c>
      <c r="D5869" t="s">
        <v>18424</v>
      </c>
      <c r="E5869">
        <v>0</v>
      </c>
      <c r="F5869" t="str">
        <f>HYPERLINK("https://github.com/Anuken/Mindustry/issues/3637", "show")</f>
        <v>show</v>
      </c>
      <c r="G5869" t="str">
        <f>HYPERLINK("https://github.com/Anuken/Mindustry", "show")</f>
        <v>show</v>
      </c>
      <c r="H5869" t="str">
        <f>HYPERLINK("https://github.com/Anuken/Mindustry/releases", "show")</f>
        <v>show</v>
      </c>
      <c r="I5869">
        <v>0</v>
      </c>
      <c r="J5869">
        <v>0</v>
      </c>
      <c r="K5869">
        <v>0</v>
      </c>
      <c r="L5869">
        <v>0</v>
      </c>
      <c r="M5869" t="s">
        <v>43</v>
      </c>
    </row>
    <row r="5870" spans="1:13" x14ac:dyDescent="0.15">
      <c r="A5870" t="s">
        <v>18437</v>
      </c>
      <c r="B5870" t="s">
        <v>18438</v>
      </c>
      <c r="C5870" t="s">
        <v>18439</v>
      </c>
      <c r="D5870" t="s">
        <v>18424</v>
      </c>
      <c r="E5870">
        <v>0</v>
      </c>
      <c r="F5870" t="str">
        <f>HYPERLINK("https://github.com/Anuken/Mindustry/issues/3634", "show")</f>
        <v>show</v>
      </c>
      <c r="G5870" t="str">
        <f>HYPERLINK("https://github.com/Anuken/Mindustry", "show")</f>
        <v>show</v>
      </c>
      <c r="H5870" t="str">
        <f>HYPERLINK("https://github.com/Anuken/Mindustry/releases", "show")</f>
        <v>show</v>
      </c>
      <c r="I5870">
        <v>0</v>
      </c>
      <c r="J5870">
        <v>1</v>
      </c>
      <c r="K5870">
        <v>0</v>
      </c>
      <c r="L5870">
        <v>0</v>
      </c>
      <c r="M5870" t="s">
        <v>139</v>
      </c>
    </row>
    <row r="5871" spans="1:13" hidden="1" x14ac:dyDescent="0.15">
      <c r="A5871" t="s">
        <v>18440</v>
      </c>
      <c r="B5871" t="s">
        <v>18441</v>
      </c>
      <c r="C5871" t="s">
        <v>18442</v>
      </c>
      <c r="D5871" t="s">
        <v>18443</v>
      </c>
      <c r="E5871">
        <v>3</v>
      </c>
      <c r="F5871" t="str">
        <f>HYPERLINK("https://github.com/nextcloud/android/issues/7530", "show")</f>
        <v>show</v>
      </c>
      <c r="G5871" t="str">
        <f>HYPERLINK("https://github.com/nextcloud/android", "show")</f>
        <v>show</v>
      </c>
      <c r="H5871" t="str">
        <f>HYPERLINK("https://github.com/nextcloud/android/releases", "show")</f>
        <v>show</v>
      </c>
      <c r="I5871">
        <v>1</v>
      </c>
      <c r="J5871">
        <v>1</v>
      </c>
      <c r="K5871">
        <v>1</v>
      </c>
      <c r="L5871">
        <v>0</v>
      </c>
      <c r="M5871" t="s">
        <v>59</v>
      </c>
    </row>
    <row r="5872" spans="1:13" hidden="1" x14ac:dyDescent="0.15">
      <c r="A5872" t="s">
        <v>18444</v>
      </c>
      <c r="B5872" t="s">
        <v>18445</v>
      </c>
      <c r="C5872" t="s">
        <v>18446</v>
      </c>
      <c r="D5872" t="s">
        <v>18443</v>
      </c>
      <c r="E5872">
        <v>0</v>
      </c>
      <c r="F5872" t="str">
        <f>HYPERLINK("https://github.com/Anuken/Mindustry/issues/3630", "show")</f>
        <v>show</v>
      </c>
      <c r="G5872" t="str">
        <f>HYPERLINK("https://github.com/Anuken/Mindustry", "show")</f>
        <v>show</v>
      </c>
      <c r="H5872" t="str">
        <f>HYPERLINK("https://github.com/Anuken/Mindustry/releases", "show")</f>
        <v>show</v>
      </c>
      <c r="I5872">
        <v>0</v>
      </c>
      <c r="J5872">
        <v>0</v>
      </c>
      <c r="K5872">
        <v>0</v>
      </c>
      <c r="L5872">
        <v>0</v>
      </c>
      <c r="M5872" t="s">
        <v>43</v>
      </c>
    </row>
    <row r="5873" spans="1:13" hidden="1" x14ac:dyDescent="0.15">
      <c r="A5873" t="s">
        <v>18447</v>
      </c>
      <c r="B5873" t="s">
        <v>18448</v>
      </c>
      <c r="C5873" t="s">
        <v>18449</v>
      </c>
      <c r="D5873" t="s">
        <v>18443</v>
      </c>
      <c r="E5873">
        <v>0</v>
      </c>
      <c r="F5873" t="str">
        <f>HYPERLINK("https://github.com/TeamNewPipe/NewPipe/issues/5017", "show")</f>
        <v>show</v>
      </c>
      <c r="G5873" t="str">
        <f>HYPERLINK("https://github.com/TeamNewPipe/NewPipe", "show")</f>
        <v>show</v>
      </c>
      <c r="H5873" t="str">
        <f>HYPERLINK("https://github.com/TeamNewPipe/NewPipe/releases", "show")</f>
        <v>show</v>
      </c>
      <c r="I5873">
        <v>1</v>
      </c>
      <c r="J5873">
        <v>1</v>
      </c>
      <c r="K5873">
        <v>1</v>
      </c>
      <c r="L5873">
        <v>0</v>
      </c>
      <c r="M5873" t="s">
        <v>59</v>
      </c>
    </row>
    <row r="5874" spans="1:13" hidden="1" x14ac:dyDescent="0.15">
      <c r="A5874" t="s">
        <v>18450</v>
      </c>
      <c r="B5874" t="s">
        <v>18451</v>
      </c>
      <c r="C5874" t="s">
        <v>18452</v>
      </c>
      <c r="D5874" t="s">
        <v>18443</v>
      </c>
      <c r="E5874">
        <v>0</v>
      </c>
      <c r="F5874" t="str">
        <f>HYPERLINK("https://github.com/Anuken/Mindustry/issues/3627", "show")</f>
        <v>show</v>
      </c>
      <c r="G5874" t="str">
        <f>HYPERLINK("https://github.com/Anuken/Mindustry", "show")</f>
        <v>show</v>
      </c>
      <c r="H5874" t="str">
        <f>HYPERLINK("https://github.com/Anuken/Mindustry/releases", "show")</f>
        <v>show</v>
      </c>
      <c r="I5874">
        <v>1</v>
      </c>
      <c r="J5874">
        <v>0</v>
      </c>
      <c r="K5874">
        <v>0</v>
      </c>
      <c r="L5874">
        <v>0</v>
      </c>
      <c r="M5874" t="s">
        <v>17</v>
      </c>
    </row>
    <row r="5875" spans="1:13" hidden="1" x14ac:dyDescent="0.15">
      <c r="A5875" t="s">
        <v>18453</v>
      </c>
      <c r="B5875" t="s">
        <v>18454</v>
      </c>
      <c r="C5875" t="s">
        <v>18455</v>
      </c>
      <c r="D5875" t="s">
        <v>18443</v>
      </c>
      <c r="E5875">
        <v>155</v>
      </c>
      <c r="F5875" t="str">
        <f>HYPERLINK("https://github.com/MuntashirAkon/AppManager/issues/167", "show")</f>
        <v>show</v>
      </c>
      <c r="G5875" t="str">
        <f>HYPERLINK("https://github.com/MuntashirAkon/AppManager", "show")</f>
        <v>show</v>
      </c>
      <c r="H5875" t="str">
        <f>HYPERLINK("https://github.com/MuntashirAkon/AppManager/releases", "show")</f>
        <v>show</v>
      </c>
      <c r="I5875">
        <v>1</v>
      </c>
      <c r="J5875">
        <v>1</v>
      </c>
      <c r="K5875">
        <v>0</v>
      </c>
      <c r="L5875">
        <v>0</v>
      </c>
      <c r="M5875" t="s">
        <v>48</v>
      </c>
    </row>
    <row r="5876" spans="1:13" hidden="1" x14ac:dyDescent="0.15">
      <c r="A5876" t="s">
        <v>18456</v>
      </c>
      <c r="B5876" t="s">
        <v>18457</v>
      </c>
      <c r="C5876" t="s">
        <v>18458</v>
      </c>
      <c r="D5876" t="s">
        <v>18443</v>
      </c>
      <c r="E5876">
        <v>33</v>
      </c>
      <c r="F5876" t="str">
        <f>HYPERLINK("https://github.com/google/ExoPlayer/issues/8290", "show")</f>
        <v>show</v>
      </c>
      <c r="G5876" t="str">
        <f>HYPERLINK("https://github.com/google/ExoPlayer", "show")</f>
        <v>show</v>
      </c>
      <c r="H5876" t="str">
        <f>HYPERLINK("https://github.com/google/ExoPlayer/releases", "show")</f>
        <v>show</v>
      </c>
      <c r="I5876">
        <v>0</v>
      </c>
      <c r="J5876">
        <v>0</v>
      </c>
      <c r="K5876">
        <v>1</v>
      </c>
      <c r="L5876">
        <v>0</v>
      </c>
      <c r="M5876" t="s">
        <v>122</v>
      </c>
    </row>
    <row r="5877" spans="1:13" hidden="1" x14ac:dyDescent="0.15">
      <c r="A5877" t="s">
        <v>18459</v>
      </c>
      <c r="B5877" t="s">
        <v>18460</v>
      </c>
      <c r="C5877" t="s">
        <v>18461</v>
      </c>
      <c r="D5877" t="s">
        <v>18443</v>
      </c>
      <c r="E5877">
        <v>0</v>
      </c>
      <c r="F5877" t="str">
        <f>HYPERLINK("https://github.com/chr15m/PdDroidParty/issues/52", "show")</f>
        <v>show</v>
      </c>
      <c r="G5877" t="str">
        <f>HYPERLINK("https://github.com/chr15m/PdDroidParty", "show")</f>
        <v>show</v>
      </c>
      <c r="H5877" t="str">
        <f>HYPERLINK("https://github.com/chr15m/PdDroidParty/releases", "show")</f>
        <v>show</v>
      </c>
      <c r="I5877">
        <v>1</v>
      </c>
      <c r="J5877">
        <v>1</v>
      </c>
      <c r="K5877">
        <v>0</v>
      </c>
      <c r="L5877">
        <v>0</v>
      </c>
      <c r="M5877" t="s">
        <v>48</v>
      </c>
    </row>
    <row r="5878" spans="1:13" hidden="1" x14ac:dyDescent="0.15">
      <c r="A5878" t="s">
        <v>18462</v>
      </c>
      <c r="B5878" t="s">
        <v>18463</v>
      </c>
      <c r="C5878" t="s">
        <v>18464</v>
      </c>
      <c r="D5878" t="s">
        <v>18443</v>
      </c>
      <c r="E5878">
        <v>3</v>
      </c>
      <c r="F5878" t="str">
        <f>HYPERLINK("https://github.com/nextcloud/android/issues/7520", "show")</f>
        <v>show</v>
      </c>
      <c r="G5878" t="str">
        <f>HYPERLINK("https://github.com/nextcloud/android", "show")</f>
        <v>show</v>
      </c>
      <c r="H5878" t="str">
        <f>HYPERLINK("https://github.com/nextcloud/android/releases", "show")</f>
        <v>show</v>
      </c>
      <c r="I5878">
        <v>1</v>
      </c>
      <c r="J5878">
        <v>1</v>
      </c>
      <c r="K5878">
        <v>0</v>
      </c>
      <c r="L5878">
        <v>0</v>
      </c>
      <c r="M5878" t="s">
        <v>48</v>
      </c>
    </row>
    <row r="5879" spans="1:13" hidden="1" x14ac:dyDescent="0.15">
      <c r="A5879" t="s">
        <v>18465</v>
      </c>
      <c r="B5879" t="s">
        <v>18466</v>
      </c>
      <c r="C5879" t="s">
        <v>18467</v>
      </c>
      <c r="D5879" t="s">
        <v>18443</v>
      </c>
      <c r="E5879">
        <v>0</v>
      </c>
      <c r="F5879" t="str">
        <f>HYPERLINK("https://github.com/Anuken/Mindustry/issues/3623", "show")</f>
        <v>show</v>
      </c>
      <c r="G5879" t="str">
        <f>HYPERLINK("https://github.com/Anuken/Mindustry", "show")</f>
        <v>show</v>
      </c>
      <c r="H5879" t="str">
        <f>HYPERLINK("https://github.com/Anuken/Mindustry/releases", "show")</f>
        <v>show</v>
      </c>
      <c r="I5879">
        <v>0</v>
      </c>
      <c r="J5879">
        <v>0</v>
      </c>
      <c r="K5879">
        <v>0</v>
      </c>
      <c r="L5879">
        <v>0</v>
      </c>
      <c r="M5879" t="s">
        <v>43</v>
      </c>
    </row>
    <row r="5880" spans="1:13" hidden="1" x14ac:dyDescent="0.15">
      <c r="A5880" t="s">
        <v>18468</v>
      </c>
      <c r="B5880" t="s">
        <v>18469</v>
      </c>
      <c r="C5880" t="s">
        <v>18470</v>
      </c>
      <c r="D5880" t="s">
        <v>18443</v>
      </c>
      <c r="E5880">
        <v>0</v>
      </c>
      <c r="F5880" t="str">
        <f>HYPERLINK("https://github.com/Anuken/Mindustry/issues/3621", "show")</f>
        <v>show</v>
      </c>
      <c r="G5880" t="str">
        <f>HYPERLINK("https://github.com/Anuken/Mindustry", "show")</f>
        <v>show</v>
      </c>
      <c r="H5880" t="str">
        <f>HYPERLINK("https://github.com/Anuken/Mindustry/releases", "show")</f>
        <v>show</v>
      </c>
      <c r="I5880">
        <v>0</v>
      </c>
      <c r="J5880">
        <v>0</v>
      </c>
      <c r="K5880">
        <v>0</v>
      </c>
      <c r="L5880">
        <v>0</v>
      </c>
      <c r="M5880" t="s">
        <v>43</v>
      </c>
    </row>
    <row r="5881" spans="1:13" hidden="1" x14ac:dyDescent="0.15">
      <c r="A5881" t="s">
        <v>18471</v>
      </c>
      <c r="B5881" t="s">
        <v>18472</v>
      </c>
      <c r="C5881" t="s">
        <v>18473</v>
      </c>
      <c r="D5881" t="s">
        <v>18443</v>
      </c>
      <c r="E5881">
        <v>0</v>
      </c>
      <c r="F5881" t="str">
        <f>HYPERLINK("https://github.com/nextcloud/android/issues/7518", "show")</f>
        <v>show</v>
      </c>
      <c r="G5881" t="str">
        <f>HYPERLINK("https://github.com/nextcloud/android", "show")</f>
        <v>show</v>
      </c>
      <c r="H5881" t="str">
        <f>HYPERLINK("https://github.com/nextcloud/android/releases", "show")</f>
        <v>show</v>
      </c>
      <c r="I5881">
        <v>0</v>
      </c>
      <c r="J5881">
        <v>1</v>
      </c>
      <c r="K5881">
        <v>1</v>
      </c>
      <c r="L5881">
        <v>0</v>
      </c>
      <c r="M5881" t="s">
        <v>699</v>
      </c>
    </row>
    <row r="5882" spans="1:13" x14ac:dyDescent="0.15">
      <c r="A5882" t="s">
        <v>18474</v>
      </c>
      <c r="B5882" t="s">
        <v>18475</v>
      </c>
      <c r="C5882" t="s">
        <v>18476</v>
      </c>
      <c r="D5882" t="s">
        <v>18443</v>
      </c>
      <c r="E5882">
        <v>49</v>
      </c>
      <c r="F5882" t="str">
        <f>HYPERLINK("https://github.com/AOF-Dev/MCinaBox/issues/707", "show")</f>
        <v>show</v>
      </c>
      <c r="G5882" t="str">
        <f>HYPERLINK("https://github.com/AOF-Dev/MCinaBox", "show")</f>
        <v>show</v>
      </c>
      <c r="H5882" t="str">
        <f>HYPERLINK("https://github.com/AOF-Dev/MCinaBox/releases", "show")</f>
        <v>show</v>
      </c>
      <c r="I5882">
        <v>0</v>
      </c>
      <c r="J5882">
        <v>1</v>
      </c>
      <c r="K5882">
        <v>0</v>
      </c>
      <c r="L5882">
        <v>0</v>
      </c>
      <c r="M5882" t="s">
        <v>139</v>
      </c>
    </row>
    <row r="5883" spans="1:13" hidden="1" x14ac:dyDescent="0.15">
      <c r="A5883" t="s">
        <v>18477</v>
      </c>
      <c r="B5883" t="s">
        <v>18478</v>
      </c>
      <c r="C5883" t="s">
        <v>18479</v>
      </c>
      <c r="D5883" t="s">
        <v>18443</v>
      </c>
      <c r="E5883">
        <v>0</v>
      </c>
      <c r="F5883" t="str">
        <f>HYPERLINK("https://github.com/nextcloud/android/issues/7516", "show")</f>
        <v>show</v>
      </c>
      <c r="G5883" t="str">
        <f>HYPERLINK("https://github.com/nextcloud/android", "show")</f>
        <v>show</v>
      </c>
      <c r="H5883" t="str">
        <f>HYPERLINK("https://github.com/nextcloud/android/releases", "show")</f>
        <v>show</v>
      </c>
      <c r="I5883">
        <v>1</v>
      </c>
      <c r="J5883">
        <v>1</v>
      </c>
      <c r="K5883">
        <v>1</v>
      </c>
      <c r="L5883">
        <v>0</v>
      </c>
      <c r="M5883" t="s">
        <v>59</v>
      </c>
    </row>
    <row r="5884" spans="1:13" hidden="1" x14ac:dyDescent="0.15">
      <c r="A5884" t="s">
        <v>18480</v>
      </c>
      <c r="B5884" t="s">
        <v>18481</v>
      </c>
      <c r="C5884" t="s">
        <v>18482</v>
      </c>
      <c r="D5884" t="s">
        <v>18483</v>
      </c>
      <c r="E5884">
        <v>9</v>
      </c>
      <c r="F5884" t="str">
        <f>HYPERLINK("https://github.com/gsantner/markor/issues/1137", "show")</f>
        <v>show</v>
      </c>
      <c r="G5884" t="str">
        <f>HYPERLINK("https://github.com/gsantner/markor", "show")</f>
        <v>show</v>
      </c>
      <c r="H5884" t="str">
        <f>HYPERLINK("https://github.com/gsantner/markor/releases", "show")</f>
        <v>show</v>
      </c>
      <c r="I5884">
        <v>0</v>
      </c>
      <c r="J5884">
        <v>0</v>
      </c>
      <c r="K5884">
        <v>0</v>
      </c>
      <c r="L5884">
        <v>0</v>
      </c>
      <c r="M5884" t="s">
        <v>43</v>
      </c>
    </row>
    <row r="5885" spans="1:13" hidden="1" x14ac:dyDescent="0.15">
      <c r="A5885" t="s">
        <v>18484</v>
      </c>
      <c r="B5885" t="s">
        <v>18485</v>
      </c>
      <c r="C5885" t="s">
        <v>18486</v>
      </c>
      <c r="D5885" t="s">
        <v>18483</v>
      </c>
      <c r="E5885">
        <v>1</v>
      </c>
      <c r="F5885" t="str">
        <f>HYPERLINK("https://github.com/nextcloud/android/issues/7514", "show")</f>
        <v>show</v>
      </c>
      <c r="G5885" t="str">
        <f>HYPERLINK("https://github.com/nextcloud/android", "show")</f>
        <v>show</v>
      </c>
      <c r="H5885" t="str">
        <f>HYPERLINK("https://github.com/nextcloud/android/releases", "show")</f>
        <v>show</v>
      </c>
      <c r="I5885">
        <v>0</v>
      </c>
      <c r="J5885">
        <v>0</v>
      </c>
      <c r="K5885">
        <v>0</v>
      </c>
      <c r="L5885">
        <v>0</v>
      </c>
      <c r="M5885" t="s">
        <v>43</v>
      </c>
    </row>
    <row r="5886" spans="1:13" hidden="1" x14ac:dyDescent="0.15">
      <c r="A5886" t="s">
        <v>18487</v>
      </c>
      <c r="B5886" t="s">
        <v>18488</v>
      </c>
      <c r="C5886" t="s">
        <v>18489</v>
      </c>
      <c r="D5886" t="s">
        <v>18483</v>
      </c>
      <c r="E5886">
        <v>1</v>
      </c>
      <c r="F5886" t="str">
        <f>HYPERLINK("https://github.com/microg/GmsCore/issues/1285", "show")</f>
        <v>show</v>
      </c>
      <c r="G5886" t="str">
        <f>HYPERLINK("https://github.com/microg/GmsCore", "show")</f>
        <v>show</v>
      </c>
      <c r="H5886" t="str">
        <f>HYPERLINK("https://github.com/microg/GmsCore/releases", "show")</f>
        <v>show</v>
      </c>
      <c r="I5886">
        <v>1</v>
      </c>
      <c r="J5886">
        <v>0</v>
      </c>
      <c r="K5886">
        <v>0</v>
      </c>
      <c r="L5886">
        <v>0</v>
      </c>
      <c r="M5886" t="s">
        <v>17</v>
      </c>
    </row>
    <row r="5887" spans="1:13" hidden="1" x14ac:dyDescent="0.15">
      <c r="A5887" t="s">
        <v>18490</v>
      </c>
      <c r="B5887" t="s">
        <v>18491</v>
      </c>
      <c r="C5887" t="s">
        <v>18492</v>
      </c>
      <c r="D5887" t="s">
        <v>18483</v>
      </c>
      <c r="E5887">
        <v>0</v>
      </c>
      <c r="F5887" t="str">
        <f>HYPERLINK("https://github.com/Anuken/Mindustry/issues/3614", "show")</f>
        <v>show</v>
      </c>
      <c r="G5887" t="str">
        <f>HYPERLINK("https://github.com/Anuken/Mindustry", "show")</f>
        <v>show</v>
      </c>
      <c r="H5887" t="str">
        <f>HYPERLINK("https://github.com/Anuken/Mindustry/releases", "show")</f>
        <v>show</v>
      </c>
      <c r="I5887">
        <v>1</v>
      </c>
      <c r="J5887">
        <v>1</v>
      </c>
      <c r="K5887">
        <v>0</v>
      </c>
      <c r="L5887">
        <v>0</v>
      </c>
      <c r="M5887" t="s">
        <v>48</v>
      </c>
    </row>
    <row r="5888" spans="1:13" x14ac:dyDescent="0.15">
      <c r="A5888" t="s">
        <v>18493</v>
      </c>
      <c r="B5888" t="s">
        <v>18494</v>
      </c>
      <c r="C5888" t="s">
        <v>18495</v>
      </c>
      <c r="D5888" t="s">
        <v>18483</v>
      </c>
      <c r="E5888">
        <v>0</v>
      </c>
      <c r="F5888" t="str">
        <f>HYPERLINK("https://github.com/Anuken/Mindustry/issues/3607", "show")</f>
        <v>show</v>
      </c>
      <c r="G5888" t="str">
        <f>HYPERLINK("https://github.com/Anuken/Mindustry", "show")</f>
        <v>show</v>
      </c>
      <c r="H5888" t="str">
        <f>HYPERLINK("https://github.com/Anuken/Mindustry/releases", "show")</f>
        <v>show</v>
      </c>
      <c r="I5888">
        <v>0</v>
      </c>
      <c r="J5888">
        <v>1</v>
      </c>
      <c r="K5888">
        <v>0</v>
      </c>
      <c r="L5888">
        <v>0</v>
      </c>
      <c r="M5888" t="s">
        <v>139</v>
      </c>
    </row>
    <row r="5889" spans="1:13" hidden="1" x14ac:dyDescent="0.15">
      <c r="A5889" t="s">
        <v>18496</v>
      </c>
      <c r="B5889" t="s">
        <v>18497</v>
      </c>
      <c r="C5889" t="s">
        <v>18498</v>
      </c>
      <c r="D5889" t="s">
        <v>18483</v>
      </c>
      <c r="E5889">
        <v>40</v>
      </c>
      <c r="F5889" t="str">
        <f>HYPERLINK("https://github.com/google/ExoPlayer/issues/8283", "show")</f>
        <v>show</v>
      </c>
      <c r="G5889" t="str">
        <f>HYPERLINK("https://github.com/google/ExoPlayer", "show")</f>
        <v>show</v>
      </c>
      <c r="H5889" t="str">
        <f>HYPERLINK("https://github.com/google/ExoPlayer/releases", "show")</f>
        <v>show</v>
      </c>
      <c r="I5889">
        <v>0</v>
      </c>
      <c r="J5889">
        <v>0</v>
      </c>
      <c r="K5889">
        <v>1</v>
      </c>
      <c r="L5889">
        <v>0</v>
      </c>
      <c r="M5889" t="s">
        <v>122</v>
      </c>
    </row>
    <row r="5890" spans="1:13" hidden="1" x14ac:dyDescent="0.15">
      <c r="A5890" t="s">
        <v>18499</v>
      </c>
      <c r="B5890" t="s">
        <v>18500</v>
      </c>
      <c r="C5890" t="s">
        <v>12185</v>
      </c>
      <c r="D5890" t="s">
        <v>18483</v>
      </c>
      <c r="E5890">
        <v>0</v>
      </c>
      <c r="F5890" t="str">
        <f>HYPERLINK("https://github.com/nextcloud/android/issues/7505", "show")</f>
        <v>show</v>
      </c>
      <c r="G5890" t="str">
        <f>HYPERLINK("https://github.com/nextcloud/android", "show")</f>
        <v>show</v>
      </c>
      <c r="H5890" t="str">
        <f>HYPERLINK("https://github.com/nextcloud/android/releases", "show")</f>
        <v>show</v>
      </c>
      <c r="I5890">
        <v>1</v>
      </c>
      <c r="J5890">
        <v>0</v>
      </c>
      <c r="K5890">
        <v>1</v>
      </c>
      <c r="L5890">
        <v>0</v>
      </c>
      <c r="M5890" t="s">
        <v>64</v>
      </c>
    </row>
    <row r="5891" spans="1:13" x14ac:dyDescent="0.15">
      <c r="A5891" t="s">
        <v>18501</v>
      </c>
      <c r="B5891" t="s">
        <v>18502</v>
      </c>
      <c r="C5891" t="s">
        <v>18503</v>
      </c>
      <c r="D5891" t="s">
        <v>18483</v>
      </c>
      <c r="E5891">
        <v>0</v>
      </c>
      <c r="F5891" t="str">
        <f>HYPERLINK("https://github.com/Anuken/Mindustry/issues/3606", "show")</f>
        <v>show</v>
      </c>
      <c r="G5891" t="str">
        <f>HYPERLINK("https://github.com/Anuken/Mindustry", "show")</f>
        <v>show</v>
      </c>
      <c r="H5891" t="str">
        <f>HYPERLINK("https://github.com/Anuken/Mindustry/releases", "show")</f>
        <v>show</v>
      </c>
      <c r="I5891">
        <v>0</v>
      </c>
      <c r="J5891">
        <v>1</v>
      </c>
      <c r="K5891">
        <v>0</v>
      </c>
      <c r="L5891">
        <v>0</v>
      </c>
      <c r="M5891" t="s">
        <v>139</v>
      </c>
    </row>
    <row r="5892" spans="1:13" hidden="1" x14ac:dyDescent="0.15">
      <c r="A5892" t="s">
        <v>18504</v>
      </c>
      <c r="B5892" t="s">
        <v>18505</v>
      </c>
      <c r="C5892" t="s">
        <v>18506</v>
      </c>
      <c r="D5892" t="s">
        <v>18507</v>
      </c>
      <c r="E5892">
        <v>55</v>
      </c>
      <c r="F5892" t="str">
        <f>HYPERLINK("https://github.com/tradle/react-native-udp/issues/144", "show")</f>
        <v>show</v>
      </c>
      <c r="G5892" t="str">
        <f>HYPERLINK("https://github.com/tradle/react-native-udp", "show")</f>
        <v>show</v>
      </c>
      <c r="H5892" t="str">
        <f>HYPERLINK("https://github.com/tradle/react-native-udp/releases", "show")</f>
        <v>show</v>
      </c>
      <c r="I5892">
        <v>1</v>
      </c>
      <c r="J5892">
        <v>0</v>
      </c>
      <c r="K5892">
        <v>1</v>
      </c>
      <c r="L5892">
        <v>0</v>
      </c>
      <c r="M5892" t="s">
        <v>64</v>
      </c>
    </row>
    <row r="5893" spans="1:13" hidden="1" x14ac:dyDescent="0.15">
      <c r="A5893" t="s">
        <v>18508</v>
      </c>
      <c r="B5893" t="s">
        <v>18509</v>
      </c>
      <c r="C5893" t="s">
        <v>18510</v>
      </c>
      <c r="D5893" t="s">
        <v>18507</v>
      </c>
      <c r="E5893">
        <v>1</v>
      </c>
      <c r="F5893" t="str">
        <f>HYPERLINK("https://github.com/tradle/react-native-udp/issues/143", "show")</f>
        <v>show</v>
      </c>
      <c r="G5893" t="str">
        <f>HYPERLINK("https://github.com/tradle/react-native-udp", "show")</f>
        <v>show</v>
      </c>
      <c r="H5893" t="str">
        <f>HYPERLINK("https://github.com/tradle/react-native-udp/releases", "show")</f>
        <v>show</v>
      </c>
      <c r="I5893">
        <v>1</v>
      </c>
      <c r="J5893">
        <v>1</v>
      </c>
      <c r="K5893">
        <v>1</v>
      </c>
      <c r="L5893">
        <v>0</v>
      </c>
      <c r="M5893" t="s">
        <v>59</v>
      </c>
    </row>
    <row r="5894" spans="1:13" hidden="1" x14ac:dyDescent="0.15">
      <c r="A5894" t="s">
        <v>18511</v>
      </c>
      <c r="B5894" t="s">
        <v>18512</v>
      </c>
      <c r="C5894" t="s">
        <v>18513</v>
      </c>
      <c r="D5894" t="s">
        <v>18507</v>
      </c>
      <c r="E5894">
        <v>1</v>
      </c>
      <c r="F5894" t="str">
        <f>HYPERLINK("https://github.com/nextcloud/android/issues/7498", "show")</f>
        <v>show</v>
      </c>
      <c r="G5894" t="str">
        <f>HYPERLINK("https://github.com/nextcloud/android", "show")</f>
        <v>show</v>
      </c>
      <c r="H5894" t="str">
        <f>HYPERLINK("https://github.com/nextcloud/android/releases", "show")</f>
        <v>show</v>
      </c>
      <c r="I5894">
        <v>0</v>
      </c>
      <c r="J5894">
        <v>0</v>
      </c>
      <c r="K5894">
        <v>1</v>
      </c>
      <c r="L5894">
        <v>0</v>
      </c>
      <c r="M5894" t="s">
        <v>122</v>
      </c>
    </row>
    <row r="5895" spans="1:13" hidden="1" x14ac:dyDescent="0.15">
      <c r="A5895" t="s">
        <v>18514</v>
      </c>
      <c r="B5895" t="s">
        <v>18515</v>
      </c>
      <c r="C5895" t="s">
        <v>18516</v>
      </c>
      <c r="D5895" t="s">
        <v>18507</v>
      </c>
      <c r="E5895">
        <v>0</v>
      </c>
      <c r="F5895" t="str">
        <f>HYPERLINK("https://github.com/Anuken/Mindustry/issues/3599", "show")</f>
        <v>show</v>
      </c>
      <c r="G5895" t="str">
        <f>HYPERLINK("https://github.com/Anuken/Mindustry", "show")</f>
        <v>show</v>
      </c>
      <c r="H5895" t="str">
        <f>HYPERLINK("https://github.com/Anuken/Mindustry/releases", "show")</f>
        <v>show</v>
      </c>
      <c r="I5895">
        <v>0</v>
      </c>
      <c r="J5895">
        <v>0</v>
      </c>
      <c r="K5895">
        <v>0</v>
      </c>
      <c r="L5895">
        <v>0</v>
      </c>
      <c r="M5895" t="s">
        <v>43</v>
      </c>
    </row>
    <row r="5896" spans="1:13" hidden="1" x14ac:dyDescent="0.15">
      <c r="A5896" t="s">
        <v>18517</v>
      </c>
      <c r="B5896" t="s">
        <v>18518</v>
      </c>
      <c r="C5896" t="s">
        <v>13289</v>
      </c>
      <c r="D5896" t="s">
        <v>18507</v>
      </c>
      <c r="E5896">
        <v>1</v>
      </c>
      <c r="F5896" t="str">
        <f>HYPERLINK("https://github.com/nextcloud/android/issues/7497", "show")</f>
        <v>show</v>
      </c>
      <c r="G5896" t="str">
        <f>HYPERLINK("https://github.com/nextcloud/android", "show")</f>
        <v>show</v>
      </c>
      <c r="H5896" t="str">
        <f>HYPERLINK("https://github.com/nextcloud/android/releases", "show")</f>
        <v>show</v>
      </c>
      <c r="I5896">
        <v>0</v>
      </c>
      <c r="J5896">
        <v>0</v>
      </c>
      <c r="K5896">
        <v>1</v>
      </c>
      <c r="L5896">
        <v>0</v>
      </c>
      <c r="M5896" t="s">
        <v>122</v>
      </c>
    </row>
    <row r="5897" spans="1:13" hidden="1" x14ac:dyDescent="0.15">
      <c r="A5897" t="s">
        <v>18519</v>
      </c>
      <c r="B5897" t="s">
        <v>18520</v>
      </c>
      <c r="C5897" t="s">
        <v>18521</v>
      </c>
      <c r="D5897" t="s">
        <v>18507</v>
      </c>
      <c r="E5897">
        <v>2</v>
      </c>
      <c r="F5897" t="str">
        <f>HYPERLINK("https://github.com/opensrp/opensrp-client-chw/issues/1584", "show")</f>
        <v>show</v>
      </c>
      <c r="G5897" t="str">
        <f>HYPERLINK("https://github.com/opensrp/opensrp-client-chw", "show")</f>
        <v>show</v>
      </c>
      <c r="H5897" t="str">
        <f>HYPERLINK("https://github.com/opensrp/opensrp-client-chw/releases", "show")</f>
        <v>show</v>
      </c>
      <c r="I5897">
        <v>1</v>
      </c>
      <c r="J5897">
        <v>0</v>
      </c>
      <c r="K5897">
        <v>0</v>
      </c>
      <c r="L5897">
        <v>0</v>
      </c>
      <c r="M5897" t="s">
        <v>17</v>
      </c>
    </row>
    <row r="5898" spans="1:13" x14ac:dyDescent="0.15">
      <c r="A5898" t="s">
        <v>18522</v>
      </c>
      <c r="B5898" t="s">
        <v>18523</v>
      </c>
      <c r="C5898" t="s">
        <v>18524</v>
      </c>
      <c r="D5898" t="s">
        <v>18507</v>
      </c>
      <c r="E5898">
        <v>0</v>
      </c>
      <c r="F5898" t="str">
        <f>HYPERLINK("https://github.com/Anuken/Mindustry/issues/3597", "show")</f>
        <v>show</v>
      </c>
      <c r="G5898" t="str">
        <f>HYPERLINK("https://github.com/Anuken/Mindustry", "show")</f>
        <v>show</v>
      </c>
      <c r="H5898" t="str">
        <f>HYPERLINK("https://github.com/Anuken/Mindustry/releases", "show")</f>
        <v>show</v>
      </c>
      <c r="I5898">
        <v>0</v>
      </c>
      <c r="J5898">
        <v>1</v>
      </c>
      <c r="K5898">
        <v>0</v>
      </c>
      <c r="L5898">
        <v>0</v>
      </c>
      <c r="M5898" t="s">
        <v>139</v>
      </c>
    </row>
    <row r="5899" spans="1:13" hidden="1" x14ac:dyDescent="0.15">
      <c r="A5899" t="s">
        <v>18525</v>
      </c>
      <c r="B5899" t="s">
        <v>18526</v>
      </c>
      <c r="C5899" t="s">
        <v>18527</v>
      </c>
      <c r="D5899" t="s">
        <v>18507</v>
      </c>
      <c r="E5899">
        <v>1</v>
      </c>
      <c r="F5899" t="str">
        <f>HYPERLINK("https://github.com/nextcloud/android/issues/7494", "show")</f>
        <v>show</v>
      </c>
      <c r="G5899" t="str">
        <f>HYPERLINK("https://github.com/nextcloud/android", "show")</f>
        <v>show</v>
      </c>
      <c r="H5899" t="str">
        <f>HYPERLINK("https://github.com/nextcloud/android/releases", "show")</f>
        <v>show</v>
      </c>
      <c r="I5899">
        <v>1</v>
      </c>
      <c r="J5899">
        <v>1</v>
      </c>
      <c r="K5899">
        <v>1</v>
      </c>
      <c r="L5899">
        <v>0</v>
      </c>
      <c r="M5899" t="s">
        <v>59</v>
      </c>
    </row>
    <row r="5900" spans="1:13" hidden="1" x14ac:dyDescent="0.15">
      <c r="A5900" t="s">
        <v>18528</v>
      </c>
      <c r="B5900" t="s">
        <v>18529</v>
      </c>
      <c r="C5900" t="s">
        <v>18530</v>
      </c>
      <c r="D5900" t="s">
        <v>18507</v>
      </c>
      <c r="E5900">
        <v>0</v>
      </c>
      <c r="F5900" t="str">
        <f>HYPERLINK("https://github.com/Anuken/Mindustry/issues/3593", "show")</f>
        <v>show</v>
      </c>
      <c r="G5900" t="str">
        <f>HYPERLINK("https://github.com/Anuken/Mindustry", "show")</f>
        <v>show</v>
      </c>
      <c r="H5900" t="str">
        <f>HYPERLINK("https://github.com/Anuken/Mindustry/releases", "show")</f>
        <v>show</v>
      </c>
      <c r="I5900">
        <v>0</v>
      </c>
      <c r="J5900">
        <v>0</v>
      </c>
      <c r="K5900">
        <v>0</v>
      </c>
      <c r="L5900">
        <v>0</v>
      </c>
      <c r="M5900" t="s">
        <v>43</v>
      </c>
    </row>
    <row r="5901" spans="1:13" hidden="1" x14ac:dyDescent="0.15">
      <c r="A5901" t="s">
        <v>18531</v>
      </c>
      <c r="B5901" t="s">
        <v>18532</v>
      </c>
      <c r="C5901" t="s">
        <v>18533</v>
      </c>
      <c r="D5901" t="s">
        <v>18507</v>
      </c>
      <c r="E5901">
        <v>16</v>
      </c>
      <c r="F5901" t="str">
        <f>HYPERLINK("https://github.com/ElderDrivers/EdXposed/issues/662", "show")</f>
        <v>show</v>
      </c>
      <c r="G5901" t="str">
        <f>HYPERLINK("https://github.com/ElderDrivers/EdXposed", "show")</f>
        <v>show</v>
      </c>
      <c r="H5901" t="str">
        <f>HYPERLINK("https://github.com/ElderDrivers/EdXposed/releases", "show")</f>
        <v>show</v>
      </c>
      <c r="I5901">
        <v>0</v>
      </c>
      <c r="J5901">
        <v>1</v>
      </c>
      <c r="K5901">
        <v>1</v>
      </c>
      <c r="L5901">
        <v>0</v>
      </c>
      <c r="M5901" t="s">
        <v>699</v>
      </c>
    </row>
    <row r="5902" spans="1:13" x14ac:dyDescent="0.15">
      <c r="A5902" t="s">
        <v>18534</v>
      </c>
      <c r="B5902" t="s">
        <v>18535</v>
      </c>
      <c r="C5902" t="s">
        <v>18536</v>
      </c>
      <c r="D5902" t="s">
        <v>18507</v>
      </c>
      <c r="E5902">
        <v>0</v>
      </c>
      <c r="F5902" t="str">
        <f>HYPERLINK("https://github.com/Anuken/Mindustry/issues/3590", "show")</f>
        <v>show</v>
      </c>
      <c r="G5902" t="str">
        <f>HYPERLINK("https://github.com/Anuken/Mindustry", "show")</f>
        <v>show</v>
      </c>
      <c r="H5902" t="str">
        <f>HYPERLINK("https://github.com/Anuken/Mindustry/releases", "show")</f>
        <v>show</v>
      </c>
      <c r="I5902">
        <v>0</v>
      </c>
      <c r="J5902">
        <v>1</v>
      </c>
      <c r="K5902">
        <v>0</v>
      </c>
      <c r="L5902">
        <v>0</v>
      </c>
      <c r="M5902" t="s">
        <v>139</v>
      </c>
    </row>
    <row r="5903" spans="1:13" hidden="1" x14ac:dyDescent="0.15">
      <c r="A5903" t="s">
        <v>18537</v>
      </c>
      <c r="B5903" t="s">
        <v>18538</v>
      </c>
      <c r="C5903" t="s">
        <v>18539</v>
      </c>
      <c r="D5903" t="s">
        <v>18507</v>
      </c>
      <c r="E5903">
        <v>0</v>
      </c>
      <c r="F5903" t="str">
        <f>HYPERLINK("https://github.com/Anuken/Mindustry/issues/3589", "show")</f>
        <v>show</v>
      </c>
      <c r="G5903" t="str">
        <f>HYPERLINK("https://github.com/Anuken/Mindustry", "show")</f>
        <v>show</v>
      </c>
      <c r="H5903" t="str">
        <f>HYPERLINK("https://github.com/Anuken/Mindustry/releases", "show")</f>
        <v>show</v>
      </c>
      <c r="I5903">
        <v>1</v>
      </c>
      <c r="J5903">
        <v>1</v>
      </c>
      <c r="K5903">
        <v>1</v>
      </c>
      <c r="L5903">
        <v>0</v>
      </c>
      <c r="M5903" t="s">
        <v>59</v>
      </c>
    </row>
    <row r="5904" spans="1:13" hidden="1" x14ac:dyDescent="0.15">
      <c r="A5904" t="s">
        <v>18540</v>
      </c>
      <c r="B5904" t="s">
        <v>18541</v>
      </c>
      <c r="C5904" t="s">
        <v>18516</v>
      </c>
      <c r="D5904" t="s">
        <v>18507</v>
      </c>
      <c r="E5904">
        <v>0</v>
      </c>
      <c r="F5904" t="str">
        <f>HYPERLINK("https://github.com/Anuken/Mindustry/issues/3588", "show")</f>
        <v>show</v>
      </c>
      <c r="G5904" t="str">
        <f>HYPERLINK("https://github.com/Anuken/Mindustry", "show")</f>
        <v>show</v>
      </c>
      <c r="H5904" t="str">
        <f>HYPERLINK("https://github.com/Anuken/Mindustry/releases", "show")</f>
        <v>show</v>
      </c>
      <c r="I5904">
        <v>0</v>
      </c>
      <c r="J5904">
        <v>0</v>
      </c>
      <c r="K5904">
        <v>0</v>
      </c>
      <c r="L5904">
        <v>0</v>
      </c>
      <c r="M5904" t="s">
        <v>43</v>
      </c>
    </row>
    <row r="5905" spans="1:13" hidden="1" x14ac:dyDescent="0.15">
      <c r="A5905" t="s">
        <v>18542</v>
      </c>
      <c r="B5905" t="s">
        <v>18543</v>
      </c>
      <c r="C5905" t="s">
        <v>18544</v>
      </c>
      <c r="D5905" t="s">
        <v>18507</v>
      </c>
      <c r="E5905">
        <v>0</v>
      </c>
      <c r="F5905" t="str">
        <f>HYPERLINK("https://github.com/avluis/Hentoid/issues/700", "show")</f>
        <v>show</v>
      </c>
      <c r="G5905" t="str">
        <f>HYPERLINK("https://github.com/avluis/Hentoid", "show")</f>
        <v>show</v>
      </c>
      <c r="H5905" t="str">
        <f>HYPERLINK("https://github.com/avluis/Hentoid/releases", "show")</f>
        <v>show</v>
      </c>
      <c r="I5905">
        <v>1</v>
      </c>
      <c r="J5905">
        <v>0</v>
      </c>
      <c r="K5905">
        <v>0</v>
      </c>
      <c r="L5905">
        <v>1</v>
      </c>
      <c r="M5905" t="s">
        <v>29</v>
      </c>
    </row>
    <row r="5906" spans="1:13" hidden="1" x14ac:dyDescent="0.15">
      <c r="A5906" t="s">
        <v>18545</v>
      </c>
      <c r="B5906" t="s">
        <v>18546</v>
      </c>
      <c r="C5906" t="s">
        <v>18547</v>
      </c>
      <c r="D5906" t="s">
        <v>18507</v>
      </c>
      <c r="E5906">
        <v>0</v>
      </c>
      <c r="F5906" t="str">
        <f>HYPERLINK("https://github.com/Anuken/Mindustry/issues/3587", "show")</f>
        <v>show</v>
      </c>
      <c r="G5906" t="str">
        <f>HYPERLINK("https://github.com/Anuken/Mindustry", "show")</f>
        <v>show</v>
      </c>
      <c r="H5906" t="str">
        <f>HYPERLINK("https://github.com/Anuken/Mindustry/releases", "show")</f>
        <v>show</v>
      </c>
      <c r="I5906">
        <v>0</v>
      </c>
      <c r="J5906">
        <v>0</v>
      </c>
      <c r="K5906">
        <v>0</v>
      </c>
      <c r="L5906">
        <v>0</v>
      </c>
      <c r="M5906" t="s">
        <v>43</v>
      </c>
    </row>
    <row r="5907" spans="1:13" hidden="1" x14ac:dyDescent="0.15">
      <c r="A5907" t="s">
        <v>18548</v>
      </c>
      <c r="B5907" t="s">
        <v>18549</v>
      </c>
      <c r="C5907" t="s">
        <v>18550</v>
      </c>
      <c r="D5907" t="s">
        <v>18507</v>
      </c>
      <c r="E5907">
        <v>0</v>
      </c>
      <c r="F5907" t="str">
        <f>HYPERLINK("https://github.com/Anuken/Mindustry/issues/3586", "show")</f>
        <v>show</v>
      </c>
      <c r="G5907" t="str">
        <f>HYPERLINK("https://github.com/Anuken/Mindustry", "show")</f>
        <v>show</v>
      </c>
      <c r="H5907" t="str">
        <f>HYPERLINK("https://github.com/Anuken/Mindustry/releases", "show")</f>
        <v>show</v>
      </c>
      <c r="I5907">
        <v>1</v>
      </c>
      <c r="J5907">
        <v>0</v>
      </c>
      <c r="K5907">
        <v>0</v>
      </c>
      <c r="L5907">
        <v>0</v>
      </c>
      <c r="M5907" t="s">
        <v>17</v>
      </c>
    </row>
    <row r="5908" spans="1:13" hidden="1" x14ac:dyDescent="0.15">
      <c r="A5908" t="s">
        <v>18551</v>
      </c>
      <c r="B5908" t="s">
        <v>18552</v>
      </c>
      <c r="C5908" t="s">
        <v>18553</v>
      </c>
      <c r="D5908" t="s">
        <v>18507</v>
      </c>
      <c r="E5908">
        <v>0</v>
      </c>
      <c r="F5908" t="str">
        <f>HYPERLINK("https://github.com/Anuken/Mindustry/issues/3581", "show")</f>
        <v>show</v>
      </c>
      <c r="G5908" t="str">
        <f>HYPERLINK("https://github.com/Anuken/Mindustry", "show")</f>
        <v>show</v>
      </c>
      <c r="H5908" t="str">
        <f>HYPERLINK("https://github.com/Anuken/Mindustry/releases", "show")</f>
        <v>show</v>
      </c>
      <c r="I5908">
        <v>1</v>
      </c>
      <c r="J5908">
        <v>0</v>
      </c>
      <c r="K5908">
        <v>0</v>
      </c>
      <c r="L5908">
        <v>0</v>
      </c>
      <c r="M5908" t="s">
        <v>17</v>
      </c>
    </row>
    <row r="5909" spans="1:13" x14ac:dyDescent="0.15">
      <c r="A5909" t="s">
        <v>18554</v>
      </c>
      <c r="B5909" t="s">
        <v>18555</v>
      </c>
      <c r="C5909" t="s">
        <v>11582</v>
      </c>
      <c r="D5909" t="s">
        <v>18507</v>
      </c>
      <c r="E5909">
        <v>0</v>
      </c>
      <c r="F5909" t="str">
        <f>HYPERLINK("https://github.com/nextcloud/android/issues/7483", "show")</f>
        <v>show</v>
      </c>
      <c r="G5909" t="str">
        <f>HYPERLINK("https://github.com/nextcloud/android", "show")</f>
        <v>show</v>
      </c>
      <c r="H5909" t="str">
        <f>HYPERLINK("https://github.com/nextcloud/android/releases", "show")</f>
        <v>show</v>
      </c>
      <c r="I5909">
        <v>0</v>
      </c>
      <c r="J5909">
        <v>1</v>
      </c>
      <c r="K5909">
        <v>0</v>
      </c>
      <c r="L5909">
        <v>0</v>
      </c>
      <c r="M5909" t="s">
        <v>139</v>
      </c>
    </row>
    <row r="5910" spans="1:13" x14ac:dyDescent="0.15">
      <c r="A5910" t="s">
        <v>18556</v>
      </c>
      <c r="B5910" t="s">
        <v>18557</v>
      </c>
      <c r="C5910" t="s">
        <v>18558</v>
      </c>
      <c r="D5910" t="s">
        <v>18507</v>
      </c>
      <c r="E5910">
        <v>0</v>
      </c>
      <c r="F5910" t="str">
        <f>HYPERLINK("https://github.com/Anuken/Mindustry/issues/3576", "show")</f>
        <v>show</v>
      </c>
      <c r="G5910" t="str">
        <f>HYPERLINK("https://github.com/Anuken/Mindustry", "show")</f>
        <v>show</v>
      </c>
      <c r="H5910" t="str">
        <f>HYPERLINK("https://github.com/Anuken/Mindustry/releases", "show")</f>
        <v>show</v>
      </c>
      <c r="I5910">
        <v>0</v>
      </c>
      <c r="J5910">
        <v>1</v>
      </c>
      <c r="K5910">
        <v>0</v>
      </c>
      <c r="L5910">
        <v>0</v>
      </c>
      <c r="M5910" t="s">
        <v>139</v>
      </c>
    </row>
    <row r="5911" spans="1:13" hidden="1" x14ac:dyDescent="0.15">
      <c r="A5911" t="s">
        <v>18559</v>
      </c>
      <c r="B5911" t="s">
        <v>18560</v>
      </c>
      <c r="C5911" t="s">
        <v>18561</v>
      </c>
      <c r="D5911" t="s">
        <v>18507</v>
      </c>
      <c r="E5911">
        <v>25</v>
      </c>
      <c r="F5911" t="str">
        <f>HYPERLINK("https://github.com/stefan-niedermann/nextcloud-notes/issues/994", "show")</f>
        <v>show</v>
      </c>
      <c r="G5911" t="str">
        <f>HYPERLINK("https://github.com/stefan-niedermann/nextcloud-notes", "show")</f>
        <v>show</v>
      </c>
      <c r="H5911" t="str">
        <f>HYPERLINK("https://github.com/stefan-niedermann/nextcloud-notes/releases", "show")</f>
        <v>show</v>
      </c>
      <c r="I5911">
        <v>0</v>
      </c>
      <c r="J5911">
        <v>1</v>
      </c>
      <c r="K5911">
        <v>1</v>
      </c>
      <c r="L5911">
        <v>0</v>
      </c>
      <c r="M5911" t="s">
        <v>699</v>
      </c>
    </row>
    <row r="5912" spans="1:13" hidden="1" x14ac:dyDescent="0.15">
      <c r="A5912" t="s">
        <v>18562</v>
      </c>
      <c r="B5912" t="s">
        <v>18563</v>
      </c>
      <c r="C5912" t="s">
        <v>18516</v>
      </c>
      <c r="D5912" t="s">
        <v>18507</v>
      </c>
      <c r="E5912">
        <v>0</v>
      </c>
      <c r="F5912" t="str">
        <f>HYPERLINK("https://github.com/Anuken/Mindustry/issues/3575", "show")</f>
        <v>show</v>
      </c>
      <c r="G5912" t="str">
        <f>HYPERLINK("https://github.com/Anuken/Mindustry", "show")</f>
        <v>show</v>
      </c>
      <c r="H5912" t="str">
        <f>HYPERLINK("https://github.com/Anuken/Mindustry/releases", "show")</f>
        <v>show</v>
      </c>
      <c r="I5912">
        <v>0</v>
      </c>
      <c r="J5912">
        <v>0</v>
      </c>
      <c r="K5912">
        <v>0</v>
      </c>
      <c r="L5912">
        <v>0</v>
      </c>
      <c r="M5912" t="s">
        <v>43</v>
      </c>
    </row>
    <row r="5913" spans="1:13" hidden="1" x14ac:dyDescent="0.15">
      <c r="A5913" t="s">
        <v>18564</v>
      </c>
      <c r="B5913" t="s">
        <v>18565</v>
      </c>
      <c r="C5913" t="s">
        <v>18566</v>
      </c>
      <c r="D5913" t="s">
        <v>18507</v>
      </c>
      <c r="E5913">
        <v>0</v>
      </c>
      <c r="F5913" t="str">
        <f>HYPERLINK("https://github.com/square/okhttp/issues/6448", "show")</f>
        <v>show</v>
      </c>
      <c r="G5913" t="str">
        <f>HYPERLINK("https://github.com/square/okhttp", "show")</f>
        <v>show</v>
      </c>
      <c r="H5913" t="str">
        <f>HYPERLINK("https://github.com/square/okhttp/releases", "show")</f>
        <v>show</v>
      </c>
      <c r="I5913">
        <v>1</v>
      </c>
      <c r="J5913">
        <v>0</v>
      </c>
      <c r="K5913">
        <v>0</v>
      </c>
      <c r="L5913">
        <v>0</v>
      </c>
      <c r="M5913" t="s">
        <v>17</v>
      </c>
    </row>
    <row r="5914" spans="1:13" x14ac:dyDescent="0.15">
      <c r="A5914" t="s">
        <v>18567</v>
      </c>
      <c r="B5914" t="s">
        <v>3180</v>
      </c>
      <c r="C5914" t="s">
        <v>11582</v>
      </c>
      <c r="D5914" t="s">
        <v>18507</v>
      </c>
      <c r="E5914">
        <v>0</v>
      </c>
      <c r="F5914" t="str">
        <f>HYPERLINK("https://github.com/nextcloud/android/issues/7479", "show")</f>
        <v>show</v>
      </c>
      <c r="G5914" t="str">
        <f>HYPERLINK("https://github.com/nextcloud/android", "show")</f>
        <v>show</v>
      </c>
      <c r="H5914" t="str">
        <f>HYPERLINK("https://github.com/nextcloud/android/releases", "show")</f>
        <v>show</v>
      </c>
      <c r="I5914">
        <v>0</v>
      </c>
      <c r="J5914">
        <v>1</v>
      </c>
      <c r="K5914">
        <v>0</v>
      </c>
      <c r="L5914">
        <v>0</v>
      </c>
      <c r="M5914" t="s">
        <v>139</v>
      </c>
    </row>
    <row r="5915" spans="1:13" hidden="1" x14ac:dyDescent="0.15">
      <c r="A5915" t="s">
        <v>18568</v>
      </c>
      <c r="B5915" t="s">
        <v>18569</v>
      </c>
      <c r="C5915" t="s">
        <v>18570</v>
      </c>
      <c r="D5915" t="s">
        <v>18507</v>
      </c>
      <c r="E5915">
        <v>0</v>
      </c>
      <c r="F5915" t="str">
        <f>HYPERLINK("https://github.com/Anuken/Mindustry/issues/3574", "show")</f>
        <v>show</v>
      </c>
      <c r="G5915" t="str">
        <f>HYPERLINK("https://github.com/Anuken/Mindustry", "show")</f>
        <v>show</v>
      </c>
      <c r="H5915" t="str">
        <f>HYPERLINK("https://github.com/Anuken/Mindustry/releases", "show")</f>
        <v>show</v>
      </c>
      <c r="I5915">
        <v>0</v>
      </c>
      <c r="J5915">
        <v>0</v>
      </c>
      <c r="K5915">
        <v>0</v>
      </c>
      <c r="L5915">
        <v>0</v>
      </c>
      <c r="M5915" t="s">
        <v>43</v>
      </c>
    </row>
    <row r="5916" spans="1:13" hidden="1" x14ac:dyDescent="0.15">
      <c r="A5916" t="s">
        <v>18571</v>
      </c>
      <c r="B5916" t="s">
        <v>18572</v>
      </c>
      <c r="C5916" t="s">
        <v>18573</v>
      </c>
      <c r="D5916" t="s">
        <v>18574</v>
      </c>
      <c r="E5916">
        <v>0</v>
      </c>
      <c r="F5916" t="str">
        <f>HYPERLINK("https://github.com/Anuken/Mindustry/issues/3573", "show")</f>
        <v>show</v>
      </c>
      <c r="G5916" t="str">
        <f>HYPERLINK("https://github.com/Anuken/Mindustry", "show")</f>
        <v>show</v>
      </c>
      <c r="H5916" t="str">
        <f>HYPERLINK("https://github.com/Anuken/Mindustry/releases", "show")</f>
        <v>show</v>
      </c>
      <c r="I5916">
        <v>0</v>
      </c>
      <c r="J5916">
        <v>0</v>
      </c>
      <c r="K5916">
        <v>0</v>
      </c>
      <c r="L5916">
        <v>0</v>
      </c>
      <c r="M5916" t="s">
        <v>43</v>
      </c>
    </row>
    <row r="5917" spans="1:13" hidden="1" x14ac:dyDescent="0.15">
      <c r="A5917" t="s">
        <v>18575</v>
      </c>
      <c r="B5917" t="s">
        <v>18576</v>
      </c>
      <c r="C5917" t="s">
        <v>18577</v>
      </c>
      <c r="D5917" t="s">
        <v>18574</v>
      </c>
      <c r="E5917">
        <v>1</v>
      </c>
      <c r="F5917" t="str">
        <f>HYPERLINK("https://github.com/nextcloud/android/issues/7477", "show")</f>
        <v>show</v>
      </c>
      <c r="G5917" t="str">
        <f>HYPERLINK("https://github.com/nextcloud/android", "show")</f>
        <v>show</v>
      </c>
      <c r="H5917" t="str">
        <f>HYPERLINK("https://github.com/nextcloud/android/releases", "show")</f>
        <v>show</v>
      </c>
      <c r="I5917">
        <v>1</v>
      </c>
      <c r="J5917">
        <v>1</v>
      </c>
      <c r="K5917">
        <v>1</v>
      </c>
      <c r="L5917">
        <v>0</v>
      </c>
      <c r="M5917" t="s">
        <v>59</v>
      </c>
    </row>
    <row r="5918" spans="1:13" hidden="1" x14ac:dyDescent="0.15">
      <c r="A5918" t="s">
        <v>18578</v>
      </c>
      <c r="B5918" t="s">
        <v>18579</v>
      </c>
      <c r="C5918" t="s">
        <v>12185</v>
      </c>
      <c r="D5918" t="s">
        <v>18574</v>
      </c>
      <c r="E5918">
        <v>92</v>
      </c>
      <c r="F5918" t="str">
        <f>HYPERLINK("https://github.com/nextcloud/android/issues/7471", "show")</f>
        <v>show</v>
      </c>
      <c r="G5918" t="str">
        <f>HYPERLINK("https://github.com/nextcloud/android", "show")</f>
        <v>show</v>
      </c>
      <c r="H5918" t="str">
        <f>HYPERLINK("https://github.com/nextcloud/android/releases", "show")</f>
        <v>show</v>
      </c>
      <c r="I5918">
        <v>0</v>
      </c>
      <c r="J5918">
        <v>0</v>
      </c>
      <c r="K5918">
        <v>1</v>
      </c>
      <c r="L5918">
        <v>0</v>
      </c>
      <c r="M5918" t="s">
        <v>122</v>
      </c>
    </row>
    <row r="5919" spans="1:13" hidden="1" x14ac:dyDescent="0.15">
      <c r="A5919" t="s">
        <v>18580</v>
      </c>
      <c r="B5919" t="s">
        <v>18581</v>
      </c>
      <c r="C5919" t="s">
        <v>18582</v>
      </c>
      <c r="D5919" t="s">
        <v>18574</v>
      </c>
      <c r="E5919">
        <v>1</v>
      </c>
      <c r="F5919" t="str">
        <f>HYPERLINK("https://github.com/nextcloud/android/issues/7470", "show")</f>
        <v>show</v>
      </c>
      <c r="G5919" t="str">
        <f>HYPERLINK("https://github.com/nextcloud/android", "show")</f>
        <v>show</v>
      </c>
      <c r="H5919" t="str">
        <f>HYPERLINK("https://github.com/nextcloud/android/releases", "show")</f>
        <v>show</v>
      </c>
      <c r="I5919">
        <v>1</v>
      </c>
      <c r="J5919">
        <v>0</v>
      </c>
      <c r="K5919">
        <v>1</v>
      </c>
      <c r="L5919">
        <v>0</v>
      </c>
      <c r="M5919" t="s">
        <v>64</v>
      </c>
    </row>
    <row r="5920" spans="1:13" hidden="1" x14ac:dyDescent="0.15">
      <c r="A5920" t="s">
        <v>18583</v>
      </c>
      <c r="B5920" t="s">
        <v>18584</v>
      </c>
      <c r="C5920" t="s">
        <v>18585</v>
      </c>
      <c r="D5920" t="s">
        <v>18574</v>
      </c>
      <c r="E5920">
        <v>5</v>
      </c>
      <c r="F5920" t="str">
        <f>HYPERLINK("https://github.com/ElderDrivers/EdXposed/issues/654", "show")</f>
        <v>show</v>
      </c>
      <c r="G5920" t="str">
        <f>HYPERLINK("https://github.com/ElderDrivers/EdXposed", "show")</f>
        <v>show</v>
      </c>
      <c r="H5920" t="str">
        <f>HYPERLINK("https://github.com/ElderDrivers/EdXposed/releases", "show")</f>
        <v>show</v>
      </c>
      <c r="I5920">
        <v>1</v>
      </c>
      <c r="J5920">
        <v>1</v>
      </c>
      <c r="K5920">
        <v>0</v>
      </c>
      <c r="L5920">
        <v>0</v>
      </c>
      <c r="M5920" t="s">
        <v>48</v>
      </c>
    </row>
    <row r="5921" spans="1:13" hidden="1" x14ac:dyDescent="0.15">
      <c r="A5921" t="s">
        <v>18586</v>
      </c>
      <c r="B5921" t="s">
        <v>18587</v>
      </c>
      <c r="C5921" t="s">
        <v>18588</v>
      </c>
      <c r="D5921" t="s">
        <v>18574</v>
      </c>
      <c r="E5921">
        <v>0</v>
      </c>
      <c r="F5921" t="str">
        <f>HYPERLINK("https://github.com/NordicSemiconductor/Android-DFU-Library/issues/279", "show")</f>
        <v>show</v>
      </c>
      <c r="G5921" t="str">
        <f>HYPERLINK("https://github.com/NordicSemiconductor/Android-DFU-Library", "show")</f>
        <v>show</v>
      </c>
      <c r="H5921" t="str">
        <f>HYPERLINK("https://github.com/NordicSemiconductor/Android-DFU-Library/releases", "show")</f>
        <v>show</v>
      </c>
      <c r="I5921">
        <v>1</v>
      </c>
      <c r="J5921">
        <v>1</v>
      </c>
      <c r="K5921">
        <v>1</v>
      </c>
      <c r="L5921">
        <v>0</v>
      </c>
      <c r="M5921" t="s">
        <v>59</v>
      </c>
    </row>
    <row r="5922" spans="1:13" x14ac:dyDescent="0.15">
      <c r="A5922" t="s">
        <v>18589</v>
      </c>
      <c r="B5922" t="s">
        <v>18590</v>
      </c>
      <c r="C5922" t="s">
        <v>18591</v>
      </c>
      <c r="D5922" t="s">
        <v>18574</v>
      </c>
      <c r="E5922">
        <v>0</v>
      </c>
      <c r="F5922" t="str">
        <f>HYPERLINK("https://github.com/Anuken/Mindustry/issues/3565", "show")</f>
        <v>show</v>
      </c>
      <c r="G5922" t="str">
        <f>HYPERLINK("https://github.com/Anuken/Mindustry", "show")</f>
        <v>show</v>
      </c>
      <c r="H5922" t="str">
        <f>HYPERLINK("https://github.com/Anuken/Mindustry/releases", "show")</f>
        <v>show</v>
      </c>
      <c r="I5922">
        <v>0</v>
      </c>
      <c r="J5922">
        <v>1</v>
      </c>
      <c r="K5922">
        <v>0</v>
      </c>
      <c r="L5922">
        <v>0</v>
      </c>
      <c r="M5922" t="s">
        <v>139</v>
      </c>
    </row>
    <row r="5923" spans="1:13" hidden="1" x14ac:dyDescent="0.15">
      <c r="A5923" t="s">
        <v>18592</v>
      </c>
      <c r="B5923" t="s">
        <v>18593</v>
      </c>
      <c r="C5923" t="s">
        <v>18594</v>
      </c>
      <c r="D5923" t="s">
        <v>18574</v>
      </c>
      <c r="E5923">
        <v>1</v>
      </c>
      <c r="F5923" t="str">
        <f>HYPERLINK("https://github.com/nextcloud/android/issues/7468", "show")</f>
        <v>show</v>
      </c>
      <c r="G5923" t="str">
        <f>HYPERLINK("https://github.com/nextcloud/android", "show")</f>
        <v>show</v>
      </c>
      <c r="H5923" t="str">
        <f>HYPERLINK("https://github.com/nextcloud/android/releases", "show")</f>
        <v>show</v>
      </c>
      <c r="I5923">
        <v>1</v>
      </c>
      <c r="J5923">
        <v>1</v>
      </c>
      <c r="K5923">
        <v>1</v>
      </c>
      <c r="L5923">
        <v>0</v>
      </c>
      <c r="M5923" t="s">
        <v>59</v>
      </c>
    </row>
    <row r="5924" spans="1:13" hidden="1" x14ac:dyDescent="0.15">
      <c r="A5924" t="s">
        <v>18595</v>
      </c>
      <c r="B5924" t="s">
        <v>18596</v>
      </c>
      <c r="C5924" t="s">
        <v>18597</v>
      </c>
      <c r="D5924" t="s">
        <v>18574</v>
      </c>
      <c r="E5924">
        <v>0</v>
      </c>
      <c r="F5924" t="str">
        <f>HYPERLINK("https://github.com/nextcloud/android/issues/7463", "show")</f>
        <v>show</v>
      </c>
      <c r="G5924" t="str">
        <f>HYPERLINK("https://github.com/nextcloud/android", "show")</f>
        <v>show</v>
      </c>
      <c r="H5924" t="str">
        <f>HYPERLINK("https://github.com/nextcloud/android/releases", "show")</f>
        <v>show</v>
      </c>
      <c r="I5924">
        <v>1</v>
      </c>
      <c r="J5924">
        <v>1</v>
      </c>
      <c r="K5924">
        <v>1</v>
      </c>
      <c r="L5924">
        <v>0</v>
      </c>
      <c r="M5924" t="s">
        <v>59</v>
      </c>
    </row>
    <row r="5925" spans="1:13" hidden="1" x14ac:dyDescent="0.15">
      <c r="A5925" t="s">
        <v>18598</v>
      </c>
      <c r="B5925" t="s">
        <v>18599</v>
      </c>
      <c r="C5925" t="s">
        <v>18600</v>
      </c>
      <c r="D5925" t="s">
        <v>18574</v>
      </c>
      <c r="E5925">
        <v>0</v>
      </c>
      <c r="F5925" t="str">
        <f>HYPERLINK("https://github.com/Anuken/Mindustry/issues/3560", "show")</f>
        <v>show</v>
      </c>
      <c r="G5925" t="str">
        <f>HYPERLINK("https://github.com/Anuken/Mindustry", "show")</f>
        <v>show</v>
      </c>
      <c r="H5925" t="str">
        <f>HYPERLINK("https://github.com/Anuken/Mindustry/releases", "show")</f>
        <v>show</v>
      </c>
      <c r="I5925">
        <v>0</v>
      </c>
      <c r="J5925">
        <v>0</v>
      </c>
      <c r="K5925">
        <v>0</v>
      </c>
      <c r="L5925">
        <v>0</v>
      </c>
      <c r="M5925" t="s">
        <v>43</v>
      </c>
    </row>
    <row r="5926" spans="1:13" hidden="1" x14ac:dyDescent="0.15">
      <c r="A5926" t="s">
        <v>18601</v>
      </c>
      <c r="B5926" t="s">
        <v>18602</v>
      </c>
      <c r="C5926" t="s">
        <v>18603</v>
      </c>
      <c r="D5926" t="s">
        <v>18574</v>
      </c>
      <c r="E5926">
        <v>0</v>
      </c>
      <c r="F5926" t="str">
        <f>HYPERLINK("https://github.com/Anuken/Mindustry/issues/3559", "show")</f>
        <v>show</v>
      </c>
      <c r="G5926" t="str">
        <f>HYPERLINK("https://github.com/Anuken/Mindustry", "show")</f>
        <v>show</v>
      </c>
      <c r="H5926" t="str">
        <f>HYPERLINK("https://github.com/Anuken/Mindustry/releases", "show")</f>
        <v>show</v>
      </c>
      <c r="I5926">
        <v>0</v>
      </c>
      <c r="J5926">
        <v>0</v>
      </c>
      <c r="K5926">
        <v>0</v>
      </c>
      <c r="L5926">
        <v>1</v>
      </c>
      <c r="M5926" t="s">
        <v>581</v>
      </c>
    </row>
    <row r="5927" spans="1:13" hidden="1" x14ac:dyDescent="0.15">
      <c r="A5927" t="s">
        <v>18604</v>
      </c>
      <c r="B5927" t="s">
        <v>18605</v>
      </c>
      <c r="C5927" t="s">
        <v>18606</v>
      </c>
      <c r="D5927" t="s">
        <v>18607</v>
      </c>
      <c r="E5927">
        <v>2</v>
      </c>
      <c r="F5927" t="str">
        <f>HYPERLINK("https://github.com/aws-amplify/amplify-android/issues/984", "show")</f>
        <v>show</v>
      </c>
      <c r="G5927" t="str">
        <f>HYPERLINK("https://github.com/aws-amplify/amplify-android", "show")</f>
        <v>show</v>
      </c>
      <c r="H5927" t="str">
        <f>HYPERLINK("https://github.com/aws-amplify/amplify-android/releases", "show")</f>
        <v>show</v>
      </c>
      <c r="I5927">
        <v>1</v>
      </c>
      <c r="J5927">
        <v>0</v>
      </c>
      <c r="K5927">
        <v>1</v>
      </c>
      <c r="L5927">
        <v>0</v>
      </c>
      <c r="M5927" t="s">
        <v>64</v>
      </c>
    </row>
    <row r="5928" spans="1:13" hidden="1" x14ac:dyDescent="0.15">
      <c r="A5928" t="s">
        <v>18608</v>
      </c>
      <c r="B5928" t="s">
        <v>18609</v>
      </c>
      <c r="C5928" t="s">
        <v>18610</v>
      </c>
      <c r="D5928" t="s">
        <v>18607</v>
      </c>
      <c r="E5928">
        <v>0</v>
      </c>
      <c r="F5928" t="str">
        <f>HYPERLINK("https://github.com/Anuken/Mindustry/issues/3557", "show")</f>
        <v>show</v>
      </c>
      <c r="G5928" t="str">
        <f>HYPERLINK("https://github.com/Anuken/Mindustry", "show")</f>
        <v>show</v>
      </c>
      <c r="H5928" t="str">
        <f>HYPERLINK("https://github.com/Anuken/Mindustry/releases", "show")</f>
        <v>show</v>
      </c>
      <c r="I5928">
        <v>0</v>
      </c>
      <c r="J5928">
        <v>0</v>
      </c>
      <c r="K5928">
        <v>0</v>
      </c>
      <c r="L5928">
        <v>0</v>
      </c>
      <c r="M5928" t="s">
        <v>43</v>
      </c>
    </row>
    <row r="5929" spans="1:13" hidden="1" x14ac:dyDescent="0.15">
      <c r="A5929" t="s">
        <v>18611</v>
      </c>
      <c r="B5929" t="s">
        <v>18612</v>
      </c>
      <c r="C5929" t="s">
        <v>18613</v>
      </c>
      <c r="D5929" t="s">
        <v>18607</v>
      </c>
      <c r="E5929">
        <v>0</v>
      </c>
      <c r="F5929" t="str">
        <f>HYPERLINK("https://github.com/Anuken/Mindustry/issues/3555", "show")</f>
        <v>show</v>
      </c>
      <c r="G5929" t="str">
        <f>HYPERLINK("https://github.com/Anuken/Mindustry", "show")</f>
        <v>show</v>
      </c>
      <c r="H5929" t="str">
        <f>HYPERLINK("https://github.com/Anuken/Mindustry/releases", "show")</f>
        <v>show</v>
      </c>
      <c r="I5929">
        <v>0</v>
      </c>
      <c r="J5929">
        <v>0</v>
      </c>
      <c r="K5929">
        <v>0</v>
      </c>
      <c r="L5929">
        <v>0</v>
      </c>
      <c r="M5929" t="s">
        <v>43</v>
      </c>
    </row>
    <row r="5930" spans="1:13" hidden="1" x14ac:dyDescent="0.15">
      <c r="A5930" t="s">
        <v>18614</v>
      </c>
      <c r="B5930" t="s">
        <v>18615</v>
      </c>
      <c r="D5930" t="s">
        <v>18607</v>
      </c>
      <c r="E5930">
        <v>0</v>
      </c>
      <c r="F5930" t="str">
        <f>HYPERLINK("https://github.com/ModdingFox/OpenFuraffinityClient/issues/80", "show")</f>
        <v>show</v>
      </c>
      <c r="G5930" t="str">
        <f>HYPERLINK("https://github.com/ModdingFox/OpenFuraffinityClient", "show")</f>
        <v>show</v>
      </c>
      <c r="H5930" t="str">
        <f>HYPERLINK("https://github.com/ModdingFox/OpenFuraffinityClient/releases", "show")</f>
        <v>show</v>
      </c>
      <c r="I5930">
        <v>1</v>
      </c>
      <c r="J5930">
        <v>0</v>
      </c>
      <c r="K5930">
        <v>0</v>
      </c>
      <c r="L5930">
        <v>0</v>
      </c>
      <c r="M5930" t="s">
        <v>17</v>
      </c>
    </row>
    <row r="5931" spans="1:13" hidden="1" x14ac:dyDescent="0.15">
      <c r="A5931" t="s">
        <v>18616</v>
      </c>
      <c r="B5931" t="s">
        <v>18617</v>
      </c>
      <c r="C5931" t="s">
        <v>18618</v>
      </c>
      <c r="D5931" t="s">
        <v>18607</v>
      </c>
      <c r="E5931">
        <v>4</v>
      </c>
      <c r="F5931" t="str">
        <f>HYPERLINK("https://github.com/TeamNewPipe/NewPipe/issues/4980", "show")</f>
        <v>show</v>
      </c>
      <c r="G5931" t="str">
        <f>HYPERLINK("https://github.com/TeamNewPipe/NewPipe", "show")</f>
        <v>show</v>
      </c>
      <c r="H5931" t="str">
        <f>HYPERLINK("https://github.com/TeamNewPipe/NewPipe/releases", "show")</f>
        <v>show</v>
      </c>
      <c r="I5931">
        <v>1</v>
      </c>
      <c r="J5931">
        <v>1</v>
      </c>
      <c r="K5931">
        <v>0</v>
      </c>
      <c r="L5931">
        <v>1</v>
      </c>
      <c r="M5931" t="s">
        <v>1894</v>
      </c>
    </row>
    <row r="5932" spans="1:13" hidden="1" x14ac:dyDescent="0.15">
      <c r="A5932" t="s">
        <v>18619</v>
      </c>
      <c r="B5932" t="s">
        <v>18620</v>
      </c>
      <c r="C5932" t="s">
        <v>18621</v>
      </c>
      <c r="D5932" t="s">
        <v>18607</v>
      </c>
      <c r="E5932">
        <v>14</v>
      </c>
      <c r="F5932" t="str">
        <f>HYPERLINK("https://github.com/AOF-Dev/MCinaBox/issues/699", "show")</f>
        <v>show</v>
      </c>
      <c r="G5932" t="str">
        <f>HYPERLINK("https://github.com/AOF-Dev/MCinaBox", "show")</f>
        <v>show</v>
      </c>
      <c r="H5932" t="str">
        <f>HYPERLINK("https://github.com/AOF-Dev/MCinaBox/releases", "show")</f>
        <v>show</v>
      </c>
      <c r="I5932">
        <v>1</v>
      </c>
      <c r="J5932">
        <v>1</v>
      </c>
      <c r="K5932">
        <v>0</v>
      </c>
      <c r="L5932">
        <v>1</v>
      </c>
      <c r="M5932" t="s">
        <v>1894</v>
      </c>
    </row>
    <row r="5933" spans="1:13" hidden="1" x14ac:dyDescent="0.15">
      <c r="A5933" t="s">
        <v>18622</v>
      </c>
      <c r="B5933" t="s">
        <v>18623</v>
      </c>
      <c r="C5933" t="s">
        <v>18624</v>
      </c>
      <c r="D5933" t="s">
        <v>18607</v>
      </c>
      <c r="E5933">
        <v>1</v>
      </c>
      <c r="F5933" t="str">
        <f>HYPERLINK("https://github.com/ThatCakeID/os-thm-android/issues/43", "show")</f>
        <v>show</v>
      </c>
      <c r="G5933" t="str">
        <f>HYPERLINK("https://github.com/ThatCakeID/os-thm-android", "show")</f>
        <v>show</v>
      </c>
      <c r="H5933" t="str">
        <f>HYPERLINK("https://github.com/ThatCakeID/os-thm-android/releases", "show")</f>
        <v>show</v>
      </c>
      <c r="I5933">
        <v>0</v>
      </c>
      <c r="J5933">
        <v>0</v>
      </c>
      <c r="K5933">
        <v>0</v>
      </c>
      <c r="L5933">
        <v>0</v>
      </c>
      <c r="M5933" t="s">
        <v>43</v>
      </c>
    </row>
    <row r="5934" spans="1:13" hidden="1" x14ac:dyDescent="0.15">
      <c r="A5934" t="s">
        <v>18625</v>
      </c>
      <c r="B5934" t="s">
        <v>18626</v>
      </c>
      <c r="C5934" t="s">
        <v>18627</v>
      </c>
      <c r="D5934" t="s">
        <v>18607</v>
      </c>
      <c r="E5934">
        <v>1</v>
      </c>
      <c r="F5934" t="str">
        <f>HYPERLINK("https://github.com/HBiSoft/HBRecorder/issues/44", "show")</f>
        <v>show</v>
      </c>
      <c r="G5934" t="str">
        <f>HYPERLINK("https://github.com/HBiSoft/HBRecorder", "show")</f>
        <v>show</v>
      </c>
      <c r="H5934" t="str">
        <f>HYPERLINK("https://github.com/HBiSoft/HBRecorder/releases", "show")</f>
        <v>show</v>
      </c>
      <c r="I5934">
        <v>1</v>
      </c>
      <c r="J5934">
        <v>0</v>
      </c>
      <c r="K5934">
        <v>1</v>
      </c>
      <c r="L5934">
        <v>0</v>
      </c>
      <c r="M5934" t="s">
        <v>64</v>
      </c>
    </row>
    <row r="5935" spans="1:13" hidden="1" x14ac:dyDescent="0.15">
      <c r="A5935" t="s">
        <v>18628</v>
      </c>
      <c r="B5935" t="s">
        <v>18629</v>
      </c>
      <c r="C5935" t="s">
        <v>18630</v>
      </c>
      <c r="D5935" t="s">
        <v>18607</v>
      </c>
      <c r="E5935">
        <v>0</v>
      </c>
      <c r="F5935" t="str">
        <f>HYPERLINK("https://github.com/nextcloud/android/issues/7449", "show")</f>
        <v>show</v>
      </c>
      <c r="G5935" t="str">
        <f>HYPERLINK("https://github.com/nextcloud/android", "show")</f>
        <v>show</v>
      </c>
      <c r="H5935" t="str">
        <f>HYPERLINK("https://github.com/nextcloud/android/releases", "show")</f>
        <v>show</v>
      </c>
      <c r="I5935">
        <v>1</v>
      </c>
      <c r="J5935">
        <v>1</v>
      </c>
      <c r="K5935">
        <v>1</v>
      </c>
      <c r="L5935">
        <v>0</v>
      </c>
      <c r="M5935" t="s">
        <v>59</v>
      </c>
    </row>
    <row r="5936" spans="1:13" hidden="1" x14ac:dyDescent="0.15">
      <c r="A5936" t="s">
        <v>18631</v>
      </c>
      <c r="B5936" t="s">
        <v>141</v>
      </c>
      <c r="C5936" t="s">
        <v>18632</v>
      </c>
      <c r="D5936" t="s">
        <v>18607</v>
      </c>
      <c r="E5936">
        <v>0</v>
      </c>
      <c r="F5936" t="str">
        <f>HYPERLINK("https://github.com/Anuken/Mindustry/issues/3537", "show")</f>
        <v>show</v>
      </c>
      <c r="G5936" t="str">
        <f>HYPERLINK("https://github.com/Anuken/Mindustry", "show")</f>
        <v>show</v>
      </c>
      <c r="H5936" t="str">
        <f>HYPERLINK("https://github.com/Anuken/Mindustry/releases", "show")</f>
        <v>show</v>
      </c>
      <c r="I5936">
        <v>1</v>
      </c>
      <c r="J5936">
        <v>0</v>
      </c>
      <c r="K5936">
        <v>0</v>
      </c>
      <c r="L5936">
        <v>0</v>
      </c>
      <c r="M5936" t="s">
        <v>17</v>
      </c>
    </row>
    <row r="5937" spans="1:13" hidden="1" x14ac:dyDescent="0.15">
      <c r="A5937" t="s">
        <v>18633</v>
      </c>
      <c r="B5937" t="s">
        <v>18634</v>
      </c>
      <c r="C5937" t="s">
        <v>18635</v>
      </c>
      <c r="D5937" t="s">
        <v>18607</v>
      </c>
      <c r="E5937">
        <v>0</v>
      </c>
      <c r="F5937" t="str">
        <f>HYPERLINK("https://github.com/Anuken/Mindustry/issues/3536", "show")</f>
        <v>show</v>
      </c>
      <c r="G5937" t="str">
        <f>HYPERLINK("https://github.com/Anuken/Mindustry", "show")</f>
        <v>show</v>
      </c>
      <c r="H5937" t="str">
        <f>HYPERLINK("https://github.com/Anuken/Mindustry/releases", "show")</f>
        <v>show</v>
      </c>
      <c r="I5937">
        <v>1</v>
      </c>
      <c r="J5937">
        <v>0</v>
      </c>
      <c r="K5937">
        <v>0</v>
      </c>
      <c r="L5937">
        <v>0</v>
      </c>
      <c r="M5937" t="s">
        <v>17</v>
      </c>
    </row>
    <row r="5938" spans="1:13" hidden="1" x14ac:dyDescent="0.15">
      <c r="A5938" t="s">
        <v>18636</v>
      </c>
      <c r="B5938" t="s">
        <v>18637</v>
      </c>
      <c r="C5938" t="s">
        <v>18638</v>
      </c>
      <c r="D5938" t="s">
        <v>18607</v>
      </c>
      <c r="E5938">
        <v>1</v>
      </c>
      <c r="F5938" t="str">
        <f>HYPERLINK("https://github.com/ElderDrivers/EdXposed/issues/643", "show")</f>
        <v>show</v>
      </c>
      <c r="G5938" t="str">
        <f>HYPERLINK("https://github.com/ElderDrivers/EdXposed", "show")</f>
        <v>show</v>
      </c>
      <c r="H5938" t="str">
        <f>HYPERLINK("https://github.com/ElderDrivers/EdXposed/releases", "show")</f>
        <v>show</v>
      </c>
      <c r="I5938">
        <v>0</v>
      </c>
      <c r="J5938">
        <v>0</v>
      </c>
      <c r="K5938">
        <v>1</v>
      </c>
      <c r="L5938">
        <v>0</v>
      </c>
      <c r="M5938" t="s">
        <v>122</v>
      </c>
    </row>
    <row r="5939" spans="1:13" hidden="1" x14ac:dyDescent="0.15">
      <c r="A5939" t="s">
        <v>18639</v>
      </c>
      <c r="B5939" t="s">
        <v>18640</v>
      </c>
      <c r="C5939" t="s">
        <v>18641</v>
      </c>
      <c r="D5939" t="s">
        <v>18642</v>
      </c>
      <c r="E5939">
        <v>0</v>
      </c>
      <c r="F5939" t="str">
        <f>HYPERLINK("https://github.com/Anuken/Mindustry/issues/3534", "show")</f>
        <v>show</v>
      </c>
      <c r="G5939" t="str">
        <f>HYPERLINK("https://github.com/Anuken/Mindustry", "show")</f>
        <v>show</v>
      </c>
      <c r="H5939" t="str">
        <f>HYPERLINK("https://github.com/Anuken/Mindustry/releases", "show")</f>
        <v>show</v>
      </c>
      <c r="I5939">
        <v>1</v>
      </c>
      <c r="J5939">
        <v>0</v>
      </c>
      <c r="K5939">
        <v>0</v>
      </c>
      <c r="L5939">
        <v>0</v>
      </c>
      <c r="M5939" t="s">
        <v>17</v>
      </c>
    </row>
    <row r="5940" spans="1:13" hidden="1" x14ac:dyDescent="0.15">
      <c r="A5940" t="s">
        <v>18643</v>
      </c>
      <c r="B5940" t="s">
        <v>18644</v>
      </c>
      <c r="C5940" t="s">
        <v>18516</v>
      </c>
      <c r="D5940" t="s">
        <v>18642</v>
      </c>
      <c r="E5940">
        <v>0</v>
      </c>
      <c r="F5940" t="str">
        <f>HYPERLINK("https://github.com/Anuken/Mindustry/issues/3533", "show")</f>
        <v>show</v>
      </c>
      <c r="G5940" t="str">
        <f>HYPERLINK("https://github.com/Anuken/Mindustry", "show")</f>
        <v>show</v>
      </c>
      <c r="H5940" t="str">
        <f>HYPERLINK("https://github.com/Anuken/Mindustry/releases", "show")</f>
        <v>show</v>
      </c>
      <c r="I5940">
        <v>0</v>
      </c>
      <c r="J5940">
        <v>0</v>
      </c>
      <c r="K5940">
        <v>0</v>
      </c>
      <c r="L5940">
        <v>0</v>
      </c>
      <c r="M5940" t="s">
        <v>43</v>
      </c>
    </row>
    <row r="5941" spans="1:13" hidden="1" x14ac:dyDescent="0.15">
      <c r="A5941" t="s">
        <v>18645</v>
      </c>
      <c r="B5941" t="s">
        <v>16949</v>
      </c>
      <c r="C5941" t="s">
        <v>18646</v>
      </c>
      <c r="D5941" t="s">
        <v>18642</v>
      </c>
      <c r="E5941">
        <v>1</v>
      </c>
      <c r="F5941" t="str">
        <f>HYPERLINK("https://github.com/cgeo/cgeo/issues/9430", "show")</f>
        <v>show</v>
      </c>
      <c r="G5941" t="str">
        <f>HYPERLINK("https://github.com/cgeo/cgeo", "show")</f>
        <v>show</v>
      </c>
      <c r="H5941" t="str">
        <f>HYPERLINK("https://github.com/cgeo/cgeo/releases", "show")</f>
        <v>show</v>
      </c>
      <c r="I5941">
        <v>1</v>
      </c>
      <c r="J5941">
        <v>1</v>
      </c>
      <c r="K5941">
        <v>0</v>
      </c>
      <c r="L5941">
        <v>0</v>
      </c>
      <c r="M5941" t="s">
        <v>48</v>
      </c>
    </row>
    <row r="5942" spans="1:13" hidden="1" x14ac:dyDescent="0.15">
      <c r="A5942" t="s">
        <v>18647</v>
      </c>
      <c r="B5942" t="s">
        <v>18648</v>
      </c>
      <c r="C5942" t="s">
        <v>18649</v>
      </c>
      <c r="D5942" t="s">
        <v>18642</v>
      </c>
      <c r="E5942">
        <v>0</v>
      </c>
      <c r="F5942" t="str">
        <f>HYPERLINK("https://github.com/Anuken/Mindustry/issues/3529", "show")</f>
        <v>show</v>
      </c>
      <c r="G5942" t="str">
        <f>HYPERLINK("https://github.com/Anuken/Mindustry", "show")</f>
        <v>show</v>
      </c>
      <c r="H5942" t="str">
        <f>HYPERLINK("https://github.com/Anuken/Mindustry/releases", "show")</f>
        <v>show</v>
      </c>
      <c r="I5942">
        <v>0</v>
      </c>
      <c r="J5942">
        <v>0</v>
      </c>
      <c r="K5942">
        <v>0</v>
      </c>
      <c r="L5942">
        <v>0</v>
      </c>
      <c r="M5942" t="s">
        <v>43</v>
      </c>
    </row>
    <row r="5943" spans="1:13" x14ac:dyDescent="0.15">
      <c r="A5943" t="s">
        <v>18650</v>
      </c>
      <c r="B5943" t="s">
        <v>18651</v>
      </c>
      <c r="C5943" t="s">
        <v>18652</v>
      </c>
      <c r="D5943" t="s">
        <v>18642</v>
      </c>
      <c r="E5943">
        <v>348</v>
      </c>
      <c r="F5943" t="str">
        <f>HYPERLINK("https://github.com/TeamNewPipe/NewPipe/issues/4963", "show")</f>
        <v>show</v>
      </c>
      <c r="G5943" t="str">
        <f>HYPERLINK("https://github.com/TeamNewPipe/NewPipe", "show")</f>
        <v>show</v>
      </c>
      <c r="H5943" t="str">
        <f>HYPERLINK("https://github.com/TeamNewPipe/NewPipe/releases", "show")</f>
        <v>show</v>
      </c>
      <c r="I5943">
        <v>0</v>
      </c>
      <c r="J5943">
        <v>1</v>
      </c>
      <c r="K5943">
        <v>0</v>
      </c>
      <c r="L5943">
        <v>0</v>
      </c>
      <c r="M5943" t="s">
        <v>139</v>
      </c>
    </row>
    <row r="5944" spans="1:13" hidden="1" x14ac:dyDescent="0.15">
      <c r="A5944" t="s">
        <v>18653</v>
      </c>
      <c r="B5944" t="s">
        <v>18654</v>
      </c>
      <c r="C5944" t="s">
        <v>18655</v>
      </c>
      <c r="D5944" t="s">
        <v>18642</v>
      </c>
      <c r="E5944">
        <v>0</v>
      </c>
      <c r="F5944" t="str">
        <f>HYPERLINK("https://github.com/Anuken/Mindustry/issues/3525", "show")</f>
        <v>show</v>
      </c>
      <c r="G5944" t="str">
        <f>HYPERLINK("https://github.com/Anuken/Mindustry", "show")</f>
        <v>show</v>
      </c>
      <c r="H5944" t="str">
        <f>HYPERLINK("https://github.com/Anuken/Mindustry/releases", "show")</f>
        <v>show</v>
      </c>
      <c r="I5944">
        <v>0</v>
      </c>
      <c r="J5944">
        <v>0</v>
      </c>
      <c r="K5944">
        <v>0</v>
      </c>
      <c r="L5944">
        <v>1</v>
      </c>
      <c r="M5944" t="s">
        <v>581</v>
      </c>
    </row>
    <row r="5945" spans="1:13" hidden="1" x14ac:dyDescent="0.15">
      <c r="A5945" t="s">
        <v>18656</v>
      </c>
      <c r="B5945" t="s">
        <v>18657</v>
      </c>
      <c r="C5945" t="s">
        <v>18658</v>
      </c>
      <c r="D5945" t="s">
        <v>18642</v>
      </c>
      <c r="E5945">
        <v>0</v>
      </c>
      <c r="F5945" t="str">
        <f>HYPERLINK("https://github.com/Anuken/Mindustry/issues/3523", "show")</f>
        <v>show</v>
      </c>
      <c r="G5945" t="str">
        <f>HYPERLINK("https://github.com/Anuken/Mindustry", "show")</f>
        <v>show</v>
      </c>
      <c r="H5945" t="str">
        <f>HYPERLINK("https://github.com/Anuken/Mindustry/releases", "show")</f>
        <v>show</v>
      </c>
      <c r="I5945">
        <v>0</v>
      </c>
      <c r="J5945">
        <v>0</v>
      </c>
      <c r="K5945">
        <v>0</v>
      </c>
      <c r="L5945">
        <v>0</v>
      </c>
      <c r="M5945" t="s">
        <v>43</v>
      </c>
    </row>
    <row r="5946" spans="1:13" hidden="1" x14ac:dyDescent="0.15">
      <c r="A5946" t="s">
        <v>18659</v>
      </c>
      <c r="B5946" t="s">
        <v>18660</v>
      </c>
      <c r="C5946" t="s">
        <v>18661</v>
      </c>
      <c r="D5946" t="s">
        <v>18642</v>
      </c>
      <c r="E5946">
        <v>1</v>
      </c>
      <c r="F5946" t="str">
        <f>HYPERLINK("https://github.com/nextcloud/android/issues/7438", "show")</f>
        <v>show</v>
      </c>
      <c r="G5946" t="str">
        <f>HYPERLINK("https://github.com/nextcloud/android", "show")</f>
        <v>show</v>
      </c>
      <c r="H5946" t="str">
        <f>HYPERLINK("https://github.com/nextcloud/android/releases", "show")</f>
        <v>show</v>
      </c>
      <c r="I5946">
        <v>1</v>
      </c>
      <c r="J5946">
        <v>0</v>
      </c>
      <c r="K5946">
        <v>1</v>
      </c>
      <c r="L5946">
        <v>0</v>
      </c>
      <c r="M5946" t="s">
        <v>64</v>
      </c>
    </row>
    <row r="5947" spans="1:13" hidden="1" x14ac:dyDescent="0.15">
      <c r="A5947" t="s">
        <v>18662</v>
      </c>
      <c r="B5947" t="s">
        <v>18663</v>
      </c>
      <c r="C5947" t="s">
        <v>18664</v>
      </c>
      <c r="D5947" t="s">
        <v>18642</v>
      </c>
      <c r="E5947">
        <v>94</v>
      </c>
      <c r="F5947" t="str">
        <f>HYPERLINK("https://github.com/nextcloud/android/issues/7436", "show")</f>
        <v>show</v>
      </c>
      <c r="G5947" t="str">
        <f>HYPERLINK("https://github.com/nextcloud/android", "show")</f>
        <v>show</v>
      </c>
      <c r="H5947" t="str">
        <f>HYPERLINK("https://github.com/nextcloud/android/releases", "show")</f>
        <v>show</v>
      </c>
      <c r="I5947">
        <v>1</v>
      </c>
      <c r="J5947">
        <v>1</v>
      </c>
      <c r="K5947">
        <v>0</v>
      </c>
      <c r="L5947">
        <v>0</v>
      </c>
      <c r="M5947" t="s">
        <v>48</v>
      </c>
    </row>
    <row r="5948" spans="1:13" hidden="1" x14ac:dyDescent="0.15">
      <c r="A5948" t="s">
        <v>18665</v>
      </c>
      <c r="B5948" t="s">
        <v>18666</v>
      </c>
      <c r="C5948" t="s">
        <v>18667</v>
      </c>
      <c r="D5948" t="s">
        <v>18642</v>
      </c>
      <c r="E5948">
        <v>1</v>
      </c>
      <c r="F5948" t="str">
        <f>HYPERLINK("https://github.com/nextcloud/android/issues/7435", "show")</f>
        <v>show</v>
      </c>
      <c r="G5948" t="str">
        <f>HYPERLINK("https://github.com/nextcloud/android", "show")</f>
        <v>show</v>
      </c>
      <c r="H5948" t="str">
        <f>HYPERLINK("https://github.com/nextcloud/android/releases", "show")</f>
        <v>show</v>
      </c>
      <c r="I5948">
        <v>1</v>
      </c>
      <c r="J5948">
        <v>1</v>
      </c>
      <c r="K5948">
        <v>1</v>
      </c>
      <c r="L5948">
        <v>0</v>
      </c>
      <c r="M5948" t="s">
        <v>59</v>
      </c>
    </row>
    <row r="5949" spans="1:13" hidden="1" x14ac:dyDescent="0.15">
      <c r="A5949" t="s">
        <v>18668</v>
      </c>
      <c r="B5949" t="s">
        <v>18669</v>
      </c>
      <c r="C5949" t="s">
        <v>18670</v>
      </c>
      <c r="D5949" t="s">
        <v>18642</v>
      </c>
      <c r="E5949">
        <v>0</v>
      </c>
      <c r="F5949" t="str">
        <f>HYPERLINK("https://github.com/Anuken/Mindustry/issues/3521", "show")</f>
        <v>show</v>
      </c>
      <c r="G5949" t="str">
        <f>HYPERLINK("https://github.com/Anuken/Mindustry", "show")</f>
        <v>show</v>
      </c>
      <c r="H5949" t="str">
        <f>HYPERLINK("https://github.com/Anuken/Mindustry/releases", "show")</f>
        <v>show</v>
      </c>
      <c r="I5949">
        <v>0</v>
      </c>
      <c r="J5949">
        <v>1</v>
      </c>
      <c r="K5949">
        <v>0</v>
      </c>
      <c r="L5949">
        <v>1</v>
      </c>
      <c r="M5949" t="s">
        <v>1732</v>
      </c>
    </row>
    <row r="5950" spans="1:13" hidden="1" x14ac:dyDescent="0.15">
      <c r="A5950" t="s">
        <v>18671</v>
      </c>
      <c r="B5950" t="s">
        <v>7086</v>
      </c>
      <c r="C5950" t="s">
        <v>18672</v>
      </c>
      <c r="D5950" t="s">
        <v>18642</v>
      </c>
      <c r="E5950">
        <v>0</v>
      </c>
      <c r="F5950" t="str">
        <f>HYPERLINK("https://github.com/TeamNewPipe/NewPipe/issues/4959", "show")</f>
        <v>show</v>
      </c>
      <c r="G5950" t="str">
        <f>HYPERLINK("https://github.com/TeamNewPipe/NewPipe", "show")</f>
        <v>show</v>
      </c>
      <c r="H5950" t="str">
        <f>HYPERLINK("https://github.com/TeamNewPipe/NewPipe/releases", "show")</f>
        <v>show</v>
      </c>
      <c r="I5950">
        <v>1</v>
      </c>
      <c r="J5950">
        <v>1</v>
      </c>
      <c r="K5950">
        <v>1</v>
      </c>
      <c r="L5950">
        <v>0</v>
      </c>
      <c r="M5950" t="s">
        <v>59</v>
      </c>
    </row>
    <row r="5951" spans="1:13" hidden="1" x14ac:dyDescent="0.15">
      <c r="A5951" t="s">
        <v>18673</v>
      </c>
      <c r="B5951" t="s">
        <v>12409</v>
      </c>
      <c r="C5951" t="s">
        <v>12185</v>
      </c>
      <c r="D5951" t="s">
        <v>18642</v>
      </c>
      <c r="E5951">
        <v>1</v>
      </c>
      <c r="F5951" t="str">
        <f>HYPERLINK("https://github.com/nextcloud/android/issues/7434", "show")</f>
        <v>show</v>
      </c>
      <c r="G5951" t="str">
        <f>HYPERLINK("https://github.com/nextcloud/android", "show")</f>
        <v>show</v>
      </c>
      <c r="H5951" t="str">
        <f>HYPERLINK("https://github.com/nextcloud/android/releases", "show")</f>
        <v>show</v>
      </c>
      <c r="I5951">
        <v>0</v>
      </c>
      <c r="J5951">
        <v>0</v>
      </c>
      <c r="K5951">
        <v>1</v>
      </c>
      <c r="L5951">
        <v>0</v>
      </c>
      <c r="M5951" t="s">
        <v>122</v>
      </c>
    </row>
    <row r="5952" spans="1:13" hidden="1" x14ac:dyDescent="0.15">
      <c r="A5952" t="s">
        <v>18674</v>
      </c>
      <c r="B5952" t="s">
        <v>18675</v>
      </c>
      <c r="C5952" t="s">
        <v>18676</v>
      </c>
      <c r="D5952" t="s">
        <v>18677</v>
      </c>
      <c r="E5952">
        <v>1</v>
      </c>
      <c r="F5952" t="str">
        <f>HYPERLINK("https://github.com/TeamNewPipe/NewPipe/issues/4957", "show")</f>
        <v>show</v>
      </c>
      <c r="G5952" t="str">
        <f>HYPERLINK("https://github.com/TeamNewPipe/NewPipe", "show")</f>
        <v>show</v>
      </c>
      <c r="H5952" t="str">
        <f>HYPERLINK("https://github.com/TeamNewPipe/NewPipe/releases", "show")</f>
        <v>show</v>
      </c>
      <c r="I5952">
        <v>1</v>
      </c>
      <c r="J5952">
        <v>0</v>
      </c>
      <c r="K5952">
        <v>0</v>
      </c>
      <c r="L5952">
        <v>0</v>
      </c>
      <c r="M5952" t="s">
        <v>17</v>
      </c>
    </row>
    <row r="5953" spans="1:13" hidden="1" x14ac:dyDescent="0.15">
      <c r="A5953" t="s">
        <v>18678</v>
      </c>
      <c r="B5953" t="s">
        <v>18679</v>
      </c>
      <c r="C5953" t="s">
        <v>18680</v>
      </c>
      <c r="D5953" t="s">
        <v>18677</v>
      </c>
      <c r="E5953">
        <v>0</v>
      </c>
      <c r="F5953" t="str">
        <f>HYPERLINK("https://github.com/TeamNewPipe/NewPipe/issues/4955", "show")</f>
        <v>show</v>
      </c>
      <c r="G5953" t="str">
        <f>HYPERLINK("https://github.com/TeamNewPipe/NewPipe", "show")</f>
        <v>show</v>
      </c>
      <c r="H5953" t="str">
        <f>HYPERLINK("https://github.com/TeamNewPipe/NewPipe/releases", "show")</f>
        <v>show</v>
      </c>
      <c r="I5953">
        <v>1</v>
      </c>
      <c r="J5953">
        <v>1</v>
      </c>
      <c r="K5953">
        <v>1</v>
      </c>
      <c r="L5953">
        <v>0</v>
      </c>
      <c r="M5953" t="s">
        <v>59</v>
      </c>
    </row>
    <row r="5954" spans="1:13" hidden="1" x14ac:dyDescent="0.15">
      <c r="A5954" t="s">
        <v>18681</v>
      </c>
      <c r="B5954" t="s">
        <v>15092</v>
      </c>
      <c r="C5954" t="s">
        <v>18682</v>
      </c>
      <c r="D5954" t="s">
        <v>18677</v>
      </c>
      <c r="E5954">
        <v>0</v>
      </c>
      <c r="F5954" t="str">
        <f>HYPERLINK("https://github.com/Anuken/Mindustry/issues/3520", "show")</f>
        <v>show</v>
      </c>
      <c r="G5954" t="str">
        <f>HYPERLINK("https://github.com/Anuken/Mindustry", "show")</f>
        <v>show</v>
      </c>
      <c r="H5954" t="str">
        <f>HYPERLINK("https://github.com/Anuken/Mindustry/releases", "show")</f>
        <v>show</v>
      </c>
      <c r="I5954">
        <v>0</v>
      </c>
      <c r="J5954">
        <v>0</v>
      </c>
      <c r="K5954">
        <v>0</v>
      </c>
      <c r="L5954">
        <v>0</v>
      </c>
      <c r="M5954" t="s">
        <v>43</v>
      </c>
    </row>
    <row r="5955" spans="1:13" hidden="1" x14ac:dyDescent="0.15">
      <c r="A5955" t="s">
        <v>18683</v>
      </c>
      <c r="B5955" t="s">
        <v>18684</v>
      </c>
      <c r="C5955" t="s">
        <v>18685</v>
      </c>
      <c r="D5955" t="s">
        <v>18677</v>
      </c>
      <c r="E5955">
        <v>0</v>
      </c>
      <c r="F5955" t="str">
        <f>HYPERLINK("https://github.com/Anuken/Mindustry/issues/3519", "show")</f>
        <v>show</v>
      </c>
      <c r="G5955" t="str">
        <f>HYPERLINK("https://github.com/Anuken/Mindustry", "show")</f>
        <v>show</v>
      </c>
      <c r="H5955" t="str">
        <f>HYPERLINK("https://github.com/Anuken/Mindustry/releases", "show")</f>
        <v>show</v>
      </c>
      <c r="I5955">
        <v>1</v>
      </c>
      <c r="J5955">
        <v>0</v>
      </c>
      <c r="K5955">
        <v>0</v>
      </c>
      <c r="L5955">
        <v>0</v>
      </c>
      <c r="M5955" t="s">
        <v>17</v>
      </c>
    </row>
    <row r="5956" spans="1:13" hidden="1" x14ac:dyDescent="0.15">
      <c r="A5956" t="s">
        <v>18686</v>
      </c>
      <c r="B5956" t="s">
        <v>18687</v>
      </c>
      <c r="C5956" t="s">
        <v>18688</v>
      </c>
      <c r="D5956" t="s">
        <v>18677</v>
      </c>
      <c r="E5956">
        <v>0</v>
      </c>
      <c r="F5956" t="str">
        <f>HYPERLINK("https://github.com/Anuken/Mindustry/issues/3518", "show")</f>
        <v>show</v>
      </c>
      <c r="G5956" t="str">
        <f>HYPERLINK("https://github.com/Anuken/Mindustry", "show")</f>
        <v>show</v>
      </c>
      <c r="H5956" t="str">
        <f>HYPERLINK("https://github.com/Anuken/Mindustry/releases", "show")</f>
        <v>show</v>
      </c>
      <c r="I5956">
        <v>0</v>
      </c>
      <c r="J5956">
        <v>1</v>
      </c>
      <c r="K5956">
        <v>0</v>
      </c>
      <c r="L5956">
        <v>1</v>
      </c>
      <c r="M5956" t="s">
        <v>1732</v>
      </c>
    </row>
    <row r="5957" spans="1:13" hidden="1" x14ac:dyDescent="0.15">
      <c r="A5957" t="s">
        <v>18689</v>
      </c>
      <c r="B5957" t="s">
        <v>18690</v>
      </c>
      <c r="C5957" t="s">
        <v>18691</v>
      </c>
      <c r="D5957" t="s">
        <v>18677</v>
      </c>
      <c r="E5957">
        <v>0</v>
      </c>
      <c r="F5957" t="str">
        <f>HYPERLINK("https://github.com/Anuken/Mindustry/issues/3514", "show")</f>
        <v>show</v>
      </c>
      <c r="G5957" t="str">
        <f>HYPERLINK("https://github.com/Anuken/Mindustry", "show")</f>
        <v>show</v>
      </c>
      <c r="H5957" t="str">
        <f>HYPERLINK("https://github.com/Anuken/Mindustry/releases", "show")</f>
        <v>show</v>
      </c>
      <c r="I5957">
        <v>0</v>
      </c>
      <c r="J5957">
        <v>0</v>
      </c>
      <c r="K5957">
        <v>0</v>
      </c>
      <c r="L5957">
        <v>0</v>
      </c>
      <c r="M5957" t="s">
        <v>43</v>
      </c>
    </row>
    <row r="5958" spans="1:13" hidden="1" x14ac:dyDescent="0.15">
      <c r="A5958" t="s">
        <v>18692</v>
      </c>
      <c r="B5958" t="s">
        <v>18693</v>
      </c>
      <c r="C5958" t="s">
        <v>18694</v>
      </c>
      <c r="D5958" t="s">
        <v>18677</v>
      </c>
      <c r="E5958">
        <v>2</v>
      </c>
      <c r="F5958" t="str">
        <f>HYPERLINK("https://github.com/oliexdev/openScale/issues/653", "show")</f>
        <v>show</v>
      </c>
      <c r="G5958" t="str">
        <f>HYPERLINK("https://github.com/oliexdev/openScale", "show")</f>
        <v>show</v>
      </c>
      <c r="H5958" t="str">
        <f>HYPERLINK("https://github.com/oliexdev/openScale/releases", "show")</f>
        <v>show</v>
      </c>
      <c r="I5958">
        <v>1</v>
      </c>
      <c r="J5958">
        <v>1</v>
      </c>
      <c r="K5958">
        <v>1</v>
      </c>
      <c r="L5958">
        <v>0</v>
      </c>
      <c r="M5958" t="s">
        <v>59</v>
      </c>
    </row>
    <row r="5959" spans="1:13" hidden="1" x14ac:dyDescent="0.15">
      <c r="A5959" t="s">
        <v>18695</v>
      </c>
      <c r="B5959" t="s">
        <v>18696</v>
      </c>
      <c r="C5959" t="s">
        <v>18697</v>
      </c>
      <c r="D5959" t="s">
        <v>18677</v>
      </c>
      <c r="E5959">
        <v>1</v>
      </c>
      <c r="F5959" t="str">
        <f>HYPERLINK("https://github.com/nextcloud/android/issues/7425", "show")</f>
        <v>show</v>
      </c>
      <c r="G5959" t="str">
        <f>HYPERLINK("https://github.com/nextcloud/android", "show")</f>
        <v>show</v>
      </c>
      <c r="H5959" t="str">
        <f>HYPERLINK("https://github.com/nextcloud/android/releases", "show")</f>
        <v>show</v>
      </c>
      <c r="I5959">
        <v>1</v>
      </c>
      <c r="J5959">
        <v>1</v>
      </c>
      <c r="K5959">
        <v>1</v>
      </c>
      <c r="L5959">
        <v>0</v>
      </c>
      <c r="M5959" t="s">
        <v>59</v>
      </c>
    </row>
    <row r="5960" spans="1:13" hidden="1" x14ac:dyDescent="0.15">
      <c r="A5960" t="s">
        <v>18698</v>
      </c>
      <c r="B5960" t="s">
        <v>16682</v>
      </c>
      <c r="C5960" t="s">
        <v>18699</v>
      </c>
      <c r="D5960" t="s">
        <v>18677</v>
      </c>
      <c r="E5960">
        <v>0</v>
      </c>
      <c r="F5960" t="str">
        <f>HYPERLINK("https://github.com/Anuken/Mindustry/issues/3509", "show")</f>
        <v>show</v>
      </c>
      <c r="G5960" t="str">
        <f>HYPERLINK("https://github.com/Anuken/Mindustry", "show")</f>
        <v>show</v>
      </c>
      <c r="H5960" t="str">
        <f>HYPERLINK("https://github.com/Anuken/Mindustry/releases", "show")</f>
        <v>show</v>
      </c>
      <c r="I5960">
        <v>0</v>
      </c>
      <c r="J5960">
        <v>0</v>
      </c>
      <c r="K5960">
        <v>0</v>
      </c>
      <c r="L5960">
        <v>0</v>
      </c>
      <c r="M5960" t="s">
        <v>43</v>
      </c>
    </row>
    <row r="5961" spans="1:13" hidden="1" x14ac:dyDescent="0.15">
      <c r="A5961" t="s">
        <v>18700</v>
      </c>
      <c r="B5961" t="s">
        <v>18701</v>
      </c>
      <c r="C5961" t="s">
        <v>18702</v>
      </c>
      <c r="D5961" t="s">
        <v>18677</v>
      </c>
      <c r="E5961">
        <v>1</v>
      </c>
      <c r="F5961" t="str">
        <f>HYPERLINK("https://github.com/TeamNewPipe/NewPipe/issues/4948", "show")</f>
        <v>show</v>
      </c>
      <c r="G5961" t="str">
        <f>HYPERLINK("https://github.com/TeamNewPipe/NewPipe", "show")</f>
        <v>show</v>
      </c>
      <c r="H5961" t="str">
        <f>HYPERLINK("https://github.com/TeamNewPipe/NewPipe/releases", "show")</f>
        <v>show</v>
      </c>
      <c r="I5961">
        <v>1</v>
      </c>
      <c r="J5961">
        <v>0</v>
      </c>
      <c r="K5961">
        <v>0</v>
      </c>
      <c r="L5961">
        <v>0</v>
      </c>
      <c r="M5961" t="s">
        <v>17</v>
      </c>
    </row>
    <row r="5962" spans="1:13" hidden="1" x14ac:dyDescent="0.15">
      <c r="A5962" t="s">
        <v>18703</v>
      </c>
      <c r="B5962" t="s">
        <v>18704</v>
      </c>
      <c r="C5962" t="s">
        <v>18705</v>
      </c>
      <c r="D5962" t="s">
        <v>18677</v>
      </c>
      <c r="E5962">
        <v>2</v>
      </c>
      <c r="F5962" t="str">
        <f>HYPERLINK("https://github.com/nextcloud/android/issues/7419", "show")</f>
        <v>show</v>
      </c>
      <c r="G5962" t="str">
        <f>HYPERLINK("https://github.com/nextcloud/android", "show")</f>
        <v>show</v>
      </c>
      <c r="H5962" t="str">
        <f>HYPERLINK("https://github.com/nextcloud/android/releases", "show")</f>
        <v>show</v>
      </c>
      <c r="I5962">
        <v>0</v>
      </c>
      <c r="J5962">
        <v>1</v>
      </c>
      <c r="K5962">
        <v>1</v>
      </c>
      <c r="L5962">
        <v>0</v>
      </c>
      <c r="M5962" t="s">
        <v>699</v>
      </c>
    </row>
    <row r="5963" spans="1:13" x14ac:dyDescent="0.15">
      <c r="A5963" t="s">
        <v>18706</v>
      </c>
      <c r="B5963" t="s">
        <v>18707</v>
      </c>
      <c r="C5963" t="s">
        <v>18708</v>
      </c>
      <c r="D5963" t="s">
        <v>18677</v>
      </c>
      <c r="E5963">
        <v>0</v>
      </c>
      <c r="F5963" t="str">
        <f>HYPERLINK("https://github.com/Anuken/Mindustry/issues/3501", "show")</f>
        <v>show</v>
      </c>
      <c r="G5963" t="str">
        <f>HYPERLINK("https://github.com/Anuken/Mindustry", "show")</f>
        <v>show</v>
      </c>
      <c r="H5963" t="str">
        <f>HYPERLINK("https://github.com/Anuken/Mindustry/releases", "show")</f>
        <v>show</v>
      </c>
      <c r="I5963">
        <v>0</v>
      </c>
      <c r="J5963">
        <v>1</v>
      </c>
      <c r="K5963">
        <v>0</v>
      </c>
      <c r="L5963">
        <v>0</v>
      </c>
      <c r="M5963" t="s">
        <v>139</v>
      </c>
    </row>
    <row r="5964" spans="1:13" hidden="1" x14ac:dyDescent="0.15">
      <c r="A5964" t="s">
        <v>18709</v>
      </c>
      <c r="B5964" t="s">
        <v>18710</v>
      </c>
      <c r="C5964" t="s">
        <v>18711</v>
      </c>
      <c r="D5964" t="s">
        <v>18677</v>
      </c>
      <c r="E5964">
        <v>2</v>
      </c>
      <c r="F5964" t="str">
        <f>HYPERLINK("https://github.com/nextcloud/android/issues/7414", "show")</f>
        <v>show</v>
      </c>
      <c r="G5964" t="str">
        <f>HYPERLINK("https://github.com/nextcloud/android", "show")</f>
        <v>show</v>
      </c>
      <c r="H5964" t="str">
        <f>HYPERLINK("https://github.com/nextcloud/android/releases", "show")</f>
        <v>show</v>
      </c>
      <c r="I5964">
        <v>1</v>
      </c>
      <c r="J5964">
        <v>0</v>
      </c>
      <c r="K5964">
        <v>1</v>
      </c>
      <c r="L5964">
        <v>0</v>
      </c>
      <c r="M5964" t="s">
        <v>64</v>
      </c>
    </row>
    <row r="5965" spans="1:13" hidden="1" x14ac:dyDescent="0.15">
      <c r="A5965" t="s">
        <v>18712</v>
      </c>
      <c r="B5965" t="s">
        <v>18713</v>
      </c>
      <c r="C5965" t="s">
        <v>18714</v>
      </c>
      <c r="D5965" t="s">
        <v>18715</v>
      </c>
      <c r="E5965">
        <v>244</v>
      </c>
      <c r="F5965" t="str">
        <f>HYPERLINK("https://github.com/TeamNewPipe/NewPipe/issues/4940", "show")</f>
        <v>show</v>
      </c>
      <c r="G5965" t="str">
        <f>HYPERLINK("https://github.com/TeamNewPipe/NewPipe", "show")</f>
        <v>show</v>
      </c>
      <c r="H5965" t="str">
        <f>HYPERLINK("https://github.com/TeamNewPipe/NewPipe/releases", "show")</f>
        <v>show</v>
      </c>
      <c r="I5965">
        <v>1</v>
      </c>
      <c r="J5965">
        <v>1</v>
      </c>
      <c r="K5965">
        <v>0</v>
      </c>
      <c r="L5965">
        <v>0</v>
      </c>
      <c r="M5965" t="s">
        <v>48</v>
      </c>
    </row>
    <row r="5966" spans="1:13" hidden="1" x14ac:dyDescent="0.15">
      <c r="A5966" t="s">
        <v>18716</v>
      </c>
      <c r="B5966" t="s">
        <v>18717</v>
      </c>
      <c r="C5966" t="s">
        <v>18718</v>
      </c>
      <c r="D5966" t="s">
        <v>18715</v>
      </c>
      <c r="E5966">
        <v>0</v>
      </c>
      <c r="F5966" t="str">
        <f>HYPERLINK("https://github.com/Anuken/Mindustry/issues/3497", "show")</f>
        <v>show</v>
      </c>
      <c r="G5966" t="str">
        <f>HYPERLINK("https://github.com/Anuken/Mindustry", "show")</f>
        <v>show</v>
      </c>
      <c r="H5966" t="str">
        <f>HYPERLINK("https://github.com/Anuken/Mindustry/releases", "show")</f>
        <v>show</v>
      </c>
      <c r="I5966">
        <v>1</v>
      </c>
      <c r="J5966">
        <v>0</v>
      </c>
      <c r="K5966">
        <v>0</v>
      </c>
      <c r="L5966">
        <v>0</v>
      </c>
      <c r="M5966" t="s">
        <v>17</v>
      </c>
    </row>
    <row r="5967" spans="1:13" hidden="1" x14ac:dyDescent="0.15">
      <c r="A5967" t="s">
        <v>18719</v>
      </c>
      <c r="B5967" t="s">
        <v>18720</v>
      </c>
      <c r="C5967" t="s">
        <v>18721</v>
      </c>
      <c r="D5967" t="s">
        <v>18715</v>
      </c>
      <c r="E5967">
        <v>13</v>
      </c>
      <c r="F5967" t="str">
        <f>HYPERLINK("https://github.com/ElderDrivers/EdXposed/issues/639", "show")</f>
        <v>show</v>
      </c>
      <c r="G5967" t="str">
        <f>HYPERLINK("https://github.com/ElderDrivers/EdXposed", "show")</f>
        <v>show</v>
      </c>
      <c r="H5967" t="str">
        <f>HYPERLINK("https://github.com/ElderDrivers/EdXposed/releases", "show")</f>
        <v>show</v>
      </c>
      <c r="I5967">
        <v>0</v>
      </c>
      <c r="J5967">
        <v>0</v>
      </c>
      <c r="K5967">
        <v>0</v>
      </c>
      <c r="L5967">
        <v>0</v>
      </c>
      <c r="M5967" t="s">
        <v>43</v>
      </c>
    </row>
    <row r="5968" spans="1:13" hidden="1" x14ac:dyDescent="0.15">
      <c r="A5968" t="s">
        <v>18722</v>
      </c>
      <c r="B5968" t="s">
        <v>18723</v>
      </c>
      <c r="C5968" t="s">
        <v>18724</v>
      </c>
      <c r="D5968" t="s">
        <v>18715</v>
      </c>
      <c r="E5968">
        <v>0</v>
      </c>
      <c r="F5968" t="str">
        <f>HYPERLINK("https://github.com/Anuken/Mindustry/issues/3495", "show")</f>
        <v>show</v>
      </c>
      <c r="G5968" t="str">
        <f>HYPERLINK("https://github.com/Anuken/Mindustry", "show")</f>
        <v>show</v>
      </c>
      <c r="H5968" t="str">
        <f>HYPERLINK("https://github.com/Anuken/Mindustry/releases", "show")</f>
        <v>show</v>
      </c>
      <c r="I5968">
        <v>0</v>
      </c>
      <c r="J5968">
        <v>0</v>
      </c>
      <c r="K5968">
        <v>0</v>
      </c>
      <c r="L5968">
        <v>0</v>
      </c>
      <c r="M5968" t="s">
        <v>43</v>
      </c>
    </row>
    <row r="5969" spans="1:13" hidden="1" x14ac:dyDescent="0.15">
      <c r="A5969" t="s">
        <v>18725</v>
      </c>
      <c r="B5969" t="s">
        <v>18726</v>
      </c>
      <c r="C5969" t="s">
        <v>18727</v>
      </c>
      <c r="D5969" t="s">
        <v>18715</v>
      </c>
      <c r="E5969">
        <v>3</v>
      </c>
      <c r="F5969" t="str">
        <f>HYPERLINK("https://github.com/nextcloud/android/issues/7406", "show")</f>
        <v>show</v>
      </c>
      <c r="G5969" t="str">
        <f>HYPERLINK("https://github.com/nextcloud/android", "show")</f>
        <v>show</v>
      </c>
      <c r="H5969" t="str">
        <f>HYPERLINK("https://github.com/nextcloud/android/releases", "show")</f>
        <v>show</v>
      </c>
      <c r="I5969">
        <v>1</v>
      </c>
      <c r="J5969">
        <v>1</v>
      </c>
      <c r="K5969">
        <v>1</v>
      </c>
      <c r="L5969">
        <v>0</v>
      </c>
      <c r="M5969" t="s">
        <v>59</v>
      </c>
    </row>
    <row r="5970" spans="1:13" hidden="1" x14ac:dyDescent="0.15">
      <c r="A5970" t="s">
        <v>18728</v>
      </c>
      <c r="B5970" t="s">
        <v>18729</v>
      </c>
      <c r="C5970" t="s">
        <v>18730</v>
      </c>
      <c r="D5970" t="s">
        <v>18715</v>
      </c>
      <c r="E5970">
        <v>0</v>
      </c>
      <c r="F5970" t="str">
        <f>HYPERLINK("https://github.com/Anuken/Mindustry/issues/3493", "show")</f>
        <v>show</v>
      </c>
      <c r="G5970" t="str">
        <f>HYPERLINK("https://github.com/Anuken/Mindustry", "show")</f>
        <v>show</v>
      </c>
      <c r="H5970" t="str">
        <f>HYPERLINK("https://github.com/Anuken/Mindustry/releases", "show")</f>
        <v>show</v>
      </c>
      <c r="I5970">
        <v>0</v>
      </c>
      <c r="J5970">
        <v>0</v>
      </c>
      <c r="K5970">
        <v>0</v>
      </c>
      <c r="L5970">
        <v>0</v>
      </c>
      <c r="M5970" t="s">
        <v>43</v>
      </c>
    </row>
    <row r="5971" spans="1:13" hidden="1" x14ac:dyDescent="0.15">
      <c r="A5971" t="s">
        <v>18731</v>
      </c>
      <c r="B5971" t="s">
        <v>18732</v>
      </c>
      <c r="C5971" t="s">
        <v>18733</v>
      </c>
      <c r="D5971" t="s">
        <v>18715</v>
      </c>
      <c r="E5971">
        <v>3</v>
      </c>
      <c r="F5971" t="str">
        <f>HYPERLINK("https://github.com/nextcloud/android/issues/7405", "show")</f>
        <v>show</v>
      </c>
      <c r="G5971" t="str">
        <f>HYPERLINK("https://github.com/nextcloud/android", "show")</f>
        <v>show</v>
      </c>
      <c r="H5971" t="str">
        <f>HYPERLINK("https://github.com/nextcloud/android/releases", "show")</f>
        <v>show</v>
      </c>
      <c r="I5971">
        <v>0</v>
      </c>
      <c r="J5971">
        <v>1</v>
      </c>
      <c r="K5971">
        <v>1</v>
      </c>
      <c r="L5971">
        <v>0</v>
      </c>
      <c r="M5971" t="s">
        <v>699</v>
      </c>
    </row>
    <row r="5972" spans="1:13" hidden="1" x14ac:dyDescent="0.15">
      <c r="A5972" t="s">
        <v>18734</v>
      </c>
      <c r="B5972" t="s">
        <v>141</v>
      </c>
      <c r="C5972" t="s">
        <v>18735</v>
      </c>
      <c r="D5972" t="s">
        <v>18715</v>
      </c>
      <c r="E5972">
        <v>3</v>
      </c>
      <c r="F5972" t="str">
        <f>HYPERLINK("https://github.com/nextcloud/android/issues/7402", "show")</f>
        <v>show</v>
      </c>
      <c r="G5972" t="str">
        <f>HYPERLINK("https://github.com/nextcloud/android", "show")</f>
        <v>show</v>
      </c>
      <c r="H5972" t="str">
        <f>HYPERLINK("https://github.com/nextcloud/android/releases", "show")</f>
        <v>show</v>
      </c>
      <c r="I5972">
        <v>0</v>
      </c>
      <c r="J5972">
        <v>1</v>
      </c>
      <c r="K5972">
        <v>1</v>
      </c>
      <c r="L5972">
        <v>0</v>
      </c>
      <c r="M5972" t="s">
        <v>699</v>
      </c>
    </row>
    <row r="5973" spans="1:13" hidden="1" x14ac:dyDescent="0.15">
      <c r="A5973" t="s">
        <v>18736</v>
      </c>
      <c r="B5973" t="s">
        <v>18737</v>
      </c>
      <c r="C5973" t="s">
        <v>18738</v>
      </c>
      <c r="D5973" t="s">
        <v>18715</v>
      </c>
      <c r="E5973">
        <v>0</v>
      </c>
      <c r="F5973" t="str">
        <f>HYPERLINK("https://github.com/Anuken/Mindustry/issues/3492", "show")</f>
        <v>show</v>
      </c>
      <c r="G5973" t="str">
        <f>HYPERLINK("https://github.com/Anuken/Mindustry", "show")</f>
        <v>show</v>
      </c>
      <c r="H5973" t="str">
        <f>HYPERLINK("https://github.com/Anuken/Mindustry/releases", "show")</f>
        <v>show</v>
      </c>
      <c r="I5973">
        <v>0</v>
      </c>
      <c r="J5973">
        <v>1</v>
      </c>
      <c r="K5973">
        <v>0</v>
      </c>
      <c r="L5973">
        <v>1</v>
      </c>
      <c r="M5973" t="s">
        <v>1732</v>
      </c>
    </row>
    <row r="5974" spans="1:13" hidden="1" x14ac:dyDescent="0.15">
      <c r="A5974" t="s">
        <v>18739</v>
      </c>
      <c r="B5974" t="s">
        <v>18740</v>
      </c>
      <c r="C5974" t="s">
        <v>12185</v>
      </c>
      <c r="D5974" t="s">
        <v>18715</v>
      </c>
      <c r="E5974">
        <v>3</v>
      </c>
      <c r="F5974" t="str">
        <f>HYPERLINK("https://github.com/nextcloud/android/issues/7396", "show")</f>
        <v>show</v>
      </c>
      <c r="G5974" t="str">
        <f>HYPERLINK("https://github.com/nextcloud/android", "show")</f>
        <v>show</v>
      </c>
      <c r="H5974" t="str">
        <f>HYPERLINK("https://github.com/nextcloud/android/releases", "show")</f>
        <v>show</v>
      </c>
      <c r="I5974">
        <v>1</v>
      </c>
      <c r="J5974">
        <v>0</v>
      </c>
      <c r="K5974">
        <v>1</v>
      </c>
      <c r="L5974">
        <v>0</v>
      </c>
      <c r="M5974" t="s">
        <v>64</v>
      </c>
    </row>
    <row r="5975" spans="1:13" hidden="1" x14ac:dyDescent="0.15">
      <c r="A5975" t="s">
        <v>18741</v>
      </c>
      <c r="B5975" t="s">
        <v>18742</v>
      </c>
      <c r="C5975" t="s">
        <v>18743</v>
      </c>
      <c r="D5975" t="s">
        <v>18715</v>
      </c>
      <c r="E5975">
        <v>48</v>
      </c>
      <c r="F5975" t="str">
        <f>HYPERLINK("https://github.com/JuanSeBestia/react-native-wifi-reborn/issues/142", "show")</f>
        <v>show</v>
      </c>
      <c r="G5975" t="str">
        <f>HYPERLINK("https://github.com/JuanSeBestia/react-native-wifi-reborn", "show")</f>
        <v>show</v>
      </c>
      <c r="H5975" t="str">
        <f>HYPERLINK("https://github.com/JuanSeBestia/react-native-wifi-reborn/releases", "show")</f>
        <v>show</v>
      </c>
      <c r="I5975">
        <v>0</v>
      </c>
      <c r="J5975">
        <v>0</v>
      </c>
      <c r="K5975">
        <v>0</v>
      </c>
      <c r="L5975">
        <v>0</v>
      </c>
      <c r="M5975" t="s">
        <v>43</v>
      </c>
    </row>
    <row r="5976" spans="1:13" hidden="1" x14ac:dyDescent="0.15">
      <c r="A5976" t="s">
        <v>18744</v>
      </c>
      <c r="B5976" t="s">
        <v>18745</v>
      </c>
      <c r="C5976" t="s">
        <v>18746</v>
      </c>
      <c r="D5976" t="s">
        <v>18715</v>
      </c>
      <c r="E5976">
        <v>0</v>
      </c>
      <c r="F5976" t="str">
        <f>HYPERLINK("https://github.com/Anuken/Mindustry/issues/3479", "show")</f>
        <v>show</v>
      </c>
      <c r="G5976" t="str">
        <f>HYPERLINK("https://github.com/Anuken/Mindustry", "show")</f>
        <v>show</v>
      </c>
      <c r="H5976" t="str">
        <f>HYPERLINK("https://github.com/Anuken/Mindustry/releases", "show")</f>
        <v>show</v>
      </c>
      <c r="I5976">
        <v>0</v>
      </c>
      <c r="J5976">
        <v>0</v>
      </c>
      <c r="K5976">
        <v>0</v>
      </c>
      <c r="L5976">
        <v>1</v>
      </c>
      <c r="M5976" t="s">
        <v>581</v>
      </c>
    </row>
    <row r="5977" spans="1:13" hidden="1" x14ac:dyDescent="0.15">
      <c r="A5977" t="s">
        <v>18747</v>
      </c>
      <c r="B5977" t="s">
        <v>18748</v>
      </c>
      <c r="C5977" t="s">
        <v>18749</v>
      </c>
      <c r="D5977" t="s">
        <v>18715</v>
      </c>
      <c r="E5977">
        <v>6</v>
      </c>
      <c r="F5977" t="str">
        <f>HYPERLINK("https://github.com/zoontek/react-native-localize/issues/123", "show")</f>
        <v>show</v>
      </c>
      <c r="G5977" t="str">
        <f>HYPERLINK("https://github.com/zoontek/react-native-localize", "show")</f>
        <v>show</v>
      </c>
      <c r="H5977" t="str">
        <f>HYPERLINK("https://github.com/zoontek/react-native-localize/releases", "show")</f>
        <v>show</v>
      </c>
      <c r="I5977">
        <v>1</v>
      </c>
      <c r="J5977">
        <v>0</v>
      </c>
      <c r="K5977">
        <v>1</v>
      </c>
      <c r="L5977">
        <v>0</v>
      </c>
      <c r="M5977" t="s">
        <v>64</v>
      </c>
    </row>
    <row r="5978" spans="1:13" hidden="1" x14ac:dyDescent="0.15">
      <c r="A5978" t="s">
        <v>18750</v>
      </c>
      <c r="B5978" t="s">
        <v>18751</v>
      </c>
      <c r="C5978" t="s">
        <v>18752</v>
      </c>
      <c r="D5978" t="s">
        <v>18715</v>
      </c>
      <c r="E5978">
        <v>0</v>
      </c>
      <c r="F5978" t="str">
        <f>HYPERLINK("https://github.com/AOF-Dev/MCinaBox/issues/695", "show")</f>
        <v>show</v>
      </c>
      <c r="G5978" t="str">
        <f>HYPERLINK("https://github.com/AOF-Dev/MCinaBox", "show")</f>
        <v>show</v>
      </c>
      <c r="H5978" t="str">
        <f>HYPERLINK("https://github.com/AOF-Dev/MCinaBox/releases", "show")</f>
        <v>show</v>
      </c>
      <c r="I5978">
        <v>1</v>
      </c>
      <c r="J5978">
        <v>1</v>
      </c>
      <c r="K5978">
        <v>0</v>
      </c>
      <c r="L5978">
        <v>0</v>
      </c>
      <c r="M5978" t="s">
        <v>48</v>
      </c>
    </row>
    <row r="5979" spans="1:13" hidden="1" x14ac:dyDescent="0.15">
      <c r="A5979" t="s">
        <v>18753</v>
      </c>
      <c r="B5979" t="s">
        <v>18754</v>
      </c>
      <c r="C5979" t="s">
        <v>18755</v>
      </c>
      <c r="D5979" t="s">
        <v>18715</v>
      </c>
      <c r="E5979">
        <v>0</v>
      </c>
      <c r="F5979" t="str">
        <f>HYPERLINK("https://github.com/nextcloud/android/issues/7386", "show")</f>
        <v>show</v>
      </c>
      <c r="G5979" t="str">
        <f>HYPERLINK("https://github.com/nextcloud/android", "show")</f>
        <v>show</v>
      </c>
      <c r="H5979" t="str">
        <f>HYPERLINK("https://github.com/nextcloud/android/releases", "show")</f>
        <v>show</v>
      </c>
      <c r="I5979">
        <v>1</v>
      </c>
      <c r="J5979">
        <v>0</v>
      </c>
      <c r="K5979">
        <v>1</v>
      </c>
      <c r="L5979">
        <v>0</v>
      </c>
      <c r="M5979" t="s">
        <v>64</v>
      </c>
    </row>
    <row r="5980" spans="1:13" hidden="1" x14ac:dyDescent="0.15">
      <c r="A5980" t="s">
        <v>18756</v>
      </c>
      <c r="B5980" t="s">
        <v>18757</v>
      </c>
      <c r="C5980" t="s">
        <v>18758</v>
      </c>
      <c r="D5980" t="s">
        <v>18759</v>
      </c>
      <c r="E5980">
        <v>2</v>
      </c>
      <c r="F5980" t="str">
        <f>HYPERLINK("https://github.com/GeyserMC/GeyserAndroid/issues/13", "show")</f>
        <v>show</v>
      </c>
      <c r="G5980" t="str">
        <f>HYPERLINK("https://github.com/GeyserMC/GeyserAndroid", "show")</f>
        <v>show</v>
      </c>
      <c r="H5980" t="str">
        <f>HYPERLINK("https://github.com/GeyserMC/GeyserAndroid/releases", "show")</f>
        <v>show</v>
      </c>
      <c r="I5980">
        <v>1</v>
      </c>
      <c r="J5980">
        <v>1</v>
      </c>
      <c r="K5980">
        <v>0</v>
      </c>
      <c r="L5980">
        <v>0</v>
      </c>
      <c r="M5980" t="s">
        <v>48</v>
      </c>
    </row>
    <row r="5981" spans="1:13" hidden="1" x14ac:dyDescent="0.15">
      <c r="A5981" t="s">
        <v>18760</v>
      </c>
      <c r="B5981" t="s">
        <v>4312</v>
      </c>
      <c r="C5981" t="s">
        <v>18761</v>
      </c>
      <c r="D5981" t="s">
        <v>18759</v>
      </c>
      <c r="E5981">
        <v>1</v>
      </c>
      <c r="F5981" t="str">
        <f>HYPERLINK("https://github.com/nextcloud/android/issues/7379", "show")</f>
        <v>show</v>
      </c>
      <c r="G5981" t="str">
        <f>HYPERLINK("https://github.com/nextcloud/android", "show")</f>
        <v>show</v>
      </c>
      <c r="H5981" t="str">
        <f>HYPERLINK("https://github.com/nextcloud/android/releases", "show")</f>
        <v>show</v>
      </c>
      <c r="I5981">
        <v>0</v>
      </c>
      <c r="J5981">
        <v>0</v>
      </c>
      <c r="K5981">
        <v>1</v>
      </c>
      <c r="L5981">
        <v>0</v>
      </c>
      <c r="M5981" t="s">
        <v>122</v>
      </c>
    </row>
    <row r="5982" spans="1:13" hidden="1" x14ac:dyDescent="0.15">
      <c r="A5982" t="s">
        <v>18762</v>
      </c>
      <c r="B5982" t="s">
        <v>18763</v>
      </c>
      <c r="C5982" t="s">
        <v>18764</v>
      </c>
      <c r="D5982" t="s">
        <v>18759</v>
      </c>
      <c r="E5982">
        <v>1</v>
      </c>
      <c r="F5982" t="str">
        <f>HYPERLINK("https://github.com/TeamNewPipe/NewPipe/issues/4921", "show")</f>
        <v>show</v>
      </c>
      <c r="G5982" t="str">
        <f>HYPERLINK("https://github.com/TeamNewPipe/NewPipe", "show")</f>
        <v>show</v>
      </c>
      <c r="H5982" t="str">
        <f>HYPERLINK("https://github.com/TeamNewPipe/NewPipe/releases", "show")</f>
        <v>show</v>
      </c>
      <c r="I5982">
        <v>1</v>
      </c>
      <c r="J5982">
        <v>0</v>
      </c>
      <c r="K5982">
        <v>0</v>
      </c>
      <c r="L5982">
        <v>0</v>
      </c>
      <c r="M5982" t="s">
        <v>17</v>
      </c>
    </row>
    <row r="5983" spans="1:13" hidden="1" x14ac:dyDescent="0.15">
      <c r="A5983" t="s">
        <v>18765</v>
      </c>
      <c r="B5983" t="s">
        <v>18766</v>
      </c>
      <c r="C5983" t="s">
        <v>18767</v>
      </c>
      <c r="D5983" t="s">
        <v>18759</v>
      </c>
      <c r="E5983">
        <v>3</v>
      </c>
      <c r="F5983" t="str">
        <f>HYPERLINK("https://github.com/TeamNewPipe/NewPipe/issues/4920", "show")</f>
        <v>show</v>
      </c>
      <c r="G5983" t="str">
        <f>HYPERLINK("https://github.com/TeamNewPipe/NewPipe", "show")</f>
        <v>show</v>
      </c>
      <c r="H5983" t="str">
        <f>HYPERLINK("https://github.com/TeamNewPipe/NewPipe/releases", "show")</f>
        <v>show</v>
      </c>
      <c r="I5983">
        <v>1</v>
      </c>
      <c r="J5983">
        <v>1</v>
      </c>
      <c r="K5983">
        <v>0</v>
      </c>
      <c r="L5983">
        <v>1</v>
      </c>
      <c r="M5983" t="s">
        <v>1894</v>
      </c>
    </row>
    <row r="5984" spans="1:13" hidden="1" x14ac:dyDescent="0.15">
      <c r="A5984" t="s">
        <v>18768</v>
      </c>
      <c r="B5984" t="s">
        <v>18769</v>
      </c>
      <c r="C5984" t="s">
        <v>18770</v>
      </c>
      <c r="D5984" t="s">
        <v>18759</v>
      </c>
      <c r="E5984">
        <v>6</v>
      </c>
      <c r="F5984" t="str">
        <f>HYPERLINK("https://github.com/HamedTaherpour/ht-epub-reader-android/issues/2", "show")</f>
        <v>show</v>
      </c>
      <c r="G5984" t="str">
        <f>HYPERLINK("https://github.com/HamedTaherpour/ht-epub-reader-android", "show")</f>
        <v>show</v>
      </c>
      <c r="H5984" t="str">
        <f>HYPERLINK("https://github.com/HamedTaherpour/ht-epub-reader-android/releases", "show")</f>
        <v>show</v>
      </c>
      <c r="I5984">
        <v>1</v>
      </c>
      <c r="J5984">
        <v>0</v>
      </c>
      <c r="K5984">
        <v>0</v>
      </c>
      <c r="L5984">
        <v>0</v>
      </c>
      <c r="M5984" t="s">
        <v>17</v>
      </c>
    </row>
    <row r="5985" spans="1:13" hidden="1" x14ac:dyDescent="0.15">
      <c r="A5985" t="s">
        <v>18771</v>
      </c>
      <c r="B5985" t="s">
        <v>18772</v>
      </c>
      <c r="C5985" t="s">
        <v>18773</v>
      </c>
      <c r="D5985" t="s">
        <v>18759</v>
      </c>
      <c r="E5985">
        <v>1</v>
      </c>
      <c r="F5985" t="str">
        <f>HYPERLINK("https://github.com/gsantner/markor/issues/1130", "show")</f>
        <v>show</v>
      </c>
      <c r="G5985" t="str">
        <f>HYPERLINK("https://github.com/gsantner/markor", "show")</f>
        <v>show</v>
      </c>
      <c r="H5985" t="str">
        <f>HYPERLINK("https://github.com/gsantner/markor/releases", "show")</f>
        <v>show</v>
      </c>
      <c r="I5985">
        <v>0</v>
      </c>
      <c r="J5985">
        <v>0</v>
      </c>
      <c r="K5985">
        <v>0</v>
      </c>
      <c r="L5985">
        <v>0</v>
      </c>
      <c r="M5985" t="s">
        <v>43</v>
      </c>
    </row>
    <row r="5986" spans="1:13" x14ac:dyDescent="0.15">
      <c r="A5986" t="s">
        <v>18774</v>
      </c>
      <c r="B5986" t="s">
        <v>18775</v>
      </c>
      <c r="C5986" t="s">
        <v>18776</v>
      </c>
      <c r="D5986" t="s">
        <v>18759</v>
      </c>
      <c r="E5986">
        <v>0</v>
      </c>
      <c r="F5986" t="str">
        <f>HYPERLINK("https://github.com/Anuken/Mindustry/issues/3457", "show")</f>
        <v>show</v>
      </c>
      <c r="G5986" t="str">
        <f>HYPERLINK("https://github.com/Anuken/Mindustry", "show")</f>
        <v>show</v>
      </c>
      <c r="H5986" t="str">
        <f>HYPERLINK("https://github.com/Anuken/Mindustry/releases", "show")</f>
        <v>show</v>
      </c>
      <c r="I5986">
        <v>0</v>
      </c>
      <c r="J5986">
        <v>1</v>
      </c>
      <c r="K5986">
        <v>0</v>
      </c>
      <c r="L5986">
        <v>0</v>
      </c>
      <c r="M5986" t="s">
        <v>139</v>
      </c>
    </row>
    <row r="5987" spans="1:13" hidden="1" x14ac:dyDescent="0.15">
      <c r="A5987" t="s">
        <v>18777</v>
      </c>
      <c r="B5987" t="s">
        <v>18778</v>
      </c>
      <c r="C5987" t="s">
        <v>18779</v>
      </c>
      <c r="D5987" t="s">
        <v>18780</v>
      </c>
      <c r="E5987">
        <v>0</v>
      </c>
      <c r="F5987" t="str">
        <f>HYPERLINK("https://github.com/Anuken/Mindustry/issues/3453", "show")</f>
        <v>show</v>
      </c>
      <c r="G5987" t="str">
        <f>HYPERLINK("https://github.com/Anuken/Mindustry", "show")</f>
        <v>show</v>
      </c>
      <c r="H5987" t="str">
        <f>HYPERLINK("https://github.com/Anuken/Mindustry/releases", "show")</f>
        <v>show</v>
      </c>
      <c r="I5987">
        <v>1</v>
      </c>
      <c r="J5987">
        <v>1</v>
      </c>
      <c r="K5987">
        <v>0</v>
      </c>
      <c r="L5987">
        <v>0</v>
      </c>
      <c r="M5987" t="s">
        <v>48</v>
      </c>
    </row>
    <row r="5988" spans="1:13" hidden="1" x14ac:dyDescent="0.15">
      <c r="A5988" t="s">
        <v>18781</v>
      </c>
      <c r="B5988" t="s">
        <v>18782</v>
      </c>
      <c r="C5988" t="s">
        <v>18783</v>
      </c>
      <c r="D5988" t="s">
        <v>18780</v>
      </c>
      <c r="E5988">
        <v>1</v>
      </c>
      <c r="F5988" t="str">
        <f>HYPERLINK("https://github.com/TeamNewPipe/NewPipe/issues/4915", "show")</f>
        <v>show</v>
      </c>
      <c r="G5988" t="str">
        <f>HYPERLINK("https://github.com/TeamNewPipe/NewPipe", "show")</f>
        <v>show</v>
      </c>
      <c r="H5988" t="str">
        <f>HYPERLINK("https://github.com/TeamNewPipe/NewPipe/releases", "show")</f>
        <v>show</v>
      </c>
      <c r="I5988">
        <v>1</v>
      </c>
      <c r="J5988">
        <v>1</v>
      </c>
      <c r="K5988">
        <v>1</v>
      </c>
      <c r="L5988">
        <v>0</v>
      </c>
      <c r="M5988" t="s">
        <v>59</v>
      </c>
    </row>
    <row r="5989" spans="1:13" hidden="1" x14ac:dyDescent="0.15">
      <c r="A5989" t="s">
        <v>18784</v>
      </c>
      <c r="B5989" t="s">
        <v>141</v>
      </c>
      <c r="C5989" t="s">
        <v>18785</v>
      </c>
      <c r="D5989" t="s">
        <v>18780</v>
      </c>
      <c r="E5989">
        <v>0</v>
      </c>
      <c r="F5989" t="str">
        <f>HYPERLINK("https://github.com/Anuken/Mindustry/issues/3452", "show")</f>
        <v>show</v>
      </c>
      <c r="G5989" t="str">
        <f>HYPERLINK("https://github.com/Anuken/Mindustry", "show")</f>
        <v>show</v>
      </c>
      <c r="H5989" t="str">
        <f>HYPERLINK("https://github.com/Anuken/Mindustry/releases", "show")</f>
        <v>show</v>
      </c>
      <c r="I5989">
        <v>0</v>
      </c>
      <c r="J5989">
        <v>0</v>
      </c>
      <c r="K5989">
        <v>1</v>
      </c>
      <c r="L5989">
        <v>0</v>
      </c>
      <c r="M5989" t="s">
        <v>122</v>
      </c>
    </row>
    <row r="5990" spans="1:13" hidden="1" x14ac:dyDescent="0.15">
      <c r="A5990" t="s">
        <v>18786</v>
      </c>
      <c r="B5990" t="s">
        <v>18787</v>
      </c>
      <c r="C5990" t="s">
        <v>18788</v>
      </c>
      <c r="D5990" t="s">
        <v>18780</v>
      </c>
      <c r="E5990">
        <v>0</v>
      </c>
      <c r="F5990" t="str">
        <f>HYPERLINK("https://github.com/Anuken/Mindustry/issues/3450", "show")</f>
        <v>show</v>
      </c>
      <c r="G5990" t="str">
        <f>HYPERLINK("https://github.com/Anuken/Mindustry", "show")</f>
        <v>show</v>
      </c>
      <c r="H5990" t="str">
        <f>HYPERLINK("https://github.com/Anuken/Mindustry/releases", "show")</f>
        <v>show</v>
      </c>
      <c r="I5990">
        <v>0</v>
      </c>
      <c r="J5990">
        <v>0</v>
      </c>
      <c r="K5990">
        <v>0</v>
      </c>
      <c r="L5990">
        <v>0</v>
      </c>
      <c r="M5990" t="s">
        <v>43</v>
      </c>
    </row>
    <row r="5991" spans="1:13" hidden="1" x14ac:dyDescent="0.15">
      <c r="A5991" t="s">
        <v>18789</v>
      </c>
      <c r="B5991" t="s">
        <v>18790</v>
      </c>
      <c r="D5991" t="s">
        <v>18780</v>
      </c>
      <c r="E5991">
        <v>1</v>
      </c>
      <c r="F5991" t="str">
        <f>HYPERLINK("https://github.com/harry-cramp/Droog/issues/6", "show")</f>
        <v>show</v>
      </c>
      <c r="G5991" t="str">
        <f>HYPERLINK("https://github.com/harry-cramp/Droog", "show")</f>
        <v>show</v>
      </c>
      <c r="H5991" t="str">
        <f>HYPERLINK("https://github.com/harry-cramp/Droog/releases", "show")</f>
        <v>show</v>
      </c>
      <c r="I5991">
        <v>0</v>
      </c>
      <c r="J5991">
        <v>0</v>
      </c>
      <c r="K5991">
        <v>0</v>
      </c>
      <c r="L5991">
        <v>0</v>
      </c>
      <c r="M5991" t="s">
        <v>43</v>
      </c>
    </row>
    <row r="5992" spans="1:13" hidden="1" x14ac:dyDescent="0.15">
      <c r="A5992" t="s">
        <v>18791</v>
      </c>
      <c r="B5992" t="s">
        <v>18792</v>
      </c>
      <c r="C5992" t="s">
        <v>18793</v>
      </c>
      <c r="D5992" t="s">
        <v>18780</v>
      </c>
      <c r="E5992">
        <v>0</v>
      </c>
      <c r="F5992" t="str">
        <f>HYPERLINK("https://github.com/Anuken/Mindustry/issues/3449", "show")</f>
        <v>show</v>
      </c>
      <c r="G5992" t="str">
        <f>HYPERLINK("https://github.com/Anuken/Mindustry", "show")</f>
        <v>show</v>
      </c>
      <c r="H5992" t="str">
        <f>HYPERLINK("https://github.com/Anuken/Mindustry/releases", "show")</f>
        <v>show</v>
      </c>
      <c r="I5992">
        <v>0</v>
      </c>
      <c r="J5992">
        <v>0</v>
      </c>
      <c r="K5992">
        <v>1</v>
      </c>
      <c r="L5992">
        <v>0</v>
      </c>
      <c r="M5992" t="s">
        <v>122</v>
      </c>
    </row>
    <row r="5993" spans="1:13" hidden="1" x14ac:dyDescent="0.15">
      <c r="A5993" t="s">
        <v>18794</v>
      </c>
      <c r="B5993" t="s">
        <v>18795</v>
      </c>
      <c r="C5993" t="s">
        <v>18796</v>
      </c>
      <c r="D5993" t="s">
        <v>18780</v>
      </c>
      <c r="E5993">
        <v>1</v>
      </c>
      <c r="F5993" t="str">
        <f>HYPERLINK("https://github.com/nextcloud/android/issues/7362", "show")</f>
        <v>show</v>
      </c>
      <c r="G5993" t="str">
        <f>HYPERLINK("https://github.com/nextcloud/android", "show")</f>
        <v>show</v>
      </c>
      <c r="H5993" t="str">
        <f>HYPERLINK("https://github.com/nextcloud/android/releases", "show")</f>
        <v>show</v>
      </c>
      <c r="I5993">
        <v>1</v>
      </c>
      <c r="J5993">
        <v>1</v>
      </c>
      <c r="K5993">
        <v>1</v>
      </c>
      <c r="L5993">
        <v>0</v>
      </c>
      <c r="M5993" t="s">
        <v>59</v>
      </c>
    </row>
    <row r="5994" spans="1:13" x14ac:dyDescent="0.15">
      <c r="A5994" t="s">
        <v>18797</v>
      </c>
      <c r="B5994" t="s">
        <v>18798</v>
      </c>
      <c r="C5994" t="s">
        <v>18799</v>
      </c>
      <c r="D5994" t="s">
        <v>18780</v>
      </c>
      <c r="E5994">
        <v>0</v>
      </c>
      <c r="F5994" t="str">
        <f>HYPERLINK("https://github.com/Anuken/Mindustry/issues/3447", "show")</f>
        <v>show</v>
      </c>
      <c r="G5994" t="str">
        <f>HYPERLINK("https://github.com/Anuken/Mindustry", "show")</f>
        <v>show</v>
      </c>
      <c r="H5994" t="str">
        <f>HYPERLINK("https://github.com/Anuken/Mindustry/releases", "show")</f>
        <v>show</v>
      </c>
      <c r="I5994">
        <v>0</v>
      </c>
      <c r="J5994">
        <v>1</v>
      </c>
      <c r="K5994">
        <v>0</v>
      </c>
      <c r="L5994">
        <v>0</v>
      </c>
      <c r="M5994" t="s">
        <v>139</v>
      </c>
    </row>
    <row r="5995" spans="1:13" hidden="1" x14ac:dyDescent="0.15">
      <c r="A5995" t="s">
        <v>18800</v>
      </c>
      <c r="B5995" t="s">
        <v>18801</v>
      </c>
      <c r="C5995" t="s">
        <v>18802</v>
      </c>
      <c r="D5995" t="s">
        <v>18780</v>
      </c>
      <c r="E5995">
        <v>15</v>
      </c>
      <c r="F5995" t="str">
        <f>HYPERLINK("https://github.com/gsantner/markor/issues/1128", "show")</f>
        <v>show</v>
      </c>
      <c r="G5995" t="str">
        <f>HYPERLINK("https://github.com/gsantner/markor", "show")</f>
        <v>show</v>
      </c>
      <c r="H5995" t="str">
        <f>HYPERLINK("https://github.com/gsantner/markor/releases", "show")</f>
        <v>show</v>
      </c>
      <c r="I5995">
        <v>1</v>
      </c>
      <c r="J5995">
        <v>0</v>
      </c>
      <c r="K5995">
        <v>1</v>
      </c>
      <c r="L5995">
        <v>0</v>
      </c>
      <c r="M5995" t="s">
        <v>64</v>
      </c>
    </row>
    <row r="5996" spans="1:13" hidden="1" x14ac:dyDescent="0.15">
      <c r="A5996" t="s">
        <v>18803</v>
      </c>
      <c r="B5996" t="s">
        <v>18804</v>
      </c>
      <c r="C5996" t="s">
        <v>18805</v>
      </c>
      <c r="D5996" t="s">
        <v>18780</v>
      </c>
      <c r="E5996">
        <v>0</v>
      </c>
      <c r="F5996" t="str">
        <f>HYPERLINK("https://github.com/Anuken/Mindustry/issues/3442", "show")</f>
        <v>show</v>
      </c>
      <c r="G5996" t="str">
        <f>HYPERLINK("https://github.com/Anuken/Mindustry", "show")</f>
        <v>show</v>
      </c>
      <c r="H5996" t="str">
        <f>HYPERLINK("https://github.com/Anuken/Mindustry/releases", "show")</f>
        <v>show</v>
      </c>
      <c r="I5996">
        <v>0</v>
      </c>
      <c r="J5996">
        <v>0</v>
      </c>
      <c r="K5996">
        <v>0</v>
      </c>
      <c r="L5996">
        <v>0</v>
      </c>
      <c r="M5996" t="s">
        <v>43</v>
      </c>
    </row>
    <row r="5997" spans="1:13" hidden="1" x14ac:dyDescent="0.15">
      <c r="A5997" t="s">
        <v>18806</v>
      </c>
      <c r="B5997" t="s">
        <v>18807</v>
      </c>
      <c r="C5997" t="s">
        <v>18808</v>
      </c>
      <c r="D5997" t="s">
        <v>18809</v>
      </c>
      <c r="E5997">
        <v>12</v>
      </c>
      <c r="F5997" t="str">
        <f>HYPERLINK("https://github.com/FTCLib/FTCLib/issues/127", "show")</f>
        <v>show</v>
      </c>
      <c r="G5997" t="str">
        <f>HYPERLINK("https://github.com/FTCLib/FTCLib", "show")</f>
        <v>show</v>
      </c>
      <c r="H5997" t="str">
        <f>HYPERLINK("https://github.com/FTCLib/FTCLib/releases", "show")</f>
        <v>show</v>
      </c>
      <c r="I5997">
        <v>1</v>
      </c>
      <c r="J5997">
        <v>0</v>
      </c>
      <c r="K5997">
        <v>0</v>
      </c>
      <c r="L5997">
        <v>0</v>
      </c>
      <c r="M5997" t="s">
        <v>17</v>
      </c>
    </row>
    <row r="5998" spans="1:13" hidden="1" x14ac:dyDescent="0.15">
      <c r="A5998" t="s">
        <v>18810</v>
      </c>
      <c r="B5998" t="s">
        <v>18811</v>
      </c>
      <c r="C5998" t="s">
        <v>18812</v>
      </c>
      <c r="D5998" t="s">
        <v>18809</v>
      </c>
      <c r="E5998">
        <v>0</v>
      </c>
      <c r="F5998" t="str">
        <f>HYPERLINK("https://github.com/Anuken/Mindustry/issues/3440", "show")</f>
        <v>show</v>
      </c>
      <c r="G5998" t="str">
        <f>HYPERLINK("https://github.com/Anuken/Mindustry", "show")</f>
        <v>show</v>
      </c>
      <c r="H5998" t="str">
        <f>HYPERLINK("https://github.com/Anuken/Mindustry/releases", "show")</f>
        <v>show</v>
      </c>
      <c r="I5998">
        <v>0</v>
      </c>
      <c r="J5998">
        <v>0</v>
      </c>
      <c r="K5998">
        <v>0</v>
      </c>
      <c r="L5998">
        <v>0</v>
      </c>
      <c r="M5998" t="s">
        <v>43</v>
      </c>
    </row>
    <row r="5999" spans="1:13" hidden="1" x14ac:dyDescent="0.15">
      <c r="A5999" t="s">
        <v>18813</v>
      </c>
      <c r="B5999" t="s">
        <v>18814</v>
      </c>
      <c r="C5999" t="s">
        <v>18815</v>
      </c>
      <c r="D5999" t="s">
        <v>18809</v>
      </c>
      <c r="E5999">
        <v>365</v>
      </c>
      <c r="F5999" t="str">
        <f>HYPERLINK("https://github.com/material-components/material-components-android/issues/1877", "show")</f>
        <v>show</v>
      </c>
      <c r="G5999" t="str">
        <f>HYPERLINK("https://github.com/material-components/material-components-android", "show")</f>
        <v>show</v>
      </c>
      <c r="H5999" t="str">
        <f>HYPERLINK("https://github.com/material-components/material-components-android/releases", "show")</f>
        <v>show</v>
      </c>
      <c r="I5999">
        <v>0</v>
      </c>
      <c r="J5999">
        <v>0</v>
      </c>
      <c r="K5999">
        <v>0</v>
      </c>
      <c r="L5999">
        <v>0</v>
      </c>
      <c r="M5999" t="s">
        <v>43</v>
      </c>
    </row>
    <row r="6000" spans="1:13" hidden="1" x14ac:dyDescent="0.15">
      <c r="A6000" t="s">
        <v>18816</v>
      </c>
      <c r="B6000" t="s">
        <v>18817</v>
      </c>
      <c r="C6000" t="s">
        <v>18818</v>
      </c>
      <c r="D6000" t="s">
        <v>18809</v>
      </c>
      <c r="E6000">
        <v>0</v>
      </c>
      <c r="F6000" t="str">
        <f>HYPERLINK("https://github.com/Anuken/Mindustry/issues/3434", "show")</f>
        <v>show</v>
      </c>
      <c r="G6000" t="str">
        <f>HYPERLINK("https://github.com/Anuken/Mindustry", "show")</f>
        <v>show</v>
      </c>
      <c r="H6000" t="str">
        <f>HYPERLINK("https://github.com/Anuken/Mindustry/releases", "show")</f>
        <v>show</v>
      </c>
      <c r="I6000">
        <v>0</v>
      </c>
      <c r="J6000">
        <v>0</v>
      </c>
      <c r="K6000">
        <v>0</v>
      </c>
      <c r="L6000">
        <v>0</v>
      </c>
      <c r="M6000" t="s">
        <v>43</v>
      </c>
    </row>
    <row r="6001" spans="1:13" hidden="1" x14ac:dyDescent="0.15">
      <c r="A6001" t="s">
        <v>18819</v>
      </c>
      <c r="B6001" t="s">
        <v>18820</v>
      </c>
      <c r="C6001" t="s">
        <v>18821</v>
      </c>
      <c r="D6001" t="s">
        <v>18809</v>
      </c>
      <c r="E6001">
        <v>0</v>
      </c>
      <c r="F6001" t="str">
        <f>HYPERLINK("https://github.com/Anuken/Mindustry/issues/3432", "show")</f>
        <v>show</v>
      </c>
      <c r="G6001" t="str">
        <f>HYPERLINK("https://github.com/Anuken/Mindustry", "show")</f>
        <v>show</v>
      </c>
      <c r="H6001" t="str">
        <f>HYPERLINK("https://github.com/Anuken/Mindustry/releases", "show")</f>
        <v>show</v>
      </c>
      <c r="I6001">
        <v>0</v>
      </c>
      <c r="J6001">
        <v>0</v>
      </c>
      <c r="K6001">
        <v>0</v>
      </c>
      <c r="L6001">
        <v>0</v>
      </c>
      <c r="M6001" t="s">
        <v>43</v>
      </c>
    </row>
    <row r="6002" spans="1:13" hidden="1" x14ac:dyDescent="0.15">
      <c r="A6002" t="s">
        <v>18822</v>
      </c>
      <c r="B6002" t="s">
        <v>18823</v>
      </c>
      <c r="C6002" t="s">
        <v>18824</v>
      </c>
      <c r="D6002" t="s">
        <v>18809</v>
      </c>
      <c r="E6002">
        <v>0</v>
      </c>
      <c r="F6002" t="str">
        <f>HYPERLINK("https://github.com/Anuken/Mindustry/issues/3429", "show")</f>
        <v>show</v>
      </c>
      <c r="G6002" t="str">
        <f>HYPERLINK("https://github.com/Anuken/Mindustry", "show")</f>
        <v>show</v>
      </c>
      <c r="H6002" t="str">
        <f>HYPERLINK("https://github.com/Anuken/Mindustry/releases", "show")</f>
        <v>show</v>
      </c>
      <c r="I6002">
        <v>0</v>
      </c>
      <c r="J6002">
        <v>0</v>
      </c>
      <c r="K6002">
        <v>0</v>
      </c>
      <c r="L6002">
        <v>0</v>
      </c>
      <c r="M6002" t="s">
        <v>43</v>
      </c>
    </row>
    <row r="6003" spans="1:13" hidden="1" x14ac:dyDescent="0.15">
      <c r="A6003" t="s">
        <v>18825</v>
      </c>
      <c r="B6003" t="s">
        <v>18826</v>
      </c>
      <c r="C6003" t="s">
        <v>18827</v>
      </c>
      <c r="D6003" t="s">
        <v>18828</v>
      </c>
      <c r="E6003">
        <v>0</v>
      </c>
      <c r="F6003" t="str">
        <f>HYPERLINK("https://github.com/Anuken/Mindustry/issues/3424", "show")</f>
        <v>show</v>
      </c>
      <c r="G6003" t="str">
        <f>HYPERLINK("https://github.com/Anuken/Mindustry", "show")</f>
        <v>show</v>
      </c>
      <c r="H6003" t="str">
        <f>HYPERLINK("https://github.com/Anuken/Mindustry/releases", "show")</f>
        <v>show</v>
      </c>
      <c r="I6003">
        <v>0</v>
      </c>
      <c r="J6003">
        <v>0</v>
      </c>
      <c r="K6003">
        <v>0</v>
      </c>
      <c r="L6003">
        <v>0</v>
      </c>
      <c r="M6003" t="s">
        <v>43</v>
      </c>
    </row>
    <row r="6004" spans="1:13" hidden="1" x14ac:dyDescent="0.15">
      <c r="A6004" t="s">
        <v>18829</v>
      </c>
      <c r="B6004" t="s">
        <v>18830</v>
      </c>
      <c r="C6004" t="s">
        <v>18831</v>
      </c>
      <c r="D6004" t="s">
        <v>18828</v>
      </c>
      <c r="E6004">
        <v>0</v>
      </c>
      <c r="F6004" t="str">
        <f>HYPERLINK("https://github.com/Anuken/Mindustry/issues/3422", "show")</f>
        <v>show</v>
      </c>
      <c r="G6004" t="str">
        <f>HYPERLINK("https://github.com/Anuken/Mindustry", "show")</f>
        <v>show</v>
      </c>
      <c r="H6004" t="str">
        <f>HYPERLINK("https://github.com/Anuken/Mindustry/releases", "show")</f>
        <v>show</v>
      </c>
      <c r="I6004">
        <v>0</v>
      </c>
      <c r="J6004">
        <v>1</v>
      </c>
      <c r="K6004">
        <v>0</v>
      </c>
      <c r="L6004">
        <v>1</v>
      </c>
      <c r="M6004" t="s">
        <v>1732</v>
      </c>
    </row>
    <row r="6005" spans="1:13" hidden="1" x14ac:dyDescent="0.15">
      <c r="A6005" t="s">
        <v>18832</v>
      </c>
      <c r="B6005" t="s">
        <v>18833</v>
      </c>
      <c r="C6005" t="s">
        <v>18834</v>
      </c>
      <c r="D6005" t="s">
        <v>18828</v>
      </c>
      <c r="E6005">
        <v>9</v>
      </c>
      <c r="F6005" t="str">
        <f>HYPERLINK("https://github.com/GoogleCloudPlatform/fda-mystudies/issues/2053", "show")</f>
        <v>show</v>
      </c>
      <c r="G6005" t="str">
        <f>HYPERLINK("https://github.com/GoogleCloudPlatform/fda-mystudies", "show")</f>
        <v>show</v>
      </c>
      <c r="H6005" t="str">
        <f>HYPERLINK("https://github.com/GoogleCloudPlatform/fda-mystudies/releases", "show")</f>
        <v>show</v>
      </c>
      <c r="I6005">
        <v>0</v>
      </c>
      <c r="J6005">
        <v>0</v>
      </c>
      <c r="K6005">
        <v>0</v>
      </c>
      <c r="L6005">
        <v>0</v>
      </c>
      <c r="M6005" t="s">
        <v>43</v>
      </c>
    </row>
    <row r="6006" spans="1:13" hidden="1" x14ac:dyDescent="0.15">
      <c r="A6006" t="s">
        <v>18835</v>
      </c>
      <c r="B6006" t="s">
        <v>18836</v>
      </c>
      <c r="C6006" t="s">
        <v>18837</v>
      </c>
      <c r="D6006" t="s">
        <v>18828</v>
      </c>
      <c r="E6006">
        <v>14</v>
      </c>
      <c r="F6006" t="str">
        <f>HYPERLINK("https://github.com/google/ExoPlayer/issues/8230", "show")</f>
        <v>show</v>
      </c>
      <c r="G6006" t="str">
        <f>HYPERLINK("https://github.com/google/ExoPlayer", "show")</f>
        <v>show</v>
      </c>
      <c r="H6006" t="str">
        <f>HYPERLINK("https://github.com/google/ExoPlayer/releases", "show")</f>
        <v>show</v>
      </c>
      <c r="I6006">
        <v>1</v>
      </c>
      <c r="J6006">
        <v>1</v>
      </c>
      <c r="K6006">
        <v>0</v>
      </c>
      <c r="L6006">
        <v>0</v>
      </c>
      <c r="M6006" t="s">
        <v>48</v>
      </c>
    </row>
    <row r="6007" spans="1:13" hidden="1" x14ac:dyDescent="0.15">
      <c r="A6007" t="s">
        <v>18838</v>
      </c>
      <c r="B6007" t="s">
        <v>18839</v>
      </c>
      <c r="C6007" t="s">
        <v>18840</v>
      </c>
      <c r="D6007" t="s">
        <v>18828</v>
      </c>
      <c r="E6007">
        <v>5</v>
      </c>
      <c r="F6007" t="str">
        <f>HYPERLINK("https://github.com/WrichikBasu/ShakeAlarmClock/issues/20", "show")</f>
        <v>show</v>
      </c>
      <c r="G6007" t="str">
        <f>HYPERLINK("https://github.com/WrichikBasu/ShakeAlarmClock", "show")</f>
        <v>show</v>
      </c>
      <c r="H6007" t="str">
        <f>HYPERLINK("https://github.com/WrichikBasu/ShakeAlarmClock/releases", "show")</f>
        <v>show</v>
      </c>
      <c r="I6007">
        <v>0</v>
      </c>
      <c r="J6007">
        <v>0</v>
      </c>
      <c r="K6007">
        <v>1</v>
      </c>
      <c r="L6007">
        <v>0</v>
      </c>
      <c r="M6007" t="s">
        <v>122</v>
      </c>
    </row>
    <row r="6008" spans="1:13" hidden="1" x14ac:dyDescent="0.15">
      <c r="A6008" t="s">
        <v>18841</v>
      </c>
      <c r="B6008" t="s">
        <v>18842</v>
      </c>
      <c r="C6008" t="s">
        <v>18843</v>
      </c>
      <c r="D6008" t="s">
        <v>18828</v>
      </c>
      <c r="E6008">
        <v>1</v>
      </c>
      <c r="F6008" t="str">
        <f>HYPERLINK("https://github.com/amplitude/Amplitude-Android/issues/256", "show")</f>
        <v>show</v>
      </c>
      <c r="G6008" t="str">
        <f>HYPERLINK("https://github.com/amplitude/Amplitude-Android", "show")</f>
        <v>show</v>
      </c>
      <c r="H6008" t="str">
        <f>HYPERLINK("https://github.com/amplitude/Amplitude-Android/releases", "show")</f>
        <v>show</v>
      </c>
      <c r="I6008">
        <v>0</v>
      </c>
      <c r="J6008">
        <v>0</v>
      </c>
      <c r="K6008">
        <v>1</v>
      </c>
      <c r="L6008">
        <v>0</v>
      </c>
      <c r="M6008" t="s">
        <v>122</v>
      </c>
    </row>
    <row r="6009" spans="1:13" x14ac:dyDescent="0.15">
      <c r="A6009" t="s">
        <v>18844</v>
      </c>
      <c r="B6009" t="s">
        <v>18845</v>
      </c>
      <c r="C6009" t="s">
        <v>18846</v>
      </c>
      <c r="D6009" t="s">
        <v>18828</v>
      </c>
      <c r="E6009">
        <v>0</v>
      </c>
      <c r="F6009" t="str">
        <f>HYPERLINK("https://github.com/Anuken/Mindustry/issues/3417", "show")</f>
        <v>show</v>
      </c>
      <c r="G6009" t="str">
        <f>HYPERLINK("https://github.com/Anuken/Mindustry", "show")</f>
        <v>show</v>
      </c>
      <c r="H6009" t="str">
        <f>HYPERLINK("https://github.com/Anuken/Mindustry/releases", "show")</f>
        <v>show</v>
      </c>
      <c r="I6009">
        <v>0</v>
      </c>
      <c r="J6009">
        <v>1</v>
      </c>
      <c r="K6009">
        <v>0</v>
      </c>
      <c r="L6009">
        <v>0</v>
      </c>
      <c r="M6009" t="s">
        <v>139</v>
      </c>
    </row>
    <row r="6010" spans="1:13" hidden="1" x14ac:dyDescent="0.15">
      <c r="A6010" t="s">
        <v>18847</v>
      </c>
      <c r="B6010" t="s">
        <v>18848</v>
      </c>
      <c r="C6010" t="s">
        <v>18849</v>
      </c>
      <c r="D6010" t="s">
        <v>18850</v>
      </c>
      <c r="E6010">
        <v>0</v>
      </c>
      <c r="F6010" t="str">
        <f>HYPERLINK("https://github.com/TeamNewPipe/NewPipe/issues/4894", "show")</f>
        <v>show</v>
      </c>
      <c r="G6010" t="str">
        <f>HYPERLINK("https://github.com/TeamNewPipe/NewPipe", "show")</f>
        <v>show</v>
      </c>
      <c r="H6010" t="str">
        <f>HYPERLINK("https://github.com/TeamNewPipe/NewPipe/releases", "show")</f>
        <v>show</v>
      </c>
      <c r="I6010">
        <v>1</v>
      </c>
      <c r="J6010">
        <v>1</v>
      </c>
      <c r="K6010">
        <v>0</v>
      </c>
      <c r="L6010">
        <v>0</v>
      </c>
      <c r="M6010" t="s">
        <v>48</v>
      </c>
    </row>
    <row r="6011" spans="1:13" hidden="1" x14ac:dyDescent="0.15">
      <c r="A6011" t="s">
        <v>18851</v>
      </c>
      <c r="B6011" t="s">
        <v>18852</v>
      </c>
      <c r="C6011" t="s">
        <v>18853</v>
      </c>
      <c r="D6011" t="s">
        <v>18850</v>
      </c>
      <c r="E6011">
        <v>0</v>
      </c>
      <c r="F6011" t="str">
        <f>HYPERLINK("https://github.com/Anuken/Mindustry/issues/3410", "show")</f>
        <v>show</v>
      </c>
      <c r="G6011" t="str">
        <f>HYPERLINK("https://github.com/Anuken/Mindustry", "show")</f>
        <v>show</v>
      </c>
      <c r="H6011" t="str">
        <f>HYPERLINK("https://github.com/Anuken/Mindustry/releases", "show")</f>
        <v>show</v>
      </c>
      <c r="I6011">
        <v>0</v>
      </c>
      <c r="J6011">
        <v>0</v>
      </c>
      <c r="K6011">
        <v>0</v>
      </c>
      <c r="L6011">
        <v>0</v>
      </c>
      <c r="M6011" t="s">
        <v>43</v>
      </c>
    </row>
    <row r="6012" spans="1:13" hidden="1" x14ac:dyDescent="0.15">
      <c r="A6012" t="s">
        <v>18854</v>
      </c>
      <c r="B6012" t="s">
        <v>18855</v>
      </c>
      <c r="C6012" t="s">
        <v>18856</v>
      </c>
      <c r="D6012" t="s">
        <v>18850</v>
      </c>
      <c r="E6012">
        <v>0</v>
      </c>
      <c r="F6012" t="str">
        <f>HYPERLINK("https://github.com/Anuken/Mindustry/issues/3405", "show")</f>
        <v>show</v>
      </c>
      <c r="G6012" t="str">
        <f>HYPERLINK("https://github.com/Anuken/Mindustry", "show")</f>
        <v>show</v>
      </c>
      <c r="H6012" t="str">
        <f>HYPERLINK("https://github.com/Anuken/Mindustry/releases", "show")</f>
        <v>show</v>
      </c>
      <c r="I6012">
        <v>0</v>
      </c>
      <c r="J6012">
        <v>0</v>
      </c>
      <c r="K6012">
        <v>0</v>
      </c>
      <c r="L6012">
        <v>0</v>
      </c>
      <c r="M6012" t="s">
        <v>43</v>
      </c>
    </row>
    <row r="6013" spans="1:13" hidden="1" x14ac:dyDescent="0.15">
      <c r="A6013" t="s">
        <v>18857</v>
      </c>
      <c r="B6013" t="s">
        <v>18858</v>
      </c>
      <c r="C6013" t="s">
        <v>18859</v>
      </c>
      <c r="D6013" t="s">
        <v>18850</v>
      </c>
      <c r="E6013">
        <v>2</v>
      </c>
      <c r="F6013" t="str">
        <f>HYPERLINK("https://github.com/jellyfin/jellyfin-androidtv/issues/629", "show")</f>
        <v>show</v>
      </c>
      <c r="G6013" t="str">
        <f>HYPERLINK("https://github.com/jellyfin/jellyfin-androidtv", "show")</f>
        <v>show</v>
      </c>
      <c r="H6013" t="str">
        <f>HYPERLINK("https://github.com/jellyfin/jellyfin-androidtv/releases", "show")</f>
        <v>show</v>
      </c>
      <c r="I6013">
        <v>1</v>
      </c>
      <c r="J6013">
        <v>1</v>
      </c>
      <c r="K6013">
        <v>1</v>
      </c>
      <c r="L6013">
        <v>0</v>
      </c>
      <c r="M6013" t="s">
        <v>59</v>
      </c>
    </row>
    <row r="6014" spans="1:13" hidden="1" x14ac:dyDescent="0.15">
      <c r="A6014" t="s">
        <v>18860</v>
      </c>
      <c r="B6014" t="s">
        <v>18861</v>
      </c>
      <c r="C6014" t="s">
        <v>18862</v>
      </c>
      <c r="D6014" t="s">
        <v>18863</v>
      </c>
      <c r="E6014">
        <v>1</v>
      </c>
      <c r="F6014" t="str">
        <f>HYPERLINK("https://github.com/Anuken/Mindustry/issues/3400", "show")</f>
        <v>show</v>
      </c>
      <c r="G6014" t="str">
        <f>HYPERLINK("https://github.com/Anuken/Mindustry", "show")</f>
        <v>show</v>
      </c>
      <c r="H6014" t="str">
        <f>HYPERLINK("https://github.com/Anuken/Mindustry/releases", "show")</f>
        <v>show</v>
      </c>
      <c r="I6014">
        <v>0</v>
      </c>
      <c r="J6014">
        <v>0</v>
      </c>
      <c r="K6014">
        <v>0</v>
      </c>
      <c r="L6014">
        <v>0</v>
      </c>
      <c r="M6014" t="s">
        <v>43</v>
      </c>
    </row>
    <row r="6015" spans="1:13" hidden="1" x14ac:dyDescent="0.15">
      <c r="A6015" t="s">
        <v>18864</v>
      </c>
      <c r="B6015" t="s">
        <v>18865</v>
      </c>
      <c r="C6015" t="s">
        <v>18866</v>
      </c>
      <c r="D6015" t="s">
        <v>18863</v>
      </c>
      <c r="E6015">
        <v>0</v>
      </c>
      <c r="F6015" t="str">
        <f>HYPERLINK("https://github.com/Anuken/Mindustry/issues/3399", "show")</f>
        <v>show</v>
      </c>
      <c r="G6015" t="str">
        <f>HYPERLINK("https://github.com/Anuken/Mindustry", "show")</f>
        <v>show</v>
      </c>
      <c r="H6015" t="str">
        <f>HYPERLINK("https://github.com/Anuken/Mindustry/releases", "show")</f>
        <v>show</v>
      </c>
      <c r="I6015">
        <v>1</v>
      </c>
      <c r="J6015">
        <v>1</v>
      </c>
      <c r="K6015">
        <v>0</v>
      </c>
      <c r="L6015">
        <v>1</v>
      </c>
      <c r="M6015" t="s">
        <v>1894</v>
      </c>
    </row>
    <row r="6016" spans="1:13" hidden="1" x14ac:dyDescent="0.15">
      <c r="A6016" t="s">
        <v>18867</v>
      </c>
      <c r="B6016" t="s">
        <v>18868</v>
      </c>
      <c r="C6016" t="s">
        <v>18869</v>
      </c>
      <c r="D6016" t="s">
        <v>18863</v>
      </c>
      <c r="E6016">
        <v>0</v>
      </c>
      <c r="F6016" t="str">
        <f>HYPERLINK("https://github.com/Anuken/Mindustry/issues/3392", "show")</f>
        <v>show</v>
      </c>
      <c r="G6016" t="str">
        <f>HYPERLINK("https://github.com/Anuken/Mindustry", "show")</f>
        <v>show</v>
      </c>
      <c r="H6016" t="str">
        <f>HYPERLINK("https://github.com/Anuken/Mindustry/releases", "show")</f>
        <v>show</v>
      </c>
      <c r="I6016">
        <v>0</v>
      </c>
      <c r="J6016">
        <v>0</v>
      </c>
      <c r="K6016">
        <v>0</v>
      </c>
      <c r="L6016">
        <v>0</v>
      </c>
      <c r="M6016" t="s">
        <v>43</v>
      </c>
    </row>
    <row r="6017" spans="1:13" hidden="1" x14ac:dyDescent="0.15">
      <c r="A6017" t="s">
        <v>18870</v>
      </c>
      <c r="B6017" t="s">
        <v>18871</v>
      </c>
      <c r="C6017" t="s">
        <v>18872</v>
      </c>
      <c r="D6017" t="s">
        <v>18863</v>
      </c>
      <c r="E6017">
        <v>0</v>
      </c>
      <c r="F6017" t="str">
        <f>HYPERLINK("https://github.com/Anuken/Mindustry/issues/3391", "show")</f>
        <v>show</v>
      </c>
      <c r="G6017" t="str">
        <f>HYPERLINK("https://github.com/Anuken/Mindustry", "show")</f>
        <v>show</v>
      </c>
      <c r="H6017" t="str">
        <f>HYPERLINK("https://github.com/Anuken/Mindustry/releases", "show")</f>
        <v>show</v>
      </c>
      <c r="I6017">
        <v>0</v>
      </c>
      <c r="J6017">
        <v>0</v>
      </c>
      <c r="K6017">
        <v>0</v>
      </c>
      <c r="L6017">
        <v>1</v>
      </c>
      <c r="M6017" t="s">
        <v>581</v>
      </c>
    </row>
    <row r="6018" spans="1:13" hidden="1" x14ac:dyDescent="0.15">
      <c r="A6018" t="s">
        <v>18873</v>
      </c>
      <c r="B6018" t="s">
        <v>18874</v>
      </c>
      <c r="C6018" t="s">
        <v>18875</v>
      </c>
      <c r="D6018" t="s">
        <v>18863</v>
      </c>
      <c r="E6018">
        <v>36</v>
      </c>
      <c r="F6018" t="str">
        <f>HYPERLINK("https://github.com/stefan-niedermann/nextcloud-notes/issues/988", "show")</f>
        <v>show</v>
      </c>
      <c r="G6018" t="str">
        <f>HYPERLINK("https://github.com/stefan-niedermann/nextcloud-notes", "show")</f>
        <v>show</v>
      </c>
      <c r="H6018" t="str">
        <f>HYPERLINK("https://github.com/stefan-niedermann/nextcloud-notes/releases", "show")</f>
        <v>show</v>
      </c>
      <c r="I6018">
        <v>1</v>
      </c>
      <c r="J6018">
        <v>1</v>
      </c>
      <c r="K6018">
        <v>1</v>
      </c>
      <c r="L6018">
        <v>0</v>
      </c>
      <c r="M6018" t="s">
        <v>59</v>
      </c>
    </row>
    <row r="6019" spans="1:13" hidden="1" x14ac:dyDescent="0.15">
      <c r="A6019" t="s">
        <v>18876</v>
      </c>
      <c r="B6019" t="s">
        <v>18877</v>
      </c>
      <c r="C6019" t="s">
        <v>18878</v>
      </c>
      <c r="D6019" t="s">
        <v>18863</v>
      </c>
      <c r="E6019">
        <v>0</v>
      </c>
      <c r="F6019" t="str">
        <f>HYPERLINK("https://github.com/Anuken/Mindustry/issues/3389", "show")</f>
        <v>show</v>
      </c>
      <c r="G6019" t="str">
        <f>HYPERLINK("https://github.com/Anuken/Mindustry", "show")</f>
        <v>show</v>
      </c>
      <c r="H6019" t="str">
        <f>HYPERLINK("https://github.com/Anuken/Mindustry/releases", "show")</f>
        <v>show</v>
      </c>
      <c r="I6019">
        <v>1</v>
      </c>
      <c r="J6019">
        <v>0</v>
      </c>
      <c r="K6019">
        <v>0</v>
      </c>
      <c r="L6019">
        <v>0</v>
      </c>
      <c r="M6019" t="s">
        <v>17</v>
      </c>
    </row>
    <row r="6020" spans="1:13" hidden="1" x14ac:dyDescent="0.15">
      <c r="A6020" t="s">
        <v>18879</v>
      </c>
      <c r="B6020" t="s">
        <v>18880</v>
      </c>
      <c r="C6020" t="s">
        <v>18881</v>
      </c>
      <c r="D6020" t="s">
        <v>18882</v>
      </c>
      <c r="E6020">
        <v>0</v>
      </c>
      <c r="F6020" t="str">
        <f>HYPERLINK("https://github.com/Anuken/Mindustry/issues/3385", "show")</f>
        <v>show</v>
      </c>
      <c r="G6020" t="str">
        <f>HYPERLINK("https://github.com/Anuken/Mindustry", "show")</f>
        <v>show</v>
      </c>
      <c r="H6020" t="str">
        <f>HYPERLINK("https://github.com/Anuken/Mindustry/releases", "show")</f>
        <v>show</v>
      </c>
      <c r="I6020">
        <v>1</v>
      </c>
      <c r="J6020">
        <v>0</v>
      </c>
      <c r="K6020">
        <v>0</v>
      </c>
      <c r="L6020">
        <v>0</v>
      </c>
      <c r="M6020" t="s">
        <v>17</v>
      </c>
    </row>
    <row r="6021" spans="1:13" x14ac:dyDescent="0.15">
      <c r="A6021" t="s">
        <v>18883</v>
      </c>
      <c r="B6021" t="s">
        <v>18884</v>
      </c>
      <c r="C6021" t="s">
        <v>18885</v>
      </c>
      <c r="D6021" t="s">
        <v>18882</v>
      </c>
      <c r="E6021">
        <v>0</v>
      </c>
      <c r="F6021" t="str">
        <f>HYPERLINK("https://github.com/Anuken/Mindustry/issues/3380", "show")</f>
        <v>show</v>
      </c>
      <c r="G6021" t="str">
        <f>HYPERLINK("https://github.com/Anuken/Mindustry", "show")</f>
        <v>show</v>
      </c>
      <c r="H6021" t="str">
        <f>HYPERLINK("https://github.com/Anuken/Mindustry/releases", "show")</f>
        <v>show</v>
      </c>
      <c r="I6021">
        <v>0</v>
      </c>
      <c r="J6021">
        <v>1</v>
      </c>
      <c r="K6021">
        <v>0</v>
      </c>
      <c r="L6021">
        <v>0</v>
      </c>
      <c r="M6021" t="s">
        <v>139</v>
      </c>
    </row>
    <row r="6022" spans="1:13" hidden="1" x14ac:dyDescent="0.15">
      <c r="A6022" t="s">
        <v>18886</v>
      </c>
      <c r="B6022" t="s">
        <v>18887</v>
      </c>
      <c r="C6022" t="s">
        <v>18888</v>
      </c>
      <c r="D6022" t="s">
        <v>18882</v>
      </c>
      <c r="E6022">
        <v>0</v>
      </c>
      <c r="F6022" t="str">
        <f>HYPERLINK("https://github.com/Anuken/Mindustry/issues/3378", "show")</f>
        <v>show</v>
      </c>
      <c r="G6022" t="str">
        <f>HYPERLINK("https://github.com/Anuken/Mindustry", "show")</f>
        <v>show</v>
      </c>
      <c r="H6022" t="str">
        <f>HYPERLINK("https://github.com/Anuken/Mindustry/releases", "show")</f>
        <v>show</v>
      </c>
      <c r="I6022">
        <v>1</v>
      </c>
      <c r="J6022">
        <v>0</v>
      </c>
      <c r="K6022">
        <v>0</v>
      </c>
      <c r="L6022">
        <v>0</v>
      </c>
      <c r="M6022" t="s">
        <v>17</v>
      </c>
    </row>
    <row r="6023" spans="1:13" hidden="1" x14ac:dyDescent="0.15">
      <c r="A6023" t="s">
        <v>18889</v>
      </c>
      <c r="B6023" t="s">
        <v>18890</v>
      </c>
      <c r="C6023" t="s">
        <v>18891</v>
      </c>
      <c r="D6023" t="s">
        <v>18882</v>
      </c>
      <c r="E6023">
        <v>124</v>
      </c>
      <c r="F6023" t="str">
        <f>HYPERLINK("https://github.com/microsoft/appcenter-sdk-android/issues/1477", "show")</f>
        <v>show</v>
      </c>
      <c r="G6023" t="str">
        <f>HYPERLINK("https://github.com/microsoft/appcenter-sdk-android", "show")</f>
        <v>show</v>
      </c>
      <c r="H6023" t="str">
        <f>HYPERLINK("https://github.com/microsoft/appcenter-sdk-android/releases", "show")</f>
        <v>show</v>
      </c>
      <c r="I6023">
        <v>1</v>
      </c>
      <c r="J6023">
        <v>1</v>
      </c>
      <c r="K6023">
        <v>1</v>
      </c>
      <c r="L6023">
        <v>0</v>
      </c>
      <c r="M6023" t="s">
        <v>59</v>
      </c>
    </row>
    <row r="6024" spans="1:13" hidden="1" x14ac:dyDescent="0.15">
      <c r="A6024" t="s">
        <v>18892</v>
      </c>
      <c r="B6024" t="s">
        <v>18893</v>
      </c>
      <c r="C6024" t="s">
        <v>18894</v>
      </c>
      <c r="D6024" t="s">
        <v>18882</v>
      </c>
      <c r="E6024">
        <v>5</v>
      </c>
      <c r="F6024" t="str">
        <f>HYPERLINK("https://github.com/nextcloud/android/issues/7317", "show")</f>
        <v>show</v>
      </c>
      <c r="G6024" t="str">
        <f>HYPERLINK("https://github.com/nextcloud/android", "show")</f>
        <v>show</v>
      </c>
      <c r="H6024" t="str">
        <f>HYPERLINK("https://github.com/nextcloud/android/releases", "show")</f>
        <v>show</v>
      </c>
      <c r="I6024">
        <v>1</v>
      </c>
      <c r="J6024">
        <v>1</v>
      </c>
      <c r="K6024">
        <v>1</v>
      </c>
      <c r="L6024">
        <v>0</v>
      </c>
      <c r="M6024" t="s">
        <v>59</v>
      </c>
    </row>
    <row r="6025" spans="1:13" hidden="1" x14ac:dyDescent="0.15">
      <c r="A6025" t="s">
        <v>18895</v>
      </c>
      <c r="B6025" t="s">
        <v>18896</v>
      </c>
      <c r="C6025" t="s">
        <v>18897</v>
      </c>
      <c r="D6025" t="s">
        <v>18882</v>
      </c>
      <c r="E6025">
        <v>104</v>
      </c>
      <c r="F6025" t="str">
        <f>HYPERLINK("https://github.com/Azure/azure-iot-sdk-java/issues/991", "show")</f>
        <v>show</v>
      </c>
      <c r="G6025" t="str">
        <f>HYPERLINK("https://github.com/Azure/azure-iot-sdk-java", "show")</f>
        <v>show</v>
      </c>
      <c r="H6025" t="str">
        <f>HYPERLINK("https://github.com/Azure/azure-iot-sdk-java/releases", "show")</f>
        <v>show</v>
      </c>
      <c r="I6025">
        <v>1</v>
      </c>
      <c r="J6025">
        <v>0</v>
      </c>
      <c r="K6025">
        <v>0</v>
      </c>
      <c r="L6025">
        <v>0</v>
      </c>
      <c r="M6025" t="s">
        <v>17</v>
      </c>
    </row>
    <row r="6026" spans="1:13" hidden="1" x14ac:dyDescent="0.15">
      <c r="A6026" t="s">
        <v>18898</v>
      </c>
      <c r="B6026" t="s">
        <v>18899</v>
      </c>
      <c r="C6026" t="s">
        <v>18900</v>
      </c>
      <c r="D6026" t="s">
        <v>18882</v>
      </c>
      <c r="E6026">
        <v>1</v>
      </c>
      <c r="F6026" t="str">
        <f>HYPERLINK("https://github.com/SkyTubeTeam/SkyTube/issues/833", "show")</f>
        <v>show</v>
      </c>
      <c r="G6026" t="str">
        <f>HYPERLINK("https://github.com/SkyTubeTeam/SkyTube", "show")</f>
        <v>show</v>
      </c>
      <c r="H6026" t="str">
        <f>HYPERLINK("https://github.com/SkyTubeTeam/SkyTube/releases", "show")</f>
        <v>show</v>
      </c>
      <c r="I6026">
        <v>1</v>
      </c>
      <c r="J6026">
        <v>0</v>
      </c>
      <c r="K6026">
        <v>0</v>
      </c>
      <c r="L6026">
        <v>0</v>
      </c>
      <c r="M6026" t="s">
        <v>17</v>
      </c>
    </row>
    <row r="6027" spans="1:13" hidden="1" x14ac:dyDescent="0.15">
      <c r="A6027" t="s">
        <v>18901</v>
      </c>
      <c r="B6027" t="s">
        <v>18902</v>
      </c>
      <c r="C6027" t="s">
        <v>18903</v>
      </c>
      <c r="D6027" t="s">
        <v>18882</v>
      </c>
      <c r="E6027">
        <v>0</v>
      </c>
      <c r="F6027" t="str">
        <f>HYPERLINK("https://github.com/Anuken/Mindustry/issues/3375", "show")</f>
        <v>show</v>
      </c>
      <c r="G6027" t="str">
        <f>HYPERLINK("https://github.com/Anuken/Mindustry", "show")</f>
        <v>show</v>
      </c>
      <c r="H6027" t="str">
        <f>HYPERLINK("https://github.com/Anuken/Mindustry/releases", "show")</f>
        <v>show</v>
      </c>
      <c r="I6027">
        <v>0</v>
      </c>
      <c r="J6027">
        <v>0</v>
      </c>
      <c r="K6027">
        <v>0</v>
      </c>
      <c r="L6027">
        <v>0</v>
      </c>
      <c r="M6027" t="s">
        <v>43</v>
      </c>
    </row>
    <row r="6028" spans="1:13" hidden="1" x14ac:dyDescent="0.15">
      <c r="A6028" t="s">
        <v>18904</v>
      </c>
      <c r="B6028" t="s">
        <v>18905</v>
      </c>
      <c r="C6028" t="s">
        <v>18906</v>
      </c>
      <c r="D6028" t="s">
        <v>18907</v>
      </c>
      <c r="E6028">
        <v>8</v>
      </c>
      <c r="F6028" t="str">
        <f>HYPERLINK("https://github.com/opensrp/opensrp-client-chw/issues/1536", "show")</f>
        <v>show</v>
      </c>
      <c r="G6028" t="str">
        <f>HYPERLINK("https://github.com/opensrp/opensrp-client-chw", "show")</f>
        <v>show</v>
      </c>
      <c r="H6028" t="str">
        <f>HYPERLINK("https://github.com/opensrp/opensrp-client-chw/releases", "show")</f>
        <v>show</v>
      </c>
      <c r="I6028">
        <v>1</v>
      </c>
      <c r="J6028">
        <v>1</v>
      </c>
      <c r="K6028">
        <v>0</v>
      </c>
      <c r="L6028">
        <v>0</v>
      </c>
      <c r="M6028" t="s">
        <v>48</v>
      </c>
    </row>
    <row r="6029" spans="1:13" hidden="1" x14ac:dyDescent="0.15">
      <c r="A6029" t="s">
        <v>18908</v>
      </c>
      <c r="B6029" t="s">
        <v>18909</v>
      </c>
      <c r="C6029" t="s">
        <v>18910</v>
      </c>
      <c r="D6029" t="s">
        <v>18907</v>
      </c>
      <c r="E6029">
        <v>0</v>
      </c>
      <c r="F6029" t="str">
        <f>HYPERLINK("https://github.com/Anuken/Mindustry/issues/3369", "show")</f>
        <v>show</v>
      </c>
      <c r="G6029" t="str">
        <f>HYPERLINK("https://github.com/Anuken/Mindustry", "show")</f>
        <v>show</v>
      </c>
      <c r="H6029" t="str">
        <f>HYPERLINK("https://github.com/Anuken/Mindustry/releases", "show")</f>
        <v>show</v>
      </c>
      <c r="I6029">
        <v>0</v>
      </c>
      <c r="J6029">
        <v>0</v>
      </c>
      <c r="K6029">
        <v>0</v>
      </c>
      <c r="L6029">
        <v>1</v>
      </c>
      <c r="M6029" t="s">
        <v>581</v>
      </c>
    </row>
    <row r="6030" spans="1:13" hidden="1" x14ac:dyDescent="0.15">
      <c r="A6030" t="s">
        <v>18911</v>
      </c>
      <c r="B6030" t="s">
        <v>18912</v>
      </c>
      <c r="C6030" t="s">
        <v>18913</v>
      </c>
      <c r="D6030" t="s">
        <v>18907</v>
      </c>
      <c r="E6030">
        <v>0</v>
      </c>
      <c r="F6030" t="str">
        <f>HYPERLINK("https://github.com/Anuken/Mindustry/issues/3366", "show")</f>
        <v>show</v>
      </c>
      <c r="G6030" t="str">
        <f>HYPERLINK("https://github.com/Anuken/Mindustry", "show")</f>
        <v>show</v>
      </c>
      <c r="H6030" t="str">
        <f>HYPERLINK("https://github.com/Anuken/Mindustry/releases", "show")</f>
        <v>show</v>
      </c>
      <c r="I6030">
        <v>0</v>
      </c>
      <c r="J6030">
        <v>0</v>
      </c>
      <c r="K6030">
        <v>0</v>
      </c>
      <c r="L6030">
        <v>0</v>
      </c>
      <c r="M6030" t="s">
        <v>43</v>
      </c>
    </row>
    <row r="6031" spans="1:13" hidden="1" x14ac:dyDescent="0.15">
      <c r="A6031" t="s">
        <v>18914</v>
      </c>
      <c r="B6031" t="s">
        <v>18915</v>
      </c>
      <c r="C6031" t="s">
        <v>18916</v>
      </c>
      <c r="D6031" t="s">
        <v>18907</v>
      </c>
      <c r="E6031">
        <v>0</v>
      </c>
      <c r="F6031" t="str">
        <f>HYPERLINK("https://github.com/Anuken/Mindustry/issues/3364", "show")</f>
        <v>show</v>
      </c>
      <c r="G6031" t="str">
        <f>HYPERLINK("https://github.com/Anuken/Mindustry", "show")</f>
        <v>show</v>
      </c>
      <c r="H6031" t="str">
        <f>HYPERLINK("https://github.com/Anuken/Mindustry/releases", "show")</f>
        <v>show</v>
      </c>
      <c r="I6031">
        <v>0</v>
      </c>
      <c r="J6031">
        <v>0</v>
      </c>
      <c r="K6031">
        <v>0</v>
      </c>
      <c r="L6031">
        <v>0</v>
      </c>
      <c r="M6031" t="s">
        <v>43</v>
      </c>
    </row>
    <row r="6032" spans="1:13" hidden="1" x14ac:dyDescent="0.15">
      <c r="A6032" t="s">
        <v>18917</v>
      </c>
      <c r="B6032" t="s">
        <v>18918</v>
      </c>
      <c r="C6032" t="s">
        <v>18919</v>
      </c>
      <c r="D6032" t="s">
        <v>18907</v>
      </c>
      <c r="E6032">
        <v>2</v>
      </c>
      <c r="F6032" t="str">
        <f>HYPERLINK("https://github.com/AOF-Dev/MCinaBox/issues/670", "show")</f>
        <v>show</v>
      </c>
      <c r="G6032" t="str">
        <f>HYPERLINK("https://github.com/AOF-Dev/MCinaBox", "show")</f>
        <v>show</v>
      </c>
      <c r="H6032" t="str">
        <f>HYPERLINK("https://github.com/AOF-Dev/MCinaBox/releases", "show")</f>
        <v>show</v>
      </c>
      <c r="I6032">
        <v>0</v>
      </c>
      <c r="J6032">
        <v>0</v>
      </c>
      <c r="K6032">
        <v>0</v>
      </c>
      <c r="L6032">
        <v>0</v>
      </c>
      <c r="M6032" t="s">
        <v>43</v>
      </c>
    </row>
    <row r="6033" spans="1:13" hidden="1" x14ac:dyDescent="0.15">
      <c r="A6033" t="s">
        <v>18920</v>
      </c>
      <c r="B6033" t="s">
        <v>18921</v>
      </c>
      <c r="C6033" t="s">
        <v>18922</v>
      </c>
      <c r="D6033" t="s">
        <v>18907</v>
      </c>
      <c r="E6033">
        <v>0</v>
      </c>
      <c r="F6033" t="str">
        <f>HYPERLINK("https://github.com/Anuken/Mindustry/issues/3358", "show")</f>
        <v>show</v>
      </c>
      <c r="G6033" t="str">
        <f>HYPERLINK("https://github.com/Anuken/Mindustry", "show")</f>
        <v>show</v>
      </c>
      <c r="H6033" t="str">
        <f>HYPERLINK("https://github.com/Anuken/Mindustry/releases", "show")</f>
        <v>show</v>
      </c>
      <c r="I6033">
        <v>0</v>
      </c>
      <c r="J6033">
        <v>0</v>
      </c>
      <c r="K6033">
        <v>0</v>
      </c>
      <c r="L6033">
        <v>0</v>
      </c>
      <c r="M6033" t="s">
        <v>43</v>
      </c>
    </row>
    <row r="6034" spans="1:13" hidden="1" x14ac:dyDescent="0.15">
      <c r="A6034" t="s">
        <v>18923</v>
      </c>
      <c r="B6034" t="s">
        <v>18924</v>
      </c>
      <c r="C6034" t="s">
        <v>18925</v>
      </c>
      <c r="D6034" t="s">
        <v>18926</v>
      </c>
      <c r="E6034">
        <v>1</v>
      </c>
      <c r="F6034" t="str">
        <f>HYPERLINK("https://github.com/Anuken/Mindustry/issues/3356", "show")</f>
        <v>show</v>
      </c>
      <c r="G6034" t="str">
        <f>HYPERLINK("https://github.com/Anuken/Mindustry", "show")</f>
        <v>show</v>
      </c>
      <c r="H6034" t="str">
        <f>HYPERLINK("https://github.com/Anuken/Mindustry/releases", "show")</f>
        <v>show</v>
      </c>
      <c r="I6034">
        <v>0</v>
      </c>
      <c r="J6034">
        <v>0</v>
      </c>
      <c r="K6034">
        <v>1</v>
      </c>
      <c r="L6034">
        <v>0</v>
      </c>
      <c r="M6034" t="s">
        <v>122</v>
      </c>
    </row>
    <row r="6035" spans="1:13" hidden="1" x14ac:dyDescent="0.15">
      <c r="A6035" t="s">
        <v>18927</v>
      </c>
      <c r="B6035" t="s">
        <v>18928</v>
      </c>
      <c r="C6035" t="s">
        <v>18929</v>
      </c>
      <c r="D6035" t="s">
        <v>18926</v>
      </c>
      <c r="E6035">
        <v>0</v>
      </c>
      <c r="F6035" t="str">
        <f>HYPERLINK("https://github.com/Anuken/Mindustry/issues/3348", "show")</f>
        <v>show</v>
      </c>
      <c r="G6035" t="str">
        <f>HYPERLINK("https://github.com/Anuken/Mindustry", "show")</f>
        <v>show</v>
      </c>
      <c r="H6035" t="str">
        <f>HYPERLINK("https://github.com/Anuken/Mindustry/releases", "show")</f>
        <v>show</v>
      </c>
      <c r="I6035">
        <v>0</v>
      </c>
      <c r="J6035">
        <v>0</v>
      </c>
      <c r="K6035">
        <v>0</v>
      </c>
      <c r="L6035">
        <v>0</v>
      </c>
      <c r="M6035" t="s">
        <v>43</v>
      </c>
    </row>
    <row r="6036" spans="1:13" hidden="1" x14ac:dyDescent="0.15">
      <c r="A6036" t="s">
        <v>18930</v>
      </c>
      <c r="B6036" t="s">
        <v>18931</v>
      </c>
      <c r="D6036" t="s">
        <v>18926</v>
      </c>
      <c r="E6036">
        <v>0</v>
      </c>
      <c r="F6036" t="str">
        <f>HYPERLINK("https://github.com/MitchellTFord/Fitness-Tracker/issues/39", "show")</f>
        <v>show</v>
      </c>
      <c r="G6036" t="str">
        <f>HYPERLINK("https://github.com/MitchellTFord/Fitness-Tracker", "show")</f>
        <v>show</v>
      </c>
      <c r="H6036" t="str">
        <f>HYPERLINK("https://github.com/MitchellTFord/Fitness-Tracker/releases", "show")</f>
        <v>show</v>
      </c>
      <c r="I6036">
        <v>1</v>
      </c>
      <c r="J6036">
        <v>0</v>
      </c>
      <c r="K6036">
        <v>0</v>
      </c>
      <c r="L6036">
        <v>0</v>
      </c>
      <c r="M6036" t="s">
        <v>17</v>
      </c>
    </row>
    <row r="6037" spans="1:13" hidden="1" x14ac:dyDescent="0.15">
      <c r="A6037" t="s">
        <v>18932</v>
      </c>
      <c r="B6037" t="s">
        <v>18933</v>
      </c>
      <c r="C6037" t="s">
        <v>18934</v>
      </c>
      <c r="D6037" t="s">
        <v>18926</v>
      </c>
      <c r="E6037">
        <v>0</v>
      </c>
      <c r="F6037" t="str">
        <f>HYPERLINK("https://github.com/Anuken/Mindustry/issues/3347", "show")</f>
        <v>show</v>
      </c>
      <c r="G6037" t="str">
        <f>HYPERLINK("https://github.com/Anuken/Mindustry", "show")</f>
        <v>show</v>
      </c>
      <c r="H6037" t="str">
        <f>HYPERLINK("https://github.com/Anuken/Mindustry/releases", "show")</f>
        <v>show</v>
      </c>
      <c r="I6037">
        <v>0</v>
      </c>
      <c r="J6037">
        <v>0</v>
      </c>
      <c r="K6037">
        <v>0</v>
      </c>
      <c r="L6037">
        <v>0</v>
      </c>
      <c r="M6037" t="s">
        <v>43</v>
      </c>
    </row>
    <row r="6038" spans="1:13" x14ac:dyDescent="0.15">
      <c r="A6038" t="s">
        <v>18935</v>
      </c>
      <c r="B6038" t="s">
        <v>18936</v>
      </c>
      <c r="C6038" t="s">
        <v>18937</v>
      </c>
      <c r="D6038" t="s">
        <v>18926</v>
      </c>
      <c r="E6038">
        <v>0</v>
      </c>
      <c r="F6038" t="str">
        <f>HYPERLINK("https://github.com/Anuken/Mindustry/issues/3346", "show")</f>
        <v>show</v>
      </c>
      <c r="G6038" t="str">
        <f>HYPERLINK("https://github.com/Anuken/Mindustry", "show")</f>
        <v>show</v>
      </c>
      <c r="H6038" t="str">
        <f>HYPERLINK("https://github.com/Anuken/Mindustry/releases", "show")</f>
        <v>show</v>
      </c>
      <c r="I6038">
        <v>0</v>
      </c>
      <c r="J6038">
        <v>1</v>
      </c>
      <c r="K6038">
        <v>0</v>
      </c>
      <c r="L6038">
        <v>0</v>
      </c>
      <c r="M6038" t="s">
        <v>139</v>
      </c>
    </row>
    <row r="6039" spans="1:13" hidden="1" x14ac:dyDescent="0.15">
      <c r="A6039" t="s">
        <v>18938</v>
      </c>
      <c r="B6039" t="s">
        <v>18939</v>
      </c>
      <c r="C6039" t="s">
        <v>18940</v>
      </c>
      <c r="D6039" t="s">
        <v>18926</v>
      </c>
      <c r="E6039">
        <v>1</v>
      </c>
      <c r="F6039" t="str">
        <f>HYPERLINK("https://github.com/nextcloud/android/issues/7301", "show")</f>
        <v>show</v>
      </c>
      <c r="G6039" t="str">
        <f>HYPERLINK("https://github.com/nextcloud/android", "show")</f>
        <v>show</v>
      </c>
      <c r="H6039" t="str">
        <f>HYPERLINK("https://github.com/nextcloud/android/releases", "show")</f>
        <v>show</v>
      </c>
      <c r="I6039">
        <v>0</v>
      </c>
      <c r="J6039">
        <v>1</v>
      </c>
      <c r="K6039">
        <v>1</v>
      </c>
      <c r="L6039">
        <v>0</v>
      </c>
      <c r="M6039" t="s">
        <v>699</v>
      </c>
    </row>
    <row r="6040" spans="1:13" hidden="1" x14ac:dyDescent="0.15">
      <c r="A6040" t="s">
        <v>18941</v>
      </c>
      <c r="B6040" t="s">
        <v>18942</v>
      </c>
      <c r="C6040" t="s">
        <v>18943</v>
      </c>
      <c r="D6040" t="s">
        <v>18926</v>
      </c>
      <c r="E6040">
        <v>0</v>
      </c>
      <c r="F6040" t="str">
        <f>HYPERLINK("https://github.com/Anuken/Mindustry/issues/3341", "show")</f>
        <v>show</v>
      </c>
      <c r="G6040" t="str">
        <f>HYPERLINK("https://github.com/Anuken/Mindustry", "show")</f>
        <v>show</v>
      </c>
      <c r="H6040" t="str">
        <f>HYPERLINK("https://github.com/Anuken/Mindustry/releases", "show")</f>
        <v>show</v>
      </c>
      <c r="I6040">
        <v>0</v>
      </c>
      <c r="J6040">
        <v>0</v>
      </c>
      <c r="K6040">
        <v>0</v>
      </c>
      <c r="L6040">
        <v>0</v>
      </c>
      <c r="M6040" t="s">
        <v>43</v>
      </c>
    </row>
    <row r="6041" spans="1:13" x14ac:dyDescent="0.15">
      <c r="A6041" t="s">
        <v>18944</v>
      </c>
      <c r="B6041" t="s">
        <v>18945</v>
      </c>
      <c r="C6041" t="s">
        <v>18946</v>
      </c>
      <c r="D6041" t="s">
        <v>18926</v>
      </c>
      <c r="E6041">
        <v>0</v>
      </c>
      <c r="F6041" t="str">
        <f>HYPERLINK("https://github.com/Anuken/Mindustry/issues/3340", "show")</f>
        <v>show</v>
      </c>
      <c r="G6041" t="str">
        <f>HYPERLINK("https://github.com/Anuken/Mindustry", "show")</f>
        <v>show</v>
      </c>
      <c r="H6041" t="str">
        <f>HYPERLINK("https://github.com/Anuken/Mindustry/releases", "show")</f>
        <v>show</v>
      </c>
      <c r="I6041">
        <v>0</v>
      </c>
      <c r="J6041">
        <v>1</v>
      </c>
      <c r="K6041">
        <v>0</v>
      </c>
      <c r="L6041">
        <v>0</v>
      </c>
      <c r="M6041" t="s">
        <v>139</v>
      </c>
    </row>
    <row r="6042" spans="1:13" x14ac:dyDescent="0.15">
      <c r="A6042" t="s">
        <v>18947</v>
      </c>
      <c r="B6042" t="s">
        <v>18948</v>
      </c>
      <c r="C6042" t="s">
        <v>18949</v>
      </c>
      <c r="D6042" t="s">
        <v>18926</v>
      </c>
      <c r="E6042">
        <v>0</v>
      </c>
      <c r="F6042" t="str">
        <f>HYPERLINK("https://github.com/Anuken/Mindustry/issues/3338", "show")</f>
        <v>show</v>
      </c>
      <c r="G6042" t="str">
        <f>HYPERLINK("https://github.com/Anuken/Mindustry", "show")</f>
        <v>show</v>
      </c>
      <c r="H6042" t="str">
        <f>HYPERLINK("https://github.com/Anuken/Mindustry/releases", "show")</f>
        <v>show</v>
      </c>
      <c r="I6042">
        <v>0</v>
      </c>
      <c r="J6042">
        <v>1</v>
      </c>
      <c r="K6042">
        <v>0</v>
      </c>
      <c r="L6042">
        <v>0</v>
      </c>
      <c r="M6042" t="s">
        <v>139</v>
      </c>
    </row>
    <row r="6043" spans="1:13" hidden="1" x14ac:dyDescent="0.15">
      <c r="A6043" t="s">
        <v>18950</v>
      </c>
      <c r="B6043" t="s">
        <v>18951</v>
      </c>
      <c r="C6043" t="s">
        <v>18952</v>
      </c>
      <c r="D6043" t="s">
        <v>18926</v>
      </c>
      <c r="E6043">
        <v>120</v>
      </c>
      <c r="F6043" t="str">
        <f>HYPERLINK("https://github.com/nextcloud/android/issues/7297", "show")</f>
        <v>show</v>
      </c>
      <c r="G6043" t="str">
        <f>HYPERLINK("https://github.com/nextcloud/android", "show")</f>
        <v>show</v>
      </c>
      <c r="H6043" t="str">
        <f>HYPERLINK("https://github.com/nextcloud/android/releases", "show")</f>
        <v>show</v>
      </c>
      <c r="I6043">
        <v>1</v>
      </c>
      <c r="J6043">
        <v>1</v>
      </c>
      <c r="K6043">
        <v>1</v>
      </c>
      <c r="L6043">
        <v>0</v>
      </c>
      <c r="M6043" t="s">
        <v>59</v>
      </c>
    </row>
    <row r="6044" spans="1:13" hidden="1" x14ac:dyDescent="0.15">
      <c r="A6044" t="s">
        <v>18953</v>
      </c>
      <c r="B6044" t="s">
        <v>18954</v>
      </c>
      <c r="C6044" t="s">
        <v>18955</v>
      </c>
      <c r="D6044" t="s">
        <v>18956</v>
      </c>
      <c r="E6044">
        <v>0</v>
      </c>
      <c r="F6044" t="str">
        <f>HYPERLINK("https://github.com/nextcloud/android/issues/7293", "show")</f>
        <v>show</v>
      </c>
      <c r="G6044" t="str">
        <f>HYPERLINK("https://github.com/nextcloud/android", "show")</f>
        <v>show</v>
      </c>
      <c r="H6044" t="str">
        <f>HYPERLINK("https://github.com/nextcloud/android/releases", "show")</f>
        <v>show</v>
      </c>
      <c r="I6044">
        <v>1</v>
      </c>
      <c r="J6044">
        <v>0</v>
      </c>
      <c r="K6044">
        <v>1</v>
      </c>
      <c r="L6044">
        <v>0</v>
      </c>
      <c r="M6044" t="s">
        <v>64</v>
      </c>
    </row>
    <row r="6045" spans="1:13" hidden="1" x14ac:dyDescent="0.15">
      <c r="A6045" t="s">
        <v>18957</v>
      </c>
      <c r="B6045" t="s">
        <v>18958</v>
      </c>
      <c r="C6045" t="s">
        <v>18959</v>
      </c>
      <c r="D6045" t="s">
        <v>18956</v>
      </c>
      <c r="E6045">
        <v>0</v>
      </c>
      <c r="F6045" t="str">
        <f>HYPERLINK("https://github.com/stefan-niedermann/nextcloud-notes/issues/985", "show")</f>
        <v>show</v>
      </c>
      <c r="G6045" t="str">
        <f>HYPERLINK("https://github.com/stefan-niedermann/nextcloud-notes", "show")</f>
        <v>show</v>
      </c>
      <c r="H6045" t="str">
        <f>HYPERLINK("https://github.com/stefan-niedermann/nextcloud-notes/releases", "show")</f>
        <v>show</v>
      </c>
      <c r="I6045">
        <v>1</v>
      </c>
      <c r="J6045">
        <v>1</v>
      </c>
      <c r="K6045">
        <v>1</v>
      </c>
      <c r="L6045">
        <v>0</v>
      </c>
      <c r="M6045" t="s">
        <v>59</v>
      </c>
    </row>
    <row r="6046" spans="1:13" x14ac:dyDescent="0.15">
      <c r="A6046" t="s">
        <v>18960</v>
      </c>
      <c r="B6046" t="s">
        <v>18961</v>
      </c>
      <c r="C6046" t="s">
        <v>18962</v>
      </c>
      <c r="D6046" t="s">
        <v>18956</v>
      </c>
      <c r="E6046">
        <v>0</v>
      </c>
      <c r="F6046" t="str">
        <f>HYPERLINK("https://github.com/OpenSageTV/sagetv-miniclient/issues/97", "show")</f>
        <v>show</v>
      </c>
      <c r="G6046" t="str">
        <f>HYPERLINK("https://github.com/OpenSageTV/sagetv-miniclient", "show")</f>
        <v>show</v>
      </c>
      <c r="H6046" t="str">
        <f>HYPERLINK("https://github.com/OpenSageTV/sagetv-miniclient/releases", "show")</f>
        <v>show</v>
      </c>
      <c r="I6046">
        <v>0</v>
      </c>
      <c r="J6046">
        <v>1</v>
      </c>
      <c r="K6046">
        <v>0</v>
      </c>
      <c r="L6046">
        <v>0</v>
      </c>
      <c r="M6046" t="s">
        <v>139</v>
      </c>
    </row>
    <row r="6047" spans="1:13" hidden="1" x14ac:dyDescent="0.15">
      <c r="A6047" t="s">
        <v>18963</v>
      </c>
      <c r="B6047" t="s">
        <v>18964</v>
      </c>
      <c r="C6047" t="s">
        <v>18965</v>
      </c>
      <c r="D6047" t="s">
        <v>18956</v>
      </c>
      <c r="E6047">
        <v>1</v>
      </c>
      <c r="F6047" t="str">
        <f>HYPERLINK("https://github.com/nextcloud/android/issues/7291", "show")</f>
        <v>show</v>
      </c>
      <c r="G6047" t="str">
        <f>HYPERLINK("https://github.com/nextcloud/android", "show")</f>
        <v>show</v>
      </c>
      <c r="H6047" t="str">
        <f>HYPERLINK("https://github.com/nextcloud/android/releases", "show")</f>
        <v>show</v>
      </c>
      <c r="I6047">
        <v>0</v>
      </c>
      <c r="J6047">
        <v>1</v>
      </c>
      <c r="K6047">
        <v>1</v>
      </c>
      <c r="L6047">
        <v>0</v>
      </c>
      <c r="M6047" t="s">
        <v>699</v>
      </c>
    </row>
    <row r="6048" spans="1:13" hidden="1" x14ac:dyDescent="0.15">
      <c r="A6048" t="s">
        <v>18966</v>
      </c>
      <c r="B6048" t="s">
        <v>18967</v>
      </c>
      <c r="C6048" t="s">
        <v>18968</v>
      </c>
      <c r="D6048" t="s">
        <v>18956</v>
      </c>
      <c r="E6048">
        <v>3</v>
      </c>
      <c r="F6048" t="str">
        <f>HYPERLINK("https://github.com/TotalCross/totalcross/issues/197", "show")</f>
        <v>show</v>
      </c>
      <c r="G6048" t="str">
        <f>HYPERLINK("https://github.com/TotalCross/totalcross", "show")</f>
        <v>show</v>
      </c>
      <c r="H6048" t="str">
        <f>HYPERLINK("https://github.com/TotalCross/totalcross/releases", "show")</f>
        <v>show</v>
      </c>
      <c r="I6048">
        <v>1</v>
      </c>
      <c r="J6048">
        <v>0</v>
      </c>
      <c r="K6048">
        <v>0</v>
      </c>
      <c r="L6048">
        <v>1</v>
      </c>
      <c r="M6048" t="s">
        <v>29</v>
      </c>
    </row>
    <row r="6049" spans="1:13" hidden="1" x14ac:dyDescent="0.15">
      <c r="A6049" t="s">
        <v>18969</v>
      </c>
      <c r="B6049" t="s">
        <v>18970</v>
      </c>
      <c r="C6049" t="s">
        <v>18971</v>
      </c>
      <c r="D6049" t="s">
        <v>18956</v>
      </c>
      <c r="E6049">
        <v>0</v>
      </c>
      <c r="F6049" t="str">
        <f>HYPERLINK("https://github.com/nextcloud/android/issues/7290", "show")</f>
        <v>show</v>
      </c>
      <c r="G6049" t="str">
        <f>HYPERLINK("https://github.com/nextcloud/android", "show")</f>
        <v>show</v>
      </c>
      <c r="H6049" t="str">
        <f>HYPERLINK("https://github.com/nextcloud/android/releases", "show")</f>
        <v>show</v>
      </c>
      <c r="I6049">
        <v>1</v>
      </c>
      <c r="J6049">
        <v>1</v>
      </c>
      <c r="K6049">
        <v>1</v>
      </c>
      <c r="L6049">
        <v>0</v>
      </c>
      <c r="M6049" t="s">
        <v>59</v>
      </c>
    </row>
    <row r="6050" spans="1:13" hidden="1" x14ac:dyDescent="0.15">
      <c r="A6050" t="s">
        <v>18972</v>
      </c>
      <c r="B6050" t="s">
        <v>18973</v>
      </c>
      <c r="C6050" t="s">
        <v>18974</v>
      </c>
      <c r="D6050" t="s">
        <v>18956</v>
      </c>
      <c r="E6050">
        <v>0</v>
      </c>
      <c r="F6050" t="str">
        <f>HYPERLINK("https://github.com/Anuken/Mindustry/issues/3327", "show")</f>
        <v>show</v>
      </c>
      <c r="G6050" t="str">
        <f>HYPERLINK("https://github.com/Anuken/Mindustry", "show")</f>
        <v>show</v>
      </c>
      <c r="H6050" t="str">
        <f>HYPERLINK("https://github.com/Anuken/Mindustry/releases", "show")</f>
        <v>show</v>
      </c>
      <c r="I6050">
        <v>0</v>
      </c>
      <c r="J6050">
        <v>1</v>
      </c>
      <c r="K6050">
        <v>0</v>
      </c>
      <c r="L6050">
        <v>1</v>
      </c>
      <c r="M6050" t="s">
        <v>1732</v>
      </c>
    </row>
    <row r="6051" spans="1:13" hidden="1" x14ac:dyDescent="0.15">
      <c r="A6051" t="s">
        <v>18975</v>
      </c>
      <c r="B6051" t="s">
        <v>18976</v>
      </c>
      <c r="C6051" t="s">
        <v>18977</v>
      </c>
      <c r="D6051" t="s">
        <v>18956</v>
      </c>
      <c r="E6051">
        <v>10</v>
      </c>
      <c r="F6051" t="str">
        <f>HYPERLINK("https://github.com/AOF-Dev/MCinaBox/issues/665", "show")</f>
        <v>show</v>
      </c>
      <c r="G6051" t="str">
        <f>HYPERLINK("https://github.com/AOF-Dev/MCinaBox", "show")</f>
        <v>show</v>
      </c>
      <c r="H6051" t="str">
        <f>HYPERLINK("https://github.com/AOF-Dev/MCinaBox/releases", "show")</f>
        <v>show</v>
      </c>
      <c r="I6051">
        <v>1</v>
      </c>
      <c r="J6051">
        <v>0</v>
      </c>
      <c r="K6051">
        <v>0</v>
      </c>
      <c r="L6051">
        <v>0</v>
      </c>
      <c r="M6051" t="s">
        <v>17</v>
      </c>
    </row>
    <row r="6052" spans="1:13" hidden="1" x14ac:dyDescent="0.15">
      <c r="A6052" t="s">
        <v>18978</v>
      </c>
      <c r="B6052" t="s">
        <v>18979</v>
      </c>
      <c r="C6052" t="s">
        <v>18980</v>
      </c>
      <c r="D6052" t="s">
        <v>18956</v>
      </c>
      <c r="E6052">
        <v>0</v>
      </c>
      <c r="F6052" t="str">
        <f>HYPERLINK("https://github.com/nextcloud/android/issues/7288", "show")</f>
        <v>show</v>
      </c>
      <c r="G6052" t="str">
        <f>HYPERLINK("https://github.com/nextcloud/android", "show")</f>
        <v>show</v>
      </c>
      <c r="H6052" t="str">
        <f>HYPERLINK("https://github.com/nextcloud/android/releases", "show")</f>
        <v>show</v>
      </c>
      <c r="I6052">
        <v>1</v>
      </c>
      <c r="J6052">
        <v>1</v>
      </c>
      <c r="K6052">
        <v>1</v>
      </c>
      <c r="L6052">
        <v>0</v>
      </c>
      <c r="M6052" t="s">
        <v>59</v>
      </c>
    </row>
    <row r="6053" spans="1:13" hidden="1" x14ac:dyDescent="0.15">
      <c r="A6053" t="s">
        <v>18981</v>
      </c>
      <c r="B6053" t="s">
        <v>18982</v>
      </c>
      <c r="C6053" t="s">
        <v>18983</v>
      </c>
      <c r="D6053" t="s">
        <v>18956</v>
      </c>
      <c r="E6053">
        <v>0</v>
      </c>
      <c r="F6053" t="str">
        <f>HYPERLINK("https://github.com/Anuken/Mindustry/issues/3325", "show")</f>
        <v>show</v>
      </c>
      <c r="G6053" t="str">
        <f>HYPERLINK("https://github.com/Anuken/Mindustry", "show")</f>
        <v>show</v>
      </c>
      <c r="H6053" t="str">
        <f>HYPERLINK("https://github.com/Anuken/Mindustry/releases", "show")</f>
        <v>show</v>
      </c>
      <c r="I6053">
        <v>0</v>
      </c>
      <c r="J6053">
        <v>0</v>
      </c>
      <c r="K6053">
        <v>0</v>
      </c>
      <c r="L6053">
        <v>0</v>
      </c>
      <c r="M6053" t="s">
        <v>43</v>
      </c>
    </row>
    <row r="6054" spans="1:13" x14ac:dyDescent="0.15">
      <c r="A6054" t="s">
        <v>18984</v>
      </c>
      <c r="B6054" t="s">
        <v>18985</v>
      </c>
      <c r="C6054" t="s">
        <v>18986</v>
      </c>
      <c r="D6054" t="s">
        <v>18956</v>
      </c>
      <c r="E6054">
        <v>0</v>
      </c>
      <c r="F6054" t="str">
        <f>HYPERLINK("https://github.com/Anuken/Mindustry/issues/3324", "show")</f>
        <v>show</v>
      </c>
      <c r="G6054" t="str">
        <f>HYPERLINK("https://github.com/Anuken/Mindustry", "show")</f>
        <v>show</v>
      </c>
      <c r="H6054" t="str">
        <f>HYPERLINK("https://github.com/Anuken/Mindustry/releases", "show")</f>
        <v>show</v>
      </c>
      <c r="I6054">
        <v>0</v>
      </c>
      <c r="J6054">
        <v>1</v>
      </c>
      <c r="K6054">
        <v>0</v>
      </c>
      <c r="L6054">
        <v>0</v>
      </c>
      <c r="M6054" t="s">
        <v>139</v>
      </c>
    </row>
    <row r="6055" spans="1:13" hidden="1" x14ac:dyDescent="0.15">
      <c r="A6055" t="s">
        <v>18987</v>
      </c>
      <c r="B6055" t="s">
        <v>18988</v>
      </c>
      <c r="C6055" t="s">
        <v>18989</v>
      </c>
      <c r="D6055" t="s">
        <v>18956</v>
      </c>
      <c r="E6055">
        <v>0</v>
      </c>
      <c r="F6055" t="str">
        <f>HYPERLINK("https://github.com/Anuken/Mindustry/issues/3320", "show")</f>
        <v>show</v>
      </c>
      <c r="G6055" t="str">
        <f>HYPERLINK("https://github.com/Anuken/Mindustry", "show")</f>
        <v>show</v>
      </c>
      <c r="H6055" t="str">
        <f>HYPERLINK("https://github.com/Anuken/Mindustry/releases", "show")</f>
        <v>show</v>
      </c>
      <c r="I6055">
        <v>0</v>
      </c>
      <c r="J6055">
        <v>1</v>
      </c>
      <c r="K6055">
        <v>1</v>
      </c>
      <c r="L6055">
        <v>0</v>
      </c>
      <c r="M6055" t="s">
        <v>699</v>
      </c>
    </row>
    <row r="6056" spans="1:13" hidden="1" x14ac:dyDescent="0.15">
      <c r="A6056" t="s">
        <v>18990</v>
      </c>
      <c r="B6056" t="s">
        <v>18991</v>
      </c>
      <c r="C6056" t="s">
        <v>18992</v>
      </c>
      <c r="D6056" t="s">
        <v>18993</v>
      </c>
      <c r="E6056">
        <v>0</v>
      </c>
      <c r="F6056" t="str">
        <f>HYPERLINK("https://github.com/nextcloud/android/issues/7275", "show")</f>
        <v>show</v>
      </c>
      <c r="G6056" t="str">
        <f>HYPERLINK("https://github.com/nextcloud/android", "show")</f>
        <v>show</v>
      </c>
      <c r="H6056" t="str">
        <f>HYPERLINK("https://github.com/nextcloud/android/releases", "show")</f>
        <v>show</v>
      </c>
      <c r="I6056">
        <v>1</v>
      </c>
      <c r="J6056">
        <v>1</v>
      </c>
      <c r="K6056">
        <v>0</v>
      </c>
      <c r="L6056">
        <v>0</v>
      </c>
      <c r="M6056" t="s">
        <v>48</v>
      </c>
    </row>
    <row r="6057" spans="1:13" hidden="1" x14ac:dyDescent="0.15">
      <c r="A6057" t="s">
        <v>18994</v>
      </c>
      <c r="B6057" t="s">
        <v>18995</v>
      </c>
      <c r="C6057" t="s">
        <v>18853</v>
      </c>
      <c r="D6057" t="s">
        <v>18993</v>
      </c>
      <c r="E6057">
        <v>0</v>
      </c>
      <c r="F6057" t="str">
        <f>HYPERLINK("https://github.com/Anuken/Mindustry/issues/3317", "show")</f>
        <v>show</v>
      </c>
      <c r="G6057" t="str">
        <f>HYPERLINK("https://github.com/Anuken/Mindustry", "show")</f>
        <v>show</v>
      </c>
      <c r="H6057" t="str">
        <f>HYPERLINK("https://github.com/Anuken/Mindustry/releases", "show")</f>
        <v>show</v>
      </c>
      <c r="I6057">
        <v>0</v>
      </c>
      <c r="J6057">
        <v>0</v>
      </c>
      <c r="K6057">
        <v>0</v>
      </c>
      <c r="L6057">
        <v>0</v>
      </c>
      <c r="M6057" t="s">
        <v>43</v>
      </c>
    </row>
    <row r="6058" spans="1:13" hidden="1" x14ac:dyDescent="0.15">
      <c r="A6058" t="s">
        <v>18996</v>
      </c>
      <c r="B6058" t="s">
        <v>18997</v>
      </c>
      <c r="C6058" t="s">
        <v>18998</v>
      </c>
      <c r="D6058" t="s">
        <v>18993</v>
      </c>
      <c r="E6058">
        <v>0</v>
      </c>
      <c r="F6058" t="str">
        <f>HYPERLINK("https://github.com/Anuken/Mindustry/issues/3313", "show")</f>
        <v>show</v>
      </c>
      <c r="G6058" t="str">
        <f>HYPERLINK("https://github.com/Anuken/Mindustry", "show")</f>
        <v>show</v>
      </c>
      <c r="H6058" t="str">
        <f>HYPERLINK("https://github.com/Anuken/Mindustry/releases", "show")</f>
        <v>show</v>
      </c>
      <c r="I6058">
        <v>0</v>
      </c>
      <c r="J6058">
        <v>0</v>
      </c>
      <c r="K6058">
        <v>0</v>
      </c>
      <c r="L6058">
        <v>0</v>
      </c>
      <c r="M6058" t="s">
        <v>43</v>
      </c>
    </row>
    <row r="6059" spans="1:13" hidden="1" x14ac:dyDescent="0.15">
      <c r="A6059" t="s">
        <v>18999</v>
      </c>
      <c r="B6059" t="s">
        <v>19000</v>
      </c>
      <c r="C6059" t="s">
        <v>19001</v>
      </c>
      <c r="D6059" t="s">
        <v>18993</v>
      </c>
      <c r="E6059">
        <v>0</v>
      </c>
      <c r="F6059" t="str">
        <f>HYPERLINK("https://github.com/Anuken/Mindustry/issues/3311", "show")</f>
        <v>show</v>
      </c>
      <c r="G6059" t="str">
        <f>HYPERLINK("https://github.com/Anuken/Mindustry", "show")</f>
        <v>show</v>
      </c>
      <c r="H6059" t="str">
        <f>HYPERLINK("https://github.com/Anuken/Mindustry/releases", "show")</f>
        <v>show</v>
      </c>
      <c r="I6059">
        <v>0</v>
      </c>
      <c r="J6059">
        <v>0</v>
      </c>
      <c r="K6059">
        <v>0</v>
      </c>
      <c r="L6059">
        <v>0</v>
      </c>
      <c r="M6059" t="s">
        <v>43</v>
      </c>
    </row>
    <row r="6060" spans="1:13" hidden="1" x14ac:dyDescent="0.15">
      <c r="A6060" t="s">
        <v>19002</v>
      </c>
      <c r="B6060" t="s">
        <v>19003</v>
      </c>
      <c r="C6060" t="s">
        <v>19004</v>
      </c>
      <c r="D6060" t="s">
        <v>18993</v>
      </c>
      <c r="E6060">
        <v>0</v>
      </c>
      <c r="F6060" t="str">
        <f>HYPERLINK("https://github.com/Anuken/Mindustry/issues/3310", "show")</f>
        <v>show</v>
      </c>
      <c r="G6060" t="str">
        <f>HYPERLINK("https://github.com/Anuken/Mindustry", "show")</f>
        <v>show</v>
      </c>
      <c r="H6060" t="str">
        <f>HYPERLINK("https://github.com/Anuken/Mindustry/releases", "show")</f>
        <v>show</v>
      </c>
      <c r="I6060">
        <v>0</v>
      </c>
      <c r="J6060">
        <v>1</v>
      </c>
      <c r="K6060">
        <v>0</v>
      </c>
      <c r="L6060">
        <v>1</v>
      </c>
      <c r="M6060" t="s">
        <v>1732</v>
      </c>
    </row>
    <row r="6061" spans="1:13" hidden="1" x14ac:dyDescent="0.15">
      <c r="A6061" t="s">
        <v>19005</v>
      </c>
      <c r="B6061" t="s">
        <v>19006</v>
      </c>
      <c r="C6061" t="s">
        <v>19007</v>
      </c>
      <c r="D6061" t="s">
        <v>18993</v>
      </c>
      <c r="E6061">
        <v>0</v>
      </c>
      <c r="F6061" t="str">
        <f>HYPERLINK("https://github.com/Blankj/AndroidUtilCode/issues/1365", "show")</f>
        <v>show</v>
      </c>
      <c r="G6061" t="str">
        <f>HYPERLINK("https://github.com/Blankj/AndroidUtilCode", "show")</f>
        <v>show</v>
      </c>
      <c r="H6061" t="str">
        <f>HYPERLINK("https://github.com/Blankj/AndroidUtilCode/releases", "show")</f>
        <v>show</v>
      </c>
      <c r="I6061">
        <v>1</v>
      </c>
      <c r="J6061">
        <v>0</v>
      </c>
      <c r="K6061">
        <v>1</v>
      </c>
      <c r="L6061">
        <v>1</v>
      </c>
      <c r="M6061" t="s">
        <v>1259</v>
      </c>
    </row>
    <row r="6062" spans="1:13" hidden="1" x14ac:dyDescent="0.15">
      <c r="A6062" t="s">
        <v>19008</v>
      </c>
      <c r="B6062" t="s">
        <v>19009</v>
      </c>
      <c r="C6062" t="s">
        <v>19010</v>
      </c>
      <c r="D6062" t="s">
        <v>18993</v>
      </c>
      <c r="E6062">
        <v>3</v>
      </c>
      <c r="F6062" t="str">
        <f>HYPERLINK("https://github.com/PojavLauncherTeam/PojavLauncher/issues/389", "show")</f>
        <v>show</v>
      </c>
      <c r="G6062" t="str">
        <f>HYPERLINK("https://github.com/PojavLauncherTeam/PojavLauncher", "show")</f>
        <v>show</v>
      </c>
      <c r="H6062" t="str">
        <f>HYPERLINK("https://github.com/PojavLauncherTeam/PojavLauncher/releases", "show")</f>
        <v>show</v>
      </c>
      <c r="I6062">
        <v>1</v>
      </c>
      <c r="J6062">
        <v>1</v>
      </c>
      <c r="K6062">
        <v>0</v>
      </c>
      <c r="L6062">
        <v>0</v>
      </c>
      <c r="M6062" t="s">
        <v>48</v>
      </c>
    </row>
    <row r="6063" spans="1:13" hidden="1" x14ac:dyDescent="0.15">
      <c r="A6063" t="s">
        <v>19011</v>
      </c>
      <c r="B6063" t="s">
        <v>19012</v>
      </c>
      <c r="C6063" t="s">
        <v>19013</v>
      </c>
      <c r="D6063" t="s">
        <v>19014</v>
      </c>
      <c r="E6063">
        <v>0</v>
      </c>
      <c r="F6063" t="str">
        <f>HYPERLINK("https://github.com/mh-/corona-warn-companion-android/issues/88", "show")</f>
        <v>show</v>
      </c>
      <c r="G6063" t="str">
        <f>HYPERLINK("https://github.com/mh-/corona-warn-companion-android", "show")</f>
        <v>show</v>
      </c>
      <c r="H6063" t="str">
        <f>HYPERLINK("https://github.com/mh-/corona-warn-companion-android/releases", "show")</f>
        <v>show</v>
      </c>
      <c r="I6063">
        <v>1</v>
      </c>
      <c r="J6063">
        <v>1</v>
      </c>
      <c r="K6063">
        <v>0</v>
      </c>
      <c r="L6063">
        <v>0</v>
      </c>
      <c r="M6063" t="s">
        <v>48</v>
      </c>
    </row>
    <row r="6064" spans="1:13" hidden="1" x14ac:dyDescent="0.15">
      <c r="A6064" t="s">
        <v>19015</v>
      </c>
      <c r="B6064" t="s">
        <v>19016</v>
      </c>
      <c r="C6064" t="s">
        <v>19017</v>
      </c>
      <c r="D6064" t="s">
        <v>19014</v>
      </c>
      <c r="E6064">
        <v>0</v>
      </c>
      <c r="F6064" t="str">
        <f>HYPERLINK("https://github.com/Anuken/Mindustry/issues/3296", "show")</f>
        <v>show</v>
      </c>
      <c r="G6064" t="str">
        <f>HYPERLINK("https://github.com/Anuken/Mindustry", "show")</f>
        <v>show</v>
      </c>
      <c r="H6064" t="str">
        <f>HYPERLINK("https://github.com/Anuken/Mindustry/releases", "show")</f>
        <v>show</v>
      </c>
      <c r="I6064">
        <v>0</v>
      </c>
      <c r="J6064">
        <v>0</v>
      </c>
      <c r="K6064">
        <v>0</v>
      </c>
      <c r="L6064">
        <v>0</v>
      </c>
      <c r="M6064" t="s">
        <v>43</v>
      </c>
    </row>
    <row r="6065" spans="1:13" x14ac:dyDescent="0.15">
      <c r="A6065" t="s">
        <v>19018</v>
      </c>
      <c r="B6065" t="s">
        <v>19019</v>
      </c>
      <c r="C6065" t="s">
        <v>19020</v>
      </c>
      <c r="D6065" t="s">
        <v>19014</v>
      </c>
      <c r="E6065">
        <v>0</v>
      </c>
      <c r="F6065" t="str">
        <f>HYPERLINK("https://github.com/Anuken/Mindustry/issues/3295", "show")</f>
        <v>show</v>
      </c>
      <c r="G6065" t="str">
        <f>HYPERLINK("https://github.com/Anuken/Mindustry", "show")</f>
        <v>show</v>
      </c>
      <c r="H6065" t="str">
        <f>HYPERLINK("https://github.com/Anuken/Mindustry/releases", "show")</f>
        <v>show</v>
      </c>
      <c r="I6065">
        <v>0</v>
      </c>
      <c r="J6065">
        <v>1</v>
      </c>
      <c r="K6065">
        <v>0</v>
      </c>
      <c r="L6065">
        <v>0</v>
      </c>
      <c r="M6065" t="s">
        <v>139</v>
      </c>
    </row>
    <row r="6066" spans="1:13" hidden="1" x14ac:dyDescent="0.15">
      <c r="A6066" t="s">
        <v>19021</v>
      </c>
      <c r="B6066" t="s">
        <v>19022</v>
      </c>
      <c r="C6066" t="s">
        <v>19023</v>
      </c>
      <c r="D6066" t="s">
        <v>19014</v>
      </c>
      <c r="E6066">
        <v>14</v>
      </c>
      <c r="F6066" t="str">
        <f>HYPERLINK("https://github.com/patzly/grocy-android/issues/226", "show")</f>
        <v>show</v>
      </c>
      <c r="G6066" t="str">
        <f>HYPERLINK("https://github.com/patzly/grocy-android", "show")</f>
        <v>show</v>
      </c>
      <c r="H6066" t="str">
        <f>HYPERLINK("https://github.com/patzly/grocy-android/releases", "show")</f>
        <v>show</v>
      </c>
      <c r="I6066">
        <v>1</v>
      </c>
      <c r="J6066">
        <v>0</v>
      </c>
      <c r="K6066">
        <v>1</v>
      </c>
      <c r="L6066">
        <v>0</v>
      </c>
      <c r="M6066" t="s">
        <v>64</v>
      </c>
    </row>
    <row r="6067" spans="1:13" hidden="1" x14ac:dyDescent="0.15">
      <c r="A6067" t="s">
        <v>19024</v>
      </c>
      <c r="B6067" t="s">
        <v>19025</v>
      </c>
      <c r="C6067" t="s">
        <v>19026</v>
      </c>
      <c r="D6067" t="s">
        <v>19014</v>
      </c>
      <c r="E6067">
        <v>3</v>
      </c>
      <c r="F6067" t="str">
        <f>HYPERLINK("https://github.com/nextcloud/android/issues/7257", "show")</f>
        <v>show</v>
      </c>
      <c r="G6067" t="str">
        <f>HYPERLINK("https://github.com/nextcloud/android", "show")</f>
        <v>show</v>
      </c>
      <c r="H6067" t="str">
        <f>HYPERLINK("https://github.com/nextcloud/android/releases", "show")</f>
        <v>show</v>
      </c>
      <c r="I6067">
        <v>0</v>
      </c>
      <c r="J6067">
        <v>0</v>
      </c>
      <c r="K6067">
        <v>1</v>
      </c>
      <c r="L6067">
        <v>0</v>
      </c>
      <c r="M6067" t="s">
        <v>122</v>
      </c>
    </row>
    <row r="6068" spans="1:13" hidden="1" x14ac:dyDescent="0.15">
      <c r="A6068" t="s">
        <v>19027</v>
      </c>
      <c r="B6068" t="s">
        <v>19028</v>
      </c>
      <c r="C6068" t="s">
        <v>19029</v>
      </c>
      <c r="D6068" t="s">
        <v>19014</v>
      </c>
      <c r="E6068">
        <v>0</v>
      </c>
      <c r="F6068" t="str">
        <f>HYPERLINK("https://github.com/Anuken/Mindustry/issues/3293", "show")</f>
        <v>show</v>
      </c>
      <c r="G6068" t="str">
        <f>HYPERLINK("https://github.com/Anuken/Mindustry", "show")</f>
        <v>show</v>
      </c>
      <c r="H6068" t="str">
        <f>HYPERLINK("https://github.com/Anuken/Mindustry/releases", "show")</f>
        <v>show</v>
      </c>
      <c r="I6068">
        <v>0</v>
      </c>
      <c r="J6068">
        <v>0</v>
      </c>
      <c r="K6068">
        <v>0</v>
      </c>
      <c r="L6068">
        <v>0</v>
      </c>
      <c r="M6068" t="s">
        <v>43</v>
      </c>
    </row>
    <row r="6069" spans="1:13" hidden="1" x14ac:dyDescent="0.15">
      <c r="A6069" t="s">
        <v>19030</v>
      </c>
      <c r="B6069" t="s">
        <v>19031</v>
      </c>
      <c r="C6069" t="s">
        <v>19032</v>
      </c>
      <c r="D6069" t="s">
        <v>19014</v>
      </c>
      <c r="E6069">
        <v>0</v>
      </c>
      <c r="F6069" t="str">
        <f>HYPERLINK("https://github.com/OpenTracksApp/OpenTracks/issues/506", "show")</f>
        <v>show</v>
      </c>
      <c r="G6069" t="str">
        <f>HYPERLINK("https://github.com/OpenTracksApp/OpenTracks", "show")</f>
        <v>show</v>
      </c>
      <c r="H6069" t="str">
        <f>HYPERLINK("https://github.com/OpenTracksApp/OpenTracks/releases", "show")</f>
        <v>show</v>
      </c>
      <c r="I6069">
        <v>0</v>
      </c>
      <c r="J6069">
        <v>0</v>
      </c>
      <c r="K6069">
        <v>1</v>
      </c>
      <c r="L6069">
        <v>0</v>
      </c>
      <c r="M6069" t="s">
        <v>122</v>
      </c>
    </row>
    <row r="6070" spans="1:13" hidden="1" x14ac:dyDescent="0.15">
      <c r="A6070" t="s">
        <v>19033</v>
      </c>
      <c r="B6070" t="s">
        <v>19034</v>
      </c>
      <c r="C6070" t="s">
        <v>19035</v>
      </c>
      <c r="D6070" t="s">
        <v>19036</v>
      </c>
      <c r="E6070">
        <v>6</v>
      </c>
      <c r="F6070" t="str">
        <f>HYPERLINK("https://github.com/google/ExoPlayer/issues/8182", "show")</f>
        <v>show</v>
      </c>
      <c r="G6070" t="str">
        <f>HYPERLINK("https://github.com/google/ExoPlayer", "show")</f>
        <v>show</v>
      </c>
      <c r="H6070" t="str">
        <f>HYPERLINK("https://github.com/google/ExoPlayer/releases", "show")</f>
        <v>show</v>
      </c>
      <c r="I6070">
        <v>1</v>
      </c>
      <c r="J6070">
        <v>0</v>
      </c>
      <c r="K6070">
        <v>1</v>
      </c>
      <c r="L6070">
        <v>0</v>
      </c>
      <c r="M6070" t="s">
        <v>64</v>
      </c>
    </row>
    <row r="6071" spans="1:13" hidden="1" x14ac:dyDescent="0.15">
      <c r="A6071" t="s">
        <v>19037</v>
      </c>
      <c r="B6071" t="s">
        <v>19038</v>
      </c>
      <c r="C6071" t="s">
        <v>19039</v>
      </c>
      <c r="D6071" t="s">
        <v>19036</v>
      </c>
      <c r="E6071">
        <v>14</v>
      </c>
      <c r="F6071" t="str">
        <f>HYPERLINK("https://github.com/patzly/grocy-android/issues/224", "show")</f>
        <v>show</v>
      </c>
      <c r="G6071" t="str">
        <f>HYPERLINK("https://github.com/patzly/grocy-android", "show")</f>
        <v>show</v>
      </c>
      <c r="H6071" t="str">
        <f>HYPERLINK("https://github.com/patzly/grocy-android/releases", "show")</f>
        <v>show</v>
      </c>
      <c r="I6071">
        <v>1</v>
      </c>
      <c r="J6071">
        <v>0</v>
      </c>
      <c r="K6071">
        <v>1</v>
      </c>
      <c r="L6071">
        <v>0</v>
      </c>
      <c r="M6071" t="s">
        <v>64</v>
      </c>
    </row>
    <row r="6072" spans="1:13" hidden="1" x14ac:dyDescent="0.15">
      <c r="A6072" t="s">
        <v>19040</v>
      </c>
      <c r="B6072" t="s">
        <v>19041</v>
      </c>
      <c r="C6072" t="s">
        <v>19042</v>
      </c>
      <c r="D6072" t="s">
        <v>19036</v>
      </c>
      <c r="E6072">
        <v>2</v>
      </c>
      <c r="F6072" t="str">
        <f>HYPERLINK("https://github.com/TeamNewPipe/NewPipe/issues/4832", "show")</f>
        <v>show</v>
      </c>
      <c r="G6072" t="str">
        <f>HYPERLINK("https://github.com/TeamNewPipe/NewPipe", "show")</f>
        <v>show</v>
      </c>
      <c r="H6072" t="str">
        <f>HYPERLINK("https://github.com/TeamNewPipe/NewPipe/releases", "show")</f>
        <v>show</v>
      </c>
      <c r="I6072">
        <v>0</v>
      </c>
      <c r="J6072">
        <v>0</v>
      </c>
      <c r="K6072">
        <v>1</v>
      </c>
      <c r="L6072">
        <v>0</v>
      </c>
      <c r="M6072" t="s">
        <v>122</v>
      </c>
    </row>
    <row r="6073" spans="1:13" hidden="1" x14ac:dyDescent="0.15">
      <c r="A6073" t="s">
        <v>19043</v>
      </c>
      <c r="B6073" t="s">
        <v>19044</v>
      </c>
      <c r="C6073" t="s">
        <v>19045</v>
      </c>
      <c r="D6073" t="s">
        <v>19036</v>
      </c>
      <c r="E6073">
        <v>0</v>
      </c>
      <c r="F6073" t="str">
        <f>HYPERLINK("https://github.com/Anuken/Mindustry/issues/3285", "show")</f>
        <v>show</v>
      </c>
      <c r="G6073" t="str">
        <f>HYPERLINK("https://github.com/Anuken/Mindustry", "show")</f>
        <v>show</v>
      </c>
      <c r="H6073" t="str">
        <f>HYPERLINK("https://github.com/Anuken/Mindustry/releases", "show")</f>
        <v>show</v>
      </c>
      <c r="I6073">
        <v>1</v>
      </c>
      <c r="J6073">
        <v>1</v>
      </c>
      <c r="K6073">
        <v>1</v>
      </c>
      <c r="L6073">
        <v>0</v>
      </c>
      <c r="M6073" t="s">
        <v>59</v>
      </c>
    </row>
    <row r="6074" spans="1:13" hidden="1" x14ac:dyDescent="0.15">
      <c r="A6074" t="s">
        <v>19046</v>
      </c>
      <c r="B6074" t="s">
        <v>19047</v>
      </c>
      <c r="C6074" t="s">
        <v>19048</v>
      </c>
      <c r="D6074" t="s">
        <v>19036</v>
      </c>
      <c r="E6074">
        <v>0</v>
      </c>
      <c r="F6074" t="str">
        <f>HYPERLINK("https://github.com/TeamNewPipe/NewPipe/issues/4831", "show")</f>
        <v>show</v>
      </c>
      <c r="G6074" t="str">
        <f>HYPERLINK("https://github.com/TeamNewPipe/NewPipe", "show")</f>
        <v>show</v>
      </c>
      <c r="H6074" t="str">
        <f>HYPERLINK("https://github.com/TeamNewPipe/NewPipe/releases", "show")</f>
        <v>show</v>
      </c>
      <c r="I6074">
        <v>1</v>
      </c>
      <c r="J6074">
        <v>1</v>
      </c>
      <c r="K6074">
        <v>1</v>
      </c>
      <c r="L6074">
        <v>1</v>
      </c>
      <c r="M6074" t="s">
        <v>2875</v>
      </c>
    </row>
    <row r="6075" spans="1:13" hidden="1" x14ac:dyDescent="0.15">
      <c r="A6075" t="s">
        <v>19049</v>
      </c>
      <c r="B6075" t="s">
        <v>19050</v>
      </c>
      <c r="C6075" t="s">
        <v>19051</v>
      </c>
      <c r="D6075" t="s">
        <v>19036</v>
      </c>
      <c r="E6075">
        <v>25</v>
      </c>
      <c r="F6075" t="str">
        <f>HYPERLINK("https://github.com/onaio/rdt-standard/issues/614", "show")</f>
        <v>show</v>
      </c>
      <c r="G6075" t="str">
        <f>HYPERLINK("https://github.com/onaio/rdt-standard", "show")</f>
        <v>show</v>
      </c>
      <c r="H6075" t="str">
        <f>HYPERLINK("https://github.com/onaio/rdt-standard/releases", "show")</f>
        <v>show</v>
      </c>
      <c r="I6075">
        <v>1</v>
      </c>
      <c r="J6075">
        <v>0</v>
      </c>
      <c r="K6075">
        <v>0</v>
      </c>
      <c r="L6075">
        <v>1</v>
      </c>
      <c r="M6075" t="s">
        <v>29</v>
      </c>
    </row>
    <row r="6076" spans="1:13" x14ac:dyDescent="0.15">
      <c r="A6076" t="s">
        <v>19052</v>
      </c>
      <c r="B6076" t="s">
        <v>19053</v>
      </c>
      <c r="C6076" t="s">
        <v>11582</v>
      </c>
      <c r="D6076" t="s">
        <v>19036</v>
      </c>
      <c r="E6076">
        <v>4</v>
      </c>
      <c r="F6076" t="str">
        <f>HYPERLINK("https://github.com/nextcloud/android/issues/7250", "show")</f>
        <v>show</v>
      </c>
      <c r="G6076" t="str">
        <f>HYPERLINK("https://github.com/nextcloud/android", "show")</f>
        <v>show</v>
      </c>
      <c r="H6076" t="str">
        <f>HYPERLINK("https://github.com/nextcloud/android/releases", "show")</f>
        <v>show</v>
      </c>
      <c r="I6076">
        <v>0</v>
      </c>
      <c r="J6076">
        <v>1</v>
      </c>
      <c r="K6076">
        <v>0</v>
      </c>
      <c r="L6076">
        <v>0</v>
      </c>
      <c r="M6076" t="s">
        <v>139</v>
      </c>
    </row>
    <row r="6077" spans="1:13" hidden="1" x14ac:dyDescent="0.15">
      <c r="A6077" t="s">
        <v>19054</v>
      </c>
      <c r="B6077" t="s">
        <v>19055</v>
      </c>
      <c r="C6077" t="s">
        <v>19056</v>
      </c>
      <c r="D6077" t="s">
        <v>19036</v>
      </c>
      <c r="E6077">
        <v>0</v>
      </c>
      <c r="F6077" t="str">
        <f>HYPERLINK("https://github.com/Anuken/Mindustry/issues/3283", "show")</f>
        <v>show</v>
      </c>
      <c r="G6077" t="str">
        <f>HYPERLINK("https://github.com/Anuken/Mindustry", "show")</f>
        <v>show</v>
      </c>
      <c r="H6077" t="str">
        <f>HYPERLINK("https://github.com/Anuken/Mindustry/releases", "show")</f>
        <v>show</v>
      </c>
      <c r="I6077">
        <v>1</v>
      </c>
      <c r="J6077">
        <v>1</v>
      </c>
      <c r="K6077">
        <v>0</v>
      </c>
      <c r="L6077">
        <v>0</v>
      </c>
      <c r="M6077" t="s">
        <v>48</v>
      </c>
    </row>
    <row r="6078" spans="1:13" hidden="1" x14ac:dyDescent="0.15">
      <c r="A6078" t="s">
        <v>19057</v>
      </c>
      <c r="B6078" t="s">
        <v>19058</v>
      </c>
      <c r="C6078" t="s">
        <v>19059</v>
      </c>
      <c r="D6078" t="s">
        <v>19060</v>
      </c>
      <c r="E6078">
        <v>1</v>
      </c>
      <c r="F6078" t="str">
        <f>HYPERLINK("https://github.com/TeamNewPipe/NewPipe/issues/4830", "show")</f>
        <v>show</v>
      </c>
      <c r="G6078" t="str">
        <f>HYPERLINK("https://github.com/TeamNewPipe/NewPipe", "show")</f>
        <v>show</v>
      </c>
      <c r="H6078" t="str">
        <f>HYPERLINK("https://github.com/TeamNewPipe/NewPipe/releases", "show")</f>
        <v>show</v>
      </c>
      <c r="I6078">
        <v>1</v>
      </c>
      <c r="J6078">
        <v>0</v>
      </c>
      <c r="K6078">
        <v>1</v>
      </c>
      <c r="L6078">
        <v>0</v>
      </c>
      <c r="M6078" t="s">
        <v>64</v>
      </c>
    </row>
    <row r="6079" spans="1:13" hidden="1" x14ac:dyDescent="0.15">
      <c r="A6079" t="s">
        <v>19061</v>
      </c>
      <c r="B6079" t="s">
        <v>19058</v>
      </c>
      <c r="C6079" t="s">
        <v>19059</v>
      </c>
      <c r="D6079" t="s">
        <v>19060</v>
      </c>
      <c r="E6079">
        <v>0</v>
      </c>
      <c r="F6079" t="str">
        <f>HYPERLINK("https://github.com/TeamNewPipe/NewPipe-legacy/issues/53", "show")</f>
        <v>show</v>
      </c>
      <c r="G6079" t="str">
        <f>HYPERLINK("https://github.com/TeamNewPipe/NewPipe-legacy", "show")</f>
        <v>show</v>
      </c>
      <c r="H6079" t="str">
        <f>HYPERLINK("https://github.com/TeamNewPipe/NewPipe-legacy/releases", "show")</f>
        <v>show</v>
      </c>
      <c r="I6079">
        <v>1</v>
      </c>
      <c r="J6079">
        <v>0</v>
      </c>
      <c r="K6079">
        <v>1</v>
      </c>
      <c r="L6079">
        <v>0</v>
      </c>
      <c r="M6079" t="s">
        <v>64</v>
      </c>
    </row>
    <row r="6080" spans="1:13" hidden="1" x14ac:dyDescent="0.15">
      <c r="A6080" t="s">
        <v>19062</v>
      </c>
      <c r="B6080" t="s">
        <v>19063</v>
      </c>
      <c r="C6080" t="s">
        <v>19064</v>
      </c>
      <c r="D6080" t="s">
        <v>19060</v>
      </c>
      <c r="E6080">
        <v>5</v>
      </c>
      <c r="F6080" t="str">
        <f>HYPERLINK("https://github.com/nextcloud/android/issues/7248", "show")</f>
        <v>show</v>
      </c>
      <c r="G6080" t="str">
        <f>HYPERLINK("https://github.com/nextcloud/android", "show")</f>
        <v>show</v>
      </c>
      <c r="H6080" t="str">
        <f>HYPERLINK("https://github.com/nextcloud/android/releases", "show")</f>
        <v>show</v>
      </c>
      <c r="I6080">
        <v>0</v>
      </c>
      <c r="J6080">
        <v>0</v>
      </c>
      <c r="K6080">
        <v>1</v>
      </c>
      <c r="L6080">
        <v>0</v>
      </c>
      <c r="M6080" t="s">
        <v>122</v>
      </c>
    </row>
    <row r="6081" spans="1:13" hidden="1" x14ac:dyDescent="0.15">
      <c r="A6081" t="s">
        <v>19065</v>
      </c>
      <c r="B6081" t="s">
        <v>19066</v>
      </c>
      <c r="C6081" t="s">
        <v>19067</v>
      </c>
      <c r="D6081" t="s">
        <v>19060</v>
      </c>
      <c r="E6081">
        <v>19</v>
      </c>
      <c r="F6081" t="str">
        <f>HYPERLINK("https://github.com/commons-app/apps-android-commons/issues/4020", "show")</f>
        <v>show</v>
      </c>
      <c r="G6081" t="str">
        <f>HYPERLINK("https://github.com/commons-app/apps-android-commons", "show")</f>
        <v>show</v>
      </c>
      <c r="H6081" t="str">
        <f>HYPERLINK("https://github.com/commons-app/apps-android-commons/releases", "show")</f>
        <v>show</v>
      </c>
      <c r="I6081">
        <v>1</v>
      </c>
      <c r="J6081">
        <v>0</v>
      </c>
      <c r="K6081">
        <v>1</v>
      </c>
      <c r="L6081">
        <v>0</v>
      </c>
      <c r="M6081" t="s">
        <v>64</v>
      </c>
    </row>
    <row r="6082" spans="1:13" hidden="1" x14ac:dyDescent="0.15">
      <c r="A6082" t="s">
        <v>19068</v>
      </c>
      <c r="B6082" t="s">
        <v>19069</v>
      </c>
      <c r="C6082" t="s">
        <v>19070</v>
      </c>
      <c r="D6082" t="s">
        <v>19060</v>
      </c>
      <c r="E6082">
        <v>0</v>
      </c>
      <c r="F6082" t="str">
        <f>HYPERLINK("https://github.com/TeamNewPipe/NewPipe/issues/4823", "show")</f>
        <v>show</v>
      </c>
      <c r="G6082" t="str">
        <f>HYPERLINK("https://github.com/TeamNewPipe/NewPipe", "show")</f>
        <v>show</v>
      </c>
      <c r="H6082" t="str">
        <f>HYPERLINK("https://github.com/TeamNewPipe/NewPipe/releases", "show")</f>
        <v>show</v>
      </c>
      <c r="I6082">
        <v>1</v>
      </c>
      <c r="J6082">
        <v>0</v>
      </c>
      <c r="K6082">
        <v>1</v>
      </c>
      <c r="L6082">
        <v>0</v>
      </c>
      <c r="M6082" t="s">
        <v>64</v>
      </c>
    </row>
    <row r="6083" spans="1:13" hidden="1" x14ac:dyDescent="0.15">
      <c r="A6083" t="s">
        <v>19071</v>
      </c>
      <c r="B6083" t="s">
        <v>19072</v>
      </c>
      <c r="C6083" t="s">
        <v>19073</v>
      </c>
      <c r="D6083" t="s">
        <v>19074</v>
      </c>
      <c r="E6083">
        <v>96</v>
      </c>
      <c r="F6083" t="str">
        <f>HYPERLINK("https://github.com/Landry333/Big-Owl/issues/138", "show")</f>
        <v>show</v>
      </c>
      <c r="G6083" t="str">
        <f>HYPERLINK("https://github.com/Landry333/Big-Owl", "show")</f>
        <v>show</v>
      </c>
      <c r="H6083" t="str">
        <f>HYPERLINK("https://github.com/Landry333/Big-Owl/releases", "show")</f>
        <v>show</v>
      </c>
      <c r="I6083">
        <v>0</v>
      </c>
      <c r="J6083">
        <v>0</v>
      </c>
      <c r="K6083">
        <v>0</v>
      </c>
      <c r="L6083">
        <v>1</v>
      </c>
      <c r="M6083" t="s">
        <v>581</v>
      </c>
    </row>
    <row r="6084" spans="1:13" hidden="1" x14ac:dyDescent="0.15">
      <c r="A6084" t="s">
        <v>19075</v>
      </c>
      <c r="B6084" t="s">
        <v>19076</v>
      </c>
      <c r="C6084" t="s">
        <v>12056</v>
      </c>
      <c r="D6084" t="s">
        <v>19074</v>
      </c>
      <c r="E6084">
        <v>6</v>
      </c>
      <c r="F6084" t="str">
        <f>HYPERLINK("https://github.com/nextcloud/android/issues/7239", "show")</f>
        <v>show</v>
      </c>
      <c r="G6084" t="str">
        <f>HYPERLINK("https://github.com/nextcloud/android", "show")</f>
        <v>show</v>
      </c>
      <c r="H6084" t="str">
        <f>HYPERLINK("https://github.com/nextcloud/android/releases", "show")</f>
        <v>show</v>
      </c>
      <c r="I6084">
        <v>0</v>
      </c>
      <c r="J6084">
        <v>1</v>
      </c>
      <c r="K6084">
        <v>1</v>
      </c>
      <c r="L6084">
        <v>0</v>
      </c>
      <c r="M6084" t="s">
        <v>699</v>
      </c>
    </row>
    <row r="6085" spans="1:13" hidden="1" x14ac:dyDescent="0.15">
      <c r="A6085" t="s">
        <v>19077</v>
      </c>
      <c r="B6085" t="s">
        <v>19078</v>
      </c>
      <c r="C6085" t="s">
        <v>19079</v>
      </c>
      <c r="D6085" t="s">
        <v>19074</v>
      </c>
      <c r="E6085">
        <v>0</v>
      </c>
      <c r="F6085" t="str">
        <f>HYPERLINK("https://github.com/shrimalaya/Android-Seerem-Supervisor-App/issues/16", "show")</f>
        <v>show</v>
      </c>
      <c r="G6085" t="str">
        <f>HYPERLINK("https://github.com/shrimalaya/Android-Seerem-Supervisor-App", "show")</f>
        <v>show</v>
      </c>
      <c r="H6085" t="str">
        <f>HYPERLINK("https://github.com/shrimalaya/Android-Seerem-Supervisor-App/releases", "show")</f>
        <v>show</v>
      </c>
      <c r="I6085">
        <v>1</v>
      </c>
      <c r="J6085">
        <v>0</v>
      </c>
      <c r="K6085">
        <v>0</v>
      </c>
      <c r="L6085">
        <v>0</v>
      </c>
      <c r="M6085" t="s">
        <v>17</v>
      </c>
    </row>
    <row r="6086" spans="1:13" x14ac:dyDescent="0.15">
      <c r="A6086" t="s">
        <v>19080</v>
      </c>
      <c r="B6086" t="s">
        <v>19081</v>
      </c>
      <c r="C6086" t="s">
        <v>19082</v>
      </c>
      <c r="D6086" t="s">
        <v>19074</v>
      </c>
      <c r="E6086">
        <v>0</v>
      </c>
      <c r="F6086" t="str">
        <f>HYPERLINK("https://github.com/Anuken/Mindustry/issues/3272", "show")</f>
        <v>show</v>
      </c>
      <c r="G6086" t="str">
        <f>HYPERLINK("https://github.com/Anuken/Mindustry", "show")</f>
        <v>show</v>
      </c>
      <c r="H6086" t="str">
        <f>HYPERLINK("https://github.com/Anuken/Mindustry/releases", "show")</f>
        <v>show</v>
      </c>
      <c r="I6086">
        <v>0</v>
      </c>
      <c r="J6086">
        <v>1</v>
      </c>
      <c r="K6086">
        <v>0</v>
      </c>
      <c r="L6086">
        <v>0</v>
      </c>
      <c r="M6086" t="s">
        <v>139</v>
      </c>
    </row>
    <row r="6087" spans="1:13" hidden="1" x14ac:dyDescent="0.15">
      <c r="A6087" t="s">
        <v>19083</v>
      </c>
      <c r="B6087" t="s">
        <v>19084</v>
      </c>
      <c r="C6087" t="s">
        <v>19085</v>
      </c>
      <c r="D6087" t="s">
        <v>19074</v>
      </c>
      <c r="E6087">
        <v>0</v>
      </c>
      <c r="F6087" t="str">
        <f>HYPERLINK("https://github.com/Anuken/Mindustry/issues/3270", "show")</f>
        <v>show</v>
      </c>
      <c r="G6087" t="str">
        <f>HYPERLINK("https://github.com/Anuken/Mindustry", "show")</f>
        <v>show</v>
      </c>
      <c r="H6087" t="str">
        <f>HYPERLINK("https://github.com/Anuken/Mindustry/releases", "show")</f>
        <v>show</v>
      </c>
      <c r="I6087">
        <v>0</v>
      </c>
      <c r="J6087">
        <v>0</v>
      </c>
      <c r="K6087">
        <v>0</v>
      </c>
      <c r="L6087">
        <v>0</v>
      </c>
      <c r="M6087" t="s">
        <v>43</v>
      </c>
    </row>
    <row r="6088" spans="1:13" hidden="1" x14ac:dyDescent="0.15">
      <c r="A6088" t="s">
        <v>19086</v>
      </c>
      <c r="B6088" t="s">
        <v>19087</v>
      </c>
      <c r="D6088" t="s">
        <v>19088</v>
      </c>
      <c r="E6088">
        <v>0</v>
      </c>
      <c r="F6088" t="str">
        <f>HYPERLINK("https://github.com/CMPUT301F20T10/iBook/issues/32", "show")</f>
        <v>show</v>
      </c>
      <c r="G6088" t="str">
        <f>HYPERLINK("https://github.com/CMPUT301F20T10/iBook", "show")</f>
        <v>show</v>
      </c>
      <c r="H6088" t="str">
        <f>HYPERLINK("https://github.com/CMPUT301F20T10/iBook/releases", "show")</f>
        <v>show</v>
      </c>
      <c r="I6088">
        <v>0</v>
      </c>
      <c r="J6088">
        <v>0</v>
      </c>
      <c r="K6088">
        <v>0</v>
      </c>
      <c r="L6088">
        <v>0</v>
      </c>
      <c r="M6088" t="s">
        <v>43</v>
      </c>
    </row>
    <row r="6089" spans="1:13" hidden="1" x14ac:dyDescent="0.15">
      <c r="A6089" t="s">
        <v>19089</v>
      </c>
      <c r="B6089" t="s">
        <v>19090</v>
      </c>
      <c r="C6089" t="s">
        <v>19091</v>
      </c>
      <c r="D6089" t="s">
        <v>19088</v>
      </c>
      <c r="E6089">
        <v>0</v>
      </c>
      <c r="F6089" t="str">
        <f>HYPERLINK("https://github.com/Anuken/Mindustry/issues/3264", "show")</f>
        <v>show</v>
      </c>
      <c r="G6089" t="str">
        <f>HYPERLINK("https://github.com/Anuken/Mindustry", "show")</f>
        <v>show</v>
      </c>
      <c r="H6089" t="str">
        <f>HYPERLINK("https://github.com/Anuken/Mindustry/releases", "show")</f>
        <v>show</v>
      </c>
      <c r="I6089">
        <v>0</v>
      </c>
      <c r="J6089">
        <v>1</v>
      </c>
      <c r="K6089">
        <v>0</v>
      </c>
      <c r="L6089">
        <v>1</v>
      </c>
      <c r="M6089" t="s">
        <v>1732</v>
      </c>
    </row>
    <row r="6090" spans="1:13" hidden="1" x14ac:dyDescent="0.15">
      <c r="A6090" t="s">
        <v>19092</v>
      </c>
      <c r="B6090" t="s">
        <v>19093</v>
      </c>
      <c r="C6090" t="s">
        <v>19094</v>
      </c>
      <c r="D6090" t="s">
        <v>19088</v>
      </c>
      <c r="E6090">
        <v>0</v>
      </c>
      <c r="F6090" t="str">
        <f>HYPERLINK("https://github.com/Anuken/Mindustry/issues/3263", "show")</f>
        <v>show</v>
      </c>
      <c r="G6090" t="str">
        <f>HYPERLINK("https://github.com/Anuken/Mindustry", "show")</f>
        <v>show</v>
      </c>
      <c r="H6090" t="str">
        <f>HYPERLINK("https://github.com/Anuken/Mindustry/releases", "show")</f>
        <v>show</v>
      </c>
      <c r="I6090">
        <v>1</v>
      </c>
      <c r="J6090">
        <v>1</v>
      </c>
      <c r="K6090">
        <v>0</v>
      </c>
      <c r="L6090">
        <v>0</v>
      </c>
      <c r="M6090" t="s">
        <v>48</v>
      </c>
    </row>
    <row r="6091" spans="1:13" x14ac:dyDescent="0.15">
      <c r="A6091" t="s">
        <v>19095</v>
      </c>
      <c r="B6091" t="s">
        <v>19096</v>
      </c>
      <c r="C6091" t="s">
        <v>19097</v>
      </c>
      <c r="D6091" t="s">
        <v>19088</v>
      </c>
      <c r="E6091">
        <v>0</v>
      </c>
      <c r="F6091" t="str">
        <f>HYPERLINK("https://github.com/AOF-Dev/MCinaBox/issues/636", "show")</f>
        <v>show</v>
      </c>
      <c r="G6091" t="str">
        <f>HYPERLINK("https://github.com/AOF-Dev/MCinaBox", "show")</f>
        <v>show</v>
      </c>
      <c r="H6091" t="str">
        <f>HYPERLINK("https://github.com/AOF-Dev/MCinaBox/releases", "show")</f>
        <v>show</v>
      </c>
      <c r="I6091">
        <v>0</v>
      </c>
      <c r="J6091">
        <v>1</v>
      </c>
      <c r="K6091">
        <v>0</v>
      </c>
      <c r="L6091">
        <v>0</v>
      </c>
      <c r="M6091" t="s">
        <v>139</v>
      </c>
    </row>
    <row r="6092" spans="1:13" hidden="1" x14ac:dyDescent="0.15">
      <c r="A6092" t="s">
        <v>19098</v>
      </c>
      <c r="B6092" t="s">
        <v>19099</v>
      </c>
      <c r="C6092" t="s">
        <v>19100</v>
      </c>
      <c r="D6092" t="s">
        <v>19088</v>
      </c>
      <c r="E6092">
        <v>20</v>
      </c>
      <c r="F6092" t="str">
        <f>HYPERLINK("https://github.com/tchapgouv/tchap-android-legacy/issues/670", "show")</f>
        <v>show</v>
      </c>
      <c r="G6092" t="str">
        <f>HYPERLINK("https://github.com/tchapgouv/tchap-android-legacy", "show")</f>
        <v>show</v>
      </c>
      <c r="H6092" t="str">
        <f>HYPERLINK("https://github.com/tchapgouv/tchap-android-legacy/releases", "show")</f>
        <v>show</v>
      </c>
      <c r="I6092">
        <v>1</v>
      </c>
      <c r="J6092">
        <v>0</v>
      </c>
      <c r="K6092">
        <v>1</v>
      </c>
      <c r="L6092">
        <v>0</v>
      </c>
      <c r="M6092" t="s">
        <v>64</v>
      </c>
    </row>
    <row r="6093" spans="1:13" hidden="1" x14ac:dyDescent="0.15">
      <c r="A6093" t="s">
        <v>19101</v>
      </c>
      <c r="B6093" t="s">
        <v>19102</v>
      </c>
      <c r="C6093" t="s">
        <v>19103</v>
      </c>
      <c r="D6093" t="s">
        <v>19088</v>
      </c>
      <c r="E6093">
        <v>5</v>
      </c>
      <c r="F6093" t="str">
        <f>HYPERLINK("https://github.com/tchapgouv/tchap-android-legacy/issues/669", "show")</f>
        <v>show</v>
      </c>
      <c r="G6093" t="str">
        <f>HYPERLINK("https://github.com/tchapgouv/tchap-android-legacy", "show")</f>
        <v>show</v>
      </c>
      <c r="H6093" t="str">
        <f>HYPERLINK("https://github.com/tchapgouv/tchap-android-legacy/releases", "show")</f>
        <v>show</v>
      </c>
      <c r="I6093">
        <v>1</v>
      </c>
      <c r="J6093">
        <v>0</v>
      </c>
      <c r="K6093">
        <v>1</v>
      </c>
      <c r="L6093">
        <v>0</v>
      </c>
      <c r="M6093" t="s">
        <v>64</v>
      </c>
    </row>
    <row r="6094" spans="1:13" hidden="1" x14ac:dyDescent="0.15">
      <c r="A6094" t="s">
        <v>19104</v>
      </c>
      <c r="B6094" t="s">
        <v>19105</v>
      </c>
      <c r="C6094" t="s">
        <v>19106</v>
      </c>
      <c r="D6094" t="s">
        <v>19088</v>
      </c>
      <c r="E6094">
        <v>20</v>
      </c>
      <c r="F6094" t="str">
        <f>HYPERLINK("https://github.com/tchapgouv/tchap-android-legacy/issues/668", "show")</f>
        <v>show</v>
      </c>
      <c r="G6094" t="str">
        <f>HYPERLINK("https://github.com/tchapgouv/tchap-android-legacy", "show")</f>
        <v>show</v>
      </c>
      <c r="H6094" t="str">
        <f>HYPERLINK("https://github.com/tchapgouv/tchap-android-legacy/releases", "show")</f>
        <v>show</v>
      </c>
      <c r="I6094">
        <v>0</v>
      </c>
      <c r="J6094">
        <v>0</v>
      </c>
      <c r="K6094">
        <v>1</v>
      </c>
      <c r="L6094">
        <v>0</v>
      </c>
      <c r="M6094" t="s">
        <v>122</v>
      </c>
    </row>
    <row r="6095" spans="1:13" hidden="1" x14ac:dyDescent="0.15">
      <c r="A6095" t="s">
        <v>19107</v>
      </c>
      <c r="B6095" t="s">
        <v>19108</v>
      </c>
      <c r="C6095" t="s">
        <v>19109</v>
      </c>
      <c r="D6095" t="s">
        <v>19088</v>
      </c>
      <c r="E6095">
        <v>9</v>
      </c>
      <c r="F6095" t="str">
        <f>HYPERLINK("https://github.com/tchapgouv/tchap-android-legacy/issues/667", "show")</f>
        <v>show</v>
      </c>
      <c r="G6095" t="str">
        <f>HYPERLINK("https://github.com/tchapgouv/tchap-android-legacy", "show")</f>
        <v>show</v>
      </c>
      <c r="H6095" t="str">
        <f>HYPERLINK("https://github.com/tchapgouv/tchap-android-legacy/releases", "show")</f>
        <v>show</v>
      </c>
      <c r="I6095">
        <v>0</v>
      </c>
      <c r="J6095">
        <v>0</v>
      </c>
      <c r="K6095">
        <v>1</v>
      </c>
      <c r="L6095">
        <v>0</v>
      </c>
      <c r="M6095" t="s">
        <v>122</v>
      </c>
    </row>
    <row r="6096" spans="1:13" hidden="1" x14ac:dyDescent="0.15">
      <c r="A6096" t="s">
        <v>19110</v>
      </c>
      <c r="B6096" t="s">
        <v>19111</v>
      </c>
      <c r="C6096" t="s">
        <v>19112</v>
      </c>
      <c r="D6096" t="s">
        <v>19088</v>
      </c>
      <c r="E6096">
        <v>0</v>
      </c>
      <c r="F6096" t="str">
        <f>HYPERLINK("https://github.com/k9mail/k-9/issues/5041", "show")</f>
        <v>show</v>
      </c>
      <c r="G6096" t="str">
        <f>HYPERLINK("https://github.com/k9mail/k-9", "show")</f>
        <v>show</v>
      </c>
      <c r="H6096" t="str">
        <f>HYPERLINK("https://github.com/k9mail/k-9/releases", "show")</f>
        <v>show</v>
      </c>
      <c r="I6096">
        <v>1</v>
      </c>
      <c r="J6096">
        <v>0</v>
      </c>
      <c r="K6096">
        <v>0</v>
      </c>
      <c r="L6096">
        <v>0</v>
      </c>
      <c r="M6096" t="s">
        <v>17</v>
      </c>
    </row>
    <row r="6097" spans="1:13" hidden="1" x14ac:dyDescent="0.15">
      <c r="A6097" t="s">
        <v>19113</v>
      </c>
      <c r="B6097" t="s">
        <v>19114</v>
      </c>
      <c r="C6097" t="s">
        <v>19115</v>
      </c>
      <c r="D6097" t="s">
        <v>19088</v>
      </c>
      <c r="E6097">
        <v>0</v>
      </c>
      <c r="F6097" t="str">
        <f>HYPERLINK("https://github.com/KnightShade07/TIcTacToe/issues/13", "show")</f>
        <v>show</v>
      </c>
      <c r="G6097" t="str">
        <f>HYPERLINK("https://github.com/KnightShade07/TIcTacToe", "show")</f>
        <v>show</v>
      </c>
      <c r="H6097" t="str">
        <f>HYPERLINK("https://github.com/KnightShade07/TIcTacToe/releases", "show")</f>
        <v>show</v>
      </c>
      <c r="I6097">
        <v>1</v>
      </c>
      <c r="J6097">
        <v>0</v>
      </c>
      <c r="K6097">
        <v>0</v>
      </c>
      <c r="L6097">
        <v>0</v>
      </c>
      <c r="M6097" t="s">
        <v>17</v>
      </c>
    </row>
    <row r="6098" spans="1:13" hidden="1" x14ac:dyDescent="0.15">
      <c r="A6098" t="s">
        <v>19116</v>
      </c>
      <c r="B6098" t="s">
        <v>19117</v>
      </c>
      <c r="C6098" t="s">
        <v>19118</v>
      </c>
      <c r="D6098" t="s">
        <v>19119</v>
      </c>
      <c r="E6098">
        <v>13</v>
      </c>
      <c r="F6098" t="str">
        <f>HYPERLINK("https://github.com/onaio/rdt-standard/issues/606", "show")</f>
        <v>show</v>
      </c>
      <c r="G6098" t="str">
        <f>HYPERLINK("https://github.com/onaio/rdt-standard", "show")</f>
        <v>show</v>
      </c>
      <c r="H6098" t="str">
        <f>HYPERLINK("https://github.com/onaio/rdt-standard/releases", "show")</f>
        <v>show</v>
      </c>
      <c r="I6098">
        <v>1</v>
      </c>
      <c r="J6098">
        <v>0</v>
      </c>
      <c r="K6098">
        <v>0</v>
      </c>
      <c r="L6098">
        <v>0</v>
      </c>
      <c r="M6098" t="s">
        <v>17</v>
      </c>
    </row>
    <row r="6099" spans="1:13" hidden="1" x14ac:dyDescent="0.15">
      <c r="A6099" t="s">
        <v>19120</v>
      </c>
      <c r="B6099" t="s">
        <v>19121</v>
      </c>
      <c r="C6099" t="s">
        <v>19122</v>
      </c>
      <c r="D6099" t="s">
        <v>19119</v>
      </c>
      <c r="E6099">
        <v>2</v>
      </c>
      <c r="F6099" t="str">
        <f>HYPERLINK("https://github.com/nextcloud/android/issues/7225", "show")</f>
        <v>show</v>
      </c>
      <c r="G6099" t="str">
        <f>HYPERLINK("https://github.com/nextcloud/android", "show")</f>
        <v>show</v>
      </c>
      <c r="H6099" t="str">
        <f>HYPERLINK("https://github.com/nextcloud/android/releases", "show")</f>
        <v>show</v>
      </c>
      <c r="I6099">
        <v>1</v>
      </c>
      <c r="J6099">
        <v>0</v>
      </c>
      <c r="K6099">
        <v>1</v>
      </c>
      <c r="L6099">
        <v>0</v>
      </c>
      <c r="M6099" t="s">
        <v>64</v>
      </c>
    </row>
    <row r="6100" spans="1:13" hidden="1" x14ac:dyDescent="0.15">
      <c r="A6100" t="s">
        <v>19123</v>
      </c>
      <c r="B6100" t="s">
        <v>19124</v>
      </c>
      <c r="C6100" t="s">
        <v>19125</v>
      </c>
      <c r="D6100" t="s">
        <v>19119</v>
      </c>
      <c r="E6100">
        <v>0</v>
      </c>
      <c r="F6100" t="str">
        <f>HYPERLINK("https://github.com/Anuken/Mindustry/issues/3258", "show")</f>
        <v>show</v>
      </c>
      <c r="G6100" t="str">
        <f>HYPERLINK("https://github.com/Anuken/Mindustry", "show")</f>
        <v>show</v>
      </c>
      <c r="H6100" t="str">
        <f>HYPERLINK("https://github.com/Anuken/Mindustry/releases", "show")</f>
        <v>show</v>
      </c>
      <c r="I6100">
        <v>0</v>
      </c>
      <c r="J6100">
        <v>0</v>
      </c>
      <c r="K6100">
        <v>0</v>
      </c>
      <c r="L6100">
        <v>0</v>
      </c>
      <c r="M6100" t="s">
        <v>43</v>
      </c>
    </row>
    <row r="6101" spans="1:13" hidden="1" x14ac:dyDescent="0.15">
      <c r="A6101" t="s">
        <v>19126</v>
      </c>
      <c r="B6101" t="s">
        <v>19127</v>
      </c>
      <c r="C6101" t="s">
        <v>19128</v>
      </c>
      <c r="D6101" t="s">
        <v>19119</v>
      </c>
      <c r="E6101">
        <v>0</v>
      </c>
      <c r="F6101" t="str">
        <f>HYPERLINK("https://github.com/Anuken/Mindustry/issues/3257", "show")</f>
        <v>show</v>
      </c>
      <c r="G6101" t="str">
        <f>HYPERLINK("https://github.com/Anuken/Mindustry", "show")</f>
        <v>show</v>
      </c>
      <c r="H6101" t="str">
        <f>HYPERLINK("https://github.com/Anuken/Mindustry/releases", "show")</f>
        <v>show</v>
      </c>
      <c r="I6101">
        <v>0</v>
      </c>
      <c r="J6101">
        <v>0</v>
      </c>
      <c r="K6101">
        <v>0</v>
      </c>
      <c r="L6101">
        <v>0</v>
      </c>
      <c r="M6101" t="s">
        <v>43</v>
      </c>
    </row>
    <row r="6102" spans="1:13" hidden="1" x14ac:dyDescent="0.15">
      <c r="A6102" t="s">
        <v>19129</v>
      </c>
      <c r="B6102" t="s">
        <v>19130</v>
      </c>
      <c r="C6102" t="s">
        <v>18853</v>
      </c>
      <c r="D6102" t="s">
        <v>19119</v>
      </c>
      <c r="E6102">
        <v>0</v>
      </c>
      <c r="F6102" t="str">
        <f>HYPERLINK("https://github.com/Anuken/Mindustry/issues/3256", "show")</f>
        <v>show</v>
      </c>
      <c r="G6102" t="str">
        <f>HYPERLINK("https://github.com/Anuken/Mindustry", "show")</f>
        <v>show</v>
      </c>
      <c r="H6102" t="str">
        <f>HYPERLINK("https://github.com/Anuken/Mindustry/releases", "show")</f>
        <v>show</v>
      </c>
      <c r="I6102">
        <v>1</v>
      </c>
      <c r="J6102">
        <v>0</v>
      </c>
      <c r="K6102">
        <v>0</v>
      </c>
      <c r="L6102">
        <v>0</v>
      </c>
      <c r="M6102" t="s">
        <v>17</v>
      </c>
    </row>
    <row r="6103" spans="1:13" hidden="1" x14ac:dyDescent="0.15">
      <c r="A6103" t="s">
        <v>19131</v>
      </c>
      <c r="B6103" t="s">
        <v>19132</v>
      </c>
      <c r="C6103" t="s">
        <v>19133</v>
      </c>
      <c r="D6103" t="s">
        <v>19119</v>
      </c>
      <c r="E6103">
        <v>0</v>
      </c>
      <c r="F6103" t="str">
        <f>HYPERLINK("https://github.com/nextcloud/android/issues/7219", "show")</f>
        <v>show</v>
      </c>
      <c r="G6103" t="str">
        <f>HYPERLINK("https://github.com/nextcloud/android", "show")</f>
        <v>show</v>
      </c>
      <c r="H6103" t="str">
        <f>HYPERLINK("https://github.com/nextcloud/android/releases", "show")</f>
        <v>show</v>
      </c>
      <c r="I6103">
        <v>1</v>
      </c>
      <c r="J6103">
        <v>1</v>
      </c>
      <c r="K6103">
        <v>1</v>
      </c>
      <c r="L6103">
        <v>0</v>
      </c>
      <c r="M6103" t="s">
        <v>59</v>
      </c>
    </row>
    <row r="6104" spans="1:13" hidden="1" x14ac:dyDescent="0.15">
      <c r="A6104" t="s">
        <v>19134</v>
      </c>
      <c r="B6104" t="s">
        <v>19135</v>
      </c>
      <c r="C6104" t="s">
        <v>19136</v>
      </c>
      <c r="D6104" t="s">
        <v>19119</v>
      </c>
      <c r="E6104">
        <v>33</v>
      </c>
      <c r="F6104" t="str">
        <f>HYPERLINK("https://github.com/nextcloud/android/issues/7218", "show")</f>
        <v>show</v>
      </c>
      <c r="G6104" t="str">
        <f>HYPERLINK("https://github.com/nextcloud/android", "show")</f>
        <v>show</v>
      </c>
      <c r="H6104" t="str">
        <f>HYPERLINK("https://github.com/nextcloud/android/releases", "show")</f>
        <v>show</v>
      </c>
      <c r="I6104">
        <v>1</v>
      </c>
      <c r="J6104">
        <v>1</v>
      </c>
      <c r="K6104">
        <v>0</v>
      </c>
      <c r="L6104">
        <v>0</v>
      </c>
      <c r="M6104" t="s">
        <v>48</v>
      </c>
    </row>
    <row r="6105" spans="1:13" hidden="1" x14ac:dyDescent="0.15">
      <c r="A6105" t="s">
        <v>19137</v>
      </c>
      <c r="B6105" t="s">
        <v>19138</v>
      </c>
      <c r="D6105" t="s">
        <v>19119</v>
      </c>
      <c r="E6105">
        <v>1</v>
      </c>
      <c r="F6105" t="str">
        <f>HYPERLINK("https://github.com/CMPUT301F20T10/iBook/issues/22", "show")</f>
        <v>show</v>
      </c>
      <c r="G6105" t="str">
        <f>HYPERLINK("https://github.com/CMPUT301F20T10/iBook", "show")</f>
        <v>show</v>
      </c>
      <c r="H6105" t="str">
        <f>HYPERLINK("https://github.com/CMPUT301F20T10/iBook/releases", "show")</f>
        <v>show</v>
      </c>
      <c r="I6105">
        <v>1</v>
      </c>
      <c r="J6105">
        <v>0</v>
      </c>
      <c r="K6105">
        <v>0</v>
      </c>
      <c r="L6105">
        <v>0</v>
      </c>
      <c r="M6105" t="s">
        <v>17</v>
      </c>
    </row>
    <row r="6106" spans="1:13" hidden="1" x14ac:dyDescent="0.15">
      <c r="A6106" t="s">
        <v>19139</v>
      </c>
      <c r="B6106" t="s">
        <v>19140</v>
      </c>
      <c r="C6106" t="s">
        <v>19141</v>
      </c>
      <c r="D6106" t="s">
        <v>19119</v>
      </c>
      <c r="E6106">
        <v>332</v>
      </c>
      <c r="F6106" t="str">
        <f>HYPERLINK("https://github.com/TeamNewPipe/NewPipe/issues/4785", "show")</f>
        <v>show</v>
      </c>
      <c r="G6106" t="str">
        <f>HYPERLINK("https://github.com/TeamNewPipe/NewPipe", "show")</f>
        <v>show</v>
      </c>
      <c r="H6106" t="str">
        <f>HYPERLINK("https://github.com/TeamNewPipe/NewPipe/releases", "show")</f>
        <v>show</v>
      </c>
      <c r="I6106">
        <v>1</v>
      </c>
      <c r="J6106">
        <v>1</v>
      </c>
      <c r="K6106">
        <v>0</v>
      </c>
      <c r="L6106">
        <v>0</v>
      </c>
      <c r="M6106" t="s">
        <v>48</v>
      </c>
    </row>
    <row r="6107" spans="1:13" x14ac:dyDescent="0.15">
      <c r="A6107" t="s">
        <v>19142</v>
      </c>
      <c r="B6107" t="s">
        <v>19143</v>
      </c>
      <c r="C6107" t="s">
        <v>19144</v>
      </c>
      <c r="D6107" t="s">
        <v>19119</v>
      </c>
      <c r="E6107">
        <v>0</v>
      </c>
      <c r="F6107" t="str">
        <f>HYPERLINK("https://github.com/Anuken/Mindustry/issues/3250", "show")</f>
        <v>show</v>
      </c>
      <c r="G6107" t="str">
        <f>HYPERLINK("https://github.com/Anuken/Mindustry", "show")</f>
        <v>show</v>
      </c>
      <c r="H6107" t="str">
        <f>HYPERLINK("https://github.com/Anuken/Mindustry/releases", "show")</f>
        <v>show</v>
      </c>
      <c r="I6107">
        <v>0</v>
      </c>
      <c r="J6107">
        <v>1</v>
      </c>
      <c r="K6107">
        <v>0</v>
      </c>
      <c r="L6107">
        <v>0</v>
      </c>
      <c r="M6107" t="s">
        <v>139</v>
      </c>
    </row>
    <row r="6108" spans="1:13" hidden="1" x14ac:dyDescent="0.15">
      <c r="A6108" t="s">
        <v>19145</v>
      </c>
      <c r="B6108" t="s">
        <v>19146</v>
      </c>
      <c r="C6108" t="s">
        <v>19147</v>
      </c>
      <c r="D6108" t="s">
        <v>19119</v>
      </c>
      <c r="E6108">
        <v>10</v>
      </c>
      <c r="F6108" t="str">
        <f>HYPERLINK("https://github.com/paulin/family-bank-app/issues/34", "show")</f>
        <v>show</v>
      </c>
      <c r="G6108" t="str">
        <f>HYPERLINK("https://github.com/paulin/family-bank-app", "show")</f>
        <v>show</v>
      </c>
      <c r="H6108" t="str">
        <f>HYPERLINK("https://github.com/paulin/family-bank-app/releases", "show")</f>
        <v>show</v>
      </c>
      <c r="I6108">
        <v>1</v>
      </c>
      <c r="J6108">
        <v>0</v>
      </c>
      <c r="K6108">
        <v>0</v>
      </c>
      <c r="L6108">
        <v>0</v>
      </c>
      <c r="M6108" t="s">
        <v>17</v>
      </c>
    </row>
    <row r="6109" spans="1:13" hidden="1" x14ac:dyDescent="0.15">
      <c r="A6109" t="s">
        <v>19148</v>
      </c>
      <c r="B6109" t="s">
        <v>19149</v>
      </c>
      <c r="C6109" t="s">
        <v>19150</v>
      </c>
      <c r="D6109" t="s">
        <v>19119</v>
      </c>
      <c r="E6109">
        <v>508</v>
      </c>
      <c r="F6109" t="str">
        <f>HYPERLINK("https://github.com/deltachat/deltachat-android/issues/1704", "show")</f>
        <v>show</v>
      </c>
      <c r="G6109" t="str">
        <f>HYPERLINK("https://github.com/deltachat/deltachat-android", "show")</f>
        <v>show</v>
      </c>
      <c r="H6109" t="str">
        <f>HYPERLINK("https://github.com/deltachat/deltachat-android/releases", "show")</f>
        <v>show</v>
      </c>
      <c r="I6109">
        <v>0</v>
      </c>
      <c r="J6109">
        <v>0</v>
      </c>
      <c r="K6109">
        <v>0</v>
      </c>
      <c r="L6109">
        <v>0</v>
      </c>
      <c r="M6109" t="s">
        <v>43</v>
      </c>
    </row>
    <row r="6110" spans="1:13" hidden="1" x14ac:dyDescent="0.15">
      <c r="A6110" t="s">
        <v>19151</v>
      </c>
      <c r="B6110" t="s">
        <v>19152</v>
      </c>
      <c r="C6110" t="s">
        <v>19153</v>
      </c>
      <c r="D6110" t="s">
        <v>19154</v>
      </c>
      <c r="E6110">
        <v>0</v>
      </c>
      <c r="F6110" t="str">
        <f>HYPERLINK("https://github.com/Anuken/Mindustry/issues/3248", "show")</f>
        <v>show</v>
      </c>
      <c r="G6110" t="str">
        <f>HYPERLINK("https://github.com/Anuken/Mindustry", "show")</f>
        <v>show</v>
      </c>
      <c r="H6110" t="str">
        <f>HYPERLINK("https://github.com/Anuken/Mindustry/releases", "show")</f>
        <v>show</v>
      </c>
      <c r="I6110">
        <v>0</v>
      </c>
      <c r="J6110">
        <v>0</v>
      </c>
      <c r="K6110">
        <v>0</v>
      </c>
      <c r="L6110">
        <v>1</v>
      </c>
      <c r="M6110" t="s">
        <v>581</v>
      </c>
    </row>
    <row r="6111" spans="1:13" hidden="1" x14ac:dyDescent="0.15">
      <c r="A6111" t="s">
        <v>19155</v>
      </c>
      <c r="B6111" t="s">
        <v>19156</v>
      </c>
      <c r="C6111" t="s">
        <v>19157</v>
      </c>
      <c r="D6111" t="s">
        <v>19154</v>
      </c>
      <c r="E6111">
        <v>9</v>
      </c>
      <c r="F6111" t="str">
        <f>HYPERLINK("https://github.com/CleverTap/clevertap-cordova/issues/75", "show")</f>
        <v>show</v>
      </c>
      <c r="G6111" t="str">
        <f>HYPERLINK("https://github.com/CleverTap/clevertap-cordova", "show")</f>
        <v>show</v>
      </c>
      <c r="H6111" t="str">
        <f>HYPERLINK("https://github.com/CleverTap/clevertap-cordova/releases", "show")</f>
        <v>show</v>
      </c>
      <c r="I6111">
        <v>1</v>
      </c>
      <c r="J6111">
        <v>0</v>
      </c>
      <c r="K6111">
        <v>1</v>
      </c>
      <c r="L6111">
        <v>0</v>
      </c>
      <c r="M6111" t="s">
        <v>64</v>
      </c>
    </row>
    <row r="6112" spans="1:13" hidden="1" x14ac:dyDescent="0.15">
      <c r="A6112" t="s">
        <v>19158</v>
      </c>
      <c r="B6112" t="s">
        <v>19159</v>
      </c>
      <c r="C6112" t="s">
        <v>19160</v>
      </c>
      <c r="D6112" t="s">
        <v>19154</v>
      </c>
      <c r="E6112">
        <v>46</v>
      </c>
      <c r="F6112" t="str">
        <f>HYPERLINK("https://github.com/muxinc/mux-stats-sdk-exoplayer/issues/56", "show")</f>
        <v>show</v>
      </c>
      <c r="G6112" t="str">
        <f>HYPERLINK("https://github.com/muxinc/mux-stats-sdk-exoplayer", "show")</f>
        <v>show</v>
      </c>
      <c r="H6112" t="str">
        <f>HYPERLINK("https://github.com/muxinc/mux-stats-sdk-exoplayer/releases", "show")</f>
        <v>show</v>
      </c>
      <c r="I6112">
        <v>0</v>
      </c>
      <c r="J6112">
        <v>0</v>
      </c>
      <c r="K6112">
        <v>0</v>
      </c>
      <c r="L6112">
        <v>0</v>
      </c>
      <c r="M6112" t="s">
        <v>43</v>
      </c>
    </row>
    <row r="6113" spans="1:13" hidden="1" x14ac:dyDescent="0.15">
      <c r="A6113" t="s">
        <v>19161</v>
      </c>
      <c r="B6113" t="s">
        <v>19162</v>
      </c>
      <c r="C6113" t="s">
        <v>19163</v>
      </c>
      <c r="D6113" t="s">
        <v>19154</v>
      </c>
      <c r="E6113">
        <v>70</v>
      </c>
      <c r="F6113" t="str">
        <f>HYPERLINK("https://github.com/patzly/grocy-android/issues/214", "show")</f>
        <v>show</v>
      </c>
      <c r="G6113" t="str">
        <f>HYPERLINK("https://github.com/patzly/grocy-android", "show")</f>
        <v>show</v>
      </c>
      <c r="H6113" t="str">
        <f>HYPERLINK("https://github.com/patzly/grocy-android/releases", "show")</f>
        <v>show</v>
      </c>
      <c r="I6113">
        <v>1</v>
      </c>
      <c r="J6113">
        <v>0</v>
      </c>
      <c r="K6113">
        <v>0</v>
      </c>
      <c r="L6113">
        <v>0</v>
      </c>
      <c r="M6113" t="s">
        <v>17</v>
      </c>
    </row>
    <row r="6114" spans="1:13" hidden="1" x14ac:dyDescent="0.15">
      <c r="A6114" t="s">
        <v>19164</v>
      </c>
      <c r="B6114" t="s">
        <v>19165</v>
      </c>
      <c r="C6114" t="s">
        <v>19166</v>
      </c>
      <c r="D6114" t="s">
        <v>19154</v>
      </c>
      <c r="E6114">
        <v>0</v>
      </c>
      <c r="F6114" t="str">
        <f>HYPERLINK("https://github.com/Anuken/Mindustry/issues/3244", "show")</f>
        <v>show</v>
      </c>
      <c r="G6114" t="str">
        <f>HYPERLINK("https://github.com/Anuken/Mindustry", "show")</f>
        <v>show</v>
      </c>
      <c r="H6114" t="str">
        <f>HYPERLINK("https://github.com/Anuken/Mindustry/releases", "show")</f>
        <v>show</v>
      </c>
      <c r="I6114">
        <v>0</v>
      </c>
      <c r="J6114">
        <v>0</v>
      </c>
      <c r="K6114">
        <v>0</v>
      </c>
      <c r="L6114">
        <v>0</v>
      </c>
      <c r="M6114" t="s">
        <v>43</v>
      </c>
    </row>
    <row r="6115" spans="1:13" hidden="1" x14ac:dyDescent="0.15">
      <c r="A6115" t="s">
        <v>19167</v>
      </c>
      <c r="B6115" t="s">
        <v>19168</v>
      </c>
      <c r="C6115" t="s">
        <v>19169</v>
      </c>
      <c r="D6115" t="s">
        <v>19154</v>
      </c>
      <c r="E6115">
        <v>1</v>
      </c>
      <c r="F6115" t="str">
        <f>HYPERLINK("https://github.com/nextcloud/android/issues/7208", "show")</f>
        <v>show</v>
      </c>
      <c r="G6115" t="str">
        <f>HYPERLINK("https://github.com/nextcloud/android", "show")</f>
        <v>show</v>
      </c>
      <c r="H6115" t="str">
        <f>HYPERLINK("https://github.com/nextcloud/android/releases", "show")</f>
        <v>show</v>
      </c>
      <c r="I6115">
        <v>1</v>
      </c>
      <c r="J6115">
        <v>1</v>
      </c>
      <c r="K6115">
        <v>1</v>
      </c>
      <c r="L6115">
        <v>0</v>
      </c>
      <c r="M6115" t="s">
        <v>59</v>
      </c>
    </row>
    <row r="6116" spans="1:13" hidden="1" x14ac:dyDescent="0.15">
      <c r="A6116" t="s">
        <v>19170</v>
      </c>
      <c r="B6116" t="s">
        <v>19171</v>
      </c>
      <c r="C6116" t="s">
        <v>19172</v>
      </c>
      <c r="D6116" t="s">
        <v>19154</v>
      </c>
      <c r="E6116">
        <v>1</v>
      </c>
      <c r="F6116" t="str">
        <f>HYPERLINK("https://github.com/forrestguice/SuntimesWidget/issues/443", "show")</f>
        <v>show</v>
      </c>
      <c r="G6116" t="str">
        <f>HYPERLINK("https://github.com/forrestguice/SuntimesWidget", "show")</f>
        <v>show</v>
      </c>
      <c r="H6116" t="str">
        <f>HYPERLINK("https://github.com/forrestguice/SuntimesWidget/releases", "show")</f>
        <v>show</v>
      </c>
      <c r="I6116">
        <v>1</v>
      </c>
      <c r="J6116">
        <v>1</v>
      </c>
      <c r="K6116">
        <v>1</v>
      </c>
      <c r="L6116">
        <v>0</v>
      </c>
      <c r="M6116" t="s">
        <v>59</v>
      </c>
    </row>
    <row r="6117" spans="1:13" hidden="1" x14ac:dyDescent="0.15">
      <c r="A6117" t="s">
        <v>19173</v>
      </c>
      <c r="B6117" t="s">
        <v>19174</v>
      </c>
      <c r="C6117" t="s">
        <v>19175</v>
      </c>
      <c r="D6117" t="s">
        <v>19154</v>
      </c>
      <c r="E6117">
        <v>0</v>
      </c>
      <c r="F6117" t="str">
        <f>HYPERLINK("https://github.com/Anuken/Mindustry/issues/3240", "show")</f>
        <v>show</v>
      </c>
      <c r="G6117" t="str">
        <f>HYPERLINK("https://github.com/Anuken/Mindustry", "show")</f>
        <v>show</v>
      </c>
      <c r="H6117" t="str">
        <f>HYPERLINK("https://github.com/Anuken/Mindustry/releases", "show")</f>
        <v>show</v>
      </c>
      <c r="I6117">
        <v>1</v>
      </c>
      <c r="J6117">
        <v>0</v>
      </c>
      <c r="K6117">
        <v>0</v>
      </c>
      <c r="L6117">
        <v>0</v>
      </c>
      <c r="M6117" t="s">
        <v>17</v>
      </c>
    </row>
    <row r="6118" spans="1:13" hidden="1" x14ac:dyDescent="0.15">
      <c r="A6118" t="s">
        <v>19176</v>
      </c>
      <c r="B6118" t="s">
        <v>19177</v>
      </c>
      <c r="C6118" t="s">
        <v>19178</v>
      </c>
      <c r="D6118" t="s">
        <v>19179</v>
      </c>
      <c r="E6118">
        <v>0</v>
      </c>
      <c r="F6118" t="str">
        <f>HYPERLINK("https://github.com/Anuken/Mindustry/issues/3238", "show")</f>
        <v>show</v>
      </c>
      <c r="G6118" t="str">
        <f>HYPERLINK("https://github.com/Anuken/Mindustry", "show")</f>
        <v>show</v>
      </c>
      <c r="H6118" t="str">
        <f>HYPERLINK("https://github.com/Anuken/Mindustry/releases", "show")</f>
        <v>show</v>
      </c>
      <c r="I6118">
        <v>0</v>
      </c>
      <c r="J6118">
        <v>0</v>
      </c>
      <c r="K6118">
        <v>0</v>
      </c>
      <c r="L6118">
        <v>1</v>
      </c>
      <c r="M6118" t="s">
        <v>581</v>
      </c>
    </row>
    <row r="6119" spans="1:13" hidden="1" x14ac:dyDescent="0.15">
      <c r="A6119" t="s">
        <v>19180</v>
      </c>
      <c r="B6119" t="s">
        <v>19181</v>
      </c>
      <c r="C6119" t="s">
        <v>19182</v>
      </c>
      <c r="D6119" t="s">
        <v>19179</v>
      </c>
      <c r="E6119">
        <v>0</v>
      </c>
      <c r="F6119" t="str">
        <f>HYPERLINK("https://github.com/TeamNewPipe/NewPipe/issues/4760", "show")</f>
        <v>show</v>
      </c>
      <c r="G6119" t="str">
        <f>HYPERLINK("https://github.com/TeamNewPipe/NewPipe", "show")</f>
        <v>show</v>
      </c>
      <c r="H6119" t="str">
        <f>HYPERLINK("https://github.com/TeamNewPipe/NewPipe/releases", "show")</f>
        <v>show</v>
      </c>
      <c r="I6119">
        <v>1</v>
      </c>
      <c r="J6119">
        <v>0</v>
      </c>
      <c r="K6119">
        <v>1</v>
      </c>
      <c r="L6119">
        <v>0</v>
      </c>
      <c r="M6119" t="s">
        <v>64</v>
      </c>
    </row>
    <row r="6120" spans="1:13" hidden="1" x14ac:dyDescent="0.15">
      <c r="A6120" t="s">
        <v>19183</v>
      </c>
      <c r="B6120" t="s">
        <v>19184</v>
      </c>
      <c r="C6120" t="s">
        <v>19185</v>
      </c>
      <c r="D6120" t="s">
        <v>19179</v>
      </c>
      <c r="E6120">
        <v>3</v>
      </c>
      <c r="F6120" t="str">
        <f>HYPERLINK("https://github.com/nextcloud/android/issues/7199", "show")</f>
        <v>show</v>
      </c>
      <c r="G6120" t="str">
        <f>HYPERLINK("https://github.com/nextcloud/android", "show")</f>
        <v>show</v>
      </c>
      <c r="H6120" t="str">
        <f>HYPERLINK("https://github.com/nextcloud/android/releases", "show")</f>
        <v>show</v>
      </c>
      <c r="I6120">
        <v>1</v>
      </c>
      <c r="J6120">
        <v>1</v>
      </c>
      <c r="K6120">
        <v>1</v>
      </c>
      <c r="L6120">
        <v>0</v>
      </c>
      <c r="M6120" t="s">
        <v>59</v>
      </c>
    </row>
    <row r="6121" spans="1:13" x14ac:dyDescent="0.15">
      <c r="A6121" t="s">
        <v>19186</v>
      </c>
      <c r="B6121" t="s">
        <v>19187</v>
      </c>
      <c r="C6121" t="s">
        <v>19188</v>
      </c>
      <c r="D6121" t="s">
        <v>19179</v>
      </c>
      <c r="E6121">
        <v>0</v>
      </c>
      <c r="F6121" t="str">
        <f>HYPERLINK("https://github.com/Anuken/Mindustry/issues/3235", "show")</f>
        <v>show</v>
      </c>
      <c r="G6121" t="str">
        <f>HYPERLINK("https://github.com/Anuken/Mindustry", "show")</f>
        <v>show</v>
      </c>
      <c r="H6121" t="str">
        <f>HYPERLINK("https://github.com/Anuken/Mindustry/releases", "show")</f>
        <v>show</v>
      </c>
      <c r="I6121">
        <v>0</v>
      </c>
      <c r="J6121">
        <v>1</v>
      </c>
      <c r="K6121">
        <v>0</v>
      </c>
      <c r="L6121">
        <v>0</v>
      </c>
      <c r="M6121" t="s">
        <v>139</v>
      </c>
    </row>
    <row r="6122" spans="1:13" hidden="1" x14ac:dyDescent="0.15">
      <c r="A6122" t="s">
        <v>19189</v>
      </c>
      <c r="B6122" t="s">
        <v>19190</v>
      </c>
      <c r="C6122" t="s">
        <v>19191</v>
      </c>
      <c r="D6122" t="s">
        <v>19179</v>
      </c>
      <c r="E6122">
        <v>40</v>
      </c>
      <c r="F6122" t="str">
        <f>HYPERLINK("https://github.com/MuntashirAkon/AppManager/issues/140", "show")</f>
        <v>show</v>
      </c>
      <c r="G6122" t="str">
        <f>HYPERLINK("https://github.com/MuntashirAkon/AppManager", "show")</f>
        <v>show</v>
      </c>
      <c r="H6122" t="str">
        <f>HYPERLINK("https://github.com/MuntashirAkon/AppManager/releases", "show")</f>
        <v>show</v>
      </c>
      <c r="I6122">
        <v>0</v>
      </c>
      <c r="J6122">
        <v>1</v>
      </c>
      <c r="K6122">
        <v>0</v>
      </c>
      <c r="L6122">
        <v>1</v>
      </c>
      <c r="M6122" t="s">
        <v>1732</v>
      </c>
    </row>
    <row r="6123" spans="1:13" hidden="1" x14ac:dyDescent="0.15">
      <c r="A6123" t="s">
        <v>19192</v>
      </c>
      <c r="B6123" t="s">
        <v>19193</v>
      </c>
      <c r="C6123" t="s">
        <v>19194</v>
      </c>
      <c r="D6123" t="s">
        <v>19179</v>
      </c>
      <c r="E6123">
        <v>2</v>
      </c>
      <c r="F6123" t="str">
        <f>HYPERLINK("https://github.com/OpenTracksApp/OpenTracks/issues/491", "show")</f>
        <v>show</v>
      </c>
      <c r="G6123" t="str">
        <f>HYPERLINK("https://github.com/OpenTracksApp/OpenTracks", "show")</f>
        <v>show</v>
      </c>
      <c r="H6123" t="str">
        <f>HYPERLINK("https://github.com/OpenTracksApp/OpenTracks/releases", "show")</f>
        <v>show</v>
      </c>
      <c r="I6123">
        <v>1</v>
      </c>
      <c r="J6123">
        <v>1</v>
      </c>
      <c r="K6123">
        <v>0</v>
      </c>
      <c r="L6123">
        <v>0</v>
      </c>
      <c r="M6123" t="s">
        <v>48</v>
      </c>
    </row>
    <row r="6124" spans="1:13" hidden="1" x14ac:dyDescent="0.15">
      <c r="A6124" t="s">
        <v>19195</v>
      </c>
      <c r="B6124" t="s">
        <v>19196</v>
      </c>
      <c r="C6124" t="s">
        <v>19197</v>
      </c>
      <c r="D6124" t="s">
        <v>19179</v>
      </c>
      <c r="E6124">
        <v>116</v>
      </c>
      <c r="F6124" t="str">
        <f>HYPERLINK("https://github.com/nextcloud/android/issues/7196", "show")</f>
        <v>show</v>
      </c>
      <c r="G6124" t="str">
        <f>HYPERLINK("https://github.com/nextcloud/android", "show")</f>
        <v>show</v>
      </c>
      <c r="H6124" t="str">
        <f>HYPERLINK("https://github.com/nextcloud/android/releases", "show")</f>
        <v>show</v>
      </c>
      <c r="I6124">
        <v>1</v>
      </c>
      <c r="J6124">
        <v>0</v>
      </c>
      <c r="K6124">
        <v>0</v>
      </c>
      <c r="L6124">
        <v>0</v>
      </c>
      <c r="M6124" t="s">
        <v>17</v>
      </c>
    </row>
    <row r="6125" spans="1:13" hidden="1" x14ac:dyDescent="0.15">
      <c r="A6125" t="s">
        <v>19198</v>
      </c>
      <c r="B6125" t="s">
        <v>19199</v>
      </c>
      <c r="C6125" t="s">
        <v>19200</v>
      </c>
      <c r="D6125" t="s">
        <v>19179</v>
      </c>
      <c r="E6125">
        <v>1</v>
      </c>
      <c r="F6125" t="str">
        <f>HYPERLINK("https://github.com/cgeo/cgeo/issues/9327", "show")</f>
        <v>show</v>
      </c>
      <c r="G6125" t="str">
        <f>HYPERLINK("https://github.com/cgeo/cgeo", "show")</f>
        <v>show</v>
      </c>
      <c r="H6125" t="str">
        <f>HYPERLINK("https://github.com/cgeo/cgeo/releases", "show")</f>
        <v>show</v>
      </c>
      <c r="I6125">
        <v>0</v>
      </c>
      <c r="J6125">
        <v>0</v>
      </c>
      <c r="K6125">
        <v>1</v>
      </c>
      <c r="L6125">
        <v>0</v>
      </c>
      <c r="M6125" t="s">
        <v>122</v>
      </c>
    </row>
    <row r="6126" spans="1:13" hidden="1" x14ac:dyDescent="0.15">
      <c r="A6126" t="s">
        <v>19201</v>
      </c>
      <c r="B6126" t="s">
        <v>19202</v>
      </c>
      <c r="C6126" t="s">
        <v>19203</v>
      </c>
      <c r="D6126" t="s">
        <v>19179</v>
      </c>
      <c r="E6126">
        <v>10</v>
      </c>
      <c r="F6126" t="str">
        <f>HYPERLINK("https://github.com/nextcloud/android/issues/7193", "show")</f>
        <v>show</v>
      </c>
      <c r="G6126" t="str">
        <f>HYPERLINK("https://github.com/nextcloud/android", "show")</f>
        <v>show</v>
      </c>
      <c r="H6126" t="str">
        <f>HYPERLINK("https://github.com/nextcloud/android/releases", "show")</f>
        <v>show</v>
      </c>
      <c r="I6126">
        <v>1</v>
      </c>
      <c r="J6126">
        <v>1</v>
      </c>
      <c r="K6126">
        <v>1</v>
      </c>
      <c r="L6126">
        <v>0</v>
      </c>
      <c r="M6126" t="s">
        <v>59</v>
      </c>
    </row>
    <row r="6127" spans="1:13" hidden="1" x14ac:dyDescent="0.15">
      <c r="A6127" t="s">
        <v>19204</v>
      </c>
      <c r="B6127" t="s">
        <v>19205</v>
      </c>
      <c r="C6127" t="s">
        <v>19206</v>
      </c>
      <c r="D6127" t="s">
        <v>19179</v>
      </c>
      <c r="E6127">
        <v>0</v>
      </c>
      <c r="F6127" t="str">
        <f>HYPERLINK("https://github.com/Anuken/Mindustry/issues/3224", "show")</f>
        <v>show</v>
      </c>
      <c r="G6127" t="str">
        <f>HYPERLINK("https://github.com/Anuken/Mindustry", "show")</f>
        <v>show</v>
      </c>
      <c r="H6127" t="str">
        <f>HYPERLINK("https://github.com/Anuken/Mindustry/releases", "show")</f>
        <v>show</v>
      </c>
      <c r="I6127">
        <v>0</v>
      </c>
      <c r="J6127">
        <v>0</v>
      </c>
      <c r="K6127">
        <v>0</v>
      </c>
      <c r="L6127">
        <v>0</v>
      </c>
      <c r="M6127" t="s">
        <v>43</v>
      </c>
    </row>
    <row r="6128" spans="1:13" hidden="1" x14ac:dyDescent="0.15">
      <c r="A6128" t="s">
        <v>19207</v>
      </c>
      <c r="B6128" t="s">
        <v>19208</v>
      </c>
      <c r="C6128" t="s">
        <v>18853</v>
      </c>
      <c r="D6128" t="s">
        <v>19179</v>
      </c>
      <c r="E6128">
        <v>0</v>
      </c>
      <c r="F6128" t="str">
        <f>HYPERLINK("https://github.com/Anuken/Mindustry/issues/3223", "show")</f>
        <v>show</v>
      </c>
      <c r="G6128" t="str">
        <f>HYPERLINK("https://github.com/Anuken/Mindustry", "show")</f>
        <v>show</v>
      </c>
      <c r="H6128" t="str">
        <f>HYPERLINK("https://github.com/Anuken/Mindustry/releases", "show")</f>
        <v>show</v>
      </c>
      <c r="I6128">
        <v>0</v>
      </c>
      <c r="J6128">
        <v>0</v>
      </c>
      <c r="K6128">
        <v>0</v>
      </c>
      <c r="L6128">
        <v>0</v>
      </c>
      <c r="M6128" t="s">
        <v>43</v>
      </c>
    </row>
    <row r="6129" spans="1:13" hidden="1" x14ac:dyDescent="0.15">
      <c r="A6129" t="s">
        <v>19209</v>
      </c>
      <c r="B6129" t="s">
        <v>19210</v>
      </c>
      <c r="C6129" t="s">
        <v>19211</v>
      </c>
      <c r="D6129" t="s">
        <v>19179</v>
      </c>
      <c r="E6129">
        <v>29</v>
      </c>
      <c r="F6129" t="str">
        <f>HYPERLINK("https://github.com/Berjin/track-and-trigger/issues/1", "show")</f>
        <v>show</v>
      </c>
      <c r="G6129" t="str">
        <f>HYPERLINK("https://github.com/Berjin/track-and-trigger", "show")</f>
        <v>show</v>
      </c>
      <c r="H6129" t="str">
        <f>HYPERLINK("https://github.com/Berjin/track-and-trigger/releases", "show")</f>
        <v>show</v>
      </c>
      <c r="I6129">
        <v>1</v>
      </c>
      <c r="J6129">
        <v>0</v>
      </c>
      <c r="K6129">
        <v>0</v>
      </c>
      <c r="L6129">
        <v>0</v>
      </c>
      <c r="M6129" t="s">
        <v>17</v>
      </c>
    </row>
    <row r="6130" spans="1:13" hidden="1" x14ac:dyDescent="0.15">
      <c r="A6130" t="s">
        <v>19212</v>
      </c>
      <c r="B6130" t="s">
        <v>19213</v>
      </c>
      <c r="C6130" t="s">
        <v>19214</v>
      </c>
      <c r="D6130" t="s">
        <v>19179</v>
      </c>
      <c r="E6130">
        <v>0</v>
      </c>
      <c r="F6130" t="str">
        <f>HYPERLINK("https://github.com/AOF-Dev/MCinaBox/issues/628", "show")</f>
        <v>show</v>
      </c>
      <c r="G6130" t="str">
        <f>HYPERLINK("https://github.com/AOF-Dev/MCinaBox", "show")</f>
        <v>show</v>
      </c>
      <c r="H6130" t="str">
        <f>HYPERLINK("https://github.com/AOF-Dev/MCinaBox/releases", "show")</f>
        <v>show</v>
      </c>
      <c r="I6130">
        <v>1</v>
      </c>
      <c r="J6130">
        <v>0</v>
      </c>
      <c r="K6130">
        <v>0</v>
      </c>
      <c r="L6130">
        <v>0</v>
      </c>
      <c r="M6130" t="s">
        <v>17</v>
      </c>
    </row>
    <row r="6131" spans="1:13" hidden="1" x14ac:dyDescent="0.15">
      <c r="A6131" t="s">
        <v>19215</v>
      </c>
      <c r="B6131" t="s">
        <v>19216</v>
      </c>
      <c r="C6131" t="s">
        <v>19217</v>
      </c>
      <c r="D6131" t="s">
        <v>19179</v>
      </c>
      <c r="E6131">
        <v>0</v>
      </c>
      <c r="F6131" t="str">
        <f>HYPERLINK("https://github.com/Anuken/Mindustry/issues/3222", "show")</f>
        <v>show</v>
      </c>
      <c r="G6131" t="str">
        <f>HYPERLINK("https://github.com/Anuken/Mindustry", "show")</f>
        <v>show</v>
      </c>
      <c r="H6131" t="str">
        <f>HYPERLINK("https://github.com/Anuken/Mindustry/releases", "show")</f>
        <v>show</v>
      </c>
      <c r="I6131">
        <v>0</v>
      </c>
      <c r="J6131">
        <v>1</v>
      </c>
      <c r="K6131">
        <v>0</v>
      </c>
      <c r="L6131">
        <v>1</v>
      </c>
      <c r="M6131" t="s">
        <v>1732</v>
      </c>
    </row>
    <row r="6132" spans="1:13" x14ac:dyDescent="0.15">
      <c r="A6132" t="s">
        <v>19218</v>
      </c>
      <c r="B6132" t="s">
        <v>19219</v>
      </c>
      <c r="C6132" t="s">
        <v>19220</v>
      </c>
      <c r="D6132" t="s">
        <v>19179</v>
      </c>
      <c r="E6132">
        <v>0</v>
      </c>
      <c r="F6132" t="str">
        <f>HYPERLINK("https://github.com/Anuken/Mindustry/issues/3220", "show")</f>
        <v>show</v>
      </c>
      <c r="G6132" t="str">
        <f>HYPERLINK("https://github.com/Anuken/Mindustry", "show")</f>
        <v>show</v>
      </c>
      <c r="H6132" t="str">
        <f>HYPERLINK("https://github.com/Anuken/Mindustry/releases", "show")</f>
        <v>show</v>
      </c>
      <c r="I6132">
        <v>0</v>
      </c>
      <c r="J6132">
        <v>1</v>
      </c>
      <c r="K6132">
        <v>0</v>
      </c>
      <c r="L6132">
        <v>0</v>
      </c>
      <c r="M6132" t="s">
        <v>139</v>
      </c>
    </row>
    <row r="6133" spans="1:13" hidden="1" x14ac:dyDescent="0.15">
      <c r="A6133" t="s">
        <v>19221</v>
      </c>
      <c r="B6133" t="s">
        <v>19222</v>
      </c>
      <c r="C6133" t="s">
        <v>19223</v>
      </c>
      <c r="D6133" t="s">
        <v>19179</v>
      </c>
      <c r="E6133">
        <v>0</v>
      </c>
      <c r="F6133" t="str">
        <f>HYPERLINK("https://github.com/TeamNewPipe/NewPipe/issues/4746", "show")</f>
        <v>show</v>
      </c>
      <c r="G6133" t="str">
        <f>HYPERLINK("https://github.com/TeamNewPipe/NewPipe", "show")</f>
        <v>show</v>
      </c>
      <c r="H6133" t="str">
        <f>HYPERLINK("https://github.com/TeamNewPipe/NewPipe/releases", "show")</f>
        <v>show</v>
      </c>
      <c r="I6133">
        <v>1</v>
      </c>
      <c r="J6133">
        <v>1</v>
      </c>
      <c r="K6133">
        <v>1</v>
      </c>
      <c r="L6133">
        <v>0</v>
      </c>
      <c r="M6133" t="s">
        <v>59</v>
      </c>
    </row>
    <row r="6134" spans="1:13" hidden="1" x14ac:dyDescent="0.15">
      <c r="A6134" t="s">
        <v>19224</v>
      </c>
      <c r="B6134" t="s">
        <v>19225</v>
      </c>
      <c r="C6134" t="s">
        <v>12185</v>
      </c>
      <c r="D6134" t="s">
        <v>19179</v>
      </c>
      <c r="E6134">
        <v>2</v>
      </c>
      <c r="F6134" t="str">
        <f>HYPERLINK("https://github.com/nextcloud/android/issues/7191", "show")</f>
        <v>show</v>
      </c>
      <c r="G6134" t="str">
        <f>HYPERLINK("https://github.com/nextcloud/android", "show")</f>
        <v>show</v>
      </c>
      <c r="H6134" t="str">
        <f>HYPERLINK("https://github.com/nextcloud/android/releases", "show")</f>
        <v>show</v>
      </c>
      <c r="I6134">
        <v>0</v>
      </c>
      <c r="J6134">
        <v>0</v>
      </c>
      <c r="K6134">
        <v>1</v>
      </c>
      <c r="L6134">
        <v>0</v>
      </c>
      <c r="M6134" t="s">
        <v>122</v>
      </c>
    </row>
    <row r="6135" spans="1:13" hidden="1" x14ac:dyDescent="0.15">
      <c r="A6135" t="s">
        <v>19226</v>
      </c>
      <c r="B6135" t="s">
        <v>16682</v>
      </c>
      <c r="C6135" t="s">
        <v>19227</v>
      </c>
      <c r="D6135" t="s">
        <v>19179</v>
      </c>
      <c r="E6135">
        <v>0</v>
      </c>
      <c r="F6135" t="str">
        <f>HYPERLINK("https://github.com/Anuken/Mindustry/issues/3216", "show")</f>
        <v>show</v>
      </c>
      <c r="G6135" t="str">
        <f>HYPERLINK("https://github.com/Anuken/Mindustry", "show")</f>
        <v>show</v>
      </c>
      <c r="H6135" t="str">
        <f>HYPERLINK("https://github.com/Anuken/Mindustry/releases", "show")</f>
        <v>show</v>
      </c>
      <c r="I6135">
        <v>0</v>
      </c>
      <c r="J6135">
        <v>0</v>
      </c>
      <c r="K6135">
        <v>0</v>
      </c>
      <c r="L6135">
        <v>0</v>
      </c>
      <c r="M6135" t="s">
        <v>43</v>
      </c>
    </row>
    <row r="6136" spans="1:13" hidden="1" x14ac:dyDescent="0.15">
      <c r="A6136" t="s">
        <v>19228</v>
      </c>
      <c r="B6136" t="s">
        <v>19229</v>
      </c>
      <c r="C6136" t="s">
        <v>19230</v>
      </c>
      <c r="D6136" t="s">
        <v>19231</v>
      </c>
      <c r="E6136">
        <v>1</v>
      </c>
      <c r="F6136" t="str">
        <f>HYPERLINK("https://github.com/k9mail/k-9/issues/5035", "show")</f>
        <v>show</v>
      </c>
      <c r="G6136" t="str">
        <f>HYPERLINK("https://github.com/k9mail/k-9", "show")</f>
        <v>show</v>
      </c>
      <c r="H6136" t="str">
        <f>HYPERLINK("https://github.com/k9mail/k-9/releases", "show")</f>
        <v>show</v>
      </c>
      <c r="I6136">
        <v>1</v>
      </c>
      <c r="J6136">
        <v>1</v>
      </c>
      <c r="K6136">
        <v>0</v>
      </c>
      <c r="L6136">
        <v>0</v>
      </c>
      <c r="M6136" t="s">
        <v>48</v>
      </c>
    </row>
    <row r="6137" spans="1:13" hidden="1" x14ac:dyDescent="0.15">
      <c r="A6137" t="s">
        <v>19232</v>
      </c>
      <c r="B6137" t="s">
        <v>19233</v>
      </c>
      <c r="C6137" t="s">
        <v>18853</v>
      </c>
      <c r="D6137" t="s">
        <v>19231</v>
      </c>
      <c r="E6137">
        <v>0</v>
      </c>
      <c r="F6137" t="str">
        <f>HYPERLINK("https://github.com/Anuken/Mindustry/issues/3212", "show")</f>
        <v>show</v>
      </c>
      <c r="G6137" t="str">
        <f>HYPERLINK("https://github.com/Anuken/Mindustry", "show")</f>
        <v>show</v>
      </c>
      <c r="H6137" t="str">
        <f>HYPERLINK("https://github.com/Anuken/Mindustry/releases", "show")</f>
        <v>show</v>
      </c>
      <c r="I6137">
        <v>0</v>
      </c>
      <c r="J6137">
        <v>0</v>
      </c>
      <c r="K6137">
        <v>0</v>
      </c>
      <c r="L6137">
        <v>0</v>
      </c>
      <c r="M6137" t="s">
        <v>43</v>
      </c>
    </row>
    <row r="6138" spans="1:13" hidden="1" x14ac:dyDescent="0.15">
      <c r="A6138" t="s">
        <v>19234</v>
      </c>
      <c r="B6138" t="s">
        <v>19235</v>
      </c>
      <c r="C6138" t="s">
        <v>12185</v>
      </c>
      <c r="D6138" t="s">
        <v>19231</v>
      </c>
      <c r="E6138">
        <v>117</v>
      </c>
      <c r="F6138" t="str">
        <f>HYPERLINK("https://github.com/nextcloud/android/issues/7190", "show")</f>
        <v>show</v>
      </c>
      <c r="G6138" t="str">
        <f>HYPERLINK("https://github.com/nextcloud/android", "show")</f>
        <v>show</v>
      </c>
      <c r="H6138" t="str">
        <f>HYPERLINK("https://github.com/nextcloud/android/releases", "show")</f>
        <v>show</v>
      </c>
      <c r="I6138">
        <v>0</v>
      </c>
      <c r="J6138">
        <v>0</v>
      </c>
      <c r="K6138">
        <v>1</v>
      </c>
      <c r="L6138">
        <v>0</v>
      </c>
      <c r="M6138" t="s">
        <v>122</v>
      </c>
    </row>
    <row r="6139" spans="1:13" hidden="1" x14ac:dyDescent="0.15">
      <c r="A6139" t="s">
        <v>19236</v>
      </c>
      <c r="B6139" t="s">
        <v>19237</v>
      </c>
      <c r="C6139" t="s">
        <v>19238</v>
      </c>
      <c r="D6139" t="s">
        <v>19231</v>
      </c>
      <c r="E6139">
        <v>0</v>
      </c>
      <c r="F6139" t="str">
        <f>HYPERLINK("https://github.com/Anuken/Mindustry/issues/3206", "show")</f>
        <v>show</v>
      </c>
      <c r="G6139" t="str">
        <f>HYPERLINK("https://github.com/Anuken/Mindustry", "show")</f>
        <v>show</v>
      </c>
      <c r="H6139" t="str">
        <f>HYPERLINK("https://github.com/Anuken/Mindustry/releases", "show")</f>
        <v>show</v>
      </c>
      <c r="I6139">
        <v>0</v>
      </c>
      <c r="J6139">
        <v>0</v>
      </c>
      <c r="K6139">
        <v>0</v>
      </c>
      <c r="L6139">
        <v>1</v>
      </c>
      <c r="M6139" t="s">
        <v>581</v>
      </c>
    </row>
    <row r="6140" spans="1:13" hidden="1" x14ac:dyDescent="0.15">
      <c r="A6140" t="s">
        <v>19239</v>
      </c>
      <c r="B6140" t="s">
        <v>19240</v>
      </c>
      <c r="C6140" t="s">
        <v>19241</v>
      </c>
      <c r="D6140" t="s">
        <v>19231</v>
      </c>
      <c r="E6140">
        <v>0</v>
      </c>
      <c r="F6140" t="str">
        <f>HYPERLINK("https://github.com/Anuken/Mindustry/issues/3205", "show")</f>
        <v>show</v>
      </c>
      <c r="G6140" t="str">
        <f>HYPERLINK("https://github.com/Anuken/Mindustry", "show")</f>
        <v>show</v>
      </c>
      <c r="H6140" t="str">
        <f>HYPERLINK("https://github.com/Anuken/Mindustry/releases", "show")</f>
        <v>show</v>
      </c>
      <c r="I6140">
        <v>0</v>
      </c>
      <c r="J6140">
        <v>0</v>
      </c>
      <c r="K6140">
        <v>0</v>
      </c>
      <c r="L6140">
        <v>0</v>
      </c>
      <c r="M6140" t="s">
        <v>43</v>
      </c>
    </row>
    <row r="6141" spans="1:13" x14ac:dyDescent="0.15">
      <c r="A6141" t="s">
        <v>19242</v>
      </c>
      <c r="B6141" t="s">
        <v>19243</v>
      </c>
      <c r="C6141" t="s">
        <v>19244</v>
      </c>
      <c r="D6141" t="s">
        <v>19231</v>
      </c>
      <c r="E6141">
        <v>0</v>
      </c>
      <c r="F6141" t="str">
        <f>HYPERLINK("https://github.com/Anuken/Mindustry/issues/3203", "show")</f>
        <v>show</v>
      </c>
      <c r="G6141" t="str">
        <f>HYPERLINK("https://github.com/Anuken/Mindustry", "show")</f>
        <v>show</v>
      </c>
      <c r="H6141" t="str">
        <f>HYPERLINK("https://github.com/Anuken/Mindustry/releases", "show")</f>
        <v>show</v>
      </c>
      <c r="I6141">
        <v>0</v>
      </c>
      <c r="J6141">
        <v>1</v>
      </c>
      <c r="K6141">
        <v>0</v>
      </c>
      <c r="L6141">
        <v>0</v>
      </c>
      <c r="M6141" t="s">
        <v>139</v>
      </c>
    </row>
    <row r="6142" spans="1:13" hidden="1" x14ac:dyDescent="0.15">
      <c r="A6142" t="s">
        <v>19245</v>
      </c>
      <c r="B6142" t="s">
        <v>19246</v>
      </c>
      <c r="C6142" t="s">
        <v>19247</v>
      </c>
      <c r="D6142" t="s">
        <v>19231</v>
      </c>
      <c r="E6142">
        <v>21</v>
      </c>
      <c r="F6142" t="str">
        <f>HYPERLINK("https://github.com/AOF-Dev/MCinaBox/issues/622", "show")</f>
        <v>show</v>
      </c>
      <c r="G6142" t="str">
        <f>HYPERLINK("https://github.com/AOF-Dev/MCinaBox", "show")</f>
        <v>show</v>
      </c>
      <c r="H6142" t="str">
        <f>HYPERLINK("https://github.com/AOF-Dev/MCinaBox/releases", "show")</f>
        <v>show</v>
      </c>
      <c r="I6142">
        <v>1</v>
      </c>
      <c r="J6142">
        <v>1</v>
      </c>
      <c r="K6142">
        <v>0</v>
      </c>
      <c r="L6142">
        <v>0</v>
      </c>
      <c r="M6142" t="s">
        <v>48</v>
      </c>
    </row>
    <row r="6143" spans="1:13" hidden="1" x14ac:dyDescent="0.15">
      <c r="A6143" t="s">
        <v>19248</v>
      </c>
      <c r="B6143" t="s">
        <v>19249</v>
      </c>
      <c r="C6143" t="s">
        <v>19250</v>
      </c>
      <c r="D6143" t="s">
        <v>19231</v>
      </c>
      <c r="E6143">
        <v>0</v>
      </c>
      <c r="F6143" t="str">
        <f>HYPERLINK("https://github.com/Anuken/Mindustry/issues/3200", "show")</f>
        <v>show</v>
      </c>
      <c r="G6143" t="str">
        <f>HYPERLINK("https://github.com/Anuken/Mindustry", "show")</f>
        <v>show</v>
      </c>
      <c r="H6143" t="str">
        <f>HYPERLINK("https://github.com/Anuken/Mindustry/releases", "show")</f>
        <v>show</v>
      </c>
      <c r="I6143">
        <v>0</v>
      </c>
      <c r="J6143">
        <v>0</v>
      </c>
      <c r="K6143">
        <v>0</v>
      </c>
      <c r="L6143">
        <v>1</v>
      </c>
      <c r="M6143" t="s">
        <v>581</v>
      </c>
    </row>
    <row r="6144" spans="1:13" hidden="1" x14ac:dyDescent="0.15">
      <c r="A6144" t="s">
        <v>19251</v>
      </c>
      <c r="B6144" t="s">
        <v>19252</v>
      </c>
      <c r="C6144" t="s">
        <v>19253</v>
      </c>
      <c r="D6144" t="s">
        <v>19231</v>
      </c>
      <c r="E6144">
        <v>0</v>
      </c>
      <c r="F6144" t="str">
        <f>HYPERLINK("https://github.com/Anuken/Mindustry/issues/3198", "show")</f>
        <v>show</v>
      </c>
      <c r="G6144" t="str">
        <f>HYPERLINK("https://github.com/Anuken/Mindustry", "show")</f>
        <v>show</v>
      </c>
      <c r="H6144" t="str">
        <f>HYPERLINK("https://github.com/Anuken/Mindustry/releases", "show")</f>
        <v>show</v>
      </c>
      <c r="I6144">
        <v>0</v>
      </c>
      <c r="J6144">
        <v>0</v>
      </c>
      <c r="K6144">
        <v>0</v>
      </c>
      <c r="L6144">
        <v>0</v>
      </c>
      <c r="M6144" t="s">
        <v>43</v>
      </c>
    </row>
    <row r="6145" spans="1:13" hidden="1" x14ac:dyDescent="0.15">
      <c r="A6145" t="s">
        <v>19254</v>
      </c>
      <c r="B6145" t="s">
        <v>19255</v>
      </c>
      <c r="C6145" t="s">
        <v>19256</v>
      </c>
      <c r="D6145" t="s">
        <v>19231</v>
      </c>
      <c r="E6145">
        <v>0</v>
      </c>
      <c r="F6145" t="str">
        <f>HYPERLINK("https://github.com/Anuken/Mindustry/issues/3197", "show")</f>
        <v>show</v>
      </c>
      <c r="G6145" t="str">
        <f>HYPERLINK("https://github.com/Anuken/Mindustry", "show")</f>
        <v>show</v>
      </c>
      <c r="H6145" t="str">
        <f>HYPERLINK("https://github.com/Anuken/Mindustry/releases", "show")</f>
        <v>show</v>
      </c>
      <c r="I6145">
        <v>0</v>
      </c>
      <c r="J6145">
        <v>0</v>
      </c>
      <c r="K6145">
        <v>0</v>
      </c>
      <c r="L6145">
        <v>0</v>
      </c>
      <c r="M6145" t="s">
        <v>43</v>
      </c>
    </row>
    <row r="6146" spans="1:13" hidden="1" x14ac:dyDescent="0.15">
      <c r="A6146" t="s">
        <v>19257</v>
      </c>
      <c r="B6146" t="s">
        <v>19258</v>
      </c>
      <c r="C6146" t="s">
        <v>19259</v>
      </c>
      <c r="D6146" t="s">
        <v>19231</v>
      </c>
      <c r="E6146">
        <v>1</v>
      </c>
      <c r="F6146" t="str">
        <f>HYPERLINK("https://github.com/oliexdev/openWorkout/issues/17", "show")</f>
        <v>show</v>
      </c>
      <c r="G6146" t="str">
        <f>HYPERLINK("https://github.com/oliexdev/openWorkout", "show")</f>
        <v>show</v>
      </c>
      <c r="H6146" t="str">
        <f>HYPERLINK("https://github.com/oliexdev/openWorkout/releases", "show")</f>
        <v>show</v>
      </c>
      <c r="I6146">
        <v>1</v>
      </c>
      <c r="J6146">
        <v>1</v>
      </c>
      <c r="K6146">
        <v>1</v>
      </c>
      <c r="L6146">
        <v>0</v>
      </c>
      <c r="M6146" t="s">
        <v>59</v>
      </c>
    </row>
    <row r="6147" spans="1:13" x14ac:dyDescent="0.15">
      <c r="A6147" t="s">
        <v>19260</v>
      </c>
      <c r="B6147" t="s">
        <v>141</v>
      </c>
      <c r="C6147" t="s">
        <v>19261</v>
      </c>
      <c r="D6147" t="s">
        <v>19231</v>
      </c>
      <c r="E6147">
        <v>0</v>
      </c>
      <c r="F6147" t="str">
        <f>HYPERLINK("https://github.com/Anuken/Mindustry/issues/3196", "show")</f>
        <v>show</v>
      </c>
      <c r="G6147" t="str">
        <f>HYPERLINK("https://github.com/Anuken/Mindustry", "show")</f>
        <v>show</v>
      </c>
      <c r="H6147" t="str">
        <f>HYPERLINK("https://github.com/Anuken/Mindustry/releases", "show")</f>
        <v>show</v>
      </c>
      <c r="I6147">
        <v>0</v>
      </c>
      <c r="J6147">
        <v>1</v>
      </c>
      <c r="K6147">
        <v>0</v>
      </c>
      <c r="L6147">
        <v>0</v>
      </c>
      <c r="M6147" t="s">
        <v>139</v>
      </c>
    </row>
    <row r="6148" spans="1:13" x14ac:dyDescent="0.15">
      <c r="A6148" t="s">
        <v>19262</v>
      </c>
      <c r="B6148" t="s">
        <v>19263</v>
      </c>
      <c r="C6148" t="s">
        <v>19264</v>
      </c>
      <c r="D6148" t="s">
        <v>19231</v>
      </c>
      <c r="E6148">
        <v>25</v>
      </c>
      <c r="F6148" t="str">
        <f>HYPERLINK("https://github.com/aws-amplify/amplify-android/issues/944", "show")</f>
        <v>show</v>
      </c>
      <c r="G6148" t="str">
        <f>HYPERLINK("https://github.com/aws-amplify/amplify-android", "show")</f>
        <v>show</v>
      </c>
      <c r="H6148" t="str">
        <f>HYPERLINK("https://github.com/aws-amplify/amplify-android/releases", "show")</f>
        <v>show</v>
      </c>
      <c r="I6148">
        <v>0</v>
      </c>
      <c r="J6148">
        <v>1</v>
      </c>
      <c r="K6148">
        <v>0</v>
      </c>
      <c r="L6148">
        <v>0</v>
      </c>
      <c r="M6148" t="s">
        <v>139</v>
      </c>
    </row>
    <row r="6149" spans="1:13" hidden="1" x14ac:dyDescent="0.15">
      <c r="A6149" t="s">
        <v>19265</v>
      </c>
      <c r="B6149" t="s">
        <v>19266</v>
      </c>
      <c r="C6149" t="s">
        <v>19267</v>
      </c>
      <c r="D6149" t="s">
        <v>19231</v>
      </c>
      <c r="E6149">
        <v>7</v>
      </c>
      <c r="F6149" t="str">
        <f>HYPERLINK("https://github.com/cgeo/cgeo/issues/9318", "show")</f>
        <v>show</v>
      </c>
      <c r="G6149" t="str">
        <f>HYPERLINK("https://github.com/cgeo/cgeo", "show")</f>
        <v>show</v>
      </c>
      <c r="H6149" t="str">
        <f>HYPERLINK("https://github.com/cgeo/cgeo/releases", "show")</f>
        <v>show</v>
      </c>
      <c r="I6149">
        <v>1</v>
      </c>
      <c r="J6149">
        <v>1</v>
      </c>
      <c r="K6149">
        <v>0</v>
      </c>
      <c r="L6149">
        <v>1</v>
      </c>
      <c r="M6149" t="s">
        <v>1894</v>
      </c>
    </row>
    <row r="6150" spans="1:13" hidden="1" x14ac:dyDescent="0.15">
      <c r="A6150" t="s">
        <v>19268</v>
      </c>
      <c r="B6150" t="s">
        <v>19269</v>
      </c>
      <c r="C6150" t="s">
        <v>19270</v>
      </c>
      <c r="D6150" t="s">
        <v>19271</v>
      </c>
      <c r="E6150">
        <v>4</v>
      </c>
      <c r="F6150" t="str">
        <f>HYPERLINK("https://github.com/nextcloud/android/issues/7187", "show")</f>
        <v>show</v>
      </c>
      <c r="G6150" t="str">
        <f>HYPERLINK("https://github.com/nextcloud/android", "show")</f>
        <v>show</v>
      </c>
      <c r="H6150" t="str">
        <f>HYPERLINK("https://github.com/nextcloud/android/releases", "show")</f>
        <v>show</v>
      </c>
      <c r="I6150">
        <v>1</v>
      </c>
      <c r="J6150">
        <v>1</v>
      </c>
      <c r="K6150">
        <v>1</v>
      </c>
      <c r="L6150">
        <v>0</v>
      </c>
      <c r="M6150" t="s">
        <v>59</v>
      </c>
    </row>
    <row r="6151" spans="1:13" hidden="1" x14ac:dyDescent="0.15">
      <c r="A6151" t="s">
        <v>19272</v>
      </c>
      <c r="B6151" t="s">
        <v>19273</v>
      </c>
      <c r="C6151" t="s">
        <v>19274</v>
      </c>
      <c r="D6151" t="s">
        <v>19271</v>
      </c>
      <c r="E6151">
        <v>12</v>
      </c>
      <c r="F6151" t="str">
        <f>HYPERLINK("https://github.com/nextcloud/android/issues/7185", "show")</f>
        <v>show</v>
      </c>
      <c r="G6151" t="str">
        <f>HYPERLINK("https://github.com/nextcloud/android", "show")</f>
        <v>show</v>
      </c>
      <c r="H6151" t="str">
        <f>HYPERLINK("https://github.com/nextcloud/android/releases", "show")</f>
        <v>show</v>
      </c>
      <c r="I6151">
        <v>1</v>
      </c>
      <c r="J6151">
        <v>0</v>
      </c>
      <c r="K6151">
        <v>1</v>
      </c>
      <c r="L6151">
        <v>0</v>
      </c>
      <c r="M6151" t="s">
        <v>64</v>
      </c>
    </row>
    <row r="6152" spans="1:13" hidden="1" x14ac:dyDescent="0.15">
      <c r="A6152" t="s">
        <v>19275</v>
      </c>
      <c r="B6152" t="s">
        <v>19276</v>
      </c>
      <c r="C6152" t="s">
        <v>19277</v>
      </c>
      <c r="D6152" t="s">
        <v>19271</v>
      </c>
      <c r="E6152">
        <v>13</v>
      </c>
      <c r="F6152" t="str">
        <f>HYPERLINK("https://github.com/nextcloud/android/issues/7184", "show")</f>
        <v>show</v>
      </c>
      <c r="G6152" t="str">
        <f>HYPERLINK("https://github.com/nextcloud/android", "show")</f>
        <v>show</v>
      </c>
      <c r="H6152" t="str">
        <f>HYPERLINK("https://github.com/nextcloud/android/releases", "show")</f>
        <v>show</v>
      </c>
      <c r="I6152">
        <v>1</v>
      </c>
      <c r="J6152">
        <v>1</v>
      </c>
      <c r="K6152">
        <v>1</v>
      </c>
      <c r="L6152">
        <v>0</v>
      </c>
      <c r="M6152" t="s">
        <v>59</v>
      </c>
    </row>
    <row r="6153" spans="1:13" hidden="1" x14ac:dyDescent="0.15">
      <c r="A6153" t="s">
        <v>19278</v>
      </c>
      <c r="B6153" t="s">
        <v>19279</v>
      </c>
      <c r="C6153" t="s">
        <v>19280</v>
      </c>
      <c r="D6153" t="s">
        <v>19271</v>
      </c>
      <c r="E6153">
        <v>1</v>
      </c>
      <c r="F6153" t="str">
        <f>HYPERLINK("https://github.com/TeamNewPipe/NewPipe/issues/4730", "show")</f>
        <v>show</v>
      </c>
      <c r="G6153" t="str">
        <f>HYPERLINK("https://github.com/TeamNewPipe/NewPipe", "show")</f>
        <v>show</v>
      </c>
      <c r="H6153" t="str">
        <f>HYPERLINK("https://github.com/TeamNewPipe/NewPipe/releases", "show")</f>
        <v>show</v>
      </c>
      <c r="I6153">
        <v>1</v>
      </c>
      <c r="J6153">
        <v>1</v>
      </c>
      <c r="K6153">
        <v>0</v>
      </c>
      <c r="L6153">
        <v>1</v>
      </c>
      <c r="M6153" t="s">
        <v>1894</v>
      </c>
    </row>
    <row r="6154" spans="1:13" hidden="1" x14ac:dyDescent="0.15">
      <c r="A6154" t="s">
        <v>19281</v>
      </c>
      <c r="B6154" t="s">
        <v>19282</v>
      </c>
      <c r="C6154" t="s">
        <v>19283</v>
      </c>
      <c r="D6154" t="s">
        <v>19271</v>
      </c>
      <c r="E6154">
        <v>0</v>
      </c>
      <c r="F6154" t="str">
        <f>HYPERLINK("https://github.com/Anuken/Mindustry/issues/3193", "show")</f>
        <v>show</v>
      </c>
      <c r="G6154" t="str">
        <f>HYPERLINK("https://github.com/Anuken/Mindustry", "show")</f>
        <v>show</v>
      </c>
      <c r="H6154" t="str">
        <f>HYPERLINK("https://github.com/Anuken/Mindustry/releases", "show")</f>
        <v>show</v>
      </c>
      <c r="I6154">
        <v>0</v>
      </c>
      <c r="J6154">
        <v>0</v>
      </c>
      <c r="K6154">
        <v>0</v>
      </c>
      <c r="L6154">
        <v>0</v>
      </c>
      <c r="M6154" t="s">
        <v>43</v>
      </c>
    </row>
    <row r="6155" spans="1:13" hidden="1" x14ac:dyDescent="0.15">
      <c r="A6155" t="s">
        <v>19284</v>
      </c>
      <c r="B6155" t="s">
        <v>19285</v>
      </c>
      <c r="C6155" t="s">
        <v>19286</v>
      </c>
      <c r="D6155" t="s">
        <v>19271</v>
      </c>
      <c r="E6155">
        <v>0</v>
      </c>
      <c r="F6155" t="str">
        <f>HYPERLINK("https://github.com/SkyTubeTeam/SkyTube/issues/827", "show")</f>
        <v>show</v>
      </c>
      <c r="G6155" t="str">
        <f>HYPERLINK("https://github.com/SkyTubeTeam/SkyTube", "show")</f>
        <v>show</v>
      </c>
      <c r="H6155" t="str">
        <f>HYPERLINK("https://github.com/SkyTubeTeam/SkyTube/releases", "show")</f>
        <v>show</v>
      </c>
      <c r="I6155">
        <v>1</v>
      </c>
      <c r="J6155">
        <v>0</v>
      </c>
      <c r="K6155">
        <v>0</v>
      </c>
      <c r="L6155">
        <v>0</v>
      </c>
      <c r="M6155" t="s">
        <v>17</v>
      </c>
    </row>
    <row r="6156" spans="1:13" hidden="1" x14ac:dyDescent="0.15">
      <c r="A6156" t="s">
        <v>19287</v>
      </c>
      <c r="B6156" t="s">
        <v>19288</v>
      </c>
      <c r="C6156" t="s">
        <v>19289</v>
      </c>
      <c r="D6156" t="s">
        <v>19271</v>
      </c>
      <c r="E6156">
        <v>0</v>
      </c>
      <c r="F6156" t="str">
        <f>HYPERLINK("https://github.com/Anuken/Mindustry/issues/3189", "show")</f>
        <v>show</v>
      </c>
      <c r="G6156" t="str">
        <f>HYPERLINK("https://github.com/Anuken/Mindustry", "show")</f>
        <v>show</v>
      </c>
      <c r="H6156" t="str">
        <f>HYPERLINK("https://github.com/Anuken/Mindustry/releases", "show")</f>
        <v>show</v>
      </c>
      <c r="I6156">
        <v>0</v>
      </c>
      <c r="J6156">
        <v>1</v>
      </c>
      <c r="K6156">
        <v>0</v>
      </c>
      <c r="L6156">
        <v>1</v>
      </c>
      <c r="M6156" t="s">
        <v>1732</v>
      </c>
    </row>
    <row r="6157" spans="1:13" hidden="1" x14ac:dyDescent="0.15">
      <c r="A6157" t="s">
        <v>19290</v>
      </c>
      <c r="B6157" t="s">
        <v>19291</v>
      </c>
      <c r="C6157" t="s">
        <v>19292</v>
      </c>
      <c r="D6157" t="s">
        <v>19271</v>
      </c>
      <c r="E6157">
        <v>2</v>
      </c>
      <c r="F6157" t="str">
        <f>HYPERLINK("https://github.com/microg/FakeStore/issues/24", "show")</f>
        <v>show</v>
      </c>
      <c r="G6157" t="str">
        <f>HYPERLINK("https://github.com/microg/FakeStore", "show")</f>
        <v>show</v>
      </c>
      <c r="H6157" t="str">
        <f>HYPERLINK("https://github.com/microg/FakeStore/releases", "show")</f>
        <v>show</v>
      </c>
      <c r="I6157">
        <v>0</v>
      </c>
      <c r="J6157">
        <v>0</v>
      </c>
      <c r="K6157">
        <v>0</v>
      </c>
      <c r="L6157">
        <v>0</v>
      </c>
      <c r="M6157" t="s">
        <v>43</v>
      </c>
    </row>
    <row r="6158" spans="1:13" hidden="1" x14ac:dyDescent="0.15">
      <c r="A6158" t="s">
        <v>19293</v>
      </c>
      <c r="B6158" t="s">
        <v>19294</v>
      </c>
      <c r="C6158" t="s">
        <v>19295</v>
      </c>
      <c r="D6158" t="s">
        <v>19271</v>
      </c>
      <c r="E6158">
        <v>0</v>
      </c>
      <c r="F6158" t="str">
        <f>HYPERLINK("https://github.com/TeamNewPipe/NewPipe/issues/4714", "show")</f>
        <v>show</v>
      </c>
      <c r="G6158" t="str">
        <f>HYPERLINK("https://github.com/TeamNewPipe/NewPipe", "show")</f>
        <v>show</v>
      </c>
      <c r="H6158" t="str">
        <f>HYPERLINK("https://github.com/TeamNewPipe/NewPipe/releases", "show")</f>
        <v>show</v>
      </c>
      <c r="I6158">
        <v>1</v>
      </c>
      <c r="J6158">
        <v>1</v>
      </c>
      <c r="K6158">
        <v>1</v>
      </c>
      <c r="L6158">
        <v>1</v>
      </c>
      <c r="M6158" t="s">
        <v>2875</v>
      </c>
    </row>
    <row r="6159" spans="1:13" hidden="1" x14ac:dyDescent="0.15">
      <c r="A6159" t="s">
        <v>19296</v>
      </c>
      <c r="B6159" t="s">
        <v>19297</v>
      </c>
      <c r="C6159" t="s">
        <v>12185</v>
      </c>
      <c r="D6159" t="s">
        <v>19298</v>
      </c>
      <c r="E6159">
        <v>0</v>
      </c>
      <c r="F6159" t="str">
        <f>HYPERLINK("https://github.com/nextcloud/android/issues/7167", "show")</f>
        <v>show</v>
      </c>
      <c r="G6159" t="str">
        <f>HYPERLINK("https://github.com/nextcloud/android", "show")</f>
        <v>show</v>
      </c>
      <c r="H6159" t="str">
        <f>HYPERLINK("https://github.com/nextcloud/android/releases", "show")</f>
        <v>show</v>
      </c>
      <c r="I6159">
        <v>0</v>
      </c>
      <c r="J6159">
        <v>0</v>
      </c>
      <c r="K6159">
        <v>1</v>
      </c>
      <c r="L6159">
        <v>0</v>
      </c>
      <c r="M6159" t="s">
        <v>122</v>
      </c>
    </row>
    <row r="6160" spans="1:13" hidden="1" x14ac:dyDescent="0.15">
      <c r="A6160" t="s">
        <v>19299</v>
      </c>
      <c r="B6160" t="s">
        <v>19300</v>
      </c>
      <c r="C6160" t="s">
        <v>19301</v>
      </c>
      <c r="D6160" t="s">
        <v>19298</v>
      </c>
      <c r="E6160">
        <v>373</v>
      </c>
      <c r="F6160" t="str">
        <f>HYPERLINK("https://github.com/TeamNewPipe/NewPipe/issues/4707", "show")</f>
        <v>show</v>
      </c>
      <c r="G6160" t="str">
        <f>HYPERLINK("https://github.com/TeamNewPipe/NewPipe", "show")</f>
        <v>show</v>
      </c>
      <c r="H6160" t="str">
        <f>HYPERLINK("https://github.com/TeamNewPipe/NewPipe/releases", "show")</f>
        <v>show</v>
      </c>
      <c r="I6160">
        <v>1</v>
      </c>
      <c r="J6160">
        <v>1</v>
      </c>
      <c r="K6160">
        <v>0</v>
      </c>
      <c r="L6160">
        <v>0</v>
      </c>
      <c r="M6160" t="s">
        <v>48</v>
      </c>
    </row>
    <row r="6161" spans="1:13" hidden="1" x14ac:dyDescent="0.15">
      <c r="A6161" t="s">
        <v>19302</v>
      </c>
      <c r="B6161" t="s">
        <v>19303</v>
      </c>
      <c r="C6161" t="s">
        <v>19304</v>
      </c>
      <c r="D6161" t="s">
        <v>19298</v>
      </c>
      <c r="E6161">
        <v>0</v>
      </c>
      <c r="F6161" t="str">
        <f>HYPERLINK("https://github.com/Anuken/Mindustry/issues/3179", "show")</f>
        <v>show</v>
      </c>
      <c r="G6161" t="str">
        <f>HYPERLINK("https://github.com/Anuken/Mindustry", "show")</f>
        <v>show</v>
      </c>
      <c r="H6161" t="str">
        <f>HYPERLINK("https://github.com/Anuken/Mindustry/releases", "show")</f>
        <v>show</v>
      </c>
      <c r="I6161">
        <v>0</v>
      </c>
      <c r="J6161">
        <v>1</v>
      </c>
      <c r="K6161">
        <v>0</v>
      </c>
      <c r="L6161">
        <v>1</v>
      </c>
      <c r="M6161" t="s">
        <v>1732</v>
      </c>
    </row>
    <row r="6162" spans="1:13" hidden="1" x14ac:dyDescent="0.15">
      <c r="A6162" t="s">
        <v>19305</v>
      </c>
      <c r="B6162" t="s">
        <v>19306</v>
      </c>
      <c r="C6162" t="s">
        <v>19307</v>
      </c>
      <c r="D6162" t="s">
        <v>19298</v>
      </c>
      <c r="E6162">
        <v>0</v>
      </c>
      <c r="F6162" t="str">
        <f>HYPERLINK("https://github.com/Anuken/Mindustry/issues/3176", "show")</f>
        <v>show</v>
      </c>
      <c r="G6162" t="str">
        <f>HYPERLINK("https://github.com/Anuken/Mindustry", "show")</f>
        <v>show</v>
      </c>
      <c r="H6162" t="str">
        <f>HYPERLINK("https://github.com/Anuken/Mindustry/releases", "show")</f>
        <v>show</v>
      </c>
      <c r="I6162">
        <v>0</v>
      </c>
      <c r="J6162">
        <v>0</v>
      </c>
      <c r="K6162">
        <v>0</v>
      </c>
      <c r="L6162">
        <v>0</v>
      </c>
      <c r="M6162" t="s">
        <v>43</v>
      </c>
    </row>
    <row r="6163" spans="1:13" x14ac:dyDescent="0.15">
      <c r="A6163" t="s">
        <v>19308</v>
      </c>
      <c r="B6163" t="s">
        <v>19309</v>
      </c>
      <c r="C6163" t="s">
        <v>19310</v>
      </c>
      <c r="D6163" t="s">
        <v>19298</v>
      </c>
      <c r="E6163">
        <v>0</v>
      </c>
      <c r="F6163" t="str">
        <f>HYPERLINK("https://github.com/Anuken/Mindustry/issues/3173", "show")</f>
        <v>show</v>
      </c>
      <c r="G6163" t="str">
        <f>HYPERLINK("https://github.com/Anuken/Mindustry", "show")</f>
        <v>show</v>
      </c>
      <c r="H6163" t="str">
        <f>HYPERLINK("https://github.com/Anuken/Mindustry/releases", "show")</f>
        <v>show</v>
      </c>
      <c r="I6163">
        <v>0</v>
      </c>
      <c r="J6163">
        <v>1</v>
      </c>
      <c r="K6163">
        <v>0</v>
      </c>
      <c r="L6163">
        <v>0</v>
      </c>
      <c r="M6163" t="s">
        <v>139</v>
      </c>
    </row>
    <row r="6164" spans="1:13" hidden="1" x14ac:dyDescent="0.15">
      <c r="A6164" t="s">
        <v>19311</v>
      </c>
      <c r="B6164" t="s">
        <v>19312</v>
      </c>
      <c r="C6164" t="s">
        <v>19313</v>
      </c>
      <c r="D6164" t="s">
        <v>19314</v>
      </c>
      <c r="E6164">
        <v>29</v>
      </c>
      <c r="F6164" t="str">
        <f>HYPERLINK("https://github.com/indomie858/app-A/issues/53", "show")</f>
        <v>show</v>
      </c>
      <c r="G6164" t="str">
        <f>HYPERLINK("https://github.com/indomie858/app-A", "show")</f>
        <v>show</v>
      </c>
      <c r="H6164" t="str">
        <f>HYPERLINK("https://github.com/indomie858/app-A/releases", "show")</f>
        <v>show</v>
      </c>
      <c r="I6164">
        <v>1</v>
      </c>
      <c r="J6164">
        <v>0</v>
      </c>
      <c r="K6164">
        <v>0</v>
      </c>
      <c r="L6164">
        <v>0</v>
      </c>
      <c r="M6164" t="s">
        <v>17</v>
      </c>
    </row>
    <row r="6165" spans="1:13" hidden="1" x14ac:dyDescent="0.15">
      <c r="A6165" t="s">
        <v>19315</v>
      </c>
      <c r="B6165" t="s">
        <v>19316</v>
      </c>
      <c r="C6165" t="s">
        <v>19317</v>
      </c>
      <c r="D6165" t="s">
        <v>19314</v>
      </c>
      <c r="E6165">
        <v>0</v>
      </c>
      <c r="F6165" t="str">
        <f>HYPERLINK("https://github.com/Anuken/Mindustry/issues/3171", "show")</f>
        <v>show</v>
      </c>
      <c r="G6165" t="str">
        <f>HYPERLINK("https://github.com/Anuken/Mindustry", "show")</f>
        <v>show</v>
      </c>
      <c r="H6165" t="str">
        <f>HYPERLINK("https://github.com/Anuken/Mindustry/releases", "show")</f>
        <v>show</v>
      </c>
      <c r="I6165">
        <v>1</v>
      </c>
      <c r="J6165">
        <v>0</v>
      </c>
      <c r="K6165">
        <v>0</v>
      </c>
      <c r="L6165">
        <v>0</v>
      </c>
      <c r="M6165" t="s">
        <v>17</v>
      </c>
    </row>
    <row r="6166" spans="1:13" hidden="1" x14ac:dyDescent="0.15">
      <c r="A6166" t="s">
        <v>19318</v>
      </c>
      <c r="B6166" t="s">
        <v>19319</v>
      </c>
      <c r="C6166" t="s">
        <v>19320</v>
      </c>
      <c r="D6166" t="s">
        <v>19314</v>
      </c>
      <c r="E6166">
        <v>47</v>
      </c>
      <c r="F6166" t="str">
        <f>HYPERLINK("https://github.com/MuntashirAkon/AppManager/issues/135", "show")</f>
        <v>show</v>
      </c>
      <c r="G6166" t="str">
        <f>HYPERLINK("https://github.com/MuntashirAkon/AppManager", "show")</f>
        <v>show</v>
      </c>
      <c r="H6166" t="str">
        <f>HYPERLINK("https://github.com/MuntashirAkon/AppManager/releases", "show")</f>
        <v>show</v>
      </c>
      <c r="I6166">
        <v>1</v>
      </c>
      <c r="J6166">
        <v>1</v>
      </c>
      <c r="K6166">
        <v>0</v>
      </c>
      <c r="L6166">
        <v>0</v>
      </c>
      <c r="M6166" t="s">
        <v>48</v>
      </c>
    </row>
    <row r="6167" spans="1:13" hidden="1" x14ac:dyDescent="0.15">
      <c r="A6167" t="s">
        <v>19321</v>
      </c>
      <c r="B6167" t="s">
        <v>19322</v>
      </c>
      <c r="C6167" t="s">
        <v>19323</v>
      </c>
      <c r="D6167" t="s">
        <v>19314</v>
      </c>
      <c r="E6167">
        <v>62</v>
      </c>
      <c r="F6167" t="str">
        <f>HYPERLINK("https://github.com/aws-amplify/amplify-android/issues/940", "show")</f>
        <v>show</v>
      </c>
      <c r="G6167" t="str">
        <f>HYPERLINK("https://github.com/aws-amplify/amplify-android", "show")</f>
        <v>show</v>
      </c>
      <c r="H6167" t="str">
        <f>HYPERLINK("https://github.com/aws-amplify/amplify-android/releases", "show")</f>
        <v>show</v>
      </c>
      <c r="I6167">
        <v>1</v>
      </c>
      <c r="J6167">
        <v>0</v>
      </c>
      <c r="K6167">
        <v>1</v>
      </c>
      <c r="L6167">
        <v>0</v>
      </c>
      <c r="M6167" t="s">
        <v>64</v>
      </c>
    </row>
    <row r="6168" spans="1:13" hidden="1" x14ac:dyDescent="0.15">
      <c r="A6168" t="s">
        <v>19324</v>
      </c>
      <c r="B6168" t="s">
        <v>19325</v>
      </c>
      <c r="C6168" t="s">
        <v>19326</v>
      </c>
      <c r="D6168" t="s">
        <v>19314</v>
      </c>
      <c r="E6168">
        <v>0</v>
      </c>
      <c r="F6168" t="str">
        <f>HYPERLINK("https://github.com/TeamNewPipe/NewPipe/issues/4688", "show")</f>
        <v>show</v>
      </c>
      <c r="G6168" t="str">
        <f>HYPERLINK("https://github.com/TeamNewPipe/NewPipe", "show")</f>
        <v>show</v>
      </c>
      <c r="H6168" t="str">
        <f>HYPERLINK("https://github.com/TeamNewPipe/NewPipe/releases", "show")</f>
        <v>show</v>
      </c>
      <c r="I6168">
        <v>1</v>
      </c>
      <c r="J6168">
        <v>1</v>
      </c>
      <c r="K6168">
        <v>1</v>
      </c>
      <c r="L6168">
        <v>0</v>
      </c>
      <c r="M6168" t="s">
        <v>59</v>
      </c>
    </row>
    <row r="6169" spans="1:13" hidden="1" x14ac:dyDescent="0.15">
      <c r="A6169" t="s">
        <v>19327</v>
      </c>
      <c r="B6169" t="s">
        <v>19328</v>
      </c>
      <c r="C6169" t="s">
        <v>19329</v>
      </c>
      <c r="D6169" t="s">
        <v>19314</v>
      </c>
      <c r="E6169">
        <v>0</v>
      </c>
      <c r="F6169" t="str">
        <f>HYPERLINK("https://github.com/Anuken/Mindustry/issues/3169", "show")</f>
        <v>show</v>
      </c>
      <c r="G6169" t="str">
        <f>HYPERLINK("https://github.com/Anuken/Mindustry", "show")</f>
        <v>show</v>
      </c>
      <c r="H6169" t="str">
        <f>HYPERLINK("https://github.com/Anuken/Mindustry/releases", "show")</f>
        <v>show</v>
      </c>
      <c r="I6169">
        <v>0</v>
      </c>
      <c r="J6169">
        <v>0</v>
      </c>
      <c r="K6169">
        <v>0</v>
      </c>
      <c r="L6169">
        <v>0</v>
      </c>
      <c r="M6169" t="s">
        <v>43</v>
      </c>
    </row>
    <row r="6170" spans="1:13" hidden="1" x14ac:dyDescent="0.15">
      <c r="A6170" t="s">
        <v>19330</v>
      </c>
      <c r="B6170" t="s">
        <v>19331</v>
      </c>
      <c r="C6170" t="s">
        <v>19332</v>
      </c>
      <c r="D6170" t="s">
        <v>19314</v>
      </c>
      <c r="E6170">
        <v>1</v>
      </c>
      <c r="F6170" t="str">
        <f>HYPERLINK("https://github.com/commons-app/apps-android-commons/issues/3997", "show")</f>
        <v>show</v>
      </c>
      <c r="G6170" t="str">
        <f>HYPERLINK("https://github.com/commons-app/apps-android-commons", "show")</f>
        <v>show</v>
      </c>
      <c r="H6170" t="str">
        <f>HYPERLINK("https://github.com/commons-app/apps-android-commons/releases", "show")</f>
        <v>show</v>
      </c>
      <c r="I6170">
        <v>1</v>
      </c>
      <c r="J6170">
        <v>0</v>
      </c>
      <c r="K6170">
        <v>1</v>
      </c>
      <c r="L6170">
        <v>0</v>
      </c>
      <c r="M6170" t="s">
        <v>64</v>
      </c>
    </row>
    <row r="6171" spans="1:13" hidden="1" x14ac:dyDescent="0.15">
      <c r="A6171" t="s">
        <v>19333</v>
      </c>
      <c r="B6171" t="s">
        <v>19334</v>
      </c>
      <c r="C6171" t="s">
        <v>19335</v>
      </c>
      <c r="D6171" t="s">
        <v>19314</v>
      </c>
      <c r="E6171">
        <v>0</v>
      </c>
      <c r="F6171" t="str">
        <f>HYPERLINK("https://github.com/Anuken/Mindustry/issues/3166", "show")</f>
        <v>show</v>
      </c>
      <c r="G6171" t="str">
        <f>HYPERLINK("https://github.com/Anuken/Mindustry", "show")</f>
        <v>show</v>
      </c>
      <c r="H6171" t="str">
        <f>HYPERLINK("https://github.com/Anuken/Mindustry/releases", "show")</f>
        <v>show</v>
      </c>
      <c r="I6171">
        <v>0</v>
      </c>
      <c r="J6171">
        <v>0</v>
      </c>
      <c r="K6171">
        <v>0</v>
      </c>
      <c r="L6171">
        <v>0</v>
      </c>
      <c r="M6171" t="s">
        <v>43</v>
      </c>
    </row>
    <row r="6172" spans="1:13" hidden="1" x14ac:dyDescent="0.15">
      <c r="A6172" t="s">
        <v>19336</v>
      </c>
      <c r="B6172" t="s">
        <v>19337</v>
      </c>
      <c r="C6172" t="s">
        <v>19338</v>
      </c>
      <c r="D6172" t="s">
        <v>19314</v>
      </c>
      <c r="E6172">
        <v>1</v>
      </c>
      <c r="F6172" t="str">
        <f>HYPERLINK("https://github.com/material-components/material-components-android/issues/1831", "show")</f>
        <v>show</v>
      </c>
      <c r="G6172" t="str">
        <f>HYPERLINK("https://github.com/material-components/material-components-android", "show")</f>
        <v>show</v>
      </c>
      <c r="H6172" t="str">
        <f>HYPERLINK("https://github.com/material-components/material-components-android/releases", "show")</f>
        <v>show</v>
      </c>
      <c r="I6172">
        <v>0</v>
      </c>
      <c r="J6172">
        <v>0</v>
      </c>
      <c r="K6172">
        <v>1</v>
      </c>
      <c r="L6172">
        <v>0</v>
      </c>
      <c r="M6172" t="s">
        <v>122</v>
      </c>
    </row>
    <row r="6173" spans="1:13" hidden="1" x14ac:dyDescent="0.15">
      <c r="A6173" t="s">
        <v>19339</v>
      </c>
      <c r="B6173" t="s">
        <v>19340</v>
      </c>
      <c r="C6173" t="s">
        <v>19341</v>
      </c>
      <c r="D6173" t="s">
        <v>19314</v>
      </c>
      <c r="E6173">
        <v>9</v>
      </c>
      <c r="F6173" t="str">
        <f>HYPERLINK("https://github.com/indomie858/app-A/issues/52", "show")</f>
        <v>show</v>
      </c>
      <c r="G6173" t="str">
        <f>HYPERLINK("https://github.com/indomie858/app-A", "show")</f>
        <v>show</v>
      </c>
      <c r="H6173" t="str">
        <f>HYPERLINK("https://github.com/indomie858/app-A/releases", "show")</f>
        <v>show</v>
      </c>
      <c r="I6173">
        <v>1</v>
      </c>
      <c r="J6173">
        <v>0</v>
      </c>
      <c r="K6173">
        <v>0</v>
      </c>
      <c r="L6173">
        <v>0</v>
      </c>
      <c r="M6173" t="s">
        <v>17</v>
      </c>
    </row>
    <row r="6174" spans="1:13" hidden="1" x14ac:dyDescent="0.15">
      <c r="A6174" t="s">
        <v>19342</v>
      </c>
      <c r="B6174" t="s">
        <v>19343</v>
      </c>
      <c r="C6174" t="s">
        <v>19344</v>
      </c>
      <c r="D6174" t="s">
        <v>19314</v>
      </c>
      <c r="E6174">
        <v>55</v>
      </c>
      <c r="F6174" t="str">
        <f>HYPERLINK("https://github.com/commons-app/apps-android-commons/issues/3996", "show")</f>
        <v>show</v>
      </c>
      <c r="G6174" t="str">
        <f>HYPERLINK("https://github.com/commons-app/apps-android-commons", "show")</f>
        <v>show</v>
      </c>
      <c r="H6174" t="str">
        <f>HYPERLINK("https://github.com/commons-app/apps-android-commons/releases", "show")</f>
        <v>show</v>
      </c>
      <c r="I6174">
        <v>1</v>
      </c>
      <c r="J6174">
        <v>1</v>
      </c>
      <c r="K6174">
        <v>1</v>
      </c>
      <c r="L6174">
        <v>0</v>
      </c>
      <c r="M6174" t="s">
        <v>59</v>
      </c>
    </row>
    <row r="6175" spans="1:13" hidden="1" x14ac:dyDescent="0.15">
      <c r="A6175" t="s">
        <v>19345</v>
      </c>
      <c r="B6175" t="s">
        <v>19346</v>
      </c>
      <c r="C6175" t="s">
        <v>19347</v>
      </c>
      <c r="D6175" t="s">
        <v>19348</v>
      </c>
      <c r="E6175">
        <v>3</v>
      </c>
      <c r="F6175" t="str">
        <f>HYPERLINK("https://github.com/opensrp/opensrp-client-chw/issues/1458", "show")</f>
        <v>show</v>
      </c>
      <c r="G6175" t="str">
        <f>HYPERLINK("https://github.com/opensrp/opensrp-client-chw", "show")</f>
        <v>show</v>
      </c>
      <c r="H6175" t="str">
        <f>HYPERLINK("https://github.com/opensrp/opensrp-client-chw/releases", "show")</f>
        <v>show</v>
      </c>
      <c r="I6175">
        <v>1</v>
      </c>
      <c r="J6175">
        <v>0</v>
      </c>
      <c r="K6175">
        <v>0</v>
      </c>
      <c r="L6175">
        <v>0</v>
      </c>
      <c r="M6175" t="s">
        <v>17</v>
      </c>
    </row>
    <row r="6176" spans="1:13" x14ac:dyDescent="0.15">
      <c r="A6176" t="s">
        <v>19349</v>
      </c>
      <c r="B6176" t="s">
        <v>19350</v>
      </c>
      <c r="C6176" t="s">
        <v>19351</v>
      </c>
      <c r="D6176" t="s">
        <v>19348</v>
      </c>
      <c r="E6176">
        <v>0</v>
      </c>
      <c r="F6176" t="str">
        <f>HYPERLINK("https://github.com/Anuken/Mindustry/issues/3158", "show")</f>
        <v>show</v>
      </c>
      <c r="G6176" t="str">
        <f>HYPERLINK("https://github.com/Anuken/Mindustry", "show")</f>
        <v>show</v>
      </c>
      <c r="H6176" t="str">
        <f>HYPERLINK("https://github.com/Anuken/Mindustry/releases", "show")</f>
        <v>show</v>
      </c>
      <c r="I6176">
        <v>0</v>
      </c>
      <c r="J6176">
        <v>1</v>
      </c>
      <c r="K6176">
        <v>0</v>
      </c>
      <c r="L6176">
        <v>0</v>
      </c>
      <c r="M6176" t="s">
        <v>139</v>
      </c>
    </row>
    <row r="6177" spans="1:13" hidden="1" x14ac:dyDescent="0.15">
      <c r="A6177" t="s">
        <v>19352</v>
      </c>
      <c r="B6177" t="s">
        <v>19353</v>
      </c>
      <c r="C6177" t="s">
        <v>19354</v>
      </c>
      <c r="D6177" t="s">
        <v>19348</v>
      </c>
      <c r="E6177">
        <v>32</v>
      </c>
      <c r="F6177" t="str">
        <f>HYPERLINK("https://github.com/ElderDrivers/EdXposed/issues/620", "show")</f>
        <v>show</v>
      </c>
      <c r="G6177" t="str">
        <f>HYPERLINK("https://github.com/ElderDrivers/EdXposed", "show")</f>
        <v>show</v>
      </c>
      <c r="H6177" t="str">
        <f>HYPERLINK("https://github.com/ElderDrivers/EdXposed/releases", "show")</f>
        <v>show</v>
      </c>
      <c r="I6177">
        <v>1</v>
      </c>
      <c r="J6177">
        <v>0</v>
      </c>
      <c r="K6177">
        <v>0</v>
      </c>
      <c r="L6177">
        <v>0</v>
      </c>
      <c r="M6177" t="s">
        <v>17</v>
      </c>
    </row>
    <row r="6178" spans="1:13" hidden="1" x14ac:dyDescent="0.15">
      <c r="A6178" t="s">
        <v>19355</v>
      </c>
      <c r="B6178" t="s">
        <v>19356</v>
      </c>
      <c r="C6178" t="s">
        <v>19357</v>
      </c>
      <c r="D6178" t="s">
        <v>19348</v>
      </c>
      <c r="E6178">
        <v>0</v>
      </c>
      <c r="F6178" t="str">
        <f>HYPERLINK("https://github.com/Anuken/Mindustry/issues/3157", "show")</f>
        <v>show</v>
      </c>
      <c r="G6178" t="str">
        <f>HYPERLINK("https://github.com/Anuken/Mindustry", "show")</f>
        <v>show</v>
      </c>
      <c r="H6178" t="str">
        <f>HYPERLINK("https://github.com/Anuken/Mindustry/releases", "show")</f>
        <v>show</v>
      </c>
      <c r="I6178">
        <v>0</v>
      </c>
      <c r="J6178">
        <v>0</v>
      </c>
      <c r="K6178">
        <v>0</v>
      </c>
      <c r="L6178">
        <v>0</v>
      </c>
      <c r="M6178" t="s">
        <v>43</v>
      </c>
    </row>
    <row r="6179" spans="1:13" hidden="1" x14ac:dyDescent="0.15">
      <c r="A6179" t="s">
        <v>19358</v>
      </c>
      <c r="B6179" t="s">
        <v>19359</v>
      </c>
      <c r="C6179" t="s">
        <v>19360</v>
      </c>
      <c r="D6179" t="s">
        <v>19348</v>
      </c>
      <c r="E6179">
        <v>0</v>
      </c>
      <c r="F6179" t="str">
        <f>HYPERLINK("https://github.com/Anuken/Mindustry/issues/3152", "show")</f>
        <v>show</v>
      </c>
      <c r="G6179" t="str">
        <f>HYPERLINK("https://github.com/Anuken/Mindustry", "show")</f>
        <v>show</v>
      </c>
      <c r="H6179" t="str">
        <f>HYPERLINK("https://github.com/Anuken/Mindustry/releases", "show")</f>
        <v>show</v>
      </c>
      <c r="I6179">
        <v>0</v>
      </c>
      <c r="J6179">
        <v>0</v>
      </c>
      <c r="K6179">
        <v>0</v>
      </c>
      <c r="L6179">
        <v>0</v>
      </c>
      <c r="M6179" t="s">
        <v>43</v>
      </c>
    </row>
    <row r="6180" spans="1:13" hidden="1" x14ac:dyDescent="0.15">
      <c r="A6180" t="s">
        <v>19361</v>
      </c>
      <c r="B6180" t="s">
        <v>19362</v>
      </c>
      <c r="C6180" t="s">
        <v>19363</v>
      </c>
      <c r="D6180" t="s">
        <v>19348</v>
      </c>
      <c r="E6180">
        <v>5</v>
      </c>
      <c r="F6180" t="str">
        <f>HYPERLINK("https://github.com/k9mail/k-9/issues/5029", "show")</f>
        <v>show</v>
      </c>
      <c r="G6180" t="str">
        <f>HYPERLINK("https://github.com/k9mail/k-9", "show")</f>
        <v>show</v>
      </c>
      <c r="H6180" t="str">
        <f>HYPERLINK("https://github.com/k9mail/k-9/releases", "show")</f>
        <v>show</v>
      </c>
      <c r="I6180">
        <v>1</v>
      </c>
      <c r="J6180">
        <v>1</v>
      </c>
      <c r="K6180">
        <v>1</v>
      </c>
      <c r="L6180">
        <v>0</v>
      </c>
      <c r="M6180" t="s">
        <v>59</v>
      </c>
    </row>
    <row r="6181" spans="1:13" hidden="1" x14ac:dyDescent="0.15">
      <c r="A6181" t="s">
        <v>19364</v>
      </c>
      <c r="B6181" t="s">
        <v>19365</v>
      </c>
      <c r="C6181" t="s">
        <v>19366</v>
      </c>
      <c r="D6181" t="s">
        <v>19348</v>
      </c>
      <c r="E6181">
        <v>4</v>
      </c>
      <c r="F6181" t="str">
        <f>HYPERLINK("https://github.com/TeamNewPipe/NewPipe/issues/4672", "show")</f>
        <v>show</v>
      </c>
      <c r="G6181" t="str">
        <f>HYPERLINK("https://github.com/TeamNewPipe/NewPipe", "show")</f>
        <v>show</v>
      </c>
      <c r="H6181" t="str">
        <f>HYPERLINK("https://github.com/TeamNewPipe/NewPipe/releases", "show")</f>
        <v>show</v>
      </c>
      <c r="I6181">
        <v>0</v>
      </c>
      <c r="J6181">
        <v>0</v>
      </c>
      <c r="K6181">
        <v>1</v>
      </c>
      <c r="L6181">
        <v>0</v>
      </c>
      <c r="M6181" t="s">
        <v>122</v>
      </c>
    </row>
    <row r="6182" spans="1:13" hidden="1" x14ac:dyDescent="0.15">
      <c r="A6182" t="s">
        <v>19367</v>
      </c>
      <c r="B6182" t="s">
        <v>19368</v>
      </c>
      <c r="C6182" t="s">
        <v>19369</v>
      </c>
      <c r="D6182" t="s">
        <v>19348</v>
      </c>
      <c r="E6182">
        <v>0</v>
      </c>
      <c r="F6182" t="str">
        <f>HYPERLINK("https://github.com/AOF-Dev/MCinaBox/issues/608", "show")</f>
        <v>show</v>
      </c>
      <c r="G6182" t="str">
        <f>HYPERLINK("https://github.com/AOF-Dev/MCinaBox", "show")</f>
        <v>show</v>
      </c>
      <c r="H6182" t="str">
        <f>HYPERLINK("https://github.com/AOF-Dev/MCinaBox/releases", "show")</f>
        <v>show</v>
      </c>
      <c r="I6182">
        <v>1</v>
      </c>
      <c r="J6182">
        <v>1</v>
      </c>
      <c r="K6182">
        <v>0</v>
      </c>
      <c r="L6182">
        <v>0</v>
      </c>
      <c r="M6182" t="s">
        <v>48</v>
      </c>
    </row>
    <row r="6183" spans="1:13" hidden="1" x14ac:dyDescent="0.15">
      <c r="A6183" t="s">
        <v>19370</v>
      </c>
      <c r="B6183" t="s">
        <v>19371</v>
      </c>
      <c r="C6183" t="s">
        <v>19372</v>
      </c>
      <c r="D6183" t="s">
        <v>19348</v>
      </c>
      <c r="E6183">
        <v>0</v>
      </c>
      <c r="F6183" t="str">
        <f>HYPERLINK("https://github.com/Anuken/Mindustry/issues/3145", "show")</f>
        <v>show</v>
      </c>
      <c r="G6183" t="str">
        <f>HYPERLINK("https://github.com/Anuken/Mindustry", "show")</f>
        <v>show</v>
      </c>
      <c r="H6183" t="str">
        <f>HYPERLINK("https://github.com/Anuken/Mindustry/releases", "show")</f>
        <v>show</v>
      </c>
      <c r="I6183">
        <v>0</v>
      </c>
      <c r="J6183">
        <v>0</v>
      </c>
      <c r="K6183">
        <v>1</v>
      </c>
      <c r="L6183">
        <v>0</v>
      </c>
      <c r="M6183" t="s">
        <v>122</v>
      </c>
    </row>
    <row r="6184" spans="1:13" hidden="1" x14ac:dyDescent="0.15">
      <c r="A6184" t="s">
        <v>19373</v>
      </c>
      <c r="B6184" t="s">
        <v>19374</v>
      </c>
      <c r="C6184" t="s">
        <v>19375</v>
      </c>
      <c r="D6184" t="s">
        <v>19348</v>
      </c>
      <c r="E6184">
        <v>28</v>
      </c>
      <c r="F6184" t="str">
        <f>HYPERLINK("https://github.com/onaio/rdt-standard/issues/585", "show")</f>
        <v>show</v>
      </c>
      <c r="G6184" t="str">
        <f>HYPERLINK("https://github.com/onaio/rdt-standard", "show")</f>
        <v>show</v>
      </c>
      <c r="H6184" t="str">
        <f>HYPERLINK("https://github.com/onaio/rdt-standard/releases", "show")</f>
        <v>show</v>
      </c>
      <c r="I6184">
        <v>1</v>
      </c>
      <c r="J6184">
        <v>1</v>
      </c>
      <c r="K6184">
        <v>0</v>
      </c>
      <c r="L6184">
        <v>0</v>
      </c>
      <c r="M6184" t="s">
        <v>48</v>
      </c>
    </row>
    <row r="6185" spans="1:13" hidden="1" x14ac:dyDescent="0.15">
      <c r="A6185" t="s">
        <v>19376</v>
      </c>
      <c r="B6185" t="s">
        <v>19377</v>
      </c>
      <c r="C6185" t="s">
        <v>19378</v>
      </c>
      <c r="D6185" t="s">
        <v>19379</v>
      </c>
      <c r="E6185">
        <v>0</v>
      </c>
      <c r="F6185" t="str">
        <f>HYPERLINK("https://github.com/Anuken/Mindustry/issues/3140", "show")</f>
        <v>show</v>
      </c>
      <c r="G6185" t="str">
        <f>HYPERLINK("https://github.com/Anuken/Mindustry", "show")</f>
        <v>show</v>
      </c>
      <c r="H6185" t="str">
        <f>HYPERLINK("https://github.com/Anuken/Mindustry/releases", "show")</f>
        <v>show</v>
      </c>
      <c r="I6185">
        <v>0</v>
      </c>
      <c r="J6185">
        <v>1</v>
      </c>
      <c r="K6185">
        <v>0</v>
      </c>
      <c r="L6185">
        <v>1</v>
      </c>
      <c r="M6185" t="s">
        <v>1732</v>
      </c>
    </row>
    <row r="6186" spans="1:13" x14ac:dyDescent="0.15">
      <c r="A6186" t="s">
        <v>19380</v>
      </c>
      <c r="B6186" t="s">
        <v>19381</v>
      </c>
      <c r="C6186" t="s">
        <v>19382</v>
      </c>
      <c r="D6186" t="s">
        <v>19379</v>
      </c>
      <c r="E6186">
        <v>0</v>
      </c>
      <c r="F6186" t="str">
        <f>HYPERLINK("https://github.com/Anuken/Mindustry/issues/3136", "show")</f>
        <v>show</v>
      </c>
      <c r="G6186" t="str">
        <f>HYPERLINK("https://github.com/Anuken/Mindustry", "show")</f>
        <v>show</v>
      </c>
      <c r="H6186" t="str">
        <f>HYPERLINK("https://github.com/Anuken/Mindustry/releases", "show")</f>
        <v>show</v>
      </c>
      <c r="I6186">
        <v>0</v>
      </c>
      <c r="J6186">
        <v>1</v>
      </c>
      <c r="K6186">
        <v>0</v>
      </c>
      <c r="L6186">
        <v>0</v>
      </c>
      <c r="M6186" t="s">
        <v>139</v>
      </c>
    </row>
    <row r="6187" spans="1:13" hidden="1" x14ac:dyDescent="0.15">
      <c r="A6187" t="s">
        <v>19383</v>
      </c>
      <c r="B6187" t="s">
        <v>19384</v>
      </c>
      <c r="C6187" t="s">
        <v>19385</v>
      </c>
      <c r="D6187" t="s">
        <v>19379</v>
      </c>
      <c r="E6187">
        <v>0</v>
      </c>
      <c r="F6187" t="str">
        <f>HYPERLINK("https://github.com/Anuken/Mindustry/issues/3135", "show")</f>
        <v>show</v>
      </c>
      <c r="G6187" t="str">
        <f>HYPERLINK("https://github.com/Anuken/Mindustry", "show")</f>
        <v>show</v>
      </c>
      <c r="H6187" t="str">
        <f>HYPERLINK("https://github.com/Anuken/Mindustry/releases", "show")</f>
        <v>show</v>
      </c>
      <c r="I6187">
        <v>0</v>
      </c>
      <c r="J6187">
        <v>0</v>
      </c>
      <c r="K6187">
        <v>0</v>
      </c>
      <c r="L6187">
        <v>0</v>
      </c>
      <c r="M6187" t="s">
        <v>43</v>
      </c>
    </row>
    <row r="6188" spans="1:13" hidden="1" x14ac:dyDescent="0.15">
      <c r="A6188" t="s">
        <v>19386</v>
      </c>
      <c r="B6188" t="s">
        <v>19387</v>
      </c>
      <c r="C6188" t="s">
        <v>19388</v>
      </c>
      <c r="D6188" t="s">
        <v>19379</v>
      </c>
      <c r="E6188">
        <v>0</v>
      </c>
      <c r="F6188" t="str">
        <f>HYPERLINK("https://github.com/Anuken/Mindustry/issues/3132", "show")</f>
        <v>show</v>
      </c>
      <c r="G6188" t="str">
        <f>HYPERLINK("https://github.com/Anuken/Mindustry", "show")</f>
        <v>show</v>
      </c>
      <c r="H6188" t="str">
        <f>HYPERLINK("https://github.com/Anuken/Mindustry/releases", "show")</f>
        <v>show</v>
      </c>
      <c r="I6188">
        <v>0</v>
      </c>
      <c r="J6188">
        <v>0</v>
      </c>
      <c r="K6188">
        <v>0</v>
      </c>
      <c r="L6188">
        <v>1</v>
      </c>
      <c r="M6188" t="s">
        <v>581</v>
      </c>
    </row>
    <row r="6189" spans="1:13" hidden="1" x14ac:dyDescent="0.15">
      <c r="A6189" t="s">
        <v>19389</v>
      </c>
      <c r="B6189" t="s">
        <v>19390</v>
      </c>
      <c r="C6189" t="s">
        <v>19391</v>
      </c>
      <c r="D6189" t="s">
        <v>19379</v>
      </c>
      <c r="E6189">
        <v>0</v>
      </c>
      <c r="F6189" t="str">
        <f>HYPERLINK("https://github.com/Anuken/Mindustry/issues/3131", "show")</f>
        <v>show</v>
      </c>
      <c r="G6189" t="str">
        <f>HYPERLINK("https://github.com/Anuken/Mindustry", "show")</f>
        <v>show</v>
      </c>
      <c r="H6189" t="str">
        <f>HYPERLINK("https://github.com/Anuken/Mindustry/releases", "show")</f>
        <v>show</v>
      </c>
      <c r="I6189">
        <v>0</v>
      </c>
      <c r="J6189">
        <v>0</v>
      </c>
      <c r="K6189">
        <v>0</v>
      </c>
      <c r="L6189">
        <v>0</v>
      </c>
      <c r="M6189" t="s">
        <v>43</v>
      </c>
    </row>
    <row r="6190" spans="1:13" x14ac:dyDescent="0.15">
      <c r="A6190" t="s">
        <v>19392</v>
      </c>
      <c r="B6190" t="s">
        <v>19393</v>
      </c>
      <c r="C6190" t="s">
        <v>19394</v>
      </c>
      <c r="D6190" t="s">
        <v>19379</v>
      </c>
      <c r="E6190">
        <v>18</v>
      </c>
      <c r="F6190" t="str">
        <f>HYPERLINK("https://github.com/nextcloud/android/issues/7141", "show")</f>
        <v>show</v>
      </c>
      <c r="G6190" t="str">
        <f>HYPERLINK("https://github.com/nextcloud/android", "show")</f>
        <v>show</v>
      </c>
      <c r="H6190" t="str">
        <f>HYPERLINK("https://github.com/nextcloud/android/releases", "show")</f>
        <v>show</v>
      </c>
      <c r="I6190">
        <v>0</v>
      </c>
      <c r="J6190">
        <v>1</v>
      </c>
      <c r="K6190">
        <v>0</v>
      </c>
      <c r="L6190">
        <v>0</v>
      </c>
      <c r="M6190" t="s">
        <v>139</v>
      </c>
    </row>
    <row r="6191" spans="1:13" hidden="1" x14ac:dyDescent="0.15">
      <c r="A6191" t="s">
        <v>19395</v>
      </c>
      <c r="B6191" t="s">
        <v>19396</v>
      </c>
      <c r="C6191" t="s">
        <v>19397</v>
      </c>
      <c r="D6191" t="s">
        <v>19379</v>
      </c>
      <c r="E6191">
        <v>67</v>
      </c>
      <c r="F6191" t="str">
        <f>HYPERLINK("https://github.com/TeamNewPipe/NewPipe/issues/4653", "show")</f>
        <v>show</v>
      </c>
      <c r="G6191" t="str">
        <f>HYPERLINK("https://github.com/TeamNewPipe/NewPipe", "show")</f>
        <v>show</v>
      </c>
      <c r="H6191" t="str">
        <f>HYPERLINK("https://github.com/TeamNewPipe/NewPipe/releases", "show")</f>
        <v>show</v>
      </c>
      <c r="I6191">
        <v>1</v>
      </c>
      <c r="J6191">
        <v>1</v>
      </c>
      <c r="K6191">
        <v>1</v>
      </c>
      <c r="L6191">
        <v>0</v>
      </c>
      <c r="M6191" t="s">
        <v>59</v>
      </c>
    </row>
    <row r="6192" spans="1:13" hidden="1" x14ac:dyDescent="0.15">
      <c r="A6192" t="s">
        <v>19398</v>
      </c>
      <c r="B6192" t="s">
        <v>19399</v>
      </c>
      <c r="C6192" t="s">
        <v>19400</v>
      </c>
      <c r="D6192" t="s">
        <v>19379</v>
      </c>
      <c r="E6192">
        <v>0</v>
      </c>
      <c r="F6192" t="str">
        <f>HYPERLINK("https://github.com/TeamNewPipe/NewPipe/issues/4650", "show")</f>
        <v>show</v>
      </c>
      <c r="G6192" t="str">
        <f>HYPERLINK("https://github.com/TeamNewPipe/NewPipe", "show")</f>
        <v>show</v>
      </c>
      <c r="H6192" t="str">
        <f>HYPERLINK("https://github.com/TeamNewPipe/NewPipe/releases", "show")</f>
        <v>show</v>
      </c>
      <c r="I6192">
        <v>1</v>
      </c>
      <c r="J6192">
        <v>0</v>
      </c>
      <c r="K6192">
        <v>1</v>
      </c>
      <c r="L6192">
        <v>0</v>
      </c>
      <c r="M6192" t="s">
        <v>64</v>
      </c>
    </row>
    <row r="6193" spans="1:13" x14ac:dyDescent="0.15">
      <c r="A6193" t="s">
        <v>19401</v>
      </c>
      <c r="B6193" t="s">
        <v>19402</v>
      </c>
      <c r="C6193" t="s">
        <v>19403</v>
      </c>
      <c r="D6193" t="s">
        <v>19379</v>
      </c>
      <c r="E6193">
        <v>0</v>
      </c>
      <c r="F6193" t="str">
        <f>HYPERLINK("https://github.com/Anuken/Mindustry/issues/3126", "show")</f>
        <v>show</v>
      </c>
      <c r="G6193" t="str">
        <f>HYPERLINK("https://github.com/Anuken/Mindustry", "show")</f>
        <v>show</v>
      </c>
      <c r="H6193" t="str">
        <f>HYPERLINK("https://github.com/Anuken/Mindustry/releases", "show")</f>
        <v>show</v>
      </c>
      <c r="I6193">
        <v>0</v>
      </c>
      <c r="J6193">
        <v>1</v>
      </c>
      <c r="K6193">
        <v>0</v>
      </c>
      <c r="L6193">
        <v>0</v>
      </c>
      <c r="M6193" t="s">
        <v>139</v>
      </c>
    </row>
    <row r="6194" spans="1:13" hidden="1" x14ac:dyDescent="0.15">
      <c r="A6194" t="s">
        <v>19404</v>
      </c>
      <c r="B6194" t="s">
        <v>19405</v>
      </c>
      <c r="C6194" t="s">
        <v>19406</v>
      </c>
      <c r="D6194" t="s">
        <v>19407</v>
      </c>
      <c r="E6194">
        <v>354</v>
      </c>
      <c r="F6194" t="str">
        <f>HYPERLINK("https://github.com/jellyfin/jellyfin-androidtv/issues/606", "show")</f>
        <v>show</v>
      </c>
      <c r="G6194" t="str">
        <f>HYPERLINK("https://github.com/jellyfin/jellyfin-androidtv", "show")</f>
        <v>show</v>
      </c>
      <c r="H6194" t="str">
        <f>HYPERLINK("https://github.com/jellyfin/jellyfin-androidtv/releases", "show")</f>
        <v>show</v>
      </c>
      <c r="I6194">
        <v>1</v>
      </c>
      <c r="J6194">
        <v>0</v>
      </c>
      <c r="K6194">
        <v>0</v>
      </c>
      <c r="L6194">
        <v>1</v>
      </c>
      <c r="M6194" t="s">
        <v>29</v>
      </c>
    </row>
    <row r="6195" spans="1:13" hidden="1" x14ac:dyDescent="0.15">
      <c r="A6195" t="s">
        <v>19408</v>
      </c>
      <c r="B6195" t="s">
        <v>19409</v>
      </c>
      <c r="C6195" t="s">
        <v>19410</v>
      </c>
      <c r="D6195" t="s">
        <v>19407</v>
      </c>
      <c r="E6195">
        <v>0</v>
      </c>
      <c r="F6195" t="str">
        <f>HYPERLINK("https://github.com/Anuken/Mindustry/issues/3112", "show")</f>
        <v>show</v>
      </c>
      <c r="G6195" t="str">
        <f>HYPERLINK("https://github.com/Anuken/Mindustry", "show")</f>
        <v>show</v>
      </c>
      <c r="H6195" t="str">
        <f>HYPERLINK("https://github.com/Anuken/Mindustry/releases", "show")</f>
        <v>show</v>
      </c>
      <c r="I6195">
        <v>0</v>
      </c>
      <c r="J6195">
        <v>0</v>
      </c>
      <c r="K6195">
        <v>0</v>
      </c>
      <c r="L6195">
        <v>1</v>
      </c>
      <c r="M6195" t="s">
        <v>581</v>
      </c>
    </row>
    <row r="6196" spans="1:13" hidden="1" x14ac:dyDescent="0.15">
      <c r="A6196" t="s">
        <v>19411</v>
      </c>
      <c r="B6196" t="s">
        <v>19412</v>
      </c>
      <c r="C6196" t="s">
        <v>19413</v>
      </c>
      <c r="D6196" t="s">
        <v>19407</v>
      </c>
      <c r="E6196">
        <v>28</v>
      </c>
      <c r="F6196" t="str">
        <f>HYPERLINK("https://github.com/TeamNewPipe/NewPipe/issues/4644", "show")</f>
        <v>show</v>
      </c>
      <c r="G6196" t="str">
        <f>HYPERLINK("https://github.com/TeamNewPipe/NewPipe", "show")</f>
        <v>show</v>
      </c>
      <c r="H6196" t="str">
        <f>HYPERLINK("https://github.com/TeamNewPipe/NewPipe/releases", "show")</f>
        <v>show</v>
      </c>
      <c r="I6196">
        <v>1</v>
      </c>
      <c r="J6196">
        <v>0</v>
      </c>
      <c r="K6196">
        <v>1</v>
      </c>
      <c r="L6196">
        <v>0</v>
      </c>
      <c r="M6196" t="s">
        <v>64</v>
      </c>
    </row>
    <row r="6197" spans="1:13" hidden="1" x14ac:dyDescent="0.15">
      <c r="A6197" t="s">
        <v>19414</v>
      </c>
      <c r="B6197" t="s">
        <v>7800</v>
      </c>
      <c r="C6197" t="s">
        <v>19415</v>
      </c>
      <c r="D6197" t="s">
        <v>19407</v>
      </c>
      <c r="E6197">
        <v>32</v>
      </c>
      <c r="F6197" t="str">
        <f>HYPERLINK("https://github.com/wallabag/android-app/issues/1091", "show")</f>
        <v>show</v>
      </c>
      <c r="G6197" t="str">
        <f>HYPERLINK("https://github.com/wallabag/android-app", "show")</f>
        <v>show</v>
      </c>
      <c r="H6197" t="str">
        <f>HYPERLINK("https://github.com/wallabag/android-app/releases", "show")</f>
        <v>show</v>
      </c>
      <c r="I6197">
        <v>0</v>
      </c>
      <c r="J6197">
        <v>0</v>
      </c>
      <c r="K6197">
        <v>1</v>
      </c>
      <c r="L6197">
        <v>0</v>
      </c>
      <c r="M6197" t="s">
        <v>122</v>
      </c>
    </row>
    <row r="6198" spans="1:13" hidden="1" x14ac:dyDescent="0.15">
      <c r="A6198" t="s">
        <v>19416</v>
      </c>
      <c r="B6198" t="s">
        <v>19417</v>
      </c>
      <c r="C6198" t="s">
        <v>19418</v>
      </c>
      <c r="D6198" t="s">
        <v>19407</v>
      </c>
      <c r="E6198">
        <v>0</v>
      </c>
      <c r="F6198" t="str">
        <f>HYPERLINK("https://github.com/Anuken/Mindustry/issues/3108", "show")</f>
        <v>show</v>
      </c>
      <c r="G6198" t="str">
        <f>HYPERLINK("https://github.com/Anuken/Mindustry", "show")</f>
        <v>show</v>
      </c>
      <c r="H6198" t="str">
        <f>HYPERLINK("https://github.com/Anuken/Mindustry/releases", "show")</f>
        <v>show</v>
      </c>
      <c r="I6198">
        <v>0</v>
      </c>
      <c r="J6198">
        <v>0</v>
      </c>
      <c r="K6198">
        <v>0</v>
      </c>
      <c r="L6198">
        <v>0</v>
      </c>
      <c r="M6198" t="s">
        <v>43</v>
      </c>
    </row>
    <row r="6199" spans="1:13" hidden="1" x14ac:dyDescent="0.15">
      <c r="A6199" t="s">
        <v>19419</v>
      </c>
      <c r="B6199" t="s">
        <v>19420</v>
      </c>
      <c r="C6199" t="s">
        <v>19421</v>
      </c>
      <c r="D6199" t="s">
        <v>19422</v>
      </c>
      <c r="E6199">
        <v>2</v>
      </c>
      <c r="F6199" t="str">
        <f>HYPERLINK("https://github.com/Abir-Tx/XWriter/issues/10", "show")</f>
        <v>show</v>
      </c>
      <c r="G6199" t="str">
        <f>HYPERLINK("https://github.com/Abir-Tx/XWriter", "show")</f>
        <v>show</v>
      </c>
      <c r="H6199" t="str">
        <f>HYPERLINK("https://github.com/Abir-Tx/XWriter/releases", "show")</f>
        <v>show</v>
      </c>
      <c r="I6199">
        <v>1</v>
      </c>
      <c r="J6199">
        <v>0</v>
      </c>
      <c r="K6199">
        <v>0</v>
      </c>
      <c r="L6199">
        <v>1</v>
      </c>
      <c r="M6199" t="s">
        <v>29</v>
      </c>
    </row>
    <row r="6200" spans="1:13" hidden="1" x14ac:dyDescent="0.15">
      <c r="A6200" t="s">
        <v>19423</v>
      </c>
      <c r="B6200" t="s">
        <v>19424</v>
      </c>
      <c r="C6200" t="s">
        <v>19425</v>
      </c>
      <c r="D6200" t="s">
        <v>19422</v>
      </c>
      <c r="E6200">
        <v>0</v>
      </c>
      <c r="F6200" t="str">
        <f>HYPERLINK("https://github.com/Anuken/Mindustry/issues/3091", "show")</f>
        <v>show</v>
      </c>
      <c r="G6200" t="str">
        <f>HYPERLINK("https://github.com/Anuken/Mindustry", "show")</f>
        <v>show</v>
      </c>
      <c r="H6200" t="str">
        <f>HYPERLINK("https://github.com/Anuken/Mindustry/releases", "show")</f>
        <v>show</v>
      </c>
      <c r="I6200">
        <v>0</v>
      </c>
      <c r="J6200">
        <v>0</v>
      </c>
      <c r="K6200">
        <v>0</v>
      </c>
      <c r="L6200">
        <v>0</v>
      </c>
      <c r="M6200" t="s">
        <v>43</v>
      </c>
    </row>
    <row r="6201" spans="1:13" hidden="1" x14ac:dyDescent="0.15">
      <c r="A6201" t="s">
        <v>19426</v>
      </c>
      <c r="B6201" t="s">
        <v>19427</v>
      </c>
      <c r="C6201" t="s">
        <v>19428</v>
      </c>
      <c r="D6201" t="s">
        <v>19422</v>
      </c>
      <c r="E6201">
        <v>0</v>
      </c>
      <c r="F6201" t="str">
        <f>HYPERLINK("https://github.com/Anuken/Mindustry/issues/3085", "show")</f>
        <v>show</v>
      </c>
      <c r="G6201" t="str">
        <f>HYPERLINK("https://github.com/Anuken/Mindustry", "show")</f>
        <v>show</v>
      </c>
      <c r="H6201" t="str">
        <f>HYPERLINK("https://github.com/Anuken/Mindustry/releases", "show")</f>
        <v>show</v>
      </c>
      <c r="I6201">
        <v>0</v>
      </c>
      <c r="J6201">
        <v>0</v>
      </c>
      <c r="K6201">
        <v>0</v>
      </c>
      <c r="L6201">
        <v>1</v>
      </c>
      <c r="M6201" t="s">
        <v>581</v>
      </c>
    </row>
    <row r="6202" spans="1:13" hidden="1" x14ac:dyDescent="0.15">
      <c r="A6202" t="s">
        <v>19429</v>
      </c>
      <c r="B6202" t="s">
        <v>19430</v>
      </c>
      <c r="C6202" t="s">
        <v>19431</v>
      </c>
      <c r="D6202" t="s">
        <v>19422</v>
      </c>
      <c r="E6202">
        <v>0</v>
      </c>
      <c r="F6202" t="str">
        <f>HYPERLINK("https://github.com/Anuken/Mindustry/issues/3084", "show")</f>
        <v>show</v>
      </c>
      <c r="G6202" t="str">
        <f>HYPERLINK("https://github.com/Anuken/Mindustry", "show")</f>
        <v>show</v>
      </c>
      <c r="H6202" t="str">
        <f>HYPERLINK("https://github.com/Anuken/Mindustry/releases", "show")</f>
        <v>show</v>
      </c>
      <c r="I6202">
        <v>0</v>
      </c>
      <c r="J6202">
        <v>0</v>
      </c>
      <c r="K6202">
        <v>0</v>
      </c>
      <c r="L6202">
        <v>0</v>
      </c>
      <c r="M6202" t="s">
        <v>43</v>
      </c>
    </row>
    <row r="6203" spans="1:13" hidden="1" x14ac:dyDescent="0.15">
      <c r="A6203" t="s">
        <v>19432</v>
      </c>
      <c r="B6203" t="s">
        <v>19433</v>
      </c>
      <c r="C6203" t="s">
        <v>19434</v>
      </c>
      <c r="D6203" t="s">
        <v>19435</v>
      </c>
      <c r="E6203">
        <v>0</v>
      </c>
      <c r="F6203" t="str">
        <f>HYPERLINK("https://github.com/Anuken/Mindustry/issues/3078", "show")</f>
        <v>show</v>
      </c>
      <c r="G6203" t="str">
        <f>HYPERLINK("https://github.com/Anuken/Mindustry", "show")</f>
        <v>show</v>
      </c>
      <c r="H6203" t="str">
        <f>HYPERLINK("https://github.com/Anuken/Mindustry/releases", "show")</f>
        <v>show</v>
      </c>
      <c r="I6203">
        <v>0</v>
      </c>
      <c r="J6203">
        <v>1</v>
      </c>
      <c r="K6203">
        <v>0</v>
      </c>
      <c r="L6203">
        <v>1</v>
      </c>
      <c r="M6203" t="s">
        <v>1732</v>
      </c>
    </row>
    <row r="6204" spans="1:13" hidden="1" x14ac:dyDescent="0.15">
      <c r="A6204" t="s">
        <v>19436</v>
      </c>
      <c r="B6204" t="s">
        <v>19437</v>
      </c>
      <c r="C6204" t="s">
        <v>19438</v>
      </c>
      <c r="D6204" t="s">
        <v>19435</v>
      </c>
      <c r="E6204">
        <v>0</v>
      </c>
      <c r="F6204" t="str">
        <f>HYPERLINK("https://github.com/Anuken/Mindustry/issues/3077", "show")</f>
        <v>show</v>
      </c>
      <c r="G6204" t="str">
        <f>HYPERLINK("https://github.com/Anuken/Mindustry", "show")</f>
        <v>show</v>
      </c>
      <c r="H6204" t="str">
        <f>HYPERLINK("https://github.com/Anuken/Mindustry/releases", "show")</f>
        <v>show</v>
      </c>
      <c r="I6204">
        <v>0</v>
      </c>
      <c r="J6204">
        <v>0</v>
      </c>
      <c r="K6204">
        <v>0</v>
      </c>
      <c r="L6204">
        <v>0</v>
      </c>
      <c r="M6204" t="s">
        <v>43</v>
      </c>
    </row>
    <row r="6205" spans="1:13" hidden="1" x14ac:dyDescent="0.15">
      <c r="A6205" t="s">
        <v>19439</v>
      </c>
      <c r="B6205" t="s">
        <v>19440</v>
      </c>
      <c r="C6205" t="s">
        <v>19441</v>
      </c>
      <c r="D6205" t="s">
        <v>19435</v>
      </c>
      <c r="E6205">
        <v>57</v>
      </c>
      <c r="F6205" t="str">
        <f>HYPERLINK("https://github.com/microg/GmsCore/issues/1244", "show")</f>
        <v>show</v>
      </c>
      <c r="G6205" t="str">
        <f>HYPERLINK("https://github.com/microg/GmsCore", "show")</f>
        <v>show</v>
      </c>
      <c r="H6205" t="str">
        <f>HYPERLINK("https://github.com/microg/GmsCore/releases", "show")</f>
        <v>show</v>
      </c>
      <c r="I6205">
        <v>1</v>
      </c>
      <c r="J6205">
        <v>0</v>
      </c>
      <c r="K6205">
        <v>0</v>
      </c>
      <c r="L6205">
        <v>0</v>
      </c>
      <c r="M6205" t="s">
        <v>17</v>
      </c>
    </row>
    <row r="6206" spans="1:13" hidden="1" x14ac:dyDescent="0.15">
      <c r="A6206" t="s">
        <v>19442</v>
      </c>
      <c r="B6206" t="s">
        <v>19443</v>
      </c>
      <c r="C6206" t="s">
        <v>19444</v>
      </c>
      <c r="D6206" t="s">
        <v>19435</v>
      </c>
      <c r="E6206">
        <v>0</v>
      </c>
      <c r="F6206" t="str">
        <f>HYPERLINK("https://github.com/Anuken/Mindustry/issues/3074", "show")</f>
        <v>show</v>
      </c>
      <c r="G6206" t="str">
        <f>HYPERLINK("https://github.com/Anuken/Mindustry", "show")</f>
        <v>show</v>
      </c>
      <c r="H6206" t="str">
        <f>HYPERLINK("https://github.com/Anuken/Mindustry/releases", "show")</f>
        <v>show</v>
      </c>
      <c r="I6206">
        <v>0</v>
      </c>
      <c r="J6206">
        <v>0</v>
      </c>
      <c r="K6206">
        <v>0</v>
      </c>
      <c r="L6206">
        <v>0</v>
      </c>
      <c r="M6206" t="s">
        <v>43</v>
      </c>
    </row>
    <row r="6207" spans="1:13" hidden="1" x14ac:dyDescent="0.15">
      <c r="A6207" t="s">
        <v>19445</v>
      </c>
      <c r="B6207" t="s">
        <v>19446</v>
      </c>
      <c r="C6207" t="s">
        <v>19447</v>
      </c>
      <c r="D6207" t="s">
        <v>19435</v>
      </c>
      <c r="E6207">
        <v>6</v>
      </c>
      <c r="F6207" t="str">
        <f>HYPERLINK("https://github.com/nextcloud/android/issues/7131", "show")</f>
        <v>show</v>
      </c>
      <c r="G6207" t="str">
        <f>HYPERLINK("https://github.com/nextcloud/android", "show")</f>
        <v>show</v>
      </c>
      <c r="H6207" t="str">
        <f>HYPERLINK("https://github.com/nextcloud/android/releases", "show")</f>
        <v>show</v>
      </c>
      <c r="I6207">
        <v>1</v>
      </c>
      <c r="J6207">
        <v>1</v>
      </c>
      <c r="K6207">
        <v>1</v>
      </c>
      <c r="L6207">
        <v>0</v>
      </c>
      <c r="M6207" t="s">
        <v>59</v>
      </c>
    </row>
    <row r="6208" spans="1:13" hidden="1" x14ac:dyDescent="0.15">
      <c r="A6208" t="s">
        <v>19448</v>
      </c>
      <c r="B6208" t="s">
        <v>19449</v>
      </c>
      <c r="C6208" t="s">
        <v>19450</v>
      </c>
      <c r="D6208" t="s">
        <v>19435</v>
      </c>
      <c r="E6208">
        <v>3</v>
      </c>
      <c r="F6208" t="str">
        <f>HYPERLINK("https://github.com/nextcloud/android/issues/7130", "show")</f>
        <v>show</v>
      </c>
      <c r="G6208" t="str">
        <f>HYPERLINK("https://github.com/nextcloud/android", "show")</f>
        <v>show</v>
      </c>
      <c r="H6208" t="str">
        <f>HYPERLINK("https://github.com/nextcloud/android/releases", "show")</f>
        <v>show</v>
      </c>
      <c r="I6208">
        <v>1</v>
      </c>
      <c r="J6208">
        <v>1</v>
      </c>
      <c r="K6208">
        <v>0</v>
      </c>
      <c r="L6208">
        <v>0</v>
      </c>
      <c r="M6208" t="s">
        <v>48</v>
      </c>
    </row>
    <row r="6209" spans="1:13" hidden="1" x14ac:dyDescent="0.15">
      <c r="A6209" t="s">
        <v>19451</v>
      </c>
      <c r="B6209" t="s">
        <v>19452</v>
      </c>
      <c r="C6209" t="s">
        <v>19453</v>
      </c>
      <c r="D6209" t="s">
        <v>19435</v>
      </c>
      <c r="E6209">
        <v>18</v>
      </c>
      <c r="F6209" t="str">
        <f>HYPERLINK("https://github.com/google/ExoPlayer/issues/8106", "show")</f>
        <v>show</v>
      </c>
      <c r="G6209" t="str">
        <f>HYPERLINK("https://github.com/google/ExoPlayer", "show")</f>
        <v>show</v>
      </c>
      <c r="H6209" t="str">
        <f>HYPERLINK("https://github.com/google/ExoPlayer/releases", "show")</f>
        <v>show</v>
      </c>
      <c r="I6209">
        <v>1</v>
      </c>
      <c r="J6209">
        <v>0</v>
      </c>
      <c r="K6209">
        <v>1</v>
      </c>
      <c r="L6209">
        <v>0</v>
      </c>
      <c r="M6209" t="s">
        <v>64</v>
      </c>
    </row>
    <row r="6210" spans="1:13" hidden="1" x14ac:dyDescent="0.15">
      <c r="A6210" t="s">
        <v>19454</v>
      </c>
      <c r="B6210" t="s">
        <v>19455</v>
      </c>
      <c r="C6210" t="s">
        <v>19456</v>
      </c>
      <c r="D6210" t="s">
        <v>19435</v>
      </c>
      <c r="E6210">
        <v>1</v>
      </c>
      <c r="F6210" t="str">
        <f>HYPERLINK("https://github.com/Abir-Tx/XWriter/issues/7", "show")</f>
        <v>show</v>
      </c>
      <c r="G6210" t="str">
        <f>HYPERLINK("https://github.com/Abir-Tx/XWriter", "show")</f>
        <v>show</v>
      </c>
      <c r="H6210" t="str">
        <f>HYPERLINK("https://github.com/Abir-Tx/XWriter/releases", "show")</f>
        <v>show</v>
      </c>
      <c r="I6210">
        <v>1</v>
      </c>
      <c r="J6210">
        <v>0</v>
      </c>
      <c r="K6210">
        <v>0</v>
      </c>
      <c r="L6210">
        <v>1</v>
      </c>
      <c r="M6210" t="s">
        <v>29</v>
      </c>
    </row>
    <row r="6211" spans="1:13" hidden="1" x14ac:dyDescent="0.15">
      <c r="A6211" t="s">
        <v>19457</v>
      </c>
      <c r="B6211" t="s">
        <v>19458</v>
      </c>
      <c r="C6211" t="s">
        <v>19459</v>
      </c>
      <c r="D6211" t="s">
        <v>19435</v>
      </c>
      <c r="E6211">
        <v>0</v>
      </c>
      <c r="F6211" t="str">
        <f>HYPERLINK("https://github.com/TeamNewPipe/NewPipe/issues/4603", "show")</f>
        <v>show</v>
      </c>
      <c r="G6211" t="str">
        <f>HYPERLINK("https://github.com/TeamNewPipe/NewPipe", "show")</f>
        <v>show</v>
      </c>
      <c r="H6211" t="str">
        <f>HYPERLINK("https://github.com/TeamNewPipe/NewPipe/releases", "show")</f>
        <v>show</v>
      </c>
      <c r="I6211">
        <v>1</v>
      </c>
      <c r="J6211">
        <v>1</v>
      </c>
      <c r="K6211">
        <v>0</v>
      </c>
      <c r="L6211">
        <v>0</v>
      </c>
      <c r="M6211" t="s">
        <v>48</v>
      </c>
    </row>
    <row r="6212" spans="1:13" hidden="1" x14ac:dyDescent="0.15">
      <c r="A6212" t="s">
        <v>19460</v>
      </c>
      <c r="B6212" t="s">
        <v>19461</v>
      </c>
      <c r="C6212" t="s">
        <v>19462</v>
      </c>
      <c r="D6212" t="s">
        <v>19435</v>
      </c>
      <c r="E6212">
        <v>0</v>
      </c>
      <c r="F6212" t="str">
        <f>HYPERLINK("https://github.com/TeamNewPipe/NewPipe/issues/4602", "show")</f>
        <v>show</v>
      </c>
      <c r="G6212" t="str">
        <f>HYPERLINK("https://github.com/TeamNewPipe/NewPipe", "show")</f>
        <v>show</v>
      </c>
      <c r="H6212" t="str">
        <f>HYPERLINK("https://github.com/TeamNewPipe/NewPipe/releases", "show")</f>
        <v>show</v>
      </c>
      <c r="I6212">
        <v>1</v>
      </c>
      <c r="J6212">
        <v>1</v>
      </c>
      <c r="K6212">
        <v>0</v>
      </c>
      <c r="L6212">
        <v>0</v>
      </c>
      <c r="M6212" t="s">
        <v>48</v>
      </c>
    </row>
    <row r="6213" spans="1:13" hidden="1" x14ac:dyDescent="0.15">
      <c r="A6213" t="s">
        <v>19463</v>
      </c>
      <c r="B6213" t="s">
        <v>19464</v>
      </c>
      <c r="C6213" t="s">
        <v>19465</v>
      </c>
      <c r="D6213" t="s">
        <v>19466</v>
      </c>
      <c r="E6213">
        <v>1</v>
      </c>
      <c r="F6213" t="str">
        <f>HYPERLINK("https://github.com/OlofSjogren/GoAyo/issues/207", "show")</f>
        <v>show</v>
      </c>
      <c r="G6213" t="str">
        <f>HYPERLINK("https://github.com/OlofSjogren/GoAyo", "show")</f>
        <v>show</v>
      </c>
      <c r="H6213" t="str">
        <f>HYPERLINK("https://github.com/OlofSjogren/GoAyo/releases", "show")</f>
        <v>show</v>
      </c>
      <c r="I6213">
        <v>1</v>
      </c>
      <c r="J6213">
        <v>0</v>
      </c>
      <c r="K6213">
        <v>0</v>
      </c>
      <c r="L6213">
        <v>0</v>
      </c>
      <c r="M6213" t="s">
        <v>17</v>
      </c>
    </row>
    <row r="6214" spans="1:13" hidden="1" x14ac:dyDescent="0.15">
      <c r="A6214" t="s">
        <v>19467</v>
      </c>
      <c r="B6214" t="s">
        <v>19468</v>
      </c>
      <c r="C6214" t="s">
        <v>17518</v>
      </c>
      <c r="D6214" t="s">
        <v>19466</v>
      </c>
      <c r="E6214">
        <v>0</v>
      </c>
      <c r="F6214" t="str">
        <f>HYPERLINK("https://github.com/Anuken/Mindustry/issues/3068", "show")</f>
        <v>show</v>
      </c>
      <c r="G6214" t="str">
        <f>HYPERLINK("https://github.com/Anuken/Mindustry", "show")</f>
        <v>show</v>
      </c>
      <c r="H6214" t="str">
        <f>HYPERLINK("https://github.com/Anuken/Mindustry/releases", "show")</f>
        <v>show</v>
      </c>
      <c r="I6214">
        <v>0</v>
      </c>
      <c r="J6214">
        <v>0</v>
      </c>
      <c r="K6214">
        <v>1</v>
      </c>
      <c r="L6214">
        <v>0</v>
      </c>
      <c r="M6214" t="s">
        <v>122</v>
      </c>
    </row>
    <row r="6215" spans="1:13" x14ac:dyDescent="0.15">
      <c r="A6215" t="s">
        <v>19469</v>
      </c>
      <c r="B6215" t="s">
        <v>19470</v>
      </c>
      <c r="C6215" t="s">
        <v>19471</v>
      </c>
      <c r="D6215" t="s">
        <v>19466</v>
      </c>
      <c r="E6215">
        <v>0</v>
      </c>
      <c r="F6215" t="str">
        <f>HYPERLINK("https://github.com/Anuken/Mindustry/issues/3067", "show")</f>
        <v>show</v>
      </c>
      <c r="G6215" t="str">
        <f>HYPERLINK("https://github.com/Anuken/Mindustry", "show")</f>
        <v>show</v>
      </c>
      <c r="H6215" t="str">
        <f>HYPERLINK("https://github.com/Anuken/Mindustry/releases", "show")</f>
        <v>show</v>
      </c>
      <c r="I6215">
        <v>0</v>
      </c>
      <c r="J6215">
        <v>1</v>
      </c>
      <c r="K6215">
        <v>0</v>
      </c>
      <c r="L6215">
        <v>0</v>
      </c>
      <c r="M6215" t="s">
        <v>139</v>
      </c>
    </row>
    <row r="6216" spans="1:13" hidden="1" x14ac:dyDescent="0.15">
      <c r="A6216" t="s">
        <v>19472</v>
      </c>
      <c r="B6216" t="s">
        <v>19473</v>
      </c>
      <c r="C6216" t="s">
        <v>19474</v>
      </c>
      <c r="D6216" t="s">
        <v>19466</v>
      </c>
      <c r="E6216">
        <v>22</v>
      </c>
      <c r="F6216" t="str">
        <f>HYPERLINK("https://github.com/opensrp/opensrp-client-chw/issues/1444", "show")</f>
        <v>show</v>
      </c>
      <c r="G6216" t="str">
        <f>HYPERLINK("https://github.com/opensrp/opensrp-client-chw", "show")</f>
        <v>show</v>
      </c>
      <c r="H6216" t="str">
        <f>HYPERLINK("https://github.com/opensrp/opensrp-client-chw/releases", "show")</f>
        <v>show</v>
      </c>
      <c r="I6216">
        <v>1</v>
      </c>
      <c r="J6216">
        <v>0</v>
      </c>
      <c r="K6216">
        <v>0</v>
      </c>
      <c r="L6216">
        <v>0</v>
      </c>
      <c r="M6216" t="s">
        <v>17</v>
      </c>
    </row>
    <row r="6217" spans="1:13" hidden="1" x14ac:dyDescent="0.15">
      <c r="A6217" t="s">
        <v>19475</v>
      </c>
      <c r="B6217" t="s">
        <v>19476</v>
      </c>
      <c r="C6217" t="s">
        <v>19477</v>
      </c>
      <c r="D6217" t="s">
        <v>19466</v>
      </c>
      <c r="E6217">
        <v>10</v>
      </c>
      <c r="F6217" t="str">
        <f>HYPERLINK("https://github.com/ultrasonic/ultrasonic/issues/337", "show")</f>
        <v>show</v>
      </c>
      <c r="G6217" t="str">
        <f>HYPERLINK("https://github.com/ultrasonic/ultrasonic", "show")</f>
        <v>show</v>
      </c>
      <c r="H6217" t="str">
        <f>HYPERLINK("https://github.com/ultrasonic/ultrasonic/releases", "show")</f>
        <v>show</v>
      </c>
      <c r="I6217">
        <v>1</v>
      </c>
      <c r="J6217">
        <v>0</v>
      </c>
      <c r="K6217">
        <v>1</v>
      </c>
      <c r="L6217">
        <v>0</v>
      </c>
      <c r="M6217" t="s">
        <v>64</v>
      </c>
    </row>
    <row r="6218" spans="1:13" hidden="1" x14ac:dyDescent="0.15">
      <c r="A6218" t="s">
        <v>19478</v>
      </c>
      <c r="B6218" t="s">
        <v>19479</v>
      </c>
      <c r="C6218" t="s">
        <v>19480</v>
      </c>
      <c r="D6218" t="s">
        <v>19466</v>
      </c>
      <c r="E6218">
        <v>0</v>
      </c>
      <c r="F6218" t="str">
        <f>HYPERLINK("https://github.com/Anuken/Mindustry/issues/3064", "show")</f>
        <v>show</v>
      </c>
      <c r="G6218" t="str">
        <f>HYPERLINK("https://github.com/Anuken/Mindustry", "show")</f>
        <v>show</v>
      </c>
      <c r="H6218" t="str">
        <f>HYPERLINK("https://github.com/Anuken/Mindustry/releases", "show")</f>
        <v>show</v>
      </c>
      <c r="I6218">
        <v>0</v>
      </c>
      <c r="J6218">
        <v>1</v>
      </c>
      <c r="K6218">
        <v>0</v>
      </c>
      <c r="L6218">
        <v>1</v>
      </c>
      <c r="M6218" t="s">
        <v>1732</v>
      </c>
    </row>
    <row r="6219" spans="1:13" hidden="1" x14ac:dyDescent="0.15">
      <c r="A6219" t="s">
        <v>19481</v>
      </c>
      <c r="B6219" t="s">
        <v>19482</v>
      </c>
      <c r="C6219" t="s">
        <v>19483</v>
      </c>
      <c r="D6219" t="s">
        <v>19466</v>
      </c>
      <c r="E6219">
        <v>0</v>
      </c>
      <c r="F6219" t="str">
        <f>HYPERLINK("https://github.com/Anuken/Mindustry/issues/3062", "show")</f>
        <v>show</v>
      </c>
      <c r="G6219" t="str">
        <f>HYPERLINK("https://github.com/Anuken/Mindustry", "show")</f>
        <v>show</v>
      </c>
      <c r="H6219" t="str">
        <f>HYPERLINK("https://github.com/Anuken/Mindustry/releases", "show")</f>
        <v>show</v>
      </c>
      <c r="I6219">
        <v>0</v>
      </c>
      <c r="J6219">
        <v>1</v>
      </c>
      <c r="K6219">
        <v>0</v>
      </c>
      <c r="L6219">
        <v>1</v>
      </c>
      <c r="M6219" t="s">
        <v>1732</v>
      </c>
    </row>
    <row r="6220" spans="1:13" hidden="1" x14ac:dyDescent="0.15">
      <c r="A6220" t="s">
        <v>19484</v>
      </c>
      <c r="B6220" t="s">
        <v>19485</v>
      </c>
      <c r="C6220" t="s">
        <v>19486</v>
      </c>
      <c r="D6220" t="s">
        <v>19466</v>
      </c>
      <c r="E6220">
        <v>0</v>
      </c>
      <c r="F6220" t="str">
        <f>HYPERLINK("https://github.com/Anuken/Mindustry/issues/3059", "show")</f>
        <v>show</v>
      </c>
      <c r="G6220" t="str">
        <f>HYPERLINK("https://github.com/Anuken/Mindustry", "show")</f>
        <v>show</v>
      </c>
      <c r="H6220" t="str">
        <f>HYPERLINK("https://github.com/Anuken/Mindustry/releases", "show")</f>
        <v>show</v>
      </c>
      <c r="I6220">
        <v>0</v>
      </c>
      <c r="J6220">
        <v>0</v>
      </c>
      <c r="K6220">
        <v>0</v>
      </c>
      <c r="L6220">
        <v>0</v>
      </c>
      <c r="M6220" t="s">
        <v>43</v>
      </c>
    </row>
    <row r="6221" spans="1:13" hidden="1" x14ac:dyDescent="0.15">
      <c r="A6221" t="s">
        <v>19487</v>
      </c>
      <c r="B6221" t="s">
        <v>7086</v>
      </c>
      <c r="C6221" t="s">
        <v>19488</v>
      </c>
      <c r="D6221" t="s">
        <v>19489</v>
      </c>
      <c r="E6221">
        <v>6</v>
      </c>
      <c r="F6221" t="str">
        <f>HYPERLINK("https://github.com/nextcloud/android/issues/7126", "show")</f>
        <v>show</v>
      </c>
      <c r="G6221" t="str">
        <f>HYPERLINK("https://github.com/nextcloud/android", "show")</f>
        <v>show</v>
      </c>
      <c r="H6221" t="str">
        <f>HYPERLINK("https://github.com/nextcloud/android/releases", "show")</f>
        <v>show</v>
      </c>
      <c r="I6221">
        <v>0</v>
      </c>
      <c r="J6221">
        <v>0</v>
      </c>
      <c r="K6221">
        <v>1</v>
      </c>
      <c r="L6221">
        <v>0</v>
      </c>
      <c r="M6221" t="s">
        <v>122</v>
      </c>
    </row>
    <row r="6222" spans="1:13" hidden="1" x14ac:dyDescent="0.15">
      <c r="A6222" t="s">
        <v>19490</v>
      </c>
      <c r="B6222" t="s">
        <v>19491</v>
      </c>
      <c r="C6222" t="s">
        <v>19492</v>
      </c>
      <c r="D6222" t="s">
        <v>19489</v>
      </c>
      <c r="E6222">
        <v>215</v>
      </c>
      <c r="F6222" t="str">
        <f>HYPERLINK("https://github.com/AppsFlyerSDK/appsflyer-react-native-plugin/issues/202", "show")</f>
        <v>show</v>
      </c>
      <c r="G6222" t="str">
        <f>HYPERLINK("https://github.com/AppsFlyerSDK/appsflyer-react-native-plugin", "show")</f>
        <v>show</v>
      </c>
      <c r="H6222" t="str">
        <f>HYPERLINK("https://github.com/AppsFlyerSDK/appsflyer-react-native-plugin/releases", "show")</f>
        <v>show</v>
      </c>
      <c r="I6222">
        <v>1</v>
      </c>
      <c r="J6222">
        <v>0</v>
      </c>
      <c r="K6222">
        <v>0</v>
      </c>
      <c r="L6222">
        <v>0</v>
      </c>
      <c r="M6222" t="s">
        <v>17</v>
      </c>
    </row>
    <row r="6223" spans="1:13" hidden="1" x14ac:dyDescent="0.15">
      <c r="A6223" t="s">
        <v>19493</v>
      </c>
      <c r="B6223" t="s">
        <v>19494</v>
      </c>
      <c r="C6223" t="s">
        <v>19495</v>
      </c>
      <c r="D6223" t="s">
        <v>19489</v>
      </c>
      <c r="E6223">
        <v>14</v>
      </c>
      <c r="F6223" t="str">
        <f>HYPERLINK("https://github.com/doublesymmetry/react-native-track-player/issues/1052", "show")</f>
        <v>show</v>
      </c>
      <c r="G6223" t="str">
        <f>HYPERLINK("https://github.com/doublesymmetry/react-native-track-player", "show")</f>
        <v>show</v>
      </c>
      <c r="H6223" t="str">
        <f>HYPERLINK("https://github.com/doublesymmetry/react-native-track-player/releases", "show")</f>
        <v>show</v>
      </c>
      <c r="I6223">
        <v>1</v>
      </c>
      <c r="J6223">
        <v>0</v>
      </c>
      <c r="K6223">
        <v>0</v>
      </c>
      <c r="L6223">
        <v>0</v>
      </c>
      <c r="M6223" t="s">
        <v>17</v>
      </c>
    </row>
    <row r="6224" spans="1:13" hidden="1" x14ac:dyDescent="0.15">
      <c r="A6224" t="s">
        <v>19496</v>
      </c>
      <c r="B6224" t="s">
        <v>19497</v>
      </c>
      <c r="C6224" t="s">
        <v>19498</v>
      </c>
      <c r="D6224" t="s">
        <v>19489</v>
      </c>
      <c r="E6224">
        <v>5</v>
      </c>
      <c r="F6224" t="str">
        <f>HYPERLINK("https://github.com/forrestguice/SuntimesWidget/issues/437", "show")</f>
        <v>show</v>
      </c>
      <c r="G6224" t="str">
        <f>HYPERLINK("https://github.com/forrestguice/SuntimesWidget", "show")</f>
        <v>show</v>
      </c>
      <c r="H6224" t="str">
        <f>HYPERLINK("https://github.com/forrestguice/SuntimesWidget/releases", "show")</f>
        <v>show</v>
      </c>
      <c r="I6224">
        <v>1</v>
      </c>
      <c r="J6224">
        <v>0</v>
      </c>
      <c r="K6224">
        <v>0</v>
      </c>
      <c r="L6224">
        <v>0</v>
      </c>
      <c r="M6224" t="s">
        <v>17</v>
      </c>
    </row>
    <row r="6225" spans="1:13" hidden="1" x14ac:dyDescent="0.15">
      <c r="A6225" t="s">
        <v>19499</v>
      </c>
      <c r="B6225" t="s">
        <v>19500</v>
      </c>
      <c r="C6225" t="s">
        <v>19501</v>
      </c>
      <c r="D6225" t="s">
        <v>19489</v>
      </c>
      <c r="E6225">
        <v>0</v>
      </c>
      <c r="F6225" t="str">
        <f>HYPERLINK("https://github.com/Anuken/Mindustry/issues/3052", "show")</f>
        <v>show</v>
      </c>
      <c r="G6225" t="str">
        <f>HYPERLINK("https://github.com/Anuken/Mindustry", "show")</f>
        <v>show</v>
      </c>
      <c r="H6225" t="str">
        <f>HYPERLINK("https://github.com/Anuken/Mindustry/releases", "show")</f>
        <v>show</v>
      </c>
      <c r="I6225">
        <v>0</v>
      </c>
      <c r="J6225">
        <v>0</v>
      </c>
      <c r="K6225">
        <v>1</v>
      </c>
      <c r="L6225">
        <v>0</v>
      </c>
      <c r="M6225" t="s">
        <v>122</v>
      </c>
    </row>
    <row r="6226" spans="1:13" hidden="1" x14ac:dyDescent="0.15">
      <c r="A6226" t="s">
        <v>19502</v>
      </c>
      <c r="B6226" t="s">
        <v>19503</v>
      </c>
      <c r="C6226" t="s">
        <v>19504</v>
      </c>
      <c r="D6226" t="s">
        <v>19489</v>
      </c>
      <c r="E6226">
        <v>0</v>
      </c>
      <c r="F6226" t="str">
        <f>HYPERLINK("https://github.com/Anuken/Mindustry/issues/3050", "show")</f>
        <v>show</v>
      </c>
      <c r="G6226" t="str">
        <f>HYPERLINK("https://github.com/Anuken/Mindustry", "show")</f>
        <v>show</v>
      </c>
      <c r="H6226" t="str">
        <f>HYPERLINK("https://github.com/Anuken/Mindustry/releases", "show")</f>
        <v>show</v>
      </c>
      <c r="I6226">
        <v>0</v>
      </c>
      <c r="J6226">
        <v>0</v>
      </c>
      <c r="K6226">
        <v>0</v>
      </c>
      <c r="L6226">
        <v>0</v>
      </c>
      <c r="M6226" t="s">
        <v>43</v>
      </c>
    </row>
    <row r="6227" spans="1:13" hidden="1" x14ac:dyDescent="0.15">
      <c r="A6227" t="s">
        <v>19505</v>
      </c>
      <c r="B6227" t="s">
        <v>19506</v>
      </c>
      <c r="C6227" t="s">
        <v>19459</v>
      </c>
      <c r="D6227" t="s">
        <v>19489</v>
      </c>
      <c r="E6227">
        <v>0</v>
      </c>
      <c r="F6227" t="str">
        <f>HYPERLINK("https://github.com/TeamNewPipe/NewPipe/issues/4582", "show")</f>
        <v>show</v>
      </c>
      <c r="G6227" t="str">
        <f>HYPERLINK("https://github.com/TeamNewPipe/NewPipe", "show")</f>
        <v>show</v>
      </c>
      <c r="H6227" t="str">
        <f>HYPERLINK("https://github.com/TeamNewPipe/NewPipe/releases", "show")</f>
        <v>show</v>
      </c>
      <c r="I6227">
        <v>1</v>
      </c>
      <c r="J6227">
        <v>1</v>
      </c>
      <c r="K6227">
        <v>0</v>
      </c>
      <c r="L6227">
        <v>0</v>
      </c>
      <c r="M6227" t="s">
        <v>48</v>
      </c>
    </row>
    <row r="6228" spans="1:13" hidden="1" x14ac:dyDescent="0.15">
      <c r="A6228" t="s">
        <v>19507</v>
      </c>
      <c r="B6228" t="s">
        <v>19508</v>
      </c>
      <c r="C6228" t="s">
        <v>19509</v>
      </c>
      <c r="D6228" t="s">
        <v>19489</v>
      </c>
      <c r="E6228">
        <v>0</v>
      </c>
      <c r="F6228" t="str">
        <f>HYPERLINK("https://github.com/TeamNewPipe/NewPipe/issues/4580", "show")</f>
        <v>show</v>
      </c>
      <c r="G6228" t="str">
        <f>HYPERLINK("https://github.com/TeamNewPipe/NewPipe", "show")</f>
        <v>show</v>
      </c>
      <c r="H6228" t="str">
        <f>HYPERLINK("https://github.com/TeamNewPipe/NewPipe/releases", "show")</f>
        <v>show</v>
      </c>
      <c r="I6228">
        <v>1</v>
      </c>
      <c r="J6228">
        <v>1</v>
      </c>
      <c r="K6228">
        <v>0</v>
      </c>
      <c r="L6228">
        <v>0</v>
      </c>
      <c r="M6228" t="s">
        <v>48</v>
      </c>
    </row>
    <row r="6229" spans="1:13" hidden="1" x14ac:dyDescent="0.15">
      <c r="A6229" t="s">
        <v>19510</v>
      </c>
      <c r="B6229" t="s">
        <v>19511</v>
      </c>
      <c r="C6229" t="s">
        <v>19512</v>
      </c>
      <c r="D6229" t="s">
        <v>19489</v>
      </c>
      <c r="E6229">
        <v>327</v>
      </c>
      <c r="F6229" t="str">
        <f>HYPERLINK("https://github.com/material-components/material-components-android/issues/1814", "show")</f>
        <v>show</v>
      </c>
      <c r="G6229" t="str">
        <f>HYPERLINK("https://github.com/material-components/material-components-android", "show")</f>
        <v>show</v>
      </c>
      <c r="H6229" t="str">
        <f>HYPERLINK("https://github.com/material-components/material-components-android/releases", "show")</f>
        <v>show</v>
      </c>
      <c r="I6229">
        <v>0</v>
      </c>
      <c r="J6229">
        <v>0</v>
      </c>
      <c r="K6229">
        <v>1</v>
      </c>
      <c r="L6229">
        <v>0</v>
      </c>
      <c r="M6229" t="s">
        <v>122</v>
      </c>
    </row>
    <row r="6230" spans="1:13" hidden="1" x14ac:dyDescent="0.15">
      <c r="A6230" t="s">
        <v>19513</v>
      </c>
      <c r="B6230" t="s">
        <v>19514</v>
      </c>
      <c r="C6230" t="s">
        <v>19515</v>
      </c>
      <c r="D6230" t="s">
        <v>19489</v>
      </c>
      <c r="E6230">
        <v>0</v>
      </c>
      <c r="F6230" t="str">
        <f>HYPERLINK("https://github.com/nextcloud/android/issues/7121", "show")</f>
        <v>show</v>
      </c>
      <c r="G6230" t="str">
        <f>HYPERLINK("https://github.com/nextcloud/android", "show")</f>
        <v>show</v>
      </c>
      <c r="H6230" t="str">
        <f>HYPERLINK("https://github.com/nextcloud/android/releases", "show")</f>
        <v>show</v>
      </c>
      <c r="I6230">
        <v>1</v>
      </c>
      <c r="J6230">
        <v>1</v>
      </c>
      <c r="K6230">
        <v>1</v>
      </c>
      <c r="L6230">
        <v>0</v>
      </c>
      <c r="M6230" t="s">
        <v>59</v>
      </c>
    </row>
    <row r="6231" spans="1:13" hidden="1" x14ac:dyDescent="0.15">
      <c r="A6231" t="s">
        <v>19516</v>
      </c>
      <c r="B6231" t="s">
        <v>19517</v>
      </c>
      <c r="C6231" t="s">
        <v>19518</v>
      </c>
      <c r="D6231" t="s">
        <v>19519</v>
      </c>
      <c r="E6231">
        <v>8</v>
      </c>
      <c r="F6231" t="str">
        <f>HYPERLINK("https://github.com/TeamNewPipe/NewPipe/issues/4572", "show")</f>
        <v>show</v>
      </c>
      <c r="G6231" t="str">
        <f>HYPERLINK("https://github.com/TeamNewPipe/NewPipe", "show")</f>
        <v>show</v>
      </c>
      <c r="H6231" t="str">
        <f>HYPERLINK("https://github.com/TeamNewPipe/NewPipe/releases", "show")</f>
        <v>show</v>
      </c>
      <c r="I6231">
        <v>0</v>
      </c>
      <c r="J6231">
        <v>0</v>
      </c>
      <c r="K6231">
        <v>1</v>
      </c>
      <c r="L6231">
        <v>0</v>
      </c>
      <c r="M6231" t="s">
        <v>122</v>
      </c>
    </row>
    <row r="6232" spans="1:13" hidden="1" x14ac:dyDescent="0.15">
      <c r="A6232" t="s">
        <v>19520</v>
      </c>
      <c r="B6232" t="s">
        <v>19521</v>
      </c>
      <c r="C6232" t="s">
        <v>19522</v>
      </c>
      <c r="D6232" t="s">
        <v>19519</v>
      </c>
      <c r="E6232">
        <v>0</v>
      </c>
      <c r="F6232" t="str">
        <f>HYPERLINK("https://github.com/Anuken/Mindustry/issues/3047", "show")</f>
        <v>show</v>
      </c>
      <c r="G6232" t="str">
        <f>HYPERLINK("https://github.com/Anuken/Mindustry", "show")</f>
        <v>show</v>
      </c>
      <c r="H6232" t="str">
        <f>HYPERLINK("https://github.com/Anuken/Mindustry/releases", "show")</f>
        <v>show</v>
      </c>
      <c r="I6232">
        <v>0</v>
      </c>
      <c r="J6232">
        <v>0</v>
      </c>
      <c r="K6232">
        <v>0</v>
      </c>
      <c r="L6232">
        <v>1</v>
      </c>
      <c r="M6232" t="s">
        <v>581</v>
      </c>
    </row>
    <row r="6233" spans="1:13" hidden="1" x14ac:dyDescent="0.15">
      <c r="A6233" t="s">
        <v>19523</v>
      </c>
      <c r="B6233" t="s">
        <v>19524</v>
      </c>
      <c r="C6233" t="s">
        <v>19525</v>
      </c>
      <c r="D6233" t="s">
        <v>19519</v>
      </c>
      <c r="E6233">
        <v>0</v>
      </c>
      <c r="F6233" t="str">
        <f>HYPERLINK("https://github.com/Anuken/Mindustry/issues/3045", "show")</f>
        <v>show</v>
      </c>
      <c r="G6233" t="str">
        <f>HYPERLINK("https://github.com/Anuken/Mindustry", "show")</f>
        <v>show</v>
      </c>
      <c r="H6233" t="str">
        <f>HYPERLINK("https://github.com/Anuken/Mindustry/releases", "show")</f>
        <v>show</v>
      </c>
      <c r="I6233">
        <v>0</v>
      </c>
      <c r="J6233">
        <v>0</v>
      </c>
      <c r="K6233">
        <v>0</v>
      </c>
      <c r="L6233">
        <v>1</v>
      </c>
      <c r="M6233" t="s">
        <v>581</v>
      </c>
    </row>
    <row r="6234" spans="1:13" hidden="1" x14ac:dyDescent="0.15">
      <c r="A6234" t="s">
        <v>19526</v>
      </c>
      <c r="B6234" t="s">
        <v>19527</v>
      </c>
      <c r="C6234" t="s">
        <v>19528</v>
      </c>
      <c r="D6234" t="s">
        <v>19519</v>
      </c>
      <c r="E6234">
        <v>4</v>
      </c>
      <c r="F6234" t="str">
        <f>HYPERLINK("https://github.com/kunalpat25/WCEVISITCOVID19/issues/7", "show")</f>
        <v>show</v>
      </c>
      <c r="G6234" t="str">
        <f>HYPERLINK("https://github.com/kunalpat25/WCEVISITCOVID19", "show")</f>
        <v>show</v>
      </c>
      <c r="H6234" t="str">
        <f>HYPERLINK("https://github.com/kunalpat25/WCEVISITCOVID19/releases", "show")</f>
        <v>show</v>
      </c>
      <c r="I6234">
        <v>1</v>
      </c>
      <c r="J6234">
        <v>1</v>
      </c>
      <c r="K6234">
        <v>0</v>
      </c>
      <c r="L6234">
        <v>0</v>
      </c>
      <c r="M6234" t="s">
        <v>48</v>
      </c>
    </row>
    <row r="6235" spans="1:13" hidden="1" x14ac:dyDescent="0.15">
      <c r="A6235" t="s">
        <v>19529</v>
      </c>
      <c r="B6235" t="s">
        <v>19530</v>
      </c>
      <c r="C6235" t="s">
        <v>19531</v>
      </c>
      <c r="D6235" t="s">
        <v>19519</v>
      </c>
      <c r="E6235">
        <v>2</v>
      </c>
      <c r="F6235" t="str">
        <f>HYPERLINK("https://github.com/gsantner/markor/issues/1100", "show")</f>
        <v>show</v>
      </c>
      <c r="G6235" t="str">
        <f>HYPERLINK("https://github.com/gsantner/markor", "show")</f>
        <v>show</v>
      </c>
      <c r="H6235" t="str">
        <f>HYPERLINK("https://github.com/gsantner/markor/releases", "show")</f>
        <v>show</v>
      </c>
      <c r="I6235">
        <v>1</v>
      </c>
      <c r="J6235">
        <v>0</v>
      </c>
      <c r="K6235">
        <v>0</v>
      </c>
      <c r="L6235">
        <v>0</v>
      </c>
      <c r="M6235" t="s">
        <v>17</v>
      </c>
    </row>
    <row r="6236" spans="1:13" hidden="1" x14ac:dyDescent="0.15">
      <c r="A6236" t="s">
        <v>19532</v>
      </c>
      <c r="B6236" t="s">
        <v>19533</v>
      </c>
      <c r="C6236" t="s">
        <v>19534</v>
      </c>
      <c r="D6236" t="s">
        <v>19519</v>
      </c>
      <c r="E6236">
        <v>13</v>
      </c>
      <c r="F6236" t="str">
        <f>HYPERLINK("https://github.com/mh-/corona-warn-companion-android/issues/66", "show")</f>
        <v>show</v>
      </c>
      <c r="G6236" t="str">
        <f>HYPERLINK("https://github.com/mh-/corona-warn-companion-android", "show")</f>
        <v>show</v>
      </c>
      <c r="H6236" t="str">
        <f>HYPERLINK("https://github.com/mh-/corona-warn-companion-android/releases", "show")</f>
        <v>show</v>
      </c>
      <c r="I6236">
        <v>0</v>
      </c>
      <c r="J6236">
        <v>0</v>
      </c>
      <c r="K6236">
        <v>1</v>
      </c>
      <c r="L6236">
        <v>0</v>
      </c>
      <c r="M6236" t="s">
        <v>122</v>
      </c>
    </row>
    <row r="6237" spans="1:13" hidden="1" x14ac:dyDescent="0.15">
      <c r="A6237" t="s">
        <v>19535</v>
      </c>
      <c r="B6237" t="s">
        <v>19536</v>
      </c>
      <c r="C6237" t="s">
        <v>19537</v>
      </c>
      <c r="D6237" t="s">
        <v>19519</v>
      </c>
      <c r="E6237">
        <v>0</v>
      </c>
      <c r="F6237" t="str">
        <f>HYPERLINK("https://github.com/doublesymmetry/react-native-track-player/issues/1049", "show")</f>
        <v>show</v>
      </c>
      <c r="G6237" t="str">
        <f>HYPERLINK("https://github.com/doublesymmetry/react-native-track-player", "show")</f>
        <v>show</v>
      </c>
      <c r="H6237" t="str">
        <f>HYPERLINK("https://github.com/doublesymmetry/react-native-track-player/releases", "show")</f>
        <v>show</v>
      </c>
      <c r="I6237">
        <v>0</v>
      </c>
      <c r="J6237">
        <v>0</v>
      </c>
      <c r="K6237">
        <v>1</v>
      </c>
      <c r="L6237">
        <v>0</v>
      </c>
      <c r="M6237" t="s">
        <v>122</v>
      </c>
    </row>
    <row r="6238" spans="1:13" hidden="1" x14ac:dyDescent="0.15">
      <c r="A6238" t="s">
        <v>19538</v>
      </c>
      <c r="B6238" t="s">
        <v>19539</v>
      </c>
      <c r="C6238" t="s">
        <v>19540</v>
      </c>
      <c r="D6238" t="s">
        <v>19519</v>
      </c>
      <c r="E6238">
        <v>22</v>
      </c>
      <c r="F6238" t="str">
        <f>HYPERLINK("https://github.com/nextcloud/android/issues/7115", "show")</f>
        <v>show</v>
      </c>
      <c r="G6238" t="str">
        <f>HYPERLINK("https://github.com/nextcloud/android", "show")</f>
        <v>show</v>
      </c>
      <c r="H6238" t="str">
        <f>HYPERLINK("https://github.com/nextcloud/android/releases", "show")</f>
        <v>show</v>
      </c>
      <c r="I6238">
        <v>1</v>
      </c>
      <c r="J6238">
        <v>1</v>
      </c>
      <c r="K6238">
        <v>1</v>
      </c>
      <c r="L6238">
        <v>0</v>
      </c>
      <c r="M6238" t="s">
        <v>59</v>
      </c>
    </row>
    <row r="6239" spans="1:13" hidden="1" x14ac:dyDescent="0.15">
      <c r="A6239" t="s">
        <v>19541</v>
      </c>
      <c r="B6239" t="s">
        <v>19542</v>
      </c>
      <c r="C6239" t="s">
        <v>19543</v>
      </c>
      <c r="D6239" t="s">
        <v>19519</v>
      </c>
      <c r="E6239">
        <v>0</v>
      </c>
      <c r="F6239" t="str">
        <f>HYPERLINK("https://github.com/Anuken/Mindustry/issues/3042", "show")</f>
        <v>show</v>
      </c>
      <c r="G6239" t="str">
        <f>HYPERLINK("https://github.com/Anuken/Mindustry", "show")</f>
        <v>show</v>
      </c>
      <c r="H6239" t="str">
        <f>HYPERLINK("https://github.com/Anuken/Mindustry/releases", "show")</f>
        <v>show</v>
      </c>
      <c r="I6239">
        <v>0</v>
      </c>
      <c r="J6239">
        <v>0</v>
      </c>
      <c r="K6239">
        <v>0</v>
      </c>
      <c r="L6239">
        <v>0</v>
      </c>
      <c r="M6239" t="s">
        <v>43</v>
      </c>
    </row>
    <row r="6240" spans="1:13" x14ac:dyDescent="0.15">
      <c r="A6240" t="s">
        <v>19544</v>
      </c>
      <c r="B6240" t="s">
        <v>19545</v>
      </c>
      <c r="C6240" t="s">
        <v>19546</v>
      </c>
      <c r="D6240" t="s">
        <v>19519</v>
      </c>
      <c r="E6240">
        <v>0</v>
      </c>
      <c r="F6240" t="str">
        <f>HYPERLINK("https://github.com/Anuken/Mindustry/issues/3040", "show")</f>
        <v>show</v>
      </c>
      <c r="G6240" t="str">
        <f>HYPERLINK("https://github.com/Anuken/Mindustry", "show")</f>
        <v>show</v>
      </c>
      <c r="H6240" t="str">
        <f>HYPERLINK("https://github.com/Anuken/Mindustry/releases", "show")</f>
        <v>show</v>
      </c>
      <c r="I6240">
        <v>0</v>
      </c>
      <c r="J6240">
        <v>1</v>
      </c>
      <c r="K6240">
        <v>0</v>
      </c>
      <c r="L6240">
        <v>0</v>
      </c>
      <c r="M6240" t="s">
        <v>139</v>
      </c>
    </row>
    <row r="6241" spans="1:13" hidden="1" x14ac:dyDescent="0.15">
      <c r="A6241" t="s">
        <v>19547</v>
      </c>
      <c r="B6241" t="s">
        <v>19548</v>
      </c>
      <c r="C6241" t="s">
        <v>19549</v>
      </c>
      <c r="D6241" t="s">
        <v>19519</v>
      </c>
      <c r="E6241">
        <v>9</v>
      </c>
      <c r="F6241" t="str">
        <f>HYPERLINK("https://github.com/defold/extension-push/issues/24", "show")</f>
        <v>show</v>
      </c>
      <c r="G6241" t="str">
        <f>HYPERLINK("https://github.com/defold/extension-push", "show")</f>
        <v>show</v>
      </c>
      <c r="H6241" t="str">
        <f>HYPERLINK("https://github.com/defold/extension-push/releases", "show")</f>
        <v>show</v>
      </c>
      <c r="I6241">
        <v>1</v>
      </c>
      <c r="J6241">
        <v>0</v>
      </c>
      <c r="K6241">
        <v>0</v>
      </c>
      <c r="L6241">
        <v>0</v>
      </c>
      <c r="M6241" t="s">
        <v>17</v>
      </c>
    </row>
    <row r="6242" spans="1:13" hidden="1" x14ac:dyDescent="0.15">
      <c r="A6242" t="s">
        <v>19550</v>
      </c>
      <c r="B6242" t="s">
        <v>19551</v>
      </c>
      <c r="C6242" t="s">
        <v>19552</v>
      </c>
      <c r="D6242" t="s">
        <v>19519</v>
      </c>
      <c r="E6242">
        <v>0</v>
      </c>
      <c r="F6242" t="str">
        <f>HYPERLINK("https://github.com/kunalpat25/WCEVISITCOVID19/issues/5", "show")</f>
        <v>show</v>
      </c>
      <c r="G6242" t="str">
        <f>HYPERLINK("https://github.com/kunalpat25/WCEVISITCOVID19", "show")</f>
        <v>show</v>
      </c>
      <c r="H6242" t="str">
        <f>HYPERLINK("https://github.com/kunalpat25/WCEVISITCOVID19/releases", "show")</f>
        <v>show</v>
      </c>
      <c r="I6242">
        <v>0</v>
      </c>
      <c r="J6242">
        <v>0</v>
      </c>
      <c r="K6242">
        <v>0</v>
      </c>
      <c r="L6242">
        <v>0</v>
      </c>
      <c r="M6242" t="s">
        <v>43</v>
      </c>
    </row>
    <row r="6243" spans="1:13" hidden="1" x14ac:dyDescent="0.15">
      <c r="A6243" t="s">
        <v>19553</v>
      </c>
      <c r="B6243" t="s">
        <v>19554</v>
      </c>
      <c r="C6243" t="s">
        <v>19555</v>
      </c>
      <c r="D6243" t="s">
        <v>19556</v>
      </c>
      <c r="E6243">
        <v>61</v>
      </c>
      <c r="F6243" t="str">
        <f>HYPERLINK("https://github.com/nextcloud/android/issues/7113", "show")</f>
        <v>show</v>
      </c>
      <c r="G6243" t="str">
        <f>HYPERLINK("https://github.com/nextcloud/android", "show")</f>
        <v>show</v>
      </c>
      <c r="H6243" t="str">
        <f>HYPERLINK("https://github.com/nextcloud/android/releases", "show")</f>
        <v>show</v>
      </c>
      <c r="I6243">
        <v>0</v>
      </c>
      <c r="J6243">
        <v>0</v>
      </c>
      <c r="K6243">
        <v>1</v>
      </c>
      <c r="L6243">
        <v>0</v>
      </c>
      <c r="M6243" t="s">
        <v>122</v>
      </c>
    </row>
    <row r="6244" spans="1:13" hidden="1" x14ac:dyDescent="0.15">
      <c r="A6244" t="s">
        <v>19557</v>
      </c>
      <c r="B6244" t="s">
        <v>19558</v>
      </c>
      <c r="C6244" t="s">
        <v>19559</v>
      </c>
      <c r="D6244" t="s">
        <v>19556</v>
      </c>
      <c r="E6244">
        <v>1</v>
      </c>
      <c r="F6244" t="str">
        <f>HYPERLINK("https://github.com/cgeo/cgeo/issues/9227", "show")</f>
        <v>show</v>
      </c>
      <c r="G6244" t="str">
        <f>HYPERLINK("https://github.com/cgeo/cgeo", "show")</f>
        <v>show</v>
      </c>
      <c r="H6244" t="str">
        <f>HYPERLINK("https://github.com/cgeo/cgeo/releases", "show")</f>
        <v>show</v>
      </c>
      <c r="I6244">
        <v>1</v>
      </c>
      <c r="J6244">
        <v>1</v>
      </c>
      <c r="K6244">
        <v>1</v>
      </c>
      <c r="L6244">
        <v>0</v>
      </c>
      <c r="M6244" t="s">
        <v>59</v>
      </c>
    </row>
    <row r="6245" spans="1:13" hidden="1" x14ac:dyDescent="0.15">
      <c r="A6245" t="s">
        <v>19560</v>
      </c>
      <c r="B6245" t="s">
        <v>19561</v>
      </c>
      <c r="C6245" t="s">
        <v>19562</v>
      </c>
      <c r="D6245" t="s">
        <v>19556</v>
      </c>
      <c r="E6245">
        <v>0</v>
      </c>
      <c r="F6245" t="str">
        <f>HYPERLINK("https://github.com/Anuken/Mindustry/issues/3032", "show")</f>
        <v>show</v>
      </c>
      <c r="G6245" t="str">
        <f>HYPERLINK("https://github.com/Anuken/Mindustry", "show")</f>
        <v>show</v>
      </c>
      <c r="H6245" t="str">
        <f>HYPERLINK("https://github.com/Anuken/Mindustry/releases", "show")</f>
        <v>show</v>
      </c>
      <c r="I6245">
        <v>0</v>
      </c>
      <c r="J6245">
        <v>0</v>
      </c>
      <c r="K6245">
        <v>0</v>
      </c>
      <c r="L6245">
        <v>0</v>
      </c>
      <c r="M6245" t="s">
        <v>43</v>
      </c>
    </row>
    <row r="6246" spans="1:13" hidden="1" x14ac:dyDescent="0.15">
      <c r="A6246" t="s">
        <v>19563</v>
      </c>
      <c r="B6246" t="s">
        <v>19564</v>
      </c>
      <c r="C6246" t="s">
        <v>19565</v>
      </c>
      <c r="D6246" t="s">
        <v>19556</v>
      </c>
      <c r="E6246">
        <v>0</v>
      </c>
      <c r="F6246" t="str">
        <f>HYPERLINK("https://github.com/Anuken/Mindustry/issues/3031", "show")</f>
        <v>show</v>
      </c>
      <c r="G6246" t="str">
        <f>HYPERLINK("https://github.com/Anuken/Mindustry", "show")</f>
        <v>show</v>
      </c>
      <c r="H6246" t="str">
        <f>HYPERLINK("https://github.com/Anuken/Mindustry/releases", "show")</f>
        <v>show</v>
      </c>
      <c r="I6246">
        <v>0</v>
      </c>
      <c r="J6246">
        <v>1</v>
      </c>
      <c r="K6246">
        <v>0</v>
      </c>
      <c r="L6246">
        <v>1</v>
      </c>
      <c r="M6246" t="s">
        <v>1732</v>
      </c>
    </row>
    <row r="6247" spans="1:13" hidden="1" x14ac:dyDescent="0.15">
      <c r="A6247" t="s">
        <v>19566</v>
      </c>
      <c r="B6247" t="s">
        <v>19567</v>
      </c>
      <c r="C6247" t="s">
        <v>19568</v>
      </c>
      <c r="D6247" t="s">
        <v>19556</v>
      </c>
      <c r="E6247">
        <v>0</v>
      </c>
      <c r="F6247" t="str">
        <f>HYPERLINK("https://github.com/GereonV/EKG-App/issues/1", "show")</f>
        <v>show</v>
      </c>
      <c r="G6247" t="str">
        <f>HYPERLINK("https://github.com/GereonV/EKG-App", "show")</f>
        <v>show</v>
      </c>
      <c r="H6247" t="str">
        <f>HYPERLINK("https://github.com/GereonV/EKG-App/releases", "show")</f>
        <v>show</v>
      </c>
      <c r="I6247">
        <v>1</v>
      </c>
      <c r="J6247">
        <v>0</v>
      </c>
      <c r="K6247">
        <v>0</v>
      </c>
      <c r="L6247">
        <v>0</v>
      </c>
      <c r="M6247" t="s">
        <v>17</v>
      </c>
    </row>
    <row r="6248" spans="1:13" hidden="1" x14ac:dyDescent="0.15">
      <c r="A6248" t="s">
        <v>19569</v>
      </c>
      <c r="B6248" t="s">
        <v>19570</v>
      </c>
      <c r="C6248" t="s">
        <v>19571</v>
      </c>
      <c r="D6248" t="s">
        <v>19556</v>
      </c>
      <c r="E6248">
        <v>19</v>
      </c>
      <c r="F6248" t="str">
        <f>HYPERLINK("https://github.com/PojavLauncherTeam/PojavLauncher/issues/367", "show")</f>
        <v>show</v>
      </c>
      <c r="G6248" t="str">
        <f>HYPERLINK("https://github.com/PojavLauncherTeam/PojavLauncher", "show")</f>
        <v>show</v>
      </c>
      <c r="H6248" t="str">
        <f>HYPERLINK("https://github.com/PojavLauncherTeam/PojavLauncher/releases", "show")</f>
        <v>show</v>
      </c>
      <c r="I6248">
        <v>0</v>
      </c>
      <c r="J6248">
        <v>0</v>
      </c>
      <c r="K6248">
        <v>0</v>
      </c>
      <c r="L6248">
        <v>0</v>
      </c>
      <c r="M6248" t="s">
        <v>43</v>
      </c>
    </row>
    <row r="6249" spans="1:13" hidden="1" x14ac:dyDescent="0.15">
      <c r="A6249" t="s">
        <v>19572</v>
      </c>
      <c r="B6249" t="s">
        <v>19573</v>
      </c>
      <c r="C6249" t="s">
        <v>17518</v>
      </c>
      <c r="D6249" t="s">
        <v>19556</v>
      </c>
      <c r="E6249">
        <v>0</v>
      </c>
      <c r="F6249" t="str">
        <f>HYPERLINK("https://github.com/Anuken/Mindustry/issues/3026", "show")</f>
        <v>show</v>
      </c>
      <c r="G6249" t="str">
        <f>HYPERLINK("https://github.com/Anuken/Mindustry", "show")</f>
        <v>show</v>
      </c>
      <c r="H6249" t="str">
        <f>HYPERLINK("https://github.com/Anuken/Mindustry/releases", "show")</f>
        <v>show</v>
      </c>
      <c r="I6249">
        <v>0</v>
      </c>
      <c r="J6249">
        <v>0</v>
      </c>
      <c r="K6249">
        <v>1</v>
      </c>
      <c r="L6249">
        <v>0</v>
      </c>
      <c r="M6249" t="s">
        <v>122</v>
      </c>
    </row>
    <row r="6250" spans="1:13" hidden="1" x14ac:dyDescent="0.15">
      <c r="A6250" t="s">
        <v>19574</v>
      </c>
      <c r="B6250" t="s">
        <v>19575</v>
      </c>
      <c r="C6250" t="s">
        <v>19576</v>
      </c>
      <c r="D6250" t="s">
        <v>19556</v>
      </c>
      <c r="E6250">
        <v>0</v>
      </c>
      <c r="F6250" t="str">
        <f>HYPERLINK("https://github.com/Anuken/Mindustry/issues/3025", "show")</f>
        <v>show</v>
      </c>
      <c r="G6250" t="str">
        <f>HYPERLINK("https://github.com/Anuken/Mindustry", "show")</f>
        <v>show</v>
      </c>
      <c r="H6250" t="str">
        <f>HYPERLINK("https://github.com/Anuken/Mindustry/releases", "show")</f>
        <v>show</v>
      </c>
      <c r="I6250">
        <v>0</v>
      </c>
      <c r="J6250">
        <v>1</v>
      </c>
      <c r="K6250">
        <v>1</v>
      </c>
      <c r="L6250">
        <v>0</v>
      </c>
      <c r="M6250" t="s">
        <v>699</v>
      </c>
    </row>
    <row r="6251" spans="1:13" x14ac:dyDescent="0.15">
      <c r="A6251" t="s">
        <v>19577</v>
      </c>
      <c r="B6251" t="s">
        <v>19578</v>
      </c>
      <c r="C6251" t="s">
        <v>19579</v>
      </c>
      <c r="D6251" t="s">
        <v>19556</v>
      </c>
      <c r="E6251">
        <v>0</v>
      </c>
      <c r="F6251" t="str">
        <f>HYPERLINK("https://github.com/Anuken/Mindustry/issues/3023", "show")</f>
        <v>show</v>
      </c>
      <c r="G6251" t="str">
        <f>HYPERLINK("https://github.com/Anuken/Mindustry", "show")</f>
        <v>show</v>
      </c>
      <c r="H6251" t="str">
        <f>HYPERLINK("https://github.com/Anuken/Mindustry/releases", "show")</f>
        <v>show</v>
      </c>
      <c r="I6251">
        <v>0</v>
      </c>
      <c r="J6251">
        <v>1</v>
      </c>
      <c r="K6251">
        <v>0</v>
      </c>
      <c r="L6251">
        <v>0</v>
      </c>
      <c r="M6251" t="s">
        <v>139</v>
      </c>
    </row>
    <row r="6252" spans="1:13" hidden="1" x14ac:dyDescent="0.15">
      <c r="A6252" t="s">
        <v>19580</v>
      </c>
      <c r="B6252" t="s">
        <v>19581</v>
      </c>
      <c r="C6252" t="s">
        <v>19582</v>
      </c>
      <c r="D6252" t="s">
        <v>19556</v>
      </c>
      <c r="E6252">
        <v>0</v>
      </c>
      <c r="F6252" t="str">
        <f>HYPERLINK("https://github.com/Anuken/Mindustry/issues/3019", "show")</f>
        <v>show</v>
      </c>
      <c r="G6252" t="str">
        <f>HYPERLINK("https://github.com/Anuken/Mindustry", "show")</f>
        <v>show</v>
      </c>
      <c r="H6252" t="str">
        <f>HYPERLINK("https://github.com/Anuken/Mindustry/releases", "show")</f>
        <v>show</v>
      </c>
      <c r="I6252">
        <v>0</v>
      </c>
      <c r="J6252">
        <v>0</v>
      </c>
      <c r="K6252">
        <v>0</v>
      </c>
      <c r="L6252">
        <v>1</v>
      </c>
      <c r="M6252" t="s">
        <v>581</v>
      </c>
    </row>
    <row r="6253" spans="1:13" hidden="1" x14ac:dyDescent="0.15">
      <c r="A6253" t="s">
        <v>19583</v>
      </c>
      <c r="B6253" t="s">
        <v>19584</v>
      </c>
      <c r="C6253" t="s">
        <v>19585</v>
      </c>
      <c r="D6253" t="s">
        <v>19556</v>
      </c>
      <c r="E6253">
        <v>0</v>
      </c>
      <c r="F6253" t="str">
        <f>HYPERLINK("https://github.com/nextcloud/android/issues/7108", "show")</f>
        <v>show</v>
      </c>
      <c r="G6253" t="str">
        <f>HYPERLINK("https://github.com/nextcloud/android", "show")</f>
        <v>show</v>
      </c>
      <c r="H6253" t="str">
        <f>HYPERLINK("https://github.com/nextcloud/android/releases", "show")</f>
        <v>show</v>
      </c>
      <c r="I6253">
        <v>1</v>
      </c>
      <c r="J6253">
        <v>1</v>
      </c>
      <c r="K6253">
        <v>1</v>
      </c>
      <c r="L6253">
        <v>0</v>
      </c>
      <c r="M6253" t="s">
        <v>59</v>
      </c>
    </row>
    <row r="6254" spans="1:13" hidden="1" x14ac:dyDescent="0.15">
      <c r="A6254" t="s">
        <v>19586</v>
      </c>
      <c r="B6254" t="s">
        <v>19587</v>
      </c>
      <c r="C6254" t="s">
        <v>19588</v>
      </c>
      <c r="D6254" t="s">
        <v>19556</v>
      </c>
      <c r="E6254">
        <v>0</v>
      </c>
      <c r="F6254" t="str">
        <f>HYPERLINK("https://github.com/Anuken/Mindustry/issues/3017", "show")</f>
        <v>show</v>
      </c>
      <c r="G6254" t="str">
        <f>HYPERLINK("https://github.com/Anuken/Mindustry", "show")</f>
        <v>show</v>
      </c>
      <c r="H6254" t="str">
        <f>HYPERLINK("https://github.com/Anuken/Mindustry/releases", "show")</f>
        <v>show</v>
      </c>
      <c r="I6254">
        <v>1</v>
      </c>
      <c r="J6254">
        <v>0</v>
      </c>
      <c r="K6254">
        <v>1</v>
      </c>
      <c r="L6254">
        <v>0</v>
      </c>
      <c r="M6254" t="s">
        <v>64</v>
      </c>
    </row>
    <row r="6255" spans="1:13" hidden="1" x14ac:dyDescent="0.15">
      <c r="A6255" t="s">
        <v>19589</v>
      </c>
      <c r="B6255" t="s">
        <v>19590</v>
      </c>
      <c r="C6255" t="s">
        <v>19591</v>
      </c>
      <c r="D6255" t="s">
        <v>19592</v>
      </c>
      <c r="E6255">
        <v>0</v>
      </c>
      <c r="F6255" t="str">
        <f>HYPERLINK("https://github.com/Anuken/Mindustry/issues/3016", "show")</f>
        <v>show</v>
      </c>
      <c r="G6255" t="str">
        <f>HYPERLINK("https://github.com/Anuken/Mindustry", "show")</f>
        <v>show</v>
      </c>
      <c r="H6255" t="str">
        <f>HYPERLINK("https://github.com/Anuken/Mindustry/releases", "show")</f>
        <v>show</v>
      </c>
      <c r="I6255">
        <v>0</v>
      </c>
      <c r="J6255">
        <v>0</v>
      </c>
      <c r="K6255">
        <v>0</v>
      </c>
      <c r="L6255">
        <v>1</v>
      </c>
      <c r="M6255" t="s">
        <v>581</v>
      </c>
    </row>
    <row r="6256" spans="1:13" hidden="1" x14ac:dyDescent="0.15">
      <c r="A6256" t="s">
        <v>19593</v>
      </c>
      <c r="B6256" t="s">
        <v>19594</v>
      </c>
      <c r="C6256" t="s">
        <v>19595</v>
      </c>
      <c r="D6256" t="s">
        <v>19592</v>
      </c>
      <c r="E6256">
        <v>1</v>
      </c>
      <c r="F6256" t="str">
        <f>HYPERLINK("https://github.com/iamolegga/react-native-launch-arguments/issues/2", "show")</f>
        <v>show</v>
      </c>
      <c r="G6256" t="str">
        <f>HYPERLINK("https://github.com/iamolegga/react-native-launch-arguments", "show")</f>
        <v>show</v>
      </c>
      <c r="H6256" t="str">
        <f>HYPERLINK("https://github.com/iamolegga/react-native-launch-arguments/releases", "show")</f>
        <v>show</v>
      </c>
      <c r="I6256">
        <v>0</v>
      </c>
      <c r="J6256">
        <v>0</v>
      </c>
      <c r="K6256">
        <v>0</v>
      </c>
      <c r="L6256">
        <v>0</v>
      </c>
      <c r="M6256" t="s">
        <v>43</v>
      </c>
    </row>
    <row r="6257" spans="1:13" hidden="1" x14ac:dyDescent="0.15">
      <c r="A6257" t="s">
        <v>19596</v>
      </c>
      <c r="B6257" t="s">
        <v>19597</v>
      </c>
      <c r="C6257" t="s">
        <v>19598</v>
      </c>
      <c r="D6257" t="s">
        <v>19592</v>
      </c>
      <c r="E6257">
        <v>11</v>
      </c>
      <c r="F6257" t="str">
        <f>HYPERLINK("https://github.com/AOF-Dev/MCinaBox/issues/575", "show")</f>
        <v>show</v>
      </c>
      <c r="G6257" t="str">
        <f>HYPERLINK("https://github.com/AOF-Dev/MCinaBox", "show")</f>
        <v>show</v>
      </c>
      <c r="H6257" t="str">
        <f>HYPERLINK("https://github.com/AOF-Dev/MCinaBox/releases", "show")</f>
        <v>show</v>
      </c>
      <c r="I6257">
        <v>0</v>
      </c>
      <c r="J6257">
        <v>0</v>
      </c>
      <c r="K6257">
        <v>0</v>
      </c>
      <c r="L6257">
        <v>0</v>
      </c>
      <c r="M6257" t="s">
        <v>43</v>
      </c>
    </row>
    <row r="6258" spans="1:13" hidden="1" x14ac:dyDescent="0.15">
      <c r="A6258" t="s">
        <v>19599</v>
      </c>
      <c r="B6258" t="s">
        <v>19600</v>
      </c>
      <c r="C6258" t="s">
        <v>19601</v>
      </c>
      <c r="D6258" t="s">
        <v>19592</v>
      </c>
      <c r="E6258">
        <v>0</v>
      </c>
      <c r="F6258" t="str">
        <f>HYPERLINK("https://github.com/Anuken/Mindustry/issues/3009", "show")</f>
        <v>show</v>
      </c>
      <c r="G6258" t="str">
        <f>HYPERLINK("https://github.com/Anuken/Mindustry", "show")</f>
        <v>show</v>
      </c>
      <c r="H6258" t="str">
        <f>HYPERLINK("https://github.com/Anuken/Mindustry/releases", "show")</f>
        <v>show</v>
      </c>
      <c r="I6258">
        <v>0</v>
      </c>
      <c r="J6258">
        <v>0</v>
      </c>
      <c r="K6258">
        <v>0</v>
      </c>
      <c r="L6258">
        <v>0</v>
      </c>
      <c r="M6258" t="s">
        <v>43</v>
      </c>
    </row>
    <row r="6259" spans="1:13" x14ac:dyDescent="0.15">
      <c r="A6259" t="s">
        <v>19602</v>
      </c>
      <c r="B6259" t="s">
        <v>19603</v>
      </c>
      <c r="C6259" t="s">
        <v>19604</v>
      </c>
      <c r="D6259" t="s">
        <v>19592</v>
      </c>
      <c r="E6259">
        <v>11</v>
      </c>
      <c r="F6259" t="str">
        <f>HYPERLINK("https://github.com/AOF-Dev/MCinaBox/issues/573", "show")</f>
        <v>show</v>
      </c>
      <c r="G6259" t="str">
        <f>HYPERLINK("https://github.com/AOF-Dev/MCinaBox", "show")</f>
        <v>show</v>
      </c>
      <c r="H6259" t="str">
        <f>HYPERLINK("https://github.com/AOF-Dev/MCinaBox/releases", "show")</f>
        <v>show</v>
      </c>
      <c r="I6259">
        <v>0</v>
      </c>
      <c r="J6259">
        <v>1</v>
      </c>
      <c r="K6259">
        <v>0</v>
      </c>
      <c r="L6259">
        <v>0</v>
      </c>
      <c r="M6259" t="s">
        <v>139</v>
      </c>
    </row>
    <row r="6260" spans="1:13" hidden="1" x14ac:dyDescent="0.15">
      <c r="A6260" t="s">
        <v>19605</v>
      </c>
      <c r="B6260" t="s">
        <v>19606</v>
      </c>
      <c r="C6260" t="s">
        <v>18853</v>
      </c>
      <c r="D6260" t="s">
        <v>19592</v>
      </c>
      <c r="E6260">
        <v>0</v>
      </c>
      <c r="F6260" t="str">
        <f>HYPERLINK("https://github.com/Anuken/Mindustry/issues/3007", "show")</f>
        <v>show</v>
      </c>
      <c r="G6260" t="str">
        <f>HYPERLINK("https://github.com/Anuken/Mindustry", "show")</f>
        <v>show</v>
      </c>
      <c r="H6260" t="str">
        <f>HYPERLINK("https://github.com/Anuken/Mindustry/releases", "show")</f>
        <v>show</v>
      </c>
      <c r="I6260">
        <v>0</v>
      </c>
      <c r="J6260">
        <v>0</v>
      </c>
      <c r="K6260">
        <v>0</v>
      </c>
      <c r="L6260">
        <v>0</v>
      </c>
      <c r="M6260" t="s">
        <v>43</v>
      </c>
    </row>
    <row r="6261" spans="1:13" hidden="1" x14ac:dyDescent="0.15">
      <c r="A6261" t="s">
        <v>19607</v>
      </c>
      <c r="B6261" t="s">
        <v>19608</v>
      </c>
      <c r="C6261" t="s">
        <v>19609</v>
      </c>
      <c r="D6261" t="s">
        <v>19610</v>
      </c>
      <c r="E6261">
        <v>0</v>
      </c>
      <c r="F6261" t="str">
        <f>HYPERLINK("https://github.com/Anuken/Mindustry/issues/3002", "show")</f>
        <v>show</v>
      </c>
      <c r="G6261" t="str">
        <f>HYPERLINK("https://github.com/Anuken/Mindustry", "show")</f>
        <v>show</v>
      </c>
      <c r="H6261" t="str">
        <f>HYPERLINK("https://github.com/Anuken/Mindustry/releases", "show")</f>
        <v>show</v>
      </c>
      <c r="I6261">
        <v>1</v>
      </c>
      <c r="J6261">
        <v>0</v>
      </c>
      <c r="K6261">
        <v>0</v>
      </c>
      <c r="L6261">
        <v>0</v>
      </c>
      <c r="M6261" t="s">
        <v>17</v>
      </c>
    </row>
    <row r="6262" spans="1:13" hidden="1" x14ac:dyDescent="0.15">
      <c r="A6262" t="s">
        <v>19611</v>
      </c>
      <c r="B6262" t="s">
        <v>19612</v>
      </c>
      <c r="C6262" t="s">
        <v>19613</v>
      </c>
      <c r="D6262" t="s">
        <v>19610</v>
      </c>
      <c r="E6262">
        <v>362</v>
      </c>
      <c r="F6262" t="str">
        <f>HYPERLINK("https://github.com/material-components/material-components-android/issues/1805", "show")</f>
        <v>show</v>
      </c>
      <c r="G6262" t="str">
        <f>HYPERLINK("https://github.com/material-components/material-components-android", "show")</f>
        <v>show</v>
      </c>
      <c r="H6262" t="str">
        <f>HYPERLINK("https://github.com/material-components/material-components-android/releases", "show")</f>
        <v>show</v>
      </c>
      <c r="I6262">
        <v>0</v>
      </c>
      <c r="J6262">
        <v>0</v>
      </c>
      <c r="K6262">
        <v>1</v>
      </c>
      <c r="L6262">
        <v>0</v>
      </c>
      <c r="M6262" t="s">
        <v>122</v>
      </c>
    </row>
    <row r="6263" spans="1:13" hidden="1" x14ac:dyDescent="0.15">
      <c r="A6263" t="s">
        <v>19614</v>
      </c>
      <c r="B6263" t="s">
        <v>19615</v>
      </c>
      <c r="C6263" t="s">
        <v>19616</v>
      </c>
      <c r="D6263" t="s">
        <v>19610</v>
      </c>
      <c r="E6263">
        <v>6</v>
      </c>
      <c r="F6263" t="str">
        <f>HYPERLINK("https://github.com/TeamNewPipe/NewPipe/issues/4549", "show")</f>
        <v>show</v>
      </c>
      <c r="G6263" t="str">
        <f>HYPERLINK("https://github.com/TeamNewPipe/NewPipe", "show")</f>
        <v>show</v>
      </c>
      <c r="H6263" t="str">
        <f>HYPERLINK("https://github.com/TeamNewPipe/NewPipe/releases", "show")</f>
        <v>show</v>
      </c>
      <c r="I6263">
        <v>1</v>
      </c>
      <c r="J6263">
        <v>0</v>
      </c>
      <c r="K6263">
        <v>1</v>
      </c>
      <c r="L6263">
        <v>0</v>
      </c>
      <c r="M6263" t="s">
        <v>64</v>
      </c>
    </row>
    <row r="6264" spans="1:13" hidden="1" x14ac:dyDescent="0.15">
      <c r="A6264" t="s">
        <v>19617</v>
      </c>
      <c r="B6264" t="s">
        <v>19618</v>
      </c>
      <c r="C6264" t="s">
        <v>19619</v>
      </c>
      <c r="D6264" t="s">
        <v>19610</v>
      </c>
      <c r="E6264">
        <v>378</v>
      </c>
      <c r="F6264" t="str">
        <f>HYPERLINK("https://github.com/TeamNewPipe/NewPipe/issues/4546", "show")</f>
        <v>show</v>
      </c>
      <c r="G6264" t="str">
        <f>HYPERLINK("https://github.com/TeamNewPipe/NewPipe", "show")</f>
        <v>show</v>
      </c>
      <c r="H6264" t="str">
        <f>HYPERLINK("https://github.com/TeamNewPipe/NewPipe/releases", "show")</f>
        <v>show</v>
      </c>
      <c r="I6264">
        <v>1</v>
      </c>
      <c r="J6264">
        <v>1</v>
      </c>
      <c r="K6264">
        <v>1</v>
      </c>
      <c r="L6264">
        <v>0</v>
      </c>
      <c r="M6264" t="s">
        <v>59</v>
      </c>
    </row>
    <row r="6265" spans="1:13" hidden="1" x14ac:dyDescent="0.15">
      <c r="A6265" t="s">
        <v>19620</v>
      </c>
      <c r="B6265" t="s">
        <v>19621</v>
      </c>
      <c r="C6265" t="s">
        <v>19622</v>
      </c>
      <c r="D6265" t="s">
        <v>19610</v>
      </c>
      <c r="E6265">
        <v>0</v>
      </c>
      <c r="F6265" t="str">
        <f>HYPERLINK("https://github.com/Anuken/Mindustry/issues/2988", "show")</f>
        <v>show</v>
      </c>
      <c r="G6265" t="str">
        <f>HYPERLINK("https://github.com/Anuken/Mindustry", "show")</f>
        <v>show</v>
      </c>
      <c r="H6265" t="str">
        <f>HYPERLINK("https://github.com/Anuken/Mindustry/releases", "show")</f>
        <v>show</v>
      </c>
      <c r="I6265">
        <v>1</v>
      </c>
      <c r="J6265">
        <v>0</v>
      </c>
      <c r="K6265">
        <v>0</v>
      </c>
      <c r="L6265">
        <v>0</v>
      </c>
      <c r="M6265" t="s">
        <v>17</v>
      </c>
    </row>
    <row r="6266" spans="1:13" hidden="1" x14ac:dyDescent="0.15">
      <c r="A6266" t="s">
        <v>19623</v>
      </c>
      <c r="B6266" t="s">
        <v>19624</v>
      </c>
      <c r="C6266" t="s">
        <v>19625</v>
      </c>
      <c r="D6266" t="s">
        <v>19610</v>
      </c>
      <c r="E6266">
        <v>0</v>
      </c>
      <c r="F6266" t="str">
        <f>HYPERLINK("https://github.com/Anuken/Mindustry/issues/2987", "show")</f>
        <v>show</v>
      </c>
      <c r="G6266" t="str">
        <f>HYPERLINK("https://github.com/Anuken/Mindustry", "show")</f>
        <v>show</v>
      </c>
      <c r="H6266" t="str">
        <f>HYPERLINK("https://github.com/Anuken/Mindustry/releases", "show")</f>
        <v>show</v>
      </c>
      <c r="I6266">
        <v>0</v>
      </c>
      <c r="J6266">
        <v>0</v>
      </c>
      <c r="K6266">
        <v>0</v>
      </c>
      <c r="L6266">
        <v>1</v>
      </c>
      <c r="M6266" t="s">
        <v>581</v>
      </c>
    </row>
    <row r="6267" spans="1:13" hidden="1" x14ac:dyDescent="0.15">
      <c r="A6267" t="s">
        <v>19626</v>
      </c>
      <c r="B6267" t="s">
        <v>19627</v>
      </c>
      <c r="C6267" t="s">
        <v>19628</v>
      </c>
      <c r="D6267" t="s">
        <v>19610</v>
      </c>
      <c r="E6267">
        <v>0</v>
      </c>
      <c r="F6267" t="str">
        <f>HYPERLINK("https://github.com/TeamNewPipe/NewPipe/issues/4539", "show")</f>
        <v>show</v>
      </c>
      <c r="G6267" t="str">
        <f>HYPERLINK("https://github.com/TeamNewPipe/NewPipe", "show")</f>
        <v>show</v>
      </c>
      <c r="H6267" t="str">
        <f>HYPERLINK("https://github.com/TeamNewPipe/NewPipe/releases", "show")</f>
        <v>show</v>
      </c>
      <c r="I6267">
        <v>1</v>
      </c>
      <c r="J6267">
        <v>1</v>
      </c>
      <c r="K6267">
        <v>1</v>
      </c>
      <c r="L6267">
        <v>0</v>
      </c>
      <c r="M6267" t="s">
        <v>59</v>
      </c>
    </row>
    <row r="6268" spans="1:13" hidden="1" x14ac:dyDescent="0.15">
      <c r="A6268" t="s">
        <v>19629</v>
      </c>
      <c r="B6268" t="s">
        <v>19630</v>
      </c>
      <c r="C6268" t="s">
        <v>19631</v>
      </c>
      <c r="D6268" t="s">
        <v>19610</v>
      </c>
      <c r="E6268">
        <v>297</v>
      </c>
      <c r="F6268" t="str">
        <f>HYPERLINK("https://github.com/doublesymmetry/react-native-track-player/issues/1047", "show")</f>
        <v>show</v>
      </c>
      <c r="G6268" t="str">
        <f>HYPERLINK("https://github.com/doublesymmetry/react-native-track-player", "show")</f>
        <v>show</v>
      </c>
      <c r="H6268" t="str">
        <f>HYPERLINK("https://github.com/doublesymmetry/react-native-track-player/releases", "show")</f>
        <v>show</v>
      </c>
      <c r="I6268">
        <v>1</v>
      </c>
      <c r="J6268">
        <v>0</v>
      </c>
      <c r="K6268">
        <v>0</v>
      </c>
      <c r="L6268">
        <v>0</v>
      </c>
      <c r="M6268" t="s">
        <v>17</v>
      </c>
    </row>
    <row r="6269" spans="1:13" x14ac:dyDescent="0.15">
      <c r="A6269" t="s">
        <v>19632</v>
      </c>
      <c r="B6269" t="s">
        <v>19633</v>
      </c>
      <c r="C6269" t="s">
        <v>19634</v>
      </c>
      <c r="D6269" t="s">
        <v>19635</v>
      </c>
      <c r="E6269">
        <v>0</v>
      </c>
      <c r="F6269" t="str">
        <f>HYPERLINK("https://github.com/Anuken/Mindustry/issues/2977", "show")</f>
        <v>show</v>
      </c>
      <c r="G6269" t="str">
        <f>HYPERLINK("https://github.com/Anuken/Mindustry", "show")</f>
        <v>show</v>
      </c>
      <c r="H6269" t="str">
        <f>HYPERLINK("https://github.com/Anuken/Mindustry/releases", "show")</f>
        <v>show</v>
      </c>
      <c r="I6269">
        <v>0</v>
      </c>
      <c r="J6269">
        <v>1</v>
      </c>
      <c r="K6269">
        <v>0</v>
      </c>
      <c r="L6269">
        <v>0</v>
      </c>
      <c r="M6269" t="s">
        <v>139</v>
      </c>
    </row>
    <row r="6270" spans="1:13" hidden="1" x14ac:dyDescent="0.15">
      <c r="A6270" t="s">
        <v>19636</v>
      </c>
      <c r="B6270" t="s">
        <v>19637</v>
      </c>
      <c r="C6270" t="s">
        <v>19638</v>
      </c>
      <c r="D6270" t="s">
        <v>19635</v>
      </c>
      <c r="E6270">
        <v>0</v>
      </c>
      <c r="F6270" t="str">
        <f>HYPERLINK("https://github.com/Anuken/Mindustry/issues/2973", "show")</f>
        <v>show</v>
      </c>
      <c r="G6270" t="str">
        <f>HYPERLINK("https://github.com/Anuken/Mindustry", "show")</f>
        <v>show</v>
      </c>
      <c r="H6270" t="str">
        <f>HYPERLINK("https://github.com/Anuken/Mindustry/releases", "show")</f>
        <v>show</v>
      </c>
      <c r="I6270">
        <v>1</v>
      </c>
      <c r="J6270">
        <v>1</v>
      </c>
      <c r="K6270">
        <v>1</v>
      </c>
      <c r="L6270">
        <v>0</v>
      </c>
      <c r="M6270" t="s">
        <v>59</v>
      </c>
    </row>
    <row r="6271" spans="1:13" hidden="1" x14ac:dyDescent="0.15">
      <c r="A6271" t="s">
        <v>19639</v>
      </c>
      <c r="B6271" t="s">
        <v>19640</v>
      </c>
      <c r="C6271" t="s">
        <v>19641</v>
      </c>
      <c r="D6271" t="s">
        <v>19635</v>
      </c>
      <c r="E6271">
        <v>57</v>
      </c>
      <c r="F6271" t="str">
        <f>HYPERLINK("https://github.com/AOF-Dev/MCinaBox/issues/550", "show")</f>
        <v>show</v>
      </c>
      <c r="G6271" t="str">
        <f>HYPERLINK("https://github.com/AOF-Dev/MCinaBox", "show")</f>
        <v>show</v>
      </c>
      <c r="H6271" t="str">
        <f>HYPERLINK("https://github.com/AOF-Dev/MCinaBox/releases", "show")</f>
        <v>show</v>
      </c>
      <c r="I6271">
        <v>1</v>
      </c>
      <c r="J6271">
        <v>1</v>
      </c>
      <c r="K6271">
        <v>0</v>
      </c>
      <c r="L6271">
        <v>0</v>
      </c>
      <c r="M6271" t="s">
        <v>48</v>
      </c>
    </row>
    <row r="6272" spans="1:13" hidden="1" x14ac:dyDescent="0.15">
      <c r="A6272" t="s">
        <v>19642</v>
      </c>
      <c r="B6272" t="s">
        <v>19643</v>
      </c>
      <c r="C6272" t="s">
        <v>19644</v>
      </c>
      <c r="D6272" t="s">
        <v>19635</v>
      </c>
      <c r="E6272">
        <v>0</v>
      </c>
      <c r="F6272" t="str">
        <f>HYPERLINK("https://github.com/Anuken/Mindustry/issues/2968", "show")</f>
        <v>show</v>
      </c>
      <c r="G6272" t="str">
        <f>HYPERLINK("https://github.com/Anuken/Mindustry", "show")</f>
        <v>show</v>
      </c>
      <c r="H6272" t="str">
        <f>HYPERLINK("https://github.com/Anuken/Mindustry/releases", "show")</f>
        <v>show</v>
      </c>
      <c r="I6272">
        <v>1</v>
      </c>
      <c r="J6272">
        <v>0</v>
      </c>
      <c r="K6272">
        <v>1</v>
      </c>
      <c r="L6272">
        <v>0</v>
      </c>
      <c r="M6272" t="s">
        <v>64</v>
      </c>
    </row>
    <row r="6273" spans="1:13" hidden="1" x14ac:dyDescent="0.15">
      <c r="A6273" t="s">
        <v>19645</v>
      </c>
      <c r="B6273" t="s">
        <v>19646</v>
      </c>
      <c r="C6273" t="s">
        <v>19647</v>
      </c>
      <c r="D6273" t="s">
        <v>19648</v>
      </c>
      <c r="E6273">
        <v>128</v>
      </c>
      <c r="F6273" t="str">
        <f>HYPERLINK("https://github.com/ankidroid/Anki-Android/issues/7393", "show")</f>
        <v>show</v>
      </c>
      <c r="G6273" t="str">
        <f>HYPERLINK("https://github.com/ankidroid/Anki-Android", "show")</f>
        <v>show</v>
      </c>
      <c r="H6273" t="str">
        <f>HYPERLINK("https://github.com/ankidroid/Anki-Android/releases", "show")</f>
        <v>show</v>
      </c>
      <c r="I6273">
        <v>0</v>
      </c>
      <c r="J6273">
        <v>0</v>
      </c>
      <c r="K6273">
        <v>1</v>
      </c>
      <c r="L6273">
        <v>0</v>
      </c>
      <c r="M6273" t="s">
        <v>122</v>
      </c>
    </row>
    <row r="6274" spans="1:13" hidden="1" x14ac:dyDescent="0.15">
      <c r="A6274" t="s">
        <v>19649</v>
      </c>
      <c r="B6274" t="s">
        <v>19650</v>
      </c>
      <c r="C6274" t="s">
        <v>19651</v>
      </c>
      <c r="D6274" t="s">
        <v>19648</v>
      </c>
      <c r="E6274">
        <v>8</v>
      </c>
      <c r="F6274" t="str">
        <f>HYPERLINK("https://github.com/material-components/material-components-android/issues/1801", "show")</f>
        <v>show</v>
      </c>
      <c r="G6274" t="str">
        <f>HYPERLINK("https://github.com/material-components/material-components-android", "show")</f>
        <v>show</v>
      </c>
      <c r="H6274" t="str">
        <f>HYPERLINK("https://github.com/material-components/material-components-android/releases", "show")</f>
        <v>show</v>
      </c>
      <c r="I6274">
        <v>1</v>
      </c>
      <c r="J6274">
        <v>0</v>
      </c>
      <c r="K6274">
        <v>0</v>
      </c>
      <c r="L6274">
        <v>0</v>
      </c>
      <c r="M6274" t="s">
        <v>17</v>
      </c>
    </row>
    <row r="6275" spans="1:13" hidden="1" x14ac:dyDescent="0.15">
      <c r="A6275" t="s">
        <v>19652</v>
      </c>
      <c r="B6275" t="s">
        <v>19653</v>
      </c>
      <c r="C6275" t="s">
        <v>19654</v>
      </c>
      <c r="D6275" t="s">
        <v>19648</v>
      </c>
      <c r="E6275">
        <v>0</v>
      </c>
      <c r="F6275" t="str">
        <f>HYPERLINK("https://github.com/Anuken/Mindustry/issues/2967", "show")</f>
        <v>show</v>
      </c>
      <c r="G6275" t="str">
        <f>HYPERLINK("https://github.com/Anuken/Mindustry", "show")</f>
        <v>show</v>
      </c>
      <c r="H6275" t="str">
        <f>HYPERLINK("https://github.com/Anuken/Mindustry/releases", "show")</f>
        <v>show</v>
      </c>
      <c r="I6275">
        <v>0</v>
      </c>
      <c r="J6275">
        <v>0</v>
      </c>
      <c r="K6275">
        <v>0</v>
      </c>
      <c r="L6275">
        <v>0</v>
      </c>
      <c r="M6275" t="s">
        <v>43</v>
      </c>
    </row>
    <row r="6276" spans="1:13" hidden="1" x14ac:dyDescent="0.15">
      <c r="A6276" t="s">
        <v>19655</v>
      </c>
      <c r="B6276" t="s">
        <v>19656</v>
      </c>
      <c r="C6276" t="s">
        <v>19657</v>
      </c>
      <c r="D6276" t="s">
        <v>19648</v>
      </c>
      <c r="E6276">
        <v>1</v>
      </c>
      <c r="F6276" t="str">
        <f>HYPERLINK("https://github.com/PojavLauncherTeam/PojavLauncher/issues/357", "show")</f>
        <v>show</v>
      </c>
      <c r="G6276" t="str">
        <f>HYPERLINK("https://github.com/PojavLauncherTeam/PojavLauncher", "show")</f>
        <v>show</v>
      </c>
      <c r="H6276" t="str">
        <f>HYPERLINK("https://github.com/PojavLauncherTeam/PojavLauncher/releases", "show")</f>
        <v>show</v>
      </c>
      <c r="I6276">
        <v>1</v>
      </c>
      <c r="J6276">
        <v>1</v>
      </c>
      <c r="K6276">
        <v>1</v>
      </c>
      <c r="L6276">
        <v>1</v>
      </c>
      <c r="M6276" t="s">
        <v>2875</v>
      </c>
    </row>
    <row r="6277" spans="1:13" hidden="1" x14ac:dyDescent="0.15">
      <c r="A6277" t="s">
        <v>19658</v>
      </c>
      <c r="B6277" t="s">
        <v>19659</v>
      </c>
      <c r="C6277" t="s">
        <v>19660</v>
      </c>
      <c r="D6277" t="s">
        <v>19648</v>
      </c>
      <c r="E6277">
        <v>1</v>
      </c>
      <c r="F6277" t="str">
        <f>HYPERLINK("https://github.com/TeamNewPipe/NewPipe/issues/4520", "show")</f>
        <v>show</v>
      </c>
      <c r="G6277" t="str">
        <f>HYPERLINK("https://github.com/TeamNewPipe/NewPipe", "show")</f>
        <v>show</v>
      </c>
      <c r="H6277" t="str">
        <f>HYPERLINK("https://github.com/TeamNewPipe/NewPipe/releases", "show")</f>
        <v>show</v>
      </c>
      <c r="I6277">
        <v>0</v>
      </c>
      <c r="J6277">
        <v>0</v>
      </c>
      <c r="K6277">
        <v>1</v>
      </c>
      <c r="L6277">
        <v>0</v>
      </c>
      <c r="M6277" t="s">
        <v>122</v>
      </c>
    </row>
    <row r="6278" spans="1:13" hidden="1" x14ac:dyDescent="0.15">
      <c r="A6278" t="s">
        <v>19661</v>
      </c>
      <c r="B6278" t="s">
        <v>19662</v>
      </c>
      <c r="C6278" t="s">
        <v>18853</v>
      </c>
      <c r="D6278" t="s">
        <v>19648</v>
      </c>
      <c r="E6278">
        <v>0</v>
      </c>
      <c r="F6278" t="str">
        <f>HYPERLINK("https://github.com/Anuken/Mindustry/issues/2966", "show")</f>
        <v>show</v>
      </c>
      <c r="G6278" t="str">
        <f>HYPERLINK("https://github.com/Anuken/Mindustry", "show")</f>
        <v>show</v>
      </c>
      <c r="H6278" t="str">
        <f>HYPERLINK("https://github.com/Anuken/Mindustry/releases", "show")</f>
        <v>show</v>
      </c>
      <c r="I6278">
        <v>0</v>
      </c>
      <c r="J6278">
        <v>0</v>
      </c>
      <c r="K6278">
        <v>0</v>
      </c>
      <c r="L6278">
        <v>0</v>
      </c>
      <c r="M6278" t="s">
        <v>43</v>
      </c>
    </row>
    <row r="6279" spans="1:13" hidden="1" x14ac:dyDescent="0.15">
      <c r="A6279" t="s">
        <v>19663</v>
      </c>
      <c r="B6279" t="s">
        <v>19664</v>
      </c>
      <c r="C6279" t="s">
        <v>19665</v>
      </c>
      <c r="D6279" t="s">
        <v>19648</v>
      </c>
      <c r="E6279">
        <v>0</v>
      </c>
      <c r="F6279" t="str">
        <f>HYPERLINK("https://github.com/Anuken/Mindustry/issues/2963", "show")</f>
        <v>show</v>
      </c>
      <c r="G6279" t="str">
        <f>HYPERLINK("https://github.com/Anuken/Mindustry", "show")</f>
        <v>show</v>
      </c>
      <c r="H6279" t="str">
        <f>HYPERLINK("https://github.com/Anuken/Mindustry/releases", "show")</f>
        <v>show</v>
      </c>
      <c r="I6279">
        <v>1</v>
      </c>
      <c r="J6279">
        <v>0</v>
      </c>
      <c r="K6279">
        <v>0</v>
      </c>
      <c r="L6279">
        <v>0</v>
      </c>
      <c r="M6279" t="s">
        <v>17</v>
      </c>
    </row>
    <row r="6280" spans="1:13" hidden="1" x14ac:dyDescent="0.15">
      <c r="A6280" t="s">
        <v>19666</v>
      </c>
      <c r="B6280" t="s">
        <v>19667</v>
      </c>
      <c r="C6280" t="s">
        <v>19668</v>
      </c>
      <c r="D6280" t="s">
        <v>19648</v>
      </c>
      <c r="E6280">
        <v>3</v>
      </c>
      <c r="F6280" t="str">
        <f>HYPERLINK("https://github.com/AOF-Dev/MCinaBox/issues/540", "show")</f>
        <v>show</v>
      </c>
      <c r="G6280" t="str">
        <f>HYPERLINK("https://github.com/AOF-Dev/MCinaBox", "show")</f>
        <v>show</v>
      </c>
      <c r="H6280" t="str">
        <f>HYPERLINK("https://github.com/AOF-Dev/MCinaBox/releases", "show")</f>
        <v>show</v>
      </c>
      <c r="I6280">
        <v>1</v>
      </c>
      <c r="J6280">
        <v>1</v>
      </c>
      <c r="K6280">
        <v>1</v>
      </c>
      <c r="L6280">
        <v>0</v>
      </c>
      <c r="M6280" t="s">
        <v>59</v>
      </c>
    </row>
    <row r="6281" spans="1:13" hidden="1" x14ac:dyDescent="0.15">
      <c r="A6281" t="s">
        <v>19669</v>
      </c>
      <c r="B6281" t="s">
        <v>19670</v>
      </c>
      <c r="C6281" t="s">
        <v>19671</v>
      </c>
      <c r="D6281" t="s">
        <v>19648</v>
      </c>
      <c r="E6281">
        <v>0</v>
      </c>
      <c r="F6281" t="str">
        <f>HYPERLINK("https://github.com/Anuken/Mindustry/issues/2962", "show")</f>
        <v>show</v>
      </c>
      <c r="G6281" t="str">
        <f>HYPERLINK("https://github.com/Anuken/Mindustry", "show")</f>
        <v>show</v>
      </c>
      <c r="H6281" t="str">
        <f>HYPERLINK("https://github.com/Anuken/Mindustry/releases", "show")</f>
        <v>show</v>
      </c>
      <c r="I6281">
        <v>0</v>
      </c>
      <c r="J6281">
        <v>0</v>
      </c>
      <c r="K6281">
        <v>0</v>
      </c>
      <c r="L6281">
        <v>0</v>
      </c>
      <c r="M6281" t="s">
        <v>43</v>
      </c>
    </row>
    <row r="6282" spans="1:13" hidden="1" x14ac:dyDescent="0.15">
      <c r="A6282" t="s">
        <v>19672</v>
      </c>
      <c r="B6282" t="s">
        <v>19673</v>
      </c>
      <c r="C6282" t="s">
        <v>19674</v>
      </c>
      <c r="D6282" t="s">
        <v>19648</v>
      </c>
      <c r="E6282">
        <v>0</v>
      </c>
      <c r="F6282" t="str">
        <f>HYPERLINK("https://github.com/Anuken/Mindustry/issues/2959", "show")</f>
        <v>show</v>
      </c>
      <c r="G6282" t="str">
        <f>HYPERLINK("https://github.com/Anuken/Mindustry", "show")</f>
        <v>show</v>
      </c>
      <c r="H6282" t="str">
        <f>HYPERLINK("https://github.com/Anuken/Mindustry/releases", "show")</f>
        <v>show</v>
      </c>
      <c r="I6282">
        <v>0</v>
      </c>
      <c r="J6282">
        <v>0</v>
      </c>
      <c r="K6282">
        <v>0</v>
      </c>
      <c r="L6282">
        <v>0</v>
      </c>
      <c r="M6282" t="s">
        <v>43</v>
      </c>
    </row>
    <row r="6283" spans="1:13" hidden="1" x14ac:dyDescent="0.15">
      <c r="A6283" t="s">
        <v>19675</v>
      </c>
      <c r="B6283" t="s">
        <v>19676</v>
      </c>
      <c r="C6283" t="s">
        <v>19677</v>
      </c>
      <c r="D6283" t="s">
        <v>19648</v>
      </c>
      <c r="E6283">
        <v>1</v>
      </c>
      <c r="F6283" t="str">
        <f>HYPERLINK("https://github.com/TeamNewPipe/NewPipe/issues/4516", "show")</f>
        <v>show</v>
      </c>
      <c r="G6283" t="str">
        <f>HYPERLINK("https://github.com/TeamNewPipe/NewPipe", "show")</f>
        <v>show</v>
      </c>
      <c r="H6283" t="str">
        <f>HYPERLINK("https://github.com/TeamNewPipe/NewPipe/releases", "show")</f>
        <v>show</v>
      </c>
      <c r="I6283">
        <v>1</v>
      </c>
      <c r="J6283">
        <v>1</v>
      </c>
      <c r="K6283">
        <v>0</v>
      </c>
      <c r="L6283">
        <v>1</v>
      </c>
      <c r="M6283" t="s">
        <v>1894</v>
      </c>
    </row>
    <row r="6284" spans="1:13" hidden="1" x14ac:dyDescent="0.15">
      <c r="A6284" t="s">
        <v>19678</v>
      </c>
      <c r="B6284" t="s">
        <v>19679</v>
      </c>
      <c r="C6284" t="s">
        <v>19680</v>
      </c>
      <c r="D6284" t="s">
        <v>19648</v>
      </c>
      <c r="E6284">
        <v>62</v>
      </c>
      <c r="F6284" t="str">
        <f>HYPERLINK("https://github.com/microsoftgraph/msgraph-sdk-java/issues/542", "show")</f>
        <v>show</v>
      </c>
      <c r="G6284" t="str">
        <f>HYPERLINK("https://github.com/microsoftgraph/msgraph-sdk-java", "show")</f>
        <v>show</v>
      </c>
      <c r="H6284" t="str">
        <f>HYPERLINK("https://github.com/microsoftgraph/msgraph-sdk-java/releases", "show")</f>
        <v>show</v>
      </c>
      <c r="I6284">
        <v>1</v>
      </c>
      <c r="J6284">
        <v>0</v>
      </c>
      <c r="K6284">
        <v>0</v>
      </c>
      <c r="L6284">
        <v>0</v>
      </c>
      <c r="M6284" t="s">
        <v>17</v>
      </c>
    </row>
    <row r="6285" spans="1:13" hidden="1" x14ac:dyDescent="0.15">
      <c r="A6285" t="s">
        <v>19681</v>
      </c>
      <c r="B6285" t="s">
        <v>19682</v>
      </c>
      <c r="C6285" t="s">
        <v>19683</v>
      </c>
      <c r="D6285" t="s">
        <v>19648</v>
      </c>
      <c r="E6285">
        <v>0</v>
      </c>
      <c r="F6285" t="str">
        <f>HYPERLINK("https://github.com/nextcloud/android/issues/7092", "show")</f>
        <v>show</v>
      </c>
      <c r="G6285" t="str">
        <f>HYPERLINK("https://github.com/nextcloud/android", "show")</f>
        <v>show</v>
      </c>
      <c r="H6285" t="str">
        <f>HYPERLINK("https://github.com/nextcloud/android/releases", "show")</f>
        <v>show</v>
      </c>
      <c r="I6285">
        <v>1</v>
      </c>
      <c r="J6285">
        <v>1</v>
      </c>
      <c r="K6285">
        <v>0</v>
      </c>
      <c r="L6285">
        <v>0</v>
      </c>
      <c r="M6285" t="s">
        <v>48</v>
      </c>
    </row>
    <row r="6286" spans="1:13" hidden="1" x14ac:dyDescent="0.15">
      <c r="A6286" t="s">
        <v>19684</v>
      </c>
      <c r="B6286" t="s">
        <v>19685</v>
      </c>
      <c r="C6286" t="s">
        <v>19686</v>
      </c>
      <c r="D6286" t="s">
        <v>19648</v>
      </c>
      <c r="E6286">
        <v>36</v>
      </c>
      <c r="F6286" t="str">
        <f>HYPERLINK("https://github.com/google/ExoPlayer/issues/8078", "show")</f>
        <v>show</v>
      </c>
      <c r="G6286" t="str">
        <f>HYPERLINK("https://github.com/google/ExoPlayer", "show")</f>
        <v>show</v>
      </c>
      <c r="H6286" t="str">
        <f>HYPERLINK("https://github.com/google/ExoPlayer/releases", "show")</f>
        <v>show</v>
      </c>
      <c r="I6286">
        <v>1</v>
      </c>
      <c r="J6286">
        <v>0</v>
      </c>
      <c r="K6286">
        <v>1</v>
      </c>
      <c r="L6286">
        <v>1</v>
      </c>
      <c r="M6286" t="s">
        <v>1259</v>
      </c>
    </row>
    <row r="6287" spans="1:13" hidden="1" x14ac:dyDescent="0.15">
      <c r="A6287" t="s">
        <v>19687</v>
      </c>
      <c r="B6287" t="s">
        <v>19688</v>
      </c>
      <c r="C6287" t="s">
        <v>19689</v>
      </c>
      <c r="D6287" t="s">
        <v>19648</v>
      </c>
      <c r="E6287">
        <v>0</v>
      </c>
      <c r="F6287" t="str">
        <f>HYPERLINK("https://github.com/Anuken/Mindustry/issues/2957", "show")</f>
        <v>show</v>
      </c>
      <c r="G6287" t="str">
        <f>HYPERLINK("https://github.com/Anuken/Mindustry", "show")</f>
        <v>show</v>
      </c>
      <c r="H6287" t="str">
        <f>HYPERLINK("https://github.com/Anuken/Mindustry/releases", "show")</f>
        <v>show</v>
      </c>
      <c r="I6287">
        <v>0</v>
      </c>
      <c r="J6287">
        <v>0</v>
      </c>
      <c r="K6287">
        <v>0</v>
      </c>
      <c r="L6287">
        <v>0</v>
      </c>
      <c r="M6287" t="s">
        <v>43</v>
      </c>
    </row>
    <row r="6288" spans="1:13" hidden="1" x14ac:dyDescent="0.15">
      <c r="A6288" t="s">
        <v>19690</v>
      </c>
      <c r="B6288" t="s">
        <v>19691</v>
      </c>
      <c r="C6288" t="s">
        <v>19692</v>
      </c>
      <c r="D6288" t="s">
        <v>19648</v>
      </c>
      <c r="E6288">
        <v>0</v>
      </c>
      <c r="F6288" t="str">
        <f>HYPERLINK("https://github.com/TeamNewPipe/NewPipe/issues/4512", "show")</f>
        <v>show</v>
      </c>
      <c r="G6288" t="str">
        <f>HYPERLINK("https://github.com/TeamNewPipe/NewPipe", "show")</f>
        <v>show</v>
      </c>
      <c r="H6288" t="str">
        <f>HYPERLINK("https://github.com/TeamNewPipe/NewPipe/releases", "show")</f>
        <v>show</v>
      </c>
      <c r="I6288">
        <v>1</v>
      </c>
      <c r="J6288">
        <v>1</v>
      </c>
      <c r="K6288">
        <v>1</v>
      </c>
      <c r="L6288">
        <v>0</v>
      </c>
      <c r="M6288" t="s">
        <v>59</v>
      </c>
    </row>
    <row r="6289" spans="1:13" hidden="1" x14ac:dyDescent="0.15">
      <c r="A6289" t="s">
        <v>19693</v>
      </c>
      <c r="B6289" t="s">
        <v>19694</v>
      </c>
      <c r="C6289" t="s">
        <v>19695</v>
      </c>
      <c r="D6289" t="s">
        <v>19696</v>
      </c>
      <c r="E6289">
        <v>324</v>
      </c>
      <c r="F6289" t="str">
        <f>HYPERLINK("https://github.com/aws-amplify/aws-sdk-android/issues/2155", "show")</f>
        <v>show</v>
      </c>
      <c r="G6289" t="str">
        <f>HYPERLINK("https://github.com/aws-amplify/aws-sdk-android", "show")</f>
        <v>show</v>
      </c>
      <c r="H6289" t="str">
        <f>HYPERLINK("https://github.com/aws-amplify/aws-sdk-android/releases", "show")</f>
        <v>show</v>
      </c>
      <c r="I6289">
        <v>1</v>
      </c>
      <c r="J6289">
        <v>0</v>
      </c>
      <c r="K6289">
        <v>1</v>
      </c>
      <c r="L6289">
        <v>0</v>
      </c>
      <c r="M6289" t="s">
        <v>64</v>
      </c>
    </row>
    <row r="6290" spans="1:13" hidden="1" x14ac:dyDescent="0.15">
      <c r="A6290" t="s">
        <v>19697</v>
      </c>
      <c r="B6290" t="s">
        <v>19698</v>
      </c>
      <c r="C6290" t="s">
        <v>19699</v>
      </c>
      <c r="D6290" t="s">
        <v>19696</v>
      </c>
      <c r="E6290">
        <v>1</v>
      </c>
      <c r="F6290" t="str">
        <f>HYPERLINK("https://github.com/CleverTap/clevertap-react-native/issues/112", "show")</f>
        <v>show</v>
      </c>
      <c r="G6290" t="str">
        <f>HYPERLINK("https://github.com/CleverTap/clevertap-react-native", "show")</f>
        <v>show</v>
      </c>
      <c r="H6290" t="str">
        <f>HYPERLINK("https://github.com/CleverTap/clevertap-react-native/releases", "show")</f>
        <v>show</v>
      </c>
      <c r="I6290">
        <v>1</v>
      </c>
      <c r="J6290">
        <v>0</v>
      </c>
      <c r="K6290">
        <v>1</v>
      </c>
      <c r="L6290">
        <v>0</v>
      </c>
      <c r="M6290" t="s">
        <v>64</v>
      </c>
    </row>
    <row r="6291" spans="1:13" hidden="1" x14ac:dyDescent="0.15">
      <c r="A6291" t="s">
        <v>19700</v>
      </c>
      <c r="B6291" t="s">
        <v>19701</v>
      </c>
      <c r="C6291" t="s">
        <v>19702</v>
      </c>
      <c r="D6291" t="s">
        <v>19696</v>
      </c>
      <c r="E6291">
        <v>9</v>
      </c>
      <c r="F6291" t="str">
        <f>HYPERLINK("https://github.com/cgeo/cgeo/issues/9188", "show")</f>
        <v>show</v>
      </c>
      <c r="G6291" t="str">
        <f>HYPERLINK("https://github.com/cgeo/cgeo", "show")</f>
        <v>show</v>
      </c>
      <c r="H6291" t="str">
        <f>HYPERLINK("https://github.com/cgeo/cgeo/releases", "show")</f>
        <v>show</v>
      </c>
      <c r="I6291">
        <v>1</v>
      </c>
      <c r="J6291">
        <v>1</v>
      </c>
      <c r="K6291">
        <v>1</v>
      </c>
      <c r="L6291">
        <v>0</v>
      </c>
      <c r="M6291" t="s">
        <v>59</v>
      </c>
    </row>
    <row r="6292" spans="1:13" hidden="1" x14ac:dyDescent="0.15">
      <c r="A6292" t="s">
        <v>19703</v>
      </c>
      <c r="B6292" t="s">
        <v>19704</v>
      </c>
      <c r="C6292" t="s">
        <v>19705</v>
      </c>
      <c r="D6292" t="s">
        <v>19696</v>
      </c>
      <c r="E6292">
        <v>17</v>
      </c>
      <c r="F6292" t="str">
        <f>HYPERLINK("https://github.com/aws-amplify/amplify-android/issues/901", "show")</f>
        <v>show</v>
      </c>
      <c r="G6292" t="str">
        <f>HYPERLINK("https://github.com/aws-amplify/amplify-android", "show")</f>
        <v>show</v>
      </c>
      <c r="H6292" t="str">
        <f>HYPERLINK("https://github.com/aws-amplify/amplify-android/releases", "show")</f>
        <v>show</v>
      </c>
      <c r="I6292">
        <v>1</v>
      </c>
      <c r="J6292">
        <v>1</v>
      </c>
      <c r="K6292">
        <v>1</v>
      </c>
      <c r="L6292">
        <v>0</v>
      </c>
      <c r="M6292" t="s">
        <v>59</v>
      </c>
    </row>
    <row r="6293" spans="1:13" hidden="1" x14ac:dyDescent="0.15">
      <c r="A6293" t="s">
        <v>19706</v>
      </c>
      <c r="B6293" t="s">
        <v>19707</v>
      </c>
      <c r="C6293" t="s">
        <v>19708</v>
      </c>
      <c r="D6293" t="s">
        <v>19696</v>
      </c>
      <c r="E6293">
        <v>0</v>
      </c>
      <c r="F6293" t="str">
        <f>HYPERLINK("https://github.com/Anuken/Mindustry/issues/2938", "show")</f>
        <v>show</v>
      </c>
      <c r="G6293" t="str">
        <f>HYPERLINK("https://github.com/Anuken/Mindustry", "show")</f>
        <v>show</v>
      </c>
      <c r="H6293" t="str">
        <f>HYPERLINK("https://github.com/Anuken/Mindustry/releases", "show")</f>
        <v>show</v>
      </c>
      <c r="I6293">
        <v>1</v>
      </c>
      <c r="J6293">
        <v>0</v>
      </c>
      <c r="K6293">
        <v>1</v>
      </c>
      <c r="L6293">
        <v>0</v>
      </c>
      <c r="M6293" t="s">
        <v>64</v>
      </c>
    </row>
    <row r="6294" spans="1:13" hidden="1" x14ac:dyDescent="0.15">
      <c r="A6294" t="s">
        <v>19709</v>
      </c>
      <c r="B6294" t="s">
        <v>19710</v>
      </c>
      <c r="C6294" t="s">
        <v>19711</v>
      </c>
      <c r="D6294" t="s">
        <v>19696</v>
      </c>
      <c r="E6294">
        <v>93</v>
      </c>
      <c r="F6294" t="str">
        <f>HYPERLINK("https://github.com/TeamNewPipe/NewPipe/issues/4507", "show")</f>
        <v>show</v>
      </c>
      <c r="G6294" t="str">
        <f>HYPERLINK("https://github.com/TeamNewPipe/NewPipe", "show")</f>
        <v>show</v>
      </c>
      <c r="H6294" t="str">
        <f>HYPERLINK("https://github.com/TeamNewPipe/NewPipe/releases", "show")</f>
        <v>show</v>
      </c>
      <c r="I6294">
        <v>0</v>
      </c>
      <c r="J6294">
        <v>0</v>
      </c>
      <c r="K6294">
        <v>1</v>
      </c>
      <c r="L6294">
        <v>0</v>
      </c>
      <c r="M6294" t="s">
        <v>122</v>
      </c>
    </row>
    <row r="6295" spans="1:13" hidden="1" x14ac:dyDescent="0.15">
      <c r="A6295" t="s">
        <v>19712</v>
      </c>
      <c r="B6295" t="s">
        <v>19713</v>
      </c>
      <c r="C6295" t="s">
        <v>19714</v>
      </c>
      <c r="D6295" t="s">
        <v>19696</v>
      </c>
      <c r="E6295">
        <v>0</v>
      </c>
      <c r="F6295" t="str">
        <f>HYPERLINK("https://github.com/Anuken/Mindustry/issues/2937", "show")</f>
        <v>show</v>
      </c>
      <c r="G6295" t="str">
        <f>HYPERLINK("https://github.com/Anuken/Mindustry", "show")</f>
        <v>show</v>
      </c>
      <c r="H6295" t="str">
        <f>HYPERLINK("https://github.com/Anuken/Mindustry/releases", "show")</f>
        <v>show</v>
      </c>
      <c r="I6295">
        <v>0</v>
      </c>
      <c r="J6295">
        <v>0</v>
      </c>
      <c r="K6295">
        <v>1</v>
      </c>
      <c r="L6295">
        <v>0</v>
      </c>
      <c r="M6295" t="s">
        <v>122</v>
      </c>
    </row>
    <row r="6296" spans="1:13" hidden="1" x14ac:dyDescent="0.15">
      <c r="A6296" t="s">
        <v>19715</v>
      </c>
      <c r="B6296" t="s">
        <v>141</v>
      </c>
      <c r="C6296" t="s">
        <v>19716</v>
      </c>
      <c r="D6296" t="s">
        <v>19717</v>
      </c>
      <c r="E6296">
        <v>0</v>
      </c>
      <c r="F6296" t="str">
        <f>HYPERLINK("https://github.com/Anuken/Mindustry/issues/2931", "show")</f>
        <v>show</v>
      </c>
      <c r="G6296" t="str">
        <f>HYPERLINK("https://github.com/Anuken/Mindustry", "show")</f>
        <v>show</v>
      </c>
      <c r="H6296" t="str">
        <f>HYPERLINK("https://github.com/Anuken/Mindustry/releases", "show")</f>
        <v>show</v>
      </c>
      <c r="I6296">
        <v>1</v>
      </c>
      <c r="J6296">
        <v>0</v>
      </c>
      <c r="K6296">
        <v>0</v>
      </c>
      <c r="L6296">
        <v>0</v>
      </c>
      <c r="M6296" t="s">
        <v>17</v>
      </c>
    </row>
    <row r="6297" spans="1:13" hidden="1" x14ac:dyDescent="0.15">
      <c r="A6297" t="s">
        <v>19718</v>
      </c>
      <c r="B6297" t="s">
        <v>19719</v>
      </c>
      <c r="C6297" t="s">
        <v>19720</v>
      </c>
      <c r="D6297" t="s">
        <v>19717</v>
      </c>
      <c r="E6297">
        <v>9</v>
      </c>
      <c r="F6297" t="str">
        <f>HYPERLINK("https://github.com/oliexdev/openScale/issues/638", "show")</f>
        <v>show</v>
      </c>
      <c r="G6297" t="str">
        <f>HYPERLINK("https://github.com/oliexdev/openScale", "show")</f>
        <v>show</v>
      </c>
      <c r="H6297" t="str">
        <f>HYPERLINK("https://github.com/oliexdev/openScale/releases", "show")</f>
        <v>show</v>
      </c>
      <c r="I6297">
        <v>1</v>
      </c>
      <c r="J6297">
        <v>0</v>
      </c>
      <c r="K6297">
        <v>1</v>
      </c>
      <c r="L6297">
        <v>0</v>
      </c>
      <c r="M6297" t="s">
        <v>64</v>
      </c>
    </row>
    <row r="6298" spans="1:13" hidden="1" x14ac:dyDescent="0.15">
      <c r="A6298" t="s">
        <v>19721</v>
      </c>
      <c r="B6298" t="s">
        <v>19722</v>
      </c>
      <c r="C6298" t="s">
        <v>19723</v>
      </c>
      <c r="D6298" t="s">
        <v>19717</v>
      </c>
      <c r="E6298">
        <v>0</v>
      </c>
      <c r="F6298" t="str">
        <f>HYPERLINK("https://github.com/Anuken/Mindustry/issues/2929", "show")</f>
        <v>show</v>
      </c>
      <c r="G6298" t="str">
        <f>HYPERLINK("https://github.com/Anuken/Mindustry", "show")</f>
        <v>show</v>
      </c>
      <c r="H6298" t="str">
        <f>HYPERLINK("https://github.com/Anuken/Mindustry/releases", "show")</f>
        <v>show</v>
      </c>
      <c r="I6298">
        <v>0</v>
      </c>
      <c r="J6298">
        <v>0</v>
      </c>
      <c r="K6298">
        <v>0</v>
      </c>
      <c r="L6298">
        <v>1</v>
      </c>
      <c r="M6298" t="s">
        <v>581</v>
      </c>
    </row>
    <row r="6299" spans="1:13" hidden="1" x14ac:dyDescent="0.15">
      <c r="A6299" t="s">
        <v>19724</v>
      </c>
      <c r="B6299" t="s">
        <v>19725</v>
      </c>
      <c r="C6299" t="s">
        <v>19726</v>
      </c>
      <c r="D6299" t="s">
        <v>19717</v>
      </c>
      <c r="E6299">
        <v>0</v>
      </c>
      <c r="F6299" t="str">
        <f>HYPERLINK("https://github.com/Anuken/Mindustry/issues/2928", "show")</f>
        <v>show</v>
      </c>
      <c r="G6299" t="str">
        <f>HYPERLINK("https://github.com/Anuken/Mindustry", "show")</f>
        <v>show</v>
      </c>
      <c r="H6299" t="str">
        <f>HYPERLINK("https://github.com/Anuken/Mindustry/releases", "show")</f>
        <v>show</v>
      </c>
      <c r="I6299">
        <v>0</v>
      </c>
      <c r="J6299">
        <v>0</v>
      </c>
      <c r="K6299">
        <v>1</v>
      </c>
      <c r="L6299">
        <v>0</v>
      </c>
      <c r="M6299" t="s">
        <v>122</v>
      </c>
    </row>
    <row r="6300" spans="1:13" hidden="1" x14ac:dyDescent="0.15">
      <c r="A6300" t="s">
        <v>19727</v>
      </c>
      <c r="B6300" t="s">
        <v>19728</v>
      </c>
      <c r="C6300" t="s">
        <v>19729</v>
      </c>
      <c r="D6300" t="s">
        <v>19717</v>
      </c>
      <c r="E6300">
        <v>0</v>
      </c>
      <c r="F6300" t="str">
        <f>HYPERLINK("https://github.com/c1Koriginal/Mutify/issues/22", "show")</f>
        <v>show</v>
      </c>
      <c r="G6300" t="str">
        <f>HYPERLINK("https://github.com/c1Koriginal/Mutify", "show")</f>
        <v>show</v>
      </c>
      <c r="H6300" t="str">
        <f>HYPERLINK("https://github.com/c1Koriginal/Mutify/releases", "show")</f>
        <v>show</v>
      </c>
      <c r="I6300">
        <v>1</v>
      </c>
      <c r="J6300">
        <v>0</v>
      </c>
      <c r="K6300">
        <v>0</v>
      </c>
      <c r="L6300">
        <v>0</v>
      </c>
      <c r="M6300" t="s">
        <v>17</v>
      </c>
    </row>
    <row r="6301" spans="1:13" hidden="1" x14ac:dyDescent="0.15">
      <c r="A6301" t="s">
        <v>19730</v>
      </c>
      <c r="B6301" t="s">
        <v>19731</v>
      </c>
      <c r="C6301" t="s">
        <v>19732</v>
      </c>
      <c r="D6301" t="s">
        <v>19717</v>
      </c>
      <c r="E6301">
        <v>0</v>
      </c>
      <c r="F6301" t="str">
        <f>HYPERLINK("https://github.com/borconi/WifiLauncherforHUR/issues/9", "show")</f>
        <v>show</v>
      </c>
      <c r="G6301" t="str">
        <f>HYPERLINK("https://github.com/borconi/WifiLauncherforHUR", "show")</f>
        <v>show</v>
      </c>
      <c r="H6301" t="str">
        <f>HYPERLINK("https://github.com/borconi/WifiLauncherforHUR/releases", "show")</f>
        <v>show</v>
      </c>
      <c r="I6301">
        <v>1</v>
      </c>
      <c r="J6301">
        <v>0</v>
      </c>
      <c r="K6301">
        <v>1</v>
      </c>
      <c r="L6301">
        <v>0</v>
      </c>
      <c r="M6301" t="s">
        <v>64</v>
      </c>
    </row>
    <row r="6302" spans="1:13" hidden="1" x14ac:dyDescent="0.15">
      <c r="A6302" t="s">
        <v>19733</v>
      </c>
      <c r="B6302" t="s">
        <v>19734</v>
      </c>
      <c r="C6302" t="s">
        <v>19735</v>
      </c>
      <c r="D6302" t="s">
        <v>19736</v>
      </c>
      <c r="E6302">
        <v>0</v>
      </c>
      <c r="F6302" t="str">
        <f>HYPERLINK("https://github.com/Anuken/Mindustry/issues/2925", "show")</f>
        <v>show</v>
      </c>
      <c r="G6302" t="str">
        <f>HYPERLINK("https://github.com/Anuken/Mindustry", "show")</f>
        <v>show</v>
      </c>
      <c r="H6302" t="str">
        <f>HYPERLINK("https://github.com/Anuken/Mindustry/releases", "show")</f>
        <v>show</v>
      </c>
      <c r="I6302">
        <v>0</v>
      </c>
      <c r="J6302">
        <v>0</v>
      </c>
      <c r="K6302">
        <v>0</v>
      </c>
      <c r="L6302">
        <v>0</v>
      </c>
      <c r="M6302" t="s">
        <v>43</v>
      </c>
    </row>
    <row r="6303" spans="1:13" x14ac:dyDescent="0.15">
      <c r="A6303" t="s">
        <v>19737</v>
      </c>
      <c r="B6303" t="s">
        <v>19738</v>
      </c>
      <c r="C6303" t="s">
        <v>19739</v>
      </c>
      <c r="D6303" t="s">
        <v>19736</v>
      </c>
      <c r="E6303">
        <v>302</v>
      </c>
      <c r="F6303" t="str">
        <f>HYPERLINK("https://github.com/doublesymmetry/react-native-track-player/issues/1043", "show")</f>
        <v>show</v>
      </c>
      <c r="G6303" t="str">
        <f>HYPERLINK("https://github.com/doublesymmetry/react-native-track-player", "show")</f>
        <v>show</v>
      </c>
      <c r="H6303" t="str">
        <f>HYPERLINK("https://github.com/doublesymmetry/react-native-track-player/releases", "show")</f>
        <v>show</v>
      </c>
      <c r="I6303">
        <v>0</v>
      </c>
      <c r="J6303">
        <v>1</v>
      </c>
      <c r="K6303">
        <v>0</v>
      </c>
      <c r="L6303">
        <v>0</v>
      </c>
      <c r="M6303" t="s">
        <v>139</v>
      </c>
    </row>
    <row r="6304" spans="1:13" hidden="1" x14ac:dyDescent="0.15">
      <c r="A6304" t="s">
        <v>19740</v>
      </c>
      <c r="B6304" t="s">
        <v>19741</v>
      </c>
      <c r="C6304" t="s">
        <v>19742</v>
      </c>
      <c r="D6304" t="s">
        <v>19736</v>
      </c>
      <c r="E6304">
        <v>0</v>
      </c>
      <c r="F6304" t="str">
        <f>HYPERLINK("https://github.com/Anuken/Mindustry/issues/2917", "show")</f>
        <v>show</v>
      </c>
      <c r="G6304" t="str">
        <f>HYPERLINK("https://github.com/Anuken/Mindustry", "show")</f>
        <v>show</v>
      </c>
      <c r="H6304" t="str">
        <f>HYPERLINK("https://github.com/Anuken/Mindustry/releases", "show")</f>
        <v>show</v>
      </c>
      <c r="I6304">
        <v>0</v>
      </c>
      <c r="J6304">
        <v>0</v>
      </c>
      <c r="K6304">
        <v>0</v>
      </c>
      <c r="L6304">
        <v>1</v>
      </c>
      <c r="M6304" t="s">
        <v>581</v>
      </c>
    </row>
    <row r="6305" spans="1:13" hidden="1" x14ac:dyDescent="0.15">
      <c r="A6305" t="s">
        <v>19743</v>
      </c>
      <c r="B6305" t="s">
        <v>19744</v>
      </c>
      <c r="C6305" t="s">
        <v>18853</v>
      </c>
      <c r="D6305" t="s">
        <v>19745</v>
      </c>
      <c r="E6305">
        <v>0</v>
      </c>
      <c r="F6305" t="str">
        <f>HYPERLINK("https://github.com/Anuken/Mindustry/issues/2914", "show")</f>
        <v>show</v>
      </c>
      <c r="G6305" t="str">
        <f>HYPERLINK("https://github.com/Anuken/Mindustry", "show")</f>
        <v>show</v>
      </c>
      <c r="H6305" t="str">
        <f>HYPERLINK("https://github.com/Anuken/Mindustry/releases", "show")</f>
        <v>show</v>
      </c>
      <c r="I6305">
        <v>0</v>
      </c>
      <c r="J6305">
        <v>0</v>
      </c>
      <c r="K6305">
        <v>0</v>
      </c>
      <c r="L6305">
        <v>0</v>
      </c>
      <c r="M6305" t="s">
        <v>43</v>
      </c>
    </row>
    <row r="6306" spans="1:13" hidden="1" x14ac:dyDescent="0.15">
      <c r="A6306" t="s">
        <v>19746</v>
      </c>
      <c r="B6306" t="s">
        <v>19747</v>
      </c>
      <c r="C6306" t="s">
        <v>19748</v>
      </c>
      <c r="D6306" t="s">
        <v>19745</v>
      </c>
      <c r="E6306">
        <v>0</v>
      </c>
      <c r="F6306" t="str">
        <f>HYPERLINK("https://github.com/Anuken/Mindustry/issues/2910", "show")</f>
        <v>show</v>
      </c>
      <c r="G6306" t="str">
        <f>HYPERLINK("https://github.com/Anuken/Mindustry", "show")</f>
        <v>show</v>
      </c>
      <c r="H6306" t="str">
        <f>HYPERLINK("https://github.com/Anuken/Mindustry/releases", "show")</f>
        <v>show</v>
      </c>
      <c r="I6306">
        <v>0</v>
      </c>
      <c r="J6306">
        <v>0</v>
      </c>
      <c r="K6306">
        <v>0</v>
      </c>
      <c r="L6306">
        <v>1</v>
      </c>
      <c r="M6306" t="s">
        <v>581</v>
      </c>
    </row>
    <row r="6307" spans="1:13" hidden="1" x14ac:dyDescent="0.15">
      <c r="A6307" t="s">
        <v>19749</v>
      </c>
      <c r="B6307" t="s">
        <v>19750</v>
      </c>
      <c r="C6307" t="s">
        <v>19751</v>
      </c>
      <c r="D6307" t="s">
        <v>19745</v>
      </c>
      <c r="E6307">
        <v>1</v>
      </c>
      <c r="F6307" t="str">
        <f>HYPERLINK("https://github.com/OlofSjogren/GoAyo/issues/117", "show")</f>
        <v>show</v>
      </c>
      <c r="G6307" t="str">
        <f>HYPERLINK("https://github.com/OlofSjogren/GoAyo", "show")</f>
        <v>show</v>
      </c>
      <c r="H6307" t="str">
        <f>HYPERLINK("https://github.com/OlofSjogren/GoAyo/releases", "show")</f>
        <v>show</v>
      </c>
      <c r="I6307">
        <v>1</v>
      </c>
      <c r="J6307">
        <v>1</v>
      </c>
      <c r="K6307">
        <v>1</v>
      </c>
      <c r="L6307">
        <v>0</v>
      </c>
      <c r="M6307" t="s">
        <v>59</v>
      </c>
    </row>
    <row r="6308" spans="1:13" hidden="1" x14ac:dyDescent="0.15">
      <c r="A6308" t="s">
        <v>19752</v>
      </c>
      <c r="B6308" t="s">
        <v>19753</v>
      </c>
      <c r="C6308" t="s">
        <v>19754</v>
      </c>
      <c r="D6308" t="s">
        <v>19755</v>
      </c>
      <c r="E6308">
        <v>0</v>
      </c>
      <c r="F6308" t="str">
        <f>HYPERLINK("https://github.com/k9mail/k-9/issues/5000", "show")</f>
        <v>show</v>
      </c>
      <c r="G6308" t="str">
        <f>HYPERLINK("https://github.com/k9mail/k-9", "show")</f>
        <v>show</v>
      </c>
      <c r="H6308" t="str">
        <f>HYPERLINK("https://github.com/k9mail/k-9/releases", "show")</f>
        <v>show</v>
      </c>
      <c r="I6308">
        <v>1</v>
      </c>
      <c r="J6308">
        <v>1</v>
      </c>
      <c r="K6308">
        <v>0</v>
      </c>
      <c r="L6308">
        <v>0</v>
      </c>
      <c r="M6308" t="s">
        <v>48</v>
      </c>
    </row>
    <row r="6309" spans="1:13" hidden="1" x14ac:dyDescent="0.15">
      <c r="A6309" t="s">
        <v>19756</v>
      </c>
      <c r="B6309" t="s">
        <v>14589</v>
      </c>
      <c r="C6309" t="s">
        <v>19757</v>
      </c>
      <c r="D6309" t="s">
        <v>19755</v>
      </c>
      <c r="E6309">
        <v>0</v>
      </c>
      <c r="F6309" t="str">
        <f>HYPERLINK("https://github.com/Anuken/Mindustry/issues/2893", "show")</f>
        <v>show</v>
      </c>
      <c r="G6309" t="str">
        <f>HYPERLINK("https://github.com/Anuken/Mindustry", "show")</f>
        <v>show</v>
      </c>
      <c r="H6309" t="str">
        <f>HYPERLINK("https://github.com/Anuken/Mindustry/releases", "show")</f>
        <v>show</v>
      </c>
      <c r="I6309">
        <v>0</v>
      </c>
      <c r="J6309">
        <v>0</v>
      </c>
      <c r="K6309">
        <v>1</v>
      </c>
      <c r="L6309">
        <v>0</v>
      </c>
      <c r="M6309" t="s">
        <v>122</v>
      </c>
    </row>
    <row r="6310" spans="1:13" hidden="1" x14ac:dyDescent="0.15">
      <c r="A6310" t="s">
        <v>19758</v>
      </c>
      <c r="B6310" t="s">
        <v>19759</v>
      </c>
      <c r="C6310" t="s">
        <v>19760</v>
      </c>
      <c r="D6310" t="s">
        <v>19761</v>
      </c>
      <c r="E6310">
        <v>0</v>
      </c>
      <c r="F6310" t="str">
        <f>HYPERLINK("https://github.com/Anuken/Mindustry/issues/2890", "show")</f>
        <v>show</v>
      </c>
      <c r="G6310" t="str">
        <f>HYPERLINK("https://github.com/Anuken/Mindustry", "show")</f>
        <v>show</v>
      </c>
      <c r="H6310" t="str">
        <f>HYPERLINK("https://github.com/Anuken/Mindustry/releases", "show")</f>
        <v>show</v>
      </c>
      <c r="I6310">
        <v>0</v>
      </c>
      <c r="J6310">
        <v>0</v>
      </c>
      <c r="K6310">
        <v>0</v>
      </c>
      <c r="L6310">
        <v>0</v>
      </c>
      <c r="M6310" t="s">
        <v>43</v>
      </c>
    </row>
    <row r="6311" spans="1:13" hidden="1" x14ac:dyDescent="0.15">
      <c r="A6311" t="s">
        <v>19762</v>
      </c>
      <c r="B6311" t="s">
        <v>19763</v>
      </c>
      <c r="C6311" t="s">
        <v>19764</v>
      </c>
      <c r="D6311" t="s">
        <v>19761</v>
      </c>
      <c r="E6311">
        <v>71</v>
      </c>
      <c r="F6311" t="str">
        <f>HYPERLINK("https://github.com/nextcloud/android/issues/7069", "show")</f>
        <v>show</v>
      </c>
      <c r="G6311" t="str">
        <f>HYPERLINK("https://github.com/nextcloud/android", "show")</f>
        <v>show</v>
      </c>
      <c r="H6311" t="str">
        <f>HYPERLINK("https://github.com/nextcloud/android/releases", "show")</f>
        <v>show</v>
      </c>
      <c r="I6311">
        <v>1</v>
      </c>
      <c r="J6311">
        <v>0</v>
      </c>
      <c r="K6311">
        <v>0</v>
      </c>
      <c r="L6311">
        <v>1</v>
      </c>
      <c r="M6311" t="s">
        <v>29</v>
      </c>
    </row>
    <row r="6312" spans="1:13" hidden="1" x14ac:dyDescent="0.15">
      <c r="A6312" t="s">
        <v>19765</v>
      </c>
      <c r="B6312" t="s">
        <v>19766</v>
      </c>
      <c r="D6312" t="s">
        <v>19761</v>
      </c>
      <c r="E6312">
        <v>3</v>
      </c>
      <c r="F6312" t="str">
        <f>HYPERLINK("https://github.com/OlofSjogren/GoAyo/issues/116", "show")</f>
        <v>show</v>
      </c>
      <c r="G6312" t="str">
        <f>HYPERLINK("https://github.com/OlofSjogren/GoAyo", "show")</f>
        <v>show</v>
      </c>
      <c r="H6312" t="str">
        <f>HYPERLINK("https://github.com/OlofSjogren/GoAyo/releases", "show")</f>
        <v>show</v>
      </c>
      <c r="I6312">
        <v>0</v>
      </c>
      <c r="J6312">
        <v>0</v>
      </c>
      <c r="K6312">
        <v>0</v>
      </c>
      <c r="L6312">
        <v>0</v>
      </c>
      <c r="M6312" t="s">
        <v>43</v>
      </c>
    </row>
    <row r="6313" spans="1:13" hidden="1" x14ac:dyDescent="0.15">
      <c r="A6313" t="s">
        <v>19767</v>
      </c>
      <c r="B6313" t="s">
        <v>19768</v>
      </c>
      <c r="C6313" t="s">
        <v>19769</v>
      </c>
      <c r="D6313" t="s">
        <v>19761</v>
      </c>
      <c r="E6313">
        <v>3</v>
      </c>
      <c r="F6313" t="str">
        <f>HYPERLINK("https://github.com/OlofSjogren/GoAyo/issues/113", "show")</f>
        <v>show</v>
      </c>
      <c r="G6313" t="str">
        <f>HYPERLINK("https://github.com/OlofSjogren/GoAyo", "show")</f>
        <v>show</v>
      </c>
      <c r="H6313" t="str">
        <f>HYPERLINK("https://github.com/OlofSjogren/GoAyo/releases", "show")</f>
        <v>show</v>
      </c>
      <c r="I6313">
        <v>1</v>
      </c>
      <c r="J6313">
        <v>0</v>
      </c>
      <c r="K6313">
        <v>0</v>
      </c>
      <c r="L6313">
        <v>1</v>
      </c>
      <c r="M6313" t="s">
        <v>29</v>
      </c>
    </row>
    <row r="6314" spans="1:13" x14ac:dyDescent="0.15">
      <c r="A6314" t="s">
        <v>19770</v>
      </c>
      <c r="B6314" t="s">
        <v>19771</v>
      </c>
      <c r="C6314" t="s">
        <v>19772</v>
      </c>
      <c r="D6314" t="s">
        <v>19761</v>
      </c>
      <c r="E6314">
        <v>0</v>
      </c>
      <c r="F6314" t="str">
        <f>HYPERLINK("https://github.com/Anuken/Mindustry/issues/2886", "show")</f>
        <v>show</v>
      </c>
      <c r="G6314" t="str">
        <f>HYPERLINK("https://github.com/Anuken/Mindustry", "show")</f>
        <v>show</v>
      </c>
      <c r="H6314" t="str">
        <f>HYPERLINK("https://github.com/Anuken/Mindustry/releases", "show")</f>
        <v>show</v>
      </c>
      <c r="I6314">
        <v>0</v>
      </c>
      <c r="J6314">
        <v>1</v>
      </c>
      <c r="K6314">
        <v>0</v>
      </c>
      <c r="L6314">
        <v>0</v>
      </c>
      <c r="M6314" t="s">
        <v>139</v>
      </c>
    </row>
    <row r="6315" spans="1:13" hidden="1" x14ac:dyDescent="0.15">
      <c r="A6315" t="s">
        <v>19773</v>
      </c>
      <c r="B6315" t="s">
        <v>19774</v>
      </c>
      <c r="C6315" t="s">
        <v>19775</v>
      </c>
      <c r="D6315" t="s">
        <v>19761</v>
      </c>
      <c r="E6315">
        <v>0</v>
      </c>
      <c r="F6315" t="str">
        <f>HYPERLINK("https://github.com/Anuken/Mindustry/issues/2884", "show")</f>
        <v>show</v>
      </c>
      <c r="G6315" t="str">
        <f>HYPERLINK("https://github.com/Anuken/Mindustry", "show")</f>
        <v>show</v>
      </c>
      <c r="H6315" t="str">
        <f>HYPERLINK("https://github.com/Anuken/Mindustry/releases", "show")</f>
        <v>show</v>
      </c>
      <c r="I6315">
        <v>0</v>
      </c>
      <c r="J6315">
        <v>0</v>
      </c>
      <c r="K6315">
        <v>0</v>
      </c>
      <c r="L6315">
        <v>0</v>
      </c>
      <c r="M6315" t="s">
        <v>43</v>
      </c>
    </row>
    <row r="6316" spans="1:13" hidden="1" x14ac:dyDescent="0.15">
      <c r="A6316" t="s">
        <v>19776</v>
      </c>
      <c r="B6316" t="s">
        <v>19777</v>
      </c>
      <c r="C6316" t="s">
        <v>19778</v>
      </c>
      <c r="D6316" t="s">
        <v>19761</v>
      </c>
      <c r="E6316">
        <v>0</v>
      </c>
      <c r="F6316" t="str">
        <f>HYPERLINK("https://github.com/Anuken/Mindustry/issues/2883", "show")</f>
        <v>show</v>
      </c>
      <c r="G6316" t="str">
        <f>HYPERLINK("https://github.com/Anuken/Mindustry", "show")</f>
        <v>show</v>
      </c>
      <c r="H6316" t="str">
        <f>HYPERLINK("https://github.com/Anuken/Mindustry/releases", "show")</f>
        <v>show</v>
      </c>
      <c r="I6316">
        <v>0</v>
      </c>
      <c r="J6316">
        <v>0</v>
      </c>
      <c r="K6316">
        <v>0</v>
      </c>
      <c r="L6316">
        <v>1</v>
      </c>
      <c r="M6316" t="s">
        <v>581</v>
      </c>
    </row>
    <row r="6317" spans="1:13" hidden="1" x14ac:dyDescent="0.15">
      <c r="A6317" t="s">
        <v>19779</v>
      </c>
      <c r="B6317" t="s">
        <v>19780</v>
      </c>
      <c r="C6317" t="s">
        <v>19781</v>
      </c>
      <c r="D6317" t="s">
        <v>19761</v>
      </c>
      <c r="E6317">
        <v>6</v>
      </c>
      <c r="F6317" t="str">
        <f>HYPERLINK("https://github.com/GoogleCloudPlatform/fda-mystudies/issues/1249", "show")</f>
        <v>show</v>
      </c>
      <c r="G6317" t="str">
        <f>HYPERLINK("https://github.com/GoogleCloudPlatform/fda-mystudies", "show")</f>
        <v>show</v>
      </c>
      <c r="H6317" t="str">
        <f>HYPERLINK("https://github.com/GoogleCloudPlatform/fda-mystudies/releases", "show")</f>
        <v>show</v>
      </c>
      <c r="I6317">
        <v>0</v>
      </c>
      <c r="J6317">
        <v>0</v>
      </c>
      <c r="K6317">
        <v>0</v>
      </c>
      <c r="L6317">
        <v>0</v>
      </c>
      <c r="M6317" t="s">
        <v>43</v>
      </c>
    </row>
    <row r="6318" spans="1:13" hidden="1" x14ac:dyDescent="0.15">
      <c r="A6318" t="s">
        <v>19782</v>
      </c>
      <c r="B6318" t="s">
        <v>19783</v>
      </c>
      <c r="C6318" t="s">
        <v>19784</v>
      </c>
      <c r="D6318" t="s">
        <v>19761</v>
      </c>
      <c r="E6318">
        <v>0</v>
      </c>
      <c r="F6318" t="str">
        <f>HYPERLINK("https://github.com/Anuken/Mindustry/issues/2880", "show")</f>
        <v>show</v>
      </c>
      <c r="G6318" t="str">
        <f>HYPERLINK("https://github.com/Anuken/Mindustry", "show")</f>
        <v>show</v>
      </c>
      <c r="H6318" t="str">
        <f>HYPERLINK("https://github.com/Anuken/Mindustry/releases", "show")</f>
        <v>show</v>
      </c>
      <c r="I6318">
        <v>0</v>
      </c>
      <c r="J6318">
        <v>0</v>
      </c>
      <c r="K6318">
        <v>1</v>
      </c>
      <c r="L6318">
        <v>0</v>
      </c>
      <c r="M6318" t="s">
        <v>122</v>
      </c>
    </row>
    <row r="6319" spans="1:13" hidden="1" x14ac:dyDescent="0.15">
      <c r="A6319" t="s">
        <v>19785</v>
      </c>
      <c r="B6319" t="s">
        <v>19786</v>
      </c>
      <c r="C6319" t="s">
        <v>19787</v>
      </c>
      <c r="D6319" t="s">
        <v>19761</v>
      </c>
      <c r="E6319">
        <v>0</v>
      </c>
      <c r="F6319" t="str">
        <f>HYPERLINK("https://github.com/Anuken/Mindustry/issues/2878", "show")</f>
        <v>show</v>
      </c>
      <c r="G6319" t="str">
        <f>HYPERLINK("https://github.com/Anuken/Mindustry", "show")</f>
        <v>show</v>
      </c>
      <c r="H6319" t="str">
        <f>HYPERLINK("https://github.com/Anuken/Mindustry/releases", "show")</f>
        <v>show</v>
      </c>
      <c r="I6319">
        <v>0</v>
      </c>
      <c r="J6319">
        <v>0</v>
      </c>
      <c r="K6319">
        <v>0</v>
      </c>
      <c r="L6319">
        <v>0</v>
      </c>
      <c r="M6319" t="s">
        <v>43</v>
      </c>
    </row>
    <row r="6320" spans="1:13" hidden="1" x14ac:dyDescent="0.15">
      <c r="A6320" t="s">
        <v>19788</v>
      </c>
      <c r="B6320" t="s">
        <v>19789</v>
      </c>
      <c r="C6320" t="s">
        <v>19790</v>
      </c>
      <c r="D6320" t="s">
        <v>19791</v>
      </c>
      <c r="E6320">
        <v>1</v>
      </c>
      <c r="F6320" t="str">
        <f>HYPERLINK("https://github.com/Anuken/Mindustry/issues/2874", "show")</f>
        <v>show</v>
      </c>
      <c r="G6320" t="str">
        <f>HYPERLINK("https://github.com/Anuken/Mindustry", "show")</f>
        <v>show</v>
      </c>
      <c r="H6320" t="str">
        <f>HYPERLINK("https://github.com/Anuken/Mindustry/releases", "show")</f>
        <v>show</v>
      </c>
      <c r="I6320">
        <v>0</v>
      </c>
      <c r="J6320">
        <v>0</v>
      </c>
      <c r="K6320">
        <v>0</v>
      </c>
      <c r="L6320">
        <v>0</v>
      </c>
      <c r="M6320" t="s">
        <v>43</v>
      </c>
    </row>
    <row r="6321" spans="1:13" hidden="1" x14ac:dyDescent="0.15">
      <c r="A6321" t="s">
        <v>19792</v>
      </c>
      <c r="B6321" t="s">
        <v>19793</v>
      </c>
      <c r="C6321" t="s">
        <v>19794</v>
      </c>
      <c r="D6321" t="s">
        <v>19791</v>
      </c>
      <c r="E6321">
        <v>0</v>
      </c>
      <c r="F6321" t="str">
        <f>HYPERLINK("https://github.com/Anuken/Mindustry/issues/2873", "show")</f>
        <v>show</v>
      </c>
      <c r="G6321" t="str">
        <f>HYPERLINK("https://github.com/Anuken/Mindustry", "show")</f>
        <v>show</v>
      </c>
      <c r="H6321" t="str">
        <f>HYPERLINK("https://github.com/Anuken/Mindustry/releases", "show")</f>
        <v>show</v>
      </c>
      <c r="I6321">
        <v>0</v>
      </c>
      <c r="J6321">
        <v>1</v>
      </c>
      <c r="K6321">
        <v>0</v>
      </c>
      <c r="L6321">
        <v>1</v>
      </c>
      <c r="M6321" t="s">
        <v>1732</v>
      </c>
    </row>
    <row r="6322" spans="1:13" hidden="1" x14ac:dyDescent="0.15">
      <c r="A6322" t="s">
        <v>19795</v>
      </c>
      <c r="B6322" t="s">
        <v>19796</v>
      </c>
      <c r="C6322" t="s">
        <v>19797</v>
      </c>
      <c r="D6322" t="s">
        <v>19791</v>
      </c>
      <c r="E6322">
        <v>0</v>
      </c>
      <c r="F6322" t="str">
        <f>HYPERLINK("https://github.com/Anuken/Mindustry/issues/2871", "show")</f>
        <v>show</v>
      </c>
      <c r="G6322" t="str">
        <f>HYPERLINK("https://github.com/Anuken/Mindustry", "show")</f>
        <v>show</v>
      </c>
      <c r="H6322" t="str">
        <f>HYPERLINK("https://github.com/Anuken/Mindustry/releases", "show")</f>
        <v>show</v>
      </c>
      <c r="I6322">
        <v>0</v>
      </c>
      <c r="J6322">
        <v>0</v>
      </c>
      <c r="K6322">
        <v>0</v>
      </c>
      <c r="L6322">
        <v>0</v>
      </c>
      <c r="M6322" t="s">
        <v>43</v>
      </c>
    </row>
    <row r="6323" spans="1:13" hidden="1" x14ac:dyDescent="0.15">
      <c r="A6323" t="s">
        <v>19798</v>
      </c>
      <c r="B6323" t="s">
        <v>19799</v>
      </c>
      <c r="C6323" t="s">
        <v>19800</v>
      </c>
      <c r="D6323" t="s">
        <v>19791</v>
      </c>
      <c r="E6323">
        <v>9</v>
      </c>
      <c r="F6323" t="str">
        <f>HYPERLINK("https://github.com/TeamNewPipe/NewPipe/issues/4451", "show")</f>
        <v>show</v>
      </c>
      <c r="G6323" t="str">
        <f>HYPERLINK("https://github.com/TeamNewPipe/NewPipe", "show")</f>
        <v>show</v>
      </c>
      <c r="H6323" t="str">
        <f>HYPERLINK("https://github.com/TeamNewPipe/NewPipe/releases", "show")</f>
        <v>show</v>
      </c>
      <c r="I6323">
        <v>1</v>
      </c>
      <c r="J6323">
        <v>1</v>
      </c>
      <c r="K6323">
        <v>1</v>
      </c>
      <c r="L6323">
        <v>0</v>
      </c>
      <c r="M6323" t="s">
        <v>59</v>
      </c>
    </row>
    <row r="6324" spans="1:13" hidden="1" x14ac:dyDescent="0.15">
      <c r="A6324" t="s">
        <v>19801</v>
      </c>
      <c r="B6324" t="s">
        <v>19802</v>
      </c>
      <c r="C6324" t="s">
        <v>19803</v>
      </c>
      <c r="D6324" t="s">
        <v>19791</v>
      </c>
      <c r="E6324">
        <v>0</v>
      </c>
      <c r="F6324" t="str">
        <f>HYPERLINK("https://github.com/Anuken/Mindustry/issues/2867", "show")</f>
        <v>show</v>
      </c>
      <c r="G6324" t="str">
        <f>HYPERLINK("https://github.com/Anuken/Mindustry", "show")</f>
        <v>show</v>
      </c>
      <c r="H6324" t="str">
        <f>HYPERLINK("https://github.com/Anuken/Mindustry/releases", "show")</f>
        <v>show</v>
      </c>
      <c r="I6324">
        <v>0</v>
      </c>
      <c r="J6324">
        <v>0</v>
      </c>
      <c r="K6324">
        <v>1</v>
      </c>
      <c r="L6324">
        <v>0</v>
      </c>
      <c r="M6324" t="s">
        <v>122</v>
      </c>
    </row>
    <row r="6325" spans="1:13" hidden="1" x14ac:dyDescent="0.15">
      <c r="A6325" t="s">
        <v>19804</v>
      </c>
      <c r="B6325" t="s">
        <v>19805</v>
      </c>
      <c r="C6325" t="s">
        <v>19806</v>
      </c>
      <c r="D6325" t="s">
        <v>19791</v>
      </c>
      <c r="E6325">
        <v>0</v>
      </c>
      <c r="F6325" t="str">
        <f>HYPERLINK("https://github.com/Anuken/Mindustry/issues/2866", "show")</f>
        <v>show</v>
      </c>
      <c r="G6325" t="str">
        <f>HYPERLINK("https://github.com/Anuken/Mindustry", "show")</f>
        <v>show</v>
      </c>
      <c r="H6325" t="str">
        <f>HYPERLINK("https://github.com/Anuken/Mindustry/releases", "show")</f>
        <v>show</v>
      </c>
      <c r="I6325">
        <v>0</v>
      </c>
      <c r="J6325">
        <v>0</v>
      </c>
      <c r="K6325">
        <v>0</v>
      </c>
      <c r="L6325">
        <v>1</v>
      </c>
      <c r="M6325" t="s">
        <v>581</v>
      </c>
    </row>
    <row r="6326" spans="1:13" hidden="1" x14ac:dyDescent="0.15">
      <c r="A6326" t="s">
        <v>19807</v>
      </c>
      <c r="B6326" t="s">
        <v>19808</v>
      </c>
      <c r="C6326" t="s">
        <v>19809</v>
      </c>
      <c r="D6326" t="s">
        <v>19810</v>
      </c>
      <c r="E6326">
        <v>0</v>
      </c>
      <c r="F6326" t="str">
        <f>HYPERLINK("https://github.com/nextcloud/android/issues/7064", "show")</f>
        <v>show</v>
      </c>
      <c r="G6326" t="str">
        <f>HYPERLINK("https://github.com/nextcloud/android", "show")</f>
        <v>show</v>
      </c>
      <c r="H6326" t="str">
        <f>HYPERLINK("https://github.com/nextcloud/android/releases", "show")</f>
        <v>show</v>
      </c>
      <c r="I6326">
        <v>1</v>
      </c>
      <c r="J6326">
        <v>0</v>
      </c>
      <c r="K6326">
        <v>1</v>
      </c>
      <c r="L6326">
        <v>0</v>
      </c>
      <c r="M6326" t="s">
        <v>64</v>
      </c>
    </row>
    <row r="6327" spans="1:13" hidden="1" x14ac:dyDescent="0.15">
      <c r="A6327" t="s">
        <v>19811</v>
      </c>
      <c r="B6327" t="s">
        <v>19812</v>
      </c>
      <c r="C6327" t="s">
        <v>19813</v>
      </c>
      <c r="D6327" t="s">
        <v>19810</v>
      </c>
      <c r="E6327">
        <v>11</v>
      </c>
      <c r="F6327" t="str">
        <f>HYPERLINK("https://github.com/harsh-2711/android-search-ui/issues/19", "show")</f>
        <v>show</v>
      </c>
      <c r="G6327" t="str">
        <f>HYPERLINK("https://github.com/harsh-2711/android-search-ui", "show")</f>
        <v>show</v>
      </c>
      <c r="H6327" t="str">
        <f>HYPERLINK("https://github.com/harsh-2711/android-search-ui/releases", "show")</f>
        <v>show</v>
      </c>
      <c r="I6327">
        <v>1</v>
      </c>
      <c r="J6327">
        <v>1</v>
      </c>
      <c r="K6327">
        <v>0</v>
      </c>
      <c r="L6327">
        <v>0</v>
      </c>
      <c r="M6327" t="s">
        <v>48</v>
      </c>
    </row>
    <row r="6328" spans="1:13" hidden="1" x14ac:dyDescent="0.15">
      <c r="A6328" t="s">
        <v>19814</v>
      </c>
      <c r="B6328" t="s">
        <v>19815</v>
      </c>
      <c r="C6328" t="s">
        <v>19816</v>
      </c>
      <c r="D6328" t="s">
        <v>19810</v>
      </c>
      <c r="E6328">
        <v>6</v>
      </c>
      <c r="F6328" t="str">
        <f>HYPERLINK("https://github.com/GoogleCloudPlatform/fda-mystudies/issues/1151", "show")</f>
        <v>show</v>
      </c>
      <c r="G6328" t="str">
        <f>HYPERLINK("https://github.com/GoogleCloudPlatform/fda-mystudies", "show")</f>
        <v>show</v>
      </c>
      <c r="H6328" t="str">
        <f>HYPERLINK("https://github.com/GoogleCloudPlatform/fda-mystudies/releases", "show")</f>
        <v>show</v>
      </c>
      <c r="I6328">
        <v>1</v>
      </c>
      <c r="J6328">
        <v>0</v>
      </c>
      <c r="K6328">
        <v>0</v>
      </c>
      <c r="L6328">
        <v>0</v>
      </c>
      <c r="M6328" t="s">
        <v>17</v>
      </c>
    </row>
    <row r="6329" spans="1:13" hidden="1" x14ac:dyDescent="0.15">
      <c r="A6329" t="s">
        <v>19817</v>
      </c>
      <c r="B6329" t="s">
        <v>19818</v>
      </c>
      <c r="C6329" t="s">
        <v>19819</v>
      </c>
      <c r="D6329" t="s">
        <v>19810</v>
      </c>
      <c r="E6329">
        <v>87</v>
      </c>
      <c r="F6329" t="str">
        <f>HYPERLINK("https://github.com/jonathanpalma/react-native-tesseract-ocr/issues/91", "show")</f>
        <v>show</v>
      </c>
      <c r="G6329" t="str">
        <f>HYPERLINK("https://github.com/jonathanpalma/react-native-tesseract-ocr", "show")</f>
        <v>show</v>
      </c>
      <c r="H6329" t="str">
        <f>HYPERLINK("https://github.com/jonathanpalma/react-native-tesseract-ocr/releases", "show")</f>
        <v>show</v>
      </c>
      <c r="I6329">
        <v>1</v>
      </c>
      <c r="J6329">
        <v>1</v>
      </c>
      <c r="K6329">
        <v>0</v>
      </c>
      <c r="L6329">
        <v>0</v>
      </c>
      <c r="M6329" t="s">
        <v>48</v>
      </c>
    </row>
    <row r="6330" spans="1:13" x14ac:dyDescent="0.15">
      <c r="A6330" t="s">
        <v>19820</v>
      </c>
      <c r="B6330" t="s">
        <v>19821</v>
      </c>
      <c r="C6330" t="s">
        <v>19822</v>
      </c>
      <c r="D6330" t="s">
        <v>19823</v>
      </c>
      <c r="E6330">
        <v>0</v>
      </c>
      <c r="F6330" t="str">
        <f>HYPERLINK("https://github.com/Anuken/Mindustry/issues/2850", "show")</f>
        <v>show</v>
      </c>
      <c r="G6330" t="str">
        <f>HYPERLINK("https://github.com/Anuken/Mindustry", "show")</f>
        <v>show</v>
      </c>
      <c r="H6330" t="str">
        <f>HYPERLINK("https://github.com/Anuken/Mindustry/releases", "show")</f>
        <v>show</v>
      </c>
      <c r="I6330">
        <v>0</v>
      </c>
      <c r="J6330">
        <v>1</v>
      </c>
      <c r="K6330">
        <v>0</v>
      </c>
      <c r="L6330">
        <v>0</v>
      </c>
      <c r="M6330" t="s">
        <v>139</v>
      </c>
    </row>
    <row r="6331" spans="1:13" hidden="1" x14ac:dyDescent="0.15">
      <c r="A6331" t="s">
        <v>19824</v>
      </c>
      <c r="B6331" t="s">
        <v>19825</v>
      </c>
      <c r="D6331" t="s">
        <v>19823</v>
      </c>
      <c r="E6331">
        <v>93</v>
      </c>
      <c r="F6331" t="str">
        <f>HYPERLINK("https://github.com/inaturalist/iNaturalistAndroid/issues/920", "show")</f>
        <v>show</v>
      </c>
      <c r="G6331" t="str">
        <f>HYPERLINK("https://github.com/inaturalist/iNaturalistAndroid", "show")</f>
        <v>show</v>
      </c>
      <c r="H6331" t="str">
        <f>HYPERLINK("https://github.com/inaturalist/iNaturalistAndroid/releases", "show")</f>
        <v>show</v>
      </c>
      <c r="I6331">
        <v>1</v>
      </c>
      <c r="J6331">
        <v>0</v>
      </c>
      <c r="K6331">
        <v>1</v>
      </c>
      <c r="L6331">
        <v>0</v>
      </c>
      <c r="M6331" t="s">
        <v>64</v>
      </c>
    </row>
    <row r="6332" spans="1:13" hidden="1" x14ac:dyDescent="0.15">
      <c r="A6332" t="s">
        <v>19826</v>
      </c>
      <c r="B6332" t="s">
        <v>19827</v>
      </c>
      <c r="C6332" t="s">
        <v>19828</v>
      </c>
      <c r="D6332" t="s">
        <v>19823</v>
      </c>
      <c r="E6332">
        <v>9</v>
      </c>
      <c r="F6332" t="str">
        <f>HYPERLINK("https://github.com/nextcloud/android/issues/7056", "show")</f>
        <v>show</v>
      </c>
      <c r="G6332" t="str">
        <f>HYPERLINK("https://github.com/nextcloud/android", "show")</f>
        <v>show</v>
      </c>
      <c r="H6332" t="str">
        <f>HYPERLINK("https://github.com/nextcloud/android/releases", "show")</f>
        <v>show</v>
      </c>
      <c r="I6332">
        <v>0</v>
      </c>
      <c r="J6332">
        <v>0</v>
      </c>
      <c r="K6332">
        <v>1</v>
      </c>
      <c r="L6332">
        <v>0</v>
      </c>
      <c r="M6332" t="s">
        <v>122</v>
      </c>
    </row>
    <row r="6333" spans="1:13" hidden="1" x14ac:dyDescent="0.15">
      <c r="A6333" t="s">
        <v>19829</v>
      </c>
      <c r="B6333" t="s">
        <v>19830</v>
      </c>
      <c r="C6333" t="s">
        <v>19831</v>
      </c>
      <c r="D6333" t="s">
        <v>19823</v>
      </c>
      <c r="E6333">
        <v>10</v>
      </c>
      <c r="F6333" t="str">
        <f>HYPERLINK("https://github.com/nextcloud/android/issues/7055", "show")</f>
        <v>show</v>
      </c>
      <c r="G6333" t="str">
        <f>HYPERLINK("https://github.com/nextcloud/android", "show")</f>
        <v>show</v>
      </c>
      <c r="H6333" t="str">
        <f>HYPERLINK("https://github.com/nextcloud/android/releases", "show")</f>
        <v>show</v>
      </c>
      <c r="I6333">
        <v>1</v>
      </c>
      <c r="J6333">
        <v>0</v>
      </c>
      <c r="K6333">
        <v>1</v>
      </c>
      <c r="L6333">
        <v>0</v>
      </c>
      <c r="M6333" t="s">
        <v>64</v>
      </c>
    </row>
    <row r="6334" spans="1:13" hidden="1" x14ac:dyDescent="0.15">
      <c r="A6334" t="s">
        <v>19832</v>
      </c>
      <c r="B6334" t="s">
        <v>19833</v>
      </c>
      <c r="C6334" t="s">
        <v>19834</v>
      </c>
      <c r="D6334" t="s">
        <v>19823</v>
      </c>
      <c r="E6334">
        <v>74</v>
      </c>
      <c r="F6334" t="str">
        <f>HYPERLINK("https://github.com/jonathanpalma/react-native-tesseract-ocr/issues/90", "show")</f>
        <v>show</v>
      </c>
      <c r="G6334" t="str">
        <f>HYPERLINK("https://github.com/jonathanpalma/react-native-tesseract-ocr", "show")</f>
        <v>show</v>
      </c>
      <c r="H6334" t="str">
        <f>HYPERLINK("https://github.com/jonathanpalma/react-native-tesseract-ocr/releases", "show")</f>
        <v>show</v>
      </c>
      <c r="I6334">
        <v>1</v>
      </c>
      <c r="J6334">
        <v>1</v>
      </c>
      <c r="K6334">
        <v>0</v>
      </c>
      <c r="L6334">
        <v>1</v>
      </c>
      <c r="M6334" t="s">
        <v>1894</v>
      </c>
    </row>
    <row r="6335" spans="1:13" hidden="1" x14ac:dyDescent="0.15">
      <c r="A6335" t="s">
        <v>19835</v>
      </c>
      <c r="B6335" t="s">
        <v>141</v>
      </c>
      <c r="C6335" t="s">
        <v>19836</v>
      </c>
      <c r="D6335" t="s">
        <v>19823</v>
      </c>
      <c r="E6335">
        <v>0</v>
      </c>
      <c r="F6335" t="str">
        <f>HYPERLINK("https://github.com/k9mail/k-9/issues/4985", "show")</f>
        <v>show</v>
      </c>
      <c r="G6335" t="str">
        <f>HYPERLINK("https://github.com/k9mail/k-9", "show")</f>
        <v>show</v>
      </c>
      <c r="H6335" t="str">
        <f>HYPERLINK("https://github.com/k9mail/k-9/releases", "show")</f>
        <v>show</v>
      </c>
      <c r="I6335">
        <v>1</v>
      </c>
      <c r="J6335">
        <v>0</v>
      </c>
      <c r="K6335">
        <v>0</v>
      </c>
      <c r="L6335">
        <v>1</v>
      </c>
      <c r="M6335" t="s">
        <v>29</v>
      </c>
    </row>
    <row r="6336" spans="1:13" hidden="1" x14ac:dyDescent="0.15">
      <c r="A6336" t="s">
        <v>19837</v>
      </c>
      <c r="B6336" t="s">
        <v>19838</v>
      </c>
      <c r="C6336" t="s">
        <v>18853</v>
      </c>
      <c r="D6336" t="s">
        <v>19823</v>
      </c>
      <c r="E6336">
        <v>0</v>
      </c>
      <c r="F6336" t="str">
        <f>HYPERLINK("https://github.com/Anuken/Mindustry/issues/2849", "show")</f>
        <v>show</v>
      </c>
      <c r="G6336" t="str">
        <f>HYPERLINK("https://github.com/Anuken/Mindustry", "show")</f>
        <v>show</v>
      </c>
      <c r="H6336" t="str">
        <f>HYPERLINK("https://github.com/Anuken/Mindustry/releases", "show")</f>
        <v>show</v>
      </c>
      <c r="I6336">
        <v>0</v>
      </c>
      <c r="J6336">
        <v>0</v>
      </c>
      <c r="K6336">
        <v>0</v>
      </c>
      <c r="L6336">
        <v>0</v>
      </c>
      <c r="M6336" t="s">
        <v>43</v>
      </c>
    </row>
    <row r="6337" spans="1:13" hidden="1" x14ac:dyDescent="0.15">
      <c r="A6337" t="s">
        <v>19839</v>
      </c>
      <c r="B6337" t="s">
        <v>19840</v>
      </c>
      <c r="C6337" t="s">
        <v>19841</v>
      </c>
      <c r="D6337" t="s">
        <v>19823</v>
      </c>
      <c r="E6337">
        <v>0</v>
      </c>
      <c r="F6337" t="str">
        <f>HYPERLINK("https://github.com/nextcloud/android/issues/7053", "show")</f>
        <v>show</v>
      </c>
      <c r="G6337" t="str">
        <f>HYPERLINK("https://github.com/nextcloud/android", "show")</f>
        <v>show</v>
      </c>
      <c r="H6337" t="str">
        <f>HYPERLINK("https://github.com/nextcloud/android/releases", "show")</f>
        <v>show</v>
      </c>
      <c r="I6337">
        <v>0</v>
      </c>
      <c r="J6337">
        <v>0</v>
      </c>
      <c r="K6337">
        <v>1</v>
      </c>
      <c r="L6337">
        <v>0</v>
      </c>
      <c r="M6337" t="s">
        <v>122</v>
      </c>
    </row>
    <row r="6338" spans="1:13" hidden="1" x14ac:dyDescent="0.15">
      <c r="A6338" t="s">
        <v>19842</v>
      </c>
      <c r="B6338" t="s">
        <v>19843</v>
      </c>
      <c r="C6338" t="s">
        <v>19844</v>
      </c>
      <c r="D6338" t="s">
        <v>19845</v>
      </c>
      <c r="E6338">
        <v>0</v>
      </c>
      <c r="F6338" t="str">
        <f>HYPERLINK("https://github.com/Anuken/Mindustry/issues/2840", "show")</f>
        <v>show</v>
      </c>
      <c r="G6338" t="str">
        <f>HYPERLINK("https://github.com/Anuken/Mindustry", "show")</f>
        <v>show</v>
      </c>
      <c r="H6338" t="str">
        <f>HYPERLINK("https://github.com/Anuken/Mindustry/releases", "show")</f>
        <v>show</v>
      </c>
      <c r="I6338">
        <v>0</v>
      </c>
      <c r="J6338">
        <v>0</v>
      </c>
      <c r="K6338">
        <v>0</v>
      </c>
      <c r="L6338">
        <v>0</v>
      </c>
      <c r="M6338" t="s">
        <v>43</v>
      </c>
    </row>
    <row r="6339" spans="1:13" hidden="1" x14ac:dyDescent="0.15">
      <c r="A6339" t="s">
        <v>19846</v>
      </c>
      <c r="B6339" t="s">
        <v>19847</v>
      </c>
      <c r="C6339" t="s">
        <v>19848</v>
      </c>
      <c r="D6339" t="s">
        <v>19845</v>
      </c>
      <c r="E6339">
        <v>5</v>
      </c>
      <c r="F6339" t="str">
        <f>HYPERLINK("https://github.com/TeamNewPipe/NewPipe/issues/4406", "show")</f>
        <v>show</v>
      </c>
      <c r="G6339" t="str">
        <f>HYPERLINK("https://github.com/TeamNewPipe/NewPipe", "show")</f>
        <v>show</v>
      </c>
      <c r="H6339" t="str">
        <f>HYPERLINK("https://github.com/TeamNewPipe/NewPipe/releases", "show")</f>
        <v>show</v>
      </c>
      <c r="I6339">
        <v>1</v>
      </c>
      <c r="J6339">
        <v>1</v>
      </c>
      <c r="K6339">
        <v>0</v>
      </c>
      <c r="L6339">
        <v>0</v>
      </c>
      <c r="M6339" t="s">
        <v>48</v>
      </c>
    </row>
    <row r="6340" spans="1:13" hidden="1" x14ac:dyDescent="0.15">
      <c r="A6340" t="s">
        <v>19849</v>
      </c>
      <c r="B6340" t="s">
        <v>19850</v>
      </c>
      <c r="C6340" t="s">
        <v>19851</v>
      </c>
      <c r="D6340" t="s">
        <v>19845</v>
      </c>
      <c r="E6340">
        <v>0</v>
      </c>
      <c r="F6340" t="str">
        <f>HYPERLINK("https://github.com/nextcloud/android/issues/7049", "show")</f>
        <v>show</v>
      </c>
      <c r="G6340" t="str">
        <f>HYPERLINK("https://github.com/nextcloud/android", "show")</f>
        <v>show</v>
      </c>
      <c r="H6340" t="str">
        <f>HYPERLINK("https://github.com/nextcloud/android/releases", "show")</f>
        <v>show</v>
      </c>
      <c r="I6340">
        <v>0</v>
      </c>
      <c r="J6340">
        <v>1</v>
      </c>
      <c r="K6340">
        <v>1</v>
      </c>
      <c r="L6340">
        <v>0</v>
      </c>
      <c r="M6340" t="s">
        <v>699</v>
      </c>
    </row>
    <row r="6341" spans="1:13" hidden="1" x14ac:dyDescent="0.15">
      <c r="A6341" t="s">
        <v>19852</v>
      </c>
      <c r="B6341" t="s">
        <v>19853</v>
      </c>
      <c r="D6341" t="s">
        <v>19845</v>
      </c>
      <c r="E6341">
        <v>23</v>
      </c>
      <c r="F6341" t="str">
        <f>HYPERLINK("https://github.com/vedangj044/aider/issues/5", "show")</f>
        <v>show</v>
      </c>
      <c r="G6341" t="str">
        <f>HYPERLINK("https://github.com/vedangj044/aider", "show")</f>
        <v>show</v>
      </c>
      <c r="H6341" t="str">
        <f>HYPERLINK("https://github.com/vedangj044/aider/releases", "show")</f>
        <v>show</v>
      </c>
      <c r="I6341">
        <v>0</v>
      </c>
      <c r="J6341">
        <v>0</v>
      </c>
      <c r="K6341">
        <v>0</v>
      </c>
      <c r="L6341">
        <v>0</v>
      </c>
      <c r="M6341" t="s">
        <v>43</v>
      </c>
    </row>
    <row r="6342" spans="1:13" hidden="1" x14ac:dyDescent="0.15">
      <c r="A6342" t="s">
        <v>19854</v>
      </c>
      <c r="B6342" t="s">
        <v>19855</v>
      </c>
      <c r="C6342" t="s">
        <v>19856</v>
      </c>
      <c r="D6342" t="s">
        <v>19857</v>
      </c>
      <c r="E6342">
        <v>1</v>
      </c>
      <c r="F6342" t="str">
        <f>HYPERLINK("https://github.com/Anuken/Mindustry/issues/2835", "show")</f>
        <v>show</v>
      </c>
      <c r="G6342" t="str">
        <f>HYPERLINK("https://github.com/Anuken/Mindustry", "show")</f>
        <v>show</v>
      </c>
      <c r="H6342" t="str">
        <f>HYPERLINK("https://github.com/Anuken/Mindustry/releases", "show")</f>
        <v>show</v>
      </c>
      <c r="I6342">
        <v>0</v>
      </c>
      <c r="J6342">
        <v>0</v>
      </c>
      <c r="K6342">
        <v>0</v>
      </c>
      <c r="L6342">
        <v>1</v>
      </c>
      <c r="M6342" t="s">
        <v>581</v>
      </c>
    </row>
    <row r="6343" spans="1:13" hidden="1" x14ac:dyDescent="0.15">
      <c r="A6343" t="s">
        <v>19858</v>
      </c>
      <c r="B6343" t="s">
        <v>19859</v>
      </c>
      <c r="C6343" t="s">
        <v>19860</v>
      </c>
      <c r="D6343" t="s">
        <v>19857</v>
      </c>
      <c r="E6343">
        <v>1</v>
      </c>
      <c r="F6343" t="str">
        <f>HYPERLINK("https://github.com/TeamNewPipe/NewPipe/issues/4390", "show")</f>
        <v>show</v>
      </c>
      <c r="G6343" t="str">
        <f>HYPERLINK("https://github.com/TeamNewPipe/NewPipe", "show")</f>
        <v>show</v>
      </c>
      <c r="H6343" t="str">
        <f>HYPERLINK("https://github.com/TeamNewPipe/NewPipe/releases", "show")</f>
        <v>show</v>
      </c>
      <c r="I6343">
        <v>0</v>
      </c>
      <c r="J6343">
        <v>0</v>
      </c>
      <c r="K6343">
        <v>1</v>
      </c>
      <c r="L6343">
        <v>0</v>
      </c>
      <c r="M6343" t="s">
        <v>122</v>
      </c>
    </row>
    <row r="6344" spans="1:13" hidden="1" x14ac:dyDescent="0.15">
      <c r="A6344" t="s">
        <v>19861</v>
      </c>
      <c r="B6344" t="s">
        <v>19862</v>
      </c>
      <c r="C6344" t="s">
        <v>19863</v>
      </c>
      <c r="D6344" t="s">
        <v>19857</v>
      </c>
      <c r="E6344">
        <v>21</v>
      </c>
      <c r="F6344" t="str">
        <f>HYPERLINK("https://github.com/ultrasonic/ultrasonic/issues/325", "show")</f>
        <v>show</v>
      </c>
      <c r="G6344" t="str">
        <f>HYPERLINK("https://github.com/ultrasonic/ultrasonic", "show")</f>
        <v>show</v>
      </c>
      <c r="H6344" t="str">
        <f>HYPERLINK("https://github.com/ultrasonic/ultrasonic/releases", "show")</f>
        <v>show</v>
      </c>
      <c r="I6344">
        <v>1</v>
      </c>
      <c r="J6344">
        <v>0</v>
      </c>
      <c r="K6344">
        <v>0</v>
      </c>
      <c r="L6344">
        <v>0</v>
      </c>
      <c r="M6344" t="s">
        <v>17</v>
      </c>
    </row>
    <row r="6345" spans="1:13" hidden="1" x14ac:dyDescent="0.15">
      <c r="A6345" t="s">
        <v>19864</v>
      </c>
      <c r="B6345" t="s">
        <v>19865</v>
      </c>
      <c r="C6345" t="s">
        <v>19866</v>
      </c>
      <c r="D6345" t="s">
        <v>19857</v>
      </c>
      <c r="E6345">
        <v>0</v>
      </c>
      <c r="F6345" t="str">
        <f>HYPERLINK("https://github.com/Anuken/Mindustry/issues/2834", "show")</f>
        <v>show</v>
      </c>
      <c r="G6345" t="str">
        <f>HYPERLINK("https://github.com/Anuken/Mindustry", "show")</f>
        <v>show</v>
      </c>
      <c r="H6345" t="str">
        <f>HYPERLINK("https://github.com/Anuken/Mindustry/releases", "show")</f>
        <v>show</v>
      </c>
      <c r="I6345">
        <v>0</v>
      </c>
      <c r="J6345">
        <v>0</v>
      </c>
      <c r="K6345">
        <v>0</v>
      </c>
      <c r="L6345">
        <v>0</v>
      </c>
      <c r="M6345" t="s">
        <v>43</v>
      </c>
    </row>
    <row r="6346" spans="1:13" hidden="1" x14ac:dyDescent="0.15">
      <c r="A6346" t="s">
        <v>19867</v>
      </c>
      <c r="B6346" t="s">
        <v>19868</v>
      </c>
      <c r="C6346" t="s">
        <v>19869</v>
      </c>
      <c r="D6346" t="s">
        <v>19857</v>
      </c>
      <c r="E6346">
        <v>10</v>
      </c>
      <c r="F6346" t="str">
        <f>HYPERLINK("https://github.com/nextcloud/android/issues/7047", "show")</f>
        <v>show</v>
      </c>
      <c r="G6346" t="str">
        <f>HYPERLINK("https://github.com/nextcloud/android", "show")</f>
        <v>show</v>
      </c>
      <c r="H6346" t="str">
        <f>HYPERLINK("https://github.com/nextcloud/android/releases", "show")</f>
        <v>show</v>
      </c>
      <c r="I6346">
        <v>1</v>
      </c>
      <c r="J6346">
        <v>1</v>
      </c>
      <c r="K6346">
        <v>1</v>
      </c>
      <c r="L6346">
        <v>0</v>
      </c>
      <c r="M6346" t="s">
        <v>59</v>
      </c>
    </row>
    <row r="6347" spans="1:13" hidden="1" x14ac:dyDescent="0.15">
      <c r="A6347" t="s">
        <v>19870</v>
      </c>
      <c r="B6347" t="s">
        <v>19871</v>
      </c>
      <c r="C6347" t="s">
        <v>19872</v>
      </c>
      <c r="D6347" t="s">
        <v>19857</v>
      </c>
      <c r="E6347">
        <v>1</v>
      </c>
      <c r="F6347" t="str">
        <f>HYPERLINK("https://github.com/ankidroid/Anki-Android/issues/7345", "show")</f>
        <v>show</v>
      </c>
      <c r="G6347" t="str">
        <f>HYPERLINK("https://github.com/ankidroid/Anki-Android", "show")</f>
        <v>show</v>
      </c>
      <c r="H6347" t="str">
        <f>HYPERLINK("https://github.com/ankidroid/Anki-Android/releases", "show")</f>
        <v>show</v>
      </c>
      <c r="I6347">
        <v>0</v>
      </c>
      <c r="J6347">
        <v>0</v>
      </c>
      <c r="K6347">
        <v>1</v>
      </c>
      <c r="L6347">
        <v>0</v>
      </c>
      <c r="M6347" t="s">
        <v>122</v>
      </c>
    </row>
    <row r="6348" spans="1:13" hidden="1" x14ac:dyDescent="0.15">
      <c r="A6348" t="s">
        <v>19873</v>
      </c>
      <c r="B6348" t="s">
        <v>19874</v>
      </c>
      <c r="C6348" t="s">
        <v>19875</v>
      </c>
      <c r="D6348" t="s">
        <v>19857</v>
      </c>
      <c r="E6348">
        <v>9</v>
      </c>
      <c r="F6348" t="str">
        <f>HYPERLINK("https://github.com/zoho/salesiq-mobilisten-android-sample/issues/14", "show")</f>
        <v>show</v>
      </c>
      <c r="G6348" t="str">
        <f>HYPERLINK("https://github.com/zoho/salesiq-mobilisten-android-sample", "show")</f>
        <v>show</v>
      </c>
      <c r="H6348" t="str">
        <f>HYPERLINK("https://github.com/zoho/salesiq-mobilisten-android-sample/releases", "show")</f>
        <v>show</v>
      </c>
      <c r="I6348">
        <v>0</v>
      </c>
      <c r="J6348">
        <v>0</v>
      </c>
      <c r="K6348">
        <v>1</v>
      </c>
      <c r="L6348">
        <v>0</v>
      </c>
      <c r="M6348" t="s">
        <v>122</v>
      </c>
    </row>
    <row r="6349" spans="1:13" hidden="1" x14ac:dyDescent="0.15">
      <c r="A6349" t="s">
        <v>19876</v>
      </c>
      <c r="B6349" t="s">
        <v>19877</v>
      </c>
      <c r="C6349" t="s">
        <v>19878</v>
      </c>
      <c r="D6349" t="s">
        <v>19857</v>
      </c>
      <c r="E6349">
        <v>9</v>
      </c>
      <c r="F6349" t="str">
        <f>HYPERLINK("https://github.com/zoho/salesiq-mobilisten-android-sample/issues/13", "show")</f>
        <v>show</v>
      </c>
      <c r="G6349" t="str">
        <f>HYPERLINK("https://github.com/zoho/salesiq-mobilisten-android-sample", "show")</f>
        <v>show</v>
      </c>
      <c r="H6349" t="str">
        <f>HYPERLINK("https://github.com/zoho/salesiq-mobilisten-android-sample/releases", "show")</f>
        <v>show</v>
      </c>
      <c r="I6349">
        <v>0</v>
      </c>
      <c r="J6349">
        <v>0</v>
      </c>
      <c r="K6349">
        <v>1</v>
      </c>
      <c r="L6349">
        <v>0</v>
      </c>
      <c r="M6349" t="s">
        <v>122</v>
      </c>
    </row>
    <row r="6350" spans="1:13" hidden="1" x14ac:dyDescent="0.15">
      <c r="A6350" t="s">
        <v>19879</v>
      </c>
      <c r="B6350" t="s">
        <v>19880</v>
      </c>
      <c r="C6350" t="s">
        <v>19881</v>
      </c>
      <c r="D6350" t="s">
        <v>19857</v>
      </c>
      <c r="E6350">
        <v>9</v>
      </c>
      <c r="F6350" t="str">
        <f>HYPERLINK("https://github.com/zoho/salesiq-mobilisten-android-sample/issues/12", "show")</f>
        <v>show</v>
      </c>
      <c r="G6350" t="str">
        <f>HYPERLINK("https://github.com/zoho/salesiq-mobilisten-android-sample", "show")</f>
        <v>show</v>
      </c>
      <c r="H6350" t="str">
        <f>HYPERLINK("https://github.com/zoho/salesiq-mobilisten-android-sample/releases", "show")</f>
        <v>show</v>
      </c>
      <c r="I6350">
        <v>0</v>
      </c>
      <c r="J6350">
        <v>0</v>
      </c>
      <c r="K6350">
        <v>1</v>
      </c>
      <c r="L6350">
        <v>0</v>
      </c>
      <c r="M6350" t="s">
        <v>122</v>
      </c>
    </row>
    <row r="6351" spans="1:13" hidden="1" x14ac:dyDescent="0.15">
      <c r="A6351" t="s">
        <v>19882</v>
      </c>
      <c r="B6351" t="s">
        <v>19883</v>
      </c>
      <c r="C6351" t="s">
        <v>19884</v>
      </c>
      <c r="D6351" t="s">
        <v>19857</v>
      </c>
      <c r="E6351">
        <v>0</v>
      </c>
      <c r="F6351" t="str">
        <f>HYPERLINK("https://github.com/Anuken/Mindustry/issues/2827", "show")</f>
        <v>show</v>
      </c>
      <c r="G6351" t="str">
        <f>HYPERLINK("https://github.com/Anuken/Mindustry", "show")</f>
        <v>show</v>
      </c>
      <c r="H6351" t="str">
        <f>HYPERLINK("https://github.com/Anuken/Mindustry/releases", "show")</f>
        <v>show</v>
      </c>
      <c r="I6351">
        <v>0</v>
      </c>
      <c r="J6351">
        <v>1</v>
      </c>
      <c r="K6351">
        <v>0</v>
      </c>
      <c r="L6351">
        <v>1</v>
      </c>
      <c r="M6351" t="s">
        <v>1732</v>
      </c>
    </row>
    <row r="6352" spans="1:13" hidden="1" x14ac:dyDescent="0.15">
      <c r="A6352" t="s">
        <v>19885</v>
      </c>
      <c r="B6352" t="s">
        <v>19886</v>
      </c>
      <c r="C6352" t="s">
        <v>19887</v>
      </c>
      <c r="D6352" t="s">
        <v>19857</v>
      </c>
      <c r="E6352">
        <v>174</v>
      </c>
      <c r="F6352" t="str">
        <f>HYPERLINK("https://github.com/7LPdWcaW/GrowTracker-Android/issues/240", "show")</f>
        <v>show</v>
      </c>
      <c r="G6352" t="str">
        <f>HYPERLINK("https://github.com/7LPdWcaW/GrowTracker-Android", "show")</f>
        <v>show</v>
      </c>
      <c r="H6352" t="str">
        <f>HYPERLINK("https://github.com/7LPdWcaW/GrowTracker-Android/releases", "show")</f>
        <v>show</v>
      </c>
      <c r="I6352">
        <v>1</v>
      </c>
      <c r="J6352">
        <v>0</v>
      </c>
      <c r="K6352">
        <v>0</v>
      </c>
      <c r="L6352">
        <v>0</v>
      </c>
      <c r="M6352" t="s">
        <v>17</v>
      </c>
    </row>
    <row r="6353" spans="1:13" hidden="1" x14ac:dyDescent="0.15">
      <c r="A6353" t="s">
        <v>19888</v>
      </c>
      <c r="B6353" t="s">
        <v>19889</v>
      </c>
      <c r="C6353" t="s">
        <v>19890</v>
      </c>
      <c r="D6353" t="s">
        <v>19891</v>
      </c>
      <c r="E6353">
        <v>0</v>
      </c>
      <c r="F6353" t="str">
        <f>HYPERLINK("https://github.com/Anuken/Mindustry/issues/2823", "show")</f>
        <v>show</v>
      </c>
      <c r="G6353" t="str">
        <f>HYPERLINK("https://github.com/Anuken/Mindustry", "show")</f>
        <v>show</v>
      </c>
      <c r="H6353" t="str">
        <f>HYPERLINK("https://github.com/Anuken/Mindustry/releases", "show")</f>
        <v>show</v>
      </c>
      <c r="I6353">
        <v>0</v>
      </c>
      <c r="J6353">
        <v>0</v>
      </c>
      <c r="K6353">
        <v>0</v>
      </c>
      <c r="L6353">
        <v>1</v>
      </c>
      <c r="M6353" t="s">
        <v>581</v>
      </c>
    </row>
    <row r="6354" spans="1:13" hidden="1" x14ac:dyDescent="0.15">
      <c r="A6354" t="s">
        <v>19892</v>
      </c>
      <c r="B6354" t="s">
        <v>19893</v>
      </c>
      <c r="C6354" t="s">
        <v>19894</v>
      </c>
      <c r="D6354" t="s">
        <v>19891</v>
      </c>
      <c r="E6354">
        <v>0</v>
      </c>
      <c r="F6354" t="str">
        <f>HYPERLINK("https://github.com/Anuken/Mindustry/issues/2812", "show")</f>
        <v>show</v>
      </c>
      <c r="G6354" t="str">
        <f>HYPERLINK("https://github.com/Anuken/Mindustry", "show")</f>
        <v>show</v>
      </c>
      <c r="H6354" t="str">
        <f>HYPERLINK("https://github.com/Anuken/Mindustry/releases", "show")</f>
        <v>show</v>
      </c>
      <c r="I6354">
        <v>1</v>
      </c>
      <c r="J6354">
        <v>0</v>
      </c>
      <c r="K6354">
        <v>1</v>
      </c>
      <c r="L6354">
        <v>1</v>
      </c>
      <c r="M6354" t="s">
        <v>1259</v>
      </c>
    </row>
    <row r="6355" spans="1:13" hidden="1" x14ac:dyDescent="0.15">
      <c r="A6355" t="s">
        <v>19895</v>
      </c>
      <c r="B6355" t="s">
        <v>19896</v>
      </c>
      <c r="C6355" t="s">
        <v>19878</v>
      </c>
      <c r="D6355" t="s">
        <v>19891</v>
      </c>
      <c r="E6355">
        <v>1</v>
      </c>
      <c r="F6355" t="str">
        <f>HYPERLINK("https://github.com/zoho/salesiq-mobilisten-android-sample/issues/9", "show")</f>
        <v>show</v>
      </c>
      <c r="G6355" t="str">
        <f>HYPERLINK("https://github.com/zoho/salesiq-mobilisten-android-sample", "show")</f>
        <v>show</v>
      </c>
      <c r="H6355" t="str">
        <f>HYPERLINK("https://github.com/zoho/salesiq-mobilisten-android-sample/releases", "show")</f>
        <v>show</v>
      </c>
      <c r="I6355">
        <v>0</v>
      </c>
      <c r="J6355">
        <v>0</v>
      </c>
      <c r="K6355">
        <v>1</v>
      </c>
      <c r="L6355">
        <v>0</v>
      </c>
      <c r="M6355" t="s">
        <v>122</v>
      </c>
    </row>
    <row r="6356" spans="1:13" hidden="1" x14ac:dyDescent="0.15">
      <c r="A6356" t="s">
        <v>19897</v>
      </c>
      <c r="B6356" t="s">
        <v>19898</v>
      </c>
      <c r="C6356" t="s">
        <v>19899</v>
      </c>
      <c r="D6356" t="s">
        <v>19900</v>
      </c>
      <c r="E6356">
        <v>0</v>
      </c>
      <c r="F6356" t="str">
        <f>HYPERLINK("https://github.com/TeamNewPipe/NewPipe/issues/4366", "show")</f>
        <v>show</v>
      </c>
      <c r="G6356" t="str">
        <f>HYPERLINK("https://github.com/TeamNewPipe/NewPipe", "show")</f>
        <v>show</v>
      </c>
      <c r="H6356" t="str">
        <f>HYPERLINK("https://github.com/TeamNewPipe/NewPipe/releases", "show")</f>
        <v>show</v>
      </c>
      <c r="I6356">
        <v>1</v>
      </c>
      <c r="J6356">
        <v>1</v>
      </c>
      <c r="K6356">
        <v>1</v>
      </c>
      <c r="L6356">
        <v>0</v>
      </c>
      <c r="M6356" t="s">
        <v>59</v>
      </c>
    </row>
    <row r="6357" spans="1:13" hidden="1" x14ac:dyDescent="0.15">
      <c r="A6357" t="s">
        <v>19901</v>
      </c>
      <c r="B6357" t="s">
        <v>19902</v>
      </c>
      <c r="C6357" t="s">
        <v>19903</v>
      </c>
      <c r="D6357" t="s">
        <v>19900</v>
      </c>
      <c r="E6357">
        <v>0</v>
      </c>
      <c r="F6357" t="str">
        <f>HYPERLINK("https://github.com/Anuken/Mindustry/issues/2801", "show")</f>
        <v>show</v>
      </c>
      <c r="G6357" t="str">
        <f>HYPERLINK("https://github.com/Anuken/Mindustry", "show")</f>
        <v>show</v>
      </c>
      <c r="H6357" t="str">
        <f>HYPERLINK("https://github.com/Anuken/Mindustry/releases", "show")</f>
        <v>show</v>
      </c>
      <c r="I6357">
        <v>0</v>
      </c>
      <c r="J6357">
        <v>0</v>
      </c>
      <c r="K6357">
        <v>1</v>
      </c>
      <c r="L6357">
        <v>0</v>
      </c>
      <c r="M6357" t="s">
        <v>122</v>
      </c>
    </row>
    <row r="6358" spans="1:13" hidden="1" x14ac:dyDescent="0.15">
      <c r="A6358" t="s">
        <v>19904</v>
      </c>
      <c r="B6358" t="s">
        <v>19905</v>
      </c>
      <c r="C6358" t="s">
        <v>19906</v>
      </c>
      <c r="D6358" t="s">
        <v>19900</v>
      </c>
      <c r="E6358">
        <v>0</v>
      </c>
      <c r="F6358" t="str">
        <f>HYPERLINK("https://github.com/TeamNewPipe/NewPipe/issues/4363", "show")</f>
        <v>show</v>
      </c>
      <c r="G6358" t="str">
        <f>HYPERLINK("https://github.com/TeamNewPipe/NewPipe", "show")</f>
        <v>show</v>
      </c>
      <c r="H6358" t="str">
        <f>HYPERLINK("https://github.com/TeamNewPipe/NewPipe/releases", "show")</f>
        <v>show</v>
      </c>
      <c r="I6358">
        <v>1</v>
      </c>
      <c r="J6358">
        <v>1</v>
      </c>
      <c r="K6358">
        <v>0</v>
      </c>
      <c r="L6358">
        <v>1</v>
      </c>
      <c r="M6358" t="s">
        <v>1894</v>
      </c>
    </row>
    <row r="6359" spans="1:13" hidden="1" x14ac:dyDescent="0.15">
      <c r="A6359" t="s">
        <v>19907</v>
      </c>
      <c r="B6359" t="s">
        <v>19908</v>
      </c>
      <c r="C6359" t="s">
        <v>19909</v>
      </c>
      <c r="D6359" t="s">
        <v>19900</v>
      </c>
      <c r="E6359">
        <v>5</v>
      </c>
      <c r="F6359" t="str">
        <f>HYPERLINK("https://github.com/92lleo/WhatsappWebToGo/issues/32", "show")</f>
        <v>show</v>
      </c>
      <c r="G6359" t="str">
        <f>HYPERLINK("https://github.com/92lleo/WhatsappWebToGo", "show")</f>
        <v>show</v>
      </c>
      <c r="H6359" t="str">
        <f>HYPERLINK("https://github.com/92lleo/WhatsappWebToGo/releases", "show")</f>
        <v>show</v>
      </c>
      <c r="I6359">
        <v>0</v>
      </c>
      <c r="J6359">
        <v>0</v>
      </c>
      <c r="K6359">
        <v>0</v>
      </c>
      <c r="L6359">
        <v>0</v>
      </c>
      <c r="M6359" t="s">
        <v>43</v>
      </c>
    </row>
    <row r="6360" spans="1:13" hidden="1" x14ac:dyDescent="0.15">
      <c r="A6360" t="s">
        <v>19910</v>
      </c>
      <c r="B6360" t="s">
        <v>19911</v>
      </c>
      <c r="C6360" t="s">
        <v>19912</v>
      </c>
      <c r="D6360" t="s">
        <v>19900</v>
      </c>
      <c r="E6360">
        <v>7</v>
      </c>
      <c r="F6360" t="str">
        <f>HYPERLINK("https://github.com/NekoX-Dev/NekoX/issues/188", "show")</f>
        <v>show</v>
      </c>
      <c r="G6360" t="str">
        <f>HYPERLINK("https://github.com/NekoX-Dev/NekoX", "show")</f>
        <v>show</v>
      </c>
      <c r="H6360" t="str">
        <f>HYPERLINK("https://github.com/NekoX-Dev/NekoX/releases", "show")</f>
        <v>show</v>
      </c>
      <c r="I6360">
        <v>1</v>
      </c>
      <c r="J6360">
        <v>0</v>
      </c>
      <c r="K6360">
        <v>0</v>
      </c>
      <c r="L6360">
        <v>0</v>
      </c>
      <c r="M6360" t="s">
        <v>17</v>
      </c>
    </row>
    <row r="6361" spans="1:13" hidden="1" x14ac:dyDescent="0.15">
      <c r="A6361" t="s">
        <v>19913</v>
      </c>
      <c r="B6361" t="s">
        <v>19914</v>
      </c>
      <c r="C6361" t="s">
        <v>19915</v>
      </c>
      <c r="D6361" t="s">
        <v>19900</v>
      </c>
      <c r="E6361">
        <v>2</v>
      </c>
      <c r="F6361" t="str">
        <f>HYPERLINK("https://github.com/federicoiosue/Omni-Notes/issues/788", "show")</f>
        <v>show</v>
      </c>
      <c r="G6361" t="str">
        <f>HYPERLINK("https://github.com/federicoiosue/Omni-Notes", "show")</f>
        <v>show</v>
      </c>
      <c r="H6361" t="str">
        <f>HYPERLINK("https://github.com/federicoiosue/Omni-Notes/releases", "show")</f>
        <v>show</v>
      </c>
      <c r="I6361">
        <v>1</v>
      </c>
      <c r="J6361">
        <v>0</v>
      </c>
      <c r="K6361">
        <v>0</v>
      </c>
      <c r="L6361">
        <v>0</v>
      </c>
      <c r="M6361" t="s">
        <v>17</v>
      </c>
    </row>
    <row r="6362" spans="1:13" hidden="1" x14ac:dyDescent="0.15">
      <c r="A6362" t="s">
        <v>19916</v>
      </c>
      <c r="B6362" t="s">
        <v>19917</v>
      </c>
      <c r="C6362" t="s">
        <v>19918</v>
      </c>
      <c r="D6362" t="s">
        <v>19900</v>
      </c>
      <c r="E6362">
        <v>0</v>
      </c>
      <c r="F6362" t="str">
        <f>HYPERLINK("https://github.com/Anuken/Mindustry/issues/2797", "show")</f>
        <v>show</v>
      </c>
      <c r="G6362" t="str">
        <f>HYPERLINK("https://github.com/Anuken/Mindustry", "show")</f>
        <v>show</v>
      </c>
      <c r="H6362" t="str">
        <f>HYPERLINK("https://github.com/Anuken/Mindustry/releases", "show")</f>
        <v>show</v>
      </c>
      <c r="I6362">
        <v>0</v>
      </c>
      <c r="J6362">
        <v>0</v>
      </c>
      <c r="K6362">
        <v>0</v>
      </c>
      <c r="L6362">
        <v>0</v>
      </c>
      <c r="M6362" t="s">
        <v>43</v>
      </c>
    </row>
    <row r="6363" spans="1:13" hidden="1" x14ac:dyDescent="0.15">
      <c r="A6363" t="s">
        <v>19919</v>
      </c>
      <c r="B6363" t="s">
        <v>19920</v>
      </c>
      <c r="C6363" t="s">
        <v>19921</v>
      </c>
      <c r="D6363" t="s">
        <v>19900</v>
      </c>
      <c r="E6363">
        <v>0</v>
      </c>
      <c r="F6363" t="str">
        <f>HYPERLINK("https://github.com/Anuken/Mindustry/issues/2795", "show")</f>
        <v>show</v>
      </c>
      <c r="G6363" t="str">
        <f>HYPERLINK("https://github.com/Anuken/Mindustry", "show")</f>
        <v>show</v>
      </c>
      <c r="H6363" t="str">
        <f>HYPERLINK("https://github.com/Anuken/Mindustry/releases", "show")</f>
        <v>show</v>
      </c>
      <c r="I6363">
        <v>1</v>
      </c>
      <c r="J6363">
        <v>1</v>
      </c>
      <c r="K6363">
        <v>0</v>
      </c>
      <c r="L6363">
        <v>0</v>
      </c>
      <c r="M6363" t="s">
        <v>48</v>
      </c>
    </row>
    <row r="6364" spans="1:13" hidden="1" x14ac:dyDescent="0.15">
      <c r="A6364" t="s">
        <v>19922</v>
      </c>
      <c r="B6364" t="s">
        <v>19923</v>
      </c>
      <c r="C6364" t="s">
        <v>19924</v>
      </c>
      <c r="D6364" t="s">
        <v>19925</v>
      </c>
      <c r="E6364">
        <v>0</v>
      </c>
      <c r="F6364" t="str">
        <f>HYPERLINK("https://github.com/Anuken/Mindustry/issues/2794", "show")</f>
        <v>show</v>
      </c>
      <c r="G6364" t="str">
        <f>HYPERLINK("https://github.com/Anuken/Mindustry", "show")</f>
        <v>show</v>
      </c>
      <c r="H6364" t="str">
        <f>HYPERLINK("https://github.com/Anuken/Mindustry/releases", "show")</f>
        <v>show</v>
      </c>
      <c r="I6364">
        <v>0</v>
      </c>
      <c r="J6364">
        <v>0</v>
      </c>
      <c r="K6364">
        <v>0</v>
      </c>
      <c r="L6364">
        <v>0</v>
      </c>
      <c r="M6364" t="s">
        <v>43</v>
      </c>
    </row>
    <row r="6365" spans="1:13" hidden="1" x14ac:dyDescent="0.15">
      <c r="A6365" t="s">
        <v>19926</v>
      </c>
      <c r="B6365" t="s">
        <v>19927</v>
      </c>
      <c r="C6365" t="s">
        <v>19928</v>
      </c>
      <c r="D6365" t="s">
        <v>19925</v>
      </c>
      <c r="E6365">
        <v>0</v>
      </c>
      <c r="F6365" t="str">
        <f>HYPERLINK("https://github.com/lfuelling/lrkFM/issues/94", "show")</f>
        <v>show</v>
      </c>
      <c r="G6365" t="str">
        <f>HYPERLINK("https://github.com/lfuelling/lrkFM", "show")</f>
        <v>show</v>
      </c>
      <c r="H6365" t="str">
        <f>HYPERLINK("https://github.com/lfuelling/lrkFM/releases", "show")</f>
        <v>show</v>
      </c>
      <c r="I6365">
        <v>1</v>
      </c>
      <c r="J6365">
        <v>0</v>
      </c>
      <c r="K6365">
        <v>0</v>
      </c>
      <c r="L6365">
        <v>0</v>
      </c>
      <c r="M6365" t="s">
        <v>17</v>
      </c>
    </row>
    <row r="6366" spans="1:13" hidden="1" x14ac:dyDescent="0.15">
      <c r="A6366" t="s">
        <v>19929</v>
      </c>
      <c r="B6366" t="s">
        <v>19930</v>
      </c>
      <c r="C6366" t="s">
        <v>19931</v>
      </c>
      <c r="D6366" t="s">
        <v>19925</v>
      </c>
      <c r="E6366">
        <v>0</v>
      </c>
      <c r="F6366" t="str">
        <f>HYPERLINK("https://github.com/mmuhamadamirzaidi/OxygenToGo/issues/2", "show")</f>
        <v>show</v>
      </c>
      <c r="G6366" t="str">
        <f>HYPERLINK("https://github.com/mmuhamadamirzaidi/OxygenToGo", "show")</f>
        <v>show</v>
      </c>
      <c r="H6366" t="str">
        <f>HYPERLINK("https://github.com/mmuhamadamirzaidi/OxygenToGo/releases", "show")</f>
        <v>show</v>
      </c>
      <c r="I6366">
        <v>1</v>
      </c>
      <c r="J6366">
        <v>0</v>
      </c>
      <c r="K6366">
        <v>0</v>
      </c>
      <c r="L6366">
        <v>0</v>
      </c>
      <c r="M6366" t="s">
        <v>17</v>
      </c>
    </row>
    <row r="6367" spans="1:13" hidden="1" x14ac:dyDescent="0.15">
      <c r="A6367" t="s">
        <v>19932</v>
      </c>
      <c r="B6367" t="s">
        <v>19933</v>
      </c>
      <c r="C6367" t="s">
        <v>19934</v>
      </c>
      <c r="D6367" t="s">
        <v>19925</v>
      </c>
      <c r="E6367">
        <v>0</v>
      </c>
      <c r="F6367" t="str">
        <f>HYPERLINK("https://github.com/Anuken/Mindustry/issues/2789", "show")</f>
        <v>show</v>
      </c>
      <c r="G6367" t="str">
        <f>HYPERLINK("https://github.com/Anuken/Mindustry", "show")</f>
        <v>show</v>
      </c>
      <c r="H6367" t="str">
        <f>HYPERLINK("https://github.com/Anuken/Mindustry/releases", "show")</f>
        <v>show</v>
      </c>
      <c r="I6367">
        <v>0</v>
      </c>
      <c r="J6367">
        <v>0</v>
      </c>
      <c r="K6367">
        <v>0</v>
      </c>
      <c r="L6367">
        <v>0</v>
      </c>
      <c r="M6367" t="s">
        <v>43</v>
      </c>
    </row>
    <row r="6368" spans="1:13" hidden="1" x14ac:dyDescent="0.15">
      <c r="A6368" t="s">
        <v>19935</v>
      </c>
      <c r="B6368" t="s">
        <v>19936</v>
      </c>
      <c r="C6368" t="s">
        <v>19937</v>
      </c>
      <c r="D6368" t="s">
        <v>19925</v>
      </c>
      <c r="E6368">
        <v>0</v>
      </c>
      <c r="F6368" t="str">
        <f>HYPERLINK("https://github.com/Anuken/Mindustry/issues/2788", "show")</f>
        <v>show</v>
      </c>
      <c r="G6368" t="str">
        <f>HYPERLINK("https://github.com/Anuken/Mindustry", "show")</f>
        <v>show</v>
      </c>
      <c r="H6368" t="str">
        <f>HYPERLINK("https://github.com/Anuken/Mindustry/releases", "show")</f>
        <v>show</v>
      </c>
      <c r="I6368">
        <v>0</v>
      </c>
      <c r="J6368">
        <v>1</v>
      </c>
      <c r="K6368">
        <v>0</v>
      </c>
      <c r="L6368">
        <v>1</v>
      </c>
      <c r="M6368" t="s">
        <v>1732</v>
      </c>
    </row>
    <row r="6369" spans="1:13" hidden="1" x14ac:dyDescent="0.15">
      <c r="A6369" t="s">
        <v>19938</v>
      </c>
      <c r="B6369" t="s">
        <v>19939</v>
      </c>
      <c r="C6369" t="s">
        <v>19940</v>
      </c>
      <c r="D6369" t="s">
        <v>19925</v>
      </c>
      <c r="E6369">
        <v>0</v>
      </c>
      <c r="F6369" t="str">
        <f>HYPERLINK("https://github.com/Anuken/Mindustry/issues/2787", "show")</f>
        <v>show</v>
      </c>
      <c r="G6369" t="str">
        <f>HYPERLINK("https://github.com/Anuken/Mindustry", "show")</f>
        <v>show</v>
      </c>
      <c r="H6369" t="str">
        <f>HYPERLINK("https://github.com/Anuken/Mindustry/releases", "show")</f>
        <v>show</v>
      </c>
      <c r="I6369">
        <v>0</v>
      </c>
      <c r="J6369">
        <v>0</v>
      </c>
      <c r="K6369">
        <v>0</v>
      </c>
      <c r="L6369">
        <v>0</v>
      </c>
      <c r="M6369" t="s">
        <v>43</v>
      </c>
    </row>
    <row r="6370" spans="1:13" hidden="1" x14ac:dyDescent="0.15">
      <c r="A6370" t="s">
        <v>19941</v>
      </c>
      <c r="B6370" t="s">
        <v>19942</v>
      </c>
      <c r="C6370" t="s">
        <v>19943</v>
      </c>
      <c r="D6370" t="s">
        <v>19944</v>
      </c>
      <c r="E6370">
        <v>0</v>
      </c>
      <c r="F6370" t="str">
        <f>HYPERLINK("https://github.com/Anuken/Mindustry/issues/2779", "show")</f>
        <v>show</v>
      </c>
      <c r="G6370" t="str">
        <f>HYPERLINK("https://github.com/Anuken/Mindustry", "show")</f>
        <v>show</v>
      </c>
      <c r="H6370" t="str">
        <f>HYPERLINK("https://github.com/Anuken/Mindustry/releases", "show")</f>
        <v>show</v>
      </c>
      <c r="I6370">
        <v>0</v>
      </c>
      <c r="J6370">
        <v>0</v>
      </c>
      <c r="K6370">
        <v>0</v>
      </c>
      <c r="L6370">
        <v>0</v>
      </c>
      <c r="M6370" t="s">
        <v>43</v>
      </c>
    </row>
    <row r="6371" spans="1:13" x14ac:dyDescent="0.15">
      <c r="A6371" t="s">
        <v>19945</v>
      </c>
      <c r="B6371" t="s">
        <v>19946</v>
      </c>
      <c r="C6371" t="s">
        <v>19947</v>
      </c>
      <c r="D6371" t="s">
        <v>19944</v>
      </c>
      <c r="E6371">
        <v>1</v>
      </c>
      <c r="F6371" t="str">
        <f>HYPERLINK("https://github.com/technojam/AndroidCustomView/issues/8", "show")</f>
        <v>show</v>
      </c>
      <c r="G6371" t="str">
        <f>HYPERLINK("https://github.com/technojam/AndroidCustomView", "show")</f>
        <v>show</v>
      </c>
      <c r="H6371" t="str">
        <f>HYPERLINK("https://github.com/technojam/AndroidCustomView/releases", "show")</f>
        <v>show</v>
      </c>
      <c r="I6371">
        <v>0</v>
      </c>
      <c r="J6371">
        <v>1</v>
      </c>
      <c r="K6371">
        <v>0</v>
      </c>
      <c r="L6371">
        <v>0</v>
      </c>
      <c r="M6371" t="s">
        <v>139</v>
      </c>
    </row>
    <row r="6372" spans="1:13" hidden="1" x14ac:dyDescent="0.15">
      <c r="A6372" t="s">
        <v>19948</v>
      </c>
      <c r="B6372" t="s">
        <v>19949</v>
      </c>
      <c r="C6372" t="s">
        <v>19950</v>
      </c>
      <c r="D6372" t="s">
        <v>19944</v>
      </c>
      <c r="E6372">
        <v>0</v>
      </c>
      <c r="F6372" t="str">
        <f>HYPERLINK("https://github.com/hzi-braunschweig/SORMAS-Project/issues/3032", "show")</f>
        <v>show</v>
      </c>
      <c r="G6372" t="str">
        <f>HYPERLINK("https://github.com/hzi-braunschweig/SORMAS-Project", "show")</f>
        <v>show</v>
      </c>
      <c r="H6372" t="str">
        <f>HYPERLINK("https://github.com/hzi-braunschweig/SORMAS-Project/releases", "show")</f>
        <v>show</v>
      </c>
      <c r="I6372">
        <v>1</v>
      </c>
      <c r="J6372">
        <v>1</v>
      </c>
      <c r="K6372">
        <v>0</v>
      </c>
      <c r="L6372">
        <v>0</v>
      </c>
      <c r="M6372" t="s">
        <v>48</v>
      </c>
    </row>
    <row r="6373" spans="1:13" x14ac:dyDescent="0.15">
      <c r="A6373" t="s">
        <v>19951</v>
      </c>
      <c r="B6373" t="s">
        <v>19952</v>
      </c>
      <c r="C6373" t="s">
        <v>19953</v>
      </c>
      <c r="D6373" t="s">
        <v>19944</v>
      </c>
      <c r="E6373">
        <v>105</v>
      </c>
      <c r="F6373" t="str">
        <f>HYPERLINK("https://github.com/react-native-share/react-native-share/issues/882", "show")</f>
        <v>show</v>
      </c>
      <c r="G6373" t="str">
        <f>HYPERLINK("https://github.com/react-native-share/react-native-share", "show")</f>
        <v>show</v>
      </c>
      <c r="H6373" t="str">
        <f>HYPERLINK("https://github.com/react-native-share/react-native-share/releases", "show")</f>
        <v>show</v>
      </c>
      <c r="I6373">
        <v>0</v>
      </c>
      <c r="J6373">
        <v>1</v>
      </c>
      <c r="K6373">
        <v>0</v>
      </c>
      <c r="L6373">
        <v>0</v>
      </c>
      <c r="M6373" t="s">
        <v>139</v>
      </c>
    </row>
    <row r="6374" spans="1:13" hidden="1" x14ac:dyDescent="0.15">
      <c r="A6374" t="s">
        <v>19954</v>
      </c>
      <c r="B6374" t="s">
        <v>19955</v>
      </c>
      <c r="C6374" t="s">
        <v>19956</v>
      </c>
      <c r="D6374" t="s">
        <v>19944</v>
      </c>
      <c r="E6374">
        <v>9</v>
      </c>
      <c r="F6374" t="str">
        <f>HYPERLINK("https://github.com/NekoX-Dev/NekoX/issues/176", "show")</f>
        <v>show</v>
      </c>
      <c r="G6374" t="str">
        <f>HYPERLINK("https://github.com/NekoX-Dev/NekoX", "show")</f>
        <v>show</v>
      </c>
      <c r="H6374" t="str">
        <f>HYPERLINK("https://github.com/NekoX-Dev/NekoX/releases", "show")</f>
        <v>show</v>
      </c>
      <c r="I6374">
        <v>1</v>
      </c>
      <c r="J6374">
        <v>0</v>
      </c>
      <c r="K6374">
        <v>0</v>
      </c>
      <c r="L6374">
        <v>0</v>
      </c>
      <c r="M6374" t="s">
        <v>17</v>
      </c>
    </row>
    <row r="6375" spans="1:13" hidden="1" x14ac:dyDescent="0.15">
      <c r="A6375" t="s">
        <v>19957</v>
      </c>
      <c r="B6375" t="s">
        <v>19958</v>
      </c>
      <c r="C6375" t="s">
        <v>19959</v>
      </c>
      <c r="D6375" t="s">
        <v>19960</v>
      </c>
      <c r="E6375">
        <v>2</v>
      </c>
      <c r="F6375" t="str">
        <f>HYPERLINK("https://github.com/SecUSo/privacy-friendly-qr-scanner/issues/83", "show")</f>
        <v>show</v>
      </c>
      <c r="G6375" t="str">
        <f>HYPERLINK("https://github.com/SecUSo/privacy-friendly-qr-scanner", "show")</f>
        <v>show</v>
      </c>
      <c r="H6375" t="str">
        <f>HYPERLINK("https://github.com/SecUSo/privacy-friendly-qr-scanner/releases", "show")</f>
        <v>show</v>
      </c>
      <c r="I6375">
        <v>1</v>
      </c>
      <c r="J6375">
        <v>0</v>
      </c>
      <c r="K6375">
        <v>0</v>
      </c>
      <c r="L6375">
        <v>0</v>
      </c>
      <c r="M6375" t="s">
        <v>17</v>
      </c>
    </row>
    <row r="6376" spans="1:13" hidden="1" x14ac:dyDescent="0.15">
      <c r="A6376" t="s">
        <v>19961</v>
      </c>
      <c r="B6376" t="s">
        <v>19962</v>
      </c>
      <c r="C6376" t="s">
        <v>19963</v>
      </c>
      <c r="D6376" t="s">
        <v>19960</v>
      </c>
      <c r="E6376">
        <v>0</v>
      </c>
      <c r="F6376" t="str">
        <f>HYPERLINK("https://github.com/Anuken/Mindustry/issues/2766", "show")</f>
        <v>show</v>
      </c>
      <c r="G6376" t="str">
        <f>HYPERLINK("https://github.com/Anuken/Mindustry", "show")</f>
        <v>show</v>
      </c>
      <c r="H6376" t="str">
        <f>HYPERLINK("https://github.com/Anuken/Mindustry/releases", "show")</f>
        <v>show</v>
      </c>
      <c r="I6376">
        <v>1</v>
      </c>
      <c r="J6376">
        <v>0</v>
      </c>
      <c r="K6376">
        <v>0</v>
      </c>
      <c r="L6376">
        <v>0</v>
      </c>
      <c r="M6376" t="s">
        <v>17</v>
      </c>
    </row>
    <row r="6377" spans="1:13" hidden="1" x14ac:dyDescent="0.15">
      <c r="A6377" t="s">
        <v>19964</v>
      </c>
      <c r="B6377" t="s">
        <v>19965</v>
      </c>
      <c r="C6377" t="s">
        <v>19966</v>
      </c>
      <c r="D6377" t="s">
        <v>19960</v>
      </c>
      <c r="E6377">
        <v>9</v>
      </c>
      <c r="F6377" t="str">
        <f>HYPERLINK("https://github.com/tchapgouv/tchap-android-legacy/issues/631", "show")</f>
        <v>show</v>
      </c>
      <c r="G6377" t="str">
        <f>HYPERLINK("https://github.com/tchapgouv/tchap-android-legacy", "show")</f>
        <v>show</v>
      </c>
      <c r="H6377" t="str">
        <f>HYPERLINK("https://github.com/tchapgouv/tchap-android-legacy/releases", "show")</f>
        <v>show</v>
      </c>
      <c r="I6377">
        <v>1</v>
      </c>
      <c r="J6377">
        <v>0</v>
      </c>
      <c r="K6377">
        <v>0</v>
      </c>
      <c r="L6377">
        <v>0</v>
      </c>
      <c r="M6377" t="s">
        <v>17</v>
      </c>
    </row>
    <row r="6378" spans="1:13" x14ac:dyDescent="0.15">
      <c r="A6378" t="s">
        <v>19967</v>
      </c>
      <c r="B6378" t="s">
        <v>19968</v>
      </c>
      <c r="C6378" t="s">
        <v>19969</v>
      </c>
      <c r="D6378" t="s">
        <v>19960</v>
      </c>
      <c r="E6378">
        <v>1</v>
      </c>
      <c r="F6378" t="str">
        <f>HYPERLINK("https://github.com/react-native-share/react-native-share/issues/879", "show")</f>
        <v>show</v>
      </c>
      <c r="G6378" t="str">
        <f>HYPERLINK("https://github.com/react-native-share/react-native-share", "show")</f>
        <v>show</v>
      </c>
      <c r="H6378" t="str">
        <f>HYPERLINK("https://github.com/react-native-share/react-native-share/releases", "show")</f>
        <v>show</v>
      </c>
      <c r="I6378">
        <v>0</v>
      </c>
      <c r="J6378">
        <v>1</v>
      </c>
      <c r="K6378">
        <v>0</v>
      </c>
      <c r="L6378">
        <v>0</v>
      </c>
      <c r="M6378" t="s">
        <v>139</v>
      </c>
    </row>
    <row r="6379" spans="1:13" hidden="1" x14ac:dyDescent="0.15">
      <c r="A6379" t="s">
        <v>19970</v>
      </c>
      <c r="B6379" t="s">
        <v>19971</v>
      </c>
      <c r="C6379" t="s">
        <v>19972</v>
      </c>
      <c r="D6379" t="s">
        <v>19960</v>
      </c>
      <c r="E6379">
        <v>53</v>
      </c>
      <c r="F6379" t="str">
        <f>HYPERLINK("https://github.com/nextcloud/android/issues/7029", "show")</f>
        <v>show</v>
      </c>
      <c r="G6379" t="str">
        <f>HYPERLINK("https://github.com/nextcloud/android", "show")</f>
        <v>show</v>
      </c>
      <c r="H6379" t="str">
        <f>HYPERLINK("https://github.com/nextcloud/android/releases", "show")</f>
        <v>show</v>
      </c>
      <c r="I6379">
        <v>0</v>
      </c>
      <c r="J6379">
        <v>0</v>
      </c>
      <c r="K6379">
        <v>1</v>
      </c>
      <c r="L6379">
        <v>0</v>
      </c>
      <c r="M6379" t="s">
        <v>122</v>
      </c>
    </row>
    <row r="6380" spans="1:13" hidden="1" x14ac:dyDescent="0.15">
      <c r="A6380" t="s">
        <v>19973</v>
      </c>
      <c r="B6380" t="s">
        <v>19974</v>
      </c>
      <c r="C6380" t="s">
        <v>19975</v>
      </c>
      <c r="D6380" t="s">
        <v>19960</v>
      </c>
      <c r="E6380">
        <v>0</v>
      </c>
      <c r="F6380" t="str">
        <f>HYPERLINK("https://github.com/TeamNewPipe/NewPipe/issues/4348", "show")</f>
        <v>show</v>
      </c>
      <c r="G6380" t="str">
        <f>HYPERLINK("https://github.com/TeamNewPipe/NewPipe", "show")</f>
        <v>show</v>
      </c>
      <c r="H6380" t="str">
        <f>HYPERLINK("https://github.com/TeamNewPipe/NewPipe/releases", "show")</f>
        <v>show</v>
      </c>
      <c r="I6380">
        <v>1</v>
      </c>
      <c r="J6380">
        <v>0</v>
      </c>
      <c r="K6380">
        <v>1</v>
      </c>
      <c r="L6380">
        <v>0</v>
      </c>
      <c r="M6380" t="s">
        <v>64</v>
      </c>
    </row>
    <row r="6381" spans="1:13" hidden="1" x14ac:dyDescent="0.15">
      <c r="A6381" t="s">
        <v>19976</v>
      </c>
      <c r="B6381" t="s">
        <v>19977</v>
      </c>
      <c r="C6381" t="s">
        <v>19978</v>
      </c>
      <c r="D6381" t="s">
        <v>19960</v>
      </c>
      <c r="E6381">
        <v>0</v>
      </c>
      <c r="F6381" t="str">
        <f>HYPERLINK("https://github.com/TeamNewPipe/NewPipe/issues/4346", "show")</f>
        <v>show</v>
      </c>
      <c r="G6381" t="str">
        <f>HYPERLINK("https://github.com/TeamNewPipe/NewPipe", "show")</f>
        <v>show</v>
      </c>
      <c r="H6381" t="str">
        <f>HYPERLINK("https://github.com/TeamNewPipe/NewPipe/releases", "show")</f>
        <v>show</v>
      </c>
      <c r="I6381">
        <v>1</v>
      </c>
      <c r="J6381">
        <v>1</v>
      </c>
      <c r="K6381">
        <v>0</v>
      </c>
      <c r="L6381">
        <v>1</v>
      </c>
      <c r="M6381" t="s">
        <v>1894</v>
      </c>
    </row>
    <row r="6382" spans="1:13" x14ac:dyDescent="0.15">
      <c r="A6382" t="s">
        <v>19979</v>
      </c>
      <c r="B6382" t="s">
        <v>19980</v>
      </c>
      <c r="C6382" t="s">
        <v>19981</v>
      </c>
      <c r="D6382" t="s">
        <v>19982</v>
      </c>
      <c r="E6382">
        <v>0</v>
      </c>
      <c r="F6382" t="str">
        <f>HYPERLINK("https://github.com/Anuken/Mindustry/issues/2761", "show")</f>
        <v>show</v>
      </c>
      <c r="G6382" t="str">
        <f>HYPERLINK("https://github.com/Anuken/Mindustry", "show")</f>
        <v>show</v>
      </c>
      <c r="H6382" t="str">
        <f>HYPERLINK("https://github.com/Anuken/Mindustry/releases", "show")</f>
        <v>show</v>
      </c>
      <c r="I6382">
        <v>0</v>
      </c>
      <c r="J6382">
        <v>1</v>
      </c>
      <c r="K6382">
        <v>0</v>
      </c>
      <c r="L6382">
        <v>0</v>
      </c>
      <c r="M6382" t="s">
        <v>139</v>
      </c>
    </row>
    <row r="6383" spans="1:13" hidden="1" x14ac:dyDescent="0.15">
      <c r="A6383" t="s">
        <v>19983</v>
      </c>
      <c r="B6383" t="s">
        <v>19984</v>
      </c>
      <c r="C6383" t="s">
        <v>19985</v>
      </c>
      <c r="D6383" t="s">
        <v>19982</v>
      </c>
      <c r="E6383">
        <v>0</v>
      </c>
      <c r="F6383" t="str">
        <f>HYPERLINK("https://github.com/Anuken/Mindustry/issues/2760", "show")</f>
        <v>show</v>
      </c>
      <c r="G6383" t="str">
        <f>HYPERLINK("https://github.com/Anuken/Mindustry", "show")</f>
        <v>show</v>
      </c>
      <c r="H6383" t="str">
        <f>HYPERLINK("https://github.com/Anuken/Mindustry/releases", "show")</f>
        <v>show</v>
      </c>
      <c r="I6383">
        <v>0</v>
      </c>
      <c r="J6383">
        <v>0</v>
      </c>
      <c r="K6383">
        <v>0</v>
      </c>
      <c r="L6383">
        <v>0</v>
      </c>
      <c r="M6383" t="s">
        <v>43</v>
      </c>
    </row>
    <row r="6384" spans="1:13" hidden="1" x14ac:dyDescent="0.15">
      <c r="A6384" t="s">
        <v>19986</v>
      </c>
      <c r="B6384" t="s">
        <v>19987</v>
      </c>
      <c r="C6384" t="s">
        <v>19988</v>
      </c>
      <c r="D6384" t="s">
        <v>19982</v>
      </c>
      <c r="E6384">
        <v>0</v>
      </c>
      <c r="F6384" t="str">
        <f>HYPERLINK("https://github.com/Anuken/Mindustry/issues/2759", "show")</f>
        <v>show</v>
      </c>
      <c r="G6384" t="str">
        <f>HYPERLINK("https://github.com/Anuken/Mindustry", "show")</f>
        <v>show</v>
      </c>
      <c r="H6384" t="str">
        <f>HYPERLINK("https://github.com/Anuken/Mindustry/releases", "show")</f>
        <v>show</v>
      </c>
      <c r="I6384">
        <v>1</v>
      </c>
      <c r="J6384">
        <v>1</v>
      </c>
      <c r="K6384">
        <v>0</v>
      </c>
      <c r="L6384">
        <v>0</v>
      </c>
      <c r="M6384" t="s">
        <v>48</v>
      </c>
    </row>
    <row r="6385" spans="1:13" hidden="1" x14ac:dyDescent="0.15">
      <c r="A6385" t="s">
        <v>19989</v>
      </c>
      <c r="B6385" t="s">
        <v>19990</v>
      </c>
      <c r="C6385" t="s">
        <v>19991</v>
      </c>
      <c r="D6385" t="s">
        <v>19982</v>
      </c>
      <c r="E6385">
        <v>0</v>
      </c>
      <c r="F6385" t="str">
        <f>HYPERLINK("https://github.com/Anuken/Mindustry/issues/2758", "show")</f>
        <v>show</v>
      </c>
      <c r="G6385" t="str">
        <f>HYPERLINK("https://github.com/Anuken/Mindustry", "show")</f>
        <v>show</v>
      </c>
      <c r="H6385" t="str">
        <f>HYPERLINK("https://github.com/Anuken/Mindustry/releases", "show")</f>
        <v>show</v>
      </c>
      <c r="I6385">
        <v>0</v>
      </c>
      <c r="J6385">
        <v>0</v>
      </c>
      <c r="K6385">
        <v>0</v>
      </c>
      <c r="L6385">
        <v>0</v>
      </c>
      <c r="M6385" t="s">
        <v>43</v>
      </c>
    </row>
    <row r="6386" spans="1:13" hidden="1" x14ac:dyDescent="0.15">
      <c r="A6386" t="s">
        <v>19992</v>
      </c>
      <c r="B6386" t="s">
        <v>19993</v>
      </c>
      <c r="C6386" t="s">
        <v>19994</v>
      </c>
      <c r="D6386" t="s">
        <v>19982</v>
      </c>
      <c r="E6386">
        <v>25</v>
      </c>
      <c r="F6386" t="str">
        <f>HYPERLINK("https://github.com/Abir-Tx/XWriter/issues/5", "show")</f>
        <v>show</v>
      </c>
      <c r="G6386" t="str">
        <f>HYPERLINK("https://github.com/Abir-Tx/XWriter", "show")</f>
        <v>show</v>
      </c>
      <c r="H6386" t="str">
        <f>HYPERLINK("https://github.com/Abir-Tx/XWriter/releases", "show")</f>
        <v>show</v>
      </c>
      <c r="I6386">
        <v>1</v>
      </c>
      <c r="J6386">
        <v>0</v>
      </c>
      <c r="K6386">
        <v>0</v>
      </c>
      <c r="L6386">
        <v>1</v>
      </c>
      <c r="M6386" t="s">
        <v>29</v>
      </c>
    </row>
    <row r="6387" spans="1:13" hidden="1" x14ac:dyDescent="0.15">
      <c r="A6387" t="s">
        <v>19995</v>
      </c>
      <c r="B6387" t="s">
        <v>19996</v>
      </c>
      <c r="C6387" t="s">
        <v>19997</v>
      </c>
      <c r="D6387" t="s">
        <v>19982</v>
      </c>
      <c r="E6387">
        <v>0</v>
      </c>
      <c r="F6387" t="str">
        <f>HYPERLINK("https://github.com/Anuken/Mindustry/issues/2755", "show")</f>
        <v>show</v>
      </c>
      <c r="G6387" t="str">
        <f>HYPERLINK("https://github.com/Anuken/Mindustry", "show")</f>
        <v>show</v>
      </c>
      <c r="H6387" t="str">
        <f>HYPERLINK("https://github.com/Anuken/Mindustry/releases", "show")</f>
        <v>show</v>
      </c>
      <c r="I6387">
        <v>0</v>
      </c>
      <c r="J6387">
        <v>0</v>
      </c>
      <c r="K6387">
        <v>0</v>
      </c>
      <c r="L6387">
        <v>0</v>
      </c>
      <c r="M6387" t="s">
        <v>43</v>
      </c>
    </row>
    <row r="6388" spans="1:13" hidden="1" x14ac:dyDescent="0.15">
      <c r="A6388" t="s">
        <v>19998</v>
      </c>
      <c r="B6388" t="s">
        <v>19999</v>
      </c>
      <c r="C6388" t="s">
        <v>20000</v>
      </c>
      <c r="D6388" t="s">
        <v>19982</v>
      </c>
      <c r="E6388">
        <v>0</v>
      </c>
      <c r="F6388" t="str">
        <f>HYPERLINK("https://github.com/Anuken/Mindustry/issues/2753", "show")</f>
        <v>show</v>
      </c>
      <c r="G6388" t="str">
        <f>HYPERLINK("https://github.com/Anuken/Mindustry", "show")</f>
        <v>show</v>
      </c>
      <c r="H6388" t="str">
        <f>HYPERLINK("https://github.com/Anuken/Mindustry/releases", "show")</f>
        <v>show</v>
      </c>
      <c r="I6388">
        <v>0</v>
      </c>
      <c r="J6388">
        <v>0</v>
      </c>
      <c r="K6388">
        <v>0</v>
      </c>
      <c r="L6388">
        <v>0</v>
      </c>
      <c r="M6388" t="s">
        <v>43</v>
      </c>
    </row>
    <row r="6389" spans="1:13" hidden="1" x14ac:dyDescent="0.15">
      <c r="A6389" t="s">
        <v>20001</v>
      </c>
      <c r="B6389" t="s">
        <v>20002</v>
      </c>
      <c r="C6389" t="s">
        <v>20003</v>
      </c>
      <c r="D6389" t="s">
        <v>19982</v>
      </c>
      <c r="E6389">
        <v>225</v>
      </c>
      <c r="F6389" t="str">
        <f>HYPERLINK("https://github.com/hzi-braunschweig/SORMAS-Project/issues/3001", "show")</f>
        <v>show</v>
      </c>
      <c r="G6389" t="str">
        <f>HYPERLINK("https://github.com/hzi-braunschweig/SORMAS-Project", "show")</f>
        <v>show</v>
      </c>
      <c r="H6389" t="str">
        <f>HYPERLINK("https://github.com/hzi-braunschweig/SORMAS-Project/releases", "show")</f>
        <v>show</v>
      </c>
      <c r="I6389">
        <v>1</v>
      </c>
      <c r="J6389">
        <v>1</v>
      </c>
      <c r="K6389">
        <v>0</v>
      </c>
      <c r="L6389">
        <v>1</v>
      </c>
      <c r="M6389" t="s">
        <v>1894</v>
      </c>
    </row>
    <row r="6390" spans="1:13" hidden="1" x14ac:dyDescent="0.15">
      <c r="A6390" t="s">
        <v>20004</v>
      </c>
      <c r="B6390" t="s">
        <v>20005</v>
      </c>
      <c r="C6390" t="s">
        <v>20006</v>
      </c>
      <c r="D6390" t="s">
        <v>19982</v>
      </c>
      <c r="E6390">
        <v>2</v>
      </c>
      <c r="F6390" t="str">
        <f>HYPERLINK("https://github.com/grimWaffles/foodpandaClone/issues/1", "show")</f>
        <v>show</v>
      </c>
      <c r="G6390" t="str">
        <f>HYPERLINK("https://github.com/grimWaffles/foodpandaClone", "show")</f>
        <v>show</v>
      </c>
      <c r="H6390" t="str">
        <f>HYPERLINK("https://github.com/grimWaffles/foodpandaClone/releases", "show")</f>
        <v>show</v>
      </c>
      <c r="I6390">
        <v>1</v>
      </c>
      <c r="J6390">
        <v>0</v>
      </c>
      <c r="K6390">
        <v>0</v>
      </c>
      <c r="L6390">
        <v>0</v>
      </c>
      <c r="M6390" t="s">
        <v>17</v>
      </c>
    </row>
    <row r="6391" spans="1:13" hidden="1" x14ac:dyDescent="0.15">
      <c r="A6391" t="s">
        <v>20007</v>
      </c>
      <c r="B6391" t="s">
        <v>20008</v>
      </c>
      <c r="C6391" t="s">
        <v>20009</v>
      </c>
      <c r="D6391" t="s">
        <v>19982</v>
      </c>
      <c r="E6391">
        <v>46</v>
      </c>
      <c r="F6391" t="str">
        <f>HYPERLINK("https://github.com/libgdx/gdx-pay/issues/230", "show")</f>
        <v>show</v>
      </c>
      <c r="G6391" t="str">
        <f>HYPERLINK("https://github.com/libgdx/gdx-pay", "show")</f>
        <v>show</v>
      </c>
      <c r="H6391" t="str">
        <f>HYPERLINK("https://github.com/libgdx/gdx-pay/releases", "show")</f>
        <v>show</v>
      </c>
      <c r="I6391">
        <v>1</v>
      </c>
      <c r="J6391">
        <v>0</v>
      </c>
      <c r="K6391">
        <v>0</v>
      </c>
      <c r="L6391">
        <v>0</v>
      </c>
      <c r="M6391" t="s">
        <v>17</v>
      </c>
    </row>
    <row r="6392" spans="1:13" hidden="1" x14ac:dyDescent="0.15">
      <c r="A6392" t="s">
        <v>20010</v>
      </c>
      <c r="B6392" t="s">
        <v>20011</v>
      </c>
      <c r="C6392" t="s">
        <v>20012</v>
      </c>
      <c r="D6392" t="s">
        <v>20013</v>
      </c>
      <c r="E6392">
        <v>0</v>
      </c>
      <c r="F6392" t="str">
        <f>HYPERLINK("https://github.com/Anuken/Mindustry/issues/2752", "show")</f>
        <v>show</v>
      </c>
      <c r="G6392" t="str">
        <f>HYPERLINK("https://github.com/Anuken/Mindustry", "show")</f>
        <v>show</v>
      </c>
      <c r="H6392" t="str">
        <f>HYPERLINK("https://github.com/Anuken/Mindustry/releases", "show")</f>
        <v>show</v>
      </c>
      <c r="I6392">
        <v>1</v>
      </c>
      <c r="J6392">
        <v>1</v>
      </c>
      <c r="K6392">
        <v>0</v>
      </c>
      <c r="L6392">
        <v>0</v>
      </c>
      <c r="M6392" t="s">
        <v>48</v>
      </c>
    </row>
    <row r="6393" spans="1:13" hidden="1" x14ac:dyDescent="0.15">
      <c r="A6393" t="s">
        <v>20014</v>
      </c>
      <c r="B6393" t="s">
        <v>20015</v>
      </c>
      <c r="C6393" t="s">
        <v>20016</v>
      </c>
      <c r="D6393" t="s">
        <v>20013</v>
      </c>
      <c r="E6393">
        <v>25</v>
      </c>
      <c r="F6393" t="str">
        <f>HYPERLINK("https://github.com/commons-app/apps-android-commons/issues/3941", "show")</f>
        <v>show</v>
      </c>
      <c r="G6393" t="str">
        <f>HYPERLINK("https://github.com/commons-app/apps-android-commons", "show")</f>
        <v>show</v>
      </c>
      <c r="H6393" t="str">
        <f>HYPERLINK("https://github.com/commons-app/apps-android-commons/releases", "show")</f>
        <v>show</v>
      </c>
      <c r="I6393">
        <v>1</v>
      </c>
      <c r="J6393">
        <v>0</v>
      </c>
      <c r="K6393">
        <v>0</v>
      </c>
      <c r="L6393">
        <v>0</v>
      </c>
      <c r="M6393" t="s">
        <v>17</v>
      </c>
    </row>
    <row r="6394" spans="1:13" hidden="1" x14ac:dyDescent="0.15">
      <c r="A6394" t="s">
        <v>20017</v>
      </c>
      <c r="B6394" t="s">
        <v>20018</v>
      </c>
      <c r="C6394" t="s">
        <v>20019</v>
      </c>
      <c r="D6394" t="s">
        <v>20013</v>
      </c>
      <c r="E6394">
        <v>0</v>
      </c>
      <c r="F6394" t="str">
        <f>HYPERLINK("https://github.com/Anuken/Mindustry/issues/2751", "show")</f>
        <v>show</v>
      </c>
      <c r="G6394" t="str">
        <f>HYPERLINK("https://github.com/Anuken/Mindustry", "show")</f>
        <v>show</v>
      </c>
      <c r="H6394" t="str">
        <f>HYPERLINK("https://github.com/Anuken/Mindustry/releases", "show")</f>
        <v>show</v>
      </c>
      <c r="I6394">
        <v>1</v>
      </c>
      <c r="J6394">
        <v>0</v>
      </c>
      <c r="K6394">
        <v>0</v>
      </c>
      <c r="L6394">
        <v>0</v>
      </c>
      <c r="M6394" t="s">
        <v>17</v>
      </c>
    </row>
    <row r="6395" spans="1:13" x14ac:dyDescent="0.15">
      <c r="A6395" t="s">
        <v>20020</v>
      </c>
      <c r="B6395" t="s">
        <v>20021</v>
      </c>
      <c r="C6395" t="s">
        <v>20022</v>
      </c>
      <c r="D6395" t="s">
        <v>20013</v>
      </c>
      <c r="E6395">
        <v>2</v>
      </c>
      <c r="F6395" t="str">
        <f>HYPERLINK("https://github.com/nextcloud/android/issues/7020", "show")</f>
        <v>show</v>
      </c>
      <c r="G6395" t="str">
        <f>HYPERLINK("https://github.com/nextcloud/android", "show")</f>
        <v>show</v>
      </c>
      <c r="H6395" t="str">
        <f>HYPERLINK("https://github.com/nextcloud/android/releases", "show")</f>
        <v>show</v>
      </c>
      <c r="I6395">
        <v>0</v>
      </c>
      <c r="J6395">
        <v>1</v>
      </c>
      <c r="K6395">
        <v>0</v>
      </c>
      <c r="L6395">
        <v>0</v>
      </c>
      <c r="M6395" t="s">
        <v>139</v>
      </c>
    </row>
    <row r="6396" spans="1:13" hidden="1" x14ac:dyDescent="0.15">
      <c r="A6396" t="s">
        <v>20023</v>
      </c>
      <c r="B6396" t="s">
        <v>20024</v>
      </c>
      <c r="C6396" t="s">
        <v>20025</v>
      </c>
      <c r="D6396" t="s">
        <v>20013</v>
      </c>
      <c r="E6396">
        <v>12</v>
      </c>
      <c r="F6396" t="str">
        <f>HYPERLINK("https://github.com/patzly/grocy-android/issues/118", "show")</f>
        <v>show</v>
      </c>
      <c r="G6396" t="str">
        <f>HYPERLINK("https://github.com/patzly/grocy-android", "show")</f>
        <v>show</v>
      </c>
      <c r="H6396" t="str">
        <f>HYPERLINK("https://github.com/patzly/grocy-android/releases", "show")</f>
        <v>show</v>
      </c>
      <c r="I6396">
        <v>1</v>
      </c>
      <c r="J6396">
        <v>0</v>
      </c>
      <c r="K6396">
        <v>0</v>
      </c>
      <c r="L6396">
        <v>0</v>
      </c>
      <c r="M6396" t="s">
        <v>17</v>
      </c>
    </row>
    <row r="6397" spans="1:13" hidden="1" x14ac:dyDescent="0.15">
      <c r="A6397" t="s">
        <v>20026</v>
      </c>
      <c r="B6397" t="s">
        <v>20027</v>
      </c>
      <c r="C6397" t="s">
        <v>20028</v>
      </c>
      <c r="D6397" t="s">
        <v>20013</v>
      </c>
      <c r="E6397">
        <v>4</v>
      </c>
      <c r="F6397" t="str">
        <f>HYPERLINK("https://github.com/deltachat/deltachat-android/issues/1639", "show")</f>
        <v>show</v>
      </c>
      <c r="G6397" t="str">
        <f>HYPERLINK("https://github.com/deltachat/deltachat-android", "show")</f>
        <v>show</v>
      </c>
      <c r="H6397" t="str">
        <f>HYPERLINK("https://github.com/deltachat/deltachat-android/releases", "show")</f>
        <v>show</v>
      </c>
      <c r="I6397">
        <v>1</v>
      </c>
      <c r="J6397">
        <v>1</v>
      </c>
      <c r="K6397">
        <v>1</v>
      </c>
      <c r="L6397">
        <v>0</v>
      </c>
      <c r="M6397" t="s">
        <v>59</v>
      </c>
    </row>
    <row r="6398" spans="1:13" hidden="1" x14ac:dyDescent="0.15">
      <c r="A6398" t="s">
        <v>20029</v>
      </c>
      <c r="B6398" t="s">
        <v>20030</v>
      </c>
      <c r="C6398" t="s">
        <v>20031</v>
      </c>
      <c r="D6398" t="s">
        <v>20013</v>
      </c>
      <c r="E6398">
        <v>0</v>
      </c>
      <c r="F6398" t="str">
        <f>HYPERLINK("https://github.com/nextcloud/android/issues/7018", "show")</f>
        <v>show</v>
      </c>
      <c r="G6398" t="str">
        <f>HYPERLINK("https://github.com/nextcloud/android", "show")</f>
        <v>show</v>
      </c>
      <c r="H6398" t="str">
        <f>HYPERLINK("https://github.com/nextcloud/android/releases", "show")</f>
        <v>show</v>
      </c>
      <c r="I6398">
        <v>1</v>
      </c>
      <c r="J6398">
        <v>1</v>
      </c>
      <c r="K6398">
        <v>1</v>
      </c>
      <c r="L6398">
        <v>0</v>
      </c>
      <c r="M6398" t="s">
        <v>59</v>
      </c>
    </row>
    <row r="6399" spans="1:13" hidden="1" x14ac:dyDescent="0.15">
      <c r="A6399" t="s">
        <v>20032</v>
      </c>
      <c r="B6399" t="s">
        <v>20033</v>
      </c>
      <c r="C6399" t="s">
        <v>20034</v>
      </c>
      <c r="D6399" t="s">
        <v>20035</v>
      </c>
      <c r="E6399">
        <v>0</v>
      </c>
      <c r="F6399" t="str">
        <f>HYPERLINK("https://github.com/TeamNewPipe/NewPipe/issues/4325", "show")</f>
        <v>show</v>
      </c>
      <c r="G6399" t="str">
        <f>HYPERLINK("https://github.com/TeamNewPipe/NewPipe", "show")</f>
        <v>show</v>
      </c>
      <c r="H6399" t="str">
        <f>HYPERLINK("https://github.com/TeamNewPipe/NewPipe/releases", "show")</f>
        <v>show</v>
      </c>
      <c r="I6399">
        <v>1</v>
      </c>
      <c r="J6399">
        <v>1</v>
      </c>
      <c r="K6399">
        <v>1</v>
      </c>
      <c r="L6399">
        <v>0</v>
      </c>
      <c r="M6399" t="s">
        <v>59</v>
      </c>
    </row>
    <row r="6400" spans="1:13" hidden="1" x14ac:dyDescent="0.15">
      <c r="A6400" t="s">
        <v>20036</v>
      </c>
      <c r="B6400" t="s">
        <v>20037</v>
      </c>
      <c r="C6400" t="s">
        <v>20038</v>
      </c>
      <c r="D6400" t="s">
        <v>20039</v>
      </c>
      <c r="E6400">
        <v>0</v>
      </c>
      <c r="F6400" t="str">
        <f>HYPERLINK("https://github.com/ThatCraws/MrX/issues/3", "show")</f>
        <v>show</v>
      </c>
      <c r="G6400" t="str">
        <f>HYPERLINK("https://github.com/ThatCraws/MrX", "show")</f>
        <v>show</v>
      </c>
      <c r="H6400" t="str">
        <f>HYPERLINK("https://github.com/ThatCraws/MrX/releases", "show")</f>
        <v>show</v>
      </c>
      <c r="I6400">
        <v>1</v>
      </c>
      <c r="J6400">
        <v>0</v>
      </c>
      <c r="K6400">
        <v>0</v>
      </c>
      <c r="L6400">
        <v>0</v>
      </c>
      <c r="M6400" t="s">
        <v>17</v>
      </c>
    </row>
    <row r="6401" spans="1:13" hidden="1" x14ac:dyDescent="0.15">
      <c r="A6401" t="s">
        <v>20040</v>
      </c>
      <c r="B6401" t="s">
        <v>20041</v>
      </c>
      <c r="C6401" t="s">
        <v>20042</v>
      </c>
      <c r="D6401" t="s">
        <v>20039</v>
      </c>
      <c r="E6401">
        <v>273</v>
      </c>
      <c r="F6401" t="str">
        <f>HYPERLINK("https://github.com/deltachat/deltachat-android/issues/1633", "show")</f>
        <v>show</v>
      </c>
      <c r="G6401" t="str">
        <f>HYPERLINK("https://github.com/deltachat/deltachat-android", "show")</f>
        <v>show</v>
      </c>
      <c r="H6401" t="str">
        <f>HYPERLINK("https://github.com/deltachat/deltachat-android/releases", "show")</f>
        <v>show</v>
      </c>
      <c r="I6401">
        <v>0</v>
      </c>
      <c r="J6401">
        <v>0</v>
      </c>
      <c r="K6401">
        <v>0</v>
      </c>
      <c r="L6401">
        <v>1</v>
      </c>
      <c r="M6401" t="s">
        <v>581</v>
      </c>
    </row>
    <row r="6402" spans="1:13" hidden="1" x14ac:dyDescent="0.15">
      <c r="A6402" t="s">
        <v>20043</v>
      </c>
      <c r="B6402" t="s">
        <v>20044</v>
      </c>
      <c r="C6402" t="s">
        <v>20045</v>
      </c>
      <c r="D6402" t="s">
        <v>20039</v>
      </c>
      <c r="E6402">
        <v>13</v>
      </c>
      <c r="F6402" t="str">
        <f>HYPERLINK("https://github.com/getodk/collect/issues/4119", "show")</f>
        <v>show</v>
      </c>
      <c r="G6402" t="str">
        <f>HYPERLINK("https://github.com/getodk/collect", "show")</f>
        <v>show</v>
      </c>
      <c r="H6402" t="str">
        <f>HYPERLINK("https://github.com/getodk/collect/releases", "show")</f>
        <v>show</v>
      </c>
      <c r="I6402">
        <v>1</v>
      </c>
      <c r="J6402">
        <v>0</v>
      </c>
      <c r="K6402">
        <v>0</v>
      </c>
      <c r="L6402">
        <v>0</v>
      </c>
      <c r="M6402" t="s">
        <v>17</v>
      </c>
    </row>
    <row r="6403" spans="1:13" hidden="1" x14ac:dyDescent="0.15">
      <c r="A6403" t="s">
        <v>20046</v>
      </c>
      <c r="B6403" t="s">
        <v>20047</v>
      </c>
      <c r="C6403" t="s">
        <v>20048</v>
      </c>
      <c r="D6403" t="s">
        <v>20039</v>
      </c>
      <c r="E6403">
        <v>0</v>
      </c>
      <c r="F6403" t="str">
        <f>HYPERLINK("https://github.com/Anuken/Mindustry/issues/2721", "show")</f>
        <v>show</v>
      </c>
      <c r="G6403" t="str">
        <f t="shared" ref="G6403:G6408" si="24">HYPERLINK("https://github.com/Anuken/Mindustry", "show")</f>
        <v>show</v>
      </c>
      <c r="H6403" t="str">
        <f t="shared" ref="H6403:H6408" si="25">HYPERLINK("https://github.com/Anuken/Mindustry/releases", "show")</f>
        <v>show</v>
      </c>
      <c r="I6403">
        <v>0</v>
      </c>
      <c r="J6403">
        <v>0</v>
      </c>
      <c r="K6403">
        <v>0</v>
      </c>
      <c r="L6403">
        <v>0</v>
      </c>
      <c r="M6403" t="s">
        <v>43</v>
      </c>
    </row>
    <row r="6404" spans="1:13" hidden="1" x14ac:dyDescent="0.15">
      <c r="A6404" t="s">
        <v>20049</v>
      </c>
      <c r="B6404" t="s">
        <v>20050</v>
      </c>
      <c r="C6404" t="s">
        <v>20051</v>
      </c>
      <c r="D6404" t="s">
        <v>20052</v>
      </c>
      <c r="E6404">
        <v>0</v>
      </c>
      <c r="F6404" t="str">
        <f>HYPERLINK("https://github.com/Anuken/Mindustry/issues/2717", "show")</f>
        <v>show</v>
      </c>
      <c r="G6404" t="str">
        <f t="shared" si="24"/>
        <v>show</v>
      </c>
      <c r="H6404" t="str">
        <f t="shared" si="25"/>
        <v>show</v>
      </c>
      <c r="I6404">
        <v>0</v>
      </c>
      <c r="J6404">
        <v>0</v>
      </c>
      <c r="K6404">
        <v>0</v>
      </c>
      <c r="L6404">
        <v>0</v>
      </c>
      <c r="M6404" t="s">
        <v>43</v>
      </c>
    </row>
    <row r="6405" spans="1:13" hidden="1" x14ac:dyDescent="0.15">
      <c r="A6405" t="s">
        <v>20053</v>
      </c>
      <c r="B6405" t="s">
        <v>20054</v>
      </c>
      <c r="C6405" t="s">
        <v>20055</v>
      </c>
      <c r="D6405" t="s">
        <v>20052</v>
      </c>
      <c r="E6405">
        <v>0</v>
      </c>
      <c r="F6405" t="str">
        <f>HYPERLINK("https://github.com/Anuken/Mindustry/issues/2709", "show")</f>
        <v>show</v>
      </c>
      <c r="G6405" t="str">
        <f t="shared" si="24"/>
        <v>show</v>
      </c>
      <c r="H6405" t="str">
        <f t="shared" si="25"/>
        <v>show</v>
      </c>
      <c r="I6405">
        <v>0</v>
      </c>
      <c r="J6405">
        <v>1</v>
      </c>
      <c r="K6405">
        <v>0</v>
      </c>
      <c r="L6405">
        <v>1</v>
      </c>
      <c r="M6405" t="s">
        <v>1732</v>
      </c>
    </row>
    <row r="6406" spans="1:13" hidden="1" x14ac:dyDescent="0.15">
      <c r="A6406" t="s">
        <v>20056</v>
      </c>
      <c r="B6406" t="s">
        <v>20057</v>
      </c>
      <c r="C6406" t="s">
        <v>20058</v>
      </c>
      <c r="D6406" t="s">
        <v>20052</v>
      </c>
      <c r="E6406">
        <v>0</v>
      </c>
      <c r="F6406" t="str">
        <f>HYPERLINK("https://github.com/Anuken/Mindustry/issues/2706", "show")</f>
        <v>show</v>
      </c>
      <c r="G6406" t="str">
        <f t="shared" si="24"/>
        <v>show</v>
      </c>
      <c r="H6406" t="str">
        <f t="shared" si="25"/>
        <v>show</v>
      </c>
      <c r="I6406">
        <v>1</v>
      </c>
      <c r="J6406">
        <v>1</v>
      </c>
      <c r="K6406">
        <v>0</v>
      </c>
      <c r="L6406">
        <v>0</v>
      </c>
      <c r="M6406" t="s">
        <v>48</v>
      </c>
    </row>
    <row r="6407" spans="1:13" hidden="1" x14ac:dyDescent="0.15">
      <c r="A6407" t="s">
        <v>20059</v>
      </c>
      <c r="B6407" t="s">
        <v>20060</v>
      </c>
      <c r="C6407" t="s">
        <v>20061</v>
      </c>
      <c r="D6407" t="s">
        <v>20052</v>
      </c>
      <c r="E6407">
        <v>0</v>
      </c>
      <c r="F6407" t="str">
        <f>HYPERLINK("https://github.com/Anuken/Mindustry/issues/2703", "show")</f>
        <v>show</v>
      </c>
      <c r="G6407" t="str">
        <f t="shared" si="24"/>
        <v>show</v>
      </c>
      <c r="H6407" t="str">
        <f t="shared" si="25"/>
        <v>show</v>
      </c>
      <c r="I6407">
        <v>0</v>
      </c>
      <c r="J6407">
        <v>0</v>
      </c>
      <c r="K6407">
        <v>0</v>
      </c>
      <c r="L6407">
        <v>0</v>
      </c>
      <c r="M6407" t="s">
        <v>43</v>
      </c>
    </row>
    <row r="6408" spans="1:13" hidden="1" x14ac:dyDescent="0.15">
      <c r="A6408" t="s">
        <v>20062</v>
      </c>
      <c r="B6408" t="s">
        <v>20063</v>
      </c>
      <c r="C6408" t="s">
        <v>20064</v>
      </c>
      <c r="D6408" t="s">
        <v>20052</v>
      </c>
      <c r="E6408">
        <v>0</v>
      </c>
      <c r="F6408" t="str">
        <f>HYPERLINK("https://github.com/Anuken/Mindustry/issues/2700", "show")</f>
        <v>show</v>
      </c>
      <c r="G6408" t="str">
        <f t="shared" si="24"/>
        <v>show</v>
      </c>
      <c r="H6408" t="str">
        <f t="shared" si="25"/>
        <v>show</v>
      </c>
      <c r="I6408">
        <v>0</v>
      </c>
      <c r="J6408">
        <v>0</v>
      </c>
      <c r="K6408">
        <v>0</v>
      </c>
      <c r="L6408">
        <v>0</v>
      </c>
      <c r="M6408" t="s">
        <v>43</v>
      </c>
    </row>
    <row r="6409" spans="1:13" hidden="1" x14ac:dyDescent="0.15">
      <c r="A6409" t="s">
        <v>20065</v>
      </c>
      <c r="B6409" t="s">
        <v>20066</v>
      </c>
      <c r="C6409" t="s">
        <v>20067</v>
      </c>
      <c r="D6409" t="s">
        <v>20052</v>
      </c>
      <c r="E6409">
        <v>81</v>
      </c>
      <c r="F6409" t="str">
        <f>HYPERLINK("https://github.com/MozillaReality/FirefoxReality/issues/3890", "show")</f>
        <v>show</v>
      </c>
      <c r="G6409" t="str">
        <f>HYPERLINK("https://github.com/MozillaReality/FirefoxReality", "show")</f>
        <v>show</v>
      </c>
      <c r="H6409" t="str">
        <f>HYPERLINK("https://github.com/MozillaReality/FirefoxReality/releases", "show")</f>
        <v>show</v>
      </c>
      <c r="I6409">
        <v>1</v>
      </c>
      <c r="J6409">
        <v>1</v>
      </c>
      <c r="K6409">
        <v>0</v>
      </c>
      <c r="L6409">
        <v>0</v>
      </c>
      <c r="M6409" t="s">
        <v>48</v>
      </c>
    </row>
    <row r="6410" spans="1:13" hidden="1" x14ac:dyDescent="0.15">
      <c r="A6410" t="s">
        <v>20068</v>
      </c>
      <c r="B6410" t="s">
        <v>20069</v>
      </c>
      <c r="C6410" t="s">
        <v>20070</v>
      </c>
      <c r="D6410" t="s">
        <v>20052</v>
      </c>
      <c r="E6410">
        <v>0</v>
      </c>
      <c r="F6410" t="str">
        <f>HYPERLINK("https://github.com/Anuken/Mindustry/issues/2695", "show")</f>
        <v>show</v>
      </c>
      <c r="G6410" t="str">
        <f>HYPERLINK("https://github.com/Anuken/Mindustry", "show")</f>
        <v>show</v>
      </c>
      <c r="H6410" t="str">
        <f>HYPERLINK("https://github.com/Anuken/Mindustry/releases", "show")</f>
        <v>show</v>
      </c>
      <c r="I6410">
        <v>0</v>
      </c>
      <c r="J6410">
        <v>0</v>
      </c>
      <c r="K6410">
        <v>0</v>
      </c>
      <c r="L6410">
        <v>0</v>
      </c>
      <c r="M6410" t="s">
        <v>43</v>
      </c>
    </row>
    <row r="6411" spans="1:13" hidden="1" x14ac:dyDescent="0.15">
      <c r="A6411" t="s">
        <v>20071</v>
      </c>
      <c r="B6411" t="s">
        <v>20072</v>
      </c>
      <c r="C6411" t="s">
        <v>20073</v>
      </c>
      <c r="D6411" t="s">
        <v>20052</v>
      </c>
      <c r="E6411">
        <v>25</v>
      </c>
      <c r="F6411" t="str">
        <f>HYPERLINK("https://github.com/AlphaWallet/alpha-wallet-android/issues/1616", "show")</f>
        <v>show</v>
      </c>
      <c r="G6411" t="str">
        <f>HYPERLINK("https://github.com/AlphaWallet/alpha-wallet-android", "show")</f>
        <v>show</v>
      </c>
      <c r="H6411" t="str">
        <f>HYPERLINK("https://github.com/AlphaWallet/alpha-wallet-android/releases", "show")</f>
        <v>show</v>
      </c>
      <c r="I6411">
        <v>0</v>
      </c>
      <c r="J6411">
        <v>0</v>
      </c>
      <c r="K6411">
        <v>1</v>
      </c>
      <c r="L6411">
        <v>0</v>
      </c>
      <c r="M6411" t="s">
        <v>122</v>
      </c>
    </row>
    <row r="6412" spans="1:13" hidden="1" x14ac:dyDescent="0.15">
      <c r="A6412" t="s">
        <v>20074</v>
      </c>
      <c r="B6412" t="s">
        <v>20075</v>
      </c>
      <c r="C6412" t="s">
        <v>20076</v>
      </c>
      <c r="D6412" t="s">
        <v>20052</v>
      </c>
      <c r="E6412">
        <v>0</v>
      </c>
      <c r="F6412" t="str">
        <f>HYPERLINK("https://github.com/Anuken/Mindustry/issues/2690", "show")</f>
        <v>show</v>
      </c>
      <c r="G6412" t="str">
        <f>HYPERLINK("https://github.com/Anuken/Mindustry", "show")</f>
        <v>show</v>
      </c>
      <c r="H6412" t="str">
        <f>HYPERLINK("https://github.com/Anuken/Mindustry/releases", "show")</f>
        <v>show</v>
      </c>
      <c r="I6412">
        <v>1</v>
      </c>
      <c r="J6412">
        <v>0</v>
      </c>
      <c r="K6412">
        <v>0</v>
      </c>
      <c r="L6412">
        <v>0</v>
      </c>
      <c r="M6412" t="s">
        <v>17</v>
      </c>
    </row>
    <row r="6413" spans="1:13" hidden="1" x14ac:dyDescent="0.15">
      <c r="A6413" t="s">
        <v>20077</v>
      </c>
      <c r="B6413" t="s">
        <v>20078</v>
      </c>
      <c r="C6413" t="s">
        <v>20079</v>
      </c>
      <c r="D6413" t="s">
        <v>20080</v>
      </c>
      <c r="E6413">
        <v>0</v>
      </c>
      <c r="F6413" t="str">
        <f>HYPERLINK("https://github.com/Anuken/Mindustry/issues/2689", "show")</f>
        <v>show</v>
      </c>
      <c r="G6413" t="str">
        <f>HYPERLINK("https://github.com/Anuken/Mindustry", "show")</f>
        <v>show</v>
      </c>
      <c r="H6413" t="str">
        <f>HYPERLINK("https://github.com/Anuken/Mindustry/releases", "show")</f>
        <v>show</v>
      </c>
      <c r="I6413">
        <v>0</v>
      </c>
      <c r="J6413">
        <v>0</v>
      </c>
      <c r="K6413">
        <v>0</v>
      </c>
      <c r="L6413">
        <v>1</v>
      </c>
      <c r="M6413" t="s">
        <v>581</v>
      </c>
    </row>
    <row r="6414" spans="1:13" hidden="1" x14ac:dyDescent="0.15">
      <c r="A6414" t="s">
        <v>20081</v>
      </c>
      <c r="B6414" t="s">
        <v>20082</v>
      </c>
      <c r="C6414" t="s">
        <v>20083</v>
      </c>
      <c r="D6414" t="s">
        <v>20080</v>
      </c>
      <c r="E6414">
        <v>0</v>
      </c>
      <c r="F6414" t="str">
        <f>HYPERLINK("https://github.com/Anuken/Mindustry/issues/2688", "show")</f>
        <v>show</v>
      </c>
      <c r="G6414" t="str">
        <f>HYPERLINK("https://github.com/Anuken/Mindustry", "show")</f>
        <v>show</v>
      </c>
      <c r="H6414" t="str">
        <f>HYPERLINK("https://github.com/Anuken/Mindustry/releases", "show")</f>
        <v>show</v>
      </c>
      <c r="I6414">
        <v>0</v>
      </c>
      <c r="J6414">
        <v>0</v>
      </c>
      <c r="K6414">
        <v>0</v>
      </c>
      <c r="L6414">
        <v>1</v>
      </c>
      <c r="M6414" t="s">
        <v>581</v>
      </c>
    </row>
    <row r="6415" spans="1:13" x14ac:dyDescent="0.15">
      <c r="A6415" t="s">
        <v>20084</v>
      </c>
      <c r="B6415" t="s">
        <v>20085</v>
      </c>
      <c r="C6415" t="s">
        <v>20086</v>
      </c>
      <c r="D6415" t="s">
        <v>20080</v>
      </c>
      <c r="E6415">
        <v>0</v>
      </c>
      <c r="F6415" t="str">
        <f>HYPERLINK("https://github.com/Anuken/Mindustry/issues/2682", "show")</f>
        <v>show</v>
      </c>
      <c r="G6415" t="str">
        <f>HYPERLINK("https://github.com/Anuken/Mindustry", "show")</f>
        <v>show</v>
      </c>
      <c r="H6415" t="str">
        <f>HYPERLINK("https://github.com/Anuken/Mindustry/releases", "show")</f>
        <v>show</v>
      </c>
      <c r="I6415">
        <v>0</v>
      </c>
      <c r="J6415">
        <v>1</v>
      </c>
      <c r="K6415">
        <v>0</v>
      </c>
      <c r="L6415">
        <v>0</v>
      </c>
      <c r="M6415" t="s">
        <v>139</v>
      </c>
    </row>
    <row r="6416" spans="1:13" hidden="1" x14ac:dyDescent="0.15">
      <c r="A6416" t="s">
        <v>20087</v>
      </c>
      <c r="B6416" t="s">
        <v>20088</v>
      </c>
      <c r="C6416" t="s">
        <v>20089</v>
      </c>
      <c r="D6416" t="s">
        <v>20080</v>
      </c>
      <c r="E6416">
        <v>0</v>
      </c>
      <c r="F6416" t="str">
        <f>HYPERLINK("https://github.com/Anuken/Mindustry/issues/2681", "show")</f>
        <v>show</v>
      </c>
      <c r="G6416" t="str">
        <f>HYPERLINK("https://github.com/Anuken/Mindustry", "show")</f>
        <v>show</v>
      </c>
      <c r="H6416" t="str">
        <f>HYPERLINK("https://github.com/Anuken/Mindustry/releases", "show")</f>
        <v>show</v>
      </c>
      <c r="I6416">
        <v>0</v>
      </c>
      <c r="J6416">
        <v>0</v>
      </c>
      <c r="K6416">
        <v>0</v>
      </c>
      <c r="L6416">
        <v>0</v>
      </c>
      <c r="M6416" t="s">
        <v>43</v>
      </c>
    </row>
    <row r="6417" spans="1:13" hidden="1" x14ac:dyDescent="0.15">
      <c r="A6417" t="s">
        <v>20090</v>
      </c>
      <c r="B6417" t="s">
        <v>20091</v>
      </c>
      <c r="C6417" t="s">
        <v>20092</v>
      </c>
      <c r="D6417" t="s">
        <v>20080</v>
      </c>
      <c r="E6417">
        <v>12</v>
      </c>
      <c r="F6417" t="str">
        <f>HYPERLINK("https://github.com/borconi/WifiLauncherforHUR/issues/5", "show")</f>
        <v>show</v>
      </c>
      <c r="G6417" t="str">
        <f>HYPERLINK("https://github.com/borconi/WifiLauncherforHUR", "show")</f>
        <v>show</v>
      </c>
      <c r="H6417" t="str">
        <f>HYPERLINK("https://github.com/borconi/WifiLauncherforHUR/releases", "show")</f>
        <v>show</v>
      </c>
      <c r="I6417">
        <v>0</v>
      </c>
      <c r="J6417">
        <v>0</v>
      </c>
      <c r="K6417">
        <v>0</v>
      </c>
      <c r="L6417">
        <v>0</v>
      </c>
      <c r="M6417" t="s">
        <v>43</v>
      </c>
    </row>
    <row r="6418" spans="1:13" hidden="1" x14ac:dyDescent="0.15">
      <c r="A6418" t="s">
        <v>20093</v>
      </c>
      <c r="B6418" t="s">
        <v>20094</v>
      </c>
      <c r="C6418" t="s">
        <v>20095</v>
      </c>
      <c r="D6418" t="s">
        <v>20080</v>
      </c>
      <c r="E6418">
        <v>0</v>
      </c>
      <c r="F6418" t="str">
        <f>HYPERLINK("https://github.com/Anuken/Mindustry/issues/2680", "show")</f>
        <v>show</v>
      </c>
      <c r="G6418" t="str">
        <f>HYPERLINK("https://github.com/Anuken/Mindustry", "show")</f>
        <v>show</v>
      </c>
      <c r="H6418" t="str">
        <f>HYPERLINK("https://github.com/Anuken/Mindustry/releases", "show")</f>
        <v>show</v>
      </c>
      <c r="I6418">
        <v>1</v>
      </c>
      <c r="J6418">
        <v>0</v>
      </c>
      <c r="K6418">
        <v>1</v>
      </c>
      <c r="L6418">
        <v>0</v>
      </c>
      <c r="M6418" t="s">
        <v>64</v>
      </c>
    </row>
    <row r="6419" spans="1:13" hidden="1" x14ac:dyDescent="0.15">
      <c r="A6419" t="s">
        <v>20096</v>
      </c>
      <c r="B6419" t="s">
        <v>20097</v>
      </c>
      <c r="C6419" t="s">
        <v>20098</v>
      </c>
      <c r="D6419" t="s">
        <v>20080</v>
      </c>
      <c r="E6419">
        <v>5</v>
      </c>
      <c r="F6419" t="str">
        <f>HYPERLINK("https://github.com/google/ExoPlayer/issues/7977", "show")</f>
        <v>show</v>
      </c>
      <c r="G6419" t="str">
        <f>HYPERLINK("https://github.com/google/ExoPlayer", "show")</f>
        <v>show</v>
      </c>
      <c r="H6419" t="str">
        <f>HYPERLINK("https://github.com/google/ExoPlayer/releases", "show")</f>
        <v>show</v>
      </c>
      <c r="I6419">
        <v>1</v>
      </c>
      <c r="J6419">
        <v>1</v>
      </c>
      <c r="K6419">
        <v>1</v>
      </c>
      <c r="L6419">
        <v>0</v>
      </c>
      <c r="M6419" t="s">
        <v>59</v>
      </c>
    </row>
    <row r="6420" spans="1:13" hidden="1" x14ac:dyDescent="0.15">
      <c r="A6420" t="s">
        <v>20099</v>
      </c>
      <c r="B6420" t="s">
        <v>20100</v>
      </c>
      <c r="C6420" t="s">
        <v>20101</v>
      </c>
      <c r="D6420" t="s">
        <v>20080</v>
      </c>
      <c r="E6420">
        <v>1</v>
      </c>
      <c r="F6420" t="str">
        <f>HYPERLINK("https://github.com/nextcloud/android/issues/6998", "show")</f>
        <v>show</v>
      </c>
      <c r="G6420" t="str">
        <f>HYPERLINK("https://github.com/nextcloud/android", "show")</f>
        <v>show</v>
      </c>
      <c r="H6420" t="str">
        <f>HYPERLINK("https://github.com/nextcloud/android/releases", "show")</f>
        <v>show</v>
      </c>
      <c r="I6420">
        <v>0</v>
      </c>
      <c r="J6420">
        <v>1</v>
      </c>
      <c r="K6420">
        <v>1</v>
      </c>
      <c r="L6420">
        <v>0</v>
      </c>
      <c r="M6420" t="s">
        <v>699</v>
      </c>
    </row>
    <row r="6421" spans="1:13" hidden="1" x14ac:dyDescent="0.15">
      <c r="A6421" t="s">
        <v>20102</v>
      </c>
      <c r="B6421" t="s">
        <v>20103</v>
      </c>
      <c r="C6421" t="s">
        <v>20104</v>
      </c>
      <c r="D6421" t="s">
        <v>20080</v>
      </c>
      <c r="E6421">
        <v>0</v>
      </c>
      <c r="F6421" t="str">
        <f>HYPERLINK("https://github.com/Anuken/Mindustry/issues/2676", "show")</f>
        <v>show</v>
      </c>
      <c r="G6421" t="str">
        <f>HYPERLINK("https://github.com/Anuken/Mindustry", "show")</f>
        <v>show</v>
      </c>
      <c r="H6421" t="str">
        <f>HYPERLINK("https://github.com/Anuken/Mindustry/releases", "show")</f>
        <v>show</v>
      </c>
      <c r="I6421">
        <v>0</v>
      </c>
      <c r="J6421">
        <v>1</v>
      </c>
      <c r="K6421">
        <v>1</v>
      </c>
      <c r="L6421">
        <v>0</v>
      </c>
      <c r="M6421" t="s">
        <v>699</v>
      </c>
    </row>
    <row r="6422" spans="1:13" hidden="1" x14ac:dyDescent="0.15">
      <c r="A6422" t="s">
        <v>20105</v>
      </c>
      <c r="B6422" t="s">
        <v>20106</v>
      </c>
      <c r="C6422" t="s">
        <v>20107</v>
      </c>
      <c r="D6422" t="s">
        <v>20080</v>
      </c>
      <c r="E6422">
        <v>72</v>
      </c>
      <c r="F6422" t="str">
        <f>HYPERLINK("https://github.com/material-components/material-components-android/issues/1748", "show")</f>
        <v>show</v>
      </c>
      <c r="G6422" t="str">
        <f>HYPERLINK("https://github.com/material-components/material-components-android", "show")</f>
        <v>show</v>
      </c>
      <c r="H6422" t="str">
        <f>HYPERLINK("https://github.com/material-components/material-components-android/releases", "show")</f>
        <v>show</v>
      </c>
      <c r="I6422">
        <v>1</v>
      </c>
      <c r="J6422">
        <v>1</v>
      </c>
      <c r="K6422">
        <v>1</v>
      </c>
      <c r="L6422">
        <v>1</v>
      </c>
      <c r="M6422" t="s">
        <v>2875</v>
      </c>
    </row>
    <row r="6423" spans="1:13" hidden="1" x14ac:dyDescent="0.15">
      <c r="A6423" t="s">
        <v>20108</v>
      </c>
      <c r="B6423" t="s">
        <v>20109</v>
      </c>
      <c r="C6423" t="s">
        <v>20110</v>
      </c>
      <c r="D6423" t="s">
        <v>20080</v>
      </c>
      <c r="E6423">
        <v>6</v>
      </c>
      <c r="F6423" t="str">
        <f>HYPERLINK("https://github.com/masavoyat/MicStream/issues/7", "show")</f>
        <v>show</v>
      </c>
      <c r="G6423" t="str">
        <f>HYPERLINK("https://github.com/masavoyat/MicStream", "show")</f>
        <v>show</v>
      </c>
      <c r="H6423" t="str">
        <f>HYPERLINK("https://github.com/masavoyat/MicStream/releases", "show")</f>
        <v>show</v>
      </c>
      <c r="I6423">
        <v>1</v>
      </c>
      <c r="J6423">
        <v>0</v>
      </c>
      <c r="K6423">
        <v>0</v>
      </c>
      <c r="L6423">
        <v>0</v>
      </c>
      <c r="M6423" t="s">
        <v>17</v>
      </c>
    </row>
    <row r="6424" spans="1:13" hidden="1" x14ac:dyDescent="0.15">
      <c r="A6424" t="s">
        <v>20111</v>
      </c>
      <c r="B6424" t="s">
        <v>20112</v>
      </c>
      <c r="C6424" t="s">
        <v>20113</v>
      </c>
      <c r="D6424" t="s">
        <v>20080</v>
      </c>
      <c r="E6424">
        <v>0</v>
      </c>
      <c r="F6424" t="str">
        <f>HYPERLINK("https://github.com/Anuken/Mindustry/issues/2674", "show")</f>
        <v>show</v>
      </c>
      <c r="G6424" t="str">
        <f>HYPERLINK("https://github.com/Anuken/Mindustry", "show")</f>
        <v>show</v>
      </c>
      <c r="H6424" t="str">
        <f>HYPERLINK("https://github.com/Anuken/Mindustry/releases", "show")</f>
        <v>show</v>
      </c>
      <c r="I6424">
        <v>0</v>
      </c>
      <c r="J6424">
        <v>0</v>
      </c>
      <c r="K6424">
        <v>0</v>
      </c>
      <c r="L6424">
        <v>0</v>
      </c>
      <c r="M6424" t="s">
        <v>43</v>
      </c>
    </row>
    <row r="6425" spans="1:13" hidden="1" x14ac:dyDescent="0.15">
      <c r="A6425" t="s">
        <v>20114</v>
      </c>
      <c r="B6425" t="s">
        <v>20115</v>
      </c>
      <c r="C6425" t="s">
        <v>20116</v>
      </c>
      <c r="D6425" t="s">
        <v>20080</v>
      </c>
      <c r="E6425">
        <v>38</v>
      </c>
      <c r="F6425" t="str">
        <f>HYPERLINK("https://github.com/salesforce/reactive-grpc/issues/226", "show")</f>
        <v>show</v>
      </c>
      <c r="G6425" t="str">
        <f>HYPERLINK("https://github.com/salesforce/reactive-grpc", "show")</f>
        <v>show</v>
      </c>
      <c r="H6425" t="str">
        <f>HYPERLINK("https://github.com/salesforce/reactive-grpc/releases", "show")</f>
        <v>show</v>
      </c>
      <c r="I6425">
        <v>0</v>
      </c>
      <c r="J6425">
        <v>0</v>
      </c>
      <c r="K6425">
        <v>0</v>
      </c>
      <c r="L6425">
        <v>1</v>
      </c>
      <c r="M6425" t="s">
        <v>581</v>
      </c>
    </row>
    <row r="6426" spans="1:13" hidden="1" x14ac:dyDescent="0.15">
      <c r="A6426" t="s">
        <v>20117</v>
      </c>
      <c r="B6426" t="s">
        <v>20118</v>
      </c>
      <c r="C6426" t="s">
        <v>20119</v>
      </c>
      <c r="D6426" t="s">
        <v>20080</v>
      </c>
      <c r="E6426">
        <v>0</v>
      </c>
      <c r="F6426" t="str">
        <f>HYPERLINK("https://github.com/goldhelixus/clint_board/issues/13", "show")</f>
        <v>show</v>
      </c>
      <c r="G6426" t="str">
        <f>HYPERLINK("https://github.com/goldhelixus/clint_board", "show")</f>
        <v>show</v>
      </c>
      <c r="H6426" t="str">
        <f>HYPERLINK("https://github.com/goldhelixus/clint_board/releases", "show")</f>
        <v>show</v>
      </c>
      <c r="I6426">
        <v>1</v>
      </c>
      <c r="J6426">
        <v>0</v>
      </c>
      <c r="K6426">
        <v>0</v>
      </c>
      <c r="L6426">
        <v>0</v>
      </c>
      <c r="M6426" t="s">
        <v>17</v>
      </c>
    </row>
    <row r="6427" spans="1:13" hidden="1" x14ac:dyDescent="0.15">
      <c r="A6427" t="s">
        <v>20120</v>
      </c>
      <c r="B6427" t="s">
        <v>20121</v>
      </c>
      <c r="C6427" t="s">
        <v>20122</v>
      </c>
      <c r="D6427" t="s">
        <v>20080</v>
      </c>
      <c r="E6427">
        <v>0</v>
      </c>
      <c r="F6427" t="str">
        <f>HYPERLINK("https://github.com/Anuken/Mindustry/issues/2672", "show")</f>
        <v>show</v>
      </c>
      <c r="G6427" t="str">
        <f>HYPERLINK("https://github.com/Anuken/Mindustry", "show")</f>
        <v>show</v>
      </c>
      <c r="H6427" t="str">
        <f>HYPERLINK("https://github.com/Anuken/Mindustry/releases", "show")</f>
        <v>show</v>
      </c>
      <c r="I6427">
        <v>0</v>
      </c>
      <c r="J6427">
        <v>1</v>
      </c>
      <c r="K6427">
        <v>0</v>
      </c>
      <c r="L6427">
        <v>1</v>
      </c>
      <c r="M6427" t="s">
        <v>1732</v>
      </c>
    </row>
    <row r="6428" spans="1:13" hidden="1" x14ac:dyDescent="0.15">
      <c r="A6428" t="s">
        <v>20123</v>
      </c>
      <c r="B6428" t="s">
        <v>20124</v>
      </c>
      <c r="C6428" t="s">
        <v>20125</v>
      </c>
      <c r="D6428" t="s">
        <v>20080</v>
      </c>
      <c r="E6428">
        <v>0</v>
      </c>
      <c r="F6428" t="str">
        <f>HYPERLINK("https://github.com/Anuken/Mindustry/issues/2667", "show")</f>
        <v>show</v>
      </c>
      <c r="G6428" t="str">
        <f>HYPERLINK("https://github.com/Anuken/Mindustry", "show")</f>
        <v>show</v>
      </c>
      <c r="H6428" t="str">
        <f>HYPERLINK("https://github.com/Anuken/Mindustry/releases", "show")</f>
        <v>show</v>
      </c>
      <c r="I6428">
        <v>0</v>
      </c>
      <c r="J6428">
        <v>0</v>
      </c>
      <c r="K6428">
        <v>0</v>
      </c>
      <c r="L6428">
        <v>1</v>
      </c>
      <c r="M6428" t="s">
        <v>581</v>
      </c>
    </row>
    <row r="6429" spans="1:13" hidden="1" x14ac:dyDescent="0.15">
      <c r="A6429" t="s">
        <v>20126</v>
      </c>
      <c r="B6429" t="s">
        <v>20127</v>
      </c>
      <c r="C6429" t="s">
        <v>20128</v>
      </c>
      <c r="D6429" t="s">
        <v>20129</v>
      </c>
      <c r="E6429">
        <v>60</v>
      </c>
      <c r="F6429" t="str">
        <f>HYPERLINK("https://github.com/nextcloud/android/issues/6993", "show")</f>
        <v>show</v>
      </c>
      <c r="G6429" t="str">
        <f>HYPERLINK("https://github.com/nextcloud/android", "show")</f>
        <v>show</v>
      </c>
      <c r="H6429" t="str">
        <f>HYPERLINK("https://github.com/nextcloud/android/releases", "show")</f>
        <v>show</v>
      </c>
      <c r="I6429">
        <v>1</v>
      </c>
      <c r="J6429">
        <v>1</v>
      </c>
      <c r="K6429">
        <v>1</v>
      </c>
      <c r="L6429">
        <v>0</v>
      </c>
      <c r="M6429" t="s">
        <v>59</v>
      </c>
    </row>
    <row r="6430" spans="1:13" hidden="1" x14ac:dyDescent="0.15">
      <c r="A6430" t="s">
        <v>20130</v>
      </c>
      <c r="B6430" t="s">
        <v>20131</v>
      </c>
      <c r="C6430" t="s">
        <v>20132</v>
      </c>
      <c r="D6430" t="s">
        <v>20129</v>
      </c>
      <c r="E6430">
        <v>0</v>
      </c>
      <c r="F6430" t="str">
        <f>HYPERLINK("https://github.com/Anuken/Mindustry/issues/2663", "show")</f>
        <v>show</v>
      </c>
      <c r="G6430" t="str">
        <f t="shared" ref="G6430:G6436" si="26">HYPERLINK("https://github.com/Anuken/Mindustry", "show")</f>
        <v>show</v>
      </c>
      <c r="H6430" t="str">
        <f t="shared" ref="H6430:H6436" si="27">HYPERLINK("https://github.com/Anuken/Mindustry/releases", "show")</f>
        <v>show</v>
      </c>
      <c r="I6430">
        <v>0</v>
      </c>
      <c r="J6430">
        <v>0</v>
      </c>
      <c r="K6430">
        <v>0</v>
      </c>
      <c r="L6430">
        <v>0</v>
      </c>
      <c r="M6430" t="s">
        <v>43</v>
      </c>
    </row>
    <row r="6431" spans="1:13" hidden="1" x14ac:dyDescent="0.15">
      <c r="A6431" t="s">
        <v>20133</v>
      </c>
      <c r="B6431" t="s">
        <v>20134</v>
      </c>
      <c r="C6431" t="s">
        <v>20135</v>
      </c>
      <c r="D6431" t="s">
        <v>20129</v>
      </c>
      <c r="E6431">
        <v>0</v>
      </c>
      <c r="F6431" t="str">
        <f>HYPERLINK("https://github.com/Anuken/Mindustry/issues/2662", "show")</f>
        <v>show</v>
      </c>
      <c r="G6431" t="str">
        <f t="shared" si="26"/>
        <v>show</v>
      </c>
      <c r="H6431" t="str">
        <f t="shared" si="27"/>
        <v>show</v>
      </c>
      <c r="I6431">
        <v>0</v>
      </c>
      <c r="J6431">
        <v>0</v>
      </c>
      <c r="K6431">
        <v>0</v>
      </c>
      <c r="L6431">
        <v>1</v>
      </c>
      <c r="M6431" t="s">
        <v>581</v>
      </c>
    </row>
    <row r="6432" spans="1:13" hidden="1" x14ac:dyDescent="0.15">
      <c r="A6432" t="s">
        <v>20136</v>
      </c>
      <c r="B6432" t="s">
        <v>20137</v>
      </c>
      <c r="C6432" t="s">
        <v>20138</v>
      </c>
      <c r="D6432" t="s">
        <v>20129</v>
      </c>
      <c r="E6432">
        <v>0</v>
      </c>
      <c r="F6432" t="str">
        <f>HYPERLINK("https://github.com/Anuken/Mindustry/issues/2661", "show")</f>
        <v>show</v>
      </c>
      <c r="G6432" t="str">
        <f t="shared" si="26"/>
        <v>show</v>
      </c>
      <c r="H6432" t="str">
        <f t="shared" si="27"/>
        <v>show</v>
      </c>
      <c r="I6432">
        <v>0</v>
      </c>
      <c r="J6432">
        <v>0</v>
      </c>
      <c r="K6432">
        <v>0</v>
      </c>
      <c r="L6432">
        <v>0</v>
      </c>
      <c r="M6432" t="s">
        <v>43</v>
      </c>
    </row>
    <row r="6433" spans="1:13" hidden="1" x14ac:dyDescent="0.15">
      <c r="A6433" t="s">
        <v>20139</v>
      </c>
      <c r="B6433" t="s">
        <v>20140</v>
      </c>
      <c r="C6433" t="s">
        <v>20141</v>
      </c>
      <c r="D6433" t="s">
        <v>20129</v>
      </c>
      <c r="E6433">
        <v>0</v>
      </c>
      <c r="F6433" t="str">
        <f>HYPERLINK("https://github.com/Anuken/Mindustry/issues/2659", "show")</f>
        <v>show</v>
      </c>
      <c r="G6433" t="str">
        <f t="shared" si="26"/>
        <v>show</v>
      </c>
      <c r="H6433" t="str">
        <f t="shared" si="27"/>
        <v>show</v>
      </c>
      <c r="I6433">
        <v>0</v>
      </c>
      <c r="J6433">
        <v>0</v>
      </c>
      <c r="K6433">
        <v>0</v>
      </c>
      <c r="L6433">
        <v>0</v>
      </c>
      <c r="M6433" t="s">
        <v>43</v>
      </c>
    </row>
    <row r="6434" spans="1:13" x14ac:dyDescent="0.15">
      <c r="A6434" t="s">
        <v>20142</v>
      </c>
      <c r="B6434" t="s">
        <v>20143</v>
      </c>
      <c r="C6434" t="s">
        <v>20144</v>
      </c>
      <c r="D6434" t="s">
        <v>20129</v>
      </c>
      <c r="E6434">
        <v>0</v>
      </c>
      <c r="F6434" t="str">
        <f>HYPERLINK("https://github.com/Anuken/Mindustry/issues/2657", "show")</f>
        <v>show</v>
      </c>
      <c r="G6434" t="str">
        <f t="shared" si="26"/>
        <v>show</v>
      </c>
      <c r="H6434" t="str">
        <f t="shared" si="27"/>
        <v>show</v>
      </c>
      <c r="I6434">
        <v>0</v>
      </c>
      <c r="J6434">
        <v>1</v>
      </c>
      <c r="K6434">
        <v>0</v>
      </c>
      <c r="L6434">
        <v>0</v>
      </c>
      <c r="M6434" t="s">
        <v>139</v>
      </c>
    </row>
    <row r="6435" spans="1:13" hidden="1" x14ac:dyDescent="0.15">
      <c r="A6435" t="s">
        <v>20145</v>
      </c>
      <c r="B6435" t="s">
        <v>20146</v>
      </c>
      <c r="C6435" t="s">
        <v>20147</v>
      </c>
      <c r="D6435" t="s">
        <v>20129</v>
      </c>
      <c r="E6435">
        <v>0</v>
      </c>
      <c r="F6435" t="str">
        <f>HYPERLINK("https://github.com/Anuken/Mindustry/issues/2656", "show")</f>
        <v>show</v>
      </c>
      <c r="G6435" t="str">
        <f t="shared" si="26"/>
        <v>show</v>
      </c>
      <c r="H6435" t="str">
        <f t="shared" si="27"/>
        <v>show</v>
      </c>
      <c r="I6435">
        <v>0</v>
      </c>
      <c r="J6435">
        <v>0</v>
      </c>
      <c r="K6435">
        <v>0</v>
      </c>
      <c r="L6435">
        <v>0</v>
      </c>
      <c r="M6435" t="s">
        <v>43</v>
      </c>
    </row>
    <row r="6436" spans="1:13" hidden="1" x14ac:dyDescent="0.15">
      <c r="A6436" t="s">
        <v>20148</v>
      </c>
      <c r="B6436" t="s">
        <v>20149</v>
      </c>
      <c r="C6436" t="s">
        <v>20150</v>
      </c>
      <c r="D6436" t="s">
        <v>20129</v>
      </c>
      <c r="E6436">
        <v>0</v>
      </c>
      <c r="F6436" t="str">
        <f>HYPERLINK("https://github.com/Anuken/Mindustry/issues/2654", "show")</f>
        <v>show</v>
      </c>
      <c r="G6436" t="str">
        <f t="shared" si="26"/>
        <v>show</v>
      </c>
      <c r="H6436" t="str">
        <f t="shared" si="27"/>
        <v>show</v>
      </c>
      <c r="I6436">
        <v>0</v>
      </c>
      <c r="J6436">
        <v>0</v>
      </c>
      <c r="K6436">
        <v>0</v>
      </c>
      <c r="L6436">
        <v>1</v>
      </c>
      <c r="M6436" t="s">
        <v>581</v>
      </c>
    </row>
    <row r="6437" spans="1:13" x14ac:dyDescent="0.15">
      <c r="A6437" t="s">
        <v>20151</v>
      </c>
      <c r="B6437" t="s">
        <v>20152</v>
      </c>
      <c r="C6437" t="s">
        <v>20153</v>
      </c>
      <c r="D6437" t="s">
        <v>20129</v>
      </c>
      <c r="E6437">
        <v>60</v>
      </c>
      <c r="F6437" t="str">
        <f>HYPERLINK("https://github.com/nextcloud/android/issues/6988", "show")</f>
        <v>show</v>
      </c>
      <c r="G6437" t="str">
        <f>HYPERLINK("https://github.com/nextcloud/android", "show")</f>
        <v>show</v>
      </c>
      <c r="H6437" t="str">
        <f>HYPERLINK("https://github.com/nextcloud/android/releases", "show")</f>
        <v>show</v>
      </c>
      <c r="I6437">
        <v>0</v>
      </c>
      <c r="J6437">
        <v>1</v>
      </c>
      <c r="K6437">
        <v>0</v>
      </c>
      <c r="L6437">
        <v>0</v>
      </c>
      <c r="M6437" t="s">
        <v>139</v>
      </c>
    </row>
    <row r="6438" spans="1:13" hidden="1" x14ac:dyDescent="0.15">
      <c r="A6438" t="s">
        <v>20154</v>
      </c>
      <c r="B6438" t="s">
        <v>20155</v>
      </c>
      <c r="C6438" t="s">
        <v>20156</v>
      </c>
      <c r="D6438" t="s">
        <v>20129</v>
      </c>
      <c r="E6438">
        <v>0</v>
      </c>
      <c r="F6438" t="str">
        <f>HYPERLINK("https://github.com/Anuken/Mindustry/issues/2651", "show")</f>
        <v>show</v>
      </c>
      <c r="G6438" t="str">
        <f>HYPERLINK("https://github.com/Anuken/Mindustry", "show")</f>
        <v>show</v>
      </c>
      <c r="H6438" t="str">
        <f>HYPERLINK("https://github.com/Anuken/Mindustry/releases", "show")</f>
        <v>show</v>
      </c>
      <c r="I6438">
        <v>1</v>
      </c>
      <c r="J6438">
        <v>0</v>
      </c>
      <c r="K6438">
        <v>1</v>
      </c>
      <c r="L6438">
        <v>0</v>
      </c>
      <c r="M6438" t="s">
        <v>64</v>
      </c>
    </row>
    <row r="6439" spans="1:13" hidden="1" x14ac:dyDescent="0.15">
      <c r="A6439" t="s">
        <v>20157</v>
      </c>
      <c r="B6439" t="s">
        <v>3180</v>
      </c>
      <c r="C6439" t="s">
        <v>20158</v>
      </c>
      <c r="D6439" t="s">
        <v>20129</v>
      </c>
      <c r="E6439">
        <v>0</v>
      </c>
      <c r="F6439" t="str">
        <f>HYPERLINK("https://github.com/TeamNewPipe/NewPipe/issues/4307", "show")</f>
        <v>show</v>
      </c>
      <c r="G6439" t="str">
        <f>HYPERLINK("https://github.com/TeamNewPipe/NewPipe", "show")</f>
        <v>show</v>
      </c>
      <c r="H6439" t="str">
        <f>HYPERLINK("https://github.com/TeamNewPipe/NewPipe/releases", "show")</f>
        <v>show</v>
      </c>
      <c r="I6439">
        <v>1</v>
      </c>
      <c r="J6439">
        <v>1</v>
      </c>
      <c r="K6439">
        <v>1</v>
      </c>
      <c r="L6439">
        <v>0</v>
      </c>
      <c r="M6439" t="s">
        <v>59</v>
      </c>
    </row>
    <row r="6440" spans="1:13" hidden="1" x14ac:dyDescent="0.15">
      <c r="A6440" t="s">
        <v>20159</v>
      </c>
      <c r="B6440" t="s">
        <v>2929</v>
      </c>
      <c r="C6440" t="s">
        <v>20160</v>
      </c>
      <c r="D6440" t="s">
        <v>20129</v>
      </c>
      <c r="E6440">
        <v>0</v>
      </c>
      <c r="F6440" t="str">
        <f>HYPERLINK("https://github.com/nextcloud/android/issues/6986", "show")</f>
        <v>show</v>
      </c>
      <c r="G6440" t="str">
        <f>HYPERLINK("https://github.com/nextcloud/android", "show")</f>
        <v>show</v>
      </c>
      <c r="H6440" t="str">
        <f>HYPERLINK("https://github.com/nextcloud/android/releases", "show")</f>
        <v>show</v>
      </c>
      <c r="I6440">
        <v>0</v>
      </c>
      <c r="J6440">
        <v>1</v>
      </c>
      <c r="K6440">
        <v>1</v>
      </c>
      <c r="L6440">
        <v>0</v>
      </c>
      <c r="M6440" t="s">
        <v>699</v>
      </c>
    </row>
    <row r="6441" spans="1:13" hidden="1" x14ac:dyDescent="0.15">
      <c r="A6441" t="s">
        <v>20161</v>
      </c>
      <c r="B6441" t="s">
        <v>20162</v>
      </c>
      <c r="C6441" t="s">
        <v>20163</v>
      </c>
      <c r="D6441" t="s">
        <v>20164</v>
      </c>
      <c r="E6441">
        <v>273</v>
      </c>
      <c r="F6441" t="str">
        <f>HYPERLINK("https://github.com/aws-amplify/amplify-android/issues/851", "show")</f>
        <v>show</v>
      </c>
      <c r="G6441" t="str">
        <f>HYPERLINK("https://github.com/aws-amplify/amplify-android", "show")</f>
        <v>show</v>
      </c>
      <c r="H6441" t="str">
        <f>HYPERLINK("https://github.com/aws-amplify/amplify-android/releases", "show")</f>
        <v>show</v>
      </c>
      <c r="I6441">
        <v>1</v>
      </c>
      <c r="J6441">
        <v>0</v>
      </c>
      <c r="K6441">
        <v>1</v>
      </c>
      <c r="L6441">
        <v>0</v>
      </c>
      <c r="M6441" t="s">
        <v>64</v>
      </c>
    </row>
    <row r="6442" spans="1:13" hidden="1" x14ac:dyDescent="0.15">
      <c r="A6442" t="s">
        <v>20165</v>
      </c>
      <c r="B6442" t="s">
        <v>20166</v>
      </c>
      <c r="C6442" t="s">
        <v>20167</v>
      </c>
      <c r="D6442" t="s">
        <v>20164</v>
      </c>
      <c r="E6442">
        <v>43</v>
      </c>
      <c r="F6442" t="str">
        <f>HYPERLINK("https://github.com/inaturalist/iNaturalistAndroid/issues/910", "show")</f>
        <v>show</v>
      </c>
      <c r="G6442" t="str">
        <f>HYPERLINK("https://github.com/inaturalist/iNaturalistAndroid", "show")</f>
        <v>show</v>
      </c>
      <c r="H6442" t="str">
        <f>HYPERLINK("https://github.com/inaturalist/iNaturalistAndroid/releases", "show")</f>
        <v>show</v>
      </c>
      <c r="I6442">
        <v>1</v>
      </c>
      <c r="J6442">
        <v>0</v>
      </c>
      <c r="K6442">
        <v>1</v>
      </c>
      <c r="L6442">
        <v>0</v>
      </c>
      <c r="M6442" t="s">
        <v>64</v>
      </c>
    </row>
    <row r="6443" spans="1:13" x14ac:dyDescent="0.15">
      <c r="A6443" t="s">
        <v>20168</v>
      </c>
      <c r="B6443" t="s">
        <v>20169</v>
      </c>
      <c r="C6443" t="s">
        <v>20170</v>
      </c>
      <c r="D6443" t="s">
        <v>20164</v>
      </c>
      <c r="E6443">
        <v>0</v>
      </c>
      <c r="F6443" t="str">
        <f>HYPERLINK("https://github.com/Anuken/Mindustry/issues/2644", "show")</f>
        <v>show</v>
      </c>
      <c r="G6443" t="str">
        <f>HYPERLINK("https://github.com/Anuken/Mindustry", "show")</f>
        <v>show</v>
      </c>
      <c r="H6443" t="str">
        <f>HYPERLINK("https://github.com/Anuken/Mindustry/releases", "show")</f>
        <v>show</v>
      </c>
      <c r="I6443">
        <v>0</v>
      </c>
      <c r="J6443">
        <v>1</v>
      </c>
      <c r="K6443">
        <v>0</v>
      </c>
      <c r="L6443">
        <v>0</v>
      </c>
      <c r="M6443" t="s">
        <v>139</v>
      </c>
    </row>
    <row r="6444" spans="1:13" hidden="1" x14ac:dyDescent="0.15">
      <c r="A6444" t="s">
        <v>20171</v>
      </c>
      <c r="B6444" t="s">
        <v>20172</v>
      </c>
      <c r="C6444" t="s">
        <v>20173</v>
      </c>
      <c r="D6444" t="s">
        <v>20164</v>
      </c>
      <c r="E6444">
        <v>178</v>
      </c>
      <c r="F6444" t="str">
        <f>HYPERLINK("https://github.com/android/tv-samples/issues/37", "show")</f>
        <v>show</v>
      </c>
      <c r="G6444" t="str">
        <f>HYPERLINK("https://github.com/android/tv-samples", "show")</f>
        <v>show</v>
      </c>
      <c r="H6444" t="str">
        <f>HYPERLINK("https://github.com/android/tv-samples/releases", "show")</f>
        <v>show</v>
      </c>
      <c r="I6444">
        <v>1</v>
      </c>
      <c r="J6444">
        <v>0</v>
      </c>
      <c r="K6444">
        <v>1</v>
      </c>
      <c r="L6444">
        <v>0</v>
      </c>
      <c r="M6444" t="s">
        <v>64</v>
      </c>
    </row>
    <row r="6445" spans="1:13" hidden="1" x14ac:dyDescent="0.15">
      <c r="A6445" t="s">
        <v>20174</v>
      </c>
      <c r="B6445" t="s">
        <v>20175</v>
      </c>
      <c r="C6445" t="s">
        <v>20176</v>
      </c>
      <c r="D6445" t="s">
        <v>20164</v>
      </c>
      <c r="E6445">
        <v>1</v>
      </c>
      <c r="F6445" t="str">
        <f>HYPERLINK("https://github.com/onaio/rdt-standard/issues/524", "show")</f>
        <v>show</v>
      </c>
      <c r="G6445" t="str">
        <f>HYPERLINK("https://github.com/onaio/rdt-standard", "show")</f>
        <v>show</v>
      </c>
      <c r="H6445" t="str">
        <f>HYPERLINK("https://github.com/onaio/rdt-standard/releases", "show")</f>
        <v>show</v>
      </c>
      <c r="I6445">
        <v>1</v>
      </c>
      <c r="J6445">
        <v>0</v>
      </c>
      <c r="K6445">
        <v>1</v>
      </c>
      <c r="L6445">
        <v>0</v>
      </c>
      <c r="M6445" t="s">
        <v>64</v>
      </c>
    </row>
    <row r="6446" spans="1:13" hidden="1" x14ac:dyDescent="0.15">
      <c r="A6446" t="s">
        <v>20177</v>
      </c>
      <c r="B6446" t="s">
        <v>20178</v>
      </c>
      <c r="C6446" t="s">
        <v>20179</v>
      </c>
      <c r="D6446" t="s">
        <v>20164</v>
      </c>
      <c r="E6446">
        <v>2</v>
      </c>
      <c r="F6446" t="str">
        <f>HYPERLINK("https://github.com/akvo/akvo-flow-mobile/issues/1717", "show")</f>
        <v>show</v>
      </c>
      <c r="G6446" t="str">
        <f>HYPERLINK("https://github.com/akvo/akvo-flow-mobile", "show")</f>
        <v>show</v>
      </c>
      <c r="H6446" t="str">
        <f>HYPERLINK("https://github.com/akvo/akvo-flow-mobile/releases", "show")</f>
        <v>show</v>
      </c>
      <c r="I6446">
        <v>1</v>
      </c>
      <c r="J6446">
        <v>0</v>
      </c>
      <c r="K6446">
        <v>0</v>
      </c>
      <c r="L6446">
        <v>0</v>
      </c>
      <c r="M6446" t="s">
        <v>17</v>
      </c>
    </row>
    <row r="6447" spans="1:13" hidden="1" x14ac:dyDescent="0.15">
      <c r="A6447" t="s">
        <v>20180</v>
      </c>
      <c r="B6447" t="s">
        <v>20181</v>
      </c>
      <c r="C6447" t="s">
        <v>20182</v>
      </c>
      <c r="D6447" t="s">
        <v>20183</v>
      </c>
      <c r="E6447">
        <v>34</v>
      </c>
      <c r="F6447" t="str">
        <f>HYPERLINK("https://github.com/nextcloud/android/issues/6977", "show")</f>
        <v>show</v>
      </c>
      <c r="G6447" t="str">
        <f>HYPERLINK("https://github.com/nextcloud/android", "show")</f>
        <v>show</v>
      </c>
      <c r="H6447" t="str">
        <f>HYPERLINK("https://github.com/nextcloud/android/releases", "show")</f>
        <v>show</v>
      </c>
      <c r="I6447">
        <v>1</v>
      </c>
      <c r="J6447">
        <v>1</v>
      </c>
      <c r="K6447">
        <v>1</v>
      </c>
      <c r="L6447">
        <v>0</v>
      </c>
      <c r="M6447" t="s">
        <v>59</v>
      </c>
    </row>
    <row r="6448" spans="1:13" hidden="1" x14ac:dyDescent="0.15">
      <c r="A6448" t="s">
        <v>20184</v>
      </c>
      <c r="B6448" t="s">
        <v>20185</v>
      </c>
      <c r="C6448" t="s">
        <v>20186</v>
      </c>
      <c r="D6448" t="s">
        <v>20183</v>
      </c>
      <c r="E6448">
        <v>1</v>
      </c>
      <c r="F6448" t="str">
        <f>HYPERLINK("https://github.com/nextcloud/android/issues/6975", "show")</f>
        <v>show</v>
      </c>
      <c r="G6448" t="str">
        <f>HYPERLINK("https://github.com/nextcloud/android", "show")</f>
        <v>show</v>
      </c>
      <c r="H6448" t="str">
        <f>HYPERLINK("https://github.com/nextcloud/android/releases", "show")</f>
        <v>show</v>
      </c>
      <c r="I6448">
        <v>1</v>
      </c>
      <c r="J6448">
        <v>0</v>
      </c>
      <c r="K6448">
        <v>1</v>
      </c>
      <c r="L6448">
        <v>0</v>
      </c>
      <c r="M6448" t="s">
        <v>64</v>
      </c>
    </row>
    <row r="6449" spans="1:13" hidden="1" x14ac:dyDescent="0.15">
      <c r="A6449" t="s">
        <v>20187</v>
      </c>
      <c r="B6449" t="s">
        <v>20188</v>
      </c>
      <c r="C6449" t="s">
        <v>20189</v>
      </c>
      <c r="D6449" t="s">
        <v>20183</v>
      </c>
      <c r="E6449">
        <v>10</v>
      </c>
      <c r="F6449" t="str">
        <f>HYPERLINK("https://github.com/swapnil1104/PassCodeText/issues/17", "show")</f>
        <v>show</v>
      </c>
      <c r="G6449" t="str">
        <f>HYPERLINK("https://github.com/swapnil1104/PassCodeText", "show")</f>
        <v>show</v>
      </c>
      <c r="H6449" t="str">
        <f>HYPERLINK("https://github.com/swapnil1104/PassCodeText/releases", "show")</f>
        <v>show</v>
      </c>
      <c r="I6449">
        <v>1</v>
      </c>
      <c r="J6449">
        <v>0</v>
      </c>
      <c r="K6449">
        <v>0</v>
      </c>
      <c r="L6449">
        <v>0</v>
      </c>
      <c r="M6449" t="s">
        <v>17</v>
      </c>
    </row>
    <row r="6450" spans="1:13" hidden="1" x14ac:dyDescent="0.15">
      <c r="A6450" t="s">
        <v>20190</v>
      </c>
      <c r="B6450" t="s">
        <v>20191</v>
      </c>
      <c r="C6450" t="s">
        <v>20192</v>
      </c>
      <c r="D6450" t="s">
        <v>20183</v>
      </c>
      <c r="E6450">
        <v>324</v>
      </c>
      <c r="F6450" t="str">
        <f>HYPERLINK("https://github.com/doublesymmetry/react-native-track-player/issues/1033", "show")</f>
        <v>show</v>
      </c>
      <c r="G6450" t="str">
        <f>HYPERLINK("https://github.com/doublesymmetry/react-native-track-player", "show")</f>
        <v>show</v>
      </c>
      <c r="H6450" t="str">
        <f>HYPERLINK("https://github.com/doublesymmetry/react-native-track-player/releases", "show")</f>
        <v>show</v>
      </c>
      <c r="I6450">
        <v>1</v>
      </c>
      <c r="J6450">
        <v>0</v>
      </c>
      <c r="K6450">
        <v>1</v>
      </c>
      <c r="L6450">
        <v>0</v>
      </c>
      <c r="M6450" t="s">
        <v>64</v>
      </c>
    </row>
    <row r="6451" spans="1:13" hidden="1" x14ac:dyDescent="0.15">
      <c r="A6451" t="s">
        <v>20193</v>
      </c>
      <c r="B6451" t="s">
        <v>20194</v>
      </c>
      <c r="C6451" t="s">
        <v>20195</v>
      </c>
      <c r="D6451" t="s">
        <v>20183</v>
      </c>
      <c r="E6451">
        <v>0</v>
      </c>
      <c r="F6451" t="str">
        <f>HYPERLINK("https://github.com/Anuken/Mindustry/issues/2625", "show")</f>
        <v>show</v>
      </c>
      <c r="G6451" t="str">
        <f>HYPERLINK("https://github.com/Anuken/Mindustry", "show")</f>
        <v>show</v>
      </c>
      <c r="H6451" t="str">
        <f>HYPERLINK("https://github.com/Anuken/Mindustry/releases", "show")</f>
        <v>show</v>
      </c>
      <c r="I6451">
        <v>0</v>
      </c>
      <c r="J6451">
        <v>0</v>
      </c>
      <c r="K6451">
        <v>0</v>
      </c>
      <c r="L6451">
        <v>1</v>
      </c>
      <c r="M6451" t="s">
        <v>581</v>
      </c>
    </row>
    <row r="6452" spans="1:13" hidden="1" x14ac:dyDescent="0.15">
      <c r="A6452" t="s">
        <v>20196</v>
      </c>
      <c r="B6452" t="s">
        <v>20197</v>
      </c>
      <c r="C6452" t="s">
        <v>20198</v>
      </c>
      <c r="D6452" t="s">
        <v>20183</v>
      </c>
      <c r="E6452">
        <v>105</v>
      </c>
      <c r="F6452" t="str">
        <f>HYPERLINK("https://github.com/ankidroid/Anki-Android/issues/7168", "show")</f>
        <v>show</v>
      </c>
      <c r="G6452" t="str">
        <f>HYPERLINK("https://github.com/ankidroid/Anki-Android", "show")</f>
        <v>show</v>
      </c>
      <c r="H6452" t="str">
        <f>HYPERLINK("https://github.com/ankidroid/Anki-Android/releases", "show")</f>
        <v>show</v>
      </c>
      <c r="I6452">
        <v>1</v>
      </c>
      <c r="J6452">
        <v>0</v>
      </c>
      <c r="K6452">
        <v>1</v>
      </c>
      <c r="L6452">
        <v>0</v>
      </c>
      <c r="M6452" t="s">
        <v>64</v>
      </c>
    </row>
    <row r="6453" spans="1:13" hidden="1" x14ac:dyDescent="0.15">
      <c r="A6453" t="s">
        <v>20199</v>
      </c>
      <c r="B6453" t="s">
        <v>20200</v>
      </c>
      <c r="C6453" t="s">
        <v>20201</v>
      </c>
      <c r="D6453" t="s">
        <v>20202</v>
      </c>
      <c r="E6453">
        <v>2</v>
      </c>
      <c r="F6453" t="str">
        <f>HYPERLINK("https://github.com/nextcloud/android/issues/6972", "show")</f>
        <v>show</v>
      </c>
      <c r="G6453" t="str">
        <f>HYPERLINK("https://github.com/nextcloud/android", "show")</f>
        <v>show</v>
      </c>
      <c r="H6453" t="str">
        <f>HYPERLINK("https://github.com/nextcloud/android/releases", "show")</f>
        <v>show</v>
      </c>
      <c r="I6453">
        <v>1</v>
      </c>
      <c r="J6453">
        <v>1</v>
      </c>
      <c r="K6453">
        <v>1</v>
      </c>
      <c r="L6453">
        <v>0</v>
      </c>
      <c r="M6453" t="s">
        <v>59</v>
      </c>
    </row>
    <row r="6454" spans="1:13" x14ac:dyDescent="0.15">
      <c r="A6454" t="s">
        <v>20203</v>
      </c>
      <c r="B6454" t="s">
        <v>20204</v>
      </c>
      <c r="C6454" t="s">
        <v>20205</v>
      </c>
      <c r="D6454" t="s">
        <v>20202</v>
      </c>
      <c r="E6454">
        <v>28</v>
      </c>
      <c r="F6454" t="str">
        <f>HYPERLINK("https://github.com/Anuken/Mindustry/issues/2620", "show")</f>
        <v>show</v>
      </c>
      <c r="G6454" t="str">
        <f>HYPERLINK("https://github.com/Anuken/Mindustry", "show")</f>
        <v>show</v>
      </c>
      <c r="H6454" t="str">
        <f>HYPERLINK("https://github.com/Anuken/Mindustry/releases", "show")</f>
        <v>show</v>
      </c>
      <c r="I6454">
        <v>0</v>
      </c>
      <c r="J6454">
        <v>1</v>
      </c>
      <c r="K6454">
        <v>0</v>
      </c>
      <c r="L6454">
        <v>0</v>
      </c>
      <c r="M6454" t="s">
        <v>139</v>
      </c>
    </row>
    <row r="6455" spans="1:13" hidden="1" x14ac:dyDescent="0.15">
      <c r="A6455" t="s">
        <v>20206</v>
      </c>
      <c r="B6455" t="s">
        <v>20207</v>
      </c>
      <c r="C6455" t="s">
        <v>20208</v>
      </c>
      <c r="D6455" t="s">
        <v>20202</v>
      </c>
      <c r="E6455">
        <v>0</v>
      </c>
      <c r="F6455" t="str">
        <f>HYPERLINK("https://github.com/TeamNewPipe/NewPipe/issues/4295", "show")</f>
        <v>show</v>
      </c>
      <c r="G6455" t="str">
        <f>HYPERLINK("https://github.com/TeamNewPipe/NewPipe", "show")</f>
        <v>show</v>
      </c>
      <c r="H6455" t="str">
        <f>HYPERLINK("https://github.com/TeamNewPipe/NewPipe/releases", "show")</f>
        <v>show</v>
      </c>
      <c r="I6455">
        <v>1</v>
      </c>
      <c r="J6455">
        <v>1</v>
      </c>
      <c r="K6455">
        <v>1</v>
      </c>
      <c r="L6455">
        <v>0</v>
      </c>
      <c r="M6455" t="s">
        <v>59</v>
      </c>
    </row>
    <row r="6456" spans="1:13" hidden="1" x14ac:dyDescent="0.15">
      <c r="A6456" t="s">
        <v>20209</v>
      </c>
      <c r="B6456" t="s">
        <v>20210</v>
      </c>
      <c r="C6456" t="s">
        <v>20211</v>
      </c>
      <c r="D6456" t="s">
        <v>20202</v>
      </c>
      <c r="E6456">
        <v>0</v>
      </c>
      <c r="F6456" t="str">
        <f>HYPERLINK("https://github.com/Anuken/Mindustry/issues/2619", "show")</f>
        <v>show</v>
      </c>
      <c r="G6456" t="str">
        <f>HYPERLINK("https://github.com/Anuken/Mindustry", "show")</f>
        <v>show</v>
      </c>
      <c r="H6456" t="str">
        <f>HYPERLINK("https://github.com/Anuken/Mindustry/releases", "show")</f>
        <v>show</v>
      </c>
      <c r="I6456">
        <v>0</v>
      </c>
      <c r="J6456">
        <v>0</v>
      </c>
      <c r="K6456">
        <v>0</v>
      </c>
      <c r="L6456">
        <v>1</v>
      </c>
      <c r="M6456" t="s">
        <v>581</v>
      </c>
    </row>
    <row r="6457" spans="1:13" hidden="1" x14ac:dyDescent="0.15">
      <c r="A6457" t="s">
        <v>20212</v>
      </c>
      <c r="B6457" t="s">
        <v>20213</v>
      </c>
      <c r="C6457" t="s">
        <v>20214</v>
      </c>
      <c r="D6457" t="s">
        <v>20202</v>
      </c>
      <c r="E6457">
        <v>0</v>
      </c>
      <c r="F6457" t="str">
        <f>HYPERLINK("https://github.com/Anuken/Mindustry/issues/2613", "show")</f>
        <v>show</v>
      </c>
      <c r="G6457" t="str">
        <f>HYPERLINK("https://github.com/Anuken/Mindustry", "show")</f>
        <v>show</v>
      </c>
      <c r="H6457" t="str">
        <f>HYPERLINK("https://github.com/Anuken/Mindustry/releases", "show")</f>
        <v>show</v>
      </c>
      <c r="I6457">
        <v>1</v>
      </c>
      <c r="J6457">
        <v>0</v>
      </c>
      <c r="K6457">
        <v>0</v>
      </c>
      <c r="L6457">
        <v>0</v>
      </c>
      <c r="M6457" t="s">
        <v>17</v>
      </c>
    </row>
    <row r="6458" spans="1:13" hidden="1" x14ac:dyDescent="0.15">
      <c r="A6458" t="s">
        <v>20215</v>
      </c>
      <c r="B6458" t="s">
        <v>20216</v>
      </c>
      <c r="C6458" t="s">
        <v>20217</v>
      </c>
      <c r="D6458" t="s">
        <v>20202</v>
      </c>
      <c r="E6458">
        <v>0</v>
      </c>
      <c r="F6458" t="str">
        <f>HYPERLINK("https://github.com/Anuken/Mindustry/issues/2606", "show")</f>
        <v>show</v>
      </c>
      <c r="G6458" t="str">
        <f>HYPERLINK("https://github.com/Anuken/Mindustry", "show")</f>
        <v>show</v>
      </c>
      <c r="H6458" t="str">
        <f>HYPERLINK("https://github.com/Anuken/Mindustry/releases", "show")</f>
        <v>show</v>
      </c>
      <c r="I6458">
        <v>0</v>
      </c>
      <c r="J6458">
        <v>1</v>
      </c>
      <c r="K6458">
        <v>0</v>
      </c>
      <c r="L6458">
        <v>1</v>
      </c>
      <c r="M6458" t="s">
        <v>1732</v>
      </c>
    </row>
    <row r="6459" spans="1:13" hidden="1" x14ac:dyDescent="0.15">
      <c r="A6459" t="s">
        <v>20218</v>
      </c>
      <c r="B6459" t="s">
        <v>20219</v>
      </c>
      <c r="C6459" t="s">
        <v>20220</v>
      </c>
      <c r="D6459" t="s">
        <v>20202</v>
      </c>
      <c r="E6459">
        <v>0</v>
      </c>
      <c r="F6459" t="str">
        <f>HYPERLINK("https://github.com/Anuken/Mindustry/issues/2604", "show")</f>
        <v>show</v>
      </c>
      <c r="G6459" t="str">
        <f>HYPERLINK("https://github.com/Anuken/Mindustry", "show")</f>
        <v>show</v>
      </c>
      <c r="H6459" t="str">
        <f>HYPERLINK("https://github.com/Anuken/Mindustry/releases", "show")</f>
        <v>show</v>
      </c>
      <c r="I6459">
        <v>0</v>
      </c>
      <c r="J6459">
        <v>0</v>
      </c>
      <c r="K6459">
        <v>0</v>
      </c>
      <c r="L6459">
        <v>0</v>
      </c>
      <c r="M6459" t="s">
        <v>43</v>
      </c>
    </row>
    <row r="6460" spans="1:13" hidden="1" x14ac:dyDescent="0.15">
      <c r="A6460" t="s">
        <v>20221</v>
      </c>
      <c r="B6460" t="s">
        <v>20222</v>
      </c>
      <c r="C6460" t="s">
        <v>20223</v>
      </c>
      <c r="D6460" t="s">
        <v>20202</v>
      </c>
      <c r="E6460">
        <v>2</v>
      </c>
      <c r="F6460" t="str">
        <f>HYPERLINK("https://github.com/doublesymmetry/react-native-track-player/issues/1031", "show")</f>
        <v>show</v>
      </c>
      <c r="G6460" t="str">
        <f>HYPERLINK("https://github.com/doublesymmetry/react-native-track-player", "show")</f>
        <v>show</v>
      </c>
      <c r="H6460" t="str">
        <f>HYPERLINK("https://github.com/doublesymmetry/react-native-track-player/releases", "show")</f>
        <v>show</v>
      </c>
      <c r="I6460">
        <v>1</v>
      </c>
      <c r="J6460">
        <v>0</v>
      </c>
      <c r="K6460">
        <v>0</v>
      </c>
      <c r="L6460">
        <v>0</v>
      </c>
      <c r="M6460" t="s">
        <v>17</v>
      </c>
    </row>
    <row r="6461" spans="1:13" hidden="1" x14ac:dyDescent="0.15">
      <c r="A6461" t="s">
        <v>20224</v>
      </c>
      <c r="B6461" t="s">
        <v>20225</v>
      </c>
      <c r="C6461" t="s">
        <v>20226</v>
      </c>
      <c r="D6461" t="s">
        <v>20202</v>
      </c>
      <c r="E6461">
        <v>0</v>
      </c>
      <c r="F6461" t="str">
        <f>HYPERLINK("https://github.com/Anuken/Mindustry/issues/2598", "show")</f>
        <v>show</v>
      </c>
      <c r="G6461" t="str">
        <f>HYPERLINK("https://github.com/Anuken/Mindustry", "show")</f>
        <v>show</v>
      </c>
      <c r="H6461" t="str">
        <f>HYPERLINK("https://github.com/Anuken/Mindustry/releases", "show")</f>
        <v>show</v>
      </c>
      <c r="I6461">
        <v>0</v>
      </c>
      <c r="J6461">
        <v>0</v>
      </c>
      <c r="K6461">
        <v>0</v>
      </c>
      <c r="L6461">
        <v>0</v>
      </c>
      <c r="M6461" t="s">
        <v>43</v>
      </c>
    </row>
    <row r="6462" spans="1:13" hidden="1" x14ac:dyDescent="0.15">
      <c r="A6462" t="s">
        <v>20227</v>
      </c>
      <c r="B6462" t="s">
        <v>20228</v>
      </c>
      <c r="C6462" t="s">
        <v>20229</v>
      </c>
      <c r="D6462" t="s">
        <v>20230</v>
      </c>
      <c r="E6462">
        <v>1</v>
      </c>
      <c r="F6462" t="str">
        <f>HYPERLINK("https://github.com/Anuken/Mindustry/issues/2597", "show")</f>
        <v>show</v>
      </c>
      <c r="G6462" t="str">
        <f>HYPERLINK("https://github.com/Anuken/Mindustry", "show")</f>
        <v>show</v>
      </c>
      <c r="H6462" t="str">
        <f>HYPERLINK("https://github.com/Anuken/Mindustry/releases", "show")</f>
        <v>show</v>
      </c>
      <c r="I6462">
        <v>0</v>
      </c>
      <c r="J6462">
        <v>0</v>
      </c>
      <c r="K6462">
        <v>0</v>
      </c>
      <c r="L6462">
        <v>0</v>
      </c>
      <c r="M6462" t="s">
        <v>43</v>
      </c>
    </row>
    <row r="6463" spans="1:13" hidden="1" x14ac:dyDescent="0.15">
      <c r="A6463" t="s">
        <v>20231</v>
      </c>
      <c r="B6463" t="s">
        <v>20232</v>
      </c>
      <c r="C6463" t="s">
        <v>20233</v>
      </c>
      <c r="D6463" t="s">
        <v>20230</v>
      </c>
      <c r="E6463">
        <v>0</v>
      </c>
      <c r="F6463" t="str">
        <f>HYPERLINK("https://github.com/Anuken/Mindustry/issues/2593", "show")</f>
        <v>show</v>
      </c>
      <c r="G6463" t="str">
        <f>HYPERLINK("https://github.com/Anuken/Mindustry", "show")</f>
        <v>show</v>
      </c>
      <c r="H6463" t="str">
        <f>HYPERLINK("https://github.com/Anuken/Mindustry/releases", "show")</f>
        <v>show</v>
      </c>
      <c r="I6463">
        <v>0</v>
      </c>
      <c r="J6463">
        <v>0</v>
      </c>
      <c r="K6463">
        <v>0</v>
      </c>
      <c r="L6463">
        <v>1</v>
      </c>
      <c r="M6463" t="s">
        <v>581</v>
      </c>
    </row>
    <row r="6464" spans="1:13" x14ac:dyDescent="0.15">
      <c r="A6464" t="s">
        <v>20234</v>
      </c>
      <c r="B6464" t="s">
        <v>20235</v>
      </c>
      <c r="C6464" t="s">
        <v>20236</v>
      </c>
      <c r="D6464" t="s">
        <v>20230</v>
      </c>
      <c r="E6464">
        <v>0</v>
      </c>
      <c r="F6464" t="str">
        <f>HYPERLINK("https://github.com/Anuken/Mindustry/issues/2590", "show")</f>
        <v>show</v>
      </c>
      <c r="G6464" t="str">
        <f>HYPERLINK("https://github.com/Anuken/Mindustry", "show")</f>
        <v>show</v>
      </c>
      <c r="H6464" t="str">
        <f>HYPERLINK("https://github.com/Anuken/Mindustry/releases", "show")</f>
        <v>show</v>
      </c>
      <c r="I6464">
        <v>0</v>
      </c>
      <c r="J6464">
        <v>1</v>
      </c>
      <c r="K6464">
        <v>0</v>
      </c>
      <c r="L6464">
        <v>0</v>
      </c>
      <c r="M6464" t="s">
        <v>139</v>
      </c>
    </row>
    <row r="6465" spans="1:13" hidden="1" x14ac:dyDescent="0.15">
      <c r="A6465" t="s">
        <v>20237</v>
      </c>
      <c r="B6465" t="s">
        <v>20238</v>
      </c>
      <c r="C6465" t="s">
        <v>20239</v>
      </c>
      <c r="D6465" t="s">
        <v>20230</v>
      </c>
      <c r="E6465">
        <v>4</v>
      </c>
      <c r="F6465" t="str">
        <f>HYPERLINK("https://github.com/mattford/scoutlink/issues/36", "show")</f>
        <v>show</v>
      </c>
      <c r="G6465" t="str">
        <f>HYPERLINK("https://github.com/mattford/scoutlink", "show")</f>
        <v>show</v>
      </c>
      <c r="H6465" t="str">
        <f>HYPERLINK("https://github.com/mattford/scoutlink/releases", "show")</f>
        <v>show</v>
      </c>
      <c r="I6465">
        <v>1</v>
      </c>
      <c r="J6465">
        <v>0</v>
      </c>
      <c r="K6465">
        <v>0</v>
      </c>
      <c r="L6465">
        <v>0</v>
      </c>
      <c r="M6465" t="s">
        <v>17</v>
      </c>
    </row>
    <row r="6466" spans="1:13" hidden="1" x14ac:dyDescent="0.15">
      <c r="A6466" t="s">
        <v>20240</v>
      </c>
      <c r="B6466" t="s">
        <v>20241</v>
      </c>
      <c r="C6466" t="s">
        <v>20242</v>
      </c>
      <c r="D6466" t="s">
        <v>20230</v>
      </c>
      <c r="E6466">
        <v>0</v>
      </c>
      <c r="F6466" t="str">
        <f>HYPERLINK("https://github.com/Anuken/Mindustry/issues/2587", "show")</f>
        <v>show</v>
      </c>
      <c r="G6466" t="str">
        <f>HYPERLINK("https://github.com/Anuken/Mindustry", "show")</f>
        <v>show</v>
      </c>
      <c r="H6466" t="str">
        <f>HYPERLINK("https://github.com/Anuken/Mindustry/releases", "show")</f>
        <v>show</v>
      </c>
      <c r="I6466">
        <v>0</v>
      </c>
      <c r="J6466">
        <v>0</v>
      </c>
      <c r="K6466">
        <v>0</v>
      </c>
      <c r="L6466">
        <v>0</v>
      </c>
      <c r="M6466" t="s">
        <v>43</v>
      </c>
    </row>
    <row r="6467" spans="1:13" hidden="1" x14ac:dyDescent="0.15">
      <c r="A6467" t="s">
        <v>20243</v>
      </c>
      <c r="B6467" t="s">
        <v>20244</v>
      </c>
      <c r="C6467" t="s">
        <v>20245</v>
      </c>
      <c r="D6467" t="s">
        <v>20230</v>
      </c>
      <c r="E6467">
        <v>0</v>
      </c>
      <c r="F6467" t="str">
        <f>HYPERLINK("https://github.com/Anuken/Mindustry/issues/2585", "show")</f>
        <v>show</v>
      </c>
      <c r="G6467" t="str">
        <f>HYPERLINK("https://github.com/Anuken/Mindustry", "show")</f>
        <v>show</v>
      </c>
      <c r="H6467" t="str">
        <f>HYPERLINK("https://github.com/Anuken/Mindustry/releases", "show")</f>
        <v>show</v>
      </c>
      <c r="I6467">
        <v>0</v>
      </c>
      <c r="J6467">
        <v>1</v>
      </c>
      <c r="K6467">
        <v>0</v>
      </c>
      <c r="L6467">
        <v>1</v>
      </c>
      <c r="M6467" t="s">
        <v>1732</v>
      </c>
    </row>
    <row r="6468" spans="1:13" hidden="1" x14ac:dyDescent="0.15">
      <c r="A6468" t="s">
        <v>20246</v>
      </c>
      <c r="B6468" t="s">
        <v>20247</v>
      </c>
      <c r="C6468" t="s">
        <v>20248</v>
      </c>
      <c r="D6468" t="s">
        <v>20230</v>
      </c>
      <c r="E6468">
        <v>0</v>
      </c>
      <c r="F6468" t="str">
        <f>HYPERLINK("https://github.com/mgsx-dev/gdx-gltf/issues/27", "show")</f>
        <v>show</v>
      </c>
      <c r="G6468" t="str">
        <f>HYPERLINK("https://github.com/mgsx-dev/gdx-gltf", "show")</f>
        <v>show</v>
      </c>
      <c r="H6468" t="str">
        <f>HYPERLINK("https://github.com/mgsx-dev/gdx-gltf/releases", "show")</f>
        <v>show</v>
      </c>
      <c r="I6468">
        <v>1</v>
      </c>
      <c r="J6468">
        <v>1</v>
      </c>
      <c r="K6468">
        <v>0</v>
      </c>
      <c r="L6468">
        <v>1</v>
      </c>
      <c r="M6468" t="s">
        <v>1894</v>
      </c>
    </row>
    <row r="6469" spans="1:13" hidden="1" x14ac:dyDescent="0.15">
      <c r="A6469" t="s">
        <v>20249</v>
      </c>
      <c r="B6469" t="s">
        <v>20250</v>
      </c>
      <c r="C6469" t="s">
        <v>20251</v>
      </c>
      <c r="D6469" t="s">
        <v>20230</v>
      </c>
      <c r="E6469">
        <v>0</v>
      </c>
      <c r="F6469" t="str">
        <f>HYPERLINK("https://github.com/mgsx-dev/gdx-gltf/issues/26", "show")</f>
        <v>show</v>
      </c>
      <c r="G6469" t="str">
        <f>HYPERLINK("https://github.com/mgsx-dev/gdx-gltf", "show")</f>
        <v>show</v>
      </c>
      <c r="H6469" t="str">
        <f>HYPERLINK("https://github.com/mgsx-dev/gdx-gltf/releases", "show")</f>
        <v>show</v>
      </c>
      <c r="I6469">
        <v>1</v>
      </c>
      <c r="J6469">
        <v>0</v>
      </c>
      <c r="K6469">
        <v>0</v>
      </c>
      <c r="L6469">
        <v>1</v>
      </c>
      <c r="M6469" t="s">
        <v>29</v>
      </c>
    </row>
    <row r="6470" spans="1:13" hidden="1" x14ac:dyDescent="0.15">
      <c r="A6470" t="s">
        <v>20252</v>
      </c>
      <c r="B6470" t="s">
        <v>20253</v>
      </c>
      <c r="C6470" t="s">
        <v>20254</v>
      </c>
      <c r="D6470" t="s">
        <v>20255</v>
      </c>
      <c r="E6470">
        <v>1</v>
      </c>
      <c r="F6470" t="str">
        <f>HYPERLINK("https://github.com/ankidroid/Anki-Android/issues/7135", "show")</f>
        <v>show</v>
      </c>
      <c r="G6470" t="str">
        <f>HYPERLINK("https://github.com/ankidroid/Anki-Android", "show")</f>
        <v>show</v>
      </c>
      <c r="H6470" t="str">
        <f>HYPERLINK("https://github.com/ankidroid/Anki-Android/releases", "show")</f>
        <v>show</v>
      </c>
      <c r="I6470">
        <v>0</v>
      </c>
      <c r="J6470">
        <v>0</v>
      </c>
      <c r="K6470">
        <v>0</v>
      </c>
      <c r="L6470">
        <v>0</v>
      </c>
      <c r="M6470" t="s">
        <v>43</v>
      </c>
    </row>
    <row r="6471" spans="1:13" hidden="1" x14ac:dyDescent="0.15">
      <c r="A6471" t="s">
        <v>20256</v>
      </c>
      <c r="B6471" t="s">
        <v>20257</v>
      </c>
      <c r="C6471" t="s">
        <v>20258</v>
      </c>
      <c r="D6471" t="s">
        <v>20255</v>
      </c>
      <c r="E6471">
        <v>41</v>
      </c>
      <c r="F6471" t="str">
        <f>HYPERLINK("https://github.com/saluf/android-kakikana/issues/5", "show")</f>
        <v>show</v>
      </c>
      <c r="G6471" t="str">
        <f>HYPERLINK("https://github.com/saluf/android-kakikana", "show")</f>
        <v>show</v>
      </c>
      <c r="H6471" t="str">
        <f>HYPERLINK("https://github.com/saluf/android-kakikana/releases", "show")</f>
        <v>show</v>
      </c>
      <c r="I6471">
        <v>0</v>
      </c>
      <c r="J6471">
        <v>0</v>
      </c>
      <c r="K6471">
        <v>1</v>
      </c>
      <c r="L6471">
        <v>0</v>
      </c>
      <c r="M6471" t="s">
        <v>122</v>
      </c>
    </row>
    <row r="6472" spans="1:13" hidden="1" x14ac:dyDescent="0.15">
      <c r="A6472" t="s">
        <v>20259</v>
      </c>
      <c r="B6472" t="s">
        <v>20260</v>
      </c>
      <c r="C6472" t="s">
        <v>20261</v>
      </c>
      <c r="D6472" t="s">
        <v>20255</v>
      </c>
      <c r="E6472">
        <v>0</v>
      </c>
      <c r="F6472" t="str">
        <f>HYPERLINK("https://github.com/Anuken/Mindustry/issues/2574", "show")</f>
        <v>show</v>
      </c>
      <c r="G6472" t="str">
        <f>HYPERLINK("https://github.com/Anuken/Mindustry", "show")</f>
        <v>show</v>
      </c>
      <c r="H6472" t="str">
        <f>HYPERLINK("https://github.com/Anuken/Mindustry/releases", "show")</f>
        <v>show</v>
      </c>
      <c r="I6472">
        <v>0</v>
      </c>
      <c r="J6472">
        <v>0</v>
      </c>
      <c r="K6472">
        <v>0</v>
      </c>
      <c r="L6472">
        <v>1</v>
      </c>
      <c r="M6472" t="s">
        <v>581</v>
      </c>
    </row>
    <row r="6473" spans="1:13" hidden="1" x14ac:dyDescent="0.15">
      <c r="A6473" t="s">
        <v>20262</v>
      </c>
      <c r="B6473" t="s">
        <v>20263</v>
      </c>
      <c r="C6473" t="s">
        <v>20264</v>
      </c>
      <c r="D6473" t="s">
        <v>20255</v>
      </c>
      <c r="E6473">
        <v>10</v>
      </c>
      <c r="F6473" t="str">
        <f>HYPERLINK("https://github.com/TeamNewPipe/NewPipe/issues/4286", "show")</f>
        <v>show</v>
      </c>
      <c r="G6473" t="str">
        <f>HYPERLINK("https://github.com/TeamNewPipe/NewPipe", "show")</f>
        <v>show</v>
      </c>
      <c r="H6473" t="str">
        <f>HYPERLINK("https://github.com/TeamNewPipe/NewPipe/releases", "show")</f>
        <v>show</v>
      </c>
      <c r="I6473">
        <v>1</v>
      </c>
      <c r="J6473">
        <v>1</v>
      </c>
      <c r="K6473">
        <v>0</v>
      </c>
      <c r="L6473">
        <v>0</v>
      </c>
      <c r="M6473" t="s">
        <v>48</v>
      </c>
    </row>
    <row r="6474" spans="1:13" hidden="1" x14ac:dyDescent="0.15">
      <c r="A6474" t="s">
        <v>20265</v>
      </c>
      <c r="B6474" t="s">
        <v>20266</v>
      </c>
      <c r="C6474" t="s">
        <v>20267</v>
      </c>
      <c r="D6474" t="s">
        <v>20255</v>
      </c>
      <c r="E6474">
        <v>15</v>
      </c>
      <c r="F6474" t="str">
        <f>HYPERLINK("https://github.com/material-components/material-components-android/issues/1735", "show")</f>
        <v>show</v>
      </c>
      <c r="G6474" t="str">
        <f>HYPERLINK("https://github.com/material-components/material-components-android", "show")</f>
        <v>show</v>
      </c>
      <c r="H6474" t="str">
        <f>HYPERLINK("https://github.com/material-components/material-components-android/releases", "show")</f>
        <v>show</v>
      </c>
      <c r="I6474">
        <v>0</v>
      </c>
      <c r="J6474">
        <v>0</v>
      </c>
      <c r="K6474">
        <v>0</v>
      </c>
      <c r="L6474">
        <v>0</v>
      </c>
      <c r="M6474" t="s">
        <v>43</v>
      </c>
    </row>
    <row r="6475" spans="1:13" hidden="1" x14ac:dyDescent="0.15">
      <c r="A6475" t="s">
        <v>20268</v>
      </c>
      <c r="B6475" t="s">
        <v>20269</v>
      </c>
      <c r="C6475" t="s">
        <v>20270</v>
      </c>
      <c r="D6475" t="s">
        <v>20255</v>
      </c>
      <c r="E6475">
        <v>32</v>
      </c>
      <c r="F6475" t="str">
        <f>HYPERLINK("https://github.com/JideGuru/epub_viewer/issues/23", "show")</f>
        <v>show</v>
      </c>
      <c r="G6475" t="str">
        <f>HYPERLINK("https://github.com/JideGuru/epub_viewer", "show")</f>
        <v>show</v>
      </c>
      <c r="H6475" t="str">
        <f>HYPERLINK("https://github.com/JideGuru/epub_viewer/releases", "show")</f>
        <v>show</v>
      </c>
      <c r="I6475">
        <v>0</v>
      </c>
      <c r="J6475">
        <v>0</v>
      </c>
      <c r="K6475">
        <v>0</v>
      </c>
      <c r="L6475">
        <v>0</v>
      </c>
      <c r="M6475" t="s">
        <v>43</v>
      </c>
    </row>
    <row r="6476" spans="1:13" hidden="1" x14ac:dyDescent="0.15">
      <c r="A6476" t="s">
        <v>20271</v>
      </c>
      <c r="B6476" t="s">
        <v>20272</v>
      </c>
      <c r="C6476" t="s">
        <v>20273</v>
      </c>
      <c r="D6476" t="s">
        <v>20255</v>
      </c>
      <c r="E6476">
        <v>0</v>
      </c>
      <c r="F6476" t="str">
        <f>HYPERLINK("https://github.com/Anuken/Mindustry/issues/2571", "show")</f>
        <v>show</v>
      </c>
      <c r="G6476" t="str">
        <f>HYPERLINK("https://github.com/Anuken/Mindustry", "show")</f>
        <v>show</v>
      </c>
      <c r="H6476" t="str">
        <f>HYPERLINK("https://github.com/Anuken/Mindustry/releases", "show")</f>
        <v>show</v>
      </c>
      <c r="I6476">
        <v>0</v>
      </c>
      <c r="J6476">
        <v>0</v>
      </c>
      <c r="K6476">
        <v>0</v>
      </c>
      <c r="L6476">
        <v>0</v>
      </c>
      <c r="M6476" t="s">
        <v>43</v>
      </c>
    </row>
    <row r="6477" spans="1:13" hidden="1" x14ac:dyDescent="0.15">
      <c r="A6477" t="s">
        <v>20274</v>
      </c>
      <c r="B6477" t="s">
        <v>20275</v>
      </c>
      <c r="C6477" t="s">
        <v>20276</v>
      </c>
      <c r="D6477" t="s">
        <v>20255</v>
      </c>
      <c r="E6477">
        <v>158</v>
      </c>
      <c r="F6477" t="str">
        <f>HYPERLINK("https://github.com/aws-amplify/amplify-android/issues/840", "show")</f>
        <v>show</v>
      </c>
      <c r="G6477" t="str">
        <f>HYPERLINK("https://github.com/aws-amplify/amplify-android", "show")</f>
        <v>show</v>
      </c>
      <c r="H6477" t="str">
        <f>HYPERLINK("https://github.com/aws-amplify/amplify-android/releases", "show")</f>
        <v>show</v>
      </c>
      <c r="I6477">
        <v>1</v>
      </c>
      <c r="J6477">
        <v>0</v>
      </c>
      <c r="K6477">
        <v>1</v>
      </c>
      <c r="L6477">
        <v>0</v>
      </c>
      <c r="M6477" t="s">
        <v>64</v>
      </c>
    </row>
    <row r="6478" spans="1:13" hidden="1" x14ac:dyDescent="0.15">
      <c r="A6478" t="s">
        <v>20277</v>
      </c>
      <c r="B6478" t="s">
        <v>20278</v>
      </c>
      <c r="C6478" t="s">
        <v>20279</v>
      </c>
      <c r="D6478" t="s">
        <v>20280</v>
      </c>
      <c r="E6478">
        <v>142</v>
      </c>
      <c r="F6478" t="str">
        <f>HYPERLINK("https://github.com/opensrp/opensrp-client-reveal/issues/1022", "show")</f>
        <v>show</v>
      </c>
      <c r="G6478" t="str">
        <f>HYPERLINK("https://github.com/opensrp/opensrp-client-reveal", "show")</f>
        <v>show</v>
      </c>
      <c r="H6478" t="str">
        <f>HYPERLINK("https://github.com/opensrp/opensrp-client-reveal/releases", "show")</f>
        <v>show</v>
      </c>
      <c r="I6478">
        <v>1</v>
      </c>
      <c r="J6478">
        <v>0</v>
      </c>
      <c r="K6478">
        <v>0</v>
      </c>
      <c r="L6478">
        <v>0</v>
      </c>
      <c r="M6478" t="s">
        <v>17</v>
      </c>
    </row>
    <row r="6479" spans="1:13" hidden="1" x14ac:dyDescent="0.15">
      <c r="A6479" t="s">
        <v>20281</v>
      </c>
      <c r="B6479" t="s">
        <v>20282</v>
      </c>
      <c r="C6479" t="s">
        <v>20283</v>
      </c>
      <c r="D6479" t="s">
        <v>20280</v>
      </c>
      <c r="E6479">
        <v>1</v>
      </c>
      <c r="F6479" t="str">
        <f>HYPERLINK("https://github.com/nextcloud/android/issues/6966", "show")</f>
        <v>show</v>
      </c>
      <c r="G6479" t="str">
        <f t="shared" ref="G6479:G6484" si="28">HYPERLINK("https://github.com/nextcloud/android", "show")</f>
        <v>show</v>
      </c>
      <c r="H6479" t="str">
        <f t="shared" ref="H6479:H6484" si="29">HYPERLINK("https://github.com/nextcloud/android/releases", "show")</f>
        <v>show</v>
      </c>
      <c r="I6479">
        <v>1</v>
      </c>
      <c r="J6479">
        <v>1</v>
      </c>
      <c r="K6479">
        <v>1</v>
      </c>
      <c r="L6479">
        <v>0</v>
      </c>
      <c r="M6479" t="s">
        <v>59</v>
      </c>
    </row>
    <row r="6480" spans="1:13" hidden="1" x14ac:dyDescent="0.15">
      <c r="A6480" t="s">
        <v>20284</v>
      </c>
      <c r="B6480" t="s">
        <v>20285</v>
      </c>
      <c r="C6480" t="s">
        <v>20286</v>
      </c>
      <c r="D6480" t="s">
        <v>20280</v>
      </c>
      <c r="E6480">
        <v>1</v>
      </c>
      <c r="F6480" t="str">
        <f>HYPERLINK("https://github.com/nextcloud/android/issues/6965", "show")</f>
        <v>show</v>
      </c>
      <c r="G6480" t="str">
        <f t="shared" si="28"/>
        <v>show</v>
      </c>
      <c r="H6480" t="str">
        <f t="shared" si="29"/>
        <v>show</v>
      </c>
      <c r="I6480">
        <v>1</v>
      </c>
      <c r="J6480">
        <v>1</v>
      </c>
      <c r="K6480">
        <v>1</v>
      </c>
      <c r="L6480">
        <v>0</v>
      </c>
      <c r="M6480" t="s">
        <v>59</v>
      </c>
    </row>
    <row r="6481" spans="1:13" hidden="1" x14ac:dyDescent="0.15">
      <c r="A6481" t="s">
        <v>20287</v>
      </c>
      <c r="B6481" t="s">
        <v>4312</v>
      </c>
      <c r="C6481" t="s">
        <v>20288</v>
      </c>
      <c r="D6481" t="s">
        <v>20280</v>
      </c>
      <c r="E6481">
        <v>1</v>
      </c>
      <c r="F6481" t="str">
        <f>HYPERLINK("https://github.com/nextcloud/android/issues/6964", "show")</f>
        <v>show</v>
      </c>
      <c r="G6481" t="str">
        <f t="shared" si="28"/>
        <v>show</v>
      </c>
      <c r="H6481" t="str">
        <f t="shared" si="29"/>
        <v>show</v>
      </c>
      <c r="I6481">
        <v>0</v>
      </c>
      <c r="J6481">
        <v>0</v>
      </c>
      <c r="K6481">
        <v>1</v>
      </c>
      <c r="L6481">
        <v>0</v>
      </c>
      <c r="M6481" t="s">
        <v>122</v>
      </c>
    </row>
    <row r="6482" spans="1:13" x14ac:dyDescent="0.15">
      <c r="A6482" t="s">
        <v>20289</v>
      </c>
      <c r="B6482" t="s">
        <v>20290</v>
      </c>
      <c r="C6482" t="s">
        <v>11582</v>
      </c>
      <c r="D6482" t="s">
        <v>20280</v>
      </c>
      <c r="E6482">
        <v>33</v>
      </c>
      <c r="F6482" t="str">
        <f>HYPERLINK("https://github.com/nextcloud/android/issues/6962", "show")</f>
        <v>show</v>
      </c>
      <c r="G6482" t="str">
        <f t="shared" si="28"/>
        <v>show</v>
      </c>
      <c r="H6482" t="str">
        <f t="shared" si="29"/>
        <v>show</v>
      </c>
      <c r="I6482">
        <v>0</v>
      </c>
      <c r="J6482">
        <v>1</v>
      </c>
      <c r="K6482">
        <v>0</v>
      </c>
      <c r="L6482">
        <v>0</v>
      </c>
      <c r="M6482" t="s">
        <v>139</v>
      </c>
    </row>
    <row r="6483" spans="1:13" hidden="1" x14ac:dyDescent="0.15">
      <c r="A6483" t="s">
        <v>20291</v>
      </c>
      <c r="B6483" t="s">
        <v>20292</v>
      </c>
      <c r="C6483" t="s">
        <v>20293</v>
      </c>
      <c r="D6483" t="s">
        <v>20280</v>
      </c>
      <c r="E6483">
        <v>66</v>
      </c>
      <c r="F6483" t="str">
        <f>HYPERLINK("https://github.com/nextcloud/android/issues/6960", "show")</f>
        <v>show</v>
      </c>
      <c r="G6483" t="str">
        <f t="shared" si="28"/>
        <v>show</v>
      </c>
      <c r="H6483" t="str">
        <f t="shared" si="29"/>
        <v>show</v>
      </c>
      <c r="I6483">
        <v>1</v>
      </c>
      <c r="J6483">
        <v>0</v>
      </c>
      <c r="K6483">
        <v>1</v>
      </c>
      <c r="L6483">
        <v>0</v>
      </c>
      <c r="M6483" t="s">
        <v>64</v>
      </c>
    </row>
    <row r="6484" spans="1:13" hidden="1" x14ac:dyDescent="0.15">
      <c r="A6484" t="s">
        <v>20294</v>
      </c>
      <c r="B6484" t="s">
        <v>20295</v>
      </c>
      <c r="C6484" t="s">
        <v>20296</v>
      </c>
      <c r="D6484" t="s">
        <v>20280</v>
      </c>
      <c r="E6484">
        <v>0</v>
      </c>
      <c r="F6484" t="str">
        <f>HYPERLINK("https://github.com/nextcloud/android/issues/6957", "show")</f>
        <v>show</v>
      </c>
      <c r="G6484" t="str">
        <f t="shared" si="28"/>
        <v>show</v>
      </c>
      <c r="H6484" t="str">
        <f t="shared" si="29"/>
        <v>show</v>
      </c>
      <c r="I6484">
        <v>0</v>
      </c>
      <c r="J6484">
        <v>1</v>
      </c>
      <c r="K6484">
        <v>1</v>
      </c>
      <c r="L6484">
        <v>0</v>
      </c>
      <c r="M6484" t="s">
        <v>699</v>
      </c>
    </row>
    <row r="6485" spans="1:13" hidden="1" x14ac:dyDescent="0.15">
      <c r="A6485" t="s">
        <v>20297</v>
      </c>
      <c r="B6485" t="s">
        <v>20298</v>
      </c>
      <c r="C6485" t="s">
        <v>20299</v>
      </c>
      <c r="D6485" t="s">
        <v>20300</v>
      </c>
      <c r="E6485">
        <v>6</v>
      </c>
      <c r="F6485" t="str">
        <f>HYPERLINK("https://github.com/microsoftgraph/msgraph-sdk-java/issues/472", "show")</f>
        <v>show</v>
      </c>
      <c r="G6485" t="str">
        <f>HYPERLINK("https://github.com/microsoftgraph/msgraph-sdk-java", "show")</f>
        <v>show</v>
      </c>
      <c r="H6485" t="str">
        <f>HYPERLINK("https://github.com/microsoftgraph/msgraph-sdk-java/releases", "show")</f>
        <v>show</v>
      </c>
      <c r="I6485">
        <v>1</v>
      </c>
      <c r="J6485">
        <v>0</v>
      </c>
      <c r="K6485">
        <v>0</v>
      </c>
      <c r="L6485">
        <v>0</v>
      </c>
      <c r="M6485" t="s">
        <v>17</v>
      </c>
    </row>
    <row r="6486" spans="1:13" hidden="1" x14ac:dyDescent="0.15">
      <c r="A6486" t="s">
        <v>20301</v>
      </c>
      <c r="B6486" t="s">
        <v>20302</v>
      </c>
      <c r="C6486" t="s">
        <v>20303</v>
      </c>
      <c r="D6486" t="s">
        <v>20300</v>
      </c>
      <c r="E6486">
        <v>0</v>
      </c>
      <c r="F6486" t="str">
        <f>HYPERLINK("https://github.com/Anuken/Mindustry/issues/2555", "show")</f>
        <v>show</v>
      </c>
      <c r="G6486" t="str">
        <f>HYPERLINK("https://github.com/Anuken/Mindustry", "show")</f>
        <v>show</v>
      </c>
      <c r="H6486" t="str">
        <f>HYPERLINK("https://github.com/Anuken/Mindustry/releases", "show")</f>
        <v>show</v>
      </c>
      <c r="I6486">
        <v>0</v>
      </c>
      <c r="J6486">
        <v>0</v>
      </c>
      <c r="K6486">
        <v>0</v>
      </c>
      <c r="L6486">
        <v>0</v>
      </c>
      <c r="M6486" t="s">
        <v>43</v>
      </c>
    </row>
    <row r="6487" spans="1:13" hidden="1" x14ac:dyDescent="0.15">
      <c r="A6487" t="s">
        <v>20304</v>
      </c>
      <c r="B6487" t="s">
        <v>20305</v>
      </c>
      <c r="C6487" t="s">
        <v>20306</v>
      </c>
      <c r="D6487" t="s">
        <v>20300</v>
      </c>
      <c r="E6487">
        <v>7</v>
      </c>
      <c r="F6487" t="str">
        <f>HYPERLINK("https://github.com/opensrp/opensrp-client-chw/issues/1344", "show")</f>
        <v>show</v>
      </c>
      <c r="G6487" t="str">
        <f>HYPERLINK("https://github.com/opensrp/opensrp-client-chw", "show")</f>
        <v>show</v>
      </c>
      <c r="H6487" t="str">
        <f>HYPERLINK("https://github.com/opensrp/opensrp-client-chw/releases", "show")</f>
        <v>show</v>
      </c>
      <c r="I6487">
        <v>1</v>
      </c>
      <c r="J6487">
        <v>0</v>
      </c>
      <c r="K6487">
        <v>0</v>
      </c>
      <c r="L6487">
        <v>0</v>
      </c>
      <c r="M6487" t="s">
        <v>17</v>
      </c>
    </row>
    <row r="6488" spans="1:13" hidden="1" x14ac:dyDescent="0.15">
      <c r="A6488" t="s">
        <v>20307</v>
      </c>
      <c r="B6488" t="s">
        <v>20308</v>
      </c>
      <c r="C6488" t="s">
        <v>20309</v>
      </c>
      <c r="D6488" t="s">
        <v>20300</v>
      </c>
      <c r="E6488">
        <v>10</v>
      </c>
      <c r="F6488" t="str">
        <f>HYPERLINK("https://github.com/miguelpruivo/flutter_file_picker/issues/391", "show")</f>
        <v>show</v>
      </c>
      <c r="G6488" t="str">
        <f>HYPERLINK("https://github.com/miguelpruivo/flutter_file_picker", "show")</f>
        <v>show</v>
      </c>
      <c r="H6488" t="str">
        <f>HYPERLINK("https://github.com/miguelpruivo/flutter_file_picker/releases", "show")</f>
        <v>show</v>
      </c>
      <c r="I6488">
        <v>1</v>
      </c>
      <c r="J6488">
        <v>0</v>
      </c>
      <c r="K6488">
        <v>0</v>
      </c>
      <c r="L6488">
        <v>1</v>
      </c>
      <c r="M6488" t="s">
        <v>29</v>
      </c>
    </row>
    <row r="6489" spans="1:13" hidden="1" x14ac:dyDescent="0.15">
      <c r="A6489" t="s">
        <v>20310</v>
      </c>
      <c r="B6489" t="s">
        <v>20311</v>
      </c>
      <c r="C6489" t="s">
        <v>20312</v>
      </c>
      <c r="D6489" t="s">
        <v>20300</v>
      </c>
      <c r="E6489">
        <v>39</v>
      </c>
      <c r="F6489" t="str">
        <f>HYPERLINK("https://github.com/Blankj/AndroidUtilCode/issues/1327", "show")</f>
        <v>show</v>
      </c>
      <c r="G6489" t="str">
        <f>HYPERLINK("https://github.com/Blankj/AndroidUtilCode", "show")</f>
        <v>show</v>
      </c>
      <c r="H6489" t="str">
        <f>HYPERLINK("https://github.com/Blankj/AndroidUtilCode/releases", "show")</f>
        <v>show</v>
      </c>
      <c r="I6489">
        <v>0</v>
      </c>
      <c r="J6489">
        <v>0</v>
      </c>
      <c r="K6489">
        <v>1</v>
      </c>
      <c r="L6489">
        <v>0</v>
      </c>
      <c r="M6489" t="s">
        <v>122</v>
      </c>
    </row>
    <row r="6490" spans="1:13" hidden="1" x14ac:dyDescent="0.15">
      <c r="A6490" t="s">
        <v>20313</v>
      </c>
      <c r="B6490" t="s">
        <v>11825</v>
      </c>
      <c r="C6490" t="s">
        <v>20314</v>
      </c>
      <c r="D6490" t="s">
        <v>20300</v>
      </c>
      <c r="E6490">
        <v>1</v>
      </c>
      <c r="F6490" t="str">
        <f>HYPERLINK("https://github.com/nextcloud/android/issues/6953", "show")</f>
        <v>show</v>
      </c>
      <c r="G6490" t="str">
        <f>HYPERLINK("https://github.com/nextcloud/android", "show")</f>
        <v>show</v>
      </c>
      <c r="H6490" t="str">
        <f>HYPERLINK("https://github.com/nextcloud/android/releases", "show")</f>
        <v>show</v>
      </c>
      <c r="I6490">
        <v>0</v>
      </c>
      <c r="J6490">
        <v>1</v>
      </c>
      <c r="K6490">
        <v>1</v>
      </c>
      <c r="L6490">
        <v>0</v>
      </c>
      <c r="M6490" t="s">
        <v>699</v>
      </c>
    </row>
    <row r="6491" spans="1:13" hidden="1" x14ac:dyDescent="0.15">
      <c r="A6491" t="s">
        <v>20315</v>
      </c>
      <c r="B6491" t="s">
        <v>20316</v>
      </c>
      <c r="C6491" t="s">
        <v>20317</v>
      </c>
      <c r="D6491" t="s">
        <v>20318</v>
      </c>
      <c r="E6491">
        <v>0</v>
      </c>
      <c r="F6491" t="str">
        <f>HYPERLINK("https://github.com/CsabaConsulting/ARPhysics/issues/9", "show")</f>
        <v>show</v>
      </c>
      <c r="G6491" t="str">
        <f>HYPERLINK("https://github.com/CsabaConsulting/ARPhysics", "show")</f>
        <v>show</v>
      </c>
      <c r="H6491" t="str">
        <f>HYPERLINK("https://github.com/CsabaConsulting/ARPhysics/releases", "show")</f>
        <v>show</v>
      </c>
      <c r="I6491">
        <v>0</v>
      </c>
      <c r="J6491">
        <v>0</v>
      </c>
      <c r="K6491">
        <v>1</v>
      </c>
      <c r="L6491">
        <v>0</v>
      </c>
      <c r="M6491" t="s">
        <v>122</v>
      </c>
    </row>
    <row r="6492" spans="1:13" hidden="1" x14ac:dyDescent="0.15">
      <c r="A6492" t="s">
        <v>20319</v>
      </c>
      <c r="B6492" t="s">
        <v>20320</v>
      </c>
      <c r="C6492" t="s">
        <v>20321</v>
      </c>
      <c r="D6492" t="s">
        <v>20318</v>
      </c>
      <c r="E6492">
        <v>1</v>
      </c>
      <c r="F6492" t="str">
        <f>HYPERLINK("https://github.com/CsabaConsulting/ARPhysics/issues/8", "show")</f>
        <v>show</v>
      </c>
      <c r="G6492" t="str">
        <f>HYPERLINK("https://github.com/CsabaConsulting/ARPhysics", "show")</f>
        <v>show</v>
      </c>
      <c r="H6492" t="str">
        <f>HYPERLINK("https://github.com/CsabaConsulting/ARPhysics/releases", "show")</f>
        <v>show</v>
      </c>
      <c r="I6492">
        <v>1</v>
      </c>
      <c r="J6492">
        <v>0</v>
      </c>
      <c r="K6492">
        <v>1</v>
      </c>
      <c r="L6492">
        <v>0</v>
      </c>
      <c r="M6492" t="s">
        <v>64</v>
      </c>
    </row>
    <row r="6493" spans="1:13" hidden="1" x14ac:dyDescent="0.15">
      <c r="A6493" t="s">
        <v>20322</v>
      </c>
      <c r="B6493" t="s">
        <v>20323</v>
      </c>
      <c r="C6493" t="s">
        <v>20324</v>
      </c>
      <c r="D6493" t="s">
        <v>20318</v>
      </c>
      <c r="E6493">
        <v>1</v>
      </c>
      <c r="F6493" t="str">
        <f>HYPERLINK("https://github.com/ThatCraws/MrX/issues/2", "show")</f>
        <v>show</v>
      </c>
      <c r="G6493" t="str">
        <f>HYPERLINK("https://github.com/ThatCraws/MrX", "show")</f>
        <v>show</v>
      </c>
      <c r="H6493" t="str">
        <f>HYPERLINK("https://github.com/ThatCraws/MrX/releases", "show")</f>
        <v>show</v>
      </c>
      <c r="I6493">
        <v>1</v>
      </c>
      <c r="J6493">
        <v>0</v>
      </c>
      <c r="K6493">
        <v>0</v>
      </c>
      <c r="L6493">
        <v>0</v>
      </c>
      <c r="M6493" t="s">
        <v>17</v>
      </c>
    </row>
    <row r="6494" spans="1:13" hidden="1" x14ac:dyDescent="0.15">
      <c r="A6494" t="s">
        <v>20325</v>
      </c>
      <c r="B6494" t="s">
        <v>20326</v>
      </c>
      <c r="D6494" t="s">
        <v>20318</v>
      </c>
      <c r="E6494">
        <v>0</v>
      </c>
      <c r="F6494" t="str">
        <f>HYPERLINK("https://github.com/AppliedRecognition/Ver-ID-UI-Android/issues/9", "show")</f>
        <v>show</v>
      </c>
      <c r="G6494" t="str">
        <f>HYPERLINK("https://github.com/AppliedRecognition/Ver-ID-UI-Android", "show")</f>
        <v>show</v>
      </c>
      <c r="H6494" t="str">
        <f>HYPERLINK("https://github.com/AppliedRecognition/Ver-ID-UI-Android/releases", "show")</f>
        <v>show</v>
      </c>
      <c r="I6494">
        <v>0</v>
      </c>
      <c r="J6494">
        <v>0</v>
      </c>
      <c r="K6494">
        <v>0</v>
      </c>
      <c r="L6494">
        <v>0</v>
      </c>
      <c r="M6494" t="s">
        <v>43</v>
      </c>
    </row>
    <row r="6495" spans="1:13" hidden="1" x14ac:dyDescent="0.15">
      <c r="A6495" t="s">
        <v>20327</v>
      </c>
      <c r="B6495" t="s">
        <v>20328</v>
      </c>
      <c r="C6495" t="s">
        <v>20329</v>
      </c>
      <c r="D6495" t="s">
        <v>20318</v>
      </c>
      <c r="E6495">
        <v>0</v>
      </c>
      <c r="F6495" t="str">
        <f>HYPERLINK("https://github.com/Anuken/Mindustry/issues/2554", "show")</f>
        <v>show</v>
      </c>
      <c r="G6495" t="str">
        <f>HYPERLINK("https://github.com/Anuken/Mindustry", "show")</f>
        <v>show</v>
      </c>
      <c r="H6495" t="str">
        <f>HYPERLINK("https://github.com/Anuken/Mindustry/releases", "show")</f>
        <v>show</v>
      </c>
      <c r="I6495">
        <v>0</v>
      </c>
      <c r="J6495">
        <v>0</v>
      </c>
      <c r="K6495">
        <v>0</v>
      </c>
      <c r="L6495">
        <v>1</v>
      </c>
      <c r="M6495" t="s">
        <v>581</v>
      </c>
    </row>
    <row r="6496" spans="1:13" hidden="1" x14ac:dyDescent="0.15">
      <c r="A6496" t="s">
        <v>20330</v>
      </c>
      <c r="B6496" t="s">
        <v>9802</v>
      </c>
      <c r="C6496" t="s">
        <v>20331</v>
      </c>
      <c r="D6496" t="s">
        <v>20318</v>
      </c>
      <c r="E6496">
        <v>0</v>
      </c>
      <c r="F6496" t="str">
        <f>HYPERLINK("https://github.com/Anuken/Mindustry/issues/2553", "show")</f>
        <v>show</v>
      </c>
      <c r="G6496" t="str">
        <f>HYPERLINK("https://github.com/Anuken/Mindustry", "show")</f>
        <v>show</v>
      </c>
      <c r="H6496" t="str">
        <f>HYPERLINK("https://github.com/Anuken/Mindustry/releases", "show")</f>
        <v>show</v>
      </c>
      <c r="I6496">
        <v>1</v>
      </c>
      <c r="J6496">
        <v>0</v>
      </c>
      <c r="K6496">
        <v>0</v>
      </c>
      <c r="L6496">
        <v>0</v>
      </c>
      <c r="M6496" t="s">
        <v>17</v>
      </c>
    </row>
    <row r="6497" spans="1:13" hidden="1" x14ac:dyDescent="0.15">
      <c r="A6497" t="s">
        <v>20332</v>
      </c>
      <c r="B6497" t="s">
        <v>20333</v>
      </c>
      <c r="C6497" t="s">
        <v>13289</v>
      </c>
      <c r="D6497" t="s">
        <v>20318</v>
      </c>
      <c r="E6497">
        <v>68</v>
      </c>
      <c r="F6497" t="str">
        <f>HYPERLINK("https://github.com/nextcloud/android/issues/6948", "show")</f>
        <v>show</v>
      </c>
      <c r="G6497" t="str">
        <f>HYPERLINK("https://github.com/nextcloud/android", "show")</f>
        <v>show</v>
      </c>
      <c r="H6497" t="str">
        <f>HYPERLINK("https://github.com/nextcloud/android/releases", "show")</f>
        <v>show</v>
      </c>
      <c r="I6497">
        <v>1</v>
      </c>
      <c r="J6497">
        <v>0</v>
      </c>
      <c r="K6497">
        <v>1</v>
      </c>
      <c r="L6497">
        <v>0</v>
      </c>
      <c r="M6497" t="s">
        <v>64</v>
      </c>
    </row>
    <row r="6498" spans="1:13" hidden="1" x14ac:dyDescent="0.15">
      <c r="A6498" t="s">
        <v>20334</v>
      </c>
      <c r="B6498" t="s">
        <v>20335</v>
      </c>
      <c r="C6498" t="s">
        <v>20336</v>
      </c>
      <c r="D6498" t="s">
        <v>20337</v>
      </c>
      <c r="E6498">
        <v>10</v>
      </c>
      <c r="F6498" t="str">
        <f>HYPERLINK("https://github.com/opensrp/opensrp-client-chw/issues/1324", "show")</f>
        <v>show</v>
      </c>
      <c r="G6498" t="str">
        <f>HYPERLINK("https://github.com/opensrp/opensrp-client-chw", "show")</f>
        <v>show</v>
      </c>
      <c r="H6498" t="str">
        <f>HYPERLINK("https://github.com/opensrp/opensrp-client-chw/releases", "show")</f>
        <v>show</v>
      </c>
      <c r="I6498">
        <v>1</v>
      </c>
      <c r="J6498">
        <v>1</v>
      </c>
      <c r="K6498">
        <v>0</v>
      </c>
      <c r="L6498">
        <v>0</v>
      </c>
      <c r="M6498" t="s">
        <v>48</v>
      </c>
    </row>
    <row r="6499" spans="1:13" hidden="1" x14ac:dyDescent="0.15">
      <c r="A6499" t="s">
        <v>20338</v>
      </c>
      <c r="B6499" t="s">
        <v>20339</v>
      </c>
      <c r="C6499" t="s">
        <v>16854</v>
      </c>
      <c r="D6499" t="s">
        <v>20340</v>
      </c>
      <c r="E6499">
        <v>2</v>
      </c>
      <c r="F6499" t="str">
        <f>HYPERLINK("https://github.com/nextcloud/android/issues/6941", "show")</f>
        <v>show</v>
      </c>
      <c r="G6499" t="str">
        <f>HYPERLINK("https://github.com/nextcloud/android", "show")</f>
        <v>show</v>
      </c>
      <c r="H6499" t="str">
        <f>HYPERLINK("https://github.com/nextcloud/android/releases", "show")</f>
        <v>show</v>
      </c>
      <c r="I6499">
        <v>0</v>
      </c>
      <c r="J6499">
        <v>0</v>
      </c>
      <c r="K6499">
        <v>1</v>
      </c>
      <c r="L6499">
        <v>0</v>
      </c>
      <c r="M6499" t="s">
        <v>122</v>
      </c>
    </row>
    <row r="6500" spans="1:13" hidden="1" x14ac:dyDescent="0.15">
      <c r="A6500" t="s">
        <v>20341</v>
      </c>
      <c r="B6500" t="s">
        <v>20342</v>
      </c>
      <c r="C6500" t="s">
        <v>20343</v>
      </c>
      <c r="D6500" t="s">
        <v>20340</v>
      </c>
      <c r="E6500">
        <v>0</v>
      </c>
      <c r="F6500" t="str">
        <f>HYPERLINK("https://github.com/Anuken/Mindustry/issues/2545", "show")</f>
        <v>show</v>
      </c>
      <c r="G6500" t="str">
        <f>HYPERLINK("https://github.com/Anuken/Mindustry", "show")</f>
        <v>show</v>
      </c>
      <c r="H6500" t="str">
        <f>HYPERLINK("https://github.com/Anuken/Mindustry/releases", "show")</f>
        <v>show</v>
      </c>
      <c r="I6500">
        <v>0</v>
      </c>
      <c r="J6500">
        <v>0</v>
      </c>
      <c r="K6500">
        <v>0</v>
      </c>
      <c r="L6500">
        <v>1</v>
      </c>
      <c r="M6500" t="s">
        <v>581</v>
      </c>
    </row>
    <row r="6501" spans="1:13" hidden="1" x14ac:dyDescent="0.15">
      <c r="A6501" t="s">
        <v>20344</v>
      </c>
      <c r="B6501" t="s">
        <v>20345</v>
      </c>
      <c r="C6501" t="s">
        <v>20132</v>
      </c>
      <c r="D6501" t="s">
        <v>20340</v>
      </c>
      <c r="E6501">
        <v>0</v>
      </c>
      <c r="F6501" t="str">
        <f>HYPERLINK("https://github.com/Anuken/Mindustry/issues/2544", "show")</f>
        <v>show</v>
      </c>
      <c r="G6501" t="str">
        <f>HYPERLINK("https://github.com/Anuken/Mindustry", "show")</f>
        <v>show</v>
      </c>
      <c r="H6501" t="str">
        <f>HYPERLINK("https://github.com/Anuken/Mindustry/releases", "show")</f>
        <v>show</v>
      </c>
      <c r="I6501">
        <v>0</v>
      </c>
      <c r="J6501">
        <v>0</v>
      </c>
      <c r="K6501">
        <v>0</v>
      </c>
      <c r="L6501">
        <v>0</v>
      </c>
      <c r="M6501" t="s">
        <v>43</v>
      </c>
    </row>
    <row r="6502" spans="1:13" hidden="1" x14ac:dyDescent="0.15">
      <c r="A6502" t="s">
        <v>20346</v>
      </c>
      <c r="B6502" t="s">
        <v>20347</v>
      </c>
      <c r="C6502" t="s">
        <v>20348</v>
      </c>
      <c r="D6502" t="s">
        <v>20340</v>
      </c>
      <c r="E6502">
        <v>10</v>
      </c>
      <c r="F6502" t="str">
        <f>HYPERLINK("https://github.com/opensrp/opensrp-client-reveal/issues/1013", "show")</f>
        <v>show</v>
      </c>
      <c r="G6502" t="str">
        <f>HYPERLINK("https://github.com/opensrp/opensrp-client-reveal", "show")</f>
        <v>show</v>
      </c>
      <c r="H6502" t="str">
        <f>HYPERLINK("https://github.com/opensrp/opensrp-client-reveal/releases", "show")</f>
        <v>show</v>
      </c>
      <c r="I6502">
        <v>1</v>
      </c>
      <c r="J6502">
        <v>0</v>
      </c>
      <c r="K6502">
        <v>0</v>
      </c>
      <c r="L6502">
        <v>1</v>
      </c>
      <c r="M6502" t="s">
        <v>29</v>
      </c>
    </row>
    <row r="6503" spans="1:13" hidden="1" x14ac:dyDescent="0.15">
      <c r="A6503" t="s">
        <v>20349</v>
      </c>
      <c r="B6503" t="s">
        <v>20350</v>
      </c>
      <c r="C6503" t="s">
        <v>20351</v>
      </c>
      <c r="D6503" t="s">
        <v>20340</v>
      </c>
      <c r="E6503">
        <v>12</v>
      </c>
      <c r="F6503" t="str">
        <f>HYPERLINK("https://github.com/opensrp/opensrp-client-chw/issues/1323", "show")</f>
        <v>show</v>
      </c>
      <c r="G6503" t="str">
        <f>HYPERLINK("https://github.com/opensrp/opensrp-client-chw", "show")</f>
        <v>show</v>
      </c>
      <c r="H6503" t="str">
        <f>HYPERLINK("https://github.com/opensrp/opensrp-client-chw/releases", "show")</f>
        <v>show</v>
      </c>
      <c r="I6503">
        <v>1</v>
      </c>
      <c r="J6503">
        <v>0</v>
      </c>
      <c r="K6503">
        <v>0</v>
      </c>
      <c r="L6503">
        <v>1</v>
      </c>
      <c r="M6503" t="s">
        <v>29</v>
      </c>
    </row>
    <row r="6504" spans="1:13" hidden="1" x14ac:dyDescent="0.15">
      <c r="A6504" t="s">
        <v>20352</v>
      </c>
      <c r="B6504" t="s">
        <v>20353</v>
      </c>
      <c r="C6504" t="s">
        <v>20354</v>
      </c>
      <c r="D6504" t="s">
        <v>20355</v>
      </c>
      <c r="E6504">
        <v>47</v>
      </c>
      <c r="F6504" t="str">
        <f>HYPERLINK("https://github.com/kike-canaries/canairio_android/issues/59", "show")</f>
        <v>show</v>
      </c>
      <c r="G6504" t="str">
        <f>HYPERLINK("https://github.com/kike-canaries/canairio_android", "show")</f>
        <v>show</v>
      </c>
      <c r="H6504" t="str">
        <f>HYPERLINK("https://github.com/kike-canaries/canairio_android/releases", "show")</f>
        <v>show</v>
      </c>
      <c r="I6504">
        <v>1</v>
      </c>
      <c r="J6504">
        <v>0</v>
      </c>
      <c r="K6504">
        <v>1</v>
      </c>
      <c r="L6504">
        <v>0</v>
      </c>
      <c r="M6504" t="s">
        <v>64</v>
      </c>
    </row>
    <row r="6505" spans="1:13" hidden="1" x14ac:dyDescent="0.15">
      <c r="A6505" t="s">
        <v>20356</v>
      </c>
      <c r="B6505" t="s">
        <v>20357</v>
      </c>
      <c r="C6505" t="s">
        <v>20358</v>
      </c>
      <c r="D6505" t="s">
        <v>20355</v>
      </c>
      <c r="E6505">
        <v>0</v>
      </c>
      <c r="F6505" t="str">
        <f>HYPERLINK("https://github.com/AdamLBS/LineFlag/issues/24", "show")</f>
        <v>show</v>
      </c>
      <c r="G6505" t="str">
        <f>HYPERLINK("https://github.com/AdamLBS/LineFlag", "show")</f>
        <v>show</v>
      </c>
      <c r="H6505" t="str">
        <f>HYPERLINK("https://github.com/AdamLBS/LineFlag/releases", "show")</f>
        <v>show</v>
      </c>
      <c r="I6505">
        <v>1</v>
      </c>
      <c r="J6505">
        <v>0</v>
      </c>
      <c r="K6505">
        <v>0</v>
      </c>
      <c r="L6505">
        <v>0</v>
      </c>
      <c r="M6505" t="s">
        <v>17</v>
      </c>
    </row>
    <row r="6506" spans="1:13" hidden="1" x14ac:dyDescent="0.15">
      <c r="A6506" t="s">
        <v>20359</v>
      </c>
      <c r="B6506" t="s">
        <v>20360</v>
      </c>
      <c r="C6506" t="s">
        <v>20361</v>
      </c>
      <c r="D6506" t="s">
        <v>20355</v>
      </c>
      <c r="E6506">
        <v>3</v>
      </c>
      <c r="F6506" t="str">
        <f>HYPERLINK("https://github.com/ogarcia/opensudoku/issues/96", "show")</f>
        <v>show</v>
      </c>
      <c r="G6506" t="str">
        <f>HYPERLINK("https://github.com/ogarcia/opensudoku", "show")</f>
        <v>show</v>
      </c>
      <c r="H6506" t="str">
        <f>HYPERLINK("https://github.com/ogarcia/opensudoku/releases", "show")</f>
        <v>show</v>
      </c>
      <c r="I6506">
        <v>1</v>
      </c>
      <c r="J6506">
        <v>0</v>
      </c>
      <c r="K6506">
        <v>0</v>
      </c>
      <c r="L6506">
        <v>0</v>
      </c>
      <c r="M6506" t="s">
        <v>17</v>
      </c>
    </row>
    <row r="6507" spans="1:13" hidden="1" x14ac:dyDescent="0.15">
      <c r="A6507" t="s">
        <v>20362</v>
      </c>
      <c r="B6507" t="s">
        <v>20363</v>
      </c>
      <c r="C6507" t="s">
        <v>20364</v>
      </c>
      <c r="D6507" t="s">
        <v>20355</v>
      </c>
      <c r="E6507">
        <v>5</v>
      </c>
      <c r="F6507" t="str">
        <f>HYPERLINK("https://github.com/defold/extension-gpgs/issues/25", "show")</f>
        <v>show</v>
      </c>
      <c r="G6507" t="str">
        <f>HYPERLINK("https://github.com/defold/extension-gpgs", "show")</f>
        <v>show</v>
      </c>
      <c r="H6507" t="str">
        <f>HYPERLINK("https://github.com/defold/extension-gpgs/releases", "show")</f>
        <v>show</v>
      </c>
      <c r="I6507">
        <v>1</v>
      </c>
      <c r="J6507">
        <v>0</v>
      </c>
      <c r="K6507">
        <v>0</v>
      </c>
      <c r="L6507">
        <v>0</v>
      </c>
      <c r="M6507" t="s">
        <v>17</v>
      </c>
    </row>
    <row r="6508" spans="1:13" hidden="1" x14ac:dyDescent="0.15">
      <c r="A6508" t="s">
        <v>20365</v>
      </c>
      <c r="B6508" t="s">
        <v>1458</v>
      </c>
      <c r="C6508" t="s">
        <v>20366</v>
      </c>
      <c r="D6508" t="s">
        <v>20367</v>
      </c>
      <c r="E6508">
        <v>1</v>
      </c>
      <c r="F6508" t="str">
        <f>HYPERLINK("https://github.com/Anuken/Mindustry/issues/2537", "show")</f>
        <v>show</v>
      </c>
      <c r="G6508" t="str">
        <f>HYPERLINK("https://github.com/Anuken/Mindustry", "show")</f>
        <v>show</v>
      </c>
      <c r="H6508" t="str">
        <f>HYPERLINK("https://github.com/Anuken/Mindustry/releases", "show")</f>
        <v>show</v>
      </c>
      <c r="I6508">
        <v>0</v>
      </c>
      <c r="J6508">
        <v>1</v>
      </c>
      <c r="K6508">
        <v>1</v>
      </c>
      <c r="L6508">
        <v>1</v>
      </c>
      <c r="M6508" t="s">
        <v>427</v>
      </c>
    </row>
    <row r="6509" spans="1:13" hidden="1" x14ac:dyDescent="0.15">
      <c r="A6509" t="s">
        <v>20368</v>
      </c>
      <c r="B6509" t="s">
        <v>20369</v>
      </c>
      <c r="C6509" t="s">
        <v>20370</v>
      </c>
      <c r="D6509" t="s">
        <v>20367</v>
      </c>
      <c r="E6509">
        <v>0</v>
      </c>
      <c r="F6509" t="str">
        <f>HYPERLINK("https://github.com/Anuken/Mindustry/issues/2536", "show")</f>
        <v>show</v>
      </c>
      <c r="G6509" t="str">
        <f>HYPERLINK("https://github.com/Anuken/Mindustry", "show")</f>
        <v>show</v>
      </c>
      <c r="H6509" t="str">
        <f>HYPERLINK("https://github.com/Anuken/Mindustry/releases", "show")</f>
        <v>show</v>
      </c>
      <c r="I6509">
        <v>0</v>
      </c>
      <c r="J6509">
        <v>0</v>
      </c>
      <c r="K6509">
        <v>0</v>
      </c>
      <c r="L6509">
        <v>1</v>
      </c>
      <c r="M6509" t="s">
        <v>581</v>
      </c>
    </row>
    <row r="6510" spans="1:13" hidden="1" x14ac:dyDescent="0.15">
      <c r="A6510" t="s">
        <v>20371</v>
      </c>
      <c r="B6510" t="s">
        <v>20372</v>
      </c>
      <c r="C6510" t="s">
        <v>20373</v>
      </c>
      <c r="D6510" t="s">
        <v>20367</v>
      </c>
      <c r="E6510">
        <v>37</v>
      </c>
      <c r="F6510" t="str">
        <f>HYPERLINK("https://github.com/TeamNewPipe/NewPipe/issues/4267", "show")</f>
        <v>show</v>
      </c>
      <c r="G6510" t="str">
        <f>HYPERLINK("https://github.com/TeamNewPipe/NewPipe", "show")</f>
        <v>show</v>
      </c>
      <c r="H6510" t="str">
        <f>HYPERLINK("https://github.com/TeamNewPipe/NewPipe/releases", "show")</f>
        <v>show</v>
      </c>
      <c r="I6510">
        <v>1</v>
      </c>
      <c r="J6510">
        <v>1</v>
      </c>
      <c r="K6510">
        <v>0</v>
      </c>
      <c r="L6510">
        <v>0</v>
      </c>
      <c r="M6510" t="s">
        <v>48</v>
      </c>
    </row>
    <row r="6511" spans="1:13" hidden="1" x14ac:dyDescent="0.15">
      <c r="A6511" t="s">
        <v>20374</v>
      </c>
      <c r="B6511" t="s">
        <v>20375</v>
      </c>
      <c r="C6511" t="s">
        <v>20376</v>
      </c>
      <c r="D6511" t="s">
        <v>20367</v>
      </c>
      <c r="E6511">
        <v>0</v>
      </c>
      <c r="F6511" t="str">
        <f>HYPERLINK("https://github.com/Anuken/Mindustry/issues/2533", "show")</f>
        <v>show</v>
      </c>
      <c r="G6511" t="str">
        <f>HYPERLINK("https://github.com/Anuken/Mindustry", "show")</f>
        <v>show</v>
      </c>
      <c r="H6511" t="str">
        <f>HYPERLINK("https://github.com/Anuken/Mindustry/releases", "show")</f>
        <v>show</v>
      </c>
      <c r="I6511">
        <v>0</v>
      </c>
      <c r="J6511">
        <v>0</v>
      </c>
      <c r="K6511">
        <v>0</v>
      </c>
      <c r="L6511">
        <v>0</v>
      </c>
      <c r="M6511" t="s">
        <v>43</v>
      </c>
    </row>
    <row r="6512" spans="1:13" hidden="1" x14ac:dyDescent="0.15">
      <c r="A6512" t="s">
        <v>20377</v>
      </c>
      <c r="B6512" t="s">
        <v>20378</v>
      </c>
      <c r="C6512" t="s">
        <v>20376</v>
      </c>
      <c r="D6512" t="s">
        <v>20367</v>
      </c>
      <c r="E6512">
        <v>0</v>
      </c>
      <c r="F6512" t="str">
        <f>HYPERLINK("https://github.com/Anuken/Mindustry/issues/2532", "show")</f>
        <v>show</v>
      </c>
      <c r="G6512" t="str">
        <f>HYPERLINK("https://github.com/Anuken/Mindustry", "show")</f>
        <v>show</v>
      </c>
      <c r="H6512" t="str">
        <f>HYPERLINK("https://github.com/Anuken/Mindustry/releases", "show")</f>
        <v>show</v>
      </c>
      <c r="I6512">
        <v>0</v>
      </c>
      <c r="J6512">
        <v>0</v>
      </c>
      <c r="K6512">
        <v>0</v>
      </c>
      <c r="L6512">
        <v>0</v>
      </c>
      <c r="M6512" t="s">
        <v>43</v>
      </c>
    </row>
    <row r="6513" spans="1:13" hidden="1" x14ac:dyDescent="0.15">
      <c r="A6513" t="s">
        <v>20379</v>
      </c>
      <c r="B6513" t="s">
        <v>20380</v>
      </c>
      <c r="C6513" t="s">
        <v>20381</v>
      </c>
      <c r="D6513" t="s">
        <v>20367</v>
      </c>
      <c r="E6513">
        <v>1</v>
      </c>
      <c r="F6513" t="str">
        <f>HYPERLINK("https://github.com/cgeo/cgeo/issues/8983", "show")</f>
        <v>show</v>
      </c>
      <c r="G6513" t="str">
        <f>HYPERLINK("https://github.com/cgeo/cgeo", "show")</f>
        <v>show</v>
      </c>
      <c r="H6513" t="str">
        <f>HYPERLINK("https://github.com/cgeo/cgeo/releases", "show")</f>
        <v>show</v>
      </c>
      <c r="I6513">
        <v>0</v>
      </c>
      <c r="J6513">
        <v>0</v>
      </c>
      <c r="K6513">
        <v>1</v>
      </c>
      <c r="L6513">
        <v>0</v>
      </c>
      <c r="M6513" t="s">
        <v>122</v>
      </c>
    </row>
    <row r="6514" spans="1:13" hidden="1" x14ac:dyDescent="0.15">
      <c r="A6514" t="s">
        <v>20382</v>
      </c>
      <c r="B6514" t="s">
        <v>20383</v>
      </c>
      <c r="C6514" t="s">
        <v>20384</v>
      </c>
      <c r="D6514" t="s">
        <v>20367</v>
      </c>
      <c r="E6514">
        <v>5</v>
      </c>
      <c r="F6514" t="str">
        <f>HYPERLINK("https://github.com/aws-amplify/amplify-android/issues/817", "show")</f>
        <v>show</v>
      </c>
      <c r="G6514" t="str">
        <f>HYPERLINK("https://github.com/aws-amplify/amplify-android", "show")</f>
        <v>show</v>
      </c>
      <c r="H6514" t="str">
        <f>HYPERLINK("https://github.com/aws-amplify/amplify-android/releases", "show")</f>
        <v>show</v>
      </c>
      <c r="I6514">
        <v>1</v>
      </c>
      <c r="J6514">
        <v>0</v>
      </c>
      <c r="K6514">
        <v>1</v>
      </c>
      <c r="L6514">
        <v>0</v>
      </c>
      <c r="M6514" t="s">
        <v>64</v>
      </c>
    </row>
    <row r="6515" spans="1:13" hidden="1" x14ac:dyDescent="0.15">
      <c r="A6515" t="s">
        <v>20385</v>
      </c>
      <c r="B6515" t="s">
        <v>20386</v>
      </c>
      <c r="C6515" t="s">
        <v>20387</v>
      </c>
      <c r="D6515" t="s">
        <v>20367</v>
      </c>
      <c r="E6515">
        <v>77</v>
      </c>
      <c r="F6515" t="str">
        <f>HYPERLINK("https://github.com/nextcloud/android/issues/6930", "show")</f>
        <v>show</v>
      </c>
      <c r="G6515" t="str">
        <f>HYPERLINK("https://github.com/nextcloud/android", "show")</f>
        <v>show</v>
      </c>
      <c r="H6515" t="str">
        <f>HYPERLINK("https://github.com/nextcloud/android/releases", "show")</f>
        <v>show</v>
      </c>
      <c r="I6515">
        <v>0</v>
      </c>
      <c r="J6515">
        <v>0</v>
      </c>
      <c r="K6515">
        <v>1</v>
      </c>
      <c r="L6515">
        <v>0</v>
      </c>
      <c r="M6515" t="s">
        <v>122</v>
      </c>
    </row>
    <row r="6516" spans="1:13" hidden="1" x14ac:dyDescent="0.15">
      <c r="A6516" t="s">
        <v>20388</v>
      </c>
      <c r="B6516" t="s">
        <v>20389</v>
      </c>
      <c r="C6516" t="s">
        <v>20390</v>
      </c>
      <c r="D6516" t="s">
        <v>20367</v>
      </c>
      <c r="E6516">
        <v>0</v>
      </c>
      <c r="F6516" t="str">
        <f>HYPERLINK("https://github.com/TeamNewPipe/NewPipe/issues/4261", "show")</f>
        <v>show</v>
      </c>
      <c r="G6516" t="str">
        <f>HYPERLINK("https://github.com/TeamNewPipe/NewPipe", "show")</f>
        <v>show</v>
      </c>
      <c r="H6516" t="str">
        <f>HYPERLINK("https://github.com/TeamNewPipe/NewPipe/releases", "show")</f>
        <v>show</v>
      </c>
      <c r="I6516">
        <v>1</v>
      </c>
      <c r="J6516">
        <v>1</v>
      </c>
      <c r="K6516">
        <v>0</v>
      </c>
      <c r="L6516">
        <v>0</v>
      </c>
      <c r="M6516" t="s">
        <v>48</v>
      </c>
    </row>
    <row r="6517" spans="1:13" hidden="1" x14ac:dyDescent="0.15">
      <c r="A6517" t="s">
        <v>20391</v>
      </c>
      <c r="B6517" t="s">
        <v>20392</v>
      </c>
      <c r="C6517" t="s">
        <v>20393</v>
      </c>
      <c r="D6517" t="s">
        <v>20367</v>
      </c>
      <c r="E6517">
        <v>0</v>
      </c>
      <c r="F6517" t="str">
        <f>HYPERLINK("https://github.com/Anuken/Mindustry/issues/2529", "show")</f>
        <v>show</v>
      </c>
      <c r="G6517" t="str">
        <f>HYPERLINK("https://github.com/Anuken/Mindustry", "show")</f>
        <v>show</v>
      </c>
      <c r="H6517" t="str">
        <f>HYPERLINK("https://github.com/Anuken/Mindustry/releases", "show")</f>
        <v>show</v>
      </c>
      <c r="I6517">
        <v>0</v>
      </c>
      <c r="J6517">
        <v>0</v>
      </c>
      <c r="K6517">
        <v>0</v>
      </c>
      <c r="L6517">
        <v>1</v>
      </c>
      <c r="M6517" t="s">
        <v>581</v>
      </c>
    </row>
    <row r="6518" spans="1:13" x14ac:dyDescent="0.15">
      <c r="A6518" t="s">
        <v>20394</v>
      </c>
      <c r="B6518" t="s">
        <v>20395</v>
      </c>
      <c r="C6518" t="s">
        <v>20396</v>
      </c>
      <c r="D6518" t="s">
        <v>20397</v>
      </c>
      <c r="E6518">
        <v>0</v>
      </c>
      <c r="F6518" t="str">
        <f>HYPERLINK("https://github.com/Anuken/Mindustry/issues/2527", "show")</f>
        <v>show</v>
      </c>
      <c r="G6518" t="str">
        <f>HYPERLINK("https://github.com/Anuken/Mindustry", "show")</f>
        <v>show</v>
      </c>
      <c r="H6518" t="str">
        <f>HYPERLINK("https://github.com/Anuken/Mindustry/releases", "show")</f>
        <v>show</v>
      </c>
      <c r="I6518">
        <v>0</v>
      </c>
      <c r="J6518">
        <v>1</v>
      </c>
      <c r="K6518">
        <v>0</v>
      </c>
      <c r="L6518">
        <v>0</v>
      </c>
      <c r="M6518" t="s">
        <v>139</v>
      </c>
    </row>
    <row r="6519" spans="1:13" hidden="1" x14ac:dyDescent="0.15">
      <c r="A6519" t="s">
        <v>20398</v>
      </c>
      <c r="B6519" t="s">
        <v>20399</v>
      </c>
      <c r="C6519" t="s">
        <v>20400</v>
      </c>
      <c r="D6519" t="s">
        <v>20397</v>
      </c>
      <c r="E6519">
        <v>35</v>
      </c>
      <c r="F6519" t="str">
        <f>HYPERLINK("https://github.com/getsentry/sentry-java/issues/904", "show")</f>
        <v>show</v>
      </c>
      <c r="G6519" t="str">
        <f>HYPERLINK("https://github.com/getsentry/sentry-java", "show")</f>
        <v>show</v>
      </c>
      <c r="H6519" t="str">
        <f>HYPERLINK("https://github.com/getsentry/sentry-java/releases", "show")</f>
        <v>show</v>
      </c>
      <c r="I6519">
        <v>1</v>
      </c>
      <c r="J6519">
        <v>0</v>
      </c>
      <c r="K6519">
        <v>0</v>
      </c>
      <c r="L6519">
        <v>0</v>
      </c>
      <c r="M6519" t="s">
        <v>17</v>
      </c>
    </row>
    <row r="6520" spans="1:13" hidden="1" x14ac:dyDescent="0.15">
      <c r="A6520" t="s">
        <v>20401</v>
      </c>
      <c r="B6520" t="s">
        <v>20402</v>
      </c>
      <c r="C6520" t="s">
        <v>20403</v>
      </c>
      <c r="D6520" t="s">
        <v>20397</v>
      </c>
      <c r="E6520">
        <v>0</v>
      </c>
      <c r="F6520" t="str">
        <f>HYPERLINK("https://github.com/Anuken/Mindustry/issues/2526", "show")</f>
        <v>show</v>
      </c>
      <c r="G6520" t="str">
        <f>HYPERLINK("https://github.com/Anuken/Mindustry", "show")</f>
        <v>show</v>
      </c>
      <c r="H6520" t="str">
        <f>HYPERLINK("https://github.com/Anuken/Mindustry/releases", "show")</f>
        <v>show</v>
      </c>
      <c r="I6520">
        <v>1</v>
      </c>
      <c r="J6520">
        <v>0</v>
      </c>
      <c r="K6520">
        <v>0</v>
      </c>
      <c r="L6520">
        <v>1</v>
      </c>
      <c r="M6520" t="s">
        <v>29</v>
      </c>
    </row>
    <row r="6521" spans="1:13" hidden="1" x14ac:dyDescent="0.15">
      <c r="A6521" t="s">
        <v>20404</v>
      </c>
      <c r="B6521" t="s">
        <v>20405</v>
      </c>
      <c r="C6521" t="s">
        <v>20406</v>
      </c>
      <c r="D6521" t="s">
        <v>20397</v>
      </c>
      <c r="E6521">
        <v>16</v>
      </c>
      <c r="F6521" t="str">
        <f>HYPERLINK("https://github.com/google/ExoPlayer/issues/7871", "show")</f>
        <v>show</v>
      </c>
      <c r="G6521" t="str">
        <f>HYPERLINK("https://github.com/google/ExoPlayer", "show")</f>
        <v>show</v>
      </c>
      <c r="H6521" t="str">
        <f>HYPERLINK("https://github.com/google/ExoPlayer/releases", "show")</f>
        <v>show</v>
      </c>
      <c r="I6521">
        <v>1</v>
      </c>
      <c r="J6521">
        <v>0</v>
      </c>
      <c r="K6521">
        <v>0</v>
      </c>
      <c r="L6521">
        <v>1</v>
      </c>
      <c r="M6521" t="s">
        <v>29</v>
      </c>
    </row>
    <row r="6522" spans="1:13" hidden="1" x14ac:dyDescent="0.15">
      <c r="A6522" t="s">
        <v>20407</v>
      </c>
      <c r="B6522" t="s">
        <v>2929</v>
      </c>
      <c r="C6522" t="s">
        <v>13289</v>
      </c>
      <c r="D6522" t="s">
        <v>20408</v>
      </c>
      <c r="E6522">
        <v>2</v>
      </c>
      <c r="F6522" t="str">
        <f>HYPERLINK("https://github.com/nextcloud/android/issues/6912", "show")</f>
        <v>show</v>
      </c>
      <c r="G6522" t="str">
        <f>HYPERLINK("https://github.com/nextcloud/android", "show")</f>
        <v>show</v>
      </c>
      <c r="H6522" t="str">
        <f>HYPERLINK("https://github.com/nextcloud/android/releases", "show")</f>
        <v>show</v>
      </c>
      <c r="I6522">
        <v>0</v>
      </c>
      <c r="J6522">
        <v>0</v>
      </c>
      <c r="K6522">
        <v>1</v>
      </c>
      <c r="L6522">
        <v>0</v>
      </c>
      <c r="M6522" t="s">
        <v>122</v>
      </c>
    </row>
    <row r="6523" spans="1:13" hidden="1" x14ac:dyDescent="0.15">
      <c r="A6523" t="s">
        <v>20409</v>
      </c>
      <c r="B6523" t="s">
        <v>20410</v>
      </c>
      <c r="C6523" t="s">
        <v>20411</v>
      </c>
      <c r="D6523" t="s">
        <v>20408</v>
      </c>
      <c r="E6523">
        <v>170</v>
      </c>
      <c r="F6523" t="str">
        <f>HYPERLINK("https://github.com/SanojPunchihewa/InAppUpdater/issues/64", "show")</f>
        <v>show</v>
      </c>
      <c r="G6523" t="str">
        <f>HYPERLINK("https://github.com/SanojPunchihewa/InAppUpdater", "show")</f>
        <v>show</v>
      </c>
      <c r="H6523" t="str">
        <f>HYPERLINK("https://github.com/SanojPunchihewa/InAppUpdater/releases", "show")</f>
        <v>show</v>
      </c>
      <c r="I6523">
        <v>1</v>
      </c>
      <c r="J6523">
        <v>0</v>
      </c>
      <c r="K6523">
        <v>1</v>
      </c>
      <c r="L6523">
        <v>0</v>
      </c>
      <c r="M6523" t="s">
        <v>64</v>
      </c>
    </row>
    <row r="6524" spans="1:13" hidden="1" x14ac:dyDescent="0.15">
      <c r="A6524" t="s">
        <v>20412</v>
      </c>
      <c r="B6524" t="s">
        <v>20413</v>
      </c>
      <c r="C6524" t="s">
        <v>20414</v>
      </c>
      <c r="D6524" t="s">
        <v>20408</v>
      </c>
      <c r="E6524">
        <v>3</v>
      </c>
      <c r="F6524" t="str">
        <f>HYPERLINK("https://github.com/cyclestreets/android/issues/436", "show")</f>
        <v>show</v>
      </c>
      <c r="G6524" t="str">
        <f>HYPERLINK("https://github.com/cyclestreets/android", "show")</f>
        <v>show</v>
      </c>
      <c r="H6524" t="str">
        <f>HYPERLINK("https://github.com/cyclestreets/android/releases", "show")</f>
        <v>show</v>
      </c>
      <c r="I6524">
        <v>1</v>
      </c>
      <c r="J6524">
        <v>0</v>
      </c>
      <c r="K6524">
        <v>0</v>
      </c>
      <c r="L6524">
        <v>0</v>
      </c>
      <c r="M6524" t="s">
        <v>17</v>
      </c>
    </row>
    <row r="6525" spans="1:13" hidden="1" x14ac:dyDescent="0.15">
      <c r="A6525" t="s">
        <v>20415</v>
      </c>
      <c r="B6525" t="s">
        <v>20416</v>
      </c>
      <c r="C6525" t="s">
        <v>20417</v>
      </c>
      <c r="D6525" t="s">
        <v>20408</v>
      </c>
      <c r="E6525">
        <v>0</v>
      </c>
      <c r="F6525" t="str">
        <f>HYPERLINK("https://github.com/TeamNewPipe/NewPipe/issues/4250", "show")</f>
        <v>show</v>
      </c>
      <c r="G6525" t="str">
        <f>HYPERLINK("https://github.com/TeamNewPipe/NewPipe", "show")</f>
        <v>show</v>
      </c>
      <c r="H6525" t="str">
        <f>HYPERLINK("https://github.com/TeamNewPipe/NewPipe/releases", "show")</f>
        <v>show</v>
      </c>
      <c r="I6525">
        <v>1</v>
      </c>
      <c r="J6525">
        <v>1</v>
      </c>
      <c r="K6525">
        <v>1</v>
      </c>
      <c r="L6525">
        <v>0</v>
      </c>
      <c r="M6525" t="s">
        <v>59</v>
      </c>
    </row>
    <row r="6526" spans="1:13" hidden="1" x14ac:dyDescent="0.15">
      <c r="A6526" t="s">
        <v>20418</v>
      </c>
      <c r="B6526" t="s">
        <v>20419</v>
      </c>
      <c r="C6526" t="s">
        <v>20420</v>
      </c>
      <c r="D6526" t="s">
        <v>20421</v>
      </c>
      <c r="E6526">
        <v>1</v>
      </c>
      <c r="F6526" t="str">
        <f>HYPERLINK("https://github.com/nextcloud/android/issues/6904", "show")</f>
        <v>show</v>
      </c>
      <c r="G6526" t="str">
        <f>HYPERLINK("https://github.com/nextcloud/android", "show")</f>
        <v>show</v>
      </c>
      <c r="H6526" t="str">
        <f>HYPERLINK("https://github.com/nextcloud/android/releases", "show")</f>
        <v>show</v>
      </c>
      <c r="I6526">
        <v>0</v>
      </c>
      <c r="J6526">
        <v>0</v>
      </c>
      <c r="K6526">
        <v>1</v>
      </c>
      <c r="L6526">
        <v>0</v>
      </c>
      <c r="M6526" t="s">
        <v>122</v>
      </c>
    </row>
    <row r="6527" spans="1:13" hidden="1" x14ac:dyDescent="0.15">
      <c r="A6527" t="s">
        <v>20422</v>
      </c>
      <c r="B6527" t="s">
        <v>20423</v>
      </c>
      <c r="C6527" t="s">
        <v>20424</v>
      </c>
      <c r="D6527" t="s">
        <v>20421</v>
      </c>
      <c r="E6527">
        <v>0</v>
      </c>
      <c r="F6527" t="str">
        <f>HYPERLINK("https://github.com/Anuken/Mindustry/issues/2515", "show")</f>
        <v>show</v>
      </c>
      <c r="G6527" t="str">
        <f>HYPERLINK("https://github.com/Anuken/Mindustry", "show")</f>
        <v>show</v>
      </c>
      <c r="H6527" t="str">
        <f>HYPERLINK("https://github.com/Anuken/Mindustry/releases", "show")</f>
        <v>show</v>
      </c>
      <c r="I6527">
        <v>1</v>
      </c>
      <c r="J6527">
        <v>0</v>
      </c>
      <c r="K6527">
        <v>0</v>
      </c>
      <c r="L6527">
        <v>0</v>
      </c>
      <c r="M6527" t="s">
        <v>17</v>
      </c>
    </row>
    <row r="6528" spans="1:13" hidden="1" x14ac:dyDescent="0.15">
      <c r="A6528" t="s">
        <v>20425</v>
      </c>
      <c r="B6528" t="s">
        <v>20426</v>
      </c>
      <c r="C6528" t="s">
        <v>20427</v>
      </c>
      <c r="D6528" t="s">
        <v>20421</v>
      </c>
      <c r="E6528">
        <v>9</v>
      </c>
      <c r="F6528" t="str">
        <f>HYPERLINK("https://github.com/woesss/JL-Mod/issues/12", "show")</f>
        <v>show</v>
      </c>
      <c r="G6528" t="str">
        <f>HYPERLINK("https://github.com/woesss/JL-Mod", "show")</f>
        <v>show</v>
      </c>
      <c r="H6528" t="str">
        <f>HYPERLINK("https://github.com/woesss/JL-Mod/releases", "show")</f>
        <v>show</v>
      </c>
      <c r="I6528">
        <v>1</v>
      </c>
      <c r="J6528">
        <v>0</v>
      </c>
      <c r="K6528">
        <v>0</v>
      </c>
      <c r="L6528">
        <v>1</v>
      </c>
      <c r="M6528" t="s">
        <v>29</v>
      </c>
    </row>
    <row r="6529" spans="1:13" hidden="1" x14ac:dyDescent="0.15">
      <c r="A6529" t="s">
        <v>20428</v>
      </c>
      <c r="B6529" t="s">
        <v>20429</v>
      </c>
      <c r="C6529" t="s">
        <v>20430</v>
      </c>
      <c r="D6529" t="s">
        <v>20421</v>
      </c>
      <c r="E6529">
        <v>3</v>
      </c>
      <c r="F6529" t="str">
        <f>HYPERLINK("https://github.com/nextcloud/android/issues/6901", "show")</f>
        <v>show</v>
      </c>
      <c r="G6529" t="str">
        <f>HYPERLINK("https://github.com/nextcloud/android", "show")</f>
        <v>show</v>
      </c>
      <c r="H6529" t="str">
        <f>HYPERLINK("https://github.com/nextcloud/android/releases", "show")</f>
        <v>show</v>
      </c>
      <c r="I6529">
        <v>1</v>
      </c>
      <c r="J6529">
        <v>1</v>
      </c>
      <c r="K6529">
        <v>1</v>
      </c>
      <c r="L6529">
        <v>0</v>
      </c>
      <c r="M6529" t="s">
        <v>59</v>
      </c>
    </row>
    <row r="6530" spans="1:13" hidden="1" x14ac:dyDescent="0.15">
      <c r="A6530" t="s">
        <v>20431</v>
      </c>
      <c r="B6530" t="s">
        <v>20432</v>
      </c>
      <c r="C6530" t="s">
        <v>20433</v>
      </c>
      <c r="D6530" t="s">
        <v>20434</v>
      </c>
      <c r="E6530">
        <v>2</v>
      </c>
      <c r="F6530" t="str">
        <f>HYPERLINK("https://github.com/launchdarkly/react-native-client-sdk/issues/57", "show")</f>
        <v>show</v>
      </c>
      <c r="G6530" t="str">
        <f>HYPERLINK("https://github.com/launchdarkly/react-native-client-sdk", "show")</f>
        <v>show</v>
      </c>
      <c r="H6530" t="str">
        <f>HYPERLINK("https://github.com/launchdarkly/react-native-client-sdk/releases", "show")</f>
        <v>show</v>
      </c>
      <c r="I6530">
        <v>0</v>
      </c>
      <c r="J6530">
        <v>0</v>
      </c>
      <c r="K6530">
        <v>0</v>
      </c>
      <c r="L6530">
        <v>0</v>
      </c>
      <c r="M6530" t="s">
        <v>43</v>
      </c>
    </row>
    <row r="6531" spans="1:13" hidden="1" x14ac:dyDescent="0.15">
      <c r="A6531" t="s">
        <v>20435</v>
      </c>
      <c r="B6531" t="s">
        <v>20436</v>
      </c>
      <c r="C6531" t="s">
        <v>20437</v>
      </c>
      <c r="D6531" t="s">
        <v>20434</v>
      </c>
      <c r="E6531">
        <v>52</v>
      </c>
      <c r="F6531" t="str">
        <f>HYPERLINK("https://github.com/Rachel030219/Poweramp-LRC-Plugin/issues/22", "show")</f>
        <v>show</v>
      </c>
      <c r="G6531" t="str">
        <f>HYPERLINK("https://github.com/Rachel030219/Poweramp-LRC-Plugin", "show")</f>
        <v>show</v>
      </c>
      <c r="H6531" t="str">
        <f>HYPERLINK("https://github.com/Rachel030219/Poweramp-LRC-Plugin/releases", "show")</f>
        <v>show</v>
      </c>
      <c r="I6531">
        <v>1</v>
      </c>
      <c r="J6531">
        <v>1</v>
      </c>
      <c r="K6531">
        <v>0</v>
      </c>
      <c r="L6531">
        <v>0</v>
      </c>
      <c r="M6531" t="s">
        <v>48</v>
      </c>
    </row>
    <row r="6532" spans="1:13" hidden="1" x14ac:dyDescent="0.15">
      <c r="A6532" t="s">
        <v>20438</v>
      </c>
      <c r="B6532" t="s">
        <v>20439</v>
      </c>
      <c r="C6532" t="s">
        <v>20440</v>
      </c>
      <c r="D6532" t="s">
        <v>20441</v>
      </c>
      <c r="E6532">
        <v>21</v>
      </c>
      <c r="F6532" t="str">
        <f>HYPERLINK("https://github.com/andOTP/andOTP/issues/639", "show")</f>
        <v>show</v>
      </c>
      <c r="G6532" t="str">
        <f>HYPERLINK("https://github.com/andOTP/andOTP", "show")</f>
        <v>show</v>
      </c>
      <c r="H6532" t="str">
        <f>HYPERLINK("https://github.com/andOTP/andOTP/releases", "show")</f>
        <v>show</v>
      </c>
      <c r="I6532">
        <v>1</v>
      </c>
      <c r="J6532">
        <v>1</v>
      </c>
      <c r="K6532">
        <v>1</v>
      </c>
      <c r="L6532">
        <v>0</v>
      </c>
      <c r="M6532" t="s">
        <v>59</v>
      </c>
    </row>
    <row r="6533" spans="1:13" hidden="1" x14ac:dyDescent="0.15">
      <c r="A6533" t="s">
        <v>20442</v>
      </c>
      <c r="B6533" t="s">
        <v>12078</v>
      </c>
      <c r="C6533" t="s">
        <v>12185</v>
      </c>
      <c r="D6533" t="s">
        <v>20441</v>
      </c>
      <c r="E6533">
        <v>3</v>
      </c>
      <c r="F6533" t="str">
        <f>HYPERLINK("https://github.com/nextcloud/android/issues/6894", "show")</f>
        <v>show</v>
      </c>
      <c r="G6533" t="str">
        <f>HYPERLINK("https://github.com/nextcloud/android", "show")</f>
        <v>show</v>
      </c>
      <c r="H6533" t="str">
        <f>HYPERLINK("https://github.com/nextcloud/android/releases", "show")</f>
        <v>show</v>
      </c>
      <c r="I6533">
        <v>0</v>
      </c>
      <c r="J6533">
        <v>0</v>
      </c>
      <c r="K6533">
        <v>1</v>
      </c>
      <c r="L6533">
        <v>0</v>
      </c>
      <c r="M6533" t="s">
        <v>122</v>
      </c>
    </row>
    <row r="6534" spans="1:13" hidden="1" x14ac:dyDescent="0.15">
      <c r="A6534" t="s">
        <v>20443</v>
      </c>
      <c r="B6534" t="s">
        <v>20444</v>
      </c>
      <c r="C6534" t="s">
        <v>20445</v>
      </c>
      <c r="D6534" t="s">
        <v>20441</v>
      </c>
      <c r="E6534">
        <v>34</v>
      </c>
      <c r="F6534" t="str">
        <f>HYPERLINK("https://github.com/mit-cml/appinventor-sources/issues/2304", "show")</f>
        <v>show</v>
      </c>
      <c r="G6534" t="str">
        <f>HYPERLINK("https://github.com/mit-cml/appinventor-sources", "show")</f>
        <v>show</v>
      </c>
      <c r="H6534" t="str">
        <f>HYPERLINK("https://github.com/mit-cml/appinventor-sources/releases", "show")</f>
        <v>show</v>
      </c>
      <c r="I6534">
        <v>1</v>
      </c>
      <c r="J6534">
        <v>1</v>
      </c>
      <c r="K6534">
        <v>0</v>
      </c>
      <c r="L6534">
        <v>0</v>
      </c>
      <c r="M6534" t="s">
        <v>48</v>
      </c>
    </row>
    <row r="6535" spans="1:13" hidden="1" x14ac:dyDescent="0.15">
      <c r="A6535" t="s">
        <v>20446</v>
      </c>
      <c r="B6535" t="s">
        <v>20447</v>
      </c>
      <c r="C6535" t="s">
        <v>20448</v>
      </c>
      <c r="D6535" t="s">
        <v>20441</v>
      </c>
      <c r="E6535">
        <v>23</v>
      </c>
      <c r="F6535" t="str">
        <f>HYPERLINK("https://github.com/TeamNewPipe/NewPipe/issues/4230", "show")</f>
        <v>show</v>
      </c>
      <c r="G6535" t="str">
        <f>HYPERLINK("https://github.com/TeamNewPipe/NewPipe", "show")</f>
        <v>show</v>
      </c>
      <c r="H6535" t="str">
        <f>HYPERLINK("https://github.com/TeamNewPipe/NewPipe/releases", "show")</f>
        <v>show</v>
      </c>
      <c r="I6535">
        <v>1</v>
      </c>
      <c r="J6535">
        <v>1</v>
      </c>
      <c r="K6535">
        <v>0</v>
      </c>
      <c r="L6535">
        <v>0</v>
      </c>
      <c r="M6535" t="s">
        <v>48</v>
      </c>
    </row>
    <row r="6536" spans="1:13" hidden="1" x14ac:dyDescent="0.15">
      <c r="A6536" t="s">
        <v>20449</v>
      </c>
      <c r="B6536" t="s">
        <v>20450</v>
      </c>
      <c r="C6536" t="s">
        <v>20451</v>
      </c>
      <c r="D6536" t="s">
        <v>20441</v>
      </c>
      <c r="E6536">
        <v>0</v>
      </c>
      <c r="F6536" t="str">
        <f>HYPERLINK("https://github.com/OpenTracksApp/OpenTracks/issues/411", "show")</f>
        <v>show</v>
      </c>
      <c r="G6536" t="str">
        <f>HYPERLINK("https://github.com/OpenTracksApp/OpenTracks", "show")</f>
        <v>show</v>
      </c>
      <c r="H6536" t="str">
        <f>HYPERLINK("https://github.com/OpenTracksApp/OpenTracks/releases", "show")</f>
        <v>show</v>
      </c>
      <c r="I6536">
        <v>1</v>
      </c>
      <c r="J6536">
        <v>1</v>
      </c>
      <c r="K6536">
        <v>0</v>
      </c>
      <c r="L6536">
        <v>0</v>
      </c>
      <c r="M6536" t="s">
        <v>48</v>
      </c>
    </row>
    <row r="6537" spans="1:13" hidden="1" x14ac:dyDescent="0.15">
      <c r="A6537" t="s">
        <v>20452</v>
      </c>
      <c r="B6537" t="s">
        <v>20453</v>
      </c>
      <c r="C6537" t="s">
        <v>20454</v>
      </c>
      <c r="D6537" t="s">
        <v>20455</v>
      </c>
      <c r="E6537">
        <v>45</v>
      </c>
      <c r="F6537" t="str">
        <f>HYPERLINK("https://github.com/OpenTracksApp/OpenTracks/issues/409", "show")</f>
        <v>show</v>
      </c>
      <c r="G6537" t="str">
        <f>HYPERLINK("https://github.com/OpenTracksApp/OpenTracks", "show")</f>
        <v>show</v>
      </c>
      <c r="H6537" t="str">
        <f>HYPERLINK("https://github.com/OpenTracksApp/OpenTracks/releases", "show")</f>
        <v>show</v>
      </c>
      <c r="I6537">
        <v>0</v>
      </c>
      <c r="J6537">
        <v>0</v>
      </c>
      <c r="K6537">
        <v>1</v>
      </c>
      <c r="L6537">
        <v>0</v>
      </c>
      <c r="M6537" t="s">
        <v>122</v>
      </c>
    </row>
    <row r="6538" spans="1:13" hidden="1" x14ac:dyDescent="0.15">
      <c r="A6538" t="s">
        <v>20456</v>
      </c>
      <c r="B6538" t="s">
        <v>20457</v>
      </c>
      <c r="C6538" t="s">
        <v>20458</v>
      </c>
      <c r="D6538" t="s">
        <v>20455</v>
      </c>
      <c r="E6538">
        <v>58</v>
      </c>
      <c r="F6538" t="str">
        <f>HYPERLINK("https://github.com/stingle/stingle-photos-android/issues/36", "show")</f>
        <v>show</v>
      </c>
      <c r="G6538" t="str">
        <f>HYPERLINK("https://github.com/stingle/stingle-photos-android", "show")</f>
        <v>show</v>
      </c>
      <c r="H6538" t="str">
        <f>HYPERLINK("https://github.com/stingle/stingle-photos-android/releases", "show")</f>
        <v>show</v>
      </c>
      <c r="I6538">
        <v>1</v>
      </c>
      <c r="J6538">
        <v>0</v>
      </c>
      <c r="K6538">
        <v>0</v>
      </c>
      <c r="L6538">
        <v>0</v>
      </c>
      <c r="M6538" t="s">
        <v>17</v>
      </c>
    </row>
    <row r="6539" spans="1:13" hidden="1" x14ac:dyDescent="0.15">
      <c r="A6539" t="s">
        <v>20459</v>
      </c>
      <c r="B6539" t="s">
        <v>20460</v>
      </c>
      <c r="C6539" t="s">
        <v>20461</v>
      </c>
      <c r="D6539" t="s">
        <v>20455</v>
      </c>
      <c r="E6539">
        <v>3</v>
      </c>
      <c r="F6539" t="str">
        <f>HYPERLINK("https://github.com/cgeo/cgeo/issues/8941", "show")</f>
        <v>show</v>
      </c>
      <c r="G6539" t="str">
        <f>HYPERLINK("https://github.com/cgeo/cgeo", "show")</f>
        <v>show</v>
      </c>
      <c r="H6539" t="str">
        <f>HYPERLINK("https://github.com/cgeo/cgeo/releases", "show")</f>
        <v>show</v>
      </c>
      <c r="I6539">
        <v>0</v>
      </c>
      <c r="J6539">
        <v>0</v>
      </c>
      <c r="K6539">
        <v>1</v>
      </c>
      <c r="L6539">
        <v>0</v>
      </c>
      <c r="M6539" t="s">
        <v>122</v>
      </c>
    </row>
    <row r="6540" spans="1:13" hidden="1" x14ac:dyDescent="0.15">
      <c r="A6540" t="s">
        <v>20462</v>
      </c>
      <c r="B6540" t="s">
        <v>20463</v>
      </c>
      <c r="C6540" t="s">
        <v>20464</v>
      </c>
      <c r="D6540" t="s">
        <v>20455</v>
      </c>
      <c r="E6540">
        <v>1</v>
      </c>
      <c r="F6540" t="str">
        <f>HYPERLINK("https://github.com/Swrve/swrve-android-sdk/issues/293", "show")</f>
        <v>show</v>
      </c>
      <c r="G6540" t="str">
        <f>HYPERLINK("https://github.com/Swrve/swrve-android-sdk", "show")</f>
        <v>show</v>
      </c>
      <c r="H6540" t="str">
        <f>HYPERLINK("https://github.com/Swrve/swrve-android-sdk/releases", "show")</f>
        <v>show</v>
      </c>
      <c r="I6540">
        <v>1</v>
      </c>
      <c r="J6540">
        <v>0</v>
      </c>
      <c r="K6540">
        <v>0</v>
      </c>
      <c r="L6540">
        <v>0</v>
      </c>
      <c r="M6540" t="s">
        <v>17</v>
      </c>
    </row>
    <row r="6541" spans="1:13" hidden="1" x14ac:dyDescent="0.15">
      <c r="A6541" t="s">
        <v>20465</v>
      </c>
      <c r="B6541" t="s">
        <v>20466</v>
      </c>
      <c r="C6541" t="s">
        <v>20467</v>
      </c>
      <c r="D6541" t="s">
        <v>20455</v>
      </c>
      <c r="E6541">
        <v>6</v>
      </c>
      <c r="F6541" t="str">
        <f>HYPERLINK("https://github.com/opensrp/opensrp-client-reveal/issues/989", "show")</f>
        <v>show</v>
      </c>
      <c r="G6541" t="str">
        <f>HYPERLINK("https://github.com/opensrp/opensrp-client-reveal", "show")</f>
        <v>show</v>
      </c>
      <c r="H6541" t="str">
        <f>HYPERLINK("https://github.com/opensrp/opensrp-client-reveal/releases", "show")</f>
        <v>show</v>
      </c>
      <c r="I6541">
        <v>1</v>
      </c>
      <c r="J6541">
        <v>0</v>
      </c>
      <c r="K6541">
        <v>0</v>
      </c>
      <c r="L6541">
        <v>0</v>
      </c>
      <c r="M6541" t="s">
        <v>17</v>
      </c>
    </row>
    <row r="6542" spans="1:13" hidden="1" x14ac:dyDescent="0.15">
      <c r="A6542" t="s">
        <v>20468</v>
      </c>
      <c r="B6542" t="s">
        <v>20469</v>
      </c>
      <c r="C6542" t="s">
        <v>20470</v>
      </c>
      <c r="D6542" t="s">
        <v>20455</v>
      </c>
      <c r="E6542">
        <v>6</v>
      </c>
      <c r="F6542" t="str">
        <f>HYPERLINK("https://github.com/opensrp/opensrp-client-reveal/issues/988", "show")</f>
        <v>show</v>
      </c>
      <c r="G6542" t="str">
        <f>HYPERLINK("https://github.com/opensrp/opensrp-client-reveal", "show")</f>
        <v>show</v>
      </c>
      <c r="H6542" t="str">
        <f>HYPERLINK("https://github.com/opensrp/opensrp-client-reveal/releases", "show")</f>
        <v>show</v>
      </c>
      <c r="I6542">
        <v>1</v>
      </c>
      <c r="J6542">
        <v>1</v>
      </c>
      <c r="K6542">
        <v>0</v>
      </c>
      <c r="L6542">
        <v>0</v>
      </c>
      <c r="M6542" t="s">
        <v>48</v>
      </c>
    </row>
    <row r="6543" spans="1:13" hidden="1" x14ac:dyDescent="0.15">
      <c r="A6543" t="s">
        <v>20471</v>
      </c>
      <c r="B6543" t="s">
        <v>20472</v>
      </c>
      <c r="C6543" t="s">
        <v>20473</v>
      </c>
      <c r="D6543" t="s">
        <v>20455</v>
      </c>
      <c r="E6543">
        <v>3</v>
      </c>
      <c r="F6543" t="str">
        <f>HYPERLINK("https://github.com/ankidroid/Anki-Android/issues/7017", "show")</f>
        <v>show</v>
      </c>
      <c r="G6543" t="str">
        <f>HYPERLINK("https://github.com/ankidroid/Anki-Android", "show")</f>
        <v>show</v>
      </c>
      <c r="H6543" t="str">
        <f>HYPERLINK("https://github.com/ankidroid/Anki-Android/releases", "show")</f>
        <v>show</v>
      </c>
      <c r="I6543">
        <v>1</v>
      </c>
      <c r="J6543">
        <v>1</v>
      </c>
      <c r="K6543">
        <v>0</v>
      </c>
      <c r="L6543">
        <v>0</v>
      </c>
      <c r="M6543" t="s">
        <v>48</v>
      </c>
    </row>
    <row r="6544" spans="1:13" hidden="1" x14ac:dyDescent="0.15">
      <c r="A6544" t="s">
        <v>20474</v>
      </c>
      <c r="B6544" t="s">
        <v>20475</v>
      </c>
      <c r="C6544" t="s">
        <v>20476</v>
      </c>
      <c r="D6544" t="s">
        <v>20455</v>
      </c>
      <c r="E6544">
        <v>0</v>
      </c>
      <c r="F6544" t="str">
        <f>HYPERLINK("https://github.com/Anuken/Mindustry/issues/2478", "show")</f>
        <v>show</v>
      </c>
      <c r="G6544" t="str">
        <f>HYPERLINK("https://github.com/Anuken/Mindustry", "show")</f>
        <v>show</v>
      </c>
      <c r="H6544" t="str">
        <f>HYPERLINK("https://github.com/Anuken/Mindustry/releases", "show")</f>
        <v>show</v>
      </c>
      <c r="I6544">
        <v>1</v>
      </c>
      <c r="J6544">
        <v>1</v>
      </c>
      <c r="K6544">
        <v>0</v>
      </c>
      <c r="L6544">
        <v>0</v>
      </c>
      <c r="M6544" t="s">
        <v>48</v>
      </c>
    </row>
    <row r="6545" spans="1:13" hidden="1" x14ac:dyDescent="0.15">
      <c r="A6545" t="s">
        <v>20477</v>
      </c>
      <c r="B6545" t="s">
        <v>20478</v>
      </c>
      <c r="C6545" t="s">
        <v>20479</v>
      </c>
      <c r="D6545" t="s">
        <v>20455</v>
      </c>
      <c r="E6545">
        <v>0</v>
      </c>
      <c r="F6545" t="str">
        <f>HYPERLINK("https://github.com/cgeo/cgeo/issues/8935", "show")</f>
        <v>show</v>
      </c>
      <c r="G6545" t="str">
        <f>HYPERLINK("https://github.com/cgeo/cgeo", "show")</f>
        <v>show</v>
      </c>
      <c r="H6545" t="str">
        <f>HYPERLINK("https://github.com/cgeo/cgeo/releases", "show")</f>
        <v>show</v>
      </c>
      <c r="I6545">
        <v>1</v>
      </c>
      <c r="J6545">
        <v>1</v>
      </c>
      <c r="K6545">
        <v>0</v>
      </c>
      <c r="L6545">
        <v>0</v>
      </c>
      <c r="M6545" t="s">
        <v>48</v>
      </c>
    </row>
    <row r="6546" spans="1:13" hidden="1" x14ac:dyDescent="0.15">
      <c r="A6546" t="s">
        <v>20480</v>
      </c>
      <c r="B6546" t="s">
        <v>20481</v>
      </c>
      <c r="C6546" t="s">
        <v>20482</v>
      </c>
      <c r="D6546" t="s">
        <v>20483</v>
      </c>
      <c r="E6546">
        <v>0</v>
      </c>
      <c r="F6546" t="str">
        <f>HYPERLINK("https://github.com/Anuken/Mindustry/issues/2477", "show")</f>
        <v>show</v>
      </c>
      <c r="G6546" t="str">
        <f>HYPERLINK("https://github.com/Anuken/Mindustry", "show")</f>
        <v>show</v>
      </c>
      <c r="H6546" t="str">
        <f>HYPERLINK("https://github.com/Anuken/Mindustry/releases", "show")</f>
        <v>show</v>
      </c>
      <c r="I6546">
        <v>0</v>
      </c>
      <c r="J6546">
        <v>0</v>
      </c>
      <c r="K6546">
        <v>0</v>
      </c>
      <c r="L6546">
        <v>1</v>
      </c>
      <c r="M6546" t="s">
        <v>581</v>
      </c>
    </row>
    <row r="6547" spans="1:13" hidden="1" x14ac:dyDescent="0.15">
      <c r="A6547" t="s">
        <v>20484</v>
      </c>
      <c r="B6547" t="s">
        <v>20485</v>
      </c>
      <c r="C6547" t="s">
        <v>20486</v>
      </c>
      <c r="D6547" t="s">
        <v>20483</v>
      </c>
      <c r="E6547">
        <v>0</v>
      </c>
      <c r="F6547" t="str">
        <f>HYPERLINK("https://github.com/Anuken/Mindustry/issues/2476", "show")</f>
        <v>show</v>
      </c>
      <c r="G6547" t="str">
        <f>HYPERLINK("https://github.com/Anuken/Mindustry", "show")</f>
        <v>show</v>
      </c>
      <c r="H6547" t="str">
        <f>HYPERLINK("https://github.com/Anuken/Mindustry/releases", "show")</f>
        <v>show</v>
      </c>
      <c r="I6547">
        <v>0</v>
      </c>
      <c r="J6547">
        <v>0</v>
      </c>
      <c r="K6547">
        <v>0</v>
      </c>
      <c r="L6547">
        <v>0</v>
      </c>
      <c r="M6547" t="s">
        <v>43</v>
      </c>
    </row>
    <row r="6548" spans="1:13" hidden="1" x14ac:dyDescent="0.15">
      <c r="A6548" t="s">
        <v>20487</v>
      </c>
      <c r="B6548" t="s">
        <v>20488</v>
      </c>
      <c r="C6548" t="s">
        <v>20489</v>
      </c>
      <c r="D6548" t="s">
        <v>20483</v>
      </c>
      <c r="E6548">
        <v>0</v>
      </c>
      <c r="F6548" t="str">
        <f>HYPERLINK("https://github.com/TeamNewPipe/NewPipe/issues/4212", "show")</f>
        <v>show</v>
      </c>
      <c r="G6548" t="str">
        <f>HYPERLINK("https://github.com/TeamNewPipe/NewPipe", "show")</f>
        <v>show</v>
      </c>
      <c r="H6548" t="str">
        <f>HYPERLINK("https://github.com/TeamNewPipe/NewPipe/releases", "show")</f>
        <v>show</v>
      </c>
      <c r="I6548">
        <v>1</v>
      </c>
      <c r="J6548">
        <v>1</v>
      </c>
      <c r="K6548">
        <v>0</v>
      </c>
      <c r="L6548">
        <v>0</v>
      </c>
      <c r="M6548" t="s">
        <v>48</v>
      </c>
    </row>
    <row r="6549" spans="1:13" hidden="1" x14ac:dyDescent="0.15">
      <c r="A6549" t="s">
        <v>20490</v>
      </c>
      <c r="B6549" t="s">
        <v>20491</v>
      </c>
      <c r="C6549" t="s">
        <v>20492</v>
      </c>
      <c r="D6549" t="s">
        <v>20493</v>
      </c>
      <c r="E6549">
        <v>1</v>
      </c>
      <c r="F6549" t="str">
        <f>HYPERLINK("https://github.com/nextcloud/android/issues/6869", "show")</f>
        <v>show</v>
      </c>
      <c r="G6549" t="str">
        <f>HYPERLINK("https://github.com/nextcloud/android", "show")</f>
        <v>show</v>
      </c>
      <c r="H6549" t="str">
        <f>HYPERLINK("https://github.com/nextcloud/android/releases", "show")</f>
        <v>show</v>
      </c>
      <c r="I6549">
        <v>1</v>
      </c>
      <c r="J6549">
        <v>1</v>
      </c>
      <c r="K6549">
        <v>0</v>
      </c>
      <c r="L6549">
        <v>0</v>
      </c>
      <c r="M6549" t="s">
        <v>48</v>
      </c>
    </row>
    <row r="6550" spans="1:13" x14ac:dyDescent="0.15">
      <c r="A6550" t="s">
        <v>20494</v>
      </c>
      <c r="B6550" t="s">
        <v>20495</v>
      </c>
      <c r="C6550" t="s">
        <v>20496</v>
      </c>
      <c r="D6550" t="s">
        <v>20493</v>
      </c>
      <c r="E6550">
        <v>86</v>
      </c>
      <c r="F6550" t="str">
        <f>HYPERLINK("https://github.com/nextcloud/android/issues/6868", "show")</f>
        <v>show</v>
      </c>
      <c r="G6550" t="str">
        <f>HYPERLINK("https://github.com/nextcloud/android", "show")</f>
        <v>show</v>
      </c>
      <c r="H6550" t="str">
        <f>HYPERLINK("https://github.com/nextcloud/android/releases", "show")</f>
        <v>show</v>
      </c>
      <c r="I6550">
        <v>0</v>
      </c>
      <c r="J6550">
        <v>1</v>
      </c>
      <c r="K6550">
        <v>0</v>
      </c>
      <c r="L6550">
        <v>0</v>
      </c>
      <c r="M6550" t="s">
        <v>139</v>
      </c>
    </row>
    <row r="6551" spans="1:13" x14ac:dyDescent="0.15">
      <c r="A6551" t="s">
        <v>20497</v>
      </c>
      <c r="B6551" t="s">
        <v>20498</v>
      </c>
      <c r="C6551" t="s">
        <v>20499</v>
      </c>
      <c r="D6551" t="s">
        <v>20493</v>
      </c>
      <c r="E6551">
        <v>0</v>
      </c>
      <c r="F6551" t="str">
        <f>HYPERLINK("https://github.com/Anuken/Mindustry/issues/2473", "show")</f>
        <v>show</v>
      </c>
      <c r="G6551" t="str">
        <f>HYPERLINK("https://github.com/Anuken/Mindustry", "show")</f>
        <v>show</v>
      </c>
      <c r="H6551" t="str">
        <f>HYPERLINK("https://github.com/Anuken/Mindustry/releases", "show")</f>
        <v>show</v>
      </c>
      <c r="I6551">
        <v>0</v>
      </c>
      <c r="J6551">
        <v>1</v>
      </c>
      <c r="K6551">
        <v>0</v>
      </c>
      <c r="L6551">
        <v>0</v>
      </c>
      <c r="M6551" t="s">
        <v>139</v>
      </c>
    </row>
    <row r="6552" spans="1:13" hidden="1" x14ac:dyDescent="0.15">
      <c r="A6552" t="s">
        <v>20500</v>
      </c>
      <c r="B6552" t="s">
        <v>20501</v>
      </c>
      <c r="C6552" t="s">
        <v>20502</v>
      </c>
      <c r="D6552" t="s">
        <v>20493</v>
      </c>
      <c r="E6552">
        <v>177</v>
      </c>
      <c r="F6552" t="str">
        <f>HYPERLINK("https://github.com/SanojPunchihewa/InAppUpdater/issues/62", "show")</f>
        <v>show</v>
      </c>
      <c r="G6552" t="str">
        <f>HYPERLINK("https://github.com/SanojPunchihewa/InAppUpdater", "show")</f>
        <v>show</v>
      </c>
      <c r="H6552" t="str">
        <f>HYPERLINK("https://github.com/SanojPunchihewa/InAppUpdater/releases", "show")</f>
        <v>show</v>
      </c>
      <c r="I6552">
        <v>0</v>
      </c>
      <c r="J6552">
        <v>0</v>
      </c>
      <c r="K6552">
        <v>0</v>
      </c>
      <c r="L6552">
        <v>1</v>
      </c>
      <c r="M6552" t="s">
        <v>581</v>
      </c>
    </row>
    <row r="6553" spans="1:13" hidden="1" x14ac:dyDescent="0.15">
      <c r="A6553" t="s">
        <v>20503</v>
      </c>
      <c r="B6553" t="s">
        <v>20504</v>
      </c>
      <c r="C6553" t="s">
        <v>20505</v>
      </c>
      <c r="D6553" t="s">
        <v>20506</v>
      </c>
      <c r="E6553">
        <v>94</v>
      </c>
      <c r="F6553" t="str">
        <f>HYPERLINK("https://github.com/apcro/leafpicrevived/issues/38", "show")</f>
        <v>show</v>
      </c>
      <c r="G6553" t="str">
        <f>HYPERLINK("https://github.com/apcro/leafpicrevived", "show")</f>
        <v>show</v>
      </c>
      <c r="H6553" t="str">
        <f>HYPERLINK("https://github.com/apcro/leafpicrevived/releases", "show")</f>
        <v>show</v>
      </c>
      <c r="I6553">
        <v>0</v>
      </c>
      <c r="J6553">
        <v>0</v>
      </c>
      <c r="K6553">
        <v>1</v>
      </c>
      <c r="L6553">
        <v>0</v>
      </c>
      <c r="M6553" t="s">
        <v>122</v>
      </c>
    </row>
    <row r="6554" spans="1:13" hidden="1" x14ac:dyDescent="0.15">
      <c r="A6554" t="s">
        <v>20507</v>
      </c>
      <c r="B6554" t="s">
        <v>20508</v>
      </c>
      <c r="C6554" t="s">
        <v>20509</v>
      </c>
      <c r="D6554" t="s">
        <v>20506</v>
      </c>
      <c r="E6554">
        <v>388</v>
      </c>
      <c r="F6554" t="str">
        <f>HYPERLINK("https://github.com/Inversion-NL/Toon-Android/issues/49", "show")</f>
        <v>show</v>
      </c>
      <c r="G6554" t="str">
        <f>HYPERLINK("https://github.com/Inversion-NL/Toon-Android", "show")</f>
        <v>show</v>
      </c>
      <c r="H6554" t="str">
        <f>HYPERLINK("https://github.com/Inversion-NL/Toon-Android/releases", "show")</f>
        <v>show</v>
      </c>
      <c r="I6554">
        <v>1</v>
      </c>
      <c r="J6554">
        <v>0</v>
      </c>
      <c r="K6554">
        <v>1</v>
      </c>
      <c r="L6554">
        <v>0</v>
      </c>
      <c r="M6554" t="s">
        <v>64</v>
      </c>
    </row>
    <row r="6555" spans="1:13" hidden="1" x14ac:dyDescent="0.15">
      <c r="A6555" t="s">
        <v>20510</v>
      </c>
      <c r="B6555" t="s">
        <v>20511</v>
      </c>
      <c r="C6555" t="s">
        <v>20512</v>
      </c>
      <c r="D6555" t="s">
        <v>20506</v>
      </c>
      <c r="E6555">
        <v>71</v>
      </c>
      <c r="F6555" t="str">
        <f>HYPERLINK("https://github.com/joshrap67/LiteWeight/issues/30", "show")</f>
        <v>show</v>
      </c>
      <c r="G6555" t="str">
        <f>HYPERLINK("https://github.com/joshrap67/LiteWeight", "show")</f>
        <v>show</v>
      </c>
      <c r="H6555" t="str">
        <f>HYPERLINK("https://github.com/joshrap67/LiteWeight/releases", "show")</f>
        <v>show</v>
      </c>
      <c r="I6555">
        <v>1</v>
      </c>
      <c r="J6555">
        <v>1</v>
      </c>
      <c r="K6555">
        <v>0</v>
      </c>
      <c r="L6555">
        <v>0</v>
      </c>
      <c r="M6555" t="s">
        <v>48</v>
      </c>
    </row>
    <row r="6556" spans="1:13" hidden="1" x14ac:dyDescent="0.15">
      <c r="A6556" t="s">
        <v>20513</v>
      </c>
      <c r="B6556" t="s">
        <v>20514</v>
      </c>
      <c r="C6556" t="s">
        <v>20515</v>
      </c>
      <c r="D6556" t="s">
        <v>20516</v>
      </c>
      <c r="E6556">
        <v>1</v>
      </c>
      <c r="F6556" t="str">
        <f>HYPERLINK("https://github.com/oliexdev/openScale/issues/619", "show")</f>
        <v>show</v>
      </c>
      <c r="G6556" t="str">
        <f>HYPERLINK("https://github.com/oliexdev/openScale", "show")</f>
        <v>show</v>
      </c>
      <c r="H6556" t="str">
        <f>HYPERLINK("https://github.com/oliexdev/openScale/releases", "show")</f>
        <v>show</v>
      </c>
      <c r="I6556">
        <v>1</v>
      </c>
      <c r="J6556">
        <v>0</v>
      </c>
      <c r="K6556">
        <v>1</v>
      </c>
      <c r="L6556">
        <v>0</v>
      </c>
      <c r="M6556" t="s">
        <v>64</v>
      </c>
    </row>
    <row r="6557" spans="1:13" hidden="1" x14ac:dyDescent="0.15">
      <c r="A6557" t="s">
        <v>20517</v>
      </c>
      <c r="B6557" t="s">
        <v>20518</v>
      </c>
      <c r="C6557" t="s">
        <v>20519</v>
      </c>
      <c r="D6557" t="s">
        <v>20516</v>
      </c>
      <c r="E6557">
        <v>1</v>
      </c>
      <c r="F6557" t="str">
        <f>HYPERLINK("https://github.com/nextcloud/android/issues/6853", "show")</f>
        <v>show</v>
      </c>
      <c r="G6557" t="str">
        <f>HYPERLINK("https://github.com/nextcloud/android", "show")</f>
        <v>show</v>
      </c>
      <c r="H6557" t="str">
        <f>HYPERLINK("https://github.com/nextcloud/android/releases", "show")</f>
        <v>show</v>
      </c>
      <c r="I6557">
        <v>1</v>
      </c>
      <c r="J6557">
        <v>1</v>
      </c>
      <c r="K6557">
        <v>0</v>
      </c>
      <c r="L6557">
        <v>0</v>
      </c>
      <c r="M6557" t="s">
        <v>48</v>
      </c>
    </row>
    <row r="6558" spans="1:13" hidden="1" x14ac:dyDescent="0.15">
      <c r="A6558" t="s">
        <v>20520</v>
      </c>
      <c r="B6558" t="s">
        <v>20521</v>
      </c>
      <c r="C6558" t="s">
        <v>20522</v>
      </c>
      <c r="D6558" t="s">
        <v>20516</v>
      </c>
      <c r="E6558">
        <v>0</v>
      </c>
      <c r="F6558" t="str">
        <f>HYPERLINK("https://github.com/Anuken/Mindustry/issues/2468", "show")</f>
        <v>show</v>
      </c>
      <c r="G6558" t="str">
        <f>HYPERLINK("https://github.com/Anuken/Mindustry", "show")</f>
        <v>show</v>
      </c>
      <c r="H6558" t="str">
        <f>HYPERLINK("https://github.com/Anuken/Mindustry/releases", "show")</f>
        <v>show</v>
      </c>
      <c r="I6558">
        <v>0</v>
      </c>
      <c r="J6558">
        <v>0</v>
      </c>
      <c r="K6558">
        <v>0</v>
      </c>
      <c r="L6558">
        <v>0</v>
      </c>
      <c r="M6558" t="s">
        <v>43</v>
      </c>
    </row>
    <row r="6559" spans="1:13" hidden="1" x14ac:dyDescent="0.15">
      <c r="A6559" t="s">
        <v>20523</v>
      </c>
      <c r="B6559" t="s">
        <v>20524</v>
      </c>
      <c r="C6559" t="s">
        <v>20525</v>
      </c>
      <c r="D6559" t="s">
        <v>20526</v>
      </c>
      <c r="E6559">
        <v>0</v>
      </c>
      <c r="F6559" t="str">
        <f>HYPERLINK("https://github.com/Anuken/Mindustry/issues/2460", "show")</f>
        <v>show</v>
      </c>
      <c r="G6559" t="str">
        <f>HYPERLINK("https://github.com/Anuken/Mindustry", "show")</f>
        <v>show</v>
      </c>
      <c r="H6559" t="str">
        <f>HYPERLINK("https://github.com/Anuken/Mindustry/releases", "show")</f>
        <v>show</v>
      </c>
      <c r="I6559">
        <v>1</v>
      </c>
      <c r="J6559">
        <v>0</v>
      </c>
      <c r="K6559">
        <v>0</v>
      </c>
      <c r="L6559">
        <v>0</v>
      </c>
      <c r="M6559" t="s">
        <v>17</v>
      </c>
    </row>
    <row r="6560" spans="1:13" hidden="1" x14ac:dyDescent="0.15">
      <c r="A6560" t="s">
        <v>20527</v>
      </c>
      <c r="B6560" t="s">
        <v>20528</v>
      </c>
      <c r="C6560" t="s">
        <v>20529</v>
      </c>
      <c r="D6560" t="s">
        <v>20526</v>
      </c>
      <c r="E6560">
        <v>3</v>
      </c>
      <c r="F6560" t="str">
        <f>HYPERLINK("https://github.com/Anuken/Mindustry/issues/2458", "show")</f>
        <v>show</v>
      </c>
      <c r="G6560" t="str">
        <f>HYPERLINK("https://github.com/Anuken/Mindustry", "show")</f>
        <v>show</v>
      </c>
      <c r="H6560" t="str">
        <f>HYPERLINK("https://github.com/Anuken/Mindustry/releases", "show")</f>
        <v>show</v>
      </c>
      <c r="I6560">
        <v>0</v>
      </c>
      <c r="J6560">
        <v>0</v>
      </c>
      <c r="K6560">
        <v>0</v>
      </c>
      <c r="L6560">
        <v>0</v>
      </c>
      <c r="M6560" t="s">
        <v>43</v>
      </c>
    </row>
    <row r="6561" spans="1:13" hidden="1" x14ac:dyDescent="0.15">
      <c r="A6561" t="s">
        <v>20530</v>
      </c>
      <c r="B6561" t="s">
        <v>20531</v>
      </c>
      <c r="C6561" t="s">
        <v>20532</v>
      </c>
      <c r="D6561" t="s">
        <v>20526</v>
      </c>
      <c r="E6561">
        <v>3</v>
      </c>
      <c r="F6561" t="str">
        <f>HYPERLINK("https://github.com/Anuken/Mindustry/issues/2456", "show")</f>
        <v>show</v>
      </c>
      <c r="G6561" t="str">
        <f>HYPERLINK("https://github.com/Anuken/Mindustry", "show")</f>
        <v>show</v>
      </c>
      <c r="H6561" t="str">
        <f>HYPERLINK("https://github.com/Anuken/Mindustry/releases", "show")</f>
        <v>show</v>
      </c>
      <c r="I6561">
        <v>1</v>
      </c>
      <c r="J6561">
        <v>0</v>
      </c>
      <c r="K6561">
        <v>1</v>
      </c>
      <c r="L6561">
        <v>0</v>
      </c>
      <c r="M6561" t="s">
        <v>64</v>
      </c>
    </row>
    <row r="6562" spans="1:13" hidden="1" x14ac:dyDescent="0.15">
      <c r="A6562" t="s">
        <v>20533</v>
      </c>
      <c r="B6562" t="s">
        <v>20534</v>
      </c>
      <c r="C6562" t="s">
        <v>20535</v>
      </c>
      <c r="D6562" t="s">
        <v>20526</v>
      </c>
      <c r="E6562">
        <v>0</v>
      </c>
      <c r="F6562" t="str">
        <f>HYPERLINK("https://github.com/cgeo/cgeo/issues/8901", "show")</f>
        <v>show</v>
      </c>
      <c r="G6562" t="str">
        <f>HYPERLINK("https://github.com/cgeo/cgeo", "show")</f>
        <v>show</v>
      </c>
      <c r="H6562" t="str">
        <f>HYPERLINK("https://github.com/cgeo/cgeo/releases", "show")</f>
        <v>show</v>
      </c>
      <c r="I6562">
        <v>1</v>
      </c>
      <c r="J6562">
        <v>1</v>
      </c>
      <c r="K6562">
        <v>0</v>
      </c>
      <c r="L6562">
        <v>0</v>
      </c>
      <c r="M6562" t="s">
        <v>48</v>
      </c>
    </row>
    <row r="6563" spans="1:13" hidden="1" x14ac:dyDescent="0.15">
      <c r="A6563" t="s">
        <v>20536</v>
      </c>
      <c r="B6563" t="s">
        <v>20537</v>
      </c>
      <c r="C6563" t="s">
        <v>20538</v>
      </c>
      <c r="D6563" t="s">
        <v>20526</v>
      </c>
      <c r="E6563">
        <v>4</v>
      </c>
      <c r="F6563" t="str">
        <f>HYPERLINK("https://github.com/nextcloud/android/issues/6850", "show")</f>
        <v>show</v>
      </c>
      <c r="G6563" t="str">
        <f>HYPERLINK("https://github.com/nextcloud/android", "show")</f>
        <v>show</v>
      </c>
      <c r="H6563" t="str">
        <f>HYPERLINK("https://github.com/nextcloud/android/releases", "show")</f>
        <v>show</v>
      </c>
      <c r="I6563">
        <v>1</v>
      </c>
      <c r="J6563">
        <v>1</v>
      </c>
      <c r="K6563">
        <v>1</v>
      </c>
      <c r="L6563">
        <v>0</v>
      </c>
      <c r="M6563" t="s">
        <v>59</v>
      </c>
    </row>
    <row r="6564" spans="1:13" hidden="1" x14ac:dyDescent="0.15">
      <c r="A6564" t="s">
        <v>20539</v>
      </c>
      <c r="B6564" t="s">
        <v>20540</v>
      </c>
      <c r="C6564" t="s">
        <v>20541</v>
      </c>
      <c r="D6564" t="s">
        <v>20542</v>
      </c>
      <c r="E6564">
        <v>49</v>
      </c>
      <c r="F6564" t="str">
        <f>HYPERLINK("https://github.com/TeamNewPipe/NewPipe/issues/4201", "show")</f>
        <v>show</v>
      </c>
      <c r="G6564" t="str">
        <f>HYPERLINK("https://github.com/TeamNewPipe/NewPipe", "show")</f>
        <v>show</v>
      </c>
      <c r="H6564" t="str">
        <f>HYPERLINK("https://github.com/TeamNewPipe/NewPipe/releases", "show")</f>
        <v>show</v>
      </c>
      <c r="I6564">
        <v>1</v>
      </c>
      <c r="J6564">
        <v>1</v>
      </c>
      <c r="K6564">
        <v>1</v>
      </c>
      <c r="L6564">
        <v>0</v>
      </c>
      <c r="M6564" t="s">
        <v>59</v>
      </c>
    </row>
    <row r="6565" spans="1:13" hidden="1" x14ac:dyDescent="0.15">
      <c r="A6565" t="s">
        <v>20543</v>
      </c>
      <c r="B6565" t="s">
        <v>20544</v>
      </c>
      <c r="C6565" t="s">
        <v>20545</v>
      </c>
      <c r="D6565" t="s">
        <v>20542</v>
      </c>
      <c r="E6565">
        <v>9</v>
      </c>
      <c r="F6565" t="str">
        <f>HYPERLINK("https://github.com/Caceresenzo/My-IUT-Schedule/issues/2", "show")</f>
        <v>show</v>
      </c>
      <c r="G6565" t="str">
        <f>HYPERLINK("https://github.com/Caceresenzo/My-IUT-Schedule", "show")</f>
        <v>show</v>
      </c>
      <c r="H6565" t="str">
        <f>HYPERLINK("https://github.com/Caceresenzo/My-IUT-Schedule/releases", "show")</f>
        <v>show</v>
      </c>
      <c r="I6565">
        <v>1</v>
      </c>
      <c r="J6565">
        <v>0</v>
      </c>
      <c r="K6565">
        <v>0</v>
      </c>
      <c r="L6565">
        <v>0</v>
      </c>
      <c r="M6565" t="s">
        <v>17</v>
      </c>
    </row>
    <row r="6566" spans="1:13" x14ac:dyDescent="0.15">
      <c r="A6566" t="s">
        <v>20546</v>
      </c>
      <c r="B6566" t="s">
        <v>20547</v>
      </c>
      <c r="C6566" t="s">
        <v>20548</v>
      </c>
      <c r="D6566" t="s">
        <v>20542</v>
      </c>
      <c r="E6566">
        <v>1</v>
      </c>
      <c r="F6566" t="str">
        <f>HYPERLINK("https://github.com/Anuken/Mindustry/issues/2450", "show")</f>
        <v>show</v>
      </c>
      <c r="G6566" t="str">
        <f>HYPERLINK("https://github.com/Anuken/Mindustry", "show")</f>
        <v>show</v>
      </c>
      <c r="H6566" t="str">
        <f>HYPERLINK("https://github.com/Anuken/Mindustry/releases", "show")</f>
        <v>show</v>
      </c>
      <c r="I6566">
        <v>0</v>
      </c>
      <c r="J6566">
        <v>1</v>
      </c>
      <c r="K6566">
        <v>0</v>
      </c>
      <c r="L6566">
        <v>0</v>
      </c>
      <c r="M6566" t="s">
        <v>139</v>
      </c>
    </row>
    <row r="6567" spans="1:13" hidden="1" x14ac:dyDescent="0.15">
      <c r="A6567" t="s">
        <v>20549</v>
      </c>
      <c r="B6567" t="s">
        <v>20550</v>
      </c>
      <c r="C6567" t="s">
        <v>20551</v>
      </c>
      <c r="D6567" t="s">
        <v>20542</v>
      </c>
      <c r="E6567">
        <v>4</v>
      </c>
      <c r="F6567" t="str">
        <f>HYPERLINK("https://github.com/Anuken/Mindustry/issues/2449", "show")</f>
        <v>show</v>
      </c>
      <c r="G6567" t="str">
        <f>HYPERLINK("https://github.com/Anuken/Mindustry", "show")</f>
        <v>show</v>
      </c>
      <c r="H6567" t="str">
        <f>HYPERLINK("https://github.com/Anuken/Mindustry/releases", "show")</f>
        <v>show</v>
      </c>
      <c r="I6567">
        <v>0</v>
      </c>
      <c r="J6567">
        <v>0</v>
      </c>
      <c r="K6567">
        <v>0</v>
      </c>
      <c r="L6567">
        <v>1</v>
      </c>
      <c r="M6567" t="s">
        <v>581</v>
      </c>
    </row>
    <row r="6568" spans="1:13" hidden="1" x14ac:dyDescent="0.15">
      <c r="A6568" t="s">
        <v>20552</v>
      </c>
      <c r="B6568" t="s">
        <v>20553</v>
      </c>
      <c r="C6568" t="s">
        <v>20554</v>
      </c>
      <c r="D6568" t="s">
        <v>20542</v>
      </c>
      <c r="E6568">
        <v>0</v>
      </c>
      <c r="F6568" t="str">
        <f>HYPERLINK("https://github.com/ankidroid/Anki-Android/issues/6984", "show")</f>
        <v>show</v>
      </c>
      <c r="G6568" t="str">
        <f>HYPERLINK("https://github.com/ankidroid/Anki-Android", "show")</f>
        <v>show</v>
      </c>
      <c r="H6568" t="str">
        <f>HYPERLINK("https://github.com/ankidroid/Anki-Android/releases", "show")</f>
        <v>show</v>
      </c>
      <c r="I6568">
        <v>1</v>
      </c>
      <c r="J6568">
        <v>0</v>
      </c>
      <c r="K6568">
        <v>1</v>
      </c>
      <c r="L6568">
        <v>0</v>
      </c>
      <c r="M6568" t="s">
        <v>64</v>
      </c>
    </row>
    <row r="6569" spans="1:13" hidden="1" x14ac:dyDescent="0.15">
      <c r="A6569" t="s">
        <v>20555</v>
      </c>
      <c r="B6569" t="s">
        <v>20556</v>
      </c>
      <c r="C6569" t="s">
        <v>20557</v>
      </c>
      <c r="D6569" t="s">
        <v>20542</v>
      </c>
      <c r="E6569">
        <v>1</v>
      </c>
      <c r="F6569" t="str">
        <f>HYPERLINK("https://github.com/Anuken/Mindustry/issues/2446", "show")</f>
        <v>show</v>
      </c>
      <c r="G6569" t="str">
        <f>HYPERLINK("https://github.com/Anuken/Mindustry", "show")</f>
        <v>show</v>
      </c>
      <c r="H6569" t="str">
        <f>HYPERLINK("https://github.com/Anuken/Mindustry/releases", "show")</f>
        <v>show</v>
      </c>
      <c r="I6569">
        <v>0</v>
      </c>
      <c r="J6569">
        <v>0</v>
      </c>
      <c r="K6569">
        <v>0</v>
      </c>
      <c r="L6569">
        <v>0</v>
      </c>
      <c r="M6569" t="s">
        <v>43</v>
      </c>
    </row>
    <row r="6570" spans="1:13" hidden="1" x14ac:dyDescent="0.15">
      <c r="A6570" t="s">
        <v>20558</v>
      </c>
      <c r="B6570" t="s">
        <v>20559</v>
      </c>
      <c r="C6570" t="s">
        <v>20560</v>
      </c>
      <c r="D6570" t="s">
        <v>20542</v>
      </c>
      <c r="E6570">
        <v>13</v>
      </c>
      <c r="F6570" t="str">
        <f>HYPERLINK("https://github.com/woesss/JL-Mod/issues/10", "show")</f>
        <v>show</v>
      </c>
      <c r="G6570" t="str">
        <f>HYPERLINK("https://github.com/woesss/JL-Mod", "show")</f>
        <v>show</v>
      </c>
      <c r="H6570" t="str">
        <f>HYPERLINK("https://github.com/woesss/JL-Mod/releases", "show")</f>
        <v>show</v>
      </c>
      <c r="I6570">
        <v>1</v>
      </c>
      <c r="J6570">
        <v>0</v>
      </c>
      <c r="K6570">
        <v>0</v>
      </c>
      <c r="L6570">
        <v>0</v>
      </c>
      <c r="M6570" t="s">
        <v>17</v>
      </c>
    </row>
    <row r="6571" spans="1:13" hidden="1" x14ac:dyDescent="0.15">
      <c r="A6571" t="s">
        <v>20561</v>
      </c>
      <c r="B6571" t="s">
        <v>20562</v>
      </c>
      <c r="C6571" t="s">
        <v>12185</v>
      </c>
      <c r="D6571" t="s">
        <v>20542</v>
      </c>
      <c r="E6571">
        <v>0</v>
      </c>
      <c r="F6571" t="str">
        <f>HYPERLINK("https://github.com/nextcloud/android/issues/6839", "show")</f>
        <v>show</v>
      </c>
      <c r="G6571" t="str">
        <f>HYPERLINK("https://github.com/nextcloud/android", "show")</f>
        <v>show</v>
      </c>
      <c r="H6571" t="str">
        <f>HYPERLINK("https://github.com/nextcloud/android/releases", "show")</f>
        <v>show</v>
      </c>
      <c r="I6571">
        <v>0</v>
      </c>
      <c r="J6571">
        <v>0</v>
      </c>
      <c r="K6571">
        <v>1</v>
      </c>
      <c r="L6571">
        <v>0</v>
      </c>
      <c r="M6571" t="s">
        <v>122</v>
      </c>
    </row>
    <row r="6572" spans="1:13" hidden="1" x14ac:dyDescent="0.15">
      <c r="A6572" t="s">
        <v>20563</v>
      </c>
      <c r="B6572" t="s">
        <v>20564</v>
      </c>
      <c r="C6572" t="s">
        <v>20565</v>
      </c>
      <c r="D6572" t="s">
        <v>20566</v>
      </c>
      <c r="E6572">
        <v>149</v>
      </c>
      <c r="F6572" t="str">
        <f>HYPERLINK("https://github.com/jellyfin/jellyfin-androidtv/issues/553", "show")</f>
        <v>show</v>
      </c>
      <c r="G6572" t="str">
        <f>HYPERLINK("https://github.com/jellyfin/jellyfin-androidtv", "show")</f>
        <v>show</v>
      </c>
      <c r="H6572" t="str">
        <f>HYPERLINK("https://github.com/jellyfin/jellyfin-androidtv/releases", "show")</f>
        <v>show</v>
      </c>
      <c r="I6572">
        <v>0</v>
      </c>
      <c r="J6572">
        <v>0</v>
      </c>
      <c r="K6572">
        <v>1</v>
      </c>
      <c r="L6572">
        <v>0</v>
      </c>
      <c r="M6572" t="s">
        <v>122</v>
      </c>
    </row>
    <row r="6573" spans="1:13" hidden="1" x14ac:dyDescent="0.15">
      <c r="A6573" t="s">
        <v>20567</v>
      </c>
      <c r="B6573" t="s">
        <v>20568</v>
      </c>
      <c r="C6573" t="s">
        <v>20569</v>
      </c>
      <c r="D6573" t="s">
        <v>20566</v>
      </c>
      <c r="E6573">
        <v>140</v>
      </c>
      <c r="F6573" t="str">
        <f>HYPERLINK("https://github.com/PhenoApps/Field-Book/issues/150", "show")</f>
        <v>show</v>
      </c>
      <c r="G6573" t="str">
        <f>HYPERLINK("https://github.com/PhenoApps/Field-Book", "show")</f>
        <v>show</v>
      </c>
      <c r="H6573" t="str">
        <f>HYPERLINK("https://github.com/PhenoApps/Field-Book/releases", "show")</f>
        <v>show</v>
      </c>
      <c r="I6573">
        <v>0</v>
      </c>
      <c r="J6573">
        <v>1</v>
      </c>
      <c r="K6573">
        <v>0</v>
      </c>
      <c r="L6573">
        <v>1</v>
      </c>
      <c r="M6573" t="s">
        <v>1732</v>
      </c>
    </row>
    <row r="6574" spans="1:13" hidden="1" x14ac:dyDescent="0.15">
      <c r="A6574" t="s">
        <v>20570</v>
      </c>
      <c r="B6574" t="s">
        <v>20571</v>
      </c>
      <c r="C6574" t="s">
        <v>20572</v>
      </c>
      <c r="D6574" t="s">
        <v>20566</v>
      </c>
      <c r="E6574">
        <v>0</v>
      </c>
      <c r="F6574" t="str">
        <f>HYPERLINK("https://github.com/Anuken/Mindustry/issues/2443", "show")</f>
        <v>show</v>
      </c>
      <c r="G6574" t="str">
        <f>HYPERLINK("https://github.com/Anuken/Mindustry", "show")</f>
        <v>show</v>
      </c>
      <c r="H6574" t="str">
        <f>HYPERLINK("https://github.com/Anuken/Mindustry/releases", "show")</f>
        <v>show</v>
      </c>
      <c r="I6574">
        <v>0</v>
      </c>
      <c r="J6574">
        <v>0</v>
      </c>
      <c r="K6574">
        <v>0</v>
      </c>
      <c r="L6574">
        <v>0</v>
      </c>
      <c r="M6574" t="s">
        <v>43</v>
      </c>
    </row>
    <row r="6575" spans="1:13" hidden="1" x14ac:dyDescent="0.15">
      <c r="A6575" t="s">
        <v>20573</v>
      </c>
      <c r="B6575" t="s">
        <v>20574</v>
      </c>
      <c r="C6575" t="s">
        <v>20575</v>
      </c>
      <c r="D6575" t="s">
        <v>20566</v>
      </c>
      <c r="E6575">
        <v>0</v>
      </c>
      <c r="F6575" t="str">
        <f>HYPERLINK("https://github.com/Anuken/Mindustry/issues/2442", "show")</f>
        <v>show</v>
      </c>
      <c r="G6575" t="str">
        <f>HYPERLINK("https://github.com/Anuken/Mindustry", "show")</f>
        <v>show</v>
      </c>
      <c r="H6575" t="str">
        <f>HYPERLINK("https://github.com/Anuken/Mindustry/releases", "show")</f>
        <v>show</v>
      </c>
      <c r="I6575">
        <v>0</v>
      </c>
      <c r="J6575">
        <v>0</v>
      </c>
      <c r="K6575">
        <v>0</v>
      </c>
      <c r="L6575">
        <v>0</v>
      </c>
      <c r="M6575" t="s">
        <v>43</v>
      </c>
    </row>
    <row r="6576" spans="1:13" hidden="1" x14ac:dyDescent="0.15">
      <c r="A6576" t="s">
        <v>20576</v>
      </c>
      <c r="B6576" t="s">
        <v>20577</v>
      </c>
      <c r="C6576" t="s">
        <v>12185</v>
      </c>
      <c r="D6576" t="s">
        <v>20566</v>
      </c>
      <c r="E6576">
        <v>1</v>
      </c>
      <c r="F6576" t="str">
        <f>HYPERLINK("https://github.com/nextcloud/android/issues/6829", "show")</f>
        <v>show</v>
      </c>
      <c r="G6576" t="str">
        <f>HYPERLINK("https://github.com/nextcloud/android", "show")</f>
        <v>show</v>
      </c>
      <c r="H6576" t="str">
        <f>HYPERLINK("https://github.com/nextcloud/android/releases", "show")</f>
        <v>show</v>
      </c>
      <c r="I6576">
        <v>0</v>
      </c>
      <c r="J6576">
        <v>0</v>
      </c>
      <c r="K6576">
        <v>1</v>
      </c>
      <c r="L6576">
        <v>0</v>
      </c>
      <c r="M6576" t="s">
        <v>122</v>
      </c>
    </row>
    <row r="6577" spans="1:13" hidden="1" x14ac:dyDescent="0.15">
      <c r="A6577" t="s">
        <v>20578</v>
      </c>
      <c r="B6577" t="s">
        <v>20579</v>
      </c>
      <c r="C6577" t="s">
        <v>20580</v>
      </c>
      <c r="D6577" t="s">
        <v>20581</v>
      </c>
      <c r="E6577">
        <v>86</v>
      </c>
      <c r="F6577" t="str">
        <f>HYPERLINK("https://github.com/jonathanpalma/react-native-tesseract-ocr/issues/88", "show")</f>
        <v>show</v>
      </c>
      <c r="G6577" t="str">
        <f>HYPERLINK("https://github.com/jonathanpalma/react-native-tesseract-ocr", "show")</f>
        <v>show</v>
      </c>
      <c r="H6577" t="str">
        <f>HYPERLINK("https://github.com/jonathanpalma/react-native-tesseract-ocr/releases", "show")</f>
        <v>show</v>
      </c>
      <c r="I6577">
        <v>1</v>
      </c>
      <c r="J6577">
        <v>1</v>
      </c>
      <c r="K6577">
        <v>0</v>
      </c>
      <c r="L6577">
        <v>0</v>
      </c>
      <c r="M6577" t="s">
        <v>48</v>
      </c>
    </row>
    <row r="6578" spans="1:13" hidden="1" x14ac:dyDescent="0.15">
      <c r="A6578" t="s">
        <v>20582</v>
      </c>
      <c r="B6578" t="s">
        <v>18020</v>
      </c>
      <c r="C6578" t="s">
        <v>20583</v>
      </c>
      <c r="D6578" t="s">
        <v>20581</v>
      </c>
      <c r="E6578">
        <v>0</v>
      </c>
      <c r="F6578" t="str">
        <f>HYPERLINK("https://github.com/Anuken/Mindustry/issues/2436", "show")</f>
        <v>show</v>
      </c>
      <c r="G6578" t="str">
        <f>HYPERLINK("https://github.com/Anuken/Mindustry", "show")</f>
        <v>show</v>
      </c>
      <c r="H6578" t="str">
        <f>HYPERLINK("https://github.com/Anuken/Mindustry/releases", "show")</f>
        <v>show</v>
      </c>
      <c r="I6578">
        <v>0</v>
      </c>
      <c r="J6578">
        <v>0</v>
      </c>
      <c r="K6578">
        <v>0</v>
      </c>
      <c r="L6578">
        <v>0</v>
      </c>
      <c r="M6578" t="s">
        <v>43</v>
      </c>
    </row>
    <row r="6579" spans="1:13" hidden="1" x14ac:dyDescent="0.15">
      <c r="A6579" t="s">
        <v>20584</v>
      </c>
      <c r="B6579" t="s">
        <v>20585</v>
      </c>
      <c r="C6579" t="s">
        <v>20586</v>
      </c>
      <c r="D6579" t="s">
        <v>20581</v>
      </c>
      <c r="E6579">
        <v>33</v>
      </c>
      <c r="F6579" t="str">
        <f>HYPERLINK("https://github.com/PhenoApps/Field-Book/issues/148", "show")</f>
        <v>show</v>
      </c>
      <c r="G6579" t="str">
        <f>HYPERLINK("https://github.com/PhenoApps/Field-Book", "show")</f>
        <v>show</v>
      </c>
      <c r="H6579" t="str">
        <f>HYPERLINK("https://github.com/PhenoApps/Field-Book/releases", "show")</f>
        <v>show</v>
      </c>
      <c r="I6579">
        <v>1</v>
      </c>
      <c r="J6579">
        <v>1</v>
      </c>
      <c r="K6579">
        <v>0</v>
      </c>
      <c r="L6579">
        <v>0</v>
      </c>
      <c r="M6579" t="s">
        <v>48</v>
      </c>
    </row>
    <row r="6580" spans="1:13" hidden="1" x14ac:dyDescent="0.15">
      <c r="A6580" t="s">
        <v>20587</v>
      </c>
      <c r="B6580" t="s">
        <v>20588</v>
      </c>
      <c r="C6580" t="s">
        <v>20589</v>
      </c>
      <c r="D6580" t="s">
        <v>20581</v>
      </c>
      <c r="E6580">
        <v>432</v>
      </c>
      <c r="F6580" t="str">
        <f>HYPERLINK("https://github.com/PhenoApps/Field-Book/issues/147", "show")</f>
        <v>show</v>
      </c>
      <c r="G6580" t="str">
        <f>HYPERLINK("https://github.com/PhenoApps/Field-Book", "show")</f>
        <v>show</v>
      </c>
      <c r="H6580" t="str">
        <f>HYPERLINK("https://github.com/PhenoApps/Field-Book/releases", "show")</f>
        <v>show</v>
      </c>
      <c r="I6580">
        <v>0</v>
      </c>
      <c r="J6580">
        <v>1</v>
      </c>
      <c r="K6580">
        <v>0</v>
      </c>
      <c r="L6580">
        <v>1</v>
      </c>
      <c r="M6580" t="s">
        <v>1732</v>
      </c>
    </row>
    <row r="6581" spans="1:13" hidden="1" x14ac:dyDescent="0.15">
      <c r="A6581" t="s">
        <v>20590</v>
      </c>
      <c r="B6581" t="s">
        <v>20591</v>
      </c>
      <c r="C6581" t="s">
        <v>20592</v>
      </c>
      <c r="D6581" t="s">
        <v>20581</v>
      </c>
      <c r="E6581">
        <v>0</v>
      </c>
      <c r="F6581" t="str">
        <f>HYPERLINK("https://github.com/Anuken/Mindustry/issues/2431", "show")</f>
        <v>show</v>
      </c>
      <c r="G6581" t="str">
        <f>HYPERLINK("https://github.com/Anuken/Mindustry", "show")</f>
        <v>show</v>
      </c>
      <c r="H6581" t="str">
        <f>HYPERLINK("https://github.com/Anuken/Mindustry/releases", "show")</f>
        <v>show</v>
      </c>
      <c r="I6581">
        <v>0</v>
      </c>
      <c r="J6581">
        <v>0</v>
      </c>
      <c r="K6581">
        <v>0</v>
      </c>
      <c r="L6581">
        <v>0</v>
      </c>
      <c r="M6581" t="s">
        <v>43</v>
      </c>
    </row>
    <row r="6582" spans="1:13" hidden="1" x14ac:dyDescent="0.15">
      <c r="A6582" t="s">
        <v>20593</v>
      </c>
      <c r="B6582" t="s">
        <v>20594</v>
      </c>
      <c r="C6582" t="s">
        <v>20595</v>
      </c>
      <c r="D6582" t="s">
        <v>20581</v>
      </c>
      <c r="E6582">
        <v>0</v>
      </c>
      <c r="F6582" t="str">
        <f>HYPERLINK("https://github.com/Anuken/Mindustry/issues/2429", "show")</f>
        <v>show</v>
      </c>
      <c r="G6582" t="str">
        <f>HYPERLINK("https://github.com/Anuken/Mindustry", "show")</f>
        <v>show</v>
      </c>
      <c r="H6582" t="str">
        <f>HYPERLINK("https://github.com/Anuken/Mindustry/releases", "show")</f>
        <v>show</v>
      </c>
      <c r="I6582">
        <v>0</v>
      </c>
      <c r="J6582">
        <v>0</v>
      </c>
      <c r="K6582">
        <v>0</v>
      </c>
      <c r="L6582">
        <v>1</v>
      </c>
      <c r="M6582" t="s">
        <v>581</v>
      </c>
    </row>
    <row r="6583" spans="1:13" hidden="1" x14ac:dyDescent="0.15">
      <c r="A6583" t="s">
        <v>20596</v>
      </c>
      <c r="B6583" t="s">
        <v>20597</v>
      </c>
      <c r="C6583" t="s">
        <v>20598</v>
      </c>
      <c r="D6583" t="s">
        <v>20581</v>
      </c>
      <c r="E6583">
        <v>0</v>
      </c>
      <c r="F6583" t="str">
        <f>HYPERLINK("https://github.com/Anuken/Mindustry/issues/2425", "show")</f>
        <v>show</v>
      </c>
      <c r="G6583" t="str">
        <f>HYPERLINK("https://github.com/Anuken/Mindustry", "show")</f>
        <v>show</v>
      </c>
      <c r="H6583" t="str">
        <f>HYPERLINK("https://github.com/Anuken/Mindustry/releases", "show")</f>
        <v>show</v>
      </c>
      <c r="I6583">
        <v>0</v>
      </c>
      <c r="J6583">
        <v>0</v>
      </c>
      <c r="K6583">
        <v>0</v>
      </c>
      <c r="L6583">
        <v>0</v>
      </c>
      <c r="M6583" t="s">
        <v>43</v>
      </c>
    </row>
    <row r="6584" spans="1:13" hidden="1" x14ac:dyDescent="0.15">
      <c r="A6584" t="s">
        <v>20599</v>
      </c>
      <c r="B6584" t="s">
        <v>20600</v>
      </c>
      <c r="C6584" t="s">
        <v>20601</v>
      </c>
      <c r="D6584" t="s">
        <v>20602</v>
      </c>
      <c r="E6584">
        <v>0</v>
      </c>
      <c r="F6584" t="str">
        <f>HYPERLINK("https://github.com/Anuken/Mindustry/issues/2424", "show")</f>
        <v>show</v>
      </c>
      <c r="G6584" t="str">
        <f>HYPERLINK("https://github.com/Anuken/Mindustry", "show")</f>
        <v>show</v>
      </c>
      <c r="H6584" t="str">
        <f>HYPERLINK("https://github.com/Anuken/Mindustry/releases", "show")</f>
        <v>show</v>
      </c>
      <c r="I6584">
        <v>0</v>
      </c>
      <c r="J6584">
        <v>0</v>
      </c>
      <c r="K6584">
        <v>0</v>
      </c>
      <c r="L6584">
        <v>0</v>
      </c>
      <c r="M6584" t="s">
        <v>43</v>
      </c>
    </row>
    <row r="6585" spans="1:13" hidden="1" x14ac:dyDescent="0.15">
      <c r="A6585" t="s">
        <v>20603</v>
      </c>
      <c r="B6585" t="s">
        <v>20604</v>
      </c>
      <c r="C6585" t="s">
        <v>20605</v>
      </c>
      <c r="D6585" t="s">
        <v>20602</v>
      </c>
      <c r="E6585">
        <v>1</v>
      </c>
      <c r="F6585" t="str">
        <f>HYPERLINK("https://github.com/meet-eat/meet-eat-app-android/issues/21", "show")</f>
        <v>show</v>
      </c>
      <c r="G6585" t="str">
        <f>HYPERLINK("https://github.com/meet-eat/meet-eat-app-android", "show")</f>
        <v>show</v>
      </c>
      <c r="H6585" t="str">
        <f>HYPERLINK("https://github.com/meet-eat/meet-eat-app-android/releases", "show")</f>
        <v>show</v>
      </c>
      <c r="I6585">
        <v>1</v>
      </c>
      <c r="J6585">
        <v>1</v>
      </c>
      <c r="K6585">
        <v>0</v>
      </c>
      <c r="L6585">
        <v>1</v>
      </c>
      <c r="M6585" t="s">
        <v>1894</v>
      </c>
    </row>
    <row r="6586" spans="1:13" hidden="1" x14ac:dyDescent="0.15">
      <c r="A6586" t="s">
        <v>20606</v>
      </c>
      <c r="B6586" t="s">
        <v>20607</v>
      </c>
      <c r="C6586" t="s">
        <v>20608</v>
      </c>
      <c r="D6586" t="s">
        <v>20602</v>
      </c>
      <c r="E6586">
        <v>1</v>
      </c>
      <c r="F6586" t="str">
        <f>HYPERLINK("https://github.com/meet-eat/meet-eat-app-android/issues/19", "show")</f>
        <v>show</v>
      </c>
      <c r="G6586" t="str">
        <f>HYPERLINK("https://github.com/meet-eat/meet-eat-app-android", "show")</f>
        <v>show</v>
      </c>
      <c r="H6586" t="str">
        <f>HYPERLINK("https://github.com/meet-eat/meet-eat-app-android/releases", "show")</f>
        <v>show</v>
      </c>
      <c r="I6586">
        <v>1</v>
      </c>
      <c r="J6586">
        <v>1</v>
      </c>
      <c r="K6586">
        <v>0</v>
      </c>
      <c r="L6586">
        <v>1</v>
      </c>
      <c r="M6586" t="s">
        <v>1894</v>
      </c>
    </row>
    <row r="6587" spans="1:13" hidden="1" x14ac:dyDescent="0.15">
      <c r="A6587" t="s">
        <v>20609</v>
      </c>
      <c r="B6587" t="s">
        <v>20610</v>
      </c>
      <c r="C6587" t="s">
        <v>20611</v>
      </c>
      <c r="D6587" t="s">
        <v>20602</v>
      </c>
      <c r="E6587">
        <v>0</v>
      </c>
      <c r="F6587" t="str">
        <f>HYPERLINK("https://github.com/Anuken/Mindustry/issues/2417", "show")</f>
        <v>show</v>
      </c>
      <c r="G6587" t="str">
        <f>HYPERLINK("https://github.com/Anuken/Mindustry", "show")</f>
        <v>show</v>
      </c>
      <c r="H6587" t="str">
        <f>HYPERLINK("https://github.com/Anuken/Mindustry/releases", "show")</f>
        <v>show</v>
      </c>
      <c r="I6587">
        <v>0</v>
      </c>
      <c r="J6587">
        <v>0</v>
      </c>
      <c r="K6587">
        <v>0</v>
      </c>
      <c r="L6587">
        <v>0</v>
      </c>
      <c r="M6587" t="s">
        <v>43</v>
      </c>
    </row>
    <row r="6588" spans="1:13" x14ac:dyDescent="0.15">
      <c r="A6588" t="s">
        <v>20612</v>
      </c>
      <c r="B6588" t="s">
        <v>20613</v>
      </c>
      <c r="C6588" t="s">
        <v>20614</v>
      </c>
      <c r="D6588" t="s">
        <v>20602</v>
      </c>
      <c r="E6588">
        <v>2</v>
      </c>
      <c r="F6588" t="str">
        <f>HYPERLINK("https://github.com/arduino/Arduino-Science-Journal-Android/issues/6", "show")</f>
        <v>show</v>
      </c>
      <c r="G6588" t="str">
        <f>HYPERLINK("https://github.com/arduino/Arduino-Science-Journal-Android", "show")</f>
        <v>show</v>
      </c>
      <c r="H6588" t="str">
        <f>HYPERLINK("https://github.com/arduino/Arduino-Science-Journal-Android/releases", "show")</f>
        <v>show</v>
      </c>
      <c r="I6588">
        <v>0</v>
      </c>
      <c r="J6588">
        <v>1</v>
      </c>
      <c r="K6588">
        <v>0</v>
      </c>
      <c r="L6588">
        <v>0</v>
      </c>
      <c r="M6588" t="s">
        <v>139</v>
      </c>
    </row>
    <row r="6589" spans="1:13" hidden="1" x14ac:dyDescent="0.15">
      <c r="A6589" t="s">
        <v>20615</v>
      </c>
      <c r="B6589" t="s">
        <v>20616</v>
      </c>
      <c r="C6589" t="s">
        <v>20617</v>
      </c>
      <c r="D6589" t="s">
        <v>20602</v>
      </c>
      <c r="E6589">
        <v>2</v>
      </c>
      <c r="F6589" t="str">
        <f>HYPERLINK("https://github.com/Blankj/AndroidUtilCode/issues/1310", "show")</f>
        <v>show</v>
      </c>
      <c r="G6589" t="str">
        <f>HYPERLINK("https://github.com/Blankj/AndroidUtilCode", "show")</f>
        <v>show</v>
      </c>
      <c r="H6589" t="str">
        <f>HYPERLINK("https://github.com/Blankj/AndroidUtilCode/releases", "show")</f>
        <v>show</v>
      </c>
      <c r="I6589">
        <v>1</v>
      </c>
      <c r="J6589">
        <v>0</v>
      </c>
      <c r="K6589">
        <v>1</v>
      </c>
      <c r="L6589">
        <v>0</v>
      </c>
      <c r="M6589" t="s">
        <v>64</v>
      </c>
    </row>
    <row r="6590" spans="1:13" hidden="1" x14ac:dyDescent="0.15">
      <c r="A6590" t="s">
        <v>20618</v>
      </c>
      <c r="B6590" t="s">
        <v>20619</v>
      </c>
      <c r="C6590" t="s">
        <v>20620</v>
      </c>
      <c r="D6590" t="s">
        <v>20621</v>
      </c>
      <c r="E6590">
        <v>35</v>
      </c>
      <c r="F6590" t="str">
        <f>HYPERLINK("https://github.com/PhenoApps/Field-Book/issues/146", "show")</f>
        <v>show</v>
      </c>
      <c r="G6590" t="str">
        <f>HYPERLINK("https://github.com/PhenoApps/Field-Book", "show")</f>
        <v>show</v>
      </c>
      <c r="H6590" t="str">
        <f>HYPERLINK("https://github.com/PhenoApps/Field-Book/releases", "show")</f>
        <v>show</v>
      </c>
      <c r="I6590">
        <v>1</v>
      </c>
      <c r="J6590">
        <v>1</v>
      </c>
      <c r="K6590">
        <v>1</v>
      </c>
      <c r="L6590">
        <v>0</v>
      </c>
      <c r="M6590" t="s">
        <v>59</v>
      </c>
    </row>
    <row r="6591" spans="1:13" hidden="1" x14ac:dyDescent="0.15">
      <c r="A6591" t="s">
        <v>20622</v>
      </c>
      <c r="B6591" t="s">
        <v>20623</v>
      </c>
      <c r="C6591" t="s">
        <v>20624</v>
      </c>
      <c r="D6591" t="s">
        <v>20621</v>
      </c>
      <c r="E6591">
        <v>3</v>
      </c>
      <c r="F6591" t="str">
        <f>HYPERLINK("https://github.com/OpenTracksApp/OpenTracks/issues/390", "show")</f>
        <v>show</v>
      </c>
      <c r="G6591" t="str">
        <f>HYPERLINK("https://github.com/OpenTracksApp/OpenTracks", "show")</f>
        <v>show</v>
      </c>
      <c r="H6591" t="str">
        <f>HYPERLINK("https://github.com/OpenTracksApp/OpenTracks/releases", "show")</f>
        <v>show</v>
      </c>
      <c r="I6591">
        <v>1</v>
      </c>
      <c r="J6591">
        <v>1</v>
      </c>
      <c r="K6591">
        <v>0</v>
      </c>
      <c r="L6591">
        <v>0</v>
      </c>
      <c r="M6591" t="s">
        <v>48</v>
      </c>
    </row>
    <row r="6592" spans="1:13" hidden="1" x14ac:dyDescent="0.15">
      <c r="A6592" t="s">
        <v>20625</v>
      </c>
      <c r="B6592" t="s">
        <v>20626</v>
      </c>
      <c r="C6592" t="s">
        <v>20627</v>
      </c>
      <c r="D6592" t="s">
        <v>20621</v>
      </c>
      <c r="E6592">
        <v>32</v>
      </c>
      <c r="F6592" t="str">
        <f>HYPERLINK("https://github.com/getodk/collect/issues/4036", "show")</f>
        <v>show</v>
      </c>
      <c r="G6592" t="str">
        <f>HYPERLINK("https://github.com/getodk/collect", "show")</f>
        <v>show</v>
      </c>
      <c r="H6592" t="str">
        <f>HYPERLINK("https://github.com/getodk/collect/releases", "show")</f>
        <v>show</v>
      </c>
      <c r="I6592">
        <v>0</v>
      </c>
      <c r="J6592">
        <v>0</v>
      </c>
      <c r="K6592">
        <v>1</v>
      </c>
      <c r="L6592">
        <v>0</v>
      </c>
      <c r="M6592" t="s">
        <v>122</v>
      </c>
    </row>
    <row r="6593" spans="1:13" hidden="1" x14ac:dyDescent="0.15">
      <c r="A6593" t="s">
        <v>20628</v>
      </c>
      <c r="B6593" t="s">
        <v>20629</v>
      </c>
      <c r="C6593" t="s">
        <v>20630</v>
      </c>
      <c r="D6593" t="s">
        <v>20631</v>
      </c>
      <c r="E6593">
        <v>0</v>
      </c>
      <c r="F6593" t="str">
        <f>HYPERLINK("https://github.com/Anuken/Mindustry/issues/2406", "show")</f>
        <v>show</v>
      </c>
      <c r="G6593" t="str">
        <f>HYPERLINK("https://github.com/Anuken/Mindustry", "show")</f>
        <v>show</v>
      </c>
      <c r="H6593" t="str">
        <f>HYPERLINK("https://github.com/Anuken/Mindustry/releases", "show")</f>
        <v>show</v>
      </c>
      <c r="I6593">
        <v>0</v>
      </c>
      <c r="J6593">
        <v>0</v>
      </c>
      <c r="K6593">
        <v>0</v>
      </c>
      <c r="L6593">
        <v>1</v>
      </c>
      <c r="M6593" t="s">
        <v>581</v>
      </c>
    </row>
    <row r="6594" spans="1:13" hidden="1" x14ac:dyDescent="0.15">
      <c r="A6594" t="s">
        <v>20632</v>
      </c>
      <c r="B6594" t="s">
        <v>20633</v>
      </c>
      <c r="C6594" t="s">
        <v>20634</v>
      </c>
      <c r="D6594" t="s">
        <v>20631</v>
      </c>
      <c r="E6594">
        <v>19</v>
      </c>
      <c r="F6594" t="str">
        <f>HYPERLINK("https://github.com/CactiChameleon9/Gecko-Browser/issues/1", "show")</f>
        <v>show</v>
      </c>
      <c r="G6594" t="str">
        <f>HYPERLINK("https://github.com/CactiChameleon9/Gecko-Browser", "show")</f>
        <v>show</v>
      </c>
      <c r="H6594" t="str">
        <f>HYPERLINK("https://github.com/CactiChameleon9/Gecko-Browser/releases", "show")</f>
        <v>show</v>
      </c>
      <c r="I6594">
        <v>0</v>
      </c>
      <c r="J6594">
        <v>1</v>
      </c>
      <c r="K6594">
        <v>0</v>
      </c>
      <c r="L6594">
        <v>1</v>
      </c>
      <c r="M6594" t="s">
        <v>1732</v>
      </c>
    </row>
    <row r="6595" spans="1:13" x14ac:dyDescent="0.15">
      <c r="A6595" t="s">
        <v>20635</v>
      </c>
      <c r="B6595" t="s">
        <v>20636</v>
      </c>
      <c r="C6595" t="s">
        <v>20637</v>
      </c>
      <c r="D6595" t="s">
        <v>20638</v>
      </c>
      <c r="E6595">
        <v>3</v>
      </c>
      <c r="F6595" t="str">
        <f>HYPERLINK("https://github.com/aws-amplify/amplify-android/issues/748", "show")</f>
        <v>show</v>
      </c>
      <c r="G6595" t="str">
        <f>HYPERLINK("https://github.com/aws-amplify/amplify-android", "show")</f>
        <v>show</v>
      </c>
      <c r="H6595" t="str">
        <f>HYPERLINK("https://github.com/aws-amplify/amplify-android/releases", "show")</f>
        <v>show</v>
      </c>
      <c r="I6595">
        <v>0</v>
      </c>
      <c r="J6595">
        <v>1</v>
      </c>
      <c r="K6595">
        <v>0</v>
      </c>
      <c r="L6595">
        <v>0</v>
      </c>
      <c r="M6595" t="s">
        <v>139</v>
      </c>
    </row>
    <row r="6596" spans="1:13" hidden="1" x14ac:dyDescent="0.15">
      <c r="A6596" t="s">
        <v>20639</v>
      </c>
      <c r="B6596" t="s">
        <v>20640</v>
      </c>
      <c r="C6596" t="s">
        <v>20641</v>
      </c>
      <c r="D6596" t="s">
        <v>20638</v>
      </c>
      <c r="E6596">
        <v>0</v>
      </c>
      <c r="F6596" t="str">
        <f>HYPERLINK("https://github.com/Anuken/Mindustry/issues/2404", "show")</f>
        <v>show</v>
      </c>
      <c r="G6596" t="str">
        <f>HYPERLINK("https://github.com/Anuken/Mindustry", "show")</f>
        <v>show</v>
      </c>
      <c r="H6596" t="str">
        <f>HYPERLINK("https://github.com/Anuken/Mindustry/releases", "show")</f>
        <v>show</v>
      </c>
      <c r="I6596">
        <v>1</v>
      </c>
      <c r="J6596">
        <v>1</v>
      </c>
      <c r="K6596">
        <v>1</v>
      </c>
      <c r="L6596">
        <v>0</v>
      </c>
      <c r="M6596" t="s">
        <v>59</v>
      </c>
    </row>
    <row r="6597" spans="1:13" x14ac:dyDescent="0.15">
      <c r="A6597" t="s">
        <v>20642</v>
      </c>
      <c r="B6597" t="s">
        <v>20643</v>
      </c>
      <c r="C6597" t="s">
        <v>20644</v>
      </c>
      <c r="D6597" t="s">
        <v>20638</v>
      </c>
      <c r="E6597">
        <v>0</v>
      </c>
      <c r="F6597" t="str">
        <f>HYPERLINK("https://github.com/Anuken/Mindustry/issues/2402", "show")</f>
        <v>show</v>
      </c>
      <c r="G6597" t="str">
        <f>HYPERLINK("https://github.com/Anuken/Mindustry", "show")</f>
        <v>show</v>
      </c>
      <c r="H6597" t="str">
        <f>HYPERLINK("https://github.com/Anuken/Mindustry/releases", "show")</f>
        <v>show</v>
      </c>
      <c r="I6597">
        <v>0</v>
      </c>
      <c r="J6597">
        <v>1</v>
      </c>
      <c r="K6597">
        <v>0</v>
      </c>
      <c r="L6597">
        <v>0</v>
      </c>
      <c r="M6597" t="s">
        <v>139</v>
      </c>
    </row>
    <row r="6598" spans="1:13" x14ac:dyDescent="0.15">
      <c r="A6598" t="s">
        <v>20645</v>
      </c>
      <c r="B6598" t="s">
        <v>20646</v>
      </c>
      <c r="C6598" t="s">
        <v>20647</v>
      </c>
      <c r="D6598" t="s">
        <v>20638</v>
      </c>
      <c r="E6598">
        <v>0</v>
      </c>
      <c r="F6598" t="str">
        <f>HYPERLINK("https://github.com/Anuken/Mindustry/issues/2398", "show")</f>
        <v>show</v>
      </c>
      <c r="G6598" t="str">
        <f>HYPERLINK("https://github.com/Anuken/Mindustry", "show")</f>
        <v>show</v>
      </c>
      <c r="H6598" t="str">
        <f>HYPERLINK("https://github.com/Anuken/Mindustry/releases", "show")</f>
        <v>show</v>
      </c>
      <c r="I6598">
        <v>0</v>
      </c>
      <c r="J6598">
        <v>1</v>
      </c>
      <c r="K6598">
        <v>0</v>
      </c>
      <c r="L6598">
        <v>0</v>
      </c>
      <c r="M6598" t="s">
        <v>139</v>
      </c>
    </row>
    <row r="6599" spans="1:13" hidden="1" x14ac:dyDescent="0.15">
      <c r="A6599" t="s">
        <v>20648</v>
      </c>
      <c r="B6599" t="s">
        <v>20649</v>
      </c>
      <c r="C6599" t="s">
        <v>20650</v>
      </c>
      <c r="D6599" t="s">
        <v>20651</v>
      </c>
      <c r="E6599">
        <v>51</v>
      </c>
      <c r="F6599" t="str">
        <f>HYPERLINK("https://github.com/nextcloud/android/issues/6779", "show")</f>
        <v>show</v>
      </c>
      <c r="G6599" t="str">
        <f>HYPERLINK("https://github.com/nextcloud/android", "show")</f>
        <v>show</v>
      </c>
      <c r="H6599" t="str">
        <f>HYPERLINK("https://github.com/nextcloud/android/releases", "show")</f>
        <v>show</v>
      </c>
      <c r="I6599">
        <v>1</v>
      </c>
      <c r="J6599">
        <v>1</v>
      </c>
      <c r="K6599">
        <v>1</v>
      </c>
      <c r="L6599">
        <v>0</v>
      </c>
      <c r="M6599" t="s">
        <v>59</v>
      </c>
    </row>
    <row r="6600" spans="1:13" hidden="1" x14ac:dyDescent="0.15">
      <c r="A6600" t="s">
        <v>20652</v>
      </c>
      <c r="B6600" t="s">
        <v>20653</v>
      </c>
      <c r="C6600" t="s">
        <v>20654</v>
      </c>
      <c r="D6600" t="s">
        <v>20651</v>
      </c>
      <c r="E6600">
        <v>5</v>
      </c>
      <c r="F6600" t="str">
        <f>HYPERLINK("https://github.com/nextcloud/android/issues/6776", "show")</f>
        <v>show</v>
      </c>
      <c r="G6600" t="str">
        <f>HYPERLINK("https://github.com/nextcloud/android", "show")</f>
        <v>show</v>
      </c>
      <c r="H6600" t="str">
        <f>HYPERLINK("https://github.com/nextcloud/android/releases", "show")</f>
        <v>show</v>
      </c>
      <c r="I6600">
        <v>1</v>
      </c>
      <c r="J6600">
        <v>1</v>
      </c>
      <c r="K6600">
        <v>0</v>
      </c>
      <c r="L6600">
        <v>0</v>
      </c>
      <c r="M6600" t="s">
        <v>48</v>
      </c>
    </row>
    <row r="6601" spans="1:13" hidden="1" x14ac:dyDescent="0.15">
      <c r="A6601" t="s">
        <v>20655</v>
      </c>
      <c r="B6601" t="s">
        <v>20656</v>
      </c>
      <c r="C6601" t="s">
        <v>20657</v>
      </c>
      <c r="D6601" t="s">
        <v>20651</v>
      </c>
      <c r="E6601">
        <v>0</v>
      </c>
      <c r="F6601" t="str">
        <f>HYPERLINK("https://github.com/Anuken/Mindustry/issues/2394", "show")</f>
        <v>show</v>
      </c>
      <c r="G6601" t="str">
        <f>HYPERLINK("https://github.com/Anuken/Mindustry", "show")</f>
        <v>show</v>
      </c>
      <c r="H6601" t="str">
        <f>HYPERLINK("https://github.com/Anuken/Mindustry/releases", "show")</f>
        <v>show</v>
      </c>
      <c r="I6601">
        <v>1</v>
      </c>
      <c r="J6601">
        <v>0</v>
      </c>
      <c r="K6601">
        <v>0</v>
      </c>
      <c r="L6601">
        <v>0</v>
      </c>
      <c r="M6601" t="s">
        <v>17</v>
      </c>
    </row>
    <row r="6602" spans="1:13" hidden="1" x14ac:dyDescent="0.15">
      <c r="A6602" t="s">
        <v>20658</v>
      </c>
      <c r="B6602" t="s">
        <v>20659</v>
      </c>
      <c r="C6602" t="s">
        <v>20660</v>
      </c>
      <c r="D6602" t="s">
        <v>20651</v>
      </c>
      <c r="E6602">
        <v>0</v>
      </c>
      <c r="F6602" t="str">
        <f>HYPERLINK("https://github.com/TeamNewPipe/NewPipe/issues/4172", "show")</f>
        <v>show</v>
      </c>
      <c r="G6602" t="str">
        <f>HYPERLINK("https://github.com/TeamNewPipe/NewPipe", "show")</f>
        <v>show</v>
      </c>
      <c r="H6602" t="str">
        <f>HYPERLINK("https://github.com/TeamNewPipe/NewPipe/releases", "show")</f>
        <v>show</v>
      </c>
      <c r="I6602">
        <v>1</v>
      </c>
      <c r="J6602">
        <v>1</v>
      </c>
      <c r="K6602">
        <v>1</v>
      </c>
      <c r="L6602">
        <v>1</v>
      </c>
      <c r="M6602" t="s">
        <v>2875</v>
      </c>
    </row>
    <row r="6603" spans="1:13" hidden="1" x14ac:dyDescent="0.15">
      <c r="A6603" t="s">
        <v>20661</v>
      </c>
      <c r="B6603" t="s">
        <v>20662</v>
      </c>
      <c r="C6603" t="s">
        <v>20663</v>
      </c>
      <c r="D6603" t="s">
        <v>20651</v>
      </c>
      <c r="E6603">
        <v>1</v>
      </c>
      <c r="F6603" t="str">
        <f>HYPERLINK("https://github.com/Anuken/Mindustry/issues/2392", "show")</f>
        <v>show</v>
      </c>
      <c r="G6603" t="str">
        <f>HYPERLINK("https://github.com/Anuken/Mindustry", "show")</f>
        <v>show</v>
      </c>
      <c r="H6603" t="str">
        <f>HYPERLINK("https://github.com/Anuken/Mindustry/releases", "show")</f>
        <v>show</v>
      </c>
      <c r="I6603">
        <v>1</v>
      </c>
      <c r="J6603">
        <v>1</v>
      </c>
      <c r="K6603">
        <v>0</v>
      </c>
      <c r="L6603">
        <v>0</v>
      </c>
      <c r="M6603" t="s">
        <v>48</v>
      </c>
    </row>
    <row r="6604" spans="1:13" hidden="1" x14ac:dyDescent="0.15">
      <c r="A6604" t="s">
        <v>20664</v>
      </c>
      <c r="B6604" t="s">
        <v>20665</v>
      </c>
      <c r="C6604" t="s">
        <v>20666</v>
      </c>
      <c r="D6604" t="s">
        <v>20667</v>
      </c>
      <c r="E6604">
        <v>4</v>
      </c>
      <c r="F6604" t="str">
        <f>HYPERLINK("https://github.com/TeamNewPipe/NewPipe/issues/4168", "show")</f>
        <v>show</v>
      </c>
      <c r="G6604" t="str">
        <f>HYPERLINK("https://github.com/TeamNewPipe/NewPipe", "show")</f>
        <v>show</v>
      </c>
      <c r="H6604" t="str">
        <f>HYPERLINK("https://github.com/TeamNewPipe/NewPipe/releases", "show")</f>
        <v>show</v>
      </c>
      <c r="I6604">
        <v>1</v>
      </c>
      <c r="J6604">
        <v>1</v>
      </c>
      <c r="K6604">
        <v>1</v>
      </c>
      <c r="L6604">
        <v>0</v>
      </c>
      <c r="M6604" t="s">
        <v>59</v>
      </c>
    </row>
    <row r="6605" spans="1:13" hidden="1" x14ac:dyDescent="0.15">
      <c r="A6605" t="s">
        <v>20668</v>
      </c>
      <c r="B6605" t="s">
        <v>20669</v>
      </c>
      <c r="C6605" t="s">
        <v>20670</v>
      </c>
      <c r="D6605" t="s">
        <v>20667</v>
      </c>
      <c r="E6605">
        <v>140</v>
      </c>
      <c r="F6605" t="str">
        <f>HYPERLINK("https://github.com/inaturalist/iNaturalistAndroid/issues/891", "show")</f>
        <v>show</v>
      </c>
      <c r="G6605" t="str">
        <f>HYPERLINK("https://github.com/inaturalist/iNaturalistAndroid", "show")</f>
        <v>show</v>
      </c>
      <c r="H6605" t="str">
        <f>HYPERLINK("https://github.com/inaturalist/iNaturalistAndroid/releases", "show")</f>
        <v>show</v>
      </c>
      <c r="I6605">
        <v>0</v>
      </c>
      <c r="J6605">
        <v>0</v>
      </c>
      <c r="K6605">
        <v>1</v>
      </c>
      <c r="L6605">
        <v>0</v>
      </c>
      <c r="M6605" t="s">
        <v>122</v>
      </c>
    </row>
    <row r="6606" spans="1:13" hidden="1" x14ac:dyDescent="0.15">
      <c r="A6606" t="s">
        <v>20671</v>
      </c>
      <c r="B6606" t="s">
        <v>20672</v>
      </c>
      <c r="C6606" t="s">
        <v>20673</v>
      </c>
      <c r="D6606" t="s">
        <v>20667</v>
      </c>
      <c r="E6606">
        <v>4</v>
      </c>
      <c r="F6606" t="str">
        <f>HYPERLINK("https://github.com/nextcloud/android/issues/6766", "show")</f>
        <v>show</v>
      </c>
      <c r="G6606" t="str">
        <f>HYPERLINK("https://github.com/nextcloud/android", "show")</f>
        <v>show</v>
      </c>
      <c r="H6606" t="str">
        <f>HYPERLINK("https://github.com/nextcloud/android/releases", "show")</f>
        <v>show</v>
      </c>
      <c r="I6606">
        <v>1</v>
      </c>
      <c r="J6606">
        <v>1</v>
      </c>
      <c r="K6606">
        <v>1</v>
      </c>
      <c r="L6606">
        <v>0</v>
      </c>
      <c r="M6606" t="s">
        <v>59</v>
      </c>
    </row>
    <row r="6607" spans="1:13" hidden="1" x14ac:dyDescent="0.15">
      <c r="A6607" t="s">
        <v>20674</v>
      </c>
      <c r="B6607" t="s">
        <v>20675</v>
      </c>
      <c r="C6607" t="s">
        <v>20676</v>
      </c>
      <c r="D6607" t="s">
        <v>20667</v>
      </c>
      <c r="E6607">
        <v>545</v>
      </c>
      <c r="F6607" t="str">
        <f>HYPERLINK("https://github.com/aws-amplify/amplify-android/issues/752", "show")</f>
        <v>show</v>
      </c>
      <c r="G6607" t="str">
        <f>HYPERLINK("https://github.com/aws-amplify/amplify-android", "show")</f>
        <v>show</v>
      </c>
      <c r="H6607" t="str">
        <f>HYPERLINK("https://github.com/aws-amplify/amplify-android/releases", "show")</f>
        <v>show</v>
      </c>
      <c r="I6607">
        <v>1</v>
      </c>
      <c r="J6607">
        <v>1</v>
      </c>
      <c r="K6607">
        <v>1</v>
      </c>
      <c r="L6607">
        <v>0</v>
      </c>
      <c r="M6607" t="s">
        <v>59</v>
      </c>
    </row>
    <row r="6608" spans="1:13" hidden="1" x14ac:dyDescent="0.15">
      <c r="A6608" t="s">
        <v>20677</v>
      </c>
      <c r="B6608" t="s">
        <v>20678</v>
      </c>
      <c r="C6608" t="s">
        <v>20679</v>
      </c>
      <c r="D6608" t="s">
        <v>20667</v>
      </c>
      <c r="E6608">
        <v>32</v>
      </c>
      <c r="F6608" t="str">
        <f>HYPERLINK("https://github.com/PhenoApps/Field-Book/issues/145", "show")</f>
        <v>show</v>
      </c>
      <c r="G6608" t="str">
        <f>HYPERLINK("https://github.com/PhenoApps/Field-Book", "show")</f>
        <v>show</v>
      </c>
      <c r="H6608" t="str">
        <f>HYPERLINK("https://github.com/PhenoApps/Field-Book/releases", "show")</f>
        <v>show</v>
      </c>
      <c r="I6608">
        <v>1</v>
      </c>
      <c r="J6608">
        <v>1</v>
      </c>
      <c r="K6608">
        <v>0</v>
      </c>
      <c r="L6608">
        <v>0</v>
      </c>
      <c r="M6608" t="s">
        <v>48</v>
      </c>
    </row>
    <row r="6609" spans="1:13" hidden="1" x14ac:dyDescent="0.15">
      <c r="A6609" t="s">
        <v>20680</v>
      </c>
      <c r="B6609" t="s">
        <v>20681</v>
      </c>
      <c r="D6609" t="s">
        <v>20667</v>
      </c>
      <c r="E6609">
        <v>0</v>
      </c>
      <c r="F6609" t="str">
        <f>HYPERLINK("https://github.com/Amari-G/WasteBuddy/issues/90", "show")</f>
        <v>show</v>
      </c>
      <c r="G6609" t="str">
        <f>HYPERLINK("https://github.com/Amari-G/WasteBuddy", "show")</f>
        <v>show</v>
      </c>
      <c r="H6609" t="str">
        <f>HYPERLINK("https://github.com/Amari-G/WasteBuddy/releases", "show")</f>
        <v>show</v>
      </c>
      <c r="I6609">
        <v>0</v>
      </c>
      <c r="J6609">
        <v>0</v>
      </c>
      <c r="K6609">
        <v>0</v>
      </c>
      <c r="L6609">
        <v>0</v>
      </c>
      <c r="M6609" t="s">
        <v>43</v>
      </c>
    </row>
    <row r="6610" spans="1:13" hidden="1" x14ac:dyDescent="0.15">
      <c r="A6610" t="s">
        <v>20682</v>
      </c>
      <c r="B6610" t="s">
        <v>20683</v>
      </c>
      <c r="D6610" t="s">
        <v>20667</v>
      </c>
      <c r="E6610">
        <v>0</v>
      </c>
      <c r="F6610" t="str">
        <f>HYPERLINK("https://github.com/Amari-G/WasteBuddy/issues/89", "show")</f>
        <v>show</v>
      </c>
      <c r="G6610" t="str">
        <f>HYPERLINK("https://github.com/Amari-G/WasteBuddy", "show")</f>
        <v>show</v>
      </c>
      <c r="H6610" t="str">
        <f>HYPERLINK("https://github.com/Amari-G/WasteBuddy/releases", "show")</f>
        <v>show</v>
      </c>
      <c r="I6610">
        <v>0</v>
      </c>
      <c r="J6610">
        <v>0</v>
      </c>
      <c r="K6610">
        <v>0</v>
      </c>
      <c r="L6610">
        <v>0</v>
      </c>
      <c r="M6610" t="s">
        <v>43</v>
      </c>
    </row>
    <row r="6611" spans="1:13" hidden="1" x14ac:dyDescent="0.15">
      <c r="A6611" t="s">
        <v>20684</v>
      </c>
      <c r="B6611" t="s">
        <v>20685</v>
      </c>
      <c r="C6611" t="s">
        <v>20686</v>
      </c>
      <c r="D6611" t="s">
        <v>20667</v>
      </c>
      <c r="E6611">
        <v>0</v>
      </c>
      <c r="F6611" t="str">
        <f>HYPERLINK("https://github.com/Anuken/Mindustry/issues/2385", "show")</f>
        <v>show</v>
      </c>
      <c r="G6611" t="str">
        <f>HYPERLINK("https://github.com/Anuken/Mindustry", "show")</f>
        <v>show</v>
      </c>
      <c r="H6611" t="str">
        <f>HYPERLINK("https://github.com/Anuken/Mindustry/releases", "show")</f>
        <v>show</v>
      </c>
      <c r="I6611">
        <v>0</v>
      </c>
      <c r="J6611">
        <v>0</v>
      </c>
      <c r="K6611">
        <v>0</v>
      </c>
      <c r="L6611">
        <v>0</v>
      </c>
      <c r="M6611" t="s">
        <v>43</v>
      </c>
    </row>
    <row r="6612" spans="1:13" hidden="1" x14ac:dyDescent="0.15">
      <c r="A6612" t="s">
        <v>20687</v>
      </c>
      <c r="B6612" t="s">
        <v>20688</v>
      </c>
      <c r="C6612" t="s">
        <v>20689</v>
      </c>
      <c r="D6612" t="s">
        <v>20667</v>
      </c>
      <c r="E6612">
        <v>1</v>
      </c>
      <c r="F6612" t="str">
        <f>HYPERLINK("https://github.com/norkator/paketin-seuranta/issues/53", "show")</f>
        <v>show</v>
      </c>
      <c r="G6612" t="str">
        <f>HYPERLINK("https://github.com/norkator/paketin-seuranta", "show")</f>
        <v>show</v>
      </c>
      <c r="H6612" t="str">
        <f>HYPERLINK("https://github.com/norkator/paketin-seuranta/releases", "show")</f>
        <v>show</v>
      </c>
      <c r="I6612">
        <v>1</v>
      </c>
      <c r="J6612">
        <v>0</v>
      </c>
      <c r="K6612">
        <v>0</v>
      </c>
      <c r="L6612">
        <v>1</v>
      </c>
      <c r="M6612" t="s">
        <v>29</v>
      </c>
    </row>
    <row r="6613" spans="1:13" hidden="1" x14ac:dyDescent="0.15">
      <c r="A6613" t="s">
        <v>20690</v>
      </c>
      <c r="B6613" t="s">
        <v>20691</v>
      </c>
      <c r="C6613" t="s">
        <v>20692</v>
      </c>
      <c r="D6613" t="s">
        <v>20667</v>
      </c>
      <c r="E6613">
        <v>18</v>
      </c>
      <c r="F6613" t="str">
        <f>HYPERLINK("https://github.com/TeamNewPipe/NewPipe/issues/4165", "show")</f>
        <v>show</v>
      </c>
      <c r="G6613" t="str">
        <f>HYPERLINK("https://github.com/TeamNewPipe/NewPipe", "show")</f>
        <v>show</v>
      </c>
      <c r="H6613" t="str">
        <f>HYPERLINK("https://github.com/TeamNewPipe/NewPipe/releases", "show")</f>
        <v>show</v>
      </c>
      <c r="I6613">
        <v>1</v>
      </c>
      <c r="J6613">
        <v>0</v>
      </c>
      <c r="K6613">
        <v>1</v>
      </c>
      <c r="L6613">
        <v>0</v>
      </c>
      <c r="M6613" t="s">
        <v>64</v>
      </c>
    </row>
    <row r="6614" spans="1:13" hidden="1" x14ac:dyDescent="0.15">
      <c r="A6614" t="s">
        <v>20693</v>
      </c>
      <c r="B6614" t="s">
        <v>20694</v>
      </c>
      <c r="C6614" t="s">
        <v>20695</v>
      </c>
      <c r="D6614" t="s">
        <v>20667</v>
      </c>
      <c r="E6614">
        <v>4</v>
      </c>
      <c r="F6614" t="str">
        <f>HYPERLINK("https://github.com/nextcloud/android/issues/6755", "show")</f>
        <v>show</v>
      </c>
      <c r="G6614" t="str">
        <f>HYPERLINK("https://github.com/nextcloud/android", "show")</f>
        <v>show</v>
      </c>
      <c r="H6614" t="str">
        <f>HYPERLINK("https://github.com/nextcloud/android/releases", "show")</f>
        <v>show</v>
      </c>
      <c r="I6614">
        <v>1</v>
      </c>
      <c r="J6614">
        <v>1</v>
      </c>
      <c r="K6614">
        <v>1</v>
      </c>
      <c r="L6614">
        <v>0</v>
      </c>
      <c r="M6614" t="s">
        <v>59</v>
      </c>
    </row>
    <row r="6615" spans="1:13" hidden="1" x14ac:dyDescent="0.15">
      <c r="A6615" t="s">
        <v>20696</v>
      </c>
      <c r="B6615" t="s">
        <v>20697</v>
      </c>
      <c r="C6615" t="s">
        <v>20698</v>
      </c>
      <c r="D6615" t="s">
        <v>20667</v>
      </c>
      <c r="E6615">
        <v>0</v>
      </c>
      <c r="F6615" t="str">
        <f>HYPERLINK("https://github.com/Anuken/Mindustry/issues/2384", "show")</f>
        <v>show</v>
      </c>
      <c r="G6615" t="str">
        <f>HYPERLINK("https://github.com/Anuken/Mindustry", "show")</f>
        <v>show</v>
      </c>
      <c r="H6615" t="str">
        <f>HYPERLINK("https://github.com/Anuken/Mindustry/releases", "show")</f>
        <v>show</v>
      </c>
      <c r="I6615">
        <v>0</v>
      </c>
      <c r="J6615">
        <v>0</v>
      </c>
      <c r="K6615">
        <v>0</v>
      </c>
      <c r="L6615">
        <v>0</v>
      </c>
      <c r="M6615" t="s">
        <v>43</v>
      </c>
    </row>
    <row r="6616" spans="1:13" hidden="1" x14ac:dyDescent="0.15">
      <c r="A6616" t="s">
        <v>20699</v>
      </c>
      <c r="B6616" t="s">
        <v>20700</v>
      </c>
      <c r="C6616" t="s">
        <v>20701</v>
      </c>
      <c r="D6616" t="s">
        <v>20702</v>
      </c>
      <c r="E6616">
        <v>1</v>
      </c>
      <c r="F6616" t="str">
        <f>HYPERLINK("https://github.com/ankidroid/Anki-Android/issues/6923", "show")</f>
        <v>show</v>
      </c>
      <c r="G6616" t="str">
        <f>HYPERLINK("https://github.com/ankidroid/Anki-Android", "show")</f>
        <v>show</v>
      </c>
      <c r="H6616" t="str">
        <f>HYPERLINK("https://github.com/ankidroid/Anki-Android/releases", "show")</f>
        <v>show</v>
      </c>
      <c r="I6616">
        <v>1</v>
      </c>
      <c r="J6616">
        <v>0</v>
      </c>
      <c r="K6616">
        <v>1</v>
      </c>
      <c r="L6616">
        <v>0</v>
      </c>
      <c r="M6616" t="s">
        <v>64</v>
      </c>
    </row>
    <row r="6617" spans="1:13" hidden="1" x14ac:dyDescent="0.15">
      <c r="A6617" t="s">
        <v>20703</v>
      </c>
      <c r="B6617" t="s">
        <v>20704</v>
      </c>
      <c r="C6617" t="s">
        <v>20705</v>
      </c>
      <c r="D6617" t="s">
        <v>20702</v>
      </c>
      <c r="E6617">
        <v>0</v>
      </c>
      <c r="F6617" t="str">
        <f>HYPERLINK("https://github.com/ILikeBananas/ILBSYS_android/issues/2", "show")</f>
        <v>show</v>
      </c>
      <c r="G6617" t="str">
        <f>HYPERLINK("https://github.com/ILikeBananas/ILBSYS_android", "show")</f>
        <v>show</v>
      </c>
      <c r="H6617" t="str">
        <f>HYPERLINK("https://github.com/ILikeBananas/ILBSYS_android/releases", "show")</f>
        <v>show</v>
      </c>
      <c r="I6617">
        <v>0</v>
      </c>
      <c r="J6617">
        <v>0</v>
      </c>
      <c r="K6617">
        <v>0</v>
      </c>
      <c r="L6617">
        <v>0</v>
      </c>
      <c r="M6617" t="s">
        <v>43</v>
      </c>
    </row>
    <row r="6618" spans="1:13" hidden="1" x14ac:dyDescent="0.15">
      <c r="A6618" t="s">
        <v>20706</v>
      </c>
      <c r="B6618" t="s">
        <v>20707</v>
      </c>
      <c r="D6618" t="s">
        <v>20702</v>
      </c>
      <c r="E6618">
        <v>1</v>
      </c>
      <c r="F6618" t="str">
        <f>HYPERLINK("https://github.com/nextcloud/talk-android/issues/888", "show")</f>
        <v>show</v>
      </c>
      <c r="G6618" t="str">
        <f>HYPERLINK("https://github.com/nextcloud/talk-android", "show")</f>
        <v>show</v>
      </c>
      <c r="H6618" t="str">
        <f>HYPERLINK("https://github.com/nextcloud/talk-android/releases", "show")</f>
        <v>show</v>
      </c>
      <c r="I6618">
        <v>1</v>
      </c>
      <c r="J6618">
        <v>0</v>
      </c>
      <c r="K6618">
        <v>0</v>
      </c>
      <c r="L6618">
        <v>0</v>
      </c>
      <c r="M6618" t="s">
        <v>17</v>
      </c>
    </row>
    <row r="6619" spans="1:13" hidden="1" x14ac:dyDescent="0.15">
      <c r="A6619" t="s">
        <v>20708</v>
      </c>
      <c r="B6619" t="s">
        <v>20709</v>
      </c>
      <c r="C6619" t="s">
        <v>20710</v>
      </c>
      <c r="D6619" t="s">
        <v>20702</v>
      </c>
      <c r="E6619">
        <v>1</v>
      </c>
      <c r="F6619" t="str">
        <f>HYPERLINK("https://github.com/onaio/rdt-standard/issues/448", "show")</f>
        <v>show</v>
      </c>
      <c r="G6619" t="str">
        <f>HYPERLINK("https://github.com/onaio/rdt-standard", "show")</f>
        <v>show</v>
      </c>
      <c r="H6619" t="str">
        <f>HYPERLINK("https://github.com/onaio/rdt-standard/releases", "show")</f>
        <v>show</v>
      </c>
      <c r="I6619">
        <v>1</v>
      </c>
      <c r="J6619">
        <v>0</v>
      </c>
      <c r="K6619">
        <v>0</v>
      </c>
      <c r="L6619">
        <v>0</v>
      </c>
      <c r="M6619" t="s">
        <v>17</v>
      </c>
    </row>
    <row r="6620" spans="1:13" hidden="1" x14ac:dyDescent="0.15">
      <c r="A6620" t="s">
        <v>20711</v>
      </c>
      <c r="B6620" t="s">
        <v>20712</v>
      </c>
      <c r="C6620" t="s">
        <v>20713</v>
      </c>
      <c r="D6620" t="s">
        <v>20702</v>
      </c>
      <c r="E6620">
        <v>0</v>
      </c>
      <c r="F6620" t="str">
        <f>HYPERLINK("https://github.com/Anuken/Mindustry/issues/2380", "show")</f>
        <v>show</v>
      </c>
      <c r="G6620" t="str">
        <f>HYPERLINK("https://github.com/Anuken/Mindustry", "show")</f>
        <v>show</v>
      </c>
      <c r="H6620" t="str">
        <f>HYPERLINK("https://github.com/Anuken/Mindustry/releases", "show")</f>
        <v>show</v>
      </c>
      <c r="I6620">
        <v>0</v>
      </c>
      <c r="J6620">
        <v>0</v>
      </c>
      <c r="K6620">
        <v>0</v>
      </c>
      <c r="L6620">
        <v>0</v>
      </c>
      <c r="M6620" t="s">
        <v>43</v>
      </c>
    </row>
    <row r="6621" spans="1:13" hidden="1" x14ac:dyDescent="0.15">
      <c r="A6621" t="s">
        <v>20714</v>
      </c>
      <c r="B6621" t="s">
        <v>20715</v>
      </c>
      <c r="C6621" t="s">
        <v>20716</v>
      </c>
      <c r="D6621" t="s">
        <v>20702</v>
      </c>
      <c r="E6621">
        <v>0</v>
      </c>
      <c r="F6621" t="str">
        <f>HYPERLINK("https://github.com/Anuken/Mindustry/issues/2379", "show")</f>
        <v>show</v>
      </c>
      <c r="G6621" t="str">
        <f>HYPERLINK("https://github.com/Anuken/Mindustry", "show")</f>
        <v>show</v>
      </c>
      <c r="H6621" t="str">
        <f>HYPERLINK("https://github.com/Anuken/Mindustry/releases", "show")</f>
        <v>show</v>
      </c>
      <c r="I6621">
        <v>0</v>
      </c>
      <c r="J6621">
        <v>0</v>
      </c>
      <c r="K6621">
        <v>0</v>
      </c>
      <c r="L6621">
        <v>0</v>
      </c>
      <c r="M6621" t="s">
        <v>43</v>
      </c>
    </row>
    <row r="6622" spans="1:13" hidden="1" x14ac:dyDescent="0.15">
      <c r="A6622" t="s">
        <v>20717</v>
      </c>
      <c r="B6622" t="s">
        <v>20718</v>
      </c>
      <c r="C6622" t="s">
        <v>20719</v>
      </c>
      <c r="D6622" t="s">
        <v>20702</v>
      </c>
      <c r="E6622">
        <v>0</v>
      </c>
      <c r="F6622" t="str">
        <f>HYPERLINK("https://github.com/Anuken/Mindustry/issues/2378", "show")</f>
        <v>show</v>
      </c>
      <c r="G6622" t="str">
        <f>HYPERLINK("https://github.com/Anuken/Mindustry", "show")</f>
        <v>show</v>
      </c>
      <c r="H6622" t="str">
        <f>HYPERLINK("https://github.com/Anuken/Mindustry/releases", "show")</f>
        <v>show</v>
      </c>
      <c r="I6622">
        <v>0</v>
      </c>
      <c r="J6622">
        <v>0</v>
      </c>
      <c r="K6622">
        <v>0</v>
      </c>
      <c r="L6622">
        <v>0</v>
      </c>
      <c r="M6622" t="s">
        <v>43</v>
      </c>
    </row>
    <row r="6623" spans="1:13" hidden="1" x14ac:dyDescent="0.15">
      <c r="A6623" t="s">
        <v>20720</v>
      </c>
      <c r="B6623" t="s">
        <v>20721</v>
      </c>
      <c r="D6623" t="s">
        <v>20702</v>
      </c>
      <c r="E6623">
        <v>48</v>
      </c>
      <c r="F6623" t="str">
        <f>HYPERLINK("https://github.com/tchapgouv/tchap-android-legacy/issues/606", "show")</f>
        <v>show</v>
      </c>
      <c r="G6623" t="str">
        <f>HYPERLINK("https://github.com/tchapgouv/tchap-android-legacy", "show")</f>
        <v>show</v>
      </c>
      <c r="H6623" t="str">
        <f>HYPERLINK("https://github.com/tchapgouv/tchap-android-legacy/releases", "show")</f>
        <v>show</v>
      </c>
      <c r="I6623">
        <v>1</v>
      </c>
      <c r="J6623">
        <v>0</v>
      </c>
      <c r="K6623">
        <v>0</v>
      </c>
      <c r="L6623">
        <v>0</v>
      </c>
      <c r="M6623" t="s">
        <v>17</v>
      </c>
    </row>
    <row r="6624" spans="1:13" hidden="1" x14ac:dyDescent="0.15">
      <c r="A6624" t="s">
        <v>20722</v>
      </c>
      <c r="B6624" t="s">
        <v>20723</v>
      </c>
      <c r="C6624" t="s">
        <v>20724</v>
      </c>
      <c r="D6624" t="s">
        <v>20702</v>
      </c>
      <c r="E6624">
        <v>1</v>
      </c>
      <c r="F6624" t="str">
        <f>HYPERLINK("https://github.com/Anuken/Mindustry/issues/2377", "show")</f>
        <v>show</v>
      </c>
      <c r="G6624" t="str">
        <f>HYPERLINK("https://github.com/Anuken/Mindustry", "show")</f>
        <v>show</v>
      </c>
      <c r="H6624" t="str">
        <f>HYPERLINK("https://github.com/Anuken/Mindustry/releases", "show")</f>
        <v>show</v>
      </c>
      <c r="I6624">
        <v>1</v>
      </c>
      <c r="J6624">
        <v>0</v>
      </c>
      <c r="K6624">
        <v>0</v>
      </c>
      <c r="L6624">
        <v>0</v>
      </c>
      <c r="M6624" t="s">
        <v>17</v>
      </c>
    </row>
    <row r="6625" spans="1:13" hidden="1" x14ac:dyDescent="0.15">
      <c r="A6625" t="s">
        <v>20725</v>
      </c>
      <c r="B6625" t="s">
        <v>20726</v>
      </c>
      <c r="C6625" t="s">
        <v>20727</v>
      </c>
      <c r="D6625" t="s">
        <v>20702</v>
      </c>
      <c r="E6625">
        <v>1</v>
      </c>
      <c r="F6625" t="str">
        <f>HYPERLINK("https://github.com/opensrp/opensrp-client-reveal/issues/911", "show")</f>
        <v>show</v>
      </c>
      <c r="G6625" t="str">
        <f>HYPERLINK("https://github.com/opensrp/opensrp-client-reveal", "show")</f>
        <v>show</v>
      </c>
      <c r="H6625" t="str">
        <f>HYPERLINK("https://github.com/opensrp/opensrp-client-reveal/releases", "show")</f>
        <v>show</v>
      </c>
      <c r="I6625">
        <v>1</v>
      </c>
      <c r="J6625">
        <v>0</v>
      </c>
      <c r="K6625">
        <v>0</v>
      </c>
      <c r="L6625">
        <v>0</v>
      </c>
      <c r="M6625" t="s">
        <v>17</v>
      </c>
    </row>
    <row r="6626" spans="1:13" hidden="1" x14ac:dyDescent="0.15">
      <c r="A6626" t="s">
        <v>20728</v>
      </c>
      <c r="B6626" t="s">
        <v>20729</v>
      </c>
      <c r="C6626" t="s">
        <v>20730</v>
      </c>
      <c r="D6626" t="s">
        <v>20702</v>
      </c>
      <c r="E6626">
        <v>1</v>
      </c>
      <c r="F6626" t="str">
        <f>HYPERLINK("https://github.com/nextcloud/android/issues/6749", "show")</f>
        <v>show</v>
      </c>
      <c r="G6626" t="str">
        <f>HYPERLINK("https://github.com/nextcloud/android", "show")</f>
        <v>show</v>
      </c>
      <c r="H6626" t="str">
        <f>HYPERLINK("https://github.com/nextcloud/android/releases", "show")</f>
        <v>show</v>
      </c>
      <c r="I6626">
        <v>1</v>
      </c>
      <c r="J6626">
        <v>0</v>
      </c>
      <c r="K6626">
        <v>0</v>
      </c>
      <c r="L6626">
        <v>1</v>
      </c>
      <c r="M6626" t="s">
        <v>29</v>
      </c>
    </row>
    <row r="6627" spans="1:13" hidden="1" x14ac:dyDescent="0.15">
      <c r="A6627" t="s">
        <v>20731</v>
      </c>
      <c r="B6627" t="s">
        <v>20732</v>
      </c>
      <c r="C6627" t="s">
        <v>20733</v>
      </c>
      <c r="D6627" t="s">
        <v>20702</v>
      </c>
      <c r="E6627">
        <v>0</v>
      </c>
      <c r="F6627" t="str">
        <f>HYPERLINK("https://github.com/Anuken/Mindustry/issues/2376", "show")</f>
        <v>show</v>
      </c>
      <c r="G6627" t="str">
        <f>HYPERLINK("https://github.com/Anuken/Mindustry", "show")</f>
        <v>show</v>
      </c>
      <c r="H6627" t="str">
        <f>HYPERLINK("https://github.com/Anuken/Mindustry/releases", "show")</f>
        <v>show</v>
      </c>
      <c r="I6627">
        <v>0</v>
      </c>
      <c r="J6627">
        <v>0</v>
      </c>
      <c r="K6627">
        <v>0</v>
      </c>
      <c r="L6627">
        <v>1</v>
      </c>
      <c r="M6627" t="s">
        <v>581</v>
      </c>
    </row>
    <row r="6628" spans="1:13" hidden="1" x14ac:dyDescent="0.15">
      <c r="A6628" t="s">
        <v>20734</v>
      </c>
      <c r="B6628" t="s">
        <v>20735</v>
      </c>
      <c r="D6628" t="s">
        <v>20702</v>
      </c>
      <c r="E6628">
        <v>18</v>
      </c>
      <c r="F6628" t="str">
        <f>HYPERLINK("https://github.com/koral--/android-gif-drawable/issues/746", "show")</f>
        <v>show</v>
      </c>
      <c r="G6628" t="str">
        <f>HYPERLINK("https://github.com/koral--/android-gif-drawable", "show")</f>
        <v>show</v>
      </c>
      <c r="H6628" t="str">
        <f>HYPERLINK("https://github.com/koral--/android-gif-drawable/releases", "show")</f>
        <v>show</v>
      </c>
      <c r="I6628">
        <v>1</v>
      </c>
      <c r="J6628">
        <v>0</v>
      </c>
      <c r="K6628">
        <v>0</v>
      </c>
      <c r="L6628">
        <v>0</v>
      </c>
      <c r="M6628" t="s">
        <v>17</v>
      </c>
    </row>
    <row r="6629" spans="1:13" hidden="1" x14ac:dyDescent="0.15">
      <c r="A6629" t="s">
        <v>20736</v>
      </c>
      <c r="B6629" t="s">
        <v>20737</v>
      </c>
      <c r="C6629" t="s">
        <v>20738</v>
      </c>
      <c r="D6629" t="s">
        <v>20702</v>
      </c>
      <c r="E6629">
        <v>0</v>
      </c>
      <c r="F6629" t="str">
        <f>HYPERLINK("https://github.com/Anuken/Mindustry/issues/2373", "show")</f>
        <v>show</v>
      </c>
      <c r="G6629" t="str">
        <f>HYPERLINK("https://github.com/Anuken/Mindustry", "show")</f>
        <v>show</v>
      </c>
      <c r="H6629" t="str">
        <f>HYPERLINK("https://github.com/Anuken/Mindustry/releases", "show")</f>
        <v>show</v>
      </c>
      <c r="I6629">
        <v>0</v>
      </c>
      <c r="J6629">
        <v>0</v>
      </c>
      <c r="K6629">
        <v>0</v>
      </c>
      <c r="L6629">
        <v>0</v>
      </c>
      <c r="M6629" t="s">
        <v>43</v>
      </c>
    </row>
    <row r="6630" spans="1:13" hidden="1" x14ac:dyDescent="0.15">
      <c r="A6630" t="s">
        <v>20739</v>
      </c>
      <c r="B6630" t="s">
        <v>20740</v>
      </c>
      <c r="C6630" t="s">
        <v>20741</v>
      </c>
      <c r="D6630" t="s">
        <v>20702</v>
      </c>
      <c r="E6630">
        <v>81</v>
      </c>
      <c r="F6630" t="str">
        <f>HYPERLINK("https://github.com/TeamNewPipe/NewPipe/issues/4161", "show")</f>
        <v>show</v>
      </c>
      <c r="G6630" t="str">
        <f>HYPERLINK("https://github.com/TeamNewPipe/NewPipe", "show")</f>
        <v>show</v>
      </c>
      <c r="H6630" t="str">
        <f>HYPERLINK("https://github.com/TeamNewPipe/NewPipe/releases", "show")</f>
        <v>show</v>
      </c>
      <c r="I6630">
        <v>1</v>
      </c>
      <c r="J6630">
        <v>0</v>
      </c>
      <c r="K6630">
        <v>0</v>
      </c>
      <c r="L6630">
        <v>0</v>
      </c>
      <c r="M6630" t="s">
        <v>17</v>
      </c>
    </row>
    <row r="6631" spans="1:13" hidden="1" x14ac:dyDescent="0.15">
      <c r="A6631" t="s">
        <v>20742</v>
      </c>
      <c r="B6631" t="s">
        <v>20743</v>
      </c>
      <c r="C6631" t="s">
        <v>20744</v>
      </c>
      <c r="D6631" t="s">
        <v>20745</v>
      </c>
      <c r="E6631">
        <v>2</v>
      </c>
      <c r="F6631" t="str">
        <f>HYPERLINK("https://github.com/cgeo/WhereYouGo/issues/201", "show")</f>
        <v>show</v>
      </c>
      <c r="G6631" t="str">
        <f>HYPERLINK("https://github.com/cgeo/WhereYouGo", "show")</f>
        <v>show</v>
      </c>
      <c r="H6631" t="str">
        <f>HYPERLINK("https://github.com/cgeo/WhereYouGo/releases", "show")</f>
        <v>show</v>
      </c>
      <c r="I6631">
        <v>1</v>
      </c>
      <c r="J6631">
        <v>0</v>
      </c>
      <c r="K6631">
        <v>0</v>
      </c>
      <c r="L6631">
        <v>0</v>
      </c>
      <c r="M6631" t="s">
        <v>17</v>
      </c>
    </row>
    <row r="6632" spans="1:13" hidden="1" x14ac:dyDescent="0.15">
      <c r="A6632" t="s">
        <v>20746</v>
      </c>
      <c r="B6632" t="s">
        <v>20747</v>
      </c>
      <c r="C6632" t="s">
        <v>20748</v>
      </c>
      <c r="D6632" t="s">
        <v>20745</v>
      </c>
      <c r="E6632">
        <v>0</v>
      </c>
      <c r="F6632" t="str">
        <f>HYPERLINK("https://github.com/Anuken/Mindustry/issues/2371", "show")</f>
        <v>show</v>
      </c>
      <c r="G6632" t="str">
        <f>HYPERLINK("https://github.com/Anuken/Mindustry", "show")</f>
        <v>show</v>
      </c>
      <c r="H6632" t="str">
        <f>HYPERLINK("https://github.com/Anuken/Mindustry/releases", "show")</f>
        <v>show</v>
      </c>
      <c r="I6632">
        <v>0</v>
      </c>
      <c r="J6632">
        <v>0</v>
      </c>
      <c r="K6632">
        <v>0</v>
      </c>
      <c r="L6632">
        <v>0</v>
      </c>
      <c r="M6632" t="s">
        <v>43</v>
      </c>
    </row>
    <row r="6633" spans="1:13" hidden="1" x14ac:dyDescent="0.15">
      <c r="A6633" t="s">
        <v>20749</v>
      </c>
      <c r="B6633" t="s">
        <v>20750</v>
      </c>
      <c r="C6633" t="s">
        <v>20751</v>
      </c>
      <c r="D6633" t="s">
        <v>20745</v>
      </c>
      <c r="E6633">
        <v>39</v>
      </c>
      <c r="F6633" t="str">
        <f>HYPERLINK("https://github.com/tchapgouv/tchap-android-legacy/issues/603", "show")</f>
        <v>show</v>
      </c>
      <c r="G6633" t="str">
        <f>HYPERLINK("https://github.com/tchapgouv/tchap-android-legacy", "show")</f>
        <v>show</v>
      </c>
      <c r="H6633" t="str">
        <f>HYPERLINK("https://github.com/tchapgouv/tchap-android-legacy/releases", "show")</f>
        <v>show</v>
      </c>
      <c r="I6633">
        <v>1</v>
      </c>
      <c r="J6633">
        <v>0</v>
      </c>
      <c r="K6633">
        <v>1</v>
      </c>
      <c r="L6633">
        <v>0</v>
      </c>
      <c r="M6633" t="s">
        <v>64</v>
      </c>
    </row>
    <row r="6634" spans="1:13" hidden="1" x14ac:dyDescent="0.15">
      <c r="A6634" t="s">
        <v>20752</v>
      </c>
      <c r="B6634" t="s">
        <v>20753</v>
      </c>
      <c r="C6634" t="s">
        <v>20754</v>
      </c>
      <c r="D6634" t="s">
        <v>20745</v>
      </c>
      <c r="E6634">
        <v>27</v>
      </c>
      <c r="F6634" t="str">
        <f>HYPERLINK("https://github.com/MuntashirAkon/AppManager/issues/68", "show")</f>
        <v>show</v>
      </c>
      <c r="G6634" t="str">
        <f>HYPERLINK("https://github.com/MuntashirAkon/AppManager", "show")</f>
        <v>show</v>
      </c>
      <c r="H6634" t="str">
        <f>HYPERLINK("https://github.com/MuntashirAkon/AppManager/releases", "show")</f>
        <v>show</v>
      </c>
      <c r="I6634">
        <v>1</v>
      </c>
      <c r="J6634">
        <v>1</v>
      </c>
      <c r="K6634">
        <v>0</v>
      </c>
      <c r="L6634">
        <v>0</v>
      </c>
      <c r="M6634" t="s">
        <v>48</v>
      </c>
    </row>
    <row r="6635" spans="1:13" hidden="1" x14ac:dyDescent="0.15">
      <c r="A6635" t="s">
        <v>20755</v>
      </c>
      <c r="B6635" t="s">
        <v>20756</v>
      </c>
      <c r="C6635" t="s">
        <v>20757</v>
      </c>
      <c r="D6635" t="s">
        <v>20745</v>
      </c>
      <c r="E6635">
        <v>123</v>
      </c>
      <c r="F6635" t="str">
        <f>HYPERLINK("https://github.com/nextcloud/android/issues/6729", "show")</f>
        <v>show</v>
      </c>
      <c r="G6635" t="str">
        <f>HYPERLINK("https://github.com/nextcloud/android", "show")</f>
        <v>show</v>
      </c>
      <c r="H6635" t="str">
        <f>HYPERLINK("https://github.com/nextcloud/android/releases", "show")</f>
        <v>show</v>
      </c>
      <c r="I6635">
        <v>0</v>
      </c>
      <c r="J6635">
        <v>0</v>
      </c>
      <c r="K6635">
        <v>0</v>
      </c>
      <c r="L6635">
        <v>0</v>
      </c>
      <c r="M6635" t="s">
        <v>43</v>
      </c>
    </row>
    <row r="6636" spans="1:13" hidden="1" x14ac:dyDescent="0.15">
      <c r="A6636" t="s">
        <v>20758</v>
      </c>
      <c r="B6636" t="s">
        <v>20759</v>
      </c>
      <c r="C6636" t="s">
        <v>20760</v>
      </c>
      <c r="D6636" t="s">
        <v>20745</v>
      </c>
      <c r="E6636">
        <v>0</v>
      </c>
      <c r="F6636" t="str">
        <f>HYPERLINK("https://github.com/Anuken/Mindustry/issues/2367", "show")</f>
        <v>show</v>
      </c>
      <c r="G6636" t="str">
        <f>HYPERLINK("https://github.com/Anuken/Mindustry", "show")</f>
        <v>show</v>
      </c>
      <c r="H6636" t="str">
        <f>HYPERLINK("https://github.com/Anuken/Mindustry/releases", "show")</f>
        <v>show</v>
      </c>
      <c r="I6636">
        <v>0</v>
      </c>
      <c r="J6636">
        <v>0</v>
      </c>
      <c r="K6636">
        <v>0</v>
      </c>
      <c r="L6636">
        <v>0</v>
      </c>
      <c r="M6636" t="s">
        <v>43</v>
      </c>
    </row>
    <row r="6637" spans="1:13" hidden="1" x14ac:dyDescent="0.15">
      <c r="A6637" t="s">
        <v>20761</v>
      </c>
      <c r="B6637" t="s">
        <v>20762</v>
      </c>
      <c r="C6637" t="s">
        <v>20763</v>
      </c>
      <c r="D6637" t="s">
        <v>20745</v>
      </c>
      <c r="E6637">
        <v>145</v>
      </c>
      <c r="F6637" t="str">
        <f>HYPERLINK("https://github.com/TeamNewPipe/NewPipe-legacy/issues/38", "show")</f>
        <v>show</v>
      </c>
      <c r="G6637" t="str">
        <f>HYPERLINK("https://github.com/TeamNewPipe/NewPipe-legacy", "show")</f>
        <v>show</v>
      </c>
      <c r="H6637" t="str">
        <f>HYPERLINK("https://github.com/TeamNewPipe/NewPipe-legacy/releases", "show")</f>
        <v>show</v>
      </c>
      <c r="I6637">
        <v>1</v>
      </c>
      <c r="J6637">
        <v>0</v>
      </c>
      <c r="K6637">
        <v>1</v>
      </c>
      <c r="L6637">
        <v>0</v>
      </c>
      <c r="M6637" t="s">
        <v>64</v>
      </c>
    </row>
    <row r="6638" spans="1:13" hidden="1" x14ac:dyDescent="0.15">
      <c r="A6638" t="s">
        <v>20764</v>
      </c>
      <c r="B6638" t="s">
        <v>20765</v>
      </c>
      <c r="C6638" t="s">
        <v>20583</v>
      </c>
      <c r="D6638" t="s">
        <v>20766</v>
      </c>
      <c r="E6638">
        <v>0</v>
      </c>
      <c r="F6638" t="str">
        <f>HYPERLINK("https://github.com/Anuken/Mindustry/issues/2365", "show")</f>
        <v>show</v>
      </c>
      <c r="G6638" t="str">
        <f>HYPERLINK("https://github.com/Anuken/Mindustry", "show")</f>
        <v>show</v>
      </c>
      <c r="H6638" t="str">
        <f>HYPERLINK("https://github.com/Anuken/Mindustry/releases", "show")</f>
        <v>show</v>
      </c>
      <c r="I6638">
        <v>0</v>
      </c>
      <c r="J6638">
        <v>0</v>
      </c>
      <c r="K6638">
        <v>0</v>
      </c>
      <c r="L6638">
        <v>0</v>
      </c>
      <c r="M6638" t="s">
        <v>43</v>
      </c>
    </row>
    <row r="6639" spans="1:13" hidden="1" x14ac:dyDescent="0.15">
      <c r="A6639" t="s">
        <v>20767</v>
      </c>
      <c r="B6639" t="s">
        <v>20768</v>
      </c>
      <c r="C6639" t="s">
        <v>20769</v>
      </c>
      <c r="D6639" t="s">
        <v>20766</v>
      </c>
      <c r="E6639">
        <v>0</v>
      </c>
      <c r="F6639" t="str">
        <f>HYPERLINK("https://github.com/Anuken/Mindustry/issues/2364", "show")</f>
        <v>show</v>
      </c>
      <c r="G6639" t="str">
        <f>HYPERLINK("https://github.com/Anuken/Mindustry", "show")</f>
        <v>show</v>
      </c>
      <c r="H6639" t="str">
        <f>HYPERLINK("https://github.com/Anuken/Mindustry/releases", "show")</f>
        <v>show</v>
      </c>
      <c r="I6639">
        <v>0</v>
      </c>
      <c r="J6639">
        <v>0</v>
      </c>
      <c r="K6639">
        <v>0</v>
      </c>
      <c r="L6639">
        <v>0</v>
      </c>
      <c r="M6639" t="s">
        <v>43</v>
      </c>
    </row>
    <row r="6640" spans="1:13" hidden="1" x14ac:dyDescent="0.15">
      <c r="A6640" t="s">
        <v>20770</v>
      </c>
      <c r="B6640" t="s">
        <v>20771</v>
      </c>
      <c r="C6640" t="s">
        <v>20772</v>
      </c>
      <c r="D6640" t="s">
        <v>20766</v>
      </c>
      <c r="E6640">
        <v>0</v>
      </c>
      <c r="F6640" t="str">
        <f>HYPERLINK("https://github.com/nextcloud/android/issues/6719", "show")</f>
        <v>show</v>
      </c>
      <c r="G6640" t="str">
        <f>HYPERLINK("https://github.com/nextcloud/android", "show")</f>
        <v>show</v>
      </c>
      <c r="H6640" t="str">
        <f>HYPERLINK("https://github.com/nextcloud/android/releases", "show")</f>
        <v>show</v>
      </c>
      <c r="I6640">
        <v>1</v>
      </c>
      <c r="J6640">
        <v>1</v>
      </c>
      <c r="K6640">
        <v>1</v>
      </c>
      <c r="L6640">
        <v>0</v>
      </c>
      <c r="M6640" t="s">
        <v>59</v>
      </c>
    </row>
    <row r="6641" spans="1:13" hidden="1" x14ac:dyDescent="0.15">
      <c r="A6641" t="s">
        <v>20773</v>
      </c>
      <c r="B6641" t="s">
        <v>20774</v>
      </c>
      <c r="C6641" t="s">
        <v>20775</v>
      </c>
      <c r="D6641" t="s">
        <v>20766</v>
      </c>
      <c r="E6641">
        <v>0</v>
      </c>
      <c r="F6641" t="str">
        <f>HYPERLINK("https://github.com/Anuken/Mindustry/issues/2363", "show")</f>
        <v>show</v>
      </c>
      <c r="G6641" t="str">
        <f>HYPERLINK("https://github.com/Anuken/Mindustry", "show")</f>
        <v>show</v>
      </c>
      <c r="H6641" t="str">
        <f>HYPERLINK("https://github.com/Anuken/Mindustry/releases", "show")</f>
        <v>show</v>
      </c>
      <c r="I6641">
        <v>0</v>
      </c>
      <c r="J6641">
        <v>0</v>
      </c>
      <c r="K6641">
        <v>0</v>
      </c>
      <c r="L6641">
        <v>1</v>
      </c>
      <c r="M6641" t="s">
        <v>581</v>
      </c>
    </row>
    <row r="6642" spans="1:13" hidden="1" x14ac:dyDescent="0.15">
      <c r="A6642" t="s">
        <v>20776</v>
      </c>
      <c r="B6642" t="s">
        <v>20777</v>
      </c>
      <c r="C6642" t="s">
        <v>20778</v>
      </c>
      <c r="D6642" t="s">
        <v>20766</v>
      </c>
      <c r="E6642">
        <v>0</v>
      </c>
      <c r="F6642" t="str">
        <f>HYPERLINK("https://github.com/Anuken/Mindustry/issues/2361", "show")</f>
        <v>show</v>
      </c>
      <c r="G6642" t="str">
        <f>HYPERLINK("https://github.com/Anuken/Mindustry", "show")</f>
        <v>show</v>
      </c>
      <c r="H6642" t="str">
        <f>HYPERLINK("https://github.com/Anuken/Mindustry/releases", "show")</f>
        <v>show</v>
      </c>
      <c r="I6642">
        <v>0</v>
      </c>
      <c r="J6642">
        <v>0</v>
      </c>
      <c r="K6642">
        <v>0</v>
      </c>
      <c r="L6642">
        <v>0</v>
      </c>
      <c r="M6642" t="s">
        <v>43</v>
      </c>
    </row>
    <row r="6643" spans="1:13" hidden="1" x14ac:dyDescent="0.15">
      <c r="A6643" t="s">
        <v>20779</v>
      </c>
      <c r="B6643" t="s">
        <v>20780</v>
      </c>
      <c r="C6643" t="s">
        <v>20781</v>
      </c>
      <c r="D6643" t="s">
        <v>20766</v>
      </c>
      <c r="E6643">
        <v>7</v>
      </c>
      <c r="F6643" t="str">
        <f>HYPERLINK("https://github.com/amahi/android/issues/626", "show")</f>
        <v>show</v>
      </c>
      <c r="G6643" t="str">
        <f>HYPERLINK("https://github.com/amahi/android", "show")</f>
        <v>show</v>
      </c>
      <c r="H6643" t="str">
        <f>HYPERLINK("https://github.com/amahi/android/releases", "show")</f>
        <v>show</v>
      </c>
      <c r="I6643">
        <v>0</v>
      </c>
      <c r="J6643">
        <v>0</v>
      </c>
      <c r="K6643">
        <v>0</v>
      </c>
      <c r="L6643">
        <v>1</v>
      </c>
      <c r="M6643" t="s">
        <v>581</v>
      </c>
    </row>
    <row r="6644" spans="1:13" hidden="1" x14ac:dyDescent="0.15">
      <c r="A6644" t="s">
        <v>20782</v>
      </c>
      <c r="B6644" t="s">
        <v>20783</v>
      </c>
      <c r="C6644" t="s">
        <v>20784</v>
      </c>
      <c r="D6644" t="s">
        <v>20766</v>
      </c>
      <c r="E6644">
        <v>7</v>
      </c>
      <c r="F6644" t="str">
        <f>HYPERLINK("https://github.com/amahi/android/issues/625", "show")</f>
        <v>show</v>
      </c>
      <c r="G6644" t="str">
        <f>HYPERLINK("https://github.com/amahi/android", "show")</f>
        <v>show</v>
      </c>
      <c r="H6644" t="str">
        <f>HYPERLINK("https://github.com/amahi/android/releases", "show")</f>
        <v>show</v>
      </c>
      <c r="I6644">
        <v>1</v>
      </c>
      <c r="J6644">
        <v>0</v>
      </c>
      <c r="K6644">
        <v>0</v>
      </c>
      <c r="L6644">
        <v>0</v>
      </c>
      <c r="M6644" t="s">
        <v>17</v>
      </c>
    </row>
    <row r="6645" spans="1:13" hidden="1" x14ac:dyDescent="0.15">
      <c r="A6645" t="s">
        <v>20785</v>
      </c>
      <c r="B6645" t="s">
        <v>20786</v>
      </c>
      <c r="C6645" t="s">
        <v>20787</v>
      </c>
      <c r="D6645" t="s">
        <v>20766</v>
      </c>
      <c r="E6645">
        <v>14</v>
      </c>
      <c r="F6645" t="str">
        <f>HYPERLINK("https://github.com/ltGuillaume/DroidShows/issues/91", "show")</f>
        <v>show</v>
      </c>
      <c r="G6645" t="str">
        <f>HYPERLINK("https://github.com/ltGuillaume/DroidShows", "show")</f>
        <v>show</v>
      </c>
      <c r="H6645" t="str">
        <f>HYPERLINK("https://github.com/ltGuillaume/DroidShows/releases", "show")</f>
        <v>show</v>
      </c>
      <c r="I6645">
        <v>1</v>
      </c>
      <c r="J6645">
        <v>0</v>
      </c>
      <c r="K6645">
        <v>1</v>
      </c>
      <c r="L6645">
        <v>0</v>
      </c>
      <c r="M6645" t="s">
        <v>64</v>
      </c>
    </row>
    <row r="6646" spans="1:13" hidden="1" x14ac:dyDescent="0.15">
      <c r="A6646" t="s">
        <v>20788</v>
      </c>
      <c r="B6646" t="s">
        <v>20789</v>
      </c>
      <c r="C6646" t="s">
        <v>20583</v>
      </c>
      <c r="D6646" t="s">
        <v>20766</v>
      </c>
      <c r="E6646">
        <v>0</v>
      </c>
      <c r="F6646" t="str">
        <f>HYPERLINK("https://github.com/Anuken/Mindustry/issues/2360", "show")</f>
        <v>show</v>
      </c>
      <c r="G6646" t="str">
        <f>HYPERLINK("https://github.com/Anuken/Mindustry", "show")</f>
        <v>show</v>
      </c>
      <c r="H6646" t="str">
        <f>HYPERLINK("https://github.com/Anuken/Mindustry/releases", "show")</f>
        <v>show</v>
      </c>
      <c r="I6646">
        <v>0</v>
      </c>
      <c r="J6646">
        <v>0</v>
      </c>
      <c r="K6646">
        <v>0</v>
      </c>
      <c r="L6646">
        <v>0</v>
      </c>
      <c r="M6646" t="s">
        <v>43</v>
      </c>
    </row>
    <row r="6647" spans="1:13" hidden="1" x14ac:dyDescent="0.15">
      <c r="A6647" t="s">
        <v>20790</v>
      </c>
      <c r="B6647" t="s">
        <v>20791</v>
      </c>
      <c r="D6647" t="s">
        <v>20792</v>
      </c>
      <c r="E6647">
        <v>1</v>
      </c>
      <c r="F6647" t="str">
        <f>HYPERLINK("https://github.com/Shushhh/ShushAndroid/issues/81", "show")</f>
        <v>show</v>
      </c>
      <c r="G6647" t="str">
        <f>HYPERLINK("https://github.com/Shushhh/ShushAndroid", "show")</f>
        <v>show</v>
      </c>
      <c r="H6647" t="str">
        <f>HYPERLINK("https://github.com/Shushhh/ShushAndroid/releases", "show")</f>
        <v>show</v>
      </c>
      <c r="I6647">
        <v>1</v>
      </c>
      <c r="J6647">
        <v>0</v>
      </c>
      <c r="K6647">
        <v>0</v>
      </c>
      <c r="L6647">
        <v>0</v>
      </c>
      <c r="M6647" t="s">
        <v>17</v>
      </c>
    </row>
    <row r="6648" spans="1:13" hidden="1" x14ac:dyDescent="0.15">
      <c r="A6648" t="s">
        <v>20793</v>
      </c>
      <c r="B6648" t="s">
        <v>20794</v>
      </c>
      <c r="C6648" t="s">
        <v>12185</v>
      </c>
      <c r="D6648" t="s">
        <v>20792</v>
      </c>
      <c r="E6648">
        <v>12</v>
      </c>
      <c r="F6648" t="str">
        <f>HYPERLINK("https://github.com/nextcloud/android/issues/6708", "show")</f>
        <v>show</v>
      </c>
      <c r="G6648" t="str">
        <f>HYPERLINK("https://github.com/nextcloud/android", "show")</f>
        <v>show</v>
      </c>
      <c r="H6648" t="str">
        <f>HYPERLINK("https://github.com/nextcloud/android/releases", "show")</f>
        <v>show</v>
      </c>
      <c r="I6648">
        <v>0</v>
      </c>
      <c r="J6648">
        <v>0</v>
      </c>
      <c r="K6648">
        <v>1</v>
      </c>
      <c r="L6648">
        <v>0</v>
      </c>
      <c r="M6648" t="s">
        <v>122</v>
      </c>
    </row>
    <row r="6649" spans="1:13" hidden="1" x14ac:dyDescent="0.15">
      <c r="A6649" t="s">
        <v>20795</v>
      </c>
      <c r="B6649" t="s">
        <v>20796</v>
      </c>
      <c r="C6649" t="s">
        <v>20797</v>
      </c>
      <c r="D6649" t="s">
        <v>20792</v>
      </c>
      <c r="E6649">
        <v>0</v>
      </c>
      <c r="F6649" t="str">
        <f>HYPERLINK("https://github.com/TeamNewPipe/NewPipe/issues/4139", "show")</f>
        <v>show</v>
      </c>
      <c r="G6649" t="str">
        <f>HYPERLINK("https://github.com/TeamNewPipe/NewPipe", "show")</f>
        <v>show</v>
      </c>
      <c r="H6649" t="str">
        <f>HYPERLINK("https://github.com/TeamNewPipe/NewPipe/releases", "show")</f>
        <v>show</v>
      </c>
      <c r="I6649">
        <v>1</v>
      </c>
      <c r="J6649">
        <v>1</v>
      </c>
      <c r="K6649">
        <v>0</v>
      </c>
      <c r="L6649">
        <v>1</v>
      </c>
      <c r="M6649" t="s">
        <v>1894</v>
      </c>
    </row>
    <row r="6650" spans="1:13" hidden="1" x14ac:dyDescent="0.15">
      <c r="A6650" t="s">
        <v>20798</v>
      </c>
      <c r="B6650" t="s">
        <v>20799</v>
      </c>
      <c r="C6650" t="s">
        <v>20800</v>
      </c>
      <c r="D6650" t="s">
        <v>20792</v>
      </c>
      <c r="E6650">
        <v>318</v>
      </c>
      <c r="F6650" t="str">
        <f>HYPERLINK("https://github.com/deltachat/deltachat-android/issues/1565", "show")</f>
        <v>show</v>
      </c>
      <c r="G6650" t="str">
        <f>HYPERLINK("https://github.com/deltachat/deltachat-android", "show")</f>
        <v>show</v>
      </c>
      <c r="H6650" t="str">
        <f>HYPERLINK("https://github.com/deltachat/deltachat-android/releases", "show")</f>
        <v>show</v>
      </c>
      <c r="I6650">
        <v>1</v>
      </c>
      <c r="J6650">
        <v>0</v>
      </c>
      <c r="K6650">
        <v>0</v>
      </c>
      <c r="L6650">
        <v>0</v>
      </c>
      <c r="M6650" t="s">
        <v>17</v>
      </c>
    </row>
    <row r="6651" spans="1:13" hidden="1" x14ac:dyDescent="0.15">
      <c r="A6651" t="s">
        <v>20801</v>
      </c>
      <c r="B6651" t="s">
        <v>20802</v>
      </c>
      <c r="C6651" t="s">
        <v>20803</v>
      </c>
      <c r="D6651" t="s">
        <v>20792</v>
      </c>
      <c r="E6651">
        <v>0</v>
      </c>
      <c r="F6651" t="str">
        <f>HYPERLINK("https://github.com/TeamNewPipe/NewPipe/issues/4137", "show")</f>
        <v>show</v>
      </c>
      <c r="G6651" t="str">
        <f>HYPERLINK("https://github.com/TeamNewPipe/NewPipe", "show")</f>
        <v>show</v>
      </c>
      <c r="H6651" t="str">
        <f>HYPERLINK("https://github.com/TeamNewPipe/NewPipe/releases", "show")</f>
        <v>show</v>
      </c>
      <c r="I6651">
        <v>1</v>
      </c>
      <c r="J6651">
        <v>1</v>
      </c>
      <c r="K6651">
        <v>1</v>
      </c>
      <c r="L6651">
        <v>1</v>
      </c>
      <c r="M6651" t="s">
        <v>2875</v>
      </c>
    </row>
    <row r="6652" spans="1:13" hidden="1" x14ac:dyDescent="0.15">
      <c r="A6652" t="s">
        <v>20804</v>
      </c>
      <c r="B6652" t="s">
        <v>20805</v>
      </c>
      <c r="C6652" t="s">
        <v>20806</v>
      </c>
      <c r="D6652" t="s">
        <v>20807</v>
      </c>
      <c r="E6652">
        <v>0</v>
      </c>
      <c r="F6652" t="str">
        <f>HYPERLINK("https://github.com/mh-/corona-warn-companion-android/issues/9", "show")</f>
        <v>show</v>
      </c>
      <c r="G6652" t="str">
        <f>HYPERLINK("https://github.com/mh-/corona-warn-companion-android", "show")</f>
        <v>show</v>
      </c>
      <c r="H6652" t="str">
        <f>HYPERLINK("https://github.com/mh-/corona-warn-companion-android/releases", "show")</f>
        <v>show</v>
      </c>
      <c r="I6652">
        <v>1</v>
      </c>
      <c r="J6652">
        <v>0</v>
      </c>
      <c r="K6652">
        <v>1</v>
      </c>
      <c r="L6652">
        <v>0</v>
      </c>
      <c r="M6652" t="s">
        <v>64</v>
      </c>
    </row>
    <row r="6653" spans="1:13" hidden="1" x14ac:dyDescent="0.15">
      <c r="A6653" t="s">
        <v>20808</v>
      </c>
      <c r="B6653" t="s">
        <v>20809</v>
      </c>
      <c r="C6653" t="s">
        <v>20583</v>
      </c>
      <c r="D6653" t="s">
        <v>20810</v>
      </c>
      <c r="E6653">
        <v>0</v>
      </c>
      <c r="F6653" t="str">
        <f>HYPERLINK("https://github.com/Anuken/Mindustry/issues/2353", "show")</f>
        <v>show</v>
      </c>
      <c r="G6653" t="str">
        <f>HYPERLINK("https://github.com/Anuken/Mindustry", "show")</f>
        <v>show</v>
      </c>
      <c r="H6653" t="str">
        <f>HYPERLINK("https://github.com/Anuken/Mindustry/releases", "show")</f>
        <v>show</v>
      </c>
      <c r="I6653">
        <v>0</v>
      </c>
      <c r="J6653">
        <v>0</v>
      </c>
      <c r="K6653">
        <v>0</v>
      </c>
      <c r="L6653">
        <v>0</v>
      </c>
      <c r="M6653" t="s">
        <v>43</v>
      </c>
    </row>
    <row r="6654" spans="1:13" hidden="1" x14ac:dyDescent="0.15">
      <c r="A6654" t="s">
        <v>20811</v>
      </c>
      <c r="B6654" t="s">
        <v>20812</v>
      </c>
      <c r="C6654" t="s">
        <v>20813</v>
      </c>
      <c r="D6654" t="s">
        <v>20810</v>
      </c>
      <c r="E6654">
        <v>2</v>
      </c>
      <c r="F6654" t="str">
        <f>HYPERLINK("https://github.com/cfirinidis/GotNXT/issues/79", "show")</f>
        <v>show</v>
      </c>
      <c r="G6654" t="str">
        <f>HYPERLINK("https://github.com/cfirinidis/GotNXT", "show")</f>
        <v>show</v>
      </c>
      <c r="H6654" t="str">
        <f>HYPERLINK("https://github.com/cfirinidis/GotNXT/releases", "show")</f>
        <v>show</v>
      </c>
      <c r="I6654">
        <v>1</v>
      </c>
      <c r="J6654">
        <v>0</v>
      </c>
      <c r="K6654">
        <v>0</v>
      </c>
      <c r="L6654">
        <v>0</v>
      </c>
      <c r="M6654" t="s">
        <v>17</v>
      </c>
    </row>
    <row r="6655" spans="1:13" hidden="1" x14ac:dyDescent="0.15">
      <c r="A6655" t="s">
        <v>20814</v>
      </c>
      <c r="B6655" t="s">
        <v>20815</v>
      </c>
      <c r="C6655" t="s">
        <v>20816</v>
      </c>
      <c r="D6655" t="s">
        <v>20817</v>
      </c>
      <c r="E6655">
        <v>0</v>
      </c>
      <c r="F6655" t="str">
        <f>HYPERLINK("https://github.com/Anuken/Mindustry/issues/2350", "show")</f>
        <v>show</v>
      </c>
      <c r="G6655" t="str">
        <f>HYPERLINK("https://github.com/Anuken/Mindustry", "show")</f>
        <v>show</v>
      </c>
      <c r="H6655" t="str">
        <f>HYPERLINK("https://github.com/Anuken/Mindustry/releases", "show")</f>
        <v>show</v>
      </c>
      <c r="I6655">
        <v>0</v>
      </c>
      <c r="J6655">
        <v>0</v>
      </c>
      <c r="K6655">
        <v>0</v>
      </c>
      <c r="L6655">
        <v>0</v>
      </c>
      <c r="M6655" t="s">
        <v>43</v>
      </c>
    </row>
    <row r="6656" spans="1:13" hidden="1" x14ac:dyDescent="0.15">
      <c r="A6656" t="s">
        <v>20818</v>
      </c>
      <c r="B6656" t="s">
        <v>20819</v>
      </c>
      <c r="C6656" t="s">
        <v>20820</v>
      </c>
      <c r="D6656" t="s">
        <v>20817</v>
      </c>
      <c r="E6656">
        <v>0</v>
      </c>
      <c r="F6656" t="str">
        <f>HYPERLINK("https://github.com/Anuken/Mindustry/issues/2347", "show")</f>
        <v>show</v>
      </c>
      <c r="G6656" t="str">
        <f>HYPERLINK("https://github.com/Anuken/Mindustry", "show")</f>
        <v>show</v>
      </c>
      <c r="H6656" t="str">
        <f>HYPERLINK("https://github.com/Anuken/Mindustry/releases", "show")</f>
        <v>show</v>
      </c>
      <c r="I6656">
        <v>1</v>
      </c>
      <c r="J6656">
        <v>0</v>
      </c>
      <c r="K6656">
        <v>0</v>
      </c>
      <c r="L6656">
        <v>0</v>
      </c>
      <c r="M6656" t="s">
        <v>17</v>
      </c>
    </row>
    <row r="6657" spans="1:13" hidden="1" x14ac:dyDescent="0.15">
      <c r="A6657" t="s">
        <v>20821</v>
      </c>
      <c r="B6657" t="s">
        <v>20822</v>
      </c>
      <c r="D6657" t="s">
        <v>20817</v>
      </c>
      <c r="E6657">
        <v>5</v>
      </c>
      <c r="F6657" t="str">
        <f>HYPERLINK("https://github.com/SeulGeek/FoodForYou/issues/36", "show")</f>
        <v>show</v>
      </c>
      <c r="G6657" t="str">
        <f>HYPERLINK("https://github.com/SeulGeek/FoodForYou", "show")</f>
        <v>show</v>
      </c>
      <c r="H6657" t="str">
        <f>HYPERLINK("https://github.com/SeulGeek/FoodForYou/releases", "show")</f>
        <v>show</v>
      </c>
      <c r="I6657">
        <v>0</v>
      </c>
      <c r="J6657">
        <v>0</v>
      </c>
      <c r="K6657">
        <v>0</v>
      </c>
      <c r="L6657">
        <v>0</v>
      </c>
      <c r="M6657" t="s">
        <v>43</v>
      </c>
    </row>
    <row r="6658" spans="1:13" hidden="1" x14ac:dyDescent="0.15">
      <c r="A6658" t="s">
        <v>20823</v>
      </c>
      <c r="B6658" t="s">
        <v>20824</v>
      </c>
      <c r="C6658" t="s">
        <v>20825</v>
      </c>
      <c r="D6658" t="s">
        <v>20817</v>
      </c>
      <c r="E6658">
        <v>0</v>
      </c>
      <c r="F6658" t="str">
        <f>HYPERLINK("https://github.com/Anuken/Mindustry/issues/2346", "show")</f>
        <v>show</v>
      </c>
      <c r="G6658" t="str">
        <f>HYPERLINK("https://github.com/Anuken/Mindustry", "show")</f>
        <v>show</v>
      </c>
      <c r="H6658" t="str">
        <f>HYPERLINK("https://github.com/Anuken/Mindustry/releases", "show")</f>
        <v>show</v>
      </c>
      <c r="I6658">
        <v>0</v>
      </c>
      <c r="J6658">
        <v>0</v>
      </c>
      <c r="K6658">
        <v>0</v>
      </c>
      <c r="L6658">
        <v>1</v>
      </c>
      <c r="M6658" t="s">
        <v>581</v>
      </c>
    </row>
    <row r="6659" spans="1:13" hidden="1" x14ac:dyDescent="0.15">
      <c r="A6659" t="s">
        <v>20826</v>
      </c>
      <c r="B6659" t="s">
        <v>20827</v>
      </c>
      <c r="C6659" t="s">
        <v>20828</v>
      </c>
      <c r="D6659" t="s">
        <v>20829</v>
      </c>
      <c r="E6659">
        <v>0</v>
      </c>
      <c r="F6659" t="str">
        <f>HYPERLINK("https://github.com/TotalCross/totalcross/issues/97", "show")</f>
        <v>show</v>
      </c>
      <c r="G6659" t="str">
        <f>HYPERLINK("https://github.com/TotalCross/totalcross", "show")</f>
        <v>show</v>
      </c>
      <c r="H6659" t="str">
        <f>HYPERLINK("https://github.com/TotalCross/totalcross/releases", "show")</f>
        <v>show</v>
      </c>
      <c r="I6659">
        <v>1</v>
      </c>
      <c r="J6659">
        <v>0</v>
      </c>
      <c r="K6659">
        <v>0</v>
      </c>
      <c r="L6659">
        <v>0</v>
      </c>
      <c r="M6659" t="s">
        <v>17</v>
      </c>
    </row>
    <row r="6660" spans="1:13" hidden="1" x14ac:dyDescent="0.15">
      <c r="A6660" t="s">
        <v>20830</v>
      </c>
      <c r="B6660" t="s">
        <v>20831</v>
      </c>
      <c r="C6660" t="s">
        <v>20832</v>
      </c>
      <c r="D6660" t="s">
        <v>20829</v>
      </c>
      <c r="E6660">
        <v>36</v>
      </c>
      <c r="F6660" t="str">
        <f>HYPERLINK("https://github.com/awslabs/aws-mobile-appsync-sdk-android/issues/306", "show")</f>
        <v>show</v>
      </c>
      <c r="G6660" t="str">
        <f>HYPERLINK("https://github.com/awslabs/aws-mobile-appsync-sdk-android", "show")</f>
        <v>show</v>
      </c>
      <c r="H6660" t="str">
        <f>HYPERLINK("https://github.com/awslabs/aws-mobile-appsync-sdk-android/releases", "show")</f>
        <v>show</v>
      </c>
      <c r="I6660">
        <v>1</v>
      </c>
      <c r="J6660">
        <v>1</v>
      </c>
      <c r="K6660">
        <v>0</v>
      </c>
      <c r="L6660">
        <v>0</v>
      </c>
      <c r="M6660" t="s">
        <v>48</v>
      </c>
    </row>
    <row r="6661" spans="1:13" x14ac:dyDescent="0.15">
      <c r="A6661" t="s">
        <v>20833</v>
      </c>
      <c r="B6661" t="s">
        <v>20834</v>
      </c>
      <c r="C6661" t="s">
        <v>20835</v>
      </c>
      <c r="D6661" t="s">
        <v>20829</v>
      </c>
      <c r="E6661">
        <v>4</v>
      </c>
      <c r="F6661" t="str">
        <f>HYPERLINK("https://github.com/gsantner/markor/issues/1027", "show")</f>
        <v>show</v>
      </c>
      <c r="G6661" t="str">
        <f>HYPERLINK("https://github.com/gsantner/markor", "show")</f>
        <v>show</v>
      </c>
      <c r="H6661" t="str">
        <f>HYPERLINK("https://github.com/gsantner/markor/releases", "show")</f>
        <v>show</v>
      </c>
      <c r="I6661">
        <v>0</v>
      </c>
      <c r="J6661">
        <v>1</v>
      </c>
      <c r="K6661">
        <v>0</v>
      </c>
      <c r="L6661">
        <v>0</v>
      </c>
      <c r="M6661" t="s">
        <v>139</v>
      </c>
    </row>
    <row r="6662" spans="1:13" hidden="1" x14ac:dyDescent="0.15">
      <c r="A6662" t="s">
        <v>20836</v>
      </c>
      <c r="B6662" t="s">
        <v>20837</v>
      </c>
      <c r="C6662" t="s">
        <v>20838</v>
      </c>
      <c r="D6662" t="s">
        <v>20829</v>
      </c>
      <c r="E6662">
        <v>1</v>
      </c>
      <c r="F6662" t="str">
        <f>HYPERLINK("https://github.com/Inversion-NL/Toon-Android/issues/46", "show")</f>
        <v>show</v>
      </c>
      <c r="G6662" t="str">
        <f>HYPERLINK("https://github.com/Inversion-NL/Toon-Android", "show")</f>
        <v>show</v>
      </c>
      <c r="H6662" t="str">
        <f>HYPERLINK("https://github.com/Inversion-NL/Toon-Android/releases", "show")</f>
        <v>show</v>
      </c>
      <c r="I6662">
        <v>1</v>
      </c>
      <c r="J6662">
        <v>0</v>
      </c>
      <c r="K6662">
        <v>1</v>
      </c>
      <c r="L6662">
        <v>0</v>
      </c>
      <c r="M6662" t="s">
        <v>64</v>
      </c>
    </row>
    <row r="6663" spans="1:13" hidden="1" x14ac:dyDescent="0.15">
      <c r="A6663" t="s">
        <v>20839</v>
      </c>
      <c r="B6663" t="s">
        <v>20840</v>
      </c>
      <c r="C6663" t="s">
        <v>20841</v>
      </c>
      <c r="D6663" t="s">
        <v>20829</v>
      </c>
      <c r="E6663">
        <v>1</v>
      </c>
      <c r="F6663" t="str">
        <f>HYPERLINK("https://github.com/Inversion-NL/Toon-Android/issues/45", "show")</f>
        <v>show</v>
      </c>
      <c r="G6663" t="str">
        <f>HYPERLINK("https://github.com/Inversion-NL/Toon-Android", "show")</f>
        <v>show</v>
      </c>
      <c r="H6663" t="str">
        <f>HYPERLINK("https://github.com/Inversion-NL/Toon-Android/releases", "show")</f>
        <v>show</v>
      </c>
      <c r="I6663">
        <v>1</v>
      </c>
      <c r="J6663">
        <v>0</v>
      </c>
      <c r="K6663">
        <v>1</v>
      </c>
      <c r="L6663">
        <v>0</v>
      </c>
      <c r="M6663" t="s">
        <v>64</v>
      </c>
    </row>
    <row r="6664" spans="1:13" hidden="1" x14ac:dyDescent="0.15">
      <c r="A6664" t="s">
        <v>20842</v>
      </c>
      <c r="B6664" t="s">
        <v>20843</v>
      </c>
      <c r="C6664" t="s">
        <v>20844</v>
      </c>
      <c r="D6664" t="s">
        <v>20845</v>
      </c>
      <c r="E6664">
        <v>13</v>
      </c>
      <c r="F6664" t="str">
        <f>HYPERLINK("https://github.com/patzly/grocy-android/issues/70", "show")</f>
        <v>show</v>
      </c>
      <c r="G6664" t="str">
        <f>HYPERLINK("https://github.com/patzly/grocy-android", "show")</f>
        <v>show</v>
      </c>
      <c r="H6664" t="str">
        <f>HYPERLINK("https://github.com/patzly/grocy-android/releases", "show")</f>
        <v>show</v>
      </c>
      <c r="I6664">
        <v>1</v>
      </c>
      <c r="J6664">
        <v>0</v>
      </c>
      <c r="K6664">
        <v>0</v>
      </c>
      <c r="L6664">
        <v>0</v>
      </c>
      <c r="M6664" t="s">
        <v>17</v>
      </c>
    </row>
    <row r="6665" spans="1:13" hidden="1" x14ac:dyDescent="0.15">
      <c r="A6665" t="s">
        <v>20846</v>
      </c>
      <c r="B6665" t="s">
        <v>20847</v>
      </c>
      <c r="C6665" t="s">
        <v>20848</v>
      </c>
      <c r="D6665" t="s">
        <v>20845</v>
      </c>
      <c r="E6665">
        <v>2</v>
      </c>
      <c r="F6665" t="str">
        <f>HYPERLINK("https://github.com/onaio/rdt-standard/issues/354", "show")</f>
        <v>show</v>
      </c>
      <c r="G6665" t="str">
        <f>HYPERLINK("https://github.com/onaio/rdt-standard", "show")</f>
        <v>show</v>
      </c>
      <c r="H6665" t="str">
        <f>HYPERLINK("https://github.com/onaio/rdt-standard/releases", "show")</f>
        <v>show</v>
      </c>
      <c r="I6665">
        <v>1</v>
      </c>
      <c r="J6665">
        <v>0</v>
      </c>
      <c r="K6665">
        <v>0</v>
      </c>
      <c r="L6665">
        <v>0</v>
      </c>
      <c r="M6665" t="s">
        <v>17</v>
      </c>
    </row>
    <row r="6666" spans="1:13" hidden="1" x14ac:dyDescent="0.15">
      <c r="A6666" t="s">
        <v>20849</v>
      </c>
      <c r="B6666" t="s">
        <v>20850</v>
      </c>
      <c r="C6666" t="s">
        <v>20851</v>
      </c>
      <c r="D6666" t="s">
        <v>20845</v>
      </c>
      <c r="E6666">
        <v>149</v>
      </c>
      <c r="F6666" t="str">
        <f>HYPERLINK("https://github.com/inaturalist/iNaturalistAndroid/issues/878", "show")</f>
        <v>show</v>
      </c>
      <c r="G6666" t="str">
        <f>HYPERLINK("https://github.com/inaturalist/iNaturalistAndroid", "show")</f>
        <v>show</v>
      </c>
      <c r="H6666" t="str">
        <f>HYPERLINK("https://github.com/inaturalist/iNaturalistAndroid/releases", "show")</f>
        <v>show</v>
      </c>
      <c r="I6666">
        <v>1</v>
      </c>
      <c r="J6666">
        <v>0</v>
      </c>
      <c r="K6666">
        <v>1</v>
      </c>
      <c r="L6666">
        <v>0</v>
      </c>
      <c r="M6666" t="s">
        <v>64</v>
      </c>
    </row>
    <row r="6667" spans="1:13" hidden="1" x14ac:dyDescent="0.15">
      <c r="A6667" t="s">
        <v>20852</v>
      </c>
      <c r="B6667" t="s">
        <v>20853</v>
      </c>
      <c r="C6667" t="s">
        <v>20854</v>
      </c>
      <c r="D6667" t="s">
        <v>20845</v>
      </c>
      <c r="E6667">
        <v>49</v>
      </c>
      <c r="F6667" t="str">
        <f>HYPERLINK("https://github.com/TeamNewPipe/NewPipe/issues/4112", "show")</f>
        <v>show</v>
      </c>
      <c r="G6667" t="str">
        <f>HYPERLINK("https://github.com/TeamNewPipe/NewPipe", "show")</f>
        <v>show</v>
      </c>
      <c r="H6667" t="str">
        <f>HYPERLINK("https://github.com/TeamNewPipe/NewPipe/releases", "show")</f>
        <v>show</v>
      </c>
      <c r="I6667">
        <v>0</v>
      </c>
      <c r="J6667">
        <v>0</v>
      </c>
      <c r="K6667">
        <v>1</v>
      </c>
      <c r="L6667">
        <v>0</v>
      </c>
      <c r="M6667" t="s">
        <v>122</v>
      </c>
    </row>
    <row r="6668" spans="1:13" hidden="1" x14ac:dyDescent="0.15">
      <c r="A6668" t="s">
        <v>20855</v>
      </c>
      <c r="B6668" t="s">
        <v>20856</v>
      </c>
      <c r="C6668" t="s">
        <v>20857</v>
      </c>
      <c r="D6668" t="s">
        <v>20858</v>
      </c>
      <c r="E6668">
        <v>150</v>
      </c>
      <c r="F6668" t="str">
        <f>HYPERLINK("https://github.com/inaturalist/iNaturalistAndroid/issues/874", "show")</f>
        <v>show</v>
      </c>
      <c r="G6668" t="str">
        <f>HYPERLINK("https://github.com/inaturalist/iNaturalistAndroid", "show")</f>
        <v>show</v>
      </c>
      <c r="H6668" t="str">
        <f>HYPERLINK("https://github.com/inaturalist/iNaturalistAndroid/releases", "show")</f>
        <v>show</v>
      </c>
      <c r="I6668">
        <v>1</v>
      </c>
      <c r="J6668">
        <v>0</v>
      </c>
      <c r="K6668">
        <v>1</v>
      </c>
      <c r="L6668">
        <v>0</v>
      </c>
      <c r="M6668" t="s">
        <v>64</v>
      </c>
    </row>
    <row r="6669" spans="1:13" hidden="1" x14ac:dyDescent="0.15">
      <c r="A6669" t="s">
        <v>20859</v>
      </c>
      <c r="B6669" t="s">
        <v>20860</v>
      </c>
      <c r="C6669" t="s">
        <v>20861</v>
      </c>
      <c r="D6669" t="s">
        <v>20858</v>
      </c>
      <c r="E6669">
        <v>588</v>
      </c>
      <c r="F6669" t="str">
        <f>HYPERLINK("https://github.com/NordicSemiconductor/Android-BLE-Library/issues/224", "show")</f>
        <v>show</v>
      </c>
      <c r="G6669" t="str">
        <f>HYPERLINK("https://github.com/NordicSemiconductor/Android-BLE-Library", "show")</f>
        <v>show</v>
      </c>
      <c r="H6669" t="str">
        <f>HYPERLINK("https://github.com/NordicSemiconductor/Android-BLE-Library/releases", "show")</f>
        <v>show</v>
      </c>
      <c r="I6669">
        <v>1</v>
      </c>
      <c r="J6669">
        <v>0</v>
      </c>
      <c r="K6669">
        <v>1</v>
      </c>
      <c r="L6669">
        <v>0</v>
      </c>
      <c r="M6669" t="s">
        <v>64</v>
      </c>
    </row>
    <row r="6670" spans="1:13" hidden="1" x14ac:dyDescent="0.15">
      <c r="A6670" t="s">
        <v>20862</v>
      </c>
      <c r="B6670" t="s">
        <v>20863</v>
      </c>
      <c r="C6670" t="s">
        <v>20864</v>
      </c>
      <c r="D6670" t="s">
        <v>20858</v>
      </c>
      <c r="E6670">
        <v>0</v>
      </c>
      <c r="F6670" t="str">
        <f>HYPERLINK("https://github.com/Anuken/Mindustry/issues/2336", "show")</f>
        <v>show</v>
      </c>
      <c r="G6670" t="str">
        <f>HYPERLINK("https://github.com/Anuken/Mindustry", "show")</f>
        <v>show</v>
      </c>
      <c r="H6670" t="str">
        <f>HYPERLINK("https://github.com/Anuken/Mindustry/releases", "show")</f>
        <v>show</v>
      </c>
      <c r="I6670">
        <v>0</v>
      </c>
      <c r="J6670">
        <v>0</v>
      </c>
      <c r="K6670">
        <v>0</v>
      </c>
      <c r="L6670">
        <v>0</v>
      </c>
      <c r="M6670" t="s">
        <v>43</v>
      </c>
    </row>
    <row r="6671" spans="1:13" hidden="1" x14ac:dyDescent="0.15">
      <c r="A6671" t="s">
        <v>20865</v>
      </c>
      <c r="B6671" t="s">
        <v>20866</v>
      </c>
      <c r="C6671" t="s">
        <v>20867</v>
      </c>
      <c r="D6671" t="s">
        <v>20858</v>
      </c>
      <c r="E6671">
        <v>0</v>
      </c>
      <c r="F6671" t="str">
        <f>HYPERLINK("https://github.com/Anuken/Mindustry/issues/2335", "show")</f>
        <v>show</v>
      </c>
      <c r="G6671" t="str">
        <f>HYPERLINK("https://github.com/Anuken/Mindustry", "show")</f>
        <v>show</v>
      </c>
      <c r="H6671" t="str">
        <f>HYPERLINK("https://github.com/Anuken/Mindustry/releases", "show")</f>
        <v>show</v>
      </c>
      <c r="I6671">
        <v>0</v>
      </c>
      <c r="J6671">
        <v>0</v>
      </c>
      <c r="K6671">
        <v>0</v>
      </c>
      <c r="L6671">
        <v>0</v>
      </c>
      <c r="M6671" t="s">
        <v>43</v>
      </c>
    </row>
    <row r="6672" spans="1:13" hidden="1" x14ac:dyDescent="0.15">
      <c r="A6672" t="s">
        <v>20868</v>
      </c>
      <c r="B6672" t="s">
        <v>20869</v>
      </c>
      <c r="C6672" t="s">
        <v>20870</v>
      </c>
      <c r="D6672" t="s">
        <v>20858</v>
      </c>
      <c r="E6672">
        <v>120</v>
      </c>
      <c r="F6672" t="str">
        <f>HYPERLINK("https://github.com/ankidroid/Anki-Android/issues/6877", "show")</f>
        <v>show</v>
      </c>
      <c r="G6672" t="str">
        <f>HYPERLINK("https://github.com/ankidroid/Anki-Android", "show")</f>
        <v>show</v>
      </c>
      <c r="H6672" t="str">
        <f>HYPERLINK("https://github.com/ankidroid/Anki-Android/releases", "show")</f>
        <v>show</v>
      </c>
      <c r="I6672">
        <v>1</v>
      </c>
      <c r="J6672">
        <v>0</v>
      </c>
      <c r="K6672">
        <v>1</v>
      </c>
      <c r="L6672">
        <v>0</v>
      </c>
      <c r="M6672" t="s">
        <v>64</v>
      </c>
    </row>
    <row r="6673" spans="1:13" hidden="1" x14ac:dyDescent="0.15">
      <c r="A6673" t="s">
        <v>20871</v>
      </c>
      <c r="B6673" t="s">
        <v>20872</v>
      </c>
      <c r="C6673" t="s">
        <v>20390</v>
      </c>
      <c r="D6673" t="s">
        <v>20858</v>
      </c>
      <c r="E6673">
        <v>0</v>
      </c>
      <c r="F6673" t="str">
        <f>HYPERLINK("https://github.com/TeamNewPipe/NewPipe/issues/4109", "show")</f>
        <v>show</v>
      </c>
      <c r="G6673" t="str">
        <f>HYPERLINK("https://github.com/TeamNewPipe/NewPipe", "show")</f>
        <v>show</v>
      </c>
      <c r="H6673" t="str">
        <f>HYPERLINK("https://github.com/TeamNewPipe/NewPipe/releases", "show")</f>
        <v>show</v>
      </c>
      <c r="I6673">
        <v>1</v>
      </c>
      <c r="J6673">
        <v>1</v>
      </c>
      <c r="K6673">
        <v>0</v>
      </c>
      <c r="L6673">
        <v>0</v>
      </c>
      <c r="M6673" t="s">
        <v>48</v>
      </c>
    </row>
    <row r="6674" spans="1:13" hidden="1" x14ac:dyDescent="0.15">
      <c r="A6674" t="s">
        <v>20873</v>
      </c>
      <c r="B6674" t="s">
        <v>20872</v>
      </c>
      <c r="C6674" t="s">
        <v>20390</v>
      </c>
      <c r="D6674" t="s">
        <v>20858</v>
      </c>
      <c r="E6674">
        <v>0</v>
      </c>
      <c r="F6674" t="str">
        <f>HYPERLINK("https://github.com/TeamNewPipe/NewPipe/issues/4108", "show")</f>
        <v>show</v>
      </c>
      <c r="G6674" t="str">
        <f>HYPERLINK("https://github.com/TeamNewPipe/NewPipe", "show")</f>
        <v>show</v>
      </c>
      <c r="H6674" t="str">
        <f>HYPERLINK("https://github.com/TeamNewPipe/NewPipe/releases", "show")</f>
        <v>show</v>
      </c>
      <c r="I6674">
        <v>1</v>
      </c>
      <c r="J6674">
        <v>1</v>
      </c>
      <c r="K6674">
        <v>0</v>
      </c>
      <c r="L6674">
        <v>0</v>
      </c>
      <c r="M6674" t="s">
        <v>48</v>
      </c>
    </row>
    <row r="6675" spans="1:13" hidden="1" x14ac:dyDescent="0.15">
      <c r="A6675" t="s">
        <v>20874</v>
      </c>
      <c r="B6675" t="s">
        <v>20875</v>
      </c>
      <c r="C6675" t="s">
        <v>20876</v>
      </c>
      <c r="D6675" t="s">
        <v>20858</v>
      </c>
      <c r="E6675">
        <v>7</v>
      </c>
      <c r="F6675" t="str">
        <f>HYPERLINK("https://github.com/SimpleAppProjects/SimpleWeather-Android/issues/1", "show")</f>
        <v>show</v>
      </c>
      <c r="G6675" t="str">
        <f>HYPERLINK("https://github.com/SimpleAppProjects/SimpleWeather-Android", "show")</f>
        <v>show</v>
      </c>
      <c r="H6675" t="str">
        <f>HYPERLINK("https://github.com/SimpleAppProjects/SimpleWeather-Android/releases", "show")</f>
        <v>show</v>
      </c>
      <c r="I6675">
        <v>1</v>
      </c>
      <c r="J6675">
        <v>0</v>
      </c>
      <c r="K6675">
        <v>0</v>
      </c>
      <c r="L6675">
        <v>0</v>
      </c>
      <c r="M6675" t="s">
        <v>17</v>
      </c>
    </row>
    <row r="6676" spans="1:13" hidden="1" x14ac:dyDescent="0.15">
      <c r="A6676" t="s">
        <v>20877</v>
      </c>
      <c r="B6676" t="s">
        <v>20878</v>
      </c>
      <c r="C6676" t="s">
        <v>20879</v>
      </c>
      <c r="D6676" t="s">
        <v>20880</v>
      </c>
      <c r="E6676">
        <v>2</v>
      </c>
      <c r="F6676" t="str">
        <f>HYPERLINK("https://github.com/amahi/android/issues/599", "show")</f>
        <v>show</v>
      </c>
      <c r="G6676" t="str">
        <f>HYPERLINK("https://github.com/amahi/android", "show")</f>
        <v>show</v>
      </c>
      <c r="H6676" t="str">
        <f>HYPERLINK("https://github.com/amahi/android/releases", "show")</f>
        <v>show</v>
      </c>
      <c r="I6676">
        <v>0</v>
      </c>
      <c r="J6676">
        <v>1</v>
      </c>
      <c r="K6676">
        <v>0</v>
      </c>
      <c r="L6676">
        <v>1</v>
      </c>
      <c r="M6676" t="s">
        <v>1732</v>
      </c>
    </row>
    <row r="6677" spans="1:13" hidden="1" x14ac:dyDescent="0.15">
      <c r="A6677" t="s">
        <v>20881</v>
      </c>
      <c r="B6677" t="s">
        <v>20882</v>
      </c>
      <c r="C6677" t="s">
        <v>20883</v>
      </c>
      <c r="D6677" t="s">
        <v>20880</v>
      </c>
      <c r="E6677">
        <v>161</v>
      </c>
      <c r="F6677" t="str">
        <f>HYPERLINK("https://github.com/ankidroid/Anki-Android/issues/6852", "show")</f>
        <v>show</v>
      </c>
      <c r="G6677" t="str">
        <f>HYPERLINK("https://github.com/ankidroid/Anki-Android", "show")</f>
        <v>show</v>
      </c>
      <c r="H6677" t="str">
        <f>HYPERLINK("https://github.com/ankidroid/Anki-Android/releases", "show")</f>
        <v>show</v>
      </c>
      <c r="I6677">
        <v>1</v>
      </c>
      <c r="J6677">
        <v>1</v>
      </c>
      <c r="K6677">
        <v>1</v>
      </c>
      <c r="L6677">
        <v>0</v>
      </c>
      <c r="M6677" t="s">
        <v>59</v>
      </c>
    </row>
    <row r="6678" spans="1:13" hidden="1" x14ac:dyDescent="0.15">
      <c r="A6678" t="s">
        <v>20884</v>
      </c>
      <c r="B6678" t="s">
        <v>20885</v>
      </c>
      <c r="C6678" t="s">
        <v>20886</v>
      </c>
      <c r="D6678" t="s">
        <v>20880</v>
      </c>
      <c r="E6678">
        <v>0</v>
      </c>
      <c r="F6678" t="str">
        <f>HYPERLINK("https://github.com/TeamNewPipe/NewPipe/issues/4097", "show")</f>
        <v>show</v>
      </c>
      <c r="G6678" t="str">
        <f>HYPERLINK("https://github.com/TeamNewPipe/NewPipe", "show")</f>
        <v>show</v>
      </c>
      <c r="H6678" t="str">
        <f>HYPERLINK("https://github.com/TeamNewPipe/NewPipe/releases", "show")</f>
        <v>show</v>
      </c>
      <c r="I6678">
        <v>1</v>
      </c>
      <c r="J6678">
        <v>0</v>
      </c>
      <c r="K6678">
        <v>1</v>
      </c>
      <c r="L6678">
        <v>0</v>
      </c>
      <c r="M6678" t="s">
        <v>64</v>
      </c>
    </row>
    <row r="6679" spans="1:13" hidden="1" x14ac:dyDescent="0.15">
      <c r="A6679" t="s">
        <v>20887</v>
      </c>
      <c r="B6679" t="s">
        <v>20888</v>
      </c>
      <c r="C6679" t="s">
        <v>20889</v>
      </c>
      <c r="D6679" t="s">
        <v>20880</v>
      </c>
      <c r="E6679">
        <v>105</v>
      </c>
      <c r="F6679" t="str">
        <f>HYPERLINK("https://github.com/nextcloud/android/issues/6677", "show")</f>
        <v>show</v>
      </c>
      <c r="G6679" t="str">
        <f>HYPERLINK("https://github.com/nextcloud/android", "show")</f>
        <v>show</v>
      </c>
      <c r="H6679" t="str">
        <f>HYPERLINK("https://github.com/nextcloud/android/releases", "show")</f>
        <v>show</v>
      </c>
      <c r="I6679">
        <v>1</v>
      </c>
      <c r="J6679">
        <v>0</v>
      </c>
      <c r="K6679">
        <v>1</v>
      </c>
      <c r="L6679">
        <v>0</v>
      </c>
      <c r="M6679" t="s">
        <v>64</v>
      </c>
    </row>
    <row r="6680" spans="1:13" hidden="1" x14ac:dyDescent="0.15">
      <c r="A6680" t="s">
        <v>20890</v>
      </c>
      <c r="B6680" t="s">
        <v>20891</v>
      </c>
      <c r="C6680" t="s">
        <v>20892</v>
      </c>
      <c r="D6680" t="s">
        <v>20880</v>
      </c>
      <c r="E6680">
        <v>10</v>
      </c>
      <c r="F6680" t="str">
        <f>HYPERLINK("https://github.com/nextcloud/android/issues/6675", "show")</f>
        <v>show</v>
      </c>
      <c r="G6680" t="str">
        <f>HYPERLINK("https://github.com/nextcloud/android", "show")</f>
        <v>show</v>
      </c>
      <c r="H6680" t="str">
        <f>HYPERLINK("https://github.com/nextcloud/android/releases", "show")</f>
        <v>show</v>
      </c>
      <c r="I6680">
        <v>1</v>
      </c>
      <c r="J6680">
        <v>0</v>
      </c>
      <c r="K6680">
        <v>0</v>
      </c>
      <c r="L6680">
        <v>1</v>
      </c>
      <c r="M6680" t="s">
        <v>29</v>
      </c>
    </row>
    <row r="6681" spans="1:13" hidden="1" x14ac:dyDescent="0.15">
      <c r="A6681" t="s">
        <v>20893</v>
      </c>
      <c r="B6681" t="s">
        <v>20894</v>
      </c>
      <c r="C6681" t="s">
        <v>20895</v>
      </c>
      <c r="D6681" t="s">
        <v>20896</v>
      </c>
      <c r="E6681">
        <v>1</v>
      </c>
      <c r="F6681" t="str">
        <f>HYPERLINK("https://github.com/square/okhttp/issues/6216", "show")</f>
        <v>show</v>
      </c>
      <c r="G6681" t="str">
        <f>HYPERLINK("https://github.com/square/okhttp", "show")</f>
        <v>show</v>
      </c>
      <c r="H6681" t="str">
        <f>HYPERLINK("https://github.com/square/okhttp/releases", "show")</f>
        <v>show</v>
      </c>
      <c r="I6681">
        <v>0</v>
      </c>
      <c r="J6681">
        <v>1</v>
      </c>
      <c r="K6681">
        <v>1</v>
      </c>
      <c r="L6681">
        <v>0</v>
      </c>
      <c r="M6681" t="s">
        <v>699</v>
      </c>
    </row>
    <row r="6682" spans="1:13" hidden="1" x14ac:dyDescent="0.15">
      <c r="A6682" t="s">
        <v>20897</v>
      </c>
      <c r="B6682" t="s">
        <v>12612</v>
      </c>
      <c r="C6682" t="s">
        <v>20898</v>
      </c>
      <c r="D6682" t="s">
        <v>20896</v>
      </c>
      <c r="E6682">
        <v>0</v>
      </c>
      <c r="F6682" t="str">
        <f>HYPERLINK("https://github.com/TeamNewPipe/NewPipe/issues/4093", "show")</f>
        <v>show</v>
      </c>
      <c r="G6682" t="str">
        <f>HYPERLINK("https://github.com/TeamNewPipe/NewPipe", "show")</f>
        <v>show</v>
      </c>
      <c r="H6682" t="str">
        <f>HYPERLINK("https://github.com/TeamNewPipe/NewPipe/releases", "show")</f>
        <v>show</v>
      </c>
      <c r="I6682">
        <v>1</v>
      </c>
      <c r="J6682">
        <v>1</v>
      </c>
      <c r="K6682">
        <v>1</v>
      </c>
      <c r="L6682">
        <v>0</v>
      </c>
      <c r="M6682" t="s">
        <v>59</v>
      </c>
    </row>
    <row r="6683" spans="1:13" hidden="1" x14ac:dyDescent="0.15">
      <c r="A6683" t="s">
        <v>20899</v>
      </c>
      <c r="B6683" t="s">
        <v>20900</v>
      </c>
      <c r="C6683" t="s">
        <v>20901</v>
      </c>
      <c r="D6683" t="s">
        <v>20896</v>
      </c>
      <c r="E6683">
        <v>255</v>
      </c>
      <c r="F6683" t="str">
        <f>HYPERLINK("https://github.com/awslabs/aws-mobile-appsync-sdk-android/issues/305", "show")</f>
        <v>show</v>
      </c>
      <c r="G6683" t="str">
        <f>HYPERLINK("https://github.com/awslabs/aws-mobile-appsync-sdk-android", "show")</f>
        <v>show</v>
      </c>
      <c r="H6683" t="str">
        <f>HYPERLINK("https://github.com/awslabs/aws-mobile-appsync-sdk-android/releases", "show")</f>
        <v>show</v>
      </c>
      <c r="I6683">
        <v>1</v>
      </c>
      <c r="J6683">
        <v>0</v>
      </c>
      <c r="K6683">
        <v>1</v>
      </c>
      <c r="L6683">
        <v>0</v>
      </c>
      <c r="M6683" t="s">
        <v>64</v>
      </c>
    </row>
    <row r="6684" spans="1:13" hidden="1" x14ac:dyDescent="0.15">
      <c r="A6684" t="s">
        <v>20902</v>
      </c>
      <c r="B6684" t="s">
        <v>20903</v>
      </c>
      <c r="C6684" t="s">
        <v>20904</v>
      </c>
      <c r="D6684" t="s">
        <v>20896</v>
      </c>
      <c r="E6684">
        <v>0</v>
      </c>
      <c r="F6684" t="str">
        <f>HYPERLINK("https://github.com/Anuken/Mindustry/issues/2319", "show")</f>
        <v>show</v>
      </c>
      <c r="G6684" t="str">
        <f>HYPERLINK("https://github.com/Anuken/Mindustry", "show")</f>
        <v>show</v>
      </c>
      <c r="H6684" t="str">
        <f>HYPERLINK("https://github.com/Anuken/Mindustry/releases", "show")</f>
        <v>show</v>
      </c>
      <c r="I6684">
        <v>0</v>
      </c>
      <c r="J6684">
        <v>0</v>
      </c>
      <c r="K6684">
        <v>0</v>
      </c>
      <c r="L6684">
        <v>1</v>
      </c>
      <c r="M6684" t="s">
        <v>581</v>
      </c>
    </row>
    <row r="6685" spans="1:13" hidden="1" x14ac:dyDescent="0.15">
      <c r="A6685" t="s">
        <v>20905</v>
      </c>
      <c r="B6685" t="s">
        <v>20906</v>
      </c>
      <c r="C6685" t="s">
        <v>20907</v>
      </c>
      <c r="D6685" t="s">
        <v>20896</v>
      </c>
      <c r="E6685">
        <v>26</v>
      </c>
      <c r="F6685" t="str">
        <f>HYPERLINK("https://github.com/nextcloud/android/issues/6665", "show")</f>
        <v>show</v>
      </c>
      <c r="G6685" t="str">
        <f>HYPERLINK("https://github.com/nextcloud/android", "show")</f>
        <v>show</v>
      </c>
      <c r="H6685" t="str">
        <f>HYPERLINK("https://github.com/nextcloud/android/releases", "show")</f>
        <v>show</v>
      </c>
      <c r="I6685">
        <v>1</v>
      </c>
      <c r="J6685">
        <v>0</v>
      </c>
      <c r="K6685">
        <v>1</v>
      </c>
      <c r="L6685">
        <v>0</v>
      </c>
      <c r="M6685" t="s">
        <v>64</v>
      </c>
    </row>
    <row r="6686" spans="1:13" hidden="1" x14ac:dyDescent="0.15">
      <c r="A6686" t="s">
        <v>20908</v>
      </c>
      <c r="B6686" t="s">
        <v>20909</v>
      </c>
      <c r="C6686" t="s">
        <v>20910</v>
      </c>
      <c r="D6686" t="s">
        <v>20896</v>
      </c>
      <c r="E6686">
        <v>65</v>
      </c>
      <c r="F6686" t="str">
        <f>HYPERLINK("https://github.com/nextcloud/android/issues/6664", "show")</f>
        <v>show</v>
      </c>
      <c r="G6686" t="str">
        <f>HYPERLINK("https://github.com/nextcloud/android", "show")</f>
        <v>show</v>
      </c>
      <c r="H6686" t="str">
        <f>HYPERLINK("https://github.com/nextcloud/android/releases", "show")</f>
        <v>show</v>
      </c>
      <c r="I6686">
        <v>1</v>
      </c>
      <c r="J6686">
        <v>1</v>
      </c>
      <c r="K6686">
        <v>1</v>
      </c>
      <c r="L6686">
        <v>0</v>
      </c>
      <c r="M6686" t="s">
        <v>59</v>
      </c>
    </row>
    <row r="6687" spans="1:13" hidden="1" x14ac:dyDescent="0.15">
      <c r="A6687" t="s">
        <v>20911</v>
      </c>
      <c r="B6687" t="s">
        <v>20912</v>
      </c>
      <c r="C6687" t="s">
        <v>20913</v>
      </c>
      <c r="D6687" t="s">
        <v>20914</v>
      </c>
      <c r="E6687">
        <v>5</v>
      </c>
      <c r="F6687" t="str">
        <f>HYPERLINK("https://github.com/TeamNewPipe/NewPipe/issues/4090", "show")</f>
        <v>show</v>
      </c>
      <c r="G6687" t="str">
        <f>HYPERLINK("https://github.com/TeamNewPipe/NewPipe", "show")</f>
        <v>show</v>
      </c>
      <c r="H6687" t="str">
        <f>HYPERLINK("https://github.com/TeamNewPipe/NewPipe/releases", "show")</f>
        <v>show</v>
      </c>
      <c r="I6687">
        <v>1</v>
      </c>
      <c r="J6687">
        <v>1</v>
      </c>
      <c r="K6687">
        <v>1</v>
      </c>
      <c r="L6687">
        <v>0</v>
      </c>
      <c r="M6687" t="s">
        <v>59</v>
      </c>
    </row>
    <row r="6688" spans="1:13" hidden="1" x14ac:dyDescent="0.15">
      <c r="A6688" t="s">
        <v>20915</v>
      </c>
      <c r="B6688" t="s">
        <v>20916</v>
      </c>
      <c r="C6688" t="s">
        <v>20917</v>
      </c>
      <c r="D6688" t="s">
        <v>20914</v>
      </c>
      <c r="E6688">
        <v>1</v>
      </c>
      <c r="F6688" t="str">
        <f>HYPERLINK("https://github.com/cgeo/cgeo/issues/8761", "show")</f>
        <v>show</v>
      </c>
      <c r="G6688" t="str">
        <f>HYPERLINK("https://github.com/cgeo/cgeo", "show")</f>
        <v>show</v>
      </c>
      <c r="H6688" t="str">
        <f>HYPERLINK("https://github.com/cgeo/cgeo/releases", "show")</f>
        <v>show</v>
      </c>
      <c r="I6688">
        <v>0</v>
      </c>
      <c r="J6688">
        <v>0</v>
      </c>
      <c r="K6688">
        <v>1</v>
      </c>
      <c r="L6688">
        <v>0</v>
      </c>
      <c r="M6688" t="s">
        <v>122</v>
      </c>
    </row>
    <row r="6689" spans="1:13" hidden="1" x14ac:dyDescent="0.15">
      <c r="A6689" t="s">
        <v>20918</v>
      </c>
      <c r="B6689" t="s">
        <v>20919</v>
      </c>
      <c r="C6689" t="s">
        <v>20920</v>
      </c>
      <c r="D6689" t="s">
        <v>20914</v>
      </c>
      <c r="E6689">
        <v>152</v>
      </c>
      <c r="F6689" t="str">
        <f>HYPERLINK("https://github.com/deepjavalibrary/djl/issues/150", "show")</f>
        <v>show</v>
      </c>
      <c r="G6689" t="str">
        <f>HYPERLINK("https://github.com/deepjavalibrary/djl", "show")</f>
        <v>show</v>
      </c>
      <c r="H6689" t="str">
        <f>HYPERLINK("https://github.com/deepjavalibrary/djl/releases", "show")</f>
        <v>show</v>
      </c>
      <c r="I6689">
        <v>1</v>
      </c>
      <c r="J6689">
        <v>0</v>
      </c>
      <c r="K6689">
        <v>0</v>
      </c>
      <c r="L6689">
        <v>0</v>
      </c>
      <c r="M6689" t="s">
        <v>17</v>
      </c>
    </row>
    <row r="6690" spans="1:13" hidden="1" x14ac:dyDescent="0.15">
      <c r="A6690" t="s">
        <v>20921</v>
      </c>
      <c r="B6690" t="s">
        <v>20922</v>
      </c>
      <c r="C6690" t="s">
        <v>20923</v>
      </c>
      <c r="D6690" t="s">
        <v>20914</v>
      </c>
      <c r="E6690">
        <v>1</v>
      </c>
      <c r="F6690" t="str">
        <f>HYPERLINK("https://github.com/material-components/material-components-android/issues/1577", "show")</f>
        <v>show</v>
      </c>
      <c r="G6690" t="str">
        <f>HYPERLINK("https://github.com/material-components/material-components-android", "show")</f>
        <v>show</v>
      </c>
      <c r="H6690" t="str">
        <f>HYPERLINK("https://github.com/material-components/material-components-android/releases", "show")</f>
        <v>show</v>
      </c>
      <c r="I6690">
        <v>1</v>
      </c>
      <c r="J6690">
        <v>0</v>
      </c>
      <c r="K6690">
        <v>0</v>
      </c>
      <c r="L6690">
        <v>1</v>
      </c>
      <c r="M6690" t="s">
        <v>29</v>
      </c>
    </row>
    <row r="6691" spans="1:13" hidden="1" x14ac:dyDescent="0.15">
      <c r="A6691" t="s">
        <v>20924</v>
      </c>
      <c r="B6691" t="s">
        <v>20925</v>
      </c>
      <c r="C6691" t="s">
        <v>20926</v>
      </c>
      <c r="D6691" t="s">
        <v>20914</v>
      </c>
      <c r="E6691">
        <v>5</v>
      </c>
      <c r="F6691" t="str">
        <f>HYPERLINK("https://github.com/material-components/material-components-android/issues/1571", "show")</f>
        <v>show</v>
      </c>
      <c r="G6691" t="str">
        <f>HYPERLINK("https://github.com/material-components/material-components-android", "show")</f>
        <v>show</v>
      </c>
      <c r="H6691" t="str">
        <f>HYPERLINK("https://github.com/material-components/material-components-android/releases", "show")</f>
        <v>show</v>
      </c>
      <c r="I6691">
        <v>1</v>
      </c>
      <c r="J6691">
        <v>0</v>
      </c>
      <c r="K6691">
        <v>0</v>
      </c>
      <c r="L6691">
        <v>0</v>
      </c>
      <c r="M6691" t="s">
        <v>17</v>
      </c>
    </row>
    <row r="6692" spans="1:13" hidden="1" x14ac:dyDescent="0.15">
      <c r="A6692" t="s">
        <v>20927</v>
      </c>
      <c r="B6692" t="s">
        <v>20928</v>
      </c>
      <c r="C6692" t="s">
        <v>20929</v>
      </c>
      <c r="D6692" t="s">
        <v>20914</v>
      </c>
      <c r="E6692">
        <v>52</v>
      </c>
      <c r="F6692" t="str">
        <f>HYPERLINK("https://github.com/nextcloud/android/issues/6657", "show")</f>
        <v>show</v>
      </c>
      <c r="G6692" t="str">
        <f>HYPERLINK("https://github.com/nextcloud/android", "show")</f>
        <v>show</v>
      </c>
      <c r="H6692" t="str">
        <f>HYPERLINK("https://github.com/nextcloud/android/releases", "show")</f>
        <v>show</v>
      </c>
      <c r="I6692">
        <v>1</v>
      </c>
      <c r="J6692">
        <v>1</v>
      </c>
      <c r="K6692">
        <v>0</v>
      </c>
      <c r="L6692">
        <v>0</v>
      </c>
      <c r="M6692" t="s">
        <v>48</v>
      </c>
    </row>
    <row r="6693" spans="1:13" hidden="1" x14ac:dyDescent="0.15">
      <c r="A6693" t="s">
        <v>20930</v>
      </c>
      <c r="B6693" t="s">
        <v>20931</v>
      </c>
      <c r="C6693" t="s">
        <v>20932</v>
      </c>
      <c r="D6693" t="s">
        <v>20933</v>
      </c>
      <c r="E6693">
        <v>1</v>
      </c>
      <c r="F6693" t="str">
        <f>HYPERLINK("https://github.com/TeamNewPipe/NewPipe/issues/4083", "show")</f>
        <v>show</v>
      </c>
      <c r="G6693" t="str">
        <f>HYPERLINK("https://github.com/TeamNewPipe/NewPipe", "show")</f>
        <v>show</v>
      </c>
      <c r="H6693" t="str">
        <f>HYPERLINK("https://github.com/TeamNewPipe/NewPipe/releases", "show")</f>
        <v>show</v>
      </c>
      <c r="I6693">
        <v>1</v>
      </c>
      <c r="J6693">
        <v>1</v>
      </c>
      <c r="K6693">
        <v>0</v>
      </c>
      <c r="L6693">
        <v>0</v>
      </c>
      <c r="M6693" t="s">
        <v>48</v>
      </c>
    </row>
    <row r="6694" spans="1:13" hidden="1" x14ac:dyDescent="0.15">
      <c r="A6694" t="s">
        <v>20934</v>
      </c>
      <c r="B6694" t="s">
        <v>20935</v>
      </c>
      <c r="C6694" t="s">
        <v>20936</v>
      </c>
      <c r="D6694" t="s">
        <v>20933</v>
      </c>
      <c r="E6694">
        <v>15</v>
      </c>
      <c r="F6694" t="str">
        <f>HYPERLINK("https://github.com/defold/extension-iap/issues/26", "show")</f>
        <v>show</v>
      </c>
      <c r="G6694" t="str">
        <f>HYPERLINK("https://github.com/defold/extension-iap", "show")</f>
        <v>show</v>
      </c>
      <c r="H6694" t="str">
        <f>HYPERLINK("https://github.com/defold/extension-iap/releases", "show")</f>
        <v>show</v>
      </c>
      <c r="I6694">
        <v>1</v>
      </c>
      <c r="J6694">
        <v>0</v>
      </c>
      <c r="K6694">
        <v>0</v>
      </c>
      <c r="L6694">
        <v>0</v>
      </c>
      <c r="M6694" t="s">
        <v>17</v>
      </c>
    </row>
    <row r="6695" spans="1:13" hidden="1" x14ac:dyDescent="0.15">
      <c r="A6695" t="s">
        <v>20937</v>
      </c>
      <c r="B6695" t="s">
        <v>20938</v>
      </c>
      <c r="C6695" t="s">
        <v>20939</v>
      </c>
      <c r="D6695" t="s">
        <v>20933</v>
      </c>
      <c r="E6695">
        <v>0</v>
      </c>
      <c r="F6695" t="str">
        <f>HYPERLINK("https://github.com/Anuken/Mindustry/issues/2316", "show")</f>
        <v>show</v>
      </c>
      <c r="G6695" t="str">
        <f>HYPERLINK("https://github.com/Anuken/Mindustry", "show")</f>
        <v>show</v>
      </c>
      <c r="H6695" t="str">
        <f>HYPERLINK("https://github.com/Anuken/Mindustry/releases", "show")</f>
        <v>show</v>
      </c>
      <c r="I6695">
        <v>0</v>
      </c>
      <c r="J6695">
        <v>0</v>
      </c>
      <c r="K6695">
        <v>0</v>
      </c>
      <c r="L6695">
        <v>0</v>
      </c>
      <c r="M6695" t="s">
        <v>43</v>
      </c>
    </row>
    <row r="6696" spans="1:13" hidden="1" x14ac:dyDescent="0.15">
      <c r="A6696" t="s">
        <v>20940</v>
      </c>
      <c r="B6696" t="s">
        <v>20941</v>
      </c>
      <c r="C6696" t="s">
        <v>11744</v>
      </c>
      <c r="D6696" t="s">
        <v>20933</v>
      </c>
      <c r="E6696">
        <v>30</v>
      </c>
      <c r="F6696" t="str">
        <f>HYPERLINK("https://github.com/Blankj/AndroidUtilCode/issues/1293", "show")</f>
        <v>show</v>
      </c>
      <c r="G6696" t="str">
        <f>HYPERLINK("https://github.com/Blankj/AndroidUtilCode", "show")</f>
        <v>show</v>
      </c>
      <c r="H6696" t="str">
        <f>HYPERLINK("https://github.com/Blankj/AndroidUtilCode/releases", "show")</f>
        <v>show</v>
      </c>
      <c r="I6696">
        <v>1</v>
      </c>
      <c r="J6696">
        <v>1</v>
      </c>
      <c r="K6696">
        <v>1</v>
      </c>
      <c r="L6696">
        <v>0</v>
      </c>
      <c r="M6696" t="s">
        <v>59</v>
      </c>
    </row>
    <row r="6697" spans="1:13" hidden="1" x14ac:dyDescent="0.15">
      <c r="A6697" t="s">
        <v>20942</v>
      </c>
      <c r="B6697" t="s">
        <v>20943</v>
      </c>
      <c r="C6697" t="s">
        <v>20944</v>
      </c>
      <c r="D6697" t="s">
        <v>20945</v>
      </c>
      <c r="E6697">
        <v>0</v>
      </c>
      <c r="F6697" t="str">
        <f>HYPERLINK("https://github.com/Anuken/Mindustry/issues/2311", "show")</f>
        <v>show</v>
      </c>
      <c r="G6697" t="str">
        <f>HYPERLINK("https://github.com/Anuken/Mindustry", "show")</f>
        <v>show</v>
      </c>
      <c r="H6697" t="str">
        <f>HYPERLINK("https://github.com/Anuken/Mindustry/releases", "show")</f>
        <v>show</v>
      </c>
      <c r="I6697">
        <v>0</v>
      </c>
      <c r="J6697">
        <v>0</v>
      </c>
      <c r="K6697">
        <v>0</v>
      </c>
      <c r="L6697">
        <v>0</v>
      </c>
      <c r="M6697" t="s">
        <v>43</v>
      </c>
    </row>
    <row r="6698" spans="1:13" hidden="1" x14ac:dyDescent="0.15">
      <c r="A6698" t="s">
        <v>20946</v>
      </c>
      <c r="B6698" t="s">
        <v>20947</v>
      </c>
      <c r="C6698" t="s">
        <v>20948</v>
      </c>
      <c r="D6698" t="s">
        <v>20945</v>
      </c>
      <c r="E6698">
        <v>0</v>
      </c>
      <c r="F6698" t="str">
        <f>HYPERLINK("https://github.com/nextcloud/android/issues/6638", "show")</f>
        <v>show</v>
      </c>
      <c r="G6698" t="str">
        <f>HYPERLINK("https://github.com/nextcloud/android", "show")</f>
        <v>show</v>
      </c>
      <c r="H6698" t="str">
        <f>HYPERLINK("https://github.com/nextcloud/android/releases", "show")</f>
        <v>show</v>
      </c>
      <c r="I6698">
        <v>1</v>
      </c>
      <c r="J6698">
        <v>1</v>
      </c>
      <c r="K6698">
        <v>1</v>
      </c>
      <c r="L6698">
        <v>0</v>
      </c>
      <c r="M6698" t="s">
        <v>59</v>
      </c>
    </row>
    <row r="6699" spans="1:13" hidden="1" x14ac:dyDescent="0.15">
      <c r="A6699" t="s">
        <v>20949</v>
      </c>
      <c r="B6699" t="s">
        <v>20950</v>
      </c>
      <c r="C6699" t="s">
        <v>20390</v>
      </c>
      <c r="D6699" t="s">
        <v>20945</v>
      </c>
      <c r="E6699">
        <v>0</v>
      </c>
      <c r="F6699" t="str">
        <f>HYPERLINK("https://github.com/TeamNewPipe/NewPipe/issues/4074", "show")</f>
        <v>show</v>
      </c>
      <c r="G6699" t="str">
        <f>HYPERLINK("https://github.com/TeamNewPipe/NewPipe", "show")</f>
        <v>show</v>
      </c>
      <c r="H6699" t="str">
        <f>HYPERLINK("https://github.com/TeamNewPipe/NewPipe/releases", "show")</f>
        <v>show</v>
      </c>
      <c r="I6699">
        <v>1</v>
      </c>
      <c r="J6699">
        <v>1</v>
      </c>
      <c r="K6699">
        <v>0</v>
      </c>
      <c r="L6699">
        <v>0</v>
      </c>
      <c r="M6699" t="s">
        <v>48</v>
      </c>
    </row>
    <row r="6700" spans="1:13" hidden="1" x14ac:dyDescent="0.15">
      <c r="A6700" t="s">
        <v>20951</v>
      </c>
      <c r="B6700" t="s">
        <v>20952</v>
      </c>
      <c r="C6700" t="s">
        <v>20953</v>
      </c>
      <c r="D6700" t="s">
        <v>20954</v>
      </c>
      <c r="E6700">
        <v>1</v>
      </c>
      <c r="F6700" t="str">
        <f>HYPERLINK("https://github.com/HenriDellal/emerald/issues/104", "show")</f>
        <v>show</v>
      </c>
      <c r="G6700" t="str">
        <f>HYPERLINK("https://github.com/HenriDellal/emerald", "show")</f>
        <v>show</v>
      </c>
      <c r="H6700" t="str">
        <f>HYPERLINK("https://github.com/HenriDellal/emerald/releases", "show")</f>
        <v>show</v>
      </c>
      <c r="I6700">
        <v>1</v>
      </c>
      <c r="J6700">
        <v>0</v>
      </c>
      <c r="K6700">
        <v>0</v>
      </c>
      <c r="L6700">
        <v>0</v>
      </c>
      <c r="M6700" t="s">
        <v>17</v>
      </c>
    </row>
    <row r="6701" spans="1:13" hidden="1" x14ac:dyDescent="0.15">
      <c r="A6701" t="s">
        <v>20955</v>
      </c>
      <c r="B6701" t="s">
        <v>20956</v>
      </c>
      <c r="C6701" t="s">
        <v>20957</v>
      </c>
      <c r="D6701" t="s">
        <v>20954</v>
      </c>
      <c r="E6701">
        <v>0</v>
      </c>
      <c r="F6701" t="str">
        <f>HYPERLINK("https://github.com/Anuken/Mindustry/issues/2303", "show")</f>
        <v>show</v>
      </c>
      <c r="G6701" t="str">
        <f>HYPERLINK("https://github.com/Anuken/Mindustry", "show")</f>
        <v>show</v>
      </c>
      <c r="H6701" t="str">
        <f>HYPERLINK("https://github.com/Anuken/Mindustry/releases", "show")</f>
        <v>show</v>
      </c>
      <c r="I6701">
        <v>0</v>
      </c>
      <c r="J6701">
        <v>0</v>
      </c>
      <c r="K6701">
        <v>0</v>
      </c>
      <c r="L6701">
        <v>1</v>
      </c>
      <c r="M6701" t="s">
        <v>581</v>
      </c>
    </row>
    <row r="6702" spans="1:13" x14ac:dyDescent="0.15">
      <c r="A6702" t="s">
        <v>20958</v>
      </c>
      <c r="B6702" t="s">
        <v>14605</v>
      </c>
      <c r="C6702" t="s">
        <v>11582</v>
      </c>
      <c r="D6702" t="s">
        <v>20954</v>
      </c>
      <c r="E6702">
        <v>0</v>
      </c>
      <c r="F6702" t="str">
        <f>HYPERLINK("https://github.com/nextcloud/android/issues/6630", "show")</f>
        <v>show</v>
      </c>
      <c r="G6702" t="str">
        <f>HYPERLINK("https://github.com/nextcloud/android", "show")</f>
        <v>show</v>
      </c>
      <c r="H6702" t="str">
        <f>HYPERLINK("https://github.com/nextcloud/android/releases", "show")</f>
        <v>show</v>
      </c>
      <c r="I6702">
        <v>0</v>
      </c>
      <c r="J6702">
        <v>1</v>
      </c>
      <c r="K6702">
        <v>0</v>
      </c>
      <c r="L6702">
        <v>0</v>
      </c>
      <c r="M6702" t="s">
        <v>139</v>
      </c>
    </row>
    <row r="6703" spans="1:13" hidden="1" x14ac:dyDescent="0.15">
      <c r="A6703" t="s">
        <v>20959</v>
      </c>
      <c r="B6703" t="s">
        <v>20960</v>
      </c>
      <c r="C6703" t="s">
        <v>20961</v>
      </c>
      <c r="D6703" t="s">
        <v>20954</v>
      </c>
      <c r="E6703">
        <v>0</v>
      </c>
      <c r="F6703" t="str">
        <f>HYPERLINK("https://github.com/Anuken/Mindustry/issues/2302", "show")</f>
        <v>show</v>
      </c>
      <c r="G6703" t="str">
        <f>HYPERLINK("https://github.com/Anuken/Mindustry", "show")</f>
        <v>show</v>
      </c>
      <c r="H6703" t="str">
        <f>HYPERLINK("https://github.com/Anuken/Mindustry/releases", "show")</f>
        <v>show</v>
      </c>
      <c r="I6703">
        <v>0</v>
      </c>
      <c r="J6703">
        <v>0</v>
      </c>
      <c r="K6703">
        <v>0</v>
      </c>
      <c r="L6703">
        <v>0</v>
      </c>
      <c r="M6703" t="s">
        <v>43</v>
      </c>
    </row>
    <row r="6704" spans="1:13" hidden="1" x14ac:dyDescent="0.15">
      <c r="A6704" t="s">
        <v>20962</v>
      </c>
      <c r="B6704" t="s">
        <v>20963</v>
      </c>
      <c r="C6704" t="s">
        <v>20964</v>
      </c>
      <c r="D6704" t="s">
        <v>20965</v>
      </c>
      <c r="E6704">
        <v>1</v>
      </c>
      <c r="F6704" t="str">
        <f>HYPERLINK("https://github.com/TeamNewPipe/NewPipe/issues/4060", "show")</f>
        <v>show</v>
      </c>
      <c r="G6704" t="str">
        <f>HYPERLINK("https://github.com/TeamNewPipe/NewPipe", "show")</f>
        <v>show</v>
      </c>
      <c r="H6704" t="str">
        <f>HYPERLINK("https://github.com/TeamNewPipe/NewPipe/releases", "show")</f>
        <v>show</v>
      </c>
      <c r="I6704">
        <v>1</v>
      </c>
      <c r="J6704">
        <v>0</v>
      </c>
      <c r="K6704">
        <v>1</v>
      </c>
      <c r="L6704">
        <v>1</v>
      </c>
      <c r="M6704" t="s">
        <v>1259</v>
      </c>
    </row>
    <row r="6705" spans="1:13" hidden="1" x14ac:dyDescent="0.15">
      <c r="A6705" t="s">
        <v>20966</v>
      </c>
      <c r="B6705" t="s">
        <v>20967</v>
      </c>
      <c r="C6705" t="s">
        <v>20968</v>
      </c>
      <c r="D6705" t="s">
        <v>20965</v>
      </c>
      <c r="E6705">
        <v>1</v>
      </c>
      <c r="F6705" t="str">
        <f>HYPERLINK("https://github.com/square/okhttp/issues/6206", "show")</f>
        <v>show</v>
      </c>
      <c r="G6705" t="str">
        <f>HYPERLINK("https://github.com/square/okhttp", "show")</f>
        <v>show</v>
      </c>
      <c r="H6705" t="str">
        <f>HYPERLINK("https://github.com/square/okhttp/releases", "show")</f>
        <v>show</v>
      </c>
      <c r="I6705">
        <v>1</v>
      </c>
      <c r="J6705">
        <v>0</v>
      </c>
      <c r="K6705">
        <v>1</v>
      </c>
      <c r="L6705">
        <v>0</v>
      </c>
      <c r="M6705" t="s">
        <v>64</v>
      </c>
    </row>
    <row r="6706" spans="1:13" hidden="1" x14ac:dyDescent="0.15">
      <c r="A6706" t="s">
        <v>20969</v>
      </c>
      <c r="B6706" t="s">
        <v>20970</v>
      </c>
      <c r="C6706" t="s">
        <v>20971</v>
      </c>
      <c r="D6706" t="s">
        <v>20965</v>
      </c>
      <c r="E6706">
        <v>1</v>
      </c>
      <c r="F6706" t="str">
        <f>HYPERLINK("https://github.com/massivemadness/Squircle-IDE/issues/11", "show")</f>
        <v>show</v>
      </c>
      <c r="G6706" t="str">
        <f>HYPERLINK("https://github.com/massivemadness/Squircle-IDE", "show")</f>
        <v>show</v>
      </c>
      <c r="H6706" t="str">
        <f>HYPERLINK("https://github.com/massivemadness/Squircle-IDE/releases", "show")</f>
        <v>show</v>
      </c>
      <c r="I6706">
        <v>0</v>
      </c>
      <c r="J6706">
        <v>1</v>
      </c>
      <c r="K6706">
        <v>1</v>
      </c>
      <c r="L6706">
        <v>0</v>
      </c>
      <c r="M6706" t="s">
        <v>699</v>
      </c>
    </row>
    <row r="6707" spans="1:13" hidden="1" x14ac:dyDescent="0.15">
      <c r="A6707" t="s">
        <v>20972</v>
      </c>
      <c r="B6707" t="s">
        <v>20973</v>
      </c>
      <c r="C6707" t="s">
        <v>20974</v>
      </c>
      <c r="D6707" t="s">
        <v>20965</v>
      </c>
      <c r="E6707">
        <v>36</v>
      </c>
      <c r="F6707" t="str">
        <f>HYPERLINK("https://github.com/TeamNewPipe/NewPipe/issues/4057", "show")</f>
        <v>show</v>
      </c>
      <c r="G6707" t="str">
        <f>HYPERLINK("https://github.com/TeamNewPipe/NewPipe", "show")</f>
        <v>show</v>
      </c>
      <c r="H6707" t="str">
        <f>HYPERLINK("https://github.com/TeamNewPipe/NewPipe/releases", "show")</f>
        <v>show</v>
      </c>
      <c r="I6707">
        <v>1</v>
      </c>
      <c r="J6707">
        <v>1</v>
      </c>
      <c r="K6707">
        <v>1</v>
      </c>
      <c r="L6707">
        <v>0</v>
      </c>
      <c r="M6707" t="s">
        <v>59</v>
      </c>
    </row>
    <row r="6708" spans="1:13" hidden="1" x14ac:dyDescent="0.15">
      <c r="A6708" t="s">
        <v>20975</v>
      </c>
      <c r="B6708" t="s">
        <v>20976</v>
      </c>
      <c r="C6708" t="s">
        <v>20977</v>
      </c>
      <c r="D6708" t="s">
        <v>20965</v>
      </c>
      <c r="E6708">
        <v>2</v>
      </c>
      <c r="F6708" t="str">
        <f>HYPERLINK("https://github.com/nextcloud/android/issues/6616", "show")</f>
        <v>show</v>
      </c>
      <c r="G6708" t="str">
        <f>HYPERLINK("https://github.com/nextcloud/android", "show")</f>
        <v>show</v>
      </c>
      <c r="H6708" t="str">
        <f>HYPERLINK("https://github.com/nextcloud/android/releases", "show")</f>
        <v>show</v>
      </c>
      <c r="I6708">
        <v>0</v>
      </c>
      <c r="J6708">
        <v>1</v>
      </c>
      <c r="K6708">
        <v>1</v>
      </c>
      <c r="L6708">
        <v>0</v>
      </c>
      <c r="M6708" t="s">
        <v>699</v>
      </c>
    </row>
    <row r="6709" spans="1:13" hidden="1" x14ac:dyDescent="0.15">
      <c r="A6709" t="s">
        <v>20978</v>
      </c>
      <c r="B6709" t="s">
        <v>20979</v>
      </c>
      <c r="C6709" t="s">
        <v>20980</v>
      </c>
      <c r="D6709" t="s">
        <v>20965</v>
      </c>
      <c r="E6709">
        <v>3</v>
      </c>
      <c r="F6709" t="str">
        <f>HYPERLINK("https://github.com/nextcloud/android/issues/6615", "show")</f>
        <v>show</v>
      </c>
      <c r="G6709" t="str">
        <f>HYPERLINK("https://github.com/nextcloud/android", "show")</f>
        <v>show</v>
      </c>
      <c r="H6709" t="str">
        <f>HYPERLINK("https://github.com/nextcloud/android/releases", "show")</f>
        <v>show</v>
      </c>
      <c r="I6709">
        <v>1</v>
      </c>
      <c r="J6709">
        <v>1</v>
      </c>
      <c r="K6709">
        <v>0</v>
      </c>
      <c r="L6709">
        <v>0</v>
      </c>
      <c r="M6709" t="s">
        <v>48</v>
      </c>
    </row>
    <row r="6710" spans="1:13" hidden="1" x14ac:dyDescent="0.15">
      <c r="A6710" t="s">
        <v>20981</v>
      </c>
      <c r="B6710" t="s">
        <v>20982</v>
      </c>
      <c r="C6710" t="s">
        <v>20983</v>
      </c>
      <c r="D6710" t="s">
        <v>20965</v>
      </c>
      <c r="E6710">
        <v>2</v>
      </c>
      <c r="F6710" t="str">
        <f>HYPERLINK("https://github.com/TeamNewPipe/NewPipe/issues/4055", "show")</f>
        <v>show</v>
      </c>
      <c r="G6710" t="str">
        <f>HYPERLINK("https://github.com/TeamNewPipe/NewPipe", "show")</f>
        <v>show</v>
      </c>
      <c r="H6710" t="str">
        <f>HYPERLINK("https://github.com/TeamNewPipe/NewPipe/releases", "show")</f>
        <v>show</v>
      </c>
      <c r="I6710">
        <v>1</v>
      </c>
      <c r="J6710">
        <v>0</v>
      </c>
      <c r="K6710">
        <v>0</v>
      </c>
      <c r="L6710">
        <v>0</v>
      </c>
      <c r="M6710" t="s">
        <v>17</v>
      </c>
    </row>
    <row r="6711" spans="1:13" hidden="1" x14ac:dyDescent="0.15">
      <c r="A6711" t="s">
        <v>20984</v>
      </c>
      <c r="B6711" t="s">
        <v>20985</v>
      </c>
      <c r="C6711" t="s">
        <v>20390</v>
      </c>
      <c r="D6711" t="s">
        <v>20965</v>
      </c>
      <c r="E6711">
        <v>0</v>
      </c>
      <c r="F6711" t="str">
        <f>HYPERLINK("https://github.com/TeamNewPipe/NewPipe/issues/4052", "show")</f>
        <v>show</v>
      </c>
      <c r="G6711" t="str">
        <f>HYPERLINK("https://github.com/TeamNewPipe/NewPipe", "show")</f>
        <v>show</v>
      </c>
      <c r="H6711" t="str">
        <f>HYPERLINK("https://github.com/TeamNewPipe/NewPipe/releases", "show")</f>
        <v>show</v>
      </c>
      <c r="I6711">
        <v>1</v>
      </c>
      <c r="J6711">
        <v>1</v>
      </c>
      <c r="K6711">
        <v>0</v>
      </c>
      <c r="L6711">
        <v>0</v>
      </c>
      <c r="M6711" t="s">
        <v>48</v>
      </c>
    </row>
    <row r="6712" spans="1:13" hidden="1" x14ac:dyDescent="0.15">
      <c r="A6712" t="s">
        <v>20986</v>
      </c>
      <c r="B6712" t="s">
        <v>9802</v>
      </c>
      <c r="C6712" t="s">
        <v>20987</v>
      </c>
      <c r="D6712" t="s">
        <v>20965</v>
      </c>
      <c r="E6712">
        <v>0</v>
      </c>
      <c r="F6712" t="str">
        <f>HYPERLINK("https://github.com/Anuken/Mindustry/issues/2297", "show")</f>
        <v>show</v>
      </c>
      <c r="G6712" t="str">
        <f>HYPERLINK("https://github.com/Anuken/Mindustry", "show")</f>
        <v>show</v>
      </c>
      <c r="H6712" t="str">
        <f>HYPERLINK("https://github.com/Anuken/Mindustry/releases", "show")</f>
        <v>show</v>
      </c>
      <c r="I6712">
        <v>0</v>
      </c>
      <c r="J6712">
        <v>0</v>
      </c>
      <c r="K6712">
        <v>0</v>
      </c>
      <c r="L6712">
        <v>0</v>
      </c>
      <c r="M6712" t="s">
        <v>43</v>
      </c>
    </row>
    <row r="6713" spans="1:13" hidden="1" x14ac:dyDescent="0.15">
      <c r="A6713" t="s">
        <v>20988</v>
      </c>
      <c r="B6713" t="s">
        <v>20989</v>
      </c>
      <c r="C6713" t="s">
        <v>20990</v>
      </c>
      <c r="D6713" t="s">
        <v>20965</v>
      </c>
      <c r="E6713">
        <v>1</v>
      </c>
      <c r="F6713" t="str">
        <f>HYPERLINK("https://github.com/nextcloud/android/issues/6613", "show")</f>
        <v>show</v>
      </c>
      <c r="G6713" t="str">
        <f>HYPERLINK("https://github.com/nextcloud/android", "show")</f>
        <v>show</v>
      </c>
      <c r="H6713" t="str">
        <f>HYPERLINK("https://github.com/nextcloud/android/releases", "show")</f>
        <v>show</v>
      </c>
      <c r="I6713">
        <v>0</v>
      </c>
      <c r="J6713">
        <v>1</v>
      </c>
      <c r="K6713">
        <v>1</v>
      </c>
      <c r="L6713">
        <v>0</v>
      </c>
      <c r="M6713" t="s">
        <v>699</v>
      </c>
    </row>
    <row r="6714" spans="1:13" hidden="1" x14ac:dyDescent="0.15">
      <c r="A6714" t="s">
        <v>20991</v>
      </c>
      <c r="B6714" t="s">
        <v>20992</v>
      </c>
      <c r="C6714" t="s">
        <v>20390</v>
      </c>
      <c r="D6714" t="s">
        <v>20965</v>
      </c>
      <c r="E6714">
        <v>0</v>
      </c>
      <c r="F6714" t="str">
        <f>HYPERLINK("https://github.com/TeamNewPipe/NewPipe/issues/4048", "show")</f>
        <v>show</v>
      </c>
      <c r="G6714" t="str">
        <f>HYPERLINK("https://github.com/TeamNewPipe/NewPipe", "show")</f>
        <v>show</v>
      </c>
      <c r="H6714" t="str">
        <f>HYPERLINK("https://github.com/TeamNewPipe/NewPipe/releases", "show")</f>
        <v>show</v>
      </c>
      <c r="I6714">
        <v>1</v>
      </c>
      <c r="J6714">
        <v>1</v>
      </c>
      <c r="K6714">
        <v>0</v>
      </c>
      <c r="L6714">
        <v>0</v>
      </c>
      <c r="M6714" t="s">
        <v>48</v>
      </c>
    </row>
    <row r="6715" spans="1:13" hidden="1" x14ac:dyDescent="0.15">
      <c r="A6715" t="s">
        <v>20993</v>
      </c>
      <c r="B6715" t="s">
        <v>20994</v>
      </c>
      <c r="C6715" t="s">
        <v>20995</v>
      </c>
      <c r="D6715" t="s">
        <v>20965</v>
      </c>
      <c r="E6715">
        <v>60</v>
      </c>
      <c r="F6715" t="str">
        <f>HYPERLINK("https://github.com/SkyTubeTeam/SkyTube/issues/787", "show")</f>
        <v>show</v>
      </c>
      <c r="G6715" t="str">
        <f>HYPERLINK("https://github.com/SkyTubeTeam/SkyTube", "show")</f>
        <v>show</v>
      </c>
      <c r="H6715" t="str">
        <f>HYPERLINK("https://github.com/SkyTubeTeam/SkyTube/releases", "show")</f>
        <v>show</v>
      </c>
      <c r="I6715">
        <v>1</v>
      </c>
      <c r="J6715">
        <v>1</v>
      </c>
      <c r="K6715">
        <v>0</v>
      </c>
      <c r="L6715">
        <v>0</v>
      </c>
      <c r="M6715" t="s">
        <v>48</v>
      </c>
    </row>
    <row r="6716" spans="1:13" hidden="1" x14ac:dyDescent="0.15">
      <c r="A6716" t="s">
        <v>20996</v>
      </c>
      <c r="B6716" t="s">
        <v>20997</v>
      </c>
      <c r="C6716" t="s">
        <v>20998</v>
      </c>
      <c r="D6716" t="s">
        <v>20999</v>
      </c>
      <c r="E6716">
        <v>2</v>
      </c>
      <c r="F6716" t="str">
        <f>HYPERLINK("https://github.com/nextcloud/android/issues/6610", "show")</f>
        <v>show</v>
      </c>
      <c r="G6716" t="str">
        <f>HYPERLINK("https://github.com/nextcloud/android", "show")</f>
        <v>show</v>
      </c>
      <c r="H6716" t="str">
        <f>HYPERLINK("https://github.com/nextcloud/android/releases", "show")</f>
        <v>show</v>
      </c>
      <c r="I6716">
        <v>1</v>
      </c>
      <c r="J6716">
        <v>0</v>
      </c>
      <c r="K6716">
        <v>1</v>
      </c>
      <c r="L6716">
        <v>0</v>
      </c>
      <c r="M6716" t="s">
        <v>64</v>
      </c>
    </row>
    <row r="6717" spans="1:13" hidden="1" x14ac:dyDescent="0.15">
      <c r="A6717" t="s">
        <v>21000</v>
      </c>
      <c r="B6717" t="s">
        <v>21001</v>
      </c>
      <c r="C6717" t="s">
        <v>21002</v>
      </c>
      <c r="D6717" t="s">
        <v>20999</v>
      </c>
      <c r="E6717">
        <v>1</v>
      </c>
      <c r="F6717" t="str">
        <f>HYPERLINK("https://github.com/TeamNewPipe/NewPipe/issues/4041", "show")</f>
        <v>show</v>
      </c>
      <c r="G6717" t="str">
        <f>HYPERLINK("https://github.com/TeamNewPipe/NewPipe", "show")</f>
        <v>show</v>
      </c>
      <c r="H6717" t="str">
        <f>HYPERLINK("https://github.com/TeamNewPipe/NewPipe/releases", "show")</f>
        <v>show</v>
      </c>
      <c r="I6717">
        <v>1</v>
      </c>
      <c r="J6717">
        <v>1</v>
      </c>
      <c r="K6717">
        <v>0</v>
      </c>
      <c r="L6717">
        <v>0</v>
      </c>
      <c r="M6717" t="s">
        <v>48</v>
      </c>
    </row>
    <row r="6718" spans="1:13" hidden="1" x14ac:dyDescent="0.15">
      <c r="A6718" t="s">
        <v>21003</v>
      </c>
      <c r="B6718" t="s">
        <v>21004</v>
      </c>
      <c r="C6718" t="s">
        <v>21005</v>
      </c>
      <c r="D6718" t="s">
        <v>20999</v>
      </c>
      <c r="E6718">
        <v>2</v>
      </c>
      <c r="F6718" t="str">
        <f>HYPERLINK("https://github.com/nextcloud/android/issues/6605", "show")</f>
        <v>show</v>
      </c>
      <c r="G6718" t="str">
        <f>HYPERLINK("https://github.com/nextcloud/android", "show")</f>
        <v>show</v>
      </c>
      <c r="H6718" t="str">
        <f>HYPERLINK("https://github.com/nextcloud/android/releases", "show")</f>
        <v>show</v>
      </c>
      <c r="I6718">
        <v>1</v>
      </c>
      <c r="J6718">
        <v>1</v>
      </c>
      <c r="K6718">
        <v>0</v>
      </c>
      <c r="L6718">
        <v>0</v>
      </c>
      <c r="M6718" t="s">
        <v>48</v>
      </c>
    </row>
    <row r="6719" spans="1:13" hidden="1" x14ac:dyDescent="0.15">
      <c r="A6719" t="s">
        <v>21006</v>
      </c>
      <c r="B6719" t="s">
        <v>21007</v>
      </c>
      <c r="C6719" t="s">
        <v>21008</v>
      </c>
      <c r="D6719" t="s">
        <v>20999</v>
      </c>
      <c r="E6719">
        <v>4</v>
      </c>
      <c r="F6719" t="str">
        <f>HYPERLINK("https://github.com/nextcloud/android/issues/6604", "show")</f>
        <v>show</v>
      </c>
      <c r="G6719" t="str">
        <f>HYPERLINK("https://github.com/nextcloud/android", "show")</f>
        <v>show</v>
      </c>
      <c r="H6719" t="str">
        <f>HYPERLINK("https://github.com/nextcloud/android/releases", "show")</f>
        <v>show</v>
      </c>
      <c r="I6719">
        <v>1</v>
      </c>
      <c r="J6719">
        <v>0</v>
      </c>
      <c r="K6719">
        <v>1</v>
      </c>
      <c r="L6719">
        <v>0</v>
      </c>
      <c r="M6719" t="s">
        <v>64</v>
      </c>
    </row>
    <row r="6720" spans="1:13" hidden="1" x14ac:dyDescent="0.15">
      <c r="A6720" t="s">
        <v>21009</v>
      </c>
      <c r="B6720" t="s">
        <v>21010</v>
      </c>
      <c r="C6720" t="s">
        <v>21011</v>
      </c>
      <c r="D6720" t="s">
        <v>20999</v>
      </c>
      <c r="E6720">
        <v>0</v>
      </c>
      <c r="F6720" t="str">
        <f>HYPERLINK("https://github.com/Anuken/Mindustry/issues/2291", "show")</f>
        <v>show</v>
      </c>
      <c r="G6720" t="str">
        <f>HYPERLINK("https://github.com/Anuken/Mindustry", "show")</f>
        <v>show</v>
      </c>
      <c r="H6720" t="str">
        <f>HYPERLINK("https://github.com/Anuken/Mindustry/releases", "show")</f>
        <v>show</v>
      </c>
      <c r="I6720">
        <v>0</v>
      </c>
      <c r="J6720">
        <v>0</v>
      </c>
      <c r="K6720">
        <v>0</v>
      </c>
      <c r="L6720">
        <v>1</v>
      </c>
      <c r="M6720" t="s">
        <v>581</v>
      </c>
    </row>
    <row r="6721" spans="1:13" hidden="1" x14ac:dyDescent="0.15">
      <c r="A6721" t="s">
        <v>21012</v>
      </c>
      <c r="B6721" t="s">
        <v>21013</v>
      </c>
      <c r="C6721" t="s">
        <v>21014</v>
      </c>
      <c r="D6721" t="s">
        <v>21015</v>
      </c>
      <c r="E6721">
        <v>4</v>
      </c>
      <c r="F6721" t="str">
        <f>HYPERLINK("https://github.com/TeamNewPipe/NewPipe/issues/4034", "show")</f>
        <v>show</v>
      </c>
      <c r="G6721" t="str">
        <f>HYPERLINK("https://github.com/TeamNewPipe/NewPipe", "show")</f>
        <v>show</v>
      </c>
      <c r="H6721" t="str">
        <f>HYPERLINK("https://github.com/TeamNewPipe/NewPipe/releases", "show")</f>
        <v>show</v>
      </c>
      <c r="I6721">
        <v>1</v>
      </c>
      <c r="J6721">
        <v>1</v>
      </c>
      <c r="K6721">
        <v>1</v>
      </c>
      <c r="L6721">
        <v>1</v>
      </c>
      <c r="M6721" t="s">
        <v>2875</v>
      </c>
    </row>
    <row r="6722" spans="1:13" x14ac:dyDescent="0.15">
      <c r="A6722" t="s">
        <v>21016</v>
      </c>
      <c r="B6722" t="s">
        <v>21017</v>
      </c>
      <c r="C6722" t="s">
        <v>21018</v>
      </c>
      <c r="D6722" t="s">
        <v>21015</v>
      </c>
      <c r="E6722">
        <v>3</v>
      </c>
      <c r="F6722" t="str">
        <f>HYPERLINK("https://github.com/CylonicRaider/euphoria-app/issues/6", "show")</f>
        <v>show</v>
      </c>
      <c r="G6722" t="str">
        <f>HYPERLINK("https://github.com/CylonicRaider/euphoria-app", "show")</f>
        <v>show</v>
      </c>
      <c r="H6722" t="str">
        <f>HYPERLINK("https://github.com/CylonicRaider/euphoria-app/releases", "show")</f>
        <v>show</v>
      </c>
      <c r="I6722">
        <v>0</v>
      </c>
      <c r="J6722">
        <v>1</v>
      </c>
      <c r="K6722">
        <v>0</v>
      </c>
      <c r="L6722">
        <v>0</v>
      </c>
      <c r="M6722" t="s">
        <v>139</v>
      </c>
    </row>
    <row r="6723" spans="1:13" hidden="1" x14ac:dyDescent="0.15">
      <c r="A6723" t="s">
        <v>21019</v>
      </c>
      <c r="B6723" t="s">
        <v>21020</v>
      </c>
      <c r="C6723" t="s">
        <v>21021</v>
      </c>
      <c r="D6723" t="s">
        <v>21015</v>
      </c>
      <c r="E6723">
        <v>0</v>
      </c>
      <c r="F6723" t="str">
        <f>HYPERLINK("https://github.com/Anuken/Mindustry/issues/2290", "show")</f>
        <v>show</v>
      </c>
      <c r="G6723" t="str">
        <f>HYPERLINK("https://github.com/Anuken/Mindustry", "show")</f>
        <v>show</v>
      </c>
      <c r="H6723" t="str">
        <f>HYPERLINK("https://github.com/Anuken/Mindustry/releases", "show")</f>
        <v>show</v>
      </c>
      <c r="I6723">
        <v>1</v>
      </c>
      <c r="J6723">
        <v>0</v>
      </c>
      <c r="K6723">
        <v>1</v>
      </c>
      <c r="L6723">
        <v>0</v>
      </c>
      <c r="M6723" t="s">
        <v>64</v>
      </c>
    </row>
    <row r="6724" spans="1:13" hidden="1" x14ac:dyDescent="0.15">
      <c r="A6724" t="s">
        <v>21022</v>
      </c>
      <c r="B6724" t="s">
        <v>21023</v>
      </c>
      <c r="C6724" t="s">
        <v>21024</v>
      </c>
      <c r="D6724" t="s">
        <v>21015</v>
      </c>
      <c r="E6724">
        <v>58</v>
      </c>
      <c r="F6724" t="str">
        <f>HYPERLINK("https://github.com/TeamNewPipe/NewPipe/issues/4033", "show")</f>
        <v>show</v>
      </c>
      <c r="G6724" t="str">
        <f>HYPERLINK("https://github.com/TeamNewPipe/NewPipe", "show")</f>
        <v>show</v>
      </c>
      <c r="H6724" t="str">
        <f>HYPERLINK("https://github.com/TeamNewPipe/NewPipe/releases", "show")</f>
        <v>show</v>
      </c>
      <c r="I6724">
        <v>1</v>
      </c>
      <c r="J6724">
        <v>1</v>
      </c>
      <c r="K6724">
        <v>0</v>
      </c>
      <c r="L6724">
        <v>0</v>
      </c>
      <c r="M6724" t="s">
        <v>48</v>
      </c>
    </row>
    <row r="6725" spans="1:13" hidden="1" x14ac:dyDescent="0.15">
      <c r="A6725" t="s">
        <v>21025</v>
      </c>
      <c r="B6725" t="s">
        <v>21026</v>
      </c>
      <c r="C6725" t="s">
        <v>21027</v>
      </c>
      <c r="D6725" t="s">
        <v>21015</v>
      </c>
      <c r="E6725">
        <v>1</v>
      </c>
      <c r="F6725" t="str">
        <f>HYPERLINK("https://github.com/cgeo/cgeo/issues/8717", "show")</f>
        <v>show</v>
      </c>
      <c r="G6725" t="str">
        <f>HYPERLINK("https://github.com/cgeo/cgeo", "show")</f>
        <v>show</v>
      </c>
      <c r="H6725" t="str">
        <f>HYPERLINK("https://github.com/cgeo/cgeo/releases", "show")</f>
        <v>show</v>
      </c>
      <c r="I6725">
        <v>1</v>
      </c>
      <c r="J6725">
        <v>1</v>
      </c>
      <c r="K6725">
        <v>1</v>
      </c>
      <c r="L6725">
        <v>0</v>
      </c>
      <c r="M6725" t="s">
        <v>59</v>
      </c>
    </row>
    <row r="6726" spans="1:13" hidden="1" x14ac:dyDescent="0.15">
      <c r="A6726" t="s">
        <v>21028</v>
      </c>
      <c r="B6726" t="s">
        <v>21029</v>
      </c>
      <c r="C6726" t="s">
        <v>21030</v>
      </c>
      <c r="D6726" t="s">
        <v>21015</v>
      </c>
      <c r="E6726">
        <v>0</v>
      </c>
      <c r="F6726" t="str">
        <f>HYPERLINK("https://github.com/material-components/material-components-android/issues/1551", "show")</f>
        <v>show</v>
      </c>
      <c r="G6726" t="str">
        <f>HYPERLINK("https://github.com/material-components/material-components-android", "show")</f>
        <v>show</v>
      </c>
      <c r="H6726" t="str">
        <f>HYPERLINK("https://github.com/material-components/material-components-android/releases", "show")</f>
        <v>show</v>
      </c>
      <c r="I6726">
        <v>1</v>
      </c>
      <c r="J6726">
        <v>0</v>
      </c>
      <c r="K6726">
        <v>1</v>
      </c>
      <c r="L6726">
        <v>0</v>
      </c>
      <c r="M6726" t="s">
        <v>64</v>
      </c>
    </row>
    <row r="6727" spans="1:13" hidden="1" x14ac:dyDescent="0.15">
      <c r="A6727" t="s">
        <v>21031</v>
      </c>
      <c r="B6727" t="s">
        <v>21032</v>
      </c>
      <c r="C6727" t="s">
        <v>21033</v>
      </c>
      <c r="D6727" t="s">
        <v>21015</v>
      </c>
      <c r="E6727">
        <v>2</v>
      </c>
      <c r="F6727" t="str">
        <f>HYPERLINK("https://github.com/FTCLib/FTCLib/issues/70", "show")</f>
        <v>show</v>
      </c>
      <c r="G6727" t="str">
        <f>HYPERLINK("https://github.com/FTCLib/FTCLib", "show")</f>
        <v>show</v>
      </c>
      <c r="H6727" t="str">
        <f>HYPERLINK("https://github.com/FTCLib/FTCLib/releases", "show")</f>
        <v>show</v>
      </c>
      <c r="I6727">
        <v>1</v>
      </c>
      <c r="J6727">
        <v>0</v>
      </c>
      <c r="K6727">
        <v>0</v>
      </c>
      <c r="L6727">
        <v>0</v>
      </c>
      <c r="M6727" t="s">
        <v>17</v>
      </c>
    </row>
    <row r="6728" spans="1:13" hidden="1" x14ac:dyDescent="0.15">
      <c r="A6728" t="s">
        <v>21034</v>
      </c>
      <c r="B6728" t="s">
        <v>21035</v>
      </c>
      <c r="C6728" t="s">
        <v>21036</v>
      </c>
      <c r="D6728" t="s">
        <v>21037</v>
      </c>
      <c r="E6728">
        <v>72</v>
      </c>
      <c r="F6728" t="str">
        <f>HYPERLINK("https://github.com/TeamNewPipe/NewPipe/issues/4024", "show")</f>
        <v>show</v>
      </c>
      <c r="G6728" t="str">
        <f>HYPERLINK("https://github.com/TeamNewPipe/NewPipe", "show")</f>
        <v>show</v>
      </c>
      <c r="H6728" t="str">
        <f>HYPERLINK("https://github.com/TeamNewPipe/NewPipe/releases", "show")</f>
        <v>show</v>
      </c>
      <c r="I6728">
        <v>1</v>
      </c>
      <c r="J6728">
        <v>1</v>
      </c>
      <c r="K6728">
        <v>1</v>
      </c>
      <c r="L6728">
        <v>0</v>
      </c>
      <c r="M6728" t="s">
        <v>59</v>
      </c>
    </row>
    <row r="6729" spans="1:13" hidden="1" x14ac:dyDescent="0.15">
      <c r="A6729" t="s">
        <v>21038</v>
      </c>
      <c r="B6729" t="s">
        <v>21039</v>
      </c>
      <c r="C6729" t="s">
        <v>21040</v>
      </c>
      <c r="D6729" t="s">
        <v>21037</v>
      </c>
      <c r="E6729">
        <v>0</v>
      </c>
      <c r="F6729" t="str">
        <f>HYPERLINK("https://github.com/TeamNewPipe/NewPipe/issues/4020", "show")</f>
        <v>show</v>
      </c>
      <c r="G6729" t="str">
        <f>HYPERLINK("https://github.com/TeamNewPipe/NewPipe", "show")</f>
        <v>show</v>
      </c>
      <c r="H6729" t="str">
        <f>HYPERLINK("https://github.com/TeamNewPipe/NewPipe/releases", "show")</f>
        <v>show</v>
      </c>
      <c r="I6729">
        <v>1</v>
      </c>
      <c r="J6729">
        <v>1</v>
      </c>
      <c r="K6729">
        <v>0</v>
      </c>
      <c r="L6729">
        <v>1</v>
      </c>
      <c r="M6729" t="s">
        <v>1894</v>
      </c>
    </row>
    <row r="6730" spans="1:13" hidden="1" x14ac:dyDescent="0.15">
      <c r="A6730" t="s">
        <v>21041</v>
      </c>
      <c r="B6730" t="s">
        <v>21042</v>
      </c>
      <c r="C6730" t="s">
        <v>21043</v>
      </c>
      <c r="D6730" t="s">
        <v>21037</v>
      </c>
      <c r="E6730">
        <v>301</v>
      </c>
      <c r="F6730" t="str">
        <f>HYPERLINK("https://github.com/react-native-share/react-native-share/issues/834", "show")</f>
        <v>show</v>
      </c>
      <c r="G6730" t="str">
        <f>HYPERLINK("https://github.com/react-native-share/react-native-share", "show")</f>
        <v>show</v>
      </c>
      <c r="H6730" t="str">
        <f>HYPERLINK("https://github.com/react-native-share/react-native-share/releases", "show")</f>
        <v>show</v>
      </c>
      <c r="I6730">
        <v>1</v>
      </c>
      <c r="J6730">
        <v>0</v>
      </c>
      <c r="K6730">
        <v>0</v>
      </c>
      <c r="L6730">
        <v>0</v>
      </c>
      <c r="M6730" t="s">
        <v>17</v>
      </c>
    </row>
    <row r="6731" spans="1:13" hidden="1" x14ac:dyDescent="0.15">
      <c r="A6731" t="s">
        <v>21044</v>
      </c>
      <c r="B6731" t="s">
        <v>21045</v>
      </c>
      <c r="C6731" t="s">
        <v>21046</v>
      </c>
      <c r="D6731" t="s">
        <v>21037</v>
      </c>
      <c r="E6731">
        <v>0</v>
      </c>
      <c r="F6731" t="str">
        <f>HYPERLINK("https://github.com/TeamNewPipe/NewPipe/issues/4015", "show")</f>
        <v>show</v>
      </c>
      <c r="G6731" t="str">
        <f>HYPERLINK("https://github.com/TeamNewPipe/NewPipe", "show")</f>
        <v>show</v>
      </c>
      <c r="H6731" t="str">
        <f>HYPERLINK("https://github.com/TeamNewPipe/NewPipe/releases", "show")</f>
        <v>show</v>
      </c>
      <c r="I6731">
        <v>1</v>
      </c>
      <c r="J6731">
        <v>1</v>
      </c>
      <c r="K6731">
        <v>1</v>
      </c>
      <c r="L6731">
        <v>0</v>
      </c>
      <c r="M6731" t="s">
        <v>59</v>
      </c>
    </row>
    <row r="6732" spans="1:13" hidden="1" x14ac:dyDescent="0.15">
      <c r="A6732" t="s">
        <v>21047</v>
      </c>
      <c r="B6732" t="s">
        <v>21048</v>
      </c>
      <c r="C6732" t="s">
        <v>21049</v>
      </c>
      <c r="D6732" t="s">
        <v>21037</v>
      </c>
      <c r="E6732">
        <v>2</v>
      </c>
      <c r="F6732" t="str">
        <f>HYPERLINK("https://github.com/green-green-avk/AnotherTerm/issues/6", "show")</f>
        <v>show</v>
      </c>
      <c r="G6732" t="str">
        <f>HYPERLINK("https://github.com/green-green-avk/AnotherTerm", "show")</f>
        <v>show</v>
      </c>
      <c r="H6732" t="str">
        <f>HYPERLINK("https://github.com/green-green-avk/AnotherTerm/releases", "show")</f>
        <v>show</v>
      </c>
      <c r="I6732">
        <v>1</v>
      </c>
      <c r="J6732">
        <v>0</v>
      </c>
      <c r="K6732">
        <v>0</v>
      </c>
      <c r="L6732">
        <v>0</v>
      </c>
      <c r="M6732" t="s">
        <v>17</v>
      </c>
    </row>
    <row r="6733" spans="1:13" hidden="1" x14ac:dyDescent="0.15">
      <c r="A6733" t="s">
        <v>21050</v>
      </c>
      <c r="B6733" t="s">
        <v>21051</v>
      </c>
      <c r="C6733" t="s">
        <v>21052</v>
      </c>
      <c r="D6733" t="s">
        <v>21037</v>
      </c>
      <c r="E6733">
        <v>0</v>
      </c>
      <c r="F6733" t="str">
        <f>HYPERLINK("https://github.com/opensrp/opensrp-client-reveal/issues/861", "show")</f>
        <v>show</v>
      </c>
      <c r="G6733" t="str">
        <f>HYPERLINK("https://github.com/opensrp/opensrp-client-reveal", "show")</f>
        <v>show</v>
      </c>
      <c r="H6733" t="str">
        <f>HYPERLINK("https://github.com/opensrp/opensrp-client-reveal/releases", "show")</f>
        <v>show</v>
      </c>
      <c r="I6733">
        <v>1</v>
      </c>
      <c r="J6733">
        <v>0</v>
      </c>
      <c r="K6733">
        <v>0</v>
      </c>
      <c r="L6733">
        <v>0</v>
      </c>
      <c r="M6733" t="s">
        <v>17</v>
      </c>
    </row>
    <row r="6734" spans="1:13" hidden="1" x14ac:dyDescent="0.15">
      <c r="A6734" t="s">
        <v>21053</v>
      </c>
      <c r="B6734" t="s">
        <v>21054</v>
      </c>
      <c r="C6734" t="s">
        <v>21055</v>
      </c>
      <c r="D6734" t="s">
        <v>21037</v>
      </c>
      <c r="E6734">
        <v>29</v>
      </c>
      <c r="F6734" t="str">
        <f>HYPERLINK("https://github.com/libgdx/gdx-pay/issues/219", "show")</f>
        <v>show</v>
      </c>
      <c r="G6734" t="str">
        <f>HYPERLINK("https://github.com/libgdx/gdx-pay", "show")</f>
        <v>show</v>
      </c>
      <c r="H6734" t="str">
        <f>HYPERLINK("https://github.com/libgdx/gdx-pay/releases", "show")</f>
        <v>show</v>
      </c>
      <c r="I6734">
        <v>1</v>
      </c>
      <c r="J6734">
        <v>0</v>
      </c>
      <c r="K6734">
        <v>1</v>
      </c>
      <c r="L6734">
        <v>0</v>
      </c>
      <c r="M6734" t="s">
        <v>64</v>
      </c>
    </row>
    <row r="6735" spans="1:13" hidden="1" x14ac:dyDescent="0.15">
      <c r="A6735" t="s">
        <v>21056</v>
      </c>
      <c r="B6735" t="s">
        <v>21057</v>
      </c>
      <c r="C6735" t="s">
        <v>21058</v>
      </c>
      <c r="D6735" t="s">
        <v>21059</v>
      </c>
      <c r="E6735">
        <v>0</v>
      </c>
      <c r="F6735" t="str">
        <f>HYPERLINK("https://github.com/Anuken/Mindustry/issues/2282", "show")</f>
        <v>show</v>
      </c>
      <c r="G6735" t="str">
        <f>HYPERLINK("https://github.com/Anuken/Mindustry", "show")</f>
        <v>show</v>
      </c>
      <c r="H6735" t="str">
        <f>HYPERLINK("https://github.com/Anuken/Mindustry/releases", "show")</f>
        <v>show</v>
      </c>
      <c r="I6735">
        <v>0</v>
      </c>
      <c r="J6735">
        <v>0</v>
      </c>
      <c r="K6735">
        <v>0</v>
      </c>
      <c r="L6735">
        <v>0</v>
      </c>
      <c r="M6735" t="s">
        <v>43</v>
      </c>
    </row>
    <row r="6736" spans="1:13" hidden="1" x14ac:dyDescent="0.15">
      <c r="A6736" t="s">
        <v>21060</v>
      </c>
      <c r="B6736" t="s">
        <v>21061</v>
      </c>
      <c r="C6736" t="s">
        <v>21062</v>
      </c>
      <c r="D6736" t="s">
        <v>21059</v>
      </c>
      <c r="E6736">
        <v>1</v>
      </c>
      <c r="F6736" t="str">
        <f>HYPERLINK("https://github.com/TeamNewPipe/NewPipe/issues/4010", "show")</f>
        <v>show</v>
      </c>
      <c r="G6736" t="str">
        <f>HYPERLINK("https://github.com/TeamNewPipe/NewPipe", "show")</f>
        <v>show</v>
      </c>
      <c r="H6736" t="str">
        <f>HYPERLINK("https://github.com/TeamNewPipe/NewPipe/releases", "show")</f>
        <v>show</v>
      </c>
      <c r="I6736">
        <v>0</v>
      </c>
      <c r="J6736">
        <v>1</v>
      </c>
      <c r="K6736">
        <v>0</v>
      </c>
      <c r="L6736">
        <v>1</v>
      </c>
      <c r="M6736" t="s">
        <v>1732</v>
      </c>
    </row>
    <row r="6737" spans="1:13" hidden="1" x14ac:dyDescent="0.15">
      <c r="A6737" t="s">
        <v>21063</v>
      </c>
      <c r="B6737" t="s">
        <v>21064</v>
      </c>
      <c r="C6737" t="s">
        <v>21065</v>
      </c>
      <c r="D6737" t="s">
        <v>21059</v>
      </c>
      <c r="E6737">
        <v>5</v>
      </c>
      <c r="F6737" t="str">
        <f>HYPERLINK("https://github.com/nextcloud/android/issues/6574", "show")</f>
        <v>show</v>
      </c>
      <c r="G6737" t="str">
        <f>HYPERLINK("https://github.com/nextcloud/android", "show")</f>
        <v>show</v>
      </c>
      <c r="H6737" t="str">
        <f>HYPERLINK("https://github.com/nextcloud/android/releases", "show")</f>
        <v>show</v>
      </c>
      <c r="I6737">
        <v>0</v>
      </c>
      <c r="J6737">
        <v>0</v>
      </c>
      <c r="K6737">
        <v>1</v>
      </c>
      <c r="L6737">
        <v>0</v>
      </c>
      <c r="M6737" t="s">
        <v>122</v>
      </c>
    </row>
    <row r="6738" spans="1:13" hidden="1" x14ac:dyDescent="0.15">
      <c r="A6738" t="s">
        <v>21066</v>
      </c>
      <c r="B6738" t="s">
        <v>21067</v>
      </c>
      <c r="C6738" t="s">
        <v>21068</v>
      </c>
      <c r="D6738" t="s">
        <v>21059</v>
      </c>
      <c r="E6738">
        <v>0</v>
      </c>
      <c r="F6738" t="str">
        <f>HYPERLINK("https://github.com/Anuken/Mindustry/issues/2279", "show")</f>
        <v>show</v>
      </c>
      <c r="G6738" t="str">
        <f>HYPERLINK("https://github.com/Anuken/Mindustry", "show")</f>
        <v>show</v>
      </c>
      <c r="H6738" t="str">
        <f>HYPERLINK("https://github.com/Anuken/Mindustry/releases", "show")</f>
        <v>show</v>
      </c>
      <c r="I6738">
        <v>1</v>
      </c>
      <c r="J6738">
        <v>0</v>
      </c>
      <c r="K6738">
        <v>0</v>
      </c>
      <c r="L6738">
        <v>0</v>
      </c>
      <c r="M6738" t="s">
        <v>17</v>
      </c>
    </row>
    <row r="6739" spans="1:13" hidden="1" x14ac:dyDescent="0.15">
      <c r="A6739" t="s">
        <v>21069</v>
      </c>
      <c r="B6739" t="s">
        <v>21070</v>
      </c>
      <c r="C6739" t="s">
        <v>21071</v>
      </c>
      <c r="D6739" t="s">
        <v>21059</v>
      </c>
      <c r="E6739">
        <v>0</v>
      </c>
      <c r="F6739" t="str">
        <f>HYPERLINK("https://github.com/Anuken/Mindustry/issues/2278", "show")</f>
        <v>show</v>
      </c>
      <c r="G6739" t="str">
        <f>HYPERLINK("https://github.com/Anuken/Mindustry", "show")</f>
        <v>show</v>
      </c>
      <c r="H6739" t="str">
        <f>HYPERLINK("https://github.com/Anuken/Mindustry/releases", "show")</f>
        <v>show</v>
      </c>
      <c r="I6739">
        <v>1</v>
      </c>
      <c r="J6739">
        <v>0</v>
      </c>
      <c r="K6739">
        <v>0</v>
      </c>
      <c r="L6739">
        <v>0</v>
      </c>
      <c r="M6739" t="s">
        <v>17</v>
      </c>
    </row>
    <row r="6740" spans="1:13" hidden="1" x14ac:dyDescent="0.15">
      <c r="A6740" t="s">
        <v>21072</v>
      </c>
      <c r="B6740" t="s">
        <v>21073</v>
      </c>
      <c r="C6740" t="s">
        <v>21074</v>
      </c>
      <c r="D6740" t="s">
        <v>21075</v>
      </c>
      <c r="E6740">
        <v>2</v>
      </c>
      <c r="F6740" t="str">
        <f>HYPERLINK("https://github.com/MuntashirAkon/AppManager/issues/48", "show")</f>
        <v>show</v>
      </c>
      <c r="G6740" t="str">
        <f>HYPERLINK("https://github.com/MuntashirAkon/AppManager", "show")</f>
        <v>show</v>
      </c>
      <c r="H6740" t="str">
        <f>HYPERLINK("https://github.com/MuntashirAkon/AppManager/releases", "show")</f>
        <v>show</v>
      </c>
      <c r="I6740">
        <v>1</v>
      </c>
      <c r="J6740">
        <v>0</v>
      </c>
      <c r="K6740">
        <v>0</v>
      </c>
      <c r="L6740">
        <v>0</v>
      </c>
      <c r="M6740" t="s">
        <v>17</v>
      </c>
    </row>
    <row r="6741" spans="1:13" hidden="1" x14ac:dyDescent="0.15">
      <c r="A6741" t="s">
        <v>21076</v>
      </c>
      <c r="B6741" t="s">
        <v>21077</v>
      </c>
      <c r="C6741" t="s">
        <v>21078</v>
      </c>
      <c r="D6741" t="s">
        <v>21075</v>
      </c>
      <c r="E6741">
        <v>27</v>
      </c>
      <c r="F6741" t="str">
        <f>HYPERLINK("https://github.com/smartdevicelink/sdl_java_suite/issues/1412", "show")</f>
        <v>show</v>
      </c>
      <c r="G6741" t="str">
        <f>HYPERLINK("https://github.com/smartdevicelink/sdl_java_suite", "show")</f>
        <v>show</v>
      </c>
      <c r="H6741" t="str">
        <f>HYPERLINK("https://github.com/smartdevicelink/sdl_java_suite/releases", "show")</f>
        <v>show</v>
      </c>
      <c r="I6741">
        <v>0</v>
      </c>
      <c r="J6741">
        <v>0</v>
      </c>
      <c r="K6741">
        <v>0</v>
      </c>
      <c r="L6741">
        <v>0</v>
      </c>
      <c r="M6741" t="s">
        <v>43</v>
      </c>
    </row>
    <row r="6742" spans="1:13" hidden="1" x14ac:dyDescent="0.15">
      <c r="A6742" t="s">
        <v>21079</v>
      </c>
      <c r="B6742" t="s">
        <v>21080</v>
      </c>
      <c r="C6742" t="s">
        <v>21081</v>
      </c>
      <c r="D6742" t="s">
        <v>21075</v>
      </c>
      <c r="E6742">
        <v>13</v>
      </c>
      <c r="F6742" t="str">
        <f>HYPERLINK("https://github.com/google/ExoPlayer/issues/7690", "show")</f>
        <v>show</v>
      </c>
      <c r="G6742" t="str">
        <f>HYPERLINK("https://github.com/google/ExoPlayer", "show")</f>
        <v>show</v>
      </c>
      <c r="H6742" t="str">
        <f>HYPERLINK("https://github.com/google/ExoPlayer/releases", "show")</f>
        <v>show</v>
      </c>
      <c r="I6742">
        <v>0</v>
      </c>
      <c r="J6742">
        <v>1</v>
      </c>
      <c r="K6742">
        <v>1</v>
      </c>
      <c r="L6742">
        <v>0</v>
      </c>
      <c r="M6742" t="s">
        <v>699</v>
      </c>
    </row>
    <row r="6743" spans="1:13" hidden="1" x14ac:dyDescent="0.15">
      <c r="A6743" t="s">
        <v>21082</v>
      </c>
      <c r="B6743" t="s">
        <v>21083</v>
      </c>
      <c r="C6743" t="s">
        <v>21084</v>
      </c>
      <c r="D6743" t="s">
        <v>21075</v>
      </c>
      <c r="E6743">
        <v>1</v>
      </c>
      <c r="F6743" t="str">
        <f>HYPERLINK("https://github.com/TeamNewPipe/NewPipe/issues/3995", "show")</f>
        <v>show</v>
      </c>
      <c r="G6743" t="str">
        <f>HYPERLINK("https://github.com/TeamNewPipe/NewPipe", "show")</f>
        <v>show</v>
      </c>
      <c r="H6743" t="str">
        <f>HYPERLINK("https://github.com/TeamNewPipe/NewPipe/releases", "show")</f>
        <v>show</v>
      </c>
      <c r="I6743">
        <v>0</v>
      </c>
      <c r="J6743">
        <v>0</v>
      </c>
      <c r="K6743">
        <v>1</v>
      </c>
      <c r="L6743">
        <v>0</v>
      </c>
      <c r="M6743" t="s">
        <v>122</v>
      </c>
    </row>
    <row r="6744" spans="1:13" hidden="1" x14ac:dyDescent="0.15">
      <c r="A6744" t="s">
        <v>21085</v>
      </c>
      <c r="B6744" t="s">
        <v>21086</v>
      </c>
      <c r="C6744" t="s">
        <v>21046</v>
      </c>
      <c r="D6744" t="s">
        <v>21075</v>
      </c>
      <c r="E6744">
        <v>0</v>
      </c>
      <c r="F6744" t="str">
        <f>HYPERLINK("https://github.com/TeamNewPipe/NewPipe/issues/3989", "show")</f>
        <v>show</v>
      </c>
      <c r="G6744" t="str">
        <f>HYPERLINK("https://github.com/TeamNewPipe/NewPipe", "show")</f>
        <v>show</v>
      </c>
      <c r="H6744" t="str">
        <f>HYPERLINK("https://github.com/TeamNewPipe/NewPipe/releases", "show")</f>
        <v>show</v>
      </c>
      <c r="I6744">
        <v>1</v>
      </c>
      <c r="J6744">
        <v>1</v>
      </c>
      <c r="K6744">
        <v>1</v>
      </c>
      <c r="L6744">
        <v>0</v>
      </c>
      <c r="M6744" t="s">
        <v>59</v>
      </c>
    </row>
    <row r="6745" spans="1:13" hidden="1" x14ac:dyDescent="0.15">
      <c r="A6745" t="s">
        <v>21087</v>
      </c>
      <c r="B6745" t="s">
        <v>21088</v>
      </c>
      <c r="D6745" t="s">
        <v>21075</v>
      </c>
      <c r="E6745">
        <v>0</v>
      </c>
      <c r="F6745" t="str">
        <f>HYPERLINK("https://github.com/mycelium-com/wallet-android/issues/569", "show")</f>
        <v>show</v>
      </c>
      <c r="G6745" t="str">
        <f>HYPERLINK("https://github.com/mycelium-com/wallet-android", "show")</f>
        <v>show</v>
      </c>
      <c r="H6745" t="str">
        <f>HYPERLINK("https://github.com/mycelium-com/wallet-android/releases", "show")</f>
        <v>show</v>
      </c>
      <c r="I6745">
        <v>1</v>
      </c>
      <c r="J6745">
        <v>0</v>
      </c>
      <c r="K6745">
        <v>0</v>
      </c>
      <c r="L6745">
        <v>0</v>
      </c>
      <c r="M6745" t="s">
        <v>17</v>
      </c>
    </row>
    <row r="6746" spans="1:13" hidden="1" x14ac:dyDescent="0.15">
      <c r="A6746" t="s">
        <v>21089</v>
      </c>
      <c r="B6746" t="s">
        <v>21090</v>
      </c>
      <c r="C6746" t="s">
        <v>21091</v>
      </c>
      <c r="D6746" t="s">
        <v>21075</v>
      </c>
      <c r="E6746">
        <v>0</v>
      </c>
      <c r="F6746" t="str">
        <f>HYPERLINK("https://github.com/Anuken/Mindustry/issues/2272", "show")</f>
        <v>show</v>
      </c>
      <c r="G6746" t="str">
        <f>HYPERLINK("https://github.com/Anuken/Mindustry", "show")</f>
        <v>show</v>
      </c>
      <c r="H6746" t="str">
        <f>HYPERLINK("https://github.com/Anuken/Mindustry/releases", "show")</f>
        <v>show</v>
      </c>
      <c r="I6746">
        <v>0</v>
      </c>
      <c r="J6746">
        <v>0</v>
      </c>
      <c r="K6746">
        <v>0</v>
      </c>
      <c r="L6746">
        <v>0</v>
      </c>
      <c r="M6746" t="s">
        <v>43</v>
      </c>
    </row>
    <row r="6747" spans="1:13" hidden="1" x14ac:dyDescent="0.15">
      <c r="A6747" t="s">
        <v>21092</v>
      </c>
      <c r="B6747" t="s">
        <v>21093</v>
      </c>
      <c r="C6747" t="s">
        <v>21094</v>
      </c>
      <c r="D6747" t="s">
        <v>21075</v>
      </c>
      <c r="E6747">
        <v>0</v>
      </c>
      <c r="F6747" t="str">
        <f>HYPERLINK("https://github.com/TeamNewPipe/NewPipe/issues/3988", "show")</f>
        <v>show</v>
      </c>
      <c r="G6747" t="str">
        <f>HYPERLINK("https://github.com/TeamNewPipe/NewPipe", "show")</f>
        <v>show</v>
      </c>
      <c r="H6747" t="str">
        <f>HYPERLINK("https://github.com/TeamNewPipe/NewPipe/releases", "show")</f>
        <v>show</v>
      </c>
      <c r="I6747">
        <v>1</v>
      </c>
      <c r="J6747">
        <v>0</v>
      </c>
      <c r="K6747">
        <v>1</v>
      </c>
      <c r="L6747">
        <v>0</v>
      </c>
      <c r="M6747" t="s">
        <v>64</v>
      </c>
    </row>
    <row r="6748" spans="1:13" hidden="1" x14ac:dyDescent="0.15">
      <c r="A6748" t="s">
        <v>21095</v>
      </c>
      <c r="B6748" t="s">
        <v>21096</v>
      </c>
      <c r="C6748" t="s">
        <v>21097</v>
      </c>
      <c r="D6748" t="s">
        <v>21075</v>
      </c>
      <c r="E6748">
        <v>0</v>
      </c>
      <c r="F6748" t="str">
        <f>HYPERLINK("https://github.com/TeamNewPipe/NewPipe/issues/3985", "show")</f>
        <v>show</v>
      </c>
      <c r="G6748" t="str">
        <f>HYPERLINK("https://github.com/TeamNewPipe/NewPipe", "show")</f>
        <v>show</v>
      </c>
      <c r="H6748" t="str">
        <f>HYPERLINK("https://github.com/TeamNewPipe/NewPipe/releases", "show")</f>
        <v>show</v>
      </c>
      <c r="I6748">
        <v>1</v>
      </c>
      <c r="J6748">
        <v>0</v>
      </c>
      <c r="K6748">
        <v>0</v>
      </c>
      <c r="L6748">
        <v>0</v>
      </c>
      <c r="M6748" t="s">
        <v>17</v>
      </c>
    </row>
    <row r="6749" spans="1:13" hidden="1" x14ac:dyDescent="0.15">
      <c r="A6749" t="s">
        <v>21098</v>
      </c>
      <c r="B6749" t="s">
        <v>21099</v>
      </c>
      <c r="C6749" t="s">
        <v>21100</v>
      </c>
      <c r="D6749" t="s">
        <v>21075</v>
      </c>
      <c r="E6749">
        <v>1</v>
      </c>
      <c r="F6749" t="str">
        <f>HYPERLINK("https://github.com/TeamNewPipe/NewPipe/issues/3982", "show")</f>
        <v>show</v>
      </c>
      <c r="G6749" t="str">
        <f>HYPERLINK("https://github.com/TeamNewPipe/NewPipe", "show")</f>
        <v>show</v>
      </c>
      <c r="H6749" t="str">
        <f>HYPERLINK("https://github.com/TeamNewPipe/NewPipe/releases", "show")</f>
        <v>show</v>
      </c>
      <c r="I6749">
        <v>1</v>
      </c>
      <c r="J6749">
        <v>1</v>
      </c>
      <c r="K6749">
        <v>0</v>
      </c>
      <c r="L6749">
        <v>0</v>
      </c>
      <c r="M6749" t="s">
        <v>48</v>
      </c>
    </row>
    <row r="6750" spans="1:13" x14ac:dyDescent="0.15">
      <c r="A6750" t="s">
        <v>21101</v>
      </c>
      <c r="B6750" t="s">
        <v>21102</v>
      </c>
      <c r="C6750" t="s">
        <v>21103</v>
      </c>
      <c r="D6750" t="s">
        <v>21075</v>
      </c>
      <c r="E6750">
        <v>68</v>
      </c>
      <c r="F6750" t="str">
        <f>HYPERLINK("https://github.com/ankidroid/Anki-Android/issues/6760", "show")</f>
        <v>show</v>
      </c>
      <c r="G6750" t="str">
        <f>HYPERLINK("https://github.com/ankidroid/Anki-Android", "show")</f>
        <v>show</v>
      </c>
      <c r="H6750" t="str">
        <f>HYPERLINK("https://github.com/ankidroid/Anki-Android/releases", "show")</f>
        <v>show</v>
      </c>
      <c r="I6750">
        <v>0</v>
      </c>
      <c r="J6750">
        <v>1</v>
      </c>
      <c r="K6750">
        <v>0</v>
      </c>
      <c r="L6750">
        <v>0</v>
      </c>
      <c r="M6750" t="s">
        <v>139</v>
      </c>
    </row>
    <row r="6751" spans="1:13" hidden="1" x14ac:dyDescent="0.15">
      <c r="A6751" t="s">
        <v>21104</v>
      </c>
      <c r="B6751" t="s">
        <v>21105</v>
      </c>
      <c r="C6751" t="s">
        <v>21106</v>
      </c>
      <c r="D6751" t="s">
        <v>21075</v>
      </c>
      <c r="E6751">
        <v>0</v>
      </c>
      <c r="F6751" t="str">
        <f>HYPERLINK("https://github.com/TeamNewPipe/NewPipe/issues/3968", "show")</f>
        <v>show</v>
      </c>
      <c r="G6751" t="str">
        <f>HYPERLINK("https://github.com/TeamNewPipe/NewPipe", "show")</f>
        <v>show</v>
      </c>
      <c r="H6751" t="str">
        <f>HYPERLINK("https://github.com/TeamNewPipe/NewPipe/releases", "show")</f>
        <v>show</v>
      </c>
      <c r="I6751">
        <v>1</v>
      </c>
      <c r="J6751">
        <v>1</v>
      </c>
      <c r="K6751">
        <v>1</v>
      </c>
      <c r="L6751">
        <v>0</v>
      </c>
      <c r="M6751" t="s">
        <v>59</v>
      </c>
    </row>
    <row r="6752" spans="1:13" hidden="1" x14ac:dyDescent="0.15">
      <c r="A6752" t="s">
        <v>21107</v>
      </c>
      <c r="B6752" t="s">
        <v>3180</v>
      </c>
      <c r="C6752" t="s">
        <v>21108</v>
      </c>
      <c r="D6752" t="s">
        <v>21109</v>
      </c>
      <c r="E6752">
        <v>1</v>
      </c>
      <c r="F6752" t="str">
        <f>HYPERLINK("https://github.com/TeamNewPipe/NewPipe/issues/3959", "show")</f>
        <v>show</v>
      </c>
      <c r="G6752" t="str">
        <f>HYPERLINK("https://github.com/TeamNewPipe/NewPipe", "show")</f>
        <v>show</v>
      </c>
      <c r="H6752" t="str">
        <f>HYPERLINK("https://github.com/TeamNewPipe/NewPipe/releases", "show")</f>
        <v>show</v>
      </c>
      <c r="I6752">
        <v>1</v>
      </c>
      <c r="J6752">
        <v>1</v>
      </c>
      <c r="K6752">
        <v>1</v>
      </c>
      <c r="L6752">
        <v>0</v>
      </c>
      <c r="M6752" t="s">
        <v>59</v>
      </c>
    </row>
    <row r="6753" spans="1:13" hidden="1" x14ac:dyDescent="0.15">
      <c r="A6753" t="s">
        <v>21110</v>
      </c>
      <c r="B6753" t="s">
        <v>21111</v>
      </c>
      <c r="C6753" t="s">
        <v>21112</v>
      </c>
      <c r="D6753" t="s">
        <v>21109</v>
      </c>
      <c r="E6753">
        <v>0</v>
      </c>
      <c r="F6753" t="str">
        <f>HYPERLINK("https://github.com/TeamNewPipe/NewPipe/issues/3955", "show")</f>
        <v>show</v>
      </c>
      <c r="G6753" t="str">
        <f>HYPERLINK("https://github.com/TeamNewPipe/NewPipe", "show")</f>
        <v>show</v>
      </c>
      <c r="H6753" t="str">
        <f>HYPERLINK("https://github.com/TeamNewPipe/NewPipe/releases", "show")</f>
        <v>show</v>
      </c>
      <c r="I6753">
        <v>1</v>
      </c>
      <c r="J6753">
        <v>0</v>
      </c>
      <c r="K6753">
        <v>1</v>
      </c>
      <c r="L6753">
        <v>0</v>
      </c>
      <c r="M6753" t="s">
        <v>64</v>
      </c>
    </row>
    <row r="6754" spans="1:13" hidden="1" x14ac:dyDescent="0.15">
      <c r="A6754" t="s">
        <v>21113</v>
      </c>
      <c r="B6754" t="s">
        <v>21114</v>
      </c>
      <c r="C6754" t="s">
        <v>21115</v>
      </c>
      <c r="D6754" t="s">
        <v>21109</v>
      </c>
      <c r="E6754">
        <v>0</v>
      </c>
      <c r="F6754" t="str">
        <f>HYPERLINK("https://github.com/wiglenet/wigle-wifi-wardriving/issues/427", "show")</f>
        <v>show</v>
      </c>
      <c r="G6754" t="str">
        <f>HYPERLINK("https://github.com/wiglenet/wigle-wifi-wardriving", "show")</f>
        <v>show</v>
      </c>
      <c r="H6754" t="str">
        <f>HYPERLINK("https://github.com/wiglenet/wigle-wifi-wardriving/releases", "show")</f>
        <v>show</v>
      </c>
      <c r="I6754">
        <v>0</v>
      </c>
      <c r="J6754">
        <v>0</v>
      </c>
      <c r="K6754">
        <v>0</v>
      </c>
      <c r="L6754">
        <v>0</v>
      </c>
      <c r="M6754" t="s">
        <v>43</v>
      </c>
    </row>
    <row r="6755" spans="1:13" hidden="1" x14ac:dyDescent="0.15">
      <c r="A6755" t="s">
        <v>21116</v>
      </c>
      <c r="B6755" t="s">
        <v>21117</v>
      </c>
      <c r="C6755" t="s">
        <v>21118</v>
      </c>
      <c r="D6755" t="s">
        <v>21109</v>
      </c>
      <c r="E6755">
        <v>1</v>
      </c>
      <c r="F6755" t="str">
        <f>HYPERLINK("https://github.com/dimagi/commcare-android/issues/2298", "show")</f>
        <v>show</v>
      </c>
      <c r="G6755" t="str">
        <f>HYPERLINK("https://github.com/dimagi/commcare-android", "show")</f>
        <v>show</v>
      </c>
      <c r="H6755" t="str">
        <f>HYPERLINK("https://github.com/dimagi/commcare-android/releases", "show")</f>
        <v>show</v>
      </c>
      <c r="I6755">
        <v>1</v>
      </c>
      <c r="J6755">
        <v>0</v>
      </c>
      <c r="K6755">
        <v>0</v>
      </c>
      <c r="L6755">
        <v>0</v>
      </c>
      <c r="M6755" t="s">
        <v>17</v>
      </c>
    </row>
    <row r="6756" spans="1:13" hidden="1" x14ac:dyDescent="0.15">
      <c r="A6756" t="s">
        <v>21119</v>
      </c>
      <c r="B6756" t="s">
        <v>21120</v>
      </c>
      <c r="C6756" t="s">
        <v>21121</v>
      </c>
      <c r="D6756" t="s">
        <v>21109</v>
      </c>
      <c r="E6756">
        <v>0</v>
      </c>
      <c r="F6756" t="str">
        <f>HYPERLINK("https://github.com/TeamNewPipe/NewPipe/issues/3953", "show")</f>
        <v>show</v>
      </c>
      <c r="G6756" t="str">
        <f>HYPERLINK("https://github.com/TeamNewPipe/NewPipe", "show")</f>
        <v>show</v>
      </c>
      <c r="H6756" t="str">
        <f>HYPERLINK("https://github.com/TeamNewPipe/NewPipe/releases", "show")</f>
        <v>show</v>
      </c>
      <c r="I6756">
        <v>1</v>
      </c>
      <c r="J6756">
        <v>0</v>
      </c>
      <c r="K6756">
        <v>1</v>
      </c>
      <c r="L6756">
        <v>0</v>
      </c>
      <c r="M6756" t="s">
        <v>64</v>
      </c>
    </row>
    <row r="6757" spans="1:13" hidden="1" x14ac:dyDescent="0.15">
      <c r="A6757" t="s">
        <v>21122</v>
      </c>
      <c r="B6757" t="s">
        <v>21123</v>
      </c>
      <c r="C6757" t="s">
        <v>21124</v>
      </c>
      <c r="D6757" t="s">
        <v>21109</v>
      </c>
      <c r="E6757">
        <v>3</v>
      </c>
      <c r="F6757" t="str">
        <f>HYPERLINK("https://github.com/dimagi/commcare-android/issues/2297", "show")</f>
        <v>show</v>
      </c>
      <c r="G6757" t="str">
        <f>HYPERLINK("https://github.com/dimagi/commcare-android", "show")</f>
        <v>show</v>
      </c>
      <c r="H6757" t="str">
        <f>HYPERLINK("https://github.com/dimagi/commcare-android/releases", "show")</f>
        <v>show</v>
      </c>
      <c r="I6757">
        <v>1</v>
      </c>
      <c r="J6757">
        <v>0</v>
      </c>
      <c r="K6757">
        <v>1</v>
      </c>
      <c r="L6757">
        <v>0</v>
      </c>
      <c r="M6757" t="s">
        <v>64</v>
      </c>
    </row>
    <row r="6758" spans="1:13" hidden="1" x14ac:dyDescent="0.15">
      <c r="A6758" t="s">
        <v>21125</v>
      </c>
      <c r="B6758" t="s">
        <v>21126</v>
      </c>
      <c r="C6758" t="s">
        <v>21127</v>
      </c>
      <c r="D6758" t="s">
        <v>21109</v>
      </c>
      <c r="E6758">
        <v>0</v>
      </c>
      <c r="F6758" t="str">
        <f>HYPERLINK("https://github.com/TeamNewPipe/NewPipe/issues/3949", "show")</f>
        <v>show</v>
      </c>
      <c r="G6758" t="str">
        <f>HYPERLINK("https://github.com/TeamNewPipe/NewPipe", "show")</f>
        <v>show</v>
      </c>
      <c r="H6758" t="str">
        <f>HYPERLINK("https://github.com/TeamNewPipe/NewPipe/releases", "show")</f>
        <v>show</v>
      </c>
      <c r="I6758">
        <v>1</v>
      </c>
      <c r="J6758">
        <v>1</v>
      </c>
      <c r="K6758">
        <v>0</v>
      </c>
      <c r="L6758">
        <v>0</v>
      </c>
      <c r="M6758" t="s">
        <v>48</v>
      </c>
    </row>
    <row r="6759" spans="1:13" hidden="1" x14ac:dyDescent="0.15">
      <c r="A6759" t="s">
        <v>21128</v>
      </c>
      <c r="B6759" t="s">
        <v>21129</v>
      </c>
      <c r="C6759" t="s">
        <v>21130</v>
      </c>
      <c r="D6759" t="s">
        <v>21109</v>
      </c>
      <c r="E6759">
        <v>571</v>
      </c>
      <c r="F6759" t="str">
        <f>HYPERLINK("https://github.com/material-components/material-components-android/issues/1527", "show")</f>
        <v>show</v>
      </c>
      <c r="G6759" t="str">
        <f>HYPERLINK("https://github.com/material-components/material-components-android", "show")</f>
        <v>show</v>
      </c>
      <c r="H6759" t="str">
        <f>HYPERLINK("https://github.com/material-components/material-components-android/releases", "show")</f>
        <v>show</v>
      </c>
      <c r="I6759">
        <v>1</v>
      </c>
      <c r="J6759">
        <v>0</v>
      </c>
      <c r="K6759">
        <v>1</v>
      </c>
      <c r="L6759">
        <v>0</v>
      </c>
      <c r="M6759" t="s">
        <v>64</v>
      </c>
    </row>
    <row r="6760" spans="1:13" hidden="1" x14ac:dyDescent="0.15">
      <c r="A6760" t="s">
        <v>21131</v>
      </c>
      <c r="B6760" t="s">
        <v>21132</v>
      </c>
      <c r="C6760" t="s">
        <v>21133</v>
      </c>
      <c r="D6760" t="s">
        <v>21109</v>
      </c>
      <c r="E6760">
        <v>118</v>
      </c>
      <c r="F6760" t="str">
        <f>HYPERLINK("https://github.com/cgeo/cgeo/issues/8689", "show")</f>
        <v>show</v>
      </c>
      <c r="G6760" t="str">
        <f>HYPERLINK("https://github.com/cgeo/cgeo", "show")</f>
        <v>show</v>
      </c>
      <c r="H6760" t="str">
        <f>HYPERLINK("https://github.com/cgeo/cgeo/releases", "show")</f>
        <v>show</v>
      </c>
      <c r="I6760">
        <v>0</v>
      </c>
      <c r="J6760">
        <v>0</v>
      </c>
      <c r="K6760">
        <v>1</v>
      </c>
      <c r="L6760">
        <v>0</v>
      </c>
      <c r="M6760" t="s">
        <v>122</v>
      </c>
    </row>
    <row r="6761" spans="1:13" hidden="1" x14ac:dyDescent="0.15">
      <c r="A6761" t="s">
        <v>21134</v>
      </c>
      <c r="B6761" t="s">
        <v>21135</v>
      </c>
      <c r="C6761" t="s">
        <v>21136</v>
      </c>
      <c r="D6761" t="s">
        <v>21137</v>
      </c>
      <c r="E6761">
        <v>0</v>
      </c>
      <c r="F6761" t="str">
        <f>HYPERLINK("https://github.com/TeamNewPipe/NewPipe/issues/3945", "show")</f>
        <v>show</v>
      </c>
      <c r="G6761" t="str">
        <f>HYPERLINK("https://github.com/TeamNewPipe/NewPipe", "show")</f>
        <v>show</v>
      </c>
      <c r="H6761" t="str">
        <f>HYPERLINK("https://github.com/TeamNewPipe/NewPipe/releases", "show")</f>
        <v>show</v>
      </c>
      <c r="I6761">
        <v>1</v>
      </c>
      <c r="J6761">
        <v>1</v>
      </c>
      <c r="K6761">
        <v>0</v>
      </c>
      <c r="L6761">
        <v>0</v>
      </c>
      <c r="M6761" t="s">
        <v>48</v>
      </c>
    </row>
    <row r="6762" spans="1:13" hidden="1" x14ac:dyDescent="0.15">
      <c r="A6762" t="s">
        <v>21138</v>
      </c>
      <c r="B6762" t="s">
        <v>21139</v>
      </c>
      <c r="C6762" t="s">
        <v>21140</v>
      </c>
      <c r="D6762" t="s">
        <v>21141</v>
      </c>
      <c r="E6762">
        <v>2</v>
      </c>
      <c r="F6762" t="str">
        <f>HYPERLINK("https://github.com/dimagi/commcare-android/issues/2296", "show")</f>
        <v>show</v>
      </c>
      <c r="G6762" t="str">
        <f>HYPERLINK("https://github.com/dimagi/commcare-android", "show")</f>
        <v>show</v>
      </c>
      <c r="H6762" t="str">
        <f>HYPERLINK("https://github.com/dimagi/commcare-android/releases", "show")</f>
        <v>show</v>
      </c>
      <c r="I6762">
        <v>1</v>
      </c>
      <c r="J6762">
        <v>1</v>
      </c>
      <c r="K6762">
        <v>0</v>
      </c>
      <c r="L6762">
        <v>0</v>
      </c>
      <c r="M6762" t="s">
        <v>48</v>
      </c>
    </row>
    <row r="6763" spans="1:13" hidden="1" x14ac:dyDescent="0.15">
      <c r="A6763" t="s">
        <v>21142</v>
      </c>
      <c r="B6763" t="s">
        <v>21143</v>
      </c>
      <c r="C6763" t="s">
        <v>21144</v>
      </c>
      <c r="D6763" t="s">
        <v>21141</v>
      </c>
      <c r="E6763">
        <v>3</v>
      </c>
      <c r="F6763" t="str">
        <f>HYPERLINK("https://github.com/nextcloud/android/issues/6544", "show")</f>
        <v>show</v>
      </c>
      <c r="G6763" t="str">
        <f>HYPERLINK("https://github.com/nextcloud/android", "show")</f>
        <v>show</v>
      </c>
      <c r="H6763" t="str">
        <f>HYPERLINK("https://github.com/nextcloud/android/releases", "show")</f>
        <v>show</v>
      </c>
      <c r="I6763">
        <v>1</v>
      </c>
      <c r="J6763">
        <v>1</v>
      </c>
      <c r="K6763">
        <v>1</v>
      </c>
      <c r="L6763">
        <v>0</v>
      </c>
      <c r="M6763" t="s">
        <v>59</v>
      </c>
    </row>
    <row r="6764" spans="1:13" hidden="1" x14ac:dyDescent="0.15">
      <c r="A6764" t="s">
        <v>21145</v>
      </c>
      <c r="B6764" t="s">
        <v>21146</v>
      </c>
      <c r="C6764" t="s">
        <v>21147</v>
      </c>
      <c r="D6764" t="s">
        <v>21141</v>
      </c>
      <c r="E6764">
        <v>0</v>
      </c>
      <c r="F6764" t="str">
        <f>HYPERLINK("https://github.com/Anuken/Mindustry/issues/2265", "show")</f>
        <v>show</v>
      </c>
      <c r="G6764" t="str">
        <f>HYPERLINK("https://github.com/Anuken/Mindustry", "show")</f>
        <v>show</v>
      </c>
      <c r="H6764" t="str">
        <f>HYPERLINK("https://github.com/Anuken/Mindustry/releases", "show")</f>
        <v>show</v>
      </c>
      <c r="I6764">
        <v>0</v>
      </c>
      <c r="J6764">
        <v>0</v>
      </c>
      <c r="K6764">
        <v>0</v>
      </c>
      <c r="L6764">
        <v>0</v>
      </c>
      <c r="M6764" t="s">
        <v>43</v>
      </c>
    </row>
    <row r="6765" spans="1:13" hidden="1" x14ac:dyDescent="0.15">
      <c r="A6765" t="s">
        <v>21148</v>
      </c>
      <c r="B6765" t="s">
        <v>21149</v>
      </c>
      <c r="C6765" t="s">
        <v>21150</v>
      </c>
      <c r="D6765" t="s">
        <v>21141</v>
      </c>
      <c r="E6765">
        <v>0</v>
      </c>
      <c r="F6765" t="str">
        <f>HYPERLINK("https://github.com/cgeo/cgeo/issues/8672", "show")</f>
        <v>show</v>
      </c>
      <c r="G6765" t="str">
        <f>HYPERLINK("https://github.com/cgeo/cgeo", "show")</f>
        <v>show</v>
      </c>
      <c r="H6765" t="str">
        <f>HYPERLINK("https://github.com/cgeo/cgeo/releases", "show")</f>
        <v>show</v>
      </c>
      <c r="I6765">
        <v>1</v>
      </c>
      <c r="J6765">
        <v>0</v>
      </c>
      <c r="K6765">
        <v>0</v>
      </c>
      <c r="L6765">
        <v>0</v>
      </c>
      <c r="M6765" t="s">
        <v>17</v>
      </c>
    </row>
    <row r="6766" spans="1:13" hidden="1" x14ac:dyDescent="0.15">
      <c r="A6766" t="s">
        <v>21151</v>
      </c>
      <c r="B6766" t="s">
        <v>21152</v>
      </c>
      <c r="C6766" t="s">
        <v>21153</v>
      </c>
      <c r="D6766" t="s">
        <v>21141</v>
      </c>
      <c r="E6766">
        <v>0</v>
      </c>
      <c r="F6766" t="str">
        <f>HYPERLINK("https://github.com/TeamNewPipe/NewPipe/issues/3935", "show")</f>
        <v>show</v>
      </c>
      <c r="G6766" t="str">
        <f>HYPERLINK("https://github.com/TeamNewPipe/NewPipe", "show")</f>
        <v>show</v>
      </c>
      <c r="H6766" t="str">
        <f>HYPERLINK("https://github.com/TeamNewPipe/NewPipe/releases", "show")</f>
        <v>show</v>
      </c>
      <c r="I6766">
        <v>1</v>
      </c>
      <c r="J6766">
        <v>1</v>
      </c>
      <c r="K6766">
        <v>0</v>
      </c>
      <c r="L6766">
        <v>0</v>
      </c>
      <c r="M6766" t="s">
        <v>48</v>
      </c>
    </row>
    <row r="6767" spans="1:13" hidden="1" x14ac:dyDescent="0.15">
      <c r="A6767" t="s">
        <v>21154</v>
      </c>
      <c r="B6767" t="s">
        <v>21155</v>
      </c>
      <c r="C6767" t="s">
        <v>21156</v>
      </c>
      <c r="D6767" t="s">
        <v>21141</v>
      </c>
      <c r="E6767">
        <v>37</v>
      </c>
      <c r="F6767" t="str">
        <f>HYPERLINK("https://github.com/nextcloud/android/issues/6542", "show")</f>
        <v>show</v>
      </c>
      <c r="G6767" t="str">
        <f>HYPERLINK("https://github.com/nextcloud/android", "show")</f>
        <v>show</v>
      </c>
      <c r="H6767" t="str">
        <f>HYPERLINK("https://github.com/nextcloud/android/releases", "show")</f>
        <v>show</v>
      </c>
      <c r="I6767">
        <v>1</v>
      </c>
      <c r="J6767">
        <v>1</v>
      </c>
      <c r="K6767">
        <v>0</v>
      </c>
      <c r="L6767">
        <v>0</v>
      </c>
      <c r="M6767" t="s">
        <v>48</v>
      </c>
    </row>
    <row r="6768" spans="1:13" hidden="1" x14ac:dyDescent="0.15">
      <c r="A6768" t="s">
        <v>21157</v>
      </c>
      <c r="B6768" t="s">
        <v>21158</v>
      </c>
      <c r="C6768" t="s">
        <v>21159</v>
      </c>
      <c r="D6768" t="s">
        <v>21160</v>
      </c>
      <c r="E6768">
        <v>100</v>
      </c>
      <c r="F6768" t="str">
        <f>HYPERLINK("https://github.com/burhanrashid52/PhotoEditor/issues/263", "show")</f>
        <v>show</v>
      </c>
      <c r="G6768" t="str">
        <f>HYPERLINK("https://github.com/burhanrashid52/PhotoEditor", "show")</f>
        <v>show</v>
      </c>
      <c r="H6768" t="str">
        <f>HYPERLINK("https://github.com/burhanrashid52/PhotoEditor/releases", "show")</f>
        <v>show</v>
      </c>
      <c r="I6768">
        <v>0</v>
      </c>
      <c r="J6768">
        <v>0</v>
      </c>
      <c r="K6768">
        <v>1</v>
      </c>
      <c r="L6768">
        <v>0</v>
      </c>
      <c r="M6768" t="s">
        <v>122</v>
      </c>
    </row>
    <row r="6769" spans="1:13" hidden="1" x14ac:dyDescent="0.15">
      <c r="A6769" t="s">
        <v>21161</v>
      </c>
      <c r="B6769" t="s">
        <v>21162</v>
      </c>
      <c r="C6769" t="s">
        <v>21163</v>
      </c>
      <c r="D6769" t="s">
        <v>21160</v>
      </c>
      <c r="E6769">
        <v>0</v>
      </c>
      <c r="F6769" t="str">
        <f>HYPERLINK("https://github.com/1pdinesh/Keychat/issues/4", "show")</f>
        <v>show</v>
      </c>
      <c r="G6769" t="str">
        <f>HYPERLINK("https://github.com/1pdinesh/Keychat", "show")</f>
        <v>show</v>
      </c>
      <c r="H6769" t="str">
        <f>HYPERLINK("https://github.com/1pdinesh/Keychat/releases", "show")</f>
        <v>show</v>
      </c>
      <c r="I6769">
        <v>1</v>
      </c>
      <c r="J6769">
        <v>0</v>
      </c>
      <c r="K6769">
        <v>0</v>
      </c>
      <c r="L6769">
        <v>0</v>
      </c>
      <c r="M6769" t="s">
        <v>17</v>
      </c>
    </row>
    <row r="6770" spans="1:13" hidden="1" x14ac:dyDescent="0.15">
      <c r="A6770" t="s">
        <v>21164</v>
      </c>
      <c r="B6770" t="s">
        <v>21165</v>
      </c>
      <c r="C6770" t="s">
        <v>21166</v>
      </c>
      <c r="D6770" t="s">
        <v>21160</v>
      </c>
      <c r="E6770">
        <v>3</v>
      </c>
      <c r="F6770" t="str">
        <f>HYPERLINK("https://github.com/nextcloud/android/issues/6540", "show")</f>
        <v>show</v>
      </c>
      <c r="G6770" t="str">
        <f>HYPERLINK("https://github.com/nextcloud/android", "show")</f>
        <v>show</v>
      </c>
      <c r="H6770" t="str">
        <f>HYPERLINK("https://github.com/nextcloud/android/releases", "show")</f>
        <v>show</v>
      </c>
      <c r="I6770">
        <v>1</v>
      </c>
      <c r="J6770">
        <v>1</v>
      </c>
      <c r="K6770">
        <v>1</v>
      </c>
      <c r="L6770">
        <v>0</v>
      </c>
      <c r="M6770" t="s">
        <v>59</v>
      </c>
    </row>
    <row r="6771" spans="1:13" hidden="1" x14ac:dyDescent="0.15">
      <c r="A6771" t="s">
        <v>21167</v>
      </c>
      <c r="B6771" t="s">
        <v>21168</v>
      </c>
      <c r="C6771" t="s">
        <v>21169</v>
      </c>
      <c r="D6771" t="s">
        <v>21160</v>
      </c>
      <c r="E6771">
        <v>38</v>
      </c>
      <c r="F6771" t="str">
        <f>HYPERLINK("https://github.com/nextcloud/android/issues/6538", "show")</f>
        <v>show</v>
      </c>
      <c r="G6771" t="str">
        <f>HYPERLINK("https://github.com/nextcloud/android", "show")</f>
        <v>show</v>
      </c>
      <c r="H6771" t="str">
        <f>HYPERLINK("https://github.com/nextcloud/android/releases", "show")</f>
        <v>show</v>
      </c>
      <c r="I6771">
        <v>1</v>
      </c>
      <c r="J6771">
        <v>1</v>
      </c>
      <c r="K6771">
        <v>1</v>
      </c>
      <c r="L6771">
        <v>0</v>
      </c>
      <c r="M6771" t="s">
        <v>59</v>
      </c>
    </row>
    <row r="6772" spans="1:13" hidden="1" x14ac:dyDescent="0.15">
      <c r="A6772" t="s">
        <v>21170</v>
      </c>
      <c r="B6772" t="s">
        <v>21171</v>
      </c>
      <c r="C6772" t="s">
        <v>21172</v>
      </c>
      <c r="D6772" t="s">
        <v>21160</v>
      </c>
      <c r="E6772">
        <v>15</v>
      </c>
      <c r="F6772" t="str">
        <f>HYPERLINK("https://github.com/nextcloud/android/issues/6536", "show")</f>
        <v>show</v>
      </c>
      <c r="G6772" t="str">
        <f>HYPERLINK("https://github.com/nextcloud/android", "show")</f>
        <v>show</v>
      </c>
      <c r="H6772" t="str">
        <f>HYPERLINK("https://github.com/nextcloud/android/releases", "show")</f>
        <v>show</v>
      </c>
      <c r="I6772">
        <v>1</v>
      </c>
      <c r="J6772">
        <v>0</v>
      </c>
      <c r="K6772">
        <v>0</v>
      </c>
      <c r="L6772">
        <v>1</v>
      </c>
      <c r="M6772" t="s">
        <v>29</v>
      </c>
    </row>
    <row r="6773" spans="1:13" hidden="1" x14ac:dyDescent="0.15">
      <c r="A6773" t="s">
        <v>21173</v>
      </c>
      <c r="B6773" t="s">
        <v>21174</v>
      </c>
      <c r="C6773" t="s">
        <v>21175</v>
      </c>
      <c r="D6773" t="s">
        <v>21160</v>
      </c>
      <c r="E6773">
        <v>0</v>
      </c>
      <c r="F6773" t="str">
        <f>HYPERLINK("https://github.com/nextcloud/android/issues/6532", "show")</f>
        <v>show</v>
      </c>
      <c r="G6773" t="str">
        <f>HYPERLINK("https://github.com/nextcloud/android", "show")</f>
        <v>show</v>
      </c>
      <c r="H6773" t="str">
        <f>HYPERLINK("https://github.com/nextcloud/android/releases", "show")</f>
        <v>show</v>
      </c>
      <c r="I6773">
        <v>1</v>
      </c>
      <c r="J6773">
        <v>1</v>
      </c>
      <c r="K6773">
        <v>0</v>
      </c>
      <c r="L6773">
        <v>0</v>
      </c>
      <c r="M6773" t="s">
        <v>48</v>
      </c>
    </row>
    <row r="6774" spans="1:13" x14ac:dyDescent="0.15">
      <c r="A6774" t="s">
        <v>21176</v>
      </c>
      <c r="B6774" t="s">
        <v>4312</v>
      </c>
      <c r="C6774" t="s">
        <v>11582</v>
      </c>
      <c r="D6774" t="s">
        <v>21160</v>
      </c>
      <c r="E6774">
        <v>0</v>
      </c>
      <c r="F6774" t="str">
        <f>HYPERLINK("https://github.com/nextcloud/android/issues/6530", "show")</f>
        <v>show</v>
      </c>
      <c r="G6774" t="str">
        <f>HYPERLINK("https://github.com/nextcloud/android", "show")</f>
        <v>show</v>
      </c>
      <c r="H6774" t="str">
        <f>HYPERLINK("https://github.com/nextcloud/android/releases", "show")</f>
        <v>show</v>
      </c>
      <c r="I6774">
        <v>0</v>
      </c>
      <c r="J6774">
        <v>1</v>
      </c>
      <c r="K6774">
        <v>0</v>
      </c>
      <c r="L6774">
        <v>0</v>
      </c>
      <c r="M6774" t="s">
        <v>139</v>
      </c>
    </row>
    <row r="6775" spans="1:13" hidden="1" x14ac:dyDescent="0.15">
      <c r="A6775" t="s">
        <v>21177</v>
      </c>
      <c r="B6775" t="s">
        <v>21178</v>
      </c>
      <c r="C6775" t="s">
        <v>21179</v>
      </c>
      <c r="D6775" t="s">
        <v>21160</v>
      </c>
      <c r="E6775">
        <v>3</v>
      </c>
      <c r="F6775" t="str">
        <f>HYPERLINK("https://github.com/material-components/material-components-android/issues/1508", "show")</f>
        <v>show</v>
      </c>
      <c r="G6775" t="str">
        <f>HYPERLINK("https://github.com/material-components/material-components-android", "show")</f>
        <v>show</v>
      </c>
      <c r="H6775" t="str">
        <f>HYPERLINK("https://github.com/material-components/material-components-android/releases", "show")</f>
        <v>show</v>
      </c>
      <c r="I6775">
        <v>0</v>
      </c>
      <c r="J6775">
        <v>0</v>
      </c>
      <c r="K6775">
        <v>1</v>
      </c>
      <c r="L6775">
        <v>0</v>
      </c>
      <c r="M6775" t="s">
        <v>122</v>
      </c>
    </row>
    <row r="6776" spans="1:13" hidden="1" x14ac:dyDescent="0.15">
      <c r="A6776" t="s">
        <v>21180</v>
      </c>
      <c r="B6776" t="s">
        <v>21181</v>
      </c>
      <c r="C6776" t="s">
        <v>21182</v>
      </c>
      <c r="D6776" t="s">
        <v>21183</v>
      </c>
      <c r="E6776">
        <v>383</v>
      </c>
      <c r="F6776" t="str">
        <f>HYPERLINK("https://github.com/doublesymmetry/react-native-track-player/issues/997", "show")</f>
        <v>show</v>
      </c>
      <c r="G6776" t="str">
        <f>HYPERLINK("https://github.com/doublesymmetry/react-native-track-player", "show")</f>
        <v>show</v>
      </c>
      <c r="H6776" t="str">
        <f>HYPERLINK("https://github.com/doublesymmetry/react-native-track-player/releases", "show")</f>
        <v>show</v>
      </c>
      <c r="I6776">
        <v>1</v>
      </c>
      <c r="J6776">
        <v>0</v>
      </c>
      <c r="K6776">
        <v>0</v>
      </c>
      <c r="L6776">
        <v>0</v>
      </c>
      <c r="M6776" t="s">
        <v>17</v>
      </c>
    </row>
    <row r="6777" spans="1:13" hidden="1" x14ac:dyDescent="0.15">
      <c r="A6777" t="s">
        <v>21184</v>
      </c>
      <c r="B6777" t="s">
        <v>21185</v>
      </c>
      <c r="C6777" t="s">
        <v>21186</v>
      </c>
      <c r="D6777" t="s">
        <v>21183</v>
      </c>
      <c r="E6777">
        <v>1</v>
      </c>
      <c r="F6777" t="str">
        <f>HYPERLINK("https://github.com/marco97pa/Track-Companion/issues/3", "show")</f>
        <v>show</v>
      </c>
      <c r="G6777" t="str">
        <f>HYPERLINK("https://github.com/marco97pa/Track-Companion", "show")</f>
        <v>show</v>
      </c>
      <c r="H6777" t="str">
        <f>HYPERLINK("https://github.com/marco97pa/Track-Companion/releases", "show")</f>
        <v>show</v>
      </c>
      <c r="I6777">
        <v>0</v>
      </c>
      <c r="J6777">
        <v>0</v>
      </c>
      <c r="K6777">
        <v>0</v>
      </c>
      <c r="L6777">
        <v>0</v>
      </c>
      <c r="M6777" t="s">
        <v>43</v>
      </c>
    </row>
    <row r="6778" spans="1:13" hidden="1" x14ac:dyDescent="0.15">
      <c r="A6778" t="s">
        <v>21187</v>
      </c>
      <c r="B6778" t="s">
        <v>21188</v>
      </c>
      <c r="C6778" t="s">
        <v>21189</v>
      </c>
      <c r="D6778" t="s">
        <v>21183</v>
      </c>
      <c r="E6778">
        <v>0</v>
      </c>
      <c r="F6778" t="str">
        <f>HYPERLINK("https://github.com/Anuken/Mindustry/issues/2258", "show")</f>
        <v>show</v>
      </c>
      <c r="G6778" t="str">
        <f>HYPERLINK("https://github.com/Anuken/Mindustry", "show")</f>
        <v>show</v>
      </c>
      <c r="H6778" t="str">
        <f>HYPERLINK("https://github.com/Anuken/Mindustry/releases", "show")</f>
        <v>show</v>
      </c>
      <c r="I6778">
        <v>0</v>
      </c>
      <c r="J6778">
        <v>0</v>
      </c>
      <c r="K6778">
        <v>0</v>
      </c>
      <c r="L6778">
        <v>0</v>
      </c>
      <c r="M6778" t="s">
        <v>43</v>
      </c>
    </row>
    <row r="6779" spans="1:13" x14ac:dyDescent="0.15">
      <c r="A6779" t="s">
        <v>21190</v>
      </c>
      <c r="B6779" t="s">
        <v>21191</v>
      </c>
      <c r="C6779" t="s">
        <v>21192</v>
      </c>
      <c r="D6779" t="s">
        <v>21183</v>
      </c>
      <c r="E6779">
        <v>14</v>
      </c>
      <c r="F6779" t="str">
        <f>HYPERLINK("https://github.com/ElderDrivers/EdXposed/issues/587", "show")</f>
        <v>show</v>
      </c>
      <c r="G6779" t="str">
        <f>HYPERLINK("https://github.com/ElderDrivers/EdXposed", "show")</f>
        <v>show</v>
      </c>
      <c r="H6779" t="str">
        <f>HYPERLINK("https://github.com/ElderDrivers/EdXposed/releases", "show")</f>
        <v>show</v>
      </c>
      <c r="I6779">
        <v>0</v>
      </c>
      <c r="J6779">
        <v>1</v>
      </c>
      <c r="K6779">
        <v>0</v>
      </c>
      <c r="L6779">
        <v>0</v>
      </c>
      <c r="M6779" t="s">
        <v>139</v>
      </c>
    </row>
    <row r="6780" spans="1:13" hidden="1" x14ac:dyDescent="0.15">
      <c r="A6780" t="s">
        <v>21193</v>
      </c>
      <c r="B6780" t="s">
        <v>21194</v>
      </c>
      <c r="C6780" t="s">
        <v>21195</v>
      </c>
      <c r="D6780" t="s">
        <v>21183</v>
      </c>
      <c r="E6780">
        <v>177</v>
      </c>
      <c r="F6780" t="str">
        <f>HYPERLINK("https://github.com/TeamNewPipe/NewPipe/issues/3925", "show")</f>
        <v>show</v>
      </c>
      <c r="G6780" t="str">
        <f>HYPERLINK("https://github.com/TeamNewPipe/NewPipe", "show")</f>
        <v>show</v>
      </c>
      <c r="H6780" t="str">
        <f>HYPERLINK("https://github.com/TeamNewPipe/NewPipe/releases", "show")</f>
        <v>show</v>
      </c>
      <c r="I6780">
        <v>0</v>
      </c>
      <c r="J6780">
        <v>1</v>
      </c>
      <c r="K6780">
        <v>1</v>
      </c>
      <c r="L6780">
        <v>0</v>
      </c>
      <c r="M6780" t="s">
        <v>699</v>
      </c>
    </row>
    <row r="6781" spans="1:13" hidden="1" x14ac:dyDescent="0.15">
      <c r="A6781" t="s">
        <v>21196</v>
      </c>
      <c r="B6781" t="s">
        <v>21197</v>
      </c>
      <c r="C6781" t="s">
        <v>21198</v>
      </c>
      <c r="D6781" t="s">
        <v>21183</v>
      </c>
      <c r="E6781">
        <v>11</v>
      </c>
      <c r="F6781" t="str">
        <f>HYPERLINK("https://github.com/nextcloud/android/issues/6518", "show")</f>
        <v>show</v>
      </c>
      <c r="G6781" t="str">
        <f>HYPERLINK("https://github.com/nextcloud/android", "show")</f>
        <v>show</v>
      </c>
      <c r="H6781" t="str">
        <f>HYPERLINK("https://github.com/nextcloud/android/releases", "show")</f>
        <v>show</v>
      </c>
      <c r="I6781">
        <v>1</v>
      </c>
      <c r="J6781">
        <v>1</v>
      </c>
      <c r="K6781">
        <v>1</v>
      </c>
      <c r="L6781">
        <v>0</v>
      </c>
      <c r="M6781" t="s">
        <v>59</v>
      </c>
    </row>
    <row r="6782" spans="1:13" hidden="1" x14ac:dyDescent="0.15">
      <c r="A6782" t="s">
        <v>21199</v>
      </c>
      <c r="B6782" t="s">
        <v>21200</v>
      </c>
      <c r="C6782" t="s">
        <v>21201</v>
      </c>
      <c r="D6782" t="s">
        <v>21202</v>
      </c>
      <c r="E6782">
        <v>4</v>
      </c>
      <c r="F6782" t="str">
        <f>HYPERLINK("https://github.com/ankidroid/Anki-Android/issues/6719", "show")</f>
        <v>show</v>
      </c>
      <c r="G6782" t="str">
        <f>HYPERLINK("https://github.com/ankidroid/Anki-Android", "show")</f>
        <v>show</v>
      </c>
      <c r="H6782" t="str">
        <f>HYPERLINK("https://github.com/ankidroid/Anki-Android/releases", "show")</f>
        <v>show</v>
      </c>
      <c r="I6782">
        <v>1</v>
      </c>
      <c r="J6782">
        <v>1</v>
      </c>
      <c r="K6782">
        <v>0</v>
      </c>
      <c r="L6782">
        <v>0</v>
      </c>
      <c r="M6782" t="s">
        <v>48</v>
      </c>
    </row>
    <row r="6783" spans="1:13" hidden="1" x14ac:dyDescent="0.15">
      <c r="A6783" t="s">
        <v>21203</v>
      </c>
      <c r="B6783" t="s">
        <v>21204</v>
      </c>
      <c r="C6783" t="s">
        <v>21205</v>
      </c>
      <c r="D6783" t="s">
        <v>21202</v>
      </c>
      <c r="E6783">
        <v>0</v>
      </c>
      <c r="F6783" t="str">
        <f>HYPERLINK("https://github.com/nextcloud/android/issues/6512", "show")</f>
        <v>show</v>
      </c>
      <c r="G6783" t="str">
        <f>HYPERLINK("https://github.com/nextcloud/android", "show")</f>
        <v>show</v>
      </c>
      <c r="H6783" t="str">
        <f>HYPERLINK("https://github.com/nextcloud/android/releases", "show")</f>
        <v>show</v>
      </c>
      <c r="I6783">
        <v>0</v>
      </c>
      <c r="J6783">
        <v>0</v>
      </c>
      <c r="K6783">
        <v>1</v>
      </c>
      <c r="L6783">
        <v>0</v>
      </c>
      <c r="M6783" t="s">
        <v>122</v>
      </c>
    </row>
    <row r="6784" spans="1:13" hidden="1" x14ac:dyDescent="0.15">
      <c r="A6784" t="s">
        <v>21206</v>
      </c>
      <c r="B6784" t="s">
        <v>21207</v>
      </c>
      <c r="D6784" t="s">
        <v>21208</v>
      </c>
      <c r="E6784">
        <v>0</v>
      </c>
      <c r="F6784" t="str">
        <f>HYPERLINK("https://github.com/Mohtasim46/SamsungPoC/issues/10", "show")</f>
        <v>show</v>
      </c>
      <c r="G6784" t="str">
        <f>HYPERLINK("https://github.com/Mohtasim46/SamsungPoC", "show")</f>
        <v>show</v>
      </c>
      <c r="H6784" t="str">
        <f>HYPERLINK("https://github.com/Mohtasim46/SamsungPoC/releases", "show")</f>
        <v>show</v>
      </c>
      <c r="I6784">
        <v>1</v>
      </c>
      <c r="J6784">
        <v>0</v>
      </c>
      <c r="K6784">
        <v>0</v>
      </c>
      <c r="L6784">
        <v>0</v>
      </c>
      <c r="M6784" t="s">
        <v>17</v>
      </c>
    </row>
    <row r="6785" spans="1:13" hidden="1" x14ac:dyDescent="0.15">
      <c r="A6785" t="s">
        <v>21209</v>
      </c>
      <c r="B6785" t="s">
        <v>21210</v>
      </c>
      <c r="C6785" t="s">
        <v>21211</v>
      </c>
      <c r="D6785" t="s">
        <v>21208</v>
      </c>
      <c r="E6785">
        <v>0</v>
      </c>
      <c r="F6785" t="str">
        <f>HYPERLINK("https://github.com/nextcloud/android/issues/6499", "show")</f>
        <v>show</v>
      </c>
      <c r="G6785" t="str">
        <f>HYPERLINK("https://github.com/nextcloud/android", "show")</f>
        <v>show</v>
      </c>
      <c r="H6785" t="str">
        <f>HYPERLINK("https://github.com/nextcloud/android/releases", "show")</f>
        <v>show</v>
      </c>
      <c r="I6785">
        <v>0</v>
      </c>
      <c r="J6785">
        <v>0</v>
      </c>
      <c r="K6785">
        <v>1</v>
      </c>
      <c r="L6785">
        <v>0</v>
      </c>
      <c r="M6785" t="s">
        <v>122</v>
      </c>
    </row>
    <row r="6786" spans="1:13" hidden="1" x14ac:dyDescent="0.15">
      <c r="A6786" t="s">
        <v>21212</v>
      </c>
      <c r="B6786" t="s">
        <v>21213</v>
      </c>
      <c r="C6786" t="s">
        <v>21214</v>
      </c>
      <c r="D6786" t="s">
        <v>21208</v>
      </c>
      <c r="E6786">
        <v>1</v>
      </c>
      <c r="F6786" t="str">
        <f>HYPERLINK("https://github.com/cgeo/cgeo/issues/8664", "show")</f>
        <v>show</v>
      </c>
      <c r="G6786" t="str">
        <f>HYPERLINK("https://github.com/cgeo/cgeo", "show")</f>
        <v>show</v>
      </c>
      <c r="H6786" t="str">
        <f>HYPERLINK("https://github.com/cgeo/cgeo/releases", "show")</f>
        <v>show</v>
      </c>
      <c r="I6786">
        <v>1</v>
      </c>
      <c r="J6786">
        <v>0</v>
      </c>
      <c r="K6786">
        <v>0</v>
      </c>
      <c r="L6786">
        <v>0</v>
      </c>
      <c r="M6786" t="s">
        <v>17</v>
      </c>
    </row>
    <row r="6787" spans="1:13" hidden="1" x14ac:dyDescent="0.15">
      <c r="A6787" t="s">
        <v>21215</v>
      </c>
      <c r="B6787" t="s">
        <v>21216</v>
      </c>
      <c r="C6787" t="s">
        <v>21217</v>
      </c>
      <c r="D6787" t="s">
        <v>21208</v>
      </c>
      <c r="E6787">
        <v>41</v>
      </c>
      <c r="F6787" t="str">
        <f>HYPERLINK("https://github.com/aws-amplify/amplify-android/issues/657", "show")</f>
        <v>show</v>
      </c>
      <c r="G6787" t="str">
        <f>HYPERLINK("https://github.com/aws-amplify/amplify-android", "show")</f>
        <v>show</v>
      </c>
      <c r="H6787" t="str">
        <f>HYPERLINK("https://github.com/aws-amplify/amplify-android/releases", "show")</f>
        <v>show</v>
      </c>
      <c r="I6787">
        <v>1</v>
      </c>
      <c r="J6787">
        <v>0</v>
      </c>
      <c r="K6787">
        <v>1</v>
      </c>
      <c r="L6787">
        <v>0</v>
      </c>
      <c r="M6787" t="s">
        <v>64</v>
      </c>
    </row>
    <row r="6788" spans="1:13" hidden="1" x14ac:dyDescent="0.15">
      <c r="A6788" t="s">
        <v>21218</v>
      </c>
      <c r="B6788" t="s">
        <v>21219</v>
      </c>
      <c r="C6788" t="s">
        <v>21220</v>
      </c>
      <c r="D6788" t="s">
        <v>21221</v>
      </c>
      <c r="E6788">
        <v>3</v>
      </c>
      <c r="F6788" t="str">
        <f>HYPERLINK("https://github.com/stefan-niedermann/nextcloud-notes/issues/919", "show")</f>
        <v>show</v>
      </c>
      <c r="G6788" t="str">
        <f>HYPERLINK("https://github.com/stefan-niedermann/nextcloud-notes", "show")</f>
        <v>show</v>
      </c>
      <c r="H6788" t="str">
        <f>HYPERLINK("https://github.com/stefan-niedermann/nextcloud-notes/releases", "show")</f>
        <v>show</v>
      </c>
      <c r="I6788">
        <v>1</v>
      </c>
      <c r="J6788">
        <v>1</v>
      </c>
      <c r="K6788">
        <v>1</v>
      </c>
      <c r="L6788">
        <v>0</v>
      </c>
      <c r="M6788" t="s">
        <v>59</v>
      </c>
    </row>
    <row r="6789" spans="1:13" hidden="1" x14ac:dyDescent="0.15">
      <c r="A6789" t="s">
        <v>21222</v>
      </c>
      <c r="B6789" t="s">
        <v>21223</v>
      </c>
      <c r="C6789" t="s">
        <v>21224</v>
      </c>
      <c r="D6789" t="s">
        <v>21221</v>
      </c>
      <c r="E6789">
        <v>0</v>
      </c>
      <c r="F6789" t="str">
        <f>HYPERLINK("https://github.com/Anuken/Mindustry/issues/2246", "show")</f>
        <v>show</v>
      </c>
      <c r="G6789" t="str">
        <f>HYPERLINK("https://github.com/Anuken/Mindustry", "show")</f>
        <v>show</v>
      </c>
      <c r="H6789" t="str">
        <f>HYPERLINK("https://github.com/Anuken/Mindustry/releases", "show")</f>
        <v>show</v>
      </c>
      <c r="I6789">
        <v>1</v>
      </c>
      <c r="J6789">
        <v>0</v>
      </c>
      <c r="K6789">
        <v>1</v>
      </c>
      <c r="L6789">
        <v>0</v>
      </c>
      <c r="M6789" t="s">
        <v>64</v>
      </c>
    </row>
    <row r="6790" spans="1:13" hidden="1" x14ac:dyDescent="0.15">
      <c r="A6790" t="s">
        <v>21225</v>
      </c>
      <c r="B6790" t="s">
        <v>21226</v>
      </c>
      <c r="C6790" t="s">
        <v>21227</v>
      </c>
      <c r="D6790" t="s">
        <v>21228</v>
      </c>
      <c r="E6790">
        <v>83</v>
      </c>
      <c r="F6790" t="str">
        <f>HYPERLINK("https://github.com/TeamNewPipe/NewPipe/issues/3911", "show")</f>
        <v>show</v>
      </c>
      <c r="G6790" t="str">
        <f>HYPERLINK("https://github.com/TeamNewPipe/NewPipe", "show")</f>
        <v>show</v>
      </c>
      <c r="H6790" t="str">
        <f>HYPERLINK("https://github.com/TeamNewPipe/NewPipe/releases", "show")</f>
        <v>show</v>
      </c>
      <c r="I6790">
        <v>1</v>
      </c>
      <c r="J6790">
        <v>1</v>
      </c>
      <c r="K6790">
        <v>0</v>
      </c>
      <c r="L6790">
        <v>0</v>
      </c>
      <c r="M6790" t="s">
        <v>48</v>
      </c>
    </row>
    <row r="6791" spans="1:13" hidden="1" x14ac:dyDescent="0.15">
      <c r="A6791" t="s">
        <v>21229</v>
      </c>
      <c r="B6791" t="s">
        <v>21230</v>
      </c>
      <c r="C6791" t="s">
        <v>12185</v>
      </c>
      <c r="D6791" t="s">
        <v>21231</v>
      </c>
      <c r="E6791">
        <v>93</v>
      </c>
      <c r="F6791" t="str">
        <f>HYPERLINK("https://github.com/nextcloud/android/issues/6490", "show")</f>
        <v>show</v>
      </c>
      <c r="G6791" t="str">
        <f>HYPERLINK("https://github.com/nextcloud/android", "show")</f>
        <v>show</v>
      </c>
      <c r="H6791" t="str">
        <f>HYPERLINK("https://github.com/nextcloud/android/releases", "show")</f>
        <v>show</v>
      </c>
      <c r="I6791">
        <v>0</v>
      </c>
      <c r="J6791">
        <v>0</v>
      </c>
      <c r="K6791">
        <v>1</v>
      </c>
      <c r="L6791">
        <v>0</v>
      </c>
      <c r="M6791" t="s">
        <v>122</v>
      </c>
    </row>
    <row r="6792" spans="1:13" hidden="1" x14ac:dyDescent="0.15">
      <c r="A6792" t="s">
        <v>21232</v>
      </c>
      <c r="B6792" t="s">
        <v>21233</v>
      </c>
      <c r="C6792" t="s">
        <v>21234</v>
      </c>
      <c r="D6792" t="s">
        <v>21231</v>
      </c>
      <c r="E6792">
        <v>89</v>
      </c>
      <c r="F6792" t="str">
        <f>HYPERLINK("https://github.com/JuanSeBestia/react-native-wifi-reborn/issues/94", "show")</f>
        <v>show</v>
      </c>
      <c r="G6792" t="str">
        <f>HYPERLINK("https://github.com/JuanSeBestia/react-native-wifi-reborn", "show")</f>
        <v>show</v>
      </c>
      <c r="H6792" t="str">
        <f>HYPERLINK("https://github.com/JuanSeBestia/react-native-wifi-reborn/releases", "show")</f>
        <v>show</v>
      </c>
      <c r="I6792">
        <v>1</v>
      </c>
      <c r="J6792">
        <v>0</v>
      </c>
      <c r="K6792">
        <v>0</v>
      </c>
      <c r="L6792">
        <v>0</v>
      </c>
      <c r="M6792" t="s">
        <v>17</v>
      </c>
    </row>
    <row r="6793" spans="1:13" hidden="1" x14ac:dyDescent="0.15">
      <c r="A6793" t="s">
        <v>21235</v>
      </c>
      <c r="B6793" t="s">
        <v>21236</v>
      </c>
      <c r="C6793" t="s">
        <v>21237</v>
      </c>
      <c r="D6793" t="s">
        <v>21231</v>
      </c>
      <c r="E6793">
        <v>0</v>
      </c>
      <c r="F6793" t="str">
        <f>HYPERLINK("https://github.com/nextcloud/android/issues/6489", "show")</f>
        <v>show</v>
      </c>
      <c r="G6793" t="str">
        <f>HYPERLINK("https://github.com/nextcloud/android", "show")</f>
        <v>show</v>
      </c>
      <c r="H6793" t="str">
        <f>HYPERLINK("https://github.com/nextcloud/android/releases", "show")</f>
        <v>show</v>
      </c>
      <c r="I6793">
        <v>0</v>
      </c>
      <c r="J6793">
        <v>0</v>
      </c>
      <c r="K6793">
        <v>1</v>
      </c>
      <c r="L6793">
        <v>0</v>
      </c>
      <c r="M6793" t="s">
        <v>122</v>
      </c>
    </row>
    <row r="6794" spans="1:13" hidden="1" x14ac:dyDescent="0.15">
      <c r="A6794" t="s">
        <v>21238</v>
      </c>
      <c r="B6794" t="s">
        <v>21239</v>
      </c>
      <c r="C6794" t="s">
        <v>21240</v>
      </c>
      <c r="D6794" t="s">
        <v>21241</v>
      </c>
      <c r="E6794">
        <v>5</v>
      </c>
      <c r="F6794" t="str">
        <f>HYPERLINK("https://github.com/square/okhttp/issues/6188", "show")</f>
        <v>show</v>
      </c>
      <c r="G6794" t="str">
        <f>HYPERLINK("https://github.com/square/okhttp", "show")</f>
        <v>show</v>
      </c>
      <c r="H6794" t="str">
        <f>HYPERLINK("https://github.com/square/okhttp/releases", "show")</f>
        <v>show</v>
      </c>
      <c r="I6794">
        <v>1</v>
      </c>
      <c r="J6794">
        <v>0</v>
      </c>
      <c r="K6794">
        <v>1</v>
      </c>
      <c r="L6794">
        <v>0</v>
      </c>
      <c r="M6794" t="s">
        <v>64</v>
      </c>
    </row>
    <row r="6795" spans="1:13" hidden="1" x14ac:dyDescent="0.15">
      <c r="A6795" t="s">
        <v>21242</v>
      </c>
      <c r="B6795" t="s">
        <v>21243</v>
      </c>
      <c r="C6795" t="s">
        <v>21244</v>
      </c>
      <c r="D6795" t="s">
        <v>21241</v>
      </c>
      <c r="E6795">
        <v>130</v>
      </c>
      <c r="F6795" t="str">
        <f>HYPERLINK("https://github.com/ElderDrivers/EdXposed/issues/585", "show")</f>
        <v>show</v>
      </c>
      <c r="G6795" t="str">
        <f>HYPERLINK("https://github.com/ElderDrivers/EdXposed", "show")</f>
        <v>show</v>
      </c>
      <c r="H6795" t="str">
        <f>HYPERLINK("https://github.com/ElderDrivers/EdXposed/releases", "show")</f>
        <v>show</v>
      </c>
      <c r="I6795">
        <v>0</v>
      </c>
      <c r="J6795">
        <v>0</v>
      </c>
      <c r="K6795">
        <v>0</v>
      </c>
      <c r="L6795">
        <v>0</v>
      </c>
      <c r="M6795" t="s">
        <v>43</v>
      </c>
    </row>
    <row r="6796" spans="1:13" hidden="1" x14ac:dyDescent="0.15">
      <c r="A6796" t="s">
        <v>21245</v>
      </c>
      <c r="B6796" t="s">
        <v>21246</v>
      </c>
      <c r="C6796" t="s">
        <v>21247</v>
      </c>
      <c r="D6796" t="s">
        <v>21241</v>
      </c>
      <c r="E6796">
        <v>0</v>
      </c>
      <c r="F6796" t="str">
        <f>HYPERLINK("https://github.com/Anuken/Mindustry/issues/2237", "show")</f>
        <v>show</v>
      </c>
      <c r="G6796" t="str">
        <f>HYPERLINK("https://github.com/Anuken/Mindustry", "show")</f>
        <v>show</v>
      </c>
      <c r="H6796" t="str">
        <f>HYPERLINK("https://github.com/Anuken/Mindustry/releases", "show")</f>
        <v>show</v>
      </c>
      <c r="I6796">
        <v>0</v>
      </c>
      <c r="J6796">
        <v>0</v>
      </c>
      <c r="K6796">
        <v>1</v>
      </c>
      <c r="L6796">
        <v>0</v>
      </c>
      <c r="M6796" t="s">
        <v>122</v>
      </c>
    </row>
    <row r="6797" spans="1:13" hidden="1" x14ac:dyDescent="0.15">
      <c r="A6797" t="s">
        <v>21248</v>
      </c>
      <c r="B6797" t="s">
        <v>21249</v>
      </c>
      <c r="C6797" t="s">
        <v>21250</v>
      </c>
      <c r="D6797" t="s">
        <v>21241</v>
      </c>
      <c r="E6797">
        <v>0</v>
      </c>
      <c r="F6797" t="str">
        <f>HYPERLINK("https://github.com/nextcloud/android/issues/6485", "show")</f>
        <v>show</v>
      </c>
      <c r="G6797" t="str">
        <f>HYPERLINK("https://github.com/nextcloud/android", "show")</f>
        <v>show</v>
      </c>
      <c r="H6797" t="str">
        <f>HYPERLINK("https://github.com/nextcloud/android/releases", "show")</f>
        <v>show</v>
      </c>
      <c r="I6797">
        <v>1</v>
      </c>
      <c r="J6797">
        <v>1</v>
      </c>
      <c r="K6797">
        <v>1</v>
      </c>
      <c r="L6797">
        <v>0</v>
      </c>
      <c r="M6797" t="s">
        <v>59</v>
      </c>
    </row>
    <row r="6798" spans="1:13" hidden="1" x14ac:dyDescent="0.15">
      <c r="A6798" t="s">
        <v>21251</v>
      </c>
      <c r="B6798" t="s">
        <v>21252</v>
      </c>
      <c r="C6798" t="s">
        <v>21253</v>
      </c>
      <c r="D6798" t="s">
        <v>21254</v>
      </c>
      <c r="E6798">
        <v>0</v>
      </c>
      <c r="F6798" t="str">
        <f>HYPERLINK("https://github.com/nextcloud/android/issues/6481", "show")</f>
        <v>show</v>
      </c>
      <c r="G6798" t="str">
        <f>HYPERLINK("https://github.com/nextcloud/android", "show")</f>
        <v>show</v>
      </c>
      <c r="H6798" t="str">
        <f>HYPERLINK("https://github.com/nextcloud/android/releases", "show")</f>
        <v>show</v>
      </c>
      <c r="I6798">
        <v>1</v>
      </c>
      <c r="J6798">
        <v>1</v>
      </c>
      <c r="K6798">
        <v>1</v>
      </c>
      <c r="L6798">
        <v>0</v>
      </c>
      <c r="M6798" t="s">
        <v>59</v>
      </c>
    </row>
    <row r="6799" spans="1:13" hidden="1" x14ac:dyDescent="0.15">
      <c r="A6799" t="s">
        <v>21255</v>
      </c>
      <c r="B6799" t="s">
        <v>21256</v>
      </c>
      <c r="C6799" t="s">
        <v>21257</v>
      </c>
      <c r="D6799" t="s">
        <v>21254</v>
      </c>
      <c r="E6799">
        <v>0</v>
      </c>
      <c r="F6799" t="str">
        <f>HYPERLINK("https://github.com/TeamNewPipe/NewPipe/issues/3893", "show")</f>
        <v>show</v>
      </c>
      <c r="G6799" t="str">
        <f>HYPERLINK("https://github.com/TeamNewPipe/NewPipe", "show")</f>
        <v>show</v>
      </c>
      <c r="H6799" t="str">
        <f>HYPERLINK("https://github.com/TeamNewPipe/NewPipe/releases", "show")</f>
        <v>show</v>
      </c>
      <c r="I6799">
        <v>0</v>
      </c>
      <c r="J6799">
        <v>1</v>
      </c>
      <c r="K6799">
        <v>1</v>
      </c>
      <c r="L6799">
        <v>0</v>
      </c>
      <c r="M6799" t="s">
        <v>699</v>
      </c>
    </row>
    <row r="6800" spans="1:13" hidden="1" x14ac:dyDescent="0.15">
      <c r="A6800" t="s">
        <v>21258</v>
      </c>
      <c r="B6800" t="s">
        <v>21259</v>
      </c>
      <c r="C6800" t="s">
        <v>21260</v>
      </c>
      <c r="D6800" t="s">
        <v>21254</v>
      </c>
      <c r="E6800">
        <v>18</v>
      </c>
      <c r="F6800" t="str">
        <f>HYPERLINK("https://github.com/TeamNewPipe/NewPipe/issues/3892", "show")</f>
        <v>show</v>
      </c>
      <c r="G6800" t="str">
        <f>HYPERLINK("https://github.com/TeamNewPipe/NewPipe", "show")</f>
        <v>show</v>
      </c>
      <c r="H6800" t="str">
        <f>HYPERLINK("https://github.com/TeamNewPipe/NewPipe/releases", "show")</f>
        <v>show</v>
      </c>
      <c r="I6800">
        <v>1</v>
      </c>
      <c r="J6800">
        <v>0</v>
      </c>
      <c r="K6800">
        <v>0</v>
      </c>
      <c r="L6800">
        <v>0</v>
      </c>
      <c r="M6800" t="s">
        <v>17</v>
      </c>
    </row>
    <row r="6801" spans="1:13" hidden="1" x14ac:dyDescent="0.15">
      <c r="A6801" t="s">
        <v>21261</v>
      </c>
      <c r="B6801" t="s">
        <v>21262</v>
      </c>
      <c r="C6801" t="s">
        <v>21263</v>
      </c>
      <c r="D6801" t="s">
        <v>21254</v>
      </c>
      <c r="E6801">
        <v>300</v>
      </c>
      <c r="F6801" t="str">
        <f>HYPERLINK("https://github.com/TeamNewPipe/NewPipe/issues/3891", "show")</f>
        <v>show</v>
      </c>
      <c r="G6801" t="str">
        <f>HYPERLINK("https://github.com/TeamNewPipe/NewPipe", "show")</f>
        <v>show</v>
      </c>
      <c r="H6801" t="str">
        <f>HYPERLINK("https://github.com/TeamNewPipe/NewPipe/releases", "show")</f>
        <v>show</v>
      </c>
      <c r="I6801">
        <v>0</v>
      </c>
      <c r="J6801">
        <v>0</v>
      </c>
      <c r="K6801">
        <v>1</v>
      </c>
      <c r="L6801">
        <v>0</v>
      </c>
      <c r="M6801" t="s">
        <v>122</v>
      </c>
    </row>
    <row r="6802" spans="1:13" hidden="1" x14ac:dyDescent="0.15">
      <c r="A6802" t="s">
        <v>21264</v>
      </c>
      <c r="B6802" t="s">
        <v>21265</v>
      </c>
      <c r="C6802" t="s">
        <v>21266</v>
      </c>
      <c r="D6802" t="s">
        <v>21254</v>
      </c>
      <c r="E6802">
        <v>16</v>
      </c>
      <c r="F6802" t="str">
        <f>HYPERLINK("https://github.com/patzly/grocy-android/issues/54", "show")</f>
        <v>show</v>
      </c>
      <c r="G6802" t="str">
        <f>HYPERLINK("https://github.com/patzly/grocy-android", "show")</f>
        <v>show</v>
      </c>
      <c r="H6802" t="str">
        <f>HYPERLINK("https://github.com/patzly/grocy-android/releases", "show")</f>
        <v>show</v>
      </c>
      <c r="I6802">
        <v>1</v>
      </c>
      <c r="J6802">
        <v>0</v>
      </c>
      <c r="K6802">
        <v>0</v>
      </c>
      <c r="L6802">
        <v>0</v>
      </c>
      <c r="M6802" t="s">
        <v>17</v>
      </c>
    </row>
    <row r="6803" spans="1:13" hidden="1" x14ac:dyDescent="0.15">
      <c r="A6803" t="s">
        <v>21267</v>
      </c>
      <c r="B6803" t="s">
        <v>21268</v>
      </c>
      <c r="C6803" t="s">
        <v>21269</v>
      </c>
      <c r="D6803" t="s">
        <v>21270</v>
      </c>
      <c r="E6803">
        <v>35</v>
      </c>
      <c r="F6803" t="str">
        <f>HYPERLINK("https://github.com/twilio/video-quickstart-android/issues/545", "show")</f>
        <v>show</v>
      </c>
      <c r="G6803" t="str">
        <f>HYPERLINK("https://github.com/twilio/video-quickstart-android", "show")</f>
        <v>show</v>
      </c>
      <c r="H6803" t="str">
        <f>HYPERLINK("https://github.com/twilio/video-quickstart-android/releases", "show")</f>
        <v>show</v>
      </c>
      <c r="I6803">
        <v>0</v>
      </c>
      <c r="J6803">
        <v>0</v>
      </c>
      <c r="K6803">
        <v>1</v>
      </c>
      <c r="L6803">
        <v>1</v>
      </c>
      <c r="M6803" t="s">
        <v>351</v>
      </c>
    </row>
    <row r="6804" spans="1:13" hidden="1" x14ac:dyDescent="0.15">
      <c r="A6804" t="s">
        <v>21271</v>
      </c>
      <c r="B6804" t="s">
        <v>21272</v>
      </c>
      <c r="C6804" t="s">
        <v>21273</v>
      </c>
      <c r="D6804" t="s">
        <v>21270</v>
      </c>
      <c r="E6804">
        <v>19</v>
      </c>
      <c r="F6804" t="str">
        <f>HYPERLINK("https://github.com/TeamNewPipe/NewPipe/issues/3887", "show")</f>
        <v>show</v>
      </c>
      <c r="G6804" t="str">
        <f>HYPERLINK("https://github.com/TeamNewPipe/NewPipe", "show")</f>
        <v>show</v>
      </c>
      <c r="H6804" t="str">
        <f>HYPERLINK("https://github.com/TeamNewPipe/NewPipe/releases", "show")</f>
        <v>show</v>
      </c>
      <c r="I6804">
        <v>1</v>
      </c>
      <c r="J6804">
        <v>0</v>
      </c>
      <c r="K6804">
        <v>1</v>
      </c>
      <c r="L6804">
        <v>0</v>
      </c>
      <c r="M6804" t="s">
        <v>64</v>
      </c>
    </row>
    <row r="6805" spans="1:13" hidden="1" x14ac:dyDescent="0.15">
      <c r="A6805" t="s">
        <v>21274</v>
      </c>
      <c r="B6805" t="s">
        <v>21275</v>
      </c>
      <c r="C6805" t="s">
        <v>16854</v>
      </c>
      <c r="D6805" t="s">
        <v>21270</v>
      </c>
      <c r="E6805">
        <v>1</v>
      </c>
      <c r="F6805" t="str">
        <f>HYPERLINK("https://github.com/nextcloud/android/issues/6475", "show")</f>
        <v>show</v>
      </c>
      <c r="G6805" t="str">
        <f>HYPERLINK("https://github.com/nextcloud/android", "show")</f>
        <v>show</v>
      </c>
      <c r="H6805" t="str">
        <f>HYPERLINK("https://github.com/nextcloud/android/releases", "show")</f>
        <v>show</v>
      </c>
      <c r="I6805">
        <v>1</v>
      </c>
      <c r="J6805">
        <v>0</v>
      </c>
      <c r="K6805">
        <v>1</v>
      </c>
      <c r="L6805">
        <v>0</v>
      </c>
      <c r="M6805" t="s">
        <v>64</v>
      </c>
    </row>
    <row r="6806" spans="1:13" hidden="1" x14ac:dyDescent="0.15">
      <c r="A6806" t="s">
        <v>21276</v>
      </c>
      <c r="B6806" t="s">
        <v>21277</v>
      </c>
      <c r="C6806" t="s">
        <v>21278</v>
      </c>
      <c r="D6806" t="s">
        <v>21279</v>
      </c>
      <c r="E6806">
        <v>1</v>
      </c>
      <c r="F6806" t="str">
        <f>HYPERLINK("https://github.com/ankidroid/Anki-Android/issues/6674", "show")</f>
        <v>show</v>
      </c>
      <c r="G6806" t="str">
        <f>HYPERLINK("https://github.com/ankidroid/Anki-Android", "show")</f>
        <v>show</v>
      </c>
      <c r="H6806" t="str">
        <f>HYPERLINK("https://github.com/ankidroid/Anki-Android/releases", "show")</f>
        <v>show</v>
      </c>
      <c r="I6806">
        <v>1</v>
      </c>
      <c r="J6806">
        <v>0</v>
      </c>
      <c r="K6806">
        <v>0</v>
      </c>
      <c r="L6806">
        <v>0</v>
      </c>
      <c r="M6806" t="s">
        <v>17</v>
      </c>
    </row>
    <row r="6807" spans="1:13" hidden="1" x14ac:dyDescent="0.15">
      <c r="A6807" t="s">
        <v>21280</v>
      </c>
      <c r="B6807" t="s">
        <v>21281</v>
      </c>
      <c r="C6807" t="s">
        <v>21282</v>
      </c>
      <c r="D6807" t="s">
        <v>21279</v>
      </c>
      <c r="E6807">
        <v>0</v>
      </c>
      <c r="F6807" t="str">
        <f>HYPERLINK("https://github.com/Anuken/Mindustry/issues/2228", "show")</f>
        <v>show</v>
      </c>
      <c r="G6807" t="str">
        <f>HYPERLINK("https://github.com/Anuken/Mindustry", "show")</f>
        <v>show</v>
      </c>
      <c r="H6807" t="str">
        <f>HYPERLINK("https://github.com/Anuken/Mindustry/releases", "show")</f>
        <v>show</v>
      </c>
      <c r="I6807">
        <v>1</v>
      </c>
      <c r="J6807">
        <v>0</v>
      </c>
      <c r="K6807">
        <v>0</v>
      </c>
      <c r="L6807">
        <v>0</v>
      </c>
      <c r="M6807" t="s">
        <v>17</v>
      </c>
    </row>
    <row r="6808" spans="1:13" hidden="1" x14ac:dyDescent="0.15">
      <c r="A6808" t="s">
        <v>21283</v>
      </c>
      <c r="B6808" t="s">
        <v>21284</v>
      </c>
      <c r="C6808" t="s">
        <v>21285</v>
      </c>
      <c r="D6808" t="s">
        <v>21279</v>
      </c>
      <c r="E6808">
        <v>16</v>
      </c>
      <c r="F6808" t="str">
        <f>HYPERLINK("https://github.com/getodk/collect/issues/3971", "show")</f>
        <v>show</v>
      </c>
      <c r="G6808" t="str">
        <f>HYPERLINK("https://github.com/getodk/collect", "show")</f>
        <v>show</v>
      </c>
      <c r="H6808" t="str">
        <f>HYPERLINK("https://github.com/getodk/collect/releases", "show")</f>
        <v>show</v>
      </c>
      <c r="I6808">
        <v>1</v>
      </c>
      <c r="J6808">
        <v>1</v>
      </c>
      <c r="K6808">
        <v>1</v>
      </c>
      <c r="L6808">
        <v>1</v>
      </c>
      <c r="M6808" t="s">
        <v>2875</v>
      </c>
    </row>
    <row r="6809" spans="1:13" hidden="1" x14ac:dyDescent="0.15">
      <c r="A6809" t="s">
        <v>21286</v>
      </c>
      <c r="B6809" t="s">
        <v>21287</v>
      </c>
      <c r="C6809" t="s">
        <v>21288</v>
      </c>
      <c r="D6809" t="s">
        <v>21279</v>
      </c>
      <c r="E6809">
        <v>0</v>
      </c>
      <c r="F6809" t="str">
        <f>HYPERLINK("https://github.com/cgeo/cgeo/issues/8633", "show")</f>
        <v>show</v>
      </c>
      <c r="G6809" t="str">
        <f>HYPERLINK("https://github.com/cgeo/cgeo", "show")</f>
        <v>show</v>
      </c>
      <c r="H6809" t="str">
        <f>HYPERLINK("https://github.com/cgeo/cgeo/releases", "show")</f>
        <v>show</v>
      </c>
      <c r="I6809">
        <v>1</v>
      </c>
      <c r="J6809">
        <v>1</v>
      </c>
      <c r="K6809">
        <v>0</v>
      </c>
      <c r="L6809">
        <v>0</v>
      </c>
      <c r="M6809" t="s">
        <v>48</v>
      </c>
    </row>
    <row r="6810" spans="1:13" x14ac:dyDescent="0.15">
      <c r="A6810" t="s">
        <v>21289</v>
      </c>
      <c r="B6810" t="s">
        <v>21290</v>
      </c>
      <c r="C6810" t="s">
        <v>21291</v>
      </c>
      <c r="D6810" t="s">
        <v>21279</v>
      </c>
      <c r="E6810">
        <v>39</v>
      </c>
      <c r="F6810" t="str">
        <f>HYPERLINK("https://github.com/Rapsssito/react-native-tcp-socket/issues/69", "show")</f>
        <v>show</v>
      </c>
      <c r="G6810" t="str">
        <f>HYPERLINK("https://github.com/Rapsssito/react-native-tcp-socket", "show")</f>
        <v>show</v>
      </c>
      <c r="H6810" t="str">
        <f>HYPERLINK("https://github.com/Rapsssito/react-native-tcp-socket/releases", "show")</f>
        <v>show</v>
      </c>
      <c r="I6810">
        <v>0</v>
      </c>
      <c r="J6810">
        <v>1</v>
      </c>
      <c r="K6810">
        <v>0</v>
      </c>
      <c r="L6810">
        <v>0</v>
      </c>
      <c r="M6810" t="s">
        <v>139</v>
      </c>
    </row>
    <row r="6811" spans="1:13" hidden="1" x14ac:dyDescent="0.15">
      <c r="A6811" t="s">
        <v>21292</v>
      </c>
      <c r="B6811" t="s">
        <v>21293</v>
      </c>
      <c r="C6811" t="s">
        <v>21294</v>
      </c>
      <c r="D6811" t="s">
        <v>21279</v>
      </c>
      <c r="E6811">
        <v>105</v>
      </c>
      <c r="F6811" t="str">
        <f>HYPERLINK("https://github.com/elimu-ai/launcher/issues/55", "show")</f>
        <v>show</v>
      </c>
      <c r="G6811" t="str">
        <f>HYPERLINK("https://github.com/elimu-ai/launcher", "show")</f>
        <v>show</v>
      </c>
      <c r="H6811" t="str">
        <f>HYPERLINK("https://github.com/elimu-ai/launcher/releases", "show")</f>
        <v>show</v>
      </c>
      <c r="I6811">
        <v>1</v>
      </c>
      <c r="J6811">
        <v>0</v>
      </c>
      <c r="K6811">
        <v>1</v>
      </c>
      <c r="L6811">
        <v>0</v>
      </c>
      <c r="M6811" t="s">
        <v>64</v>
      </c>
    </row>
    <row r="6812" spans="1:13" hidden="1" x14ac:dyDescent="0.15">
      <c r="A6812" t="s">
        <v>21295</v>
      </c>
      <c r="B6812" t="s">
        <v>21296</v>
      </c>
      <c r="C6812" t="s">
        <v>21297</v>
      </c>
      <c r="D6812" t="s">
        <v>21298</v>
      </c>
      <c r="E6812">
        <v>0</v>
      </c>
      <c r="F6812" t="str">
        <f>HYPERLINK("https://github.com/TeamNewPipe/NewPipe/issues/3879", "show")</f>
        <v>show</v>
      </c>
      <c r="G6812" t="str">
        <f>HYPERLINK("https://github.com/TeamNewPipe/NewPipe", "show")</f>
        <v>show</v>
      </c>
      <c r="H6812" t="str">
        <f>HYPERLINK("https://github.com/TeamNewPipe/NewPipe/releases", "show")</f>
        <v>show</v>
      </c>
      <c r="I6812">
        <v>1</v>
      </c>
      <c r="J6812">
        <v>1</v>
      </c>
      <c r="K6812">
        <v>0</v>
      </c>
      <c r="L6812">
        <v>0</v>
      </c>
      <c r="M6812" t="s">
        <v>48</v>
      </c>
    </row>
    <row r="6813" spans="1:13" hidden="1" x14ac:dyDescent="0.15">
      <c r="A6813" t="s">
        <v>21299</v>
      </c>
      <c r="B6813" t="s">
        <v>21300</v>
      </c>
      <c r="C6813" t="s">
        <v>21301</v>
      </c>
      <c r="D6813" t="s">
        <v>21298</v>
      </c>
      <c r="E6813">
        <v>3</v>
      </c>
      <c r="F6813" t="str">
        <f>HYPERLINK("https://github.com/hzi-braunschweig/SORMAS-Project/issues/2474", "show")</f>
        <v>show</v>
      </c>
      <c r="G6813" t="str">
        <f>HYPERLINK("https://github.com/hzi-braunschweig/SORMAS-Project", "show")</f>
        <v>show</v>
      </c>
      <c r="H6813" t="str">
        <f>HYPERLINK("https://github.com/hzi-braunschweig/SORMAS-Project/releases", "show")</f>
        <v>show</v>
      </c>
      <c r="I6813">
        <v>1</v>
      </c>
      <c r="J6813">
        <v>0</v>
      </c>
      <c r="K6813">
        <v>0</v>
      </c>
      <c r="L6813">
        <v>0</v>
      </c>
      <c r="M6813" t="s">
        <v>17</v>
      </c>
    </row>
    <row r="6814" spans="1:13" hidden="1" x14ac:dyDescent="0.15">
      <c r="A6814" t="s">
        <v>21302</v>
      </c>
      <c r="B6814" t="s">
        <v>21303</v>
      </c>
      <c r="C6814" t="s">
        <v>21304</v>
      </c>
      <c r="D6814" t="s">
        <v>21298</v>
      </c>
      <c r="E6814">
        <v>8</v>
      </c>
      <c r="F6814" t="str">
        <f>HYPERLINK("https://github.com/TotalCross/totalcross/issues/70", "show")</f>
        <v>show</v>
      </c>
      <c r="G6814" t="str">
        <f>HYPERLINK("https://github.com/TotalCross/totalcross", "show")</f>
        <v>show</v>
      </c>
      <c r="H6814" t="str">
        <f>HYPERLINK("https://github.com/TotalCross/totalcross/releases", "show")</f>
        <v>show</v>
      </c>
      <c r="I6814">
        <v>1</v>
      </c>
      <c r="J6814">
        <v>0</v>
      </c>
      <c r="K6814">
        <v>0</v>
      </c>
      <c r="L6814">
        <v>0</v>
      </c>
      <c r="M6814" t="s">
        <v>17</v>
      </c>
    </row>
    <row r="6815" spans="1:13" hidden="1" x14ac:dyDescent="0.15">
      <c r="A6815" t="s">
        <v>21305</v>
      </c>
      <c r="B6815" t="s">
        <v>21306</v>
      </c>
      <c r="C6815" t="s">
        <v>21307</v>
      </c>
      <c r="D6815" t="s">
        <v>21298</v>
      </c>
      <c r="E6815">
        <v>3</v>
      </c>
      <c r="F6815" t="str">
        <f>HYPERLINK("https://github.com/hzi-braunschweig/SORMAS-Project/issues/2468", "show")</f>
        <v>show</v>
      </c>
      <c r="G6815" t="str">
        <f>HYPERLINK("https://github.com/hzi-braunschweig/SORMAS-Project", "show")</f>
        <v>show</v>
      </c>
      <c r="H6815" t="str">
        <f>HYPERLINK("https://github.com/hzi-braunschweig/SORMAS-Project/releases", "show")</f>
        <v>show</v>
      </c>
      <c r="I6815">
        <v>1</v>
      </c>
      <c r="J6815">
        <v>0</v>
      </c>
      <c r="K6815">
        <v>0</v>
      </c>
      <c r="L6815">
        <v>0</v>
      </c>
      <c r="M6815" t="s">
        <v>17</v>
      </c>
    </row>
    <row r="6816" spans="1:13" hidden="1" x14ac:dyDescent="0.15">
      <c r="A6816" t="s">
        <v>21308</v>
      </c>
      <c r="B6816" t="s">
        <v>21309</v>
      </c>
      <c r="C6816" t="s">
        <v>21310</v>
      </c>
      <c r="D6816" t="s">
        <v>21298</v>
      </c>
      <c r="E6816">
        <v>0</v>
      </c>
      <c r="F6816" t="str">
        <f>HYPERLINK("https://github.com/Anuken/Mindustry/issues/2224", "show")</f>
        <v>show</v>
      </c>
      <c r="G6816" t="str">
        <f>HYPERLINK("https://github.com/Anuken/Mindustry", "show")</f>
        <v>show</v>
      </c>
      <c r="H6816" t="str">
        <f>HYPERLINK("https://github.com/Anuken/Mindustry/releases", "show")</f>
        <v>show</v>
      </c>
      <c r="I6816">
        <v>0</v>
      </c>
      <c r="J6816">
        <v>1</v>
      </c>
      <c r="K6816">
        <v>0</v>
      </c>
      <c r="L6816">
        <v>1</v>
      </c>
      <c r="M6816" t="s">
        <v>1732</v>
      </c>
    </row>
    <row r="6817" spans="1:13" hidden="1" x14ac:dyDescent="0.15">
      <c r="A6817" t="s">
        <v>21311</v>
      </c>
      <c r="B6817" t="s">
        <v>21312</v>
      </c>
      <c r="C6817" t="s">
        <v>21313</v>
      </c>
      <c r="D6817" t="s">
        <v>21314</v>
      </c>
      <c r="E6817">
        <v>50</v>
      </c>
      <c r="F6817" t="str">
        <f>HYPERLINK("https://github.com/wallabag/android-app/issues/1013", "show")</f>
        <v>show</v>
      </c>
      <c r="G6817" t="str">
        <f>HYPERLINK("https://github.com/wallabag/android-app", "show")</f>
        <v>show</v>
      </c>
      <c r="H6817" t="str">
        <f>HYPERLINK("https://github.com/wallabag/android-app/releases", "show")</f>
        <v>show</v>
      </c>
      <c r="I6817">
        <v>1</v>
      </c>
      <c r="J6817">
        <v>1</v>
      </c>
      <c r="K6817">
        <v>0</v>
      </c>
      <c r="L6817">
        <v>0</v>
      </c>
      <c r="M6817" t="s">
        <v>48</v>
      </c>
    </row>
    <row r="6818" spans="1:13" hidden="1" x14ac:dyDescent="0.15">
      <c r="A6818" t="s">
        <v>21315</v>
      </c>
      <c r="B6818" t="s">
        <v>21316</v>
      </c>
      <c r="C6818" t="s">
        <v>21317</v>
      </c>
      <c r="D6818" t="s">
        <v>21314</v>
      </c>
      <c r="E6818">
        <v>8</v>
      </c>
      <c r="F6818" t="str">
        <f>HYPERLINK("https://github.com/material-components/material-components-android/issues/1475", "show")</f>
        <v>show</v>
      </c>
      <c r="G6818" t="str">
        <f>HYPERLINK("https://github.com/material-components/material-components-android", "show")</f>
        <v>show</v>
      </c>
      <c r="H6818" t="str">
        <f>HYPERLINK("https://github.com/material-components/material-components-android/releases", "show")</f>
        <v>show</v>
      </c>
      <c r="I6818">
        <v>0</v>
      </c>
      <c r="J6818">
        <v>0</v>
      </c>
      <c r="K6818">
        <v>1</v>
      </c>
      <c r="L6818">
        <v>0</v>
      </c>
      <c r="M6818" t="s">
        <v>122</v>
      </c>
    </row>
    <row r="6819" spans="1:13" hidden="1" x14ac:dyDescent="0.15">
      <c r="A6819" t="s">
        <v>21318</v>
      </c>
      <c r="B6819" t="s">
        <v>21319</v>
      </c>
      <c r="C6819" t="s">
        <v>21320</v>
      </c>
      <c r="D6819" t="s">
        <v>21314</v>
      </c>
      <c r="E6819">
        <v>5</v>
      </c>
      <c r="F6819" t="str">
        <f>HYPERLINK("https://github.com/lisawray/groupie/issues/351", "show")</f>
        <v>show</v>
      </c>
      <c r="G6819" t="str">
        <f>HYPERLINK("https://github.com/lisawray/groupie", "show")</f>
        <v>show</v>
      </c>
      <c r="H6819" t="str">
        <f>HYPERLINK("https://github.com/lisawray/groupie/releases", "show")</f>
        <v>show</v>
      </c>
      <c r="I6819">
        <v>0</v>
      </c>
      <c r="J6819">
        <v>1</v>
      </c>
      <c r="K6819">
        <v>1</v>
      </c>
      <c r="L6819">
        <v>0</v>
      </c>
      <c r="M6819" t="s">
        <v>699</v>
      </c>
    </row>
    <row r="6820" spans="1:13" hidden="1" x14ac:dyDescent="0.15">
      <c r="A6820" t="s">
        <v>21321</v>
      </c>
      <c r="B6820" t="s">
        <v>21322</v>
      </c>
      <c r="C6820" t="s">
        <v>21323</v>
      </c>
      <c r="D6820" t="s">
        <v>21324</v>
      </c>
      <c r="E6820">
        <v>5</v>
      </c>
      <c r="F6820" t="str">
        <f>HYPERLINK("https://github.com/nextcloud/android/issues/6458", "show")</f>
        <v>show</v>
      </c>
      <c r="G6820" t="str">
        <f>HYPERLINK("https://github.com/nextcloud/android", "show")</f>
        <v>show</v>
      </c>
      <c r="H6820" t="str">
        <f>HYPERLINK("https://github.com/nextcloud/android/releases", "show")</f>
        <v>show</v>
      </c>
      <c r="I6820">
        <v>1</v>
      </c>
      <c r="J6820">
        <v>0</v>
      </c>
      <c r="K6820">
        <v>1</v>
      </c>
      <c r="L6820">
        <v>0</v>
      </c>
      <c r="M6820" t="s">
        <v>64</v>
      </c>
    </row>
    <row r="6821" spans="1:13" hidden="1" x14ac:dyDescent="0.15">
      <c r="A6821" t="s">
        <v>21325</v>
      </c>
      <c r="B6821" t="s">
        <v>21326</v>
      </c>
      <c r="C6821" t="s">
        <v>21327</v>
      </c>
      <c r="D6821" t="s">
        <v>21324</v>
      </c>
      <c r="E6821">
        <v>0</v>
      </c>
      <c r="F6821" t="str">
        <f>HYPERLINK("https://github.com/Anuken/Mindustry/issues/2222", "show")</f>
        <v>show</v>
      </c>
      <c r="G6821" t="str">
        <f>HYPERLINK("https://github.com/Anuken/Mindustry", "show")</f>
        <v>show</v>
      </c>
      <c r="H6821" t="str">
        <f>HYPERLINK("https://github.com/Anuken/Mindustry/releases", "show")</f>
        <v>show</v>
      </c>
      <c r="I6821">
        <v>0</v>
      </c>
      <c r="J6821">
        <v>0</v>
      </c>
      <c r="K6821">
        <v>1</v>
      </c>
      <c r="L6821">
        <v>0</v>
      </c>
      <c r="M6821" t="s">
        <v>122</v>
      </c>
    </row>
    <row r="6822" spans="1:13" hidden="1" x14ac:dyDescent="0.15">
      <c r="A6822" t="s">
        <v>21328</v>
      </c>
      <c r="B6822" t="s">
        <v>21329</v>
      </c>
      <c r="C6822" t="s">
        <v>21330</v>
      </c>
      <c r="D6822" t="s">
        <v>21331</v>
      </c>
      <c r="E6822">
        <v>17</v>
      </c>
      <c r="F6822" t="str">
        <f>HYPERLINK("https://github.com/stefan-niedermann/nextcloud-notes/issues/912", "show")</f>
        <v>show</v>
      </c>
      <c r="G6822" t="str">
        <f>HYPERLINK("https://github.com/stefan-niedermann/nextcloud-notes", "show")</f>
        <v>show</v>
      </c>
      <c r="H6822" t="str">
        <f>HYPERLINK("https://github.com/stefan-niedermann/nextcloud-notes/releases", "show")</f>
        <v>show</v>
      </c>
      <c r="I6822">
        <v>0</v>
      </c>
      <c r="J6822">
        <v>1</v>
      </c>
      <c r="K6822">
        <v>1</v>
      </c>
      <c r="L6822">
        <v>0</v>
      </c>
      <c r="M6822" t="s">
        <v>699</v>
      </c>
    </row>
    <row r="6823" spans="1:13" hidden="1" x14ac:dyDescent="0.15">
      <c r="A6823" t="s">
        <v>21332</v>
      </c>
      <c r="B6823" t="s">
        <v>21333</v>
      </c>
      <c r="C6823" t="s">
        <v>21334</v>
      </c>
      <c r="D6823" t="s">
        <v>21331</v>
      </c>
      <c r="E6823">
        <v>2</v>
      </c>
      <c r="F6823" t="str">
        <f>HYPERLINK("https://github.com/react-native-share/react-native-share/issues/823", "show")</f>
        <v>show</v>
      </c>
      <c r="G6823" t="str">
        <f>HYPERLINK("https://github.com/react-native-share/react-native-share", "show")</f>
        <v>show</v>
      </c>
      <c r="H6823" t="str">
        <f>HYPERLINK("https://github.com/react-native-share/react-native-share/releases", "show")</f>
        <v>show</v>
      </c>
      <c r="I6823">
        <v>0</v>
      </c>
      <c r="J6823">
        <v>0</v>
      </c>
      <c r="K6823">
        <v>0</v>
      </c>
      <c r="L6823">
        <v>0</v>
      </c>
      <c r="M6823" t="s">
        <v>43</v>
      </c>
    </row>
    <row r="6824" spans="1:13" hidden="1" x14ac:dyDescent="0.15">
      <c r="A6824" t="s">
        <v>21335</v>
      </c>
      <c r="B6824" t="s">
        <v>21336</v>
      </c>
      <c r="C6824" t="s">
        <v>21337</v>
      </c>
      <c r="D6824" t="s">
        <v>21338</v>
      </c>
      <c r="E6824">
        <v>13</v>
      </c>
      <c r="F6824" t="str">
        <f>HYPERLINK("https://github.com/simonpoole/OpeningHoursFragment/issues/43", "show")</f>
        <v>show</v>
      </c>
      <c r="G6824" t="str">
        <f>HYPERLINK("https://github.com/simonpoole/OpeningHoursFragment", "show")</f>
        <v>show</v>
      </c>
      <c r="H6824" t="str">
        <f>HYPERLINK("https://github.com/simonpoole/OpeningHoursFragment/releases", "show")</f>
        <v>show</v>
      </c>
      <c r="I6824">
        <v>1</v>
      </c>
      <c r="J6824">
        <v>1</v>
      </c>
      <c r="K6824">
        <v>0</v>
      </c>
      <c r="L6824">
        <v>0</v>
      </c>
      <c r="M6824" t="s">
        <v>48</v>
      </c>
    </row>
    <row r="6825" spans="1:13" hidden="1" x14ac:dyDescent="0.15">
      <c r="A6825" t="s">
        <v>21339</v>
      </c>
      <c r="B6825" t="s">
        <v>21340</v>
      </c>
      <c r="C6825" t="s">
        <v>21341</v>
      </c>
      <c r="D6825" t="s">
        <v>21338</v>
      </c>
      <c r="E6825">
        <v>49</v>
      </c>
      <c r="F6825" t="str">
        <f>HYPERLINK("https://github.com/gsantner/markor/issues/994", "show")</f>
        <v>show</v>
      </c>
      <c r="G6825" t="str">
        <f>HYPERLINK("https://github.com/gsantner/markor", "show")</f>
        <v>show</v>
      </c>
      <c r="H6825" t="str">
        <f>HYPERLINK("https://github.com/gsantner/markor/releases", "show")</f>
        <v>show</v>
      </c>
      <c r="I6825">
        <v>0</v>
      </c>
      <c r="J6825">
        <v>0</v>
      </c>
      <c r="K6825">
        <v>0</v>
      </c>
      <c r="L6825">
        <v>0</v>
      </c>
      <c r="M6825" t="s">
        <v>43</v>
      </c>
    </row>
    <row r="6826" spans="1:13" hidden="1" x14ac:dyDescent="0.15">
      <c r="A6826" t="s">
        <v>21342</v>
      </c>
      <c r="B6826" t="s">
        <v>21343</v>
      </c>
      <c r="C6826" t="s">
        <v>21344</v>
      </c>
      <c r="D6826" t="s">
        <v>21338</v>
      </c>
      <c r="E6826">
        <v>107</v>
      </c>
      <c r="F6826" t="str">
        <f>HYPERLINK("https://github.com/Blankj/AndroidUtilCode/issues/1276", "show")</f>
        <v>show</v>
      </c>
      <c r="G6826" t="str">
        <f>HYPERLINK("https://github.com/Blankj/AndroidUtilCode", "show")</f>
        <v>show</v>
      </c>
      <c r="H6826" t="str">
        <f>HYPERLINK("https://github.com/Blankj/AndroidUtilCode/releases", "show")</f>
        <v>show</v>
      </c>
      <c r="I6826">
        <v>1</v>
      </c>
      <c r="J6826">
        <v>0</v>
      </c>
      <c r="K6826">
        <v>1</v>
      </c>
      <c r="L6826">
        <v>0</v>
      </c>
      <c r="M6826" t="s">
        <v>64</v>
      </c>
    </row>
    <row r="6827" spans="1:13" hidden="1" x14ac:dyDescent="0.15">
      <c r="A6827" t="s">
        <v>21345</v>
      </c>
      <c r="B6827" t="s">
        <v>21346</v>
      </c>
      <c r="C6827" t="s">
        <v>21347</v>
      </c>
      <c r="D6827" t="s">
        <v>21338</v>
      </c>
      <c r="E6827">
        <v>0</v>
      </c>
      <c r="F6827" t="str">
        <f>HYPERLINK("https://github.com/Anuken/Mindustry/issues/2216", "show")</f>
        <v>show</v>
      </c>
      <c r="G6827" t="str">
        <f>HYPERLINK("https://github.com/Anuken/Mindustry", "show")</f>
        <v>show</v>
      </c>
      <c r="H6827" t="str">
        <f>HYPERLINK("https://github.com/Anuken/Mindustry/releases", "show")</f>
        <v>show</v>
      </c>
      <c r="I6827">
        <v>0</v>
      </c>
      <c r="J6827">
        <v>0</v>
      </c>
      <c r="K6827">
        <v>0</v>
      </c>
      <c r="L6827">
        <v>0</v>
      </c>
      <c r="M6827" t="s">
        <v>43</v>
      </c>
    </row>
    <row r="6828" spans="1:13" hidden="1" x14ac:dyDescent="0.15">
      <c r="A6828" t="s">
        <v>21348</v>
      </c>
      <c r="B6828" t="s">
        <v>21349</v>
      </c>
      <c r="C6828" t="s">
        <v>21350</v>
      </c>
      <c r="D6828" t="s">
        <v>21351</v>
      </c>
      <c r="E6828">
        <v>85</v>
      </c>
      <c r="F6828" t="str">
        <f>HYPERLINK("https://github.com/SecUSo/privacy-friendly-qr-scanner/issues/76", "show")</f>
        <v>show</v>
      </c>
      <c r="G6828" t="str">
        <f>HYPERLINK("https://github.com/SecUSo/privacy-friendly-qr-scanner", "show")</f>
        <v>show</v>
      </c>
      <c r="H6828" t="str">
        <f>HYPERLINK("https://github.com/SecUSo/privacy-friendly-qr-scanner/releases", "show")</f>
        <v>show</v>
      </c>
      <c r="I6828">
        <v>1</v>
      </c>
      <c r="J6828">
        <v>0</v>
      </c>
      <c r="K6828">
        <v>0</v>
      </c>
      <c r="L6828">
        <v>0</v>
      </c>
      <c r="M6828" t="s">
        <v>17</v>
      </c>
    </row>
    <row r="6829" spans="1:13" x14ac:dyDescent="0.15">
      <c r="A6829" t="s">
        <v>21352</v>
      </c>
      <c r="B6829" t="s">
        <v>21353</v>
      </c>
      <c r="C6829" t="s">
        <v>21354</v>
      </c>
      <c r="D6829" t="s">
        <v>21351</v>
      </c>
      <c r="E6829">
        <v>41</v>
      </c>
      <c r="F6829" t="str">
        <f>HYPERLINK("https://github.com/nextcloud/android/issues/6436", "show")</f>
        <v>show</v>
      </c>
      <c r="G6829" t="str">
        <f>HYPERLINK("https://github.com/nextcloud/android", "show")</f>
        <v>show</v>
      </c>
      <c r="H6829" t="str">
        <f>HYPERLINK("https://github.com/nextcloud/android/releases", "show")</f>
        <v>show</v>
      </c>
      <c r="I6829">
        <v>0</v>
      </c>
      <c r="J6829">
        <v>1</v>
      </c>
      <c r="K6829">
        <v>0</v>
      </c>
      <c r="L6829">
        <v>0</v>
      </c>
      <c r="M6829" t="s">
        <v>139</v>
      </c>
    </row>
    <row r="6830" spans="1:13" hidden="1" x14ac:dyDescent="0.15">
      <c r="A6830" t="s">
        <v>21355</v>
      </c>
      <c r="B6830" t="s">
        <v>21356</v>
      </c>
      <c r="C6830" t="s">
        <v>21357</v>
      </c>
      <c r="D6830" t="s">
        <v>21351</v>
      </c>
      <c r="E6830">
        <v>59</v>
      </c>
      <c r="F6830" t="str">
        <f>HYPERLINK("https://github.com/nextcloud/android/issues/6433", "show")</f>
        <v>show</v>
      </c>
      <c r="G6830" t="str">
        <f>HYPERLINK("https://github.com/nextcloud/android", "show")</f>
        <v>show</v>
      </c>
      <c r="H6830" t="str">
        <f>HYPERLINK("https://github.com/nextcloud/android/releases", "show")</f>
        <v>show</v>
      </c>
      <c r="I6830">
        <v>1</v>
      </c>
      <c r="J6830">
        <v>0</v>
      </c>
      <c r="K6830">
        <v>1</v>
      </c>
      <c r="L6830">
        <v>0</v>
      </c>
      <c r="M6830" t="s">
        <v>64</v>
      </c>
    </row>
    <row r="6831" spans="1:13" hidden="1" x14ac:dyDescent="0.15">
      <c r="A6831" t="s">
        <v>21358</v>
      </c>
      <c r="B6831" t="s">
        <v>21359</v>
      </c>
      <c r="C6831" t="s">
        <v>21360</v>
      </c>
      <c r="D6831" t="s">
        <v>21361</v>
      </c>
      <c r="E6831">
        <v>1</v>
      </c>
      <c r="F6831" t="str">
        <f>HYPERLINK("https://github.com/oliexdev/openScale/issues/595", "show")</f>
        <v>show</v>
      </c>
      <c r="G6831" t="str">
        <f>HYPERLINK("https://github.com/oliexdev/openScale", "show")</f>
        <v>show</v>
      </c>
      <c r="H6831" t="str">
        <f>HYPERLINK("https://github.com/oliexdev/openScale/releases", "show")</f>
        <v>show</v>
      </c>
      <c r="I6831">
        <v>1</v>
      </c>
      <c r="J6831">
        <v>0</v>
      </c>
      <c r="K6831">
        <v>1</v>
      </c>
      <c r="L6831">
        <v>0</v>
      </c>
      <c r="M6831" t="s">
        <v>64</v>
      </c>
    </row>
    <row r="6832" spans="1:13" hidden="1" x14ac:dyDescent="0.15">
      <c r="A6832" t="s">
        <v>21362</v>
      </c>
      <c r="B6832" t="s">
        <v>21363</v>
      </c>
      <c r="C6832" t="s">
        <v>21364</v>
      </c>
      <c r="D6832" t="s">
        <v>21361</v>
      </c>
      <c r="E6832">
        <v>1</v>
      </c>
      <c r="F6832" t="str">
        <f>HYPERLINK("https://github.com/Anuken/Mindustry/issues/2214", "show")</f>
        <v>show</v>
      </c>
      <c r="G6832" t="str">
        <f>HYPERLINK("https://github.com/Anuken/Mindustry", "show")</f>
        <v>show</v>
      </c>
      <c r="H6832" t="str">
        <f>HYPERLINK("https://github.com/Anuken/Mindustry/releases", "show")</f>
        <v>show</v>
      </c>
      <c r="I6832">
        <v>0</v>
      </c>
      <c r="J6832">
        <v>0</v>
      </c>
      <c r="K6832">
        <v>1</v>
      </c>
      <c r="L6832">
        <v>0</v>
      </c>
      <c r="M6832" t="s">
        <v>122</v>
      </c>
    </row>
    <row r="6833" spans="1:13" hidden="1" x14ac:dyDescent="0.15">
      <c r="A6833" t="s">
        <v>21365</v>
      </c>
      <c r="B6833" t="s">
        <v>21366</v>
      </c>
      <c r="C6833" t="s">
        <v>21367</v>
      </c>
      <c r="D6833" t="s">
        <v>21361</v>
      </c>
      <c r="E6833">
        <v>420</v>
      </c>
      <c r="F6833" t="str">
        <f>HYPERLINK("https://github.com/NordicSemiconductor/Android-BLE-Library/issues/216", "show")</f>
        <v>show</v>
      </c>
      <c r="G6833" t="str">
        <f>HYPERLINK("https://github.com/NordicSemiconductor/Android-BLE-Library", "show")</f>
        <v>show</v>
      </c>
      <c r="H6833" t="str">
        <f>HYPERLINK("https://github.com/NordicSemiconductor/Android-BLE-Library/releases", "show")</f>
        <v>show</v>
      </c>
      <c r="I6833">
        <v>1</v>
      </c>
      <c r="J6833">
        <v>0</v>
      </c>
      <c r="K6833">
        <v>1</v>
      </c>
      <c r="L6833">
        <v>0</v>
      </c>
      <c r="M6833" t="s">
        <v>64</v>
      </c>
    </row>
    <row r="6834" spans="1:13" hidden="1" x14ac:dyDescent="0.15">
      <c r="A6834" t="s">
        <v>21368</v>
      </c>
      <c r="B6834" t="s">
        <v>21369</v>
      </c>
      <c r="C6834" t="s">
        <v>21370</v>
      </c>
      <c r="D6834" t="s">
        <v>21361</v>
      </c>
      <c r="E6834">
        <v>1</v>
      </c>
      <c r="F6834" t="str">
        <f>HYPERLINK("https://github.com/amit-schwartz-u/rooMe/issues/204", "show")</f>
        <v>show</v>
      </c>
      <c r="G6834" t="str">
        <f>HYPERLINK("https://github.com/amit-schwartz-u/rooMe", "show")</f>
        <v>show</v>
      </c>
      <c r="H6834" t="str">
        <f>HYPERLINK("https://github.com/amit-schwartz-u/rooMe/releases", "show")</f>
        <v>show</v>
      </c>
      <c r="I6834">
        <v>1</v>
      </c>
      <c r="J6834">
        <v>0</v>
      </c>
      <c r="K6834">
        <v>0</v>
      </c>
      <c r="L6834">
        <v>0</v>
      </c>
      <c r="M6834" t="s">
        <v>17</v>
      </c>
    </row>
    <row r="6835" spans="1:13" hidden="1" x14ac:dyDescent="0.15">
      <c r="A6835" t="s">
        <v>21371</v>
      </c>
      <c r="B6835" t="s">
        <v>21372</v>
      </c>
      <c r="C6835" t="s">
        <v>21373</v>
      </c>
      <c r="D6835" t="s">
        <v>21361</v>
      </c>
      <c r="E6835">
        <v>1</v>
      </c>
      <c r="F6835" t="str">
        <f>HYPERLINK("https://github.com/amit-schwartz-u/rooMe/issues/202", "show")</f>
        <v>show</v>
      </c>
      <c r="G6835" t="str">
        <f>HYPERLINK("https://github.com/amit-schwartz-u/rooMe", "show")</f>
        <v>show</v>
      </c>
      <c r="H6835" t="str">
        <f>HYPERLINK("https://github.com/amit-schwartz-u/rooMe/releases", "show")</f>
        <v>show</v>
      </c>
      <c r="I6835">
        <v>1</v>
      </c>
      <c r="J6835">
        <v>0</v>
      </c>
      <c r="K6835">
        <v>0</v>
      </c>
      <c r="L6835">
        <v>0</v>
      </c>
      <c r="M6835" t="s">
        <v>17</v>
      </c>
    </row>
    <row r="6836" spans="1:13" hidden="1" x14ac:dyDescent="0.15">
      <c r="A6836" t="s">
        <v>21374</v>
      </c>
      <c r="B6836" t="s">
        <v>21375</v>
      </c>
      <c r="C6836" t="s">
        <v>21376</v>
      </c>
      <c r="D6836" t="s">
        <v>21377</v>
      </c>
      <c r="E6836">
        <v>400</v>
      </c>
      <c r="F6836" t="str">
        <f>HYPERLINK("https://github.com/doublesymmetry/react-native-track-player/issues/991", "show")</f>
        <v>show</v>
      </c>
      <c r="G6836" t="str">
        <f>HYPERLINK("https://github.com/doublesymmetry/react-native-track-player", "show")</f>
        <v>show</v>
      </c>
      <c r="H6836" t="str">
        <f>HYPERLINK("https://github.com/doublesymmetry/react-native-track-player/releases", "show")</f>
        <v>show</v>
      </c>
      <c r="I6836">
        <v>1</v>
      </c>
      <c r="J6836">
        <v>0</v>
      </c>
      <c r="K6836">
        <v>0</v>
      </c>
      <c r="L6836">
        <v>0</v>
      </c>
      <c r="M6836" t="s">
        <v>17</v>
      </c>
    </row>
    <row r="6837" spans="1:13" hidden="1" x14ac:dyDescent="0.15">
      <c r="A6837" t="s">
        <v>21378</v>
      </c>
      <c r="B6837" t="s">
        <v>21379</v>
      </c>
      <c r="C6837" t="s">
        <v>21380</v>
      </c>
      <c r="D6837" t="s">
        <v>21377</v>
      </c>
      <c r="E6837">
        <v>9</v>
      </c>
      <c r="F6837" t="str">
        <f>HYPERLINK("https://github.com/amplitude/Amplitude-Android/issues/243", "show")</f>
        <v>show</v>
      </c>
      <c r="G6837" t="str">
        <f>HYPERLINK("https://github.com/amplitude/Amplitude-Android", "show")</f>
        <v>show</v>
      </c>
      <c r="H6837" t="str">
        <f>HYPERLINK("https://github.com/amplitude/Amplitude-Android/releases", "show")</f>
        <v>show</v>
      </c>
      <c r="I6837">
        <v>1</v>
      </c>
      <c r="J6837">
        <v>0</v>
      </c>
      <c r="K6837">
        <v>1</v>
      </c>
      <c r="L6837">
        <v>0</v>
      </c>
      <c r="M6837" t="s">
        <v>64</v>
      </c>
    </row>
    <row r="6838" spans="1:13" x14ac:dyDescent="0.15">
      <c r="A6838" t="s">
        <v>21381</v>
      </c>
      <c r="B6838" t="s">
        <v>21382</v>
      </c>
      <c r="C6838" t="s">
        <v>21383</v>
      </c>
      <c r="D6838" t="s">
        <v>21377</v>
      </c>
      <c r="E6838">
        <v>68</v>
      </c>
      <c r="F6838" t="str">
        <f>HYPERLINK("https://github.com/nextcloud/android/issues/6417", "show")</f>
        <v>show</v>
      </c>
      <c r="G6838" t="str">
        <f>HYPERLINK("https://github.com/nextcloud/android", "show")</f>
        <v>show</v>
      </c>
      <c r="H6838" t="str">
        <f>HYPERLINK("https://github.com/nextcloud/android/releases", "show")</f>
        <v>show</v>
      </c>
      <c r="I6838">
        <v>0</v>
      </c>
      <c r="J6838">
        <v>1</v>
      </c>
      <c r="K6838">
        <v>0</v>
      </c>
      <c r="L6838">
        <v>0</v>
      </c>
      <c r="M6838" t="s">
        <v>139</v>
      </c>
    </row>
    <row r="6839" spans="1:13" hidden="1" x14ac:dyDescent="0.15">
      <c r="A6839" t="s">
        <v>21384</v>
      </c>
      <c r="B6839" t="s">
        <v>21385</v>
      </c>
      <c r="C6839" t="s">
        <v>21386</v>
      </c>
      <c r="D6839" t="s">
        <v>21377</v>
      </c>
      <c r="E6839">
        <v>38</v>
      </c>
      <c r="F6839" t="str">
        <f>HYPERLINK("https://github.com/Inversion-NL/Toon-Android/issues/35", "show")</f>
        <v>show</v>
      </c>
      <c r="G6839" t="str">
        <f>HYPERLINK("https://github.com/Inversion-NL/Toon-Android", "show")</f>
        <v>show</v>
      </c>
      <c r="H6839" t="str">
        <f>HYPERLINK("https://github.com/Inversion-NL/Toon-Android/releases", "show")</f>
        <v>show</v>
      </c>
      <c r="I6839">
        <v>1</v>
      </c>
      <c r="J6839">
        <v>0</v>
      </c>
      <c r="K6839">
        <v>1</v>
      </c>
      <c r="L6839">
        <v>0</v>
      </c>
      <c r="M6839" t="s">
        <v>64</v>
      </c>
    </row>
    <row r="6840" spans="1:13" hidden="1" x14ac:dyDescent="0.15">
      <c r="A6840" t="s">
        <v>21387</v>
      </c>
      <c r="B6840" t="s">
        <v>21388</v>
      </c>
      <c r="C6840" t="s">
        <v>21389</v>
      </c>
      <c r="D6840" t="s">
        <v>21377</v>
      </c>
      <c r="E6840">
        <v>325</v>
      </c>
      <c r="F6840" t="str">
        <f>HYPERLINK("https://github.com/react-native-share/react-native-share/issues/819", "show")</f>
        <v>show</v>
      </c>
      <c r="G6840" t="str">
        <f>HYPERLINK("https://github.com/react-native-share/react-native-share", "show")</f>
        <v>show</v>
      </c>
      <c r="H6840" t="str">
        <f>HYPERLINK("https://github.com/react-native-share/react-native-share/releases", "show")</f>
        <v>show</v>
      </c>
      <c r="I6840">
        <v>1</v>
      </c>
      <c r="J6840">
        <v>0</v>
      </c>
      <c r="K6840">
        <v>0</v>
      </c>
      <c r="L6840">
        <v>0</v>
      </c>
      <c r="M6840" t="s">
        <v>17</v>
      </c>
    </row>
    <row r="6841" spans="1:13" hidden="1" x14ac:dyDescent="0.15">
      <c r="A6841" t="s">
        <v>21390</v>
      </c>
      <c r="B6841" t="s">
        <v>21391</v>
      </c>
      <c r="C6841" t="s">
        <v>13289</v>
      </c>
      <c r="D6841" t="s">
        <v>21377</v>
      </c>
      <c r="E6841">
        <v>15</v>
      </c>
      <c r="F6841" t="str">
        <f>HYPERLINK("https://github.com/nextcloud/android/issues/6416", "show")</f>
        <v>show</v>
      </c>
      <c r="G6841" t="str">
        <f>HYPERLINK("https://github.com/nextcloud/android", "show")</f>
        <v>show</v>
      </c>
      <c r="H6841" t="str">
        <f>HYPERLINK("https://github.com/nextcloud/android/releases", "show")</f>
        <v>show</v>
      </c>
      <c r="I6841">
        <v>1</v>
      </c>
      <c r="J6841">
        <v>0</v>
      </c>
      <c r="K6841">
        <v>1</v>
      </c>
      <c r="L6841">
        <v>0</v>
      </c>
      <c r="M6841" t="s">
        <v>64</v>
      </c>
    </row>
    <row r="6842" spans="1:13" hidden="1" x14ac:dyDescent="0.15">
      <c r="A6842" t="s">
        <v>21392</v>
      </c>
      <c r="B6842" t="s">
        <v>21393</v>
      </c>
      <c r="D6842" t="s">
        <v>21394</v>
      </c>
      <c r="E6842">
        <v>1</v>
      </c>
      <c r="F6842" t="str">
        <f>HYPERLINK("https://github.com/phrogg/GetMiTokens/issues/1", "show")</f>
        <v>show</v>
      </c>
      <c r="G6842" t="str">
        <f>HYPERLINK("https://github.com/phrogg/GetMiTokens", "show")</f>
        <v>show</v>
      </c>
      <c r="H6842" t="str">
        <f>HYPERLINK("https://github.com/phrogg/GetMiTokens/releases", "show")</f>
        <v>show</v>
      </c>
      <c r="I6842">
        <v>1</v>
      </c>
      <c r="J6842">
        <v>0</v>
      </c>
      <c r="K6842">
        <v>0</v>
      </c>
      <c r="L6842">
        <v>0</v>
      </c>
      <c r="M6842" t="s">
        <v>17</v>
      </c>
    </row>
    <row r="6843" spans="1:13" x14ac:dyDescent="0.15">
      <c r="A6843" t="s">
        <v>21395</v>
      </c>
      <c r="B6843" t="s">
        <v>21396</v>
      </c>
      <c r="C6843" t="s">
        <v>21397</v>
      </c>
      <c r="D6843" t="s">
        <v>21398</v>
      </c>
      <c r="E6843">
        <v>49</v>
      </c>
      <c r="F6843" t="str">
        <f>HYPERLINK("https://github.com/nextcloud/android/issues/6413", "show")</f>
        <v>show</v>
      </c>
      <c r="G6843" t="str">
        <f>HYPERLINK("https://github.com/nextcloud/android", "show")</f>
        <v>show</v>
      </c>
      <c r="H6843" t="str">
        <f>HYPERLINK("https://github.com/nextcloud/android/releases", "show")</f>
        <v>show</v>
      </c>
      <c r="I6843">
        <v>0</v>
      </c>
      <c r="J6843">
        <v>1</v>
      </c>
      <c r="K6843">
        <v>0</v>
      </c>
      <c r="L6843">
        <v>0</v>
      </c>
      <c r="M6843" t="s">
        <v>139</v>
      </c>
    </row>
    <row r="6844" spans="1:13" hidden="1" x14ac:dyDescent="0.15">
      <c r="A6844" t="s">
        <v>21399</v>
      </c>
      <c r="B6844" t="s">
        <v>21400</v>
      </c>
      <c r="C6844" t="s">
        <v>21401</v>
      </c>
      <c r="D6844" t="s">
        <v>21398</v>
      </c>
      <c r="E6844">
        <v>0</v>
      </c>
      <c r="F6844" t="str">
        <f>HYPERLINK("https://github.com/elimu-ai/appstore/issues/224", "show")</f>
        <v>show</v>
      </c>
      <c r="G6844" t="str">
        <f>HYPERLINK("https://github.com/elimu-ai/appstore", "show")</f>
        <v>show</v>
      </c>
      <c r="H6844" t="str">
        <f>HYPERLINK("https://github.com/elimu-ai/appstore/releases", "show")</f>
        <v>show</v>
      </c>
      <c r="I6844">
        <v>1</v>
      </c>
      <c r="J6844">
        <v>0</v>
      </c>
      <c r="K6844">
        <v>0</v>
      </c>
      <c r="L6844">
        <v>0</v>
      </c>
      <c r="M6844" t="s">
        <v>17</v>
      </c>
    </row>
    <row r="6845" spans="1:13" x14ac:dyDescent="0.15">
      <c r="A6845" t="s">
        <v>21402</v>
      </c>
      <c r="B6845" t="s">
        <v>21403</v>
      </c>
      <c r="C6845" t="s">
        <v>21404</v>
      </c>
      <c r="D6845" t="s">
        <v>21405</v>
      </c>
      <c r="E6845">
        <v>0</v>
      </c>
      <c r="F6845" t="str">
        <f>HYPERLINK("https://github.com/Anuken/Mindustry/issues/2207", "show")</f>
        <v>show</v>
      </c>
      <c r="G6845" t="str">
        <f>HYPERLINK("https://github.com/Anuken/Mindustry", "show")</f>
        <v>show</v>
      </c>
      <c r="H6845" t="str">
        <f>HYPERLINK("https://github.com/Anuken/Mindustry/releases", "show")</f>
        <v>show</v>
      </c>
      <c r="I6845">
        <v>0</v>
      </c>
      <c r="J6845">
        <v>1</v>
      </c>
      <c r="K6845">
        <v>0</v>
      </c>
      <c r="L6845">
        <v>0</v>
      </c>
      <c r="M6845" t="s">
        <v>139</v>
      </c>
    </row>
    <row r="6846" spans="1:13" hidden="1" x14ac:dyDescent="0.15">
      <c r="A6846" t="s">
        <v>21406</v>
      </c>
      <c r="B6846" t="s">
        <v>21407</v>
      </c>
      <c r="C6846" t="s">
        <v>21408</v>
      </c>
      <c r="D6846" t="s">
        <v>21405</v>
      </c>
      <c r="E6846">
        <v>219</v>
      </c>
      <c r="F6846" t="str">
        <f>HYPERLINK("https://github.com/jellyfin/jellyfin-androidtv/issues/519", "show")</f>
        <v>show</v>
      </c>
      <c r="G6846" t="str">
        <f>HYPERLINK("https://github.com/jellyfin/jellyfin-androidtv", "show")</f>
        <v>show</v>
      </c>
      <c r="H6846" t="str">
        <f>HYPERLINK("https://github.com/jellyfin/jellyfin-androidtv/releases", "show")</f>
        <v>show</v>
      </c>
      <c r="I6846">
        <v>0</v>
      </c>
      <c r="J6846">
        <v>0</v>
      </c>
      <c r="K6846">
        <v>0</v>
      </c>
      <c r="L6846">
        <v>0</v>
      </c>
      <c r="M6846" t="s">
        <v>43</v>
      </c>
    </row>
    <row r="6847" spans="1:13" hidden="1" x14ac:dyDescent="0.15">
      <c r="A6847" t="s">
        <v>21409</v>
      </c>
      <c r="B6847" t="s">
        <v>21410</v>
      </c>
      <c r="C6847" t="s">
        <v>21411</v>
      </c>
      <c r="D6847" t="s">
        <v>21405</v>
      </c>
      <c r="E6847">
        <v>0</v>
      </c>
      <c r="F6847" t="str">
        <f>HYPERLINK("https://github.com/Anuken/Mindustry/issues/2205", "show")</f>
        <v>show</v>
      </c>
      <c r="G6847" t="str">
        <f>HYPERLINK("https://github.com/Anuken/Mindustry", "show")</f>
        <v>show</v>
      </c>
      <c r="H6847" t="str">
        <f>HYPERLINK("https://github.com/Anuken/Mindustry/releases", "show")</f>
        <v>show</v>
      </c>
      <c r="I6847">
        <v>0</v>
      </c>
      <c r="J6847">
        <v>0</v>
      </c>
      <c r="K6847">
        <v>0</v>
      </c>
      <c r="L6847">
        <v>0</v>
      </c>
      <c r="M6847" t="s">
        <v>43</v>
      </c>
    </row>
    <row r="6848" spans="1:13" hidden="1" x14ac:dyDescent="0.15">
      <c r="A6848" t="s">
        <v>21412</v>
      </c>
      <c r="B6848" t="s">
        <v>21413</v>
      </c>
      <c r="C6848" t="s">
        <v>21414</v>
      </c>
      <c r="D6848" t="s">
        <v>21405</v>
      </c>
      <c r="E6848">
        <v>0</v>
      </c>
      <c r="F6848" t="str">
        <f>HYPERLINK("https://github.com/Anuken/Mindustry/issues/2204", "show")</f>
        <v>show</v>
      </c>
      <c r="G6848" t="str">
        <f>HYPERLINK("https://github.com/Anuken/Mindustry", "show")</f>
        <v>show</v>
      </c>
      <c r="H6848" t="str">
        <f>HYPERLINK("https://github.com/Anuken/Mindustry/releases", "show")</f>
        <v>show</v>
      </c>
      <c r="I6848">
        <v>0</v>
      </c>
      <c r="J6848">
        <v>0</v>
      </c>
      <c r="K6848">
        <v>0</v>
      </c>
      <c r="L6848">
        <v>1</v>
      </c>
      <c r="M6848" t="s">
        <v>581</v>
      </c>
    </row>
    <row r="6849" spans="1:13" hidden="1" x14ac:dyDescent="0.15">
      <c r="A6849" t="s">
        <v>21415</v>
      </c>
      <c r="B6849" t="s">
        <v>21080</v>
      </c>
      <c r="C6849" t="s">
        <v>21416</v>
      </c>
      <c r="D6849" t="s">
        <v>21417</v>
      </c>
      <c r="E6849">
        <v>1</v>
      </c>
      <c r="F6849" t="str">
        <f>HYPERLINK("https://github.com/google/ExoPlayer/issues/7580", "show")</f>
        <v>show</v>
      </c>
      <c r="G6849" t="str">
        <f>HYPERLINK("https://github.com/google/ExoPlayer", "show")</f>
        <v>show</v>
      </c>
      <c r="H6849" t="str">
        <f>HYPERLINK("https://github.com/google/ExoPlayer/releases", "show")</f>
        <v>show</v>
      </c>
      <c r="I6849">
        <v>1</v>
      </c>
      <c r="J6849">
        <v>0</v>
      </c>
      <c r="K6849">
        <v>1</v>
      </c>
      <c r="L6849">
        <v>0</v>
      </c>
      <c r="M6849" t="s">
        <v>64</v>
      </c>
    </row>
    <row r="6850" spans="1:13" hidden="1" x14ac:dyDescent="0.15">
      <c r="A6850" t="s">
        <v>21418</v>
      </c>
      <c r="B6850" t="s">
        <v>21419</v>
      </c>
      <c r="C6850" t="s">
        <v>21420</v>
      </c>
      <c r="D6850" t="s">
        <v>21417</v>
      </c>
      <c r="E6850">
        <v>6</v>
      </c>
      <c r="F6850" t="str">
        <f>HYPERLINK("https://github.com/amit-schwartz-u/rooMe/issues/181", "show")</f>
        <v>show</v>
      </c>
      <c r="G6850" t="str">
        <f>HYPERLINK("https://github.com/amit-schwartz-u/rooMe", "show")</f>
        <v>show</v>
      </c>
      <c r="H6850" t="str">
        <f>HYPERLINK("https://github.com/amit-schwartz-u/rooMe/releases", "show")</f>
        <v>show</v>
      </c>
      <c r="I6850">
        <v>1</v>
      </c>
      <c r="J6850">
        <v>0</v>
      </c>
      <c r="K6850">
        <v>1</v>
      </c>
      <c r="L6850">
        <v>0</v>
      </c>
      <c r="M6850" t="s">
        <v>64</v>
      </c>
    </row>
    <row r="6851" spans="1:13" hidden="1" x14ac:dyDescent="0.15">
      <c r="A6851" t="s">
        <v>21421</v>
      </c>
      <c r="B6851" t="s">
        <v>21422</v>
      </c>
      <c r="C6851" t="s">
        <v>21423</v>
      </c>
      <c r="D6851" t="s">
        <v>21417</v>
      </c>
      <c r="E6851">
        <v>1</v>
      </c>
      <c r="F6851" t="str">
        <f>HYPERLINK("https://github.com/material-components/material-components-android/issues/1455", "show")</f>
        <v>show</v>
      </c>
      <c r="G6851" t="str">
        <f>HYPERLINK("https://github.com/material-components/material-components-android", "show")</f>
        <v>show</v>
      </c>
      <c r="H6851" t="str">
        <f>HYPERLINK("https://github.com/material-components/material-components-android/releases", "show")</f>
        <v>show</v>
      </c>
      <c r="I6851">
        <v>1</v>
      </c>
      <c r="J6851">
        <v>0</v>
      </c>
      <c r="K6851">
        <v>1</v>
      </c>
      <c r="L6851">
        <v>0</v>
      </c>
      <c r="M6851" t="s">
        <v>64</v>
      </c>
    </row>
    <row r="6852" spans="1:13" hidden="1" x14ac:dyDescent="0.15">
      <c r="A6852" t="s">
        <v>21424</v>
      </c>
      <c r="B6852" t="s">
        <v>21425</v>
      </c>
      <c r="C6852" t="s">
        <v>21426</v>
      </c>
      <c r="D6852" t="s">
        <v>21417</v>
      </c>
      <c r="E6852">
        <v>14</v>
      </c>
      <c r="F6852" t="str">
        <f>HYPERLINK("https://github.com/square/okhttp/issues/6162", "show")</f>
        <v>show</v>
      </c>
      <c r="G6852" t="str">
        <f>HYPERLINK("https://github.com/square/okhttp", "show")</f>
        <v>show</v>
      </c>
      <c r="H6852" t="str">
        <f>HYPERLINK("https://github.com/square/okhttp/releases", "show")</f>
        <v>show</v>
      </c>
      <c r="I6852">
        <v>1</v>
      </c>
      <c r="J6852">
        <v>0</v>
      </c>
      <c r="K6852">
        <v>1</v>
      </c>
      <c r="L6852">
        <v>0</v>
      </c>
      <c r="M6852" t="s">
        <v>64</v>
      </c>
    </row>
    <row r="6853" spans="1:13" x14ac:dyDescent="0.15">
      <c r="A6853" t="s">
        <v>21427</v>
      </c>
      <c r="B6853" t="s">
        <v>21428</v>
      </c>
      <c r="C6853" t="s">
        <v>21429</v>
      </c>
      <c r="D6853" t="s">
        <v>21430</v>
      </c>
      <c r="E6853">
        <v>60</v>
      </c>
      <c r="F6853" t="str">
        <f>HYPERLINK("https://github.com/cgeo/cgeo/issues/8568", "show")</f>
        <v>show</v>
      </c>
      <c r="G6853" t="str">
        <f>HYPERLINK("https://github.com/cgeo/cgeo", "show")</f>
        <v>show</v>
      </c>
      <c r="H6853" t="str">
        <f>HYPERLINK("https://github.com/cgeo/cgeo/releases", "show")</f>
        <v>show</v>
      </c>
      <c r="I6853">
        <v>0</v>
      </c>
      <c r="J6853">
        <v>1</v>
      </c>
      <c r="K6853">
        <v>0</v>
      </c>
      <c r="L6853">
        <v>0</v>
      </c>
      <c r="M6853" t="s">
        <v>139</v>
      </c>
    </row>
    <row r="6854" spans="1:13" hidden="1" x14ac:dyDescent="0.15">
      <c r="A6854" t="s">
        <v>21431</v>
      </c>
      <c r="B6854" t="s">
        <v>21432</v>
      </c>
      <c r="C6854" t="s">
        <v>21433</v>
      </c>
      <c r="D6854" t="s">
        <v>21430</v>
      </c>
      <c r="E6854">
        <v>5</v>
      </c>
      <c r="F6854" t="str">
        <f>HYPERLINK("https://github.com/deltachat/deltachat-android/issues/1469", "show")</f>
        <v>show</v>
      </c>
      <c r="G6854" t="str">
        <f>HYPERLINK("https://github.com/deltachat/deltachat-android", "show")</f>
        <v>show</v>
      </c>
      <c r="H6854" t="str">
        <f>HYPERLINK("https://github.com/deltachat/deltachat-android/releases", "show")</f>
        <v>show</v>
      </c>
      <c r="I6854">
        <v>1</v>
      </c>
      <c r="J6854">
        <v>1</v>
      </c>
      <c r="K6854">
        <v>0</v>
      </c>
      <c r="L6854">
        <v>0</v>
      </c>
      <c r="M6854" t="s">
        <v>48</v>
      </c>
    </row>
    <row r="6855" spans="1:13" hidden="1" x14ac:dyDescent="0.15">
      <c r="A6855" t="s">
        <v>21434</v>
      </c>
      <c r="B6855" t="s">
        <v>21435</v>
      </c>
      <c r="C6855" t="s">
        <v>21436</v>
      </c>
      <c r="D6855" t="s">
        <v>21430</v>
      </c>
      <c r="E6855">
        <v>1</v>
      </c>
      <c r="F6855" t="str">
        <f>HYPERLINK("https://github.com/msaperst/beerfit/issues/43", "show")</f>
        <v>show</v>
      </c>
      <c r="G6855" t="str">
        <f>HYPERLINK("https://github.com/msaperst/beerfit", "show")</f>
        <v>show</v>
      </c>
      <c r="H6855" t="str">
        <f>HYPERLINK("https://github.com/msaperst/beerfit/releases", "show")</f>
        <v>show</v>
      </c>
      <c r="I6855">
        <v>1</v>
      </c>
      <c r="J6855">
        <v>0</v>
      </c>
      <c r="K6855">
        <v>0</v>
      </c>
      <c r="L6855">
        <v>0</v>
      </c>
      <c r="M6855" t="s">
        <v>17</v>
      </c>
    </row>
    <row r="6856" spans="1:13" hidden="1" x14ac:dyDescent="0.15">
      <c r="A6856" t="s">
        <v>21437</v>
      </c>
      <c r="B6856" t="s">
        <v>21438</v>
      </c>
      <c r="C6856" t="s">
        <v>21439</v>
      </c>
      <c r="D6856" t="s">
        <v>21430</v>
      </c>
      <c r="E6856">
        <v>193</v>
      </c>
      <c r="F6856" t="str">
        <f>HYPERLINK("https://github.com/TeamNewPipe/NewPipe-legacy/issues/33", "show")</f>
        <v>show</v>
      </c>
      <c r="G6856" t="str">
        <f>HYPERLINK("https://github.com/TeamNewPipe/NewPipe-legacy", "show")</f>
        <v>show</v>
      </c>
      <c r="H6856" t="str">
        <f>HYPERLINK("https://github.com/TeamNewPipe/NewPipe-legacy/releases", "show")</f>
        <v>show</v>
      </c>
      <c r="I6856">
        <v>0</v>
      </c>
      <c r="J6856">
        <v>0</v>
      </c>
      <c r="K6856">
        <v>0</v>
      </c>
      <c r="L6856">
        <v>0</v>
      </c>
      <c r="M6856" t="s">
        <v>43</v>
      </c>
    </row>
    <row r="6857" spans="1:13" hidden="1" x14ac:dyDescent="0.15">
      <c r="A6857" t="s">
        <v>21440</v>
      </c>
      <c r="B6857" t="s">
        <v>21441</v>
      </c>
      <c r="C6857" t="s">
        <v>21442</v>
      </c>
      <c r="D6857" t="s">
        <v>21430</v>
      </c>
      <c r="E6857">
        <v>405</v>
      </c>
      <c r="F6857" t="str">
        <f>HYPERLINK("https://github.com/doublesymmetry/react-native-track-player/issues/985", "show")</f>
        <v>show</v>
      </c>
      <c r="G6857" t="str">
        <f>HYPERLINK("https://github.com/doublesymmetry/react-native-track-player", "show")</f>
        <v>show</v>
      </c>
      <c r="H6857" t="str">
        <f>HYPERLINK("https://github.com/doublesymmetry/react-native-track-player/releases", "show")</f>
        <v>show</v>
      </c>
      <c r="I6857">
        <v>1</v>
      </c>
      <c r="J6857">
        <v>0</v>
      </c>
      <c r="K6857">
        <v>0</v>
      </c>
      <c r="L6857">
        <v>0</v>
      </c>
      <c r="M6857" t="s">
        <v>17</v>
      </c>
    </row>
    <row r="6858" spans="1:13" hidden="1" x14ac:dyDescent="0.15">
      <c r="A6858" t="s">
        <v>21443</v>
      </c>
      <c r="B6858" t="s">
        <v>21444</v>
      </c>
      <c r="C6858" t="s">
        <v>21445</v>
      </c>
      <c r="D6858" t="s">
        <v>21430</v>
      </c>
      <c r="E6858">
        <v>78</v>
      </c>
      <c r="F6858" t="str">
        <f>HYPERLINK("https://github.com/Azure/azure-sdk-for-android/issues/250", "show")</f>
        <v>show</v>
      </c>
      <c r="G6858" t="str">
        <f>HYPERLINK("https://github.com/Azure/azure-sdk-for-android", "show")</f>
        <v>show</v>
      </c>
      <c r="H6858" t="str">
        <f>HYPERLINK("https://github.com/Azure/azure-sdk-for-android/releases", "show")</f>
        <v>show</v>
      </c>
      <c r="I6858">
        <v>1</v>
      </c>
      <c r="J6858">
        <v>0</v>
      </c>
      <c r="K6858">
        <v>1</v>
      </c>
      <c r="L6858">
        <v>0</v>
      </c>
      <c r="M6858" t="s">
        <v>64</v>
      </c>
    </row>
    <row r="6859" spans="1:13" hidden="1" x14ac:dyDescent="0.15">
      <c r="A6859" t="s">
        <v>21446</v>
      </c>
      <c r="B6859" t="s">
        <v>21447</v>
      </c>
      <c r="C6859" t="s">
        <v>21448</v>
      </c>
      <c r="D6859" t="s">
        <v>21449</v>
      </c>
      <c r="E6859">
        <v>145</v>
      </c>
      <c r="F6859" t="str">
        <f>HYPERLINK("https://github.com/HappyPeng2x/SumatoraDictionary/issues/7", "show")</f>
        <v>show</v>
      </c>
      <c r="G6859" t="str">
        <f>HYPERLINK("https://github.com/HappyPeng2x/SumatoraDictionary", "show")</f>
        <v>show</v>
      </c>
      <c r="H6859" t="str">
        <f>HYPERLINK("https://github.com/HappyPeng2x/SumatoraDictionary/releases", "show")</f>
        <v>show</v>
      </c>
      <c r="I6859">
        <v>1</v>
      </c>
      <c r="J6859">
        <v>0</v>
      </c>
      <c r="K6859">
        <v>0</v>
      </c>
      <c r="L6859">
        <v>0</v>
      </c>
      <c r="M6859" t="s">
        <v>17</v>
      </c>
    </row>
    <row r="6860" spans="1:13" hidden="1" x14ac:dyDescent="0.15">
      <c r="A6860" t="s">
        <v>21450</v>
      </c>
      <c r="B6860" t="s">
        <v>21451</v>
      </c>
      <c r="C6860" t="s">
        <v>21452</v>
      </c>
      <c r="D6860" t="s">
        <v>21449</v>
      </c>
      <c r="E6860">
        <v>59</v>
      </c>
      <c r="F6860" t="str">
        <f>HYPERLINK("https://github.com/deltachat/deltachat-android/issues/1462", "show")</f>
        <v>show</v>
      </c>
      <c r="G6860" t="str">
        <f>HYPERLINK("https://github.com/deltachat/deltachat-android", "show")</f>
        <v>show</v>
      </c>
      <c r="H6860" t="str">
        <f>HYPERLINK("https://github.com/deltachat/deltachat-android/releases", "show")</f>
        <v>show</v>
      </c>
      <c r="I6860">
        <v>1</v>
      </c>
      <c r="J6860">
        <v>0</v>
      </c>
      <c r="K6860">
        <v>0</v>
      </c>
      <c r="L6860">
        <v>0</v>
      </c>
      <c r="M6860" t="s">
        <v>17</v>
      </c>
    </row>
    <row r="6861" spans="1:13" hidden="1" x14ac:dyDescent="0.15">
      <c r="A6861" t="s">
        <v>21453</v>
      </c>
      <c r="B6861" t="s">
        <v>21454</v>
      </c>
      <c r="C6861" t="s">
        <v>21455</v>
      </c>
      <c r="D6861" t="s">
        <v>21449</v>
      </c>
      <c r="E6861">
        <v>128</v>
      </c>
      <c r="F6861" t="str">
        <f>HYPERLINK("https://github.com/react-native-webrtc/react-native-webrtc/issues/816", "show")</f>
        <v>show</v>
      </c>
      <c r="G6861" t="str">
        <f>HYPERLINK("https://github.com/react-native-webrtc/react-native-webrtc", "show")</f>
        <v>show</v>
      </c>
      <c r="H6861" t="str">
        <f>HYPERLINK("https://github.com/react-native-webrtc/react-native-webrtc/releases", "show")</f>
        <v>show</v>
      </c>
      <c r="I6861">
        <v>1</v>
      </c>
      <c r="J6861">
        <v>0</v>
      </c>
      <c r="K6861">
        <v>0</v>
      </c>
      <c r="L6861">
        <v>0</v>
      </c>
      <c r="M6861" t="s">
        <v>17</v>
      </c>
    </row>
    <row r="6862" spans="1:13" hidden="1" x14ac:dyDescent="0.15">
      <c r="A6862" t="s">
        <v>21456</v>
      </c>
      <c r="B6862" t="s">
        <v>21457</v>
      </c>
      <c r="C6862" t="s">
        <v>21458</v>
      </c>
      <c r="D6862" t="s">
        <v>21449</v>
      </c>
      <c r="E6862">
        <v>0</v>
      </c>
      <c r="F6862" t="str">
        <f>HYPERLINK("https://github.com/Inversion-NL/Toon-Android/issues/31", "show")</f>
        <v>show</v>
      </c>
      <c r="G6862" t="str">
        <f>HYPERLINK("https://github.com/Inversion-NL/Toon-Android", "show")</f>
        <v>show</v>
      </c>
      <c r="H6862" t="str">
        <f>HYPERLINK("https://github.com/Inversion-NL/Toon-Android/releases", "show")</f>
        <v>show</v>
      </c>
      <c r="I6862">
        <v>1</v>
      </c>
      <c r="J6862">
        <v>0</v>
      </c>
      <c r="K6862">
        <v>1</v>
      </c>
      <c r="L6862">
        <v>0</v>
      </c>
      <c r="M6862" t="s">
        <v>64</v>
      </c>
    </row>
    <row r="6863" spans="1:13" hidden="1" x14ac:dyDescent="0.15">
      <c r="A6863" t="s">
        <v>21459</v>
      </c>
      <c r="B6863" t="s">
        <v>21460</v>
      </c>
      <c r="C6863" t="s">
        <v>21461</v>
      </c>
      <c r="D6863" t="s">
        <v>21449</v>
      </c>
      <c r="E6863">
        <v>598</v>
      </c>
      <c r="F6863" t="str">
        <f>HYPERLINK("https://github.com/material-components/material-components-android/issues/1451", "show")</f>
        <v>show</v>
      </c>
      <c r="G6863" t="str">
        <f>HYPERLINK("https://github.com/material-components/material-components-android", "show")</f>
        <v>show</v>
      </c>
      <c r="H6863" t="str">
        <f>HYPERLINK("https://github.com/material-components/material-components-android/releases", "show")</f>
        <v>show</v>
      </c>
      <c r="I6863">
        <v>0</v>
      </c>
      <c r="J6863">
        <v>0</v>
      </c>
      <c r="K6863">
        <v>0</v>
      </c>
      <c r="L6863">
        <v>0</v>
      </c>
      <c r="M6863" t="s">
        <v>43</v>
      </c>
    </row>
    <row r="6864" spans="1:13" x14ac:dyDescent="0.15">
      <c r="A6864" t="s">
        <v>21462</v>
      </c>
      <c r="B6864" t="s">
        <v>21463</v>
      </c>
      <c r="C6864" t="s">
        <v>21464</v>
      </c>
      <c r="D6864" t="s">
        <v>21449</v>
      </c>
      <c r="E6864">
        <v>0</v>
      </c>
      <c r="F6864" t="str">
        <f>HYPERLINK("https://github.com/Anuken/Mindustry/issues/2198", "show")</f>
        <v>show</v>
      </c>
      <c r="G6864" t="str">
        <f>HYPERLINK("https://github.com/Anuken/Mindustry", "show")</f>
        <v>show</v>
      </c>
      <c r="H6864" t="str">
        <f>HYPERLINK("https://github.com/Anuken/Mindustry/releases", "show")</f>
        <v>show</v>
      </c>
      <c r="I6864">
        <v>0</v>
      </c>
      <c r="J6864">
        <v>1</v>
      </c>
      <c r="K6864">
        <v>0</v>
      </c>
      <c r="L6864">
        <v>0</v>
      </c>
      <c r="M6864" t="s">
        <v>139</v>
      </c>
    </row>
    <row r="6865" spans="1:13" x14ac:dyDescent="0.15">
      <c r="A6865" t="s">
        <v>21465</v>
      </c>
      <c r="B6865" t="s">
        <v>21466</v>
      </c>
      <c r="C6865" t="s">
        <v>21467</v>
      </c>
      <c r="D6865" t="s">
        <v>21449</v>
      </c>
      <c r="E6865">
        <v>0</v>
      </c>
      <c r="F6865" t="str">
        <f>HYPERLINK("https://github.com/Anuken/Mindustry/issues/2197", "show")</f>
        <v>show</v>
      </c>
      <c r="G6865" t="str">
        <f>HYPERLINK("https://github.com/Anuken/Mindustry", "show")</f>
        <v>show</v>
      </c>
      <c r="H6865" t="str">
        <f>HYPERLINK("https://github.com/Anuken/Mindustry/releases", "show")</f>
        <v>show</v>
      </c>
      <c r="I6865">
        <v>0</v>
      </c>
      <c r="J6865">
        <v>1</v>
      </c>
      <c r="K6865">
        <v>0</v>
      </c>
      <c r="L6865">
        <v>0</v>
      </c>
      <c r="M6865" t="s">
        <v>139</v>
      </c>
    </row>
    <row r="6866" spans="1:13" hidden="1" x14ac:dyDescent="0.15">
      <c r="A6866" t="s">
        <v>21468</v>
      </c>
      <c r="B6866" t="s">
        <v>21469</v>
      </c>
      <c r="C6866" t="s">
        <v>21470</v>
      </c>
      <c r="D6866" t="s">
        <v>21449</v>
      </c>
      <c r="E6866">
        <v>4</v>
      </c>
      <c r="F6866" t="str">
        <f>HYPERLINK("https://github.com/brodeurlv/fastnfitness/issues/142", "show")</f>
        <v>show</v>
      </c>
      <c r="G6866" t="str">
        <f>HYPERLINK("https://github.com/brodeurlv/fastnfitness", "show")</f>
        <v>show</v>
      </c>
      <c r="H6866" t="str">
        <f>HYPERLINK("https://github.com/brodeurlv/fastnfitness/releases", "show")</f>
        <v>show</v>
      </c>
      <c r="I6866">
        <v>1</v>
      </c>
      <c r="J6866">
        <v>1</v>
      </c>
      <c r="K6866">
        <v>0</v>
      </c>
      <c r="L6866">
        <v>0</v>
      </c>
      <c r="M6866" t="s">
        <v>48</v>
      </c>
    </row>
    <row r="6867" spans="1:13" hidden="1" x14ac:dyDescent="0.15">
      <c r="A6867" t="s">
        <v>21471</v>
      </c>
      <c r="B6867" t="s">
        <v>21472</v>
      </c>
      <c r="C6867" t="s">
        <v>21473</v>
      </c>
      <c r="D6867" t="s">
        <v>21474</v>
      </c>
      <c r="E6867">
        <v>0</v>
      </c>
      <c r="F6867" t="str">
        <f>HYPERLINK("https://github.com/nextcloud/android/issues/6386", "show")</f>
        <v>show</v>
      </c>
      <c r="G6867" t="str">
        <f>HYPERLINK("https://github.com/nextcloud/android", "show")</f>
        <v>show</v>
      </c>
      <c r="H6867" t="str">
        <f>HYPERLINK("https://github.com/nextcloud/android/releases", "show")</f>
        <v>show</v>
      </c>
      <c r="I6867">
        <v>0</v>
      </c>
      <c r="J6867">
        <v>1</v>
      </c>
      <c r="K6867">
        <v>1</v>
      </c>
      <c r="L6867">
        <v>0</v>
      </c>
      <c r="M6867" t="s">
        <v>699</v>
      </c>
    </row>
    <row r="6868" spans="1:13" hidden="1" x14ac:dyDescent="0.15">
      <c r="A6868" t="s">
        <v>21475</v>
      </c>
      <c r="B6868" t="s">
        <v>21476</v>
      </c>
      <c r="C6868" t="s">
        <v>21477</v>
      </c>
      <c r="D6868" t="s">
        <v>21474</v>
      </c>
      <c r="E6868">
        <v>13</v>
      </c>
      <c r="F6868" t="str">
        <f>HYPERLINK("https://github.com/labexp/osmtracker-android/issues/258", "show")</f>
        <v>show</v>
      </c>
      <c r="G6868" t="str">
        <f>HYPERLINK("https://github.com/labexp/osmtracker-android", "show")</f>
        <v>show</v>
      </c>
      <c r="H6868" t="str">
        <f>HYPERLINK("https://github.com/labexp/osmtracker-android/releases", "show")</f>
        <v>show</v>
      </c>
      <c r="I6868">
        <v>1</v>
      </c>
      <c r="J6868">
        <v>0</v>
      </c>
      <c r="K6868">
        <v>0</v>
      </c>
      <c r="L6868">
        <v>0</v>
      </c>
      <c r="M6868" t="s">
        <v>17</v>
      </c>
    </row>
    <row r="6869" spans="1:13" hidden="1" x14ac:dyDescent="0.15">
      <c r="A6869" t="s">
        <v>21478</v>
      </c>
      <c r="B6869" t="s">
        <v>21479</v>
      </c>
      <c r="C6869" t="s">
        <v>21480</v>
      </c>
      <c r="D6869" t="s">
        <v>21474</v>
      </c>
      <c r="E6869">
        <v>1</v>
      </c>
      <c r="F6869" t="str">
        <f>HYPERLINK("https://github.com/elimu-ai/launcher/issues/49", "show")</f>
        <v>show</v>
      </c>
      <c r="G6869" t="str">
        <f>HYPERLINK("https://github.com/elimu-ai/launcher", "show")</f>
        <v>show</v>
      </c>
      <c r="H6869" t="str">
        <f>HYPERLINK("https://github.com/elimu-ai/launcher/releases", "show")</f>
        <v>show</v>
      </c>
      <c r="I6869">
        <v>0</v>
      </c>
      <c r="J6869">
        <v>0</v>
      </c>
      <c r="K6869">
        <v>1</v>
      </c>
      <c r="L6869">
        <v>0</v>
      </c>
      <c r="M6869" t="s">
        <v>122</v>
      </c>
    </row>
    <row r="6870" spans="1:13" hidden="1" x14ac:dyDescent="0.15">
      <c r="A6870" t="s">
        <v>21481</v>
      </c>
      <c r="B6870" t="s">
        <v>21482</v>
      </c>
      <c r="C6870" t="s">
        <v>21483</v>
      </c>
      <c r="D6870" t="s">
        <v>21484</v>
      </c>
      <c r="E6870">
        <v>33</v>
      </c>
      <c r="F6870" t="str">
        <f>HYPERLINK("https://github.com/LN-Zap/zap-android/issues/204", "show")</f>
        <v>show</v>
      </c>
      <c r="G6870" t="str">
        <f>HYPERLINK("https://github.com/LN-Zap/zap-android", "show")</f>
        <v>show</v>
      </c>
      <c r="H6870" t="str">
        <f>HYPERLINK("https://github.com/LN-Zap/zap-android/releases", "show")</f>
        <v>show</v>
      </c>
      <c r="I6870">
        <v>1</v>
      </c>
      <c r="J6870">
        <v>0</v>
      </c>
      <c r="K6870">
        <v>0</v>
      </c>
      <c r="L6870">
        <v>0</v>
      </c>
      <c r="M6870" t="s">
        <v>17</v>
      </c>
    </row>
    <row r="6871" spans="1:13" hidden="1" x14ac:dyDescent="0.15">
      <c r="A6871" t="s">
        <v>21485</v>
      </c>
      <c r="B6871" t="s">
        <v>21486</v>
      </c>
      <c r="C6871" t="s">
        <v>20390</v>
      </c>
      <c r="D6871" t="s">
        <v>21484</v>
      </c>
      <c r="E6871">
        <v>0</v>
      </c>
      <c r="F6871" t="str">
        <f>HYPERLINK("https://github.com/TeamNewPipe/NewPipe/issues/3823", "show")</f>
        <v>show</v>
      </c>
      <c r="G6871" t="str">
        <f>HYPERLINK("https://github.com/TeamNewPipe/NewPipe", "show")</f>
        <v>show</v>
      </c>
      <c r="H6871" t="str">
        <f>HYPERLINK("https://github.com/TeamNewPipe/NewPipe/releases", "show")</f>
        <v>show</v>
      </c>
      <c r="I6871">
        <v>1</v>
      </c>
      <c r="J6871">
        <v>1</v>
      </c>
      <c r="K6871">
        <v>0</v>
      </c>
      <c r="L6871">
        <v>0</v>
      </c>
      <c r="M6871" t="s">
        <v>48</v>
      </c>
    </row>
    <row r="6872" spans="1:13" hidden="1" x14ac:dyDescent="0.15">
      <c r="A6872" t="s">
        <v>21487</v>
      </c>
      <c r="B6872" t="s">
        <v>21488</v>
      </c>
      <c r="C6872" t="s">
        <v>21489</v>
      </c>
      <c r="D6872" t="s">
        <v>21490</v>
      </c>
      <c r="E6872">
        <v>5</v>
      </c>
      <c r="F6872" t="str">
        <f>HYPERLINK("https://github.com/amit-schwartz-u/rooMe/issues/175", "show")</f>
        <v>show</v>
      </c>
      <c r="G6872" t="str">
        <f>HYPERLINK("https://github.com/amit-schwartz-u/rooMe", "show")</f>
        <v>show</v>
      </c>
      <c r="H6872" t="str">
        <f>HYPERLINK("https://github.com/amit-schwartz-u/rooMe/releases", "show")</f>
        <v>show</v>
      </c>
      <c r="I6872">
        <v>1</v>
      </c>
      <c r="J6872">
        <v>0</v>
      </c>
      <c r="K6872">
        <v>1</v>
      </c>
      <c r="L6872">
        <v>0</v>
      </c>
      <c r="M6872" t="s">
        <v>64</v>
      </c>
    </row>
    <row r="6873" spans="1:13" hidden="1" x14ac:dyDescent="0.15">
      <c r="A6873" t="s">
        <v>21491</v>
      </c>
      <c r="B6873" t="s">
        <v>21492</v>
      </c>
      <c r="C6873" t="s">
        <v>21493</v>
      </c>
      <c r="D6873" t="s">
        <v>21494</v>
      </c>
      <c r="E6873">
        <v>3</v>
      </c>
      <c r="F6873" t="str">
        <f>HYPERLINK("https://github.com/google/ExoPlayer/issues/7549", "show")</f>
        <v>show</v>
      </c>
      <c r="G6873" t="str">
        <f>HYPERLINK("https://github.com/google/ExoPlayer", "show")</f>
        <v>show</v>
      </c>
      <c r="H6873" t="str">
        <f>HYPERLINK("https://github.com/google/ExoPlayer/releases", "show")</f>
        <v>show</v>
      </c>
      <c r="I6873">
        <v>0</v>
      </c>
      <c r="J6873">
        <v>0</v>
      </c>
      <c r="K6873">
        <v>1</v>
      </c>
      <c r="L6873">
        <v>0</v>
      </c>
      <c r="M6873" t="s">
        <v>122</v>
      </c>
    </row>
    <row r="6874" spans="1:13" hidden="1" x14ac:dyDescent="0.15">
      <c r="A6874" t="s">
        <v>21495</v>
      </c>
      <c r="B6874" t="s">
        <v>21496</v>
      </c>
      <c r="C6874" t="s">
        <v>21497</v>
      </c>
      <c r="D6874" t="s">
        <v>21494</v>
      </c>
      <c r="E6874">
        <v>2</v>
      </c>
      <c r="F6874" t="str">
        <f>HYPERLINK("https://github.com/woesss/JL-Mod/issues/7", "show")</f>
        <v>show</v>
      </c>
      <c r="G6874" t="str">
        <f>HYPERLINK("https://github.com/woesss/JL-Mod", "show")</f>
        <v>show</v>
      </c>
      <c r="H6874" t="str">
        <f>HYPERLINK("https://github.com/woesss/JL-Mod/releases", "show")</f>
        <v>show</v>
      </c>
      <c r="I6874">
        <v>1</v>
      </c>
      <c r="J6874">
        <v>0</v>
      </c>
      <c r="K6874">
        <v>0</v>
      </c>
      <c r="L6874">
        <v>1</v>
      </c>
      <c r="M6874" t="s">
        <v>29</v>
      </c>
    </row>
    <row r="6875" spans="1:13" hidden="1" x14ac:dyDescent="0.15">
      <c r="A6875" t="s">
        <v>21498</v>
      </c>
      <c r="B6875" t="s">
        <v>21499</v>
      </c>
      <c r="C6875" t="s">
        <v>21500</v>
      </c>
      <c r="D6875" t="s">
        <v>21494</v>
      </c>
      <c r="E6875">
        <v>0</v>
      </c>
      <c r="F6875" t="str">
        <f>HYPERLINK("https://github.com/lakshaysethi/Assignment_3_Mobile_Dev/issues/47", "show")</f>
        <v>show</v>
      </c>
      <c r="G6875" t="str">
        <f>HYPERLINK("https://github.com/lakshaysethi/Assignment_3_Mobile_Dev", "show")</f>
        <v>show</v>
      </c>
      <c r="H6875" t="str">
        <f>HYPERLINK("https://github.com/lakshaysethi/Assignment_3_Mobile_Dev/releases", "show")</f>
        <v>show</v>
      </c>
      <c r="I6875">
        <v>1</v>
      </c>
      <c r="J6875">
        <v>0</v>
      </c>
      <c r="K6875">
        <v>0</v>
      </c>
      <c r="L6875">
        <v>0</v>
      </c>
      <c r="M6875" t="s">
        <v>17</v>
      </c>
    </row>
    <row r="6876" spans="1:13" hidden="1" x14ac:dyDescent="0.15">
      <c r="A6876" t="s">
        <v>21501</v>
      </c>
      <c r="B6876" t="s">
        <v>21502</v>
      </c>
      <c r="C6876" t="s">
        <v>21503</v>
      </c>
      <c r="D6876" t="s">
        <v>21504</v>
      </c>
      <c r="E6876">
        <v>21</v>
      </c>
      <c r="F6876" t="str">
        <f>HYPERLINK("https://github.com/aws-amplify/amplify-android/issues/599", "show")</f>
        <v>show</v>
      </c>
      <c r="G6876" t="str">
        <f>HYPERLINK("https://github.com/aws-amplify/amplify-android", "show")</f>
        <v>show</v>
      </c>
      <c r="H6876" t="str">
        <f>HYPERLINK("https://github.com/aws-amplify/amplify-android/releases", "show")</f>
        <v>show</v>
      </c>
      <c r="I6876">
        <v>1</v>
      </c>
      <c r="J6876">
        <v>1</v>
      </c>
      <c r="K6876">
        <v>0</v>
      </c>
      <c r="L6876">
        <v>0</v>
      </c>
      <c r="M6876" t="s">
        <v>48</v>
      </c>
    </row>
    <row r="6877" spans="1:13" hidden="1" x14ac:dyDescent="0.15">
      <c r="A6877" t="s">
        <v>21505</v>
      </c>
      <c r="B6877" t="s">
        <v>21506</v>
      </c>
      <c r="C6877" t="s">
        <v>21507</v>
      </c>
      <c r="D6877" t="s">
        <v>21504</v>
      </c>
      <c r="E6877">
        <v>0</v>
      </c>
      <c r="F6877" t="str">
        <f>HYPERLINK("https://github.com/open-webrtc-toolkit/owt-client-android/issues/225", "show")</f>
        <v>show</v>
      </c>
      <c r="G6877" t="str">
        <f>HYPERLINK("https://github.com/open-webrtc-toolkit/owt-client-android", "show")</f>
        <v>show</v>
      </c>
      <c r="H6877" t="str">
        <f>HYPERLINK("https://github.com/open-webrtc-toolkit/owt-client-android/releases", "show")</f>
        <v>show</v>
      </c>
      <c r="I6877">
        <v>0</v>
      </c>
      <c r="J6877">
        <v>0</v>
      </c>
      <c r="K6877">
        <v>0</v>
      </c>
      <c r="L6877">
        <v>0</v>
      </c>
      <c r="M6877" t="s">
        <v>43</v>
      </c>
    </row>
    <row r="6878" spans="1:13" hidden="1" x14ac:dyDescent="0.15">
      <c r="A6878" t="s">
        <v>21508</v>
      </c>
      <c r="B6878" t="s">
        <v>21509</v>
      </c>
      <c r="C6878" t="s">
        <v>21510</v>
      </c>
      <c r="D6878" t="s">
        <v>21504</v>
      </c>
      <c r="E6878">
        <v>0</v>
      </c>
      <c r="F6878" t="str">
        <f>HYPERLINK("https://github.com/nextcloud/android/issues/6357", "show")</f>
        <v>show</v>
      </c>
      <c r="G6878" t="str">
        <f>HYPERLINK("https://github.com/nextcloud/android", "show")</f>
        <v>show</v>
      </c>
      <c r="H6878" t="str">
        <f>HYPERLINK("https://github.com/nextcloud/android/releases", "show")</f>
        <v>show</v>
      </c>
      <c r="I6878">
        <v>1</v>
      </c>
      <c r="J6878">
        <v>0</v>
      </c>
      <c r="K6878">
        <v>1</v>
      </c>
      <c r="L6878">
        <v>0</v>
      </c>
      <c r="M6878" t="s">
        <v>64</v>
      </c>
    </row>
    <row r="6879" spans="1:13" hidden="1" x14ac:dyDescent="0.15">
      <c r="A6879" t="s">
        <v>21511</v>
      </c>
      <c r="B6879" t="s">
        <v>21512</v>
      </c>
      <c r="C6879" t="s">
        <v>21513</v>
      </c>
      <c r="D6879" t="s">
        <v>21514</v>
      </c>
      <c r="E6879">
        <v>96</v>
      </c>
      <c r="F6879" t="str">
        <f>HYPERLINK("https://github.com/zoho/salesiq-mobilisten-android-sample/issues/6", "show")</f>
        <v>show</v>
      </c>
      <c r="G6879" t="str">
        <f>HYPERLINK("https://github.com/zoho/salesiq-mobilisten-android-sample", "show")</f>
        <v>show</v>
      </c>
      <c r="H6879" t="str">
        <f>HYPERLINK("https://github.com/zoho/salesiq-mobilisten-android-sample/releases", "show")</f>
        <v>show</v>
      </c>
      <c r="I6879">
        <v>0</v>
      </c>
      <c r="J6879">
        <v>0</v>
      </c>
      <c r="K6879">
        <v>1</v>
      </c>
      <c r="L6879">
        <v>0</v>
      </c>
      <c r="M6879" t="s">
        <v>122</v>
      </c>
    </row>
    <row r="6880" spans="1:13" hidden="1" x14ac:dyDescent="0.15">
      <c r="A6880" t="s">
        <v>21515</v>
      </c>
      <c r="B6880" t="s">
        <v>21516</v>
      </c>
      <c r="C6880" t="s">
        <v>21517</v>
      </c>
      <c r="D6880" t="s">
        <v>21514</v>
      </c>
      <c r="E6880">
        <v>6</v>
      </c>
      <c r="F6880" t="str">
        <f>HYPERLINK("https://github.com/Inversion-NL/Toon-Android/issues/29", "show")</f>
        <v>show</v>
      </c>
      <c r="G6880" t="str">
        <f>HYPERLINK("https://github.com/Inversion-NL/Toon-Android", "show")</f>
        <v>show</v>
      </c>
      <c r="H6880" t="str">
        <f>HYPERLINK("https://github.com/Inversion-NL/Toon-Android/releases", "show")</f>
        <v>show</v>
      </c>
      <c r="I6880">
        <v>1</v>
      </c>
      <c r="J6880">
        <v>0</v>
      </c>
      <c r="K6880">
        <v>1</v>
      </c>
      <c r="L6880">
        <v>0</v>
      </c>
      <c r="M6880" t="s">
        <v>64</v>
      </c>
    </row>
    <row r="6881" spans="1:13" hidden="1" x14ac:dyDescent="0.15">
      <c r="A6881" t="s">
        <v>21518</v>
      </c>
      <c r="B6881" t="s">
        <v>21519</v>
      </c>
      <c r="C6881" t="s">
        <v>21520</v>
      </c>
      <c r="D6881" t="s">
        <v>21514</v>
      </c>
      <c r="E6881">
        <v>6</v>
      </c>
      <c r="F6881" t="str">
        <f>HYPERLINK("https://github.com/Inversion-NL/Toon-Android/issues/28", "show")</f>
        <v>show</v>
      </c>
      <c r="G6881" t="str">
        <f>HYPERLINK("https://github.com/Inversion-NL/Toon-Android", "show")</f>
        <v>show</v>
      </c>
      <c r="H6881" t="str">
        <f>HYPERLINK("https://github.com/Inversion-NL/Toon-Android/releases", "show")</f>
        <v>show</v>
      </c>
      <c r="I6881">
        <v>1</v>
      </c>
      <c r="J6881">
        <v>0</v>
      </c>
      <c r="K6881">
        <v>1</v>
      </c>
      <c r="L6881">
        <v>0</v>
      </c>
      <c r="M6881" t="s">
        <v>64</v>
      </c>
    </row>
    <row r="6882" spans="1:13" hidden="1" x14ac:dyDescent="0.15">
      <c r="A6882" t="s">
        <v>21521</v>
      </c>
      <c r="B6882" t="s">
        <v>21522</v>
      </c>
      <c r="C6882" t="s">
        <v>21523</v>
      </c>
      <c r="D6882" t="s">
        <v>21514</v>
      </c>
      <c r="E6882">
        <v>6</v>
      </c>
      <c r="F6882" t="str">
        <f>HYPERLINK("https://github.com/Inversion-NL/Toon-Android/issues/27", "show")</f>
        <v>show</v>
      </c>
      <c r="G6882" t="str">
        <f>HYPERLINK("https://github.com/Inversion-NL/Toon-Android", "show")</f>
        <v>show</v>
      </c>
      <c r="H6882" t="str">
        <f>HYPERLINK("https://github.com/Inversion-NL/Toon-Android/releases", "show")</f>
        <v>show</v>
      </c>
      <c r="I6882">
        <v>1</v>
      </c>
      <c r="J6882">
        <v>0</v>
      </c>
      <c r="K6882">
        <v>1</v>
      </c>
      <c r="L6882">
        <v>0</v>
      </c>
      <c r="M6882" t="s">
        <v>64</v>
      </c>
    </row>
    <row r="6883" spans="1:13" hidden="1" x14ac:dyDescent="0.15">
      <c r="A6883" t="s">
        <v>21524</v>
      </c>
      <c r="B6883" t="s">
        <v>21525</v>
      </c>
      <c r="C6883" t="s">
        <v>21526</v>
      </c>
      <c r="D6883" t="s">
        <v>21514</v>
      </c>
      <c r="E6883">
        <v>0</v>
      </c>
      <c r="F6883" t="str">
        <f>HYPERLINK("https://github.com/Anuken/Mindustry/issues/2186", "show")</f>
        <v>show</v>
      </c>
      <c r="G6883" t="str">
        <f>HYPERLINK("https://github.com/Anuken/Mindustry", "show")</f>
        <v>show</v>
      </c>
      <c r="H6883" t="str">
        <f>HYPERLINK("https://github.com/Anuken/Mindustry/releases", "show")</f>
        <v>show</v>
      </c>
      <c r="I6883">
        <v>0</v>
      </c>
      <c r="J6883">
        <v>0</v>
      </c>
      <c r="K6883">
        <v>0</v>
      </c>
      <c r="L6883">
        <v>0</v>
      </c>
      <c r="M6883" t="s">
        <v>43</v>
      </c>
    </row>
    <row r="6884" spans="1:13" hidden="1" x14ac:dyDescent="0.15">
      <c r="A6884" t="s">
        <v>21527</v>
      </c>
      <c r="B6884" t="s">
        <v>21528</v>
      </c>
      <c r="D6884" t="s">
        <v>21529</v>
      </c>
      <c r="E6884">
        <v>10</v>
      </c>
      <c r="F6884" t="str">
        <f>HYPERLINK("https://github.com/CsabaConsulting/ARPhysics/issues/2", "show")</f>
        <v>show</v>
      </c>
      <c r="G6884" t="str">
        <f>HYPERLINK("https://github.com/CsabaConsulting/ARPhysics", "show")</f>
        <v>show</v>
      </c>
      <c r="H6884" t="str">
        <f>HYPERLINK("https://github.com/CsabaConsulting/ARPhysics/releases", "show")</f>
        <v>show</v>
      </c>
      <c r="I6884">
        <v>1</v>
      </c>
      <c r="J6884">
        <v>0</v>
      </c>
      <c r="K6884">
        <v>0</v>
      </c>
      <c r="L6884">
        <v>0</v>
      </c>
      <c r="M6884" t="s">
        <v>17</v>
      </c>
    </row>
    <row r="6885" spans="1:13" hidden="1" x14ac:dyDescent="0.15">
      <c r="A6885" t="s">
        <v>21530</v>
      </c>
      <c r="B6885" t="s">
        <v>21531</v>
      </c>
      <c r="C6885" t="s">
        <v>21532</v>
      </c>
      <c r="D6885" t="s">
        <v>21529</v>
      </c>
      <c r="E6885">
        <v>10</v>
      </c>
      <c r="F6885" t="str">
        <f>HYPERLINK("https://github.com/Dar9586/NClientV2/issues/173", "show")</f>
        <v>show</v>
      </c>
      <c r="G6885" t="str">
        <f>HYPERLINK("https://github.com/Dar9586/NClientV2", "show")</f>
        <v>show</v>
      </c>
      <c r="H6885" t="str">
        <f>HYPERLINK("https://github.com/Dar9586/NClientV2/releases", "show")</f>
        <v>show</v>
      </c>
      <c r="I6885">
        <v>1</v>
      </c>
      <c r="J6885">
        <v>0</v>
      </c>
      <c r="K6885">
        <v>0</v>
      </c>
      <c r="L6885">
        <v>0</v>
      </c>
      <c r="M6885" t="s">
        <v>17</v>
      </c>
    </row>
    <row r="6886" spans="1:13" hidden="1" x14ac:dyDescent="0.15">
      <c r="A6886" t="s">
        <v>21533</v>
      </c>
      <c r="B6886" t="s">
        <v>21534</v>
      </c>
      <c r="C6886" t="s">
        <v>21535</v>
      </c>
      <c r="D6886" t="s">
        <v>21536</v>
      </c>
      <c r="E6886">
        <v>0</v>
      </c>
      <c r="F6886" t="str">
        <f>HYPERLINK("https://github.com/Anuken/Mindustry/issues/2180", "show")</f>
        <v>show</v>
      </c>
      <c r="G6886" t="str">
        <f>HYPERLINK("https://github.com/Anuken/Mindustry", "show")</f>
        <v>show</v>
      </c>
      <c r="H6886" t="str">
        <f>HYPERLINK("https://github.com/Anuken/Mindustry/releases", "show")</f>
        <v>show</v>
      </c>
      <c r="I6886">
        <v>0</v>
      </c>
      <c r="J6886">
        <v>0</v>
      </c>
      <c r="K6886">
        <v>0</v>
      </c>
      <c r="L6886">
        <v>1</v>
      </c>
      <c r="M6886" t="s">
        <v>581</v>
      </c>
    </row>
    <row r="6887" spans="1:13" hidden="1" x14ac:dyDescent="0.15">
      <c r="A6887" t="s">
        <v>21537</v>
      </c>
      <c r="B6887" t="s">
        <v>21538</v>
      </c>
      <c r="C6887" t="s">
        <v>21539</v>
      </c>
      <c r="D6887" t="s">
        <v>21540</v>
      </c>
      <c r="E6887">
        <v>2</v>
      </c>
      <c r="F6887" t="str">
        <f>HYPERLINK("https://github.com/ankidroid/Anki-Android/issues/6516", "show")</f>
        <v>show</v>
      </c>
      <c r="G6887" t="str">
        <f>HYPERLINK("https://github.com/ankidroid/Anki-Android", "show")</f>
        <v>show</v>
      </c>
      <c r="H6887" t="str">
        <f>HYPERLINK("https://github.com/ankidroid/Anki-Android/releases", "show")</f>
        <v>show</v>
      </c>
      <c r="I6887">
        <v>1</v>
      </c>
      <c r="J6887">
        <v>0</v>
      </c>
      <c r="K6887">
        <v>0</v>
      </c>
      <c r="L6887">
        <v>0</v>
      </c>
      <c r="M6887" t="s">
        <v>17</v>
      </c>
    </row>
    <row r="6888" spans="1:13" hidden="1" x14ac:dyDescent="0.15">
      <c r="A6888" t="s">
        <v>21541</v>
      </c>
      <c r="B6888" t="s">
        <v>21542</v>
      </c>
      <c r="C6888" t="s">
        <v>21543</v>
      </c>
      <c r="D6888" t="s">
        <v>21540</v>
      </c>
      <c r="E6888">
        <v>0</v>
      </c>
      <c r="F6888" t="str">
        <f>HYPERLINK("https://github.com/cgeo/cgeo/issues/8481", "show")</f>
        <v>show</v>
      </c>
      <c r="G6888" t="str">
        <f>HYPERLINK("https://github.com/cgeo/cgeo", "show")</f>
        <v>show</v>
      </c>
      <c r="H6888" t="str">
        <f>HYPERLINK("https://github.com/cgeo/cgeo/releases", "show")</f>
        <v>show</v>
      </c>
      <c r="I6888">
        <v>1</v>
      </c>
      <c r="J6888">
        <v>0</v>
      </c>
      <c r="K6888">
        <v>0</v>
      </c>
      <c r="L6888">
        <v>0</v>
      </c>
      <c r="M6888" t="s">
        <v>17</v>
      </c>
    </row>
    <row r="6889" spans="1:13" hidden="1" x14ac:dyDescent="0.15">
      <c r="A6889" t="s">
        <v>21544</v>
      </c>
      <c r="B6889" t="s">
        <v>21545</v>
      </c>
      <c r="C6889" t="s">
        <v>21546</v>
      </c>
      <c r="D6889" t="s">
        <v>21540</v>
      </c>
      <c r="E6889">
        <v>1</v>
      </c>
      <c r="F6889" t="str">
        <f>HYPERLINK("https://github.com/cgeo/cgeo/issues/8480", "show")</f>
        <v>show</v>
      </c>
      <c r="G6889" t="str">
        <f>HYPERLINK("https://github.com/cgeo/cgeo", "show")</f>
        <v>show</v>
      </c>
      <c r="H6889" t="str">
        <f>HYPERLINK("https://github.com/cgeo/cgeo/releases", "show")</f>
        <v>show</v>
      </c>
      <c r="I6889">
        <v>1</v>
      </c>
      <c r="J6889">
        <v>0</v>
      </c>
      <c r="K6889">
        <v>0</v>
      </c>
      <c r="L6889">
        <v>0</v>
      </c>
      <c r="M6889" t="s">
        <v>17</v>
      </c>
    </row>
    <row r="6890" spans="1:13" hidden="1" x14ac:dyDescent="0.15">
      <c r="A6890" t="s">
        <v>21547</v>
      </c>
      <c r="B6890" t="s">
        <v>21548</v>
      </c>
      <c r="C6890" t="s">
        <v>21549</v>
      </c>
      <c r="D6890" t="s">
        <v>21540</v>
      </c>
      <c r="E6890">
        <v>113</v>
      </c>
      <c r="F6890" t="str">
        <f>HYPERLINK("https://github.com/TeamNewPipe/NewPipe/issues/3799", "show")</f>
        <v>show</v>
      </c>
      <c r="G6890" t="str">
        <f>HYPERLINK("https://github.com/TeamNewPipe/NewPipe", "show")</f>
        <v>show</v>
      </c>
      <c r="H6890" t="str">
        <f>HYPERLINK("https://github.com/TeamNewPipe/NewPipe/releases", "show")</f>
        <v>show</v>
      </c>
      <c r="I6890">
        <v>1</v>
      </c>
      <c r="J6890">
        <v>1</v>
      </c>
      <c r="K6890">
        <v>0</v>
      </c>
      <c r="L6890">
        <v>0</v>
      </c>
      <c r="M6890" t="s">
        <v>48</v>
      </c>
    </row>
    <row r="6891" spans="1:13" hidden="1" x14ac:dyDescent="0.15">
      <c r="A6891" t="s">
        <v>21550</v>
      </c>
      <c r="B6891" t="s">
        <v>21551</v>
      </c>
      <c r="D6891" t="s">
        <v>21552</v>
      </c>
      <c r="E6891">
        <v>4</v>
      </c>
      <c r="F6891" t="str">
        <f>HYPERLINK("https://github.com/QuranHub/quranhub-android/issues/18", "show")</f>
        <v>show</v>
      </c>
      <c r="G6891" t="str">
        <f>HYPERLINK("https://github.com/QuranHub/quranhub-android", "show")</f>
        <v>show</v>
      </c>
      <c r="H6891" t="str">
        <f>HYPERLINK("https://github.com/QuranHub/quranhub-android/releases", "show")</f>
        <v>show</v>
      </c>
      <c r="I6891">
        <v>1</v>
      </c>
      <c r="J6891">
        <v>0</v>
      </c>
      <c r="K6891">
        <v>0</v>
      </c>
      <c r="L6891">
        <v>0</v>
      </c>
      <c r="M6891" t="s">
        <v>17</v>
      </c>
    </row>
    <row r="6892" spans="1:13" hidden="1" x14ac:dyDescent="0.15">
      <c r="A6892" t="s">
        <v>21553</v>
      </c>
      <c r="B6892" t="s">
        <v>21554</v>
      </c>
      <c r="C6892" t="s">
        <v>21555</v>
      </c>
      <c r="D6892" t="s">
        <v>21552</v>
      </c>
      <c r="E6892">
        <v>73</v>
      </c>
      <c r="F6892" t="str">
        <f>HYPERLINK("https://github.com/GoogleCloudPlatform/fda-mystudies/issues/530", "show")</f>
        <v>show</v>
      </c>
      <c r="G6892" t="str">
        <f>HYPERLINK("https://github.com/GoogleCloudPlatform/fda-mystudies", "show")</f>
        <v>show</v>
      </c>
      <c r="H6892" t="str">
        <f>HYPERLINK("https://github.com/GoogleCloudPlatform/fda-mystudies/releases", "show")</f>
        <v>show</v>
      </c>
      <c r="I6892">
        <v>0</v>
      </c>
      <c r="J6892">
        <v>0</v>
      </c>
      <c r="K6892">
        <v>0</v>
      </c>
      <c r="L6892">
        <v>0</v>
      </c>
      <c r="M6892" t="s">
        <v>43</v>
      </c>
    </row>
    <row r="6893" spans="1:13" hidden="1" x14ac:dyDescent="0.15">
      <c r="A6893" t="s">
        <v>21556</v>
      </c>
      <c r="B6893" t="s">
        <v>21557</v>
      </c>
      <c r="C6893" t="s">
        <v>21558</v>
      </c>
      <c r="D6893" t="s">
        <v>21552</v>
      </c>
      <c r="E6893">
        <v>47</v>
      </c>
      <c r="F6893" t="str">
        <f>HYPERLINK("https://github.com/Azure/azure-iot-sdk-java/issues/817", "show")</f>
        <v>show</v>
      </c>
      <c r="G6893" t="str">
        <f>HYPERLINK("https://github.com/Azure/azure-iot-sdk-java", "show")</f>
        <v>show</v>
      </c>
      <c r="H6893" t="str">
        <f>HYPERLINK("https://github.com/Azure/azure-iot-sdk-java/releases", "show")</f>
        <v>show</v>
      </c>
      <c r="I6893">
        <v>0</v>
      </c>
      <c r="J6893">
        <v>0</v>
      </c>
      <c r="K6893">
        <v>1</v>
      </c>
      <c r="L6893">
        <v>0</v>
      </c>
      <c r="M6893" t="s">
        <v>122</v>
      </c>
    </row>
    <row r="6894" spans="1:13" hidden="1" x14ac:dyDescent="0.15">
      <c r="A6894" t="s">
        <v>21559</v>
      </c>
      <c r="B6894" t="s">
        <v>21560</v>
      </c>
      <c r="D6894" t="s">
        <v>21552</v>
      </c>
      <c r="E6894">
        <v>4</v>
      </c>
      <c r="F6894" t="str">
        <f>HYPERLINK("https://github.com/QuranHub/quranhub-android/issues/14", "show")</f>
        <v>show</v>
      </c>
      <c r="G6894" t="str">
        <f>HYPERLINK("https://github.com/QuranHub/quranhub-android", "show")</f>
        <v>show</v>
      </c>
      <c r="H6894" t="str">
        <f>HYPERLINK("https://github.com/QuranHub/quranhub-android/releases", "show")</f>
        <v>show</v>
      </c>
      <c r="I6894">
        <v>1</v>
      </c>
      <c r="J6894">
        <v>0</v>
      </c>
      <c r="K6894">
        <v>0</v>
      </c>
      <c r="L6894">
        <v>0</v>
      </c>
      <c r="M6894" t="s">
        <v>17</v>
      </c>
    </row>
    <row r="6895" spans="1:13" hidden="1" x14ac:dyDescent="0.15">
      <c r="A6895" t="s">
        <v>21561</v>
      </c>
      <c r="B6895" t="s">
        <v>21562</v>
      </c>
      <c r="C6895" t="s">
        <v>21563</v>
      </c>
      <c r="D6895" t="s">
        <v>21552</v>
      </c>
      <c r="E6895">
        <v>0</v>
      </c>
      <c r="F6895" t="str">
        <f>HYPERLINK("https://github.com/Anuken/Mindustry/issues/2176", "show")</f>
        <v>show</v>
      </c>
      <c r="G6895" t="str">
        <f>HYPERLINK("https://github.com/Anuken/Mindustry", "show")</f>
        <v>show</v>
      </c>
      <c r="H6895" t="str">
        <f>HYPERLINK("https://github.com/Anuken/Mindustry/releases", "show")</f>
        <v>show</v>
      </c>
      <c r="I6895">
        <v>0</v>
      </c>
      <c r="J6895">
        <v>0</v>
      </c>
      <c r="K6895">
        <v>0</v>
      </c>
      <c r="L6895">
        <v>0</v>
      </c>
      <c r="M6895" t="s">
        <v>43</v>
      </c>
    </row>
    <row r="6896" spans="1:13" hidden="1" x14ac:dyDescent="0.15">
      <c r="A6896" t="s">
        <v>21564</v>
      </c>
      <c r="B6896" t="s">
        <v>21565</v>
      </c>
      <c r="C6896" t="s">
        <v>21566</v>
      </c>
      <c r="D6896" t="s">
        <v>21552</v>
      </c>
      <c r="E6896">
        <v>2</v>
      </c>
      <c r="F6896" t="str">
        <f>HYPERLINK("https://github.com/Roaim/DTBazar/issues/43", "show")</f>
        <v>show</v>
      </c>
      <c r="G6896" t="str">
        <f>HYPERLINK("https://github.com/Roaim/DTBazar", "show")</f>
        <v>show</v>
      </c>
      <c r="H6896" t="str">
        <f>HYPERLINK("https://github.com/Roaim/DTBazar/releases", "show")</f>
        <v>show</v>
      </c>
      <c r="I6896">
        <v>1</v>
      </c>
      <c r="J6896">
        <v>1</v>
      </c>
      <c r="K6896">
        <v>1</v>
      </c>
      <c r="L6896">
        <v>0</v>
      </c>
      <c r="M6896" t="s">
        <v>59</v>
      </c>
    </row>
    <row r="6897" spans="1:13" hidden="1" x14ac:dyDescent="0.15">
      <c r="A6897" t="s">
        <v>21567</v>
      </c>
      <c r="B6897" t="s">
        <v>21568</v>
      </c>
      <c r="C6897" t="s">
        <v>21569</v>
      </c>
      <c r="D6897" t="s">
        <v>21552</v>
      </c>
      <c r="E6897">
        <v>0</v>
      </c>
      <c r="F6897" t="str">
        <f>HYPERLINK("https://github.com/Anuken/Mindustry/issues/2173", "show")</f>
        <v>show</v>
      </c>
      <c r="G6897" t="str">
        <f>HYPERLINK("https://github.com/Anuken/Mindustry", "show")</f>
        <v>show</v>
      </c>
      <c r="H6897" t="str">
        <f>HYPERLINK("https://github.com/Anuken/Mindustry/releases", "show")</f>
        <v>show</v>
      </c>
      <c r="I6897">
        <v>1</v>
      </c>
      <c r="J6897">
        <v>0</v>
      </c>
      <c r="K6897">
        <v>0</v>
      </c>
      <c r="L6897">
        <v>0</v>
      </c>
      <c r="M6897" t="s">
        <v>17</v>
      </c>
    </row>
    <row r="6898" spans="1:13" hidden="1" x14ac:dyDescent="0.15">
      <c r="A6898" t="s">
        <v>21570</v>
      </c>
      <c r="B6898" t="s">
        <v>21571</v>
      </c>
      <c r="C6898" t="s">
        <v>21572</v>
      </c>
      <c r="D6898" t="s">
        <v>21552</v>
      </c>
      <c r="E6898">
        <v>82</v>
      </c>
      <c r="F6898" t="str">
        <f>HYPERLINK("https://github.com/TeamNewPipe/NewPipe/issues/3794", "show")</f>
        <v>show</v>
      </c>
      <c r="G6898" t="str">
        <f>HYPERLINK("https://github.com/TeamNewPipe/NewPipe", "show")</f>
        <v>show</v>
      </c>
      <c r="H6898" t="str">
        <f>HYPERLINK("https://github.com/TeamNewPipe/NewPipe/releases", "show")</f>
        <v>show</v>
      </c>
      <c r="I6898">
        <v>1</v>
      </c>
      <c r="J6898">
        <v>1</v>
      </c>
      <c r="K6898">
        <v>0</v>
      </c>
      <c r="L6898">
        <v>0</v>
      </c>
      <c r="M6898" t="s">
        <v>48</v>
      </c>
    </row>
    <row r="6899" spans="1:13" hidden="1" x14ac:dyDescent="0.15">
      <c r="A6899" t="s">
        <v>21573</v>
      </c>
      <c r="B6899" t="s">
        <v>21574</v>
      </c>
      <c r="C6899" t="s">
        <v>21575</v>
      </c>
      <c r="D6899" t="s">
        <v>21576</v>
      </c>
      <c r="E6899">
        <v>5</v>
      </c>
      <c r="F6899" t="str">
        <f>HYPERLINK("https://github.com/twilio/voice-quickstart-android/issues/352", "show")</f>
        <v>show</v>
      </c>
      <c r="G6899" t="str">
        <f>HYPERLINK("https://github.com/twilio/voice-quickstart-android", "show")</f>
        <v>show</v>
      </c>
      <c r="H6899" t="str">
        <f>HYPERLINK("https://github.com/twilio/voice-quickstart-android/releases", "show")</f>
        <v>show</v>
      </c>
      <c r="I6899">
        <v>1</v>
      </c>
      <c r="J6899">
        <v>1</v>
      </c>
      <c r="K6899">
        <v>1</v>
      </c>
      <c r="L6899">
        <v>0</v>
      </c>
      <c r="M6899" t="s">
        <v>59</v>
      </c>
    </row>
    <row r="6900" spans="1:13" hidden="1" x14ac:dyDescent="0.15">
      <c r="A6900" t="s">
        <v>21577</v>
      </c>
      <c r="B6900" t="s">
        <v>21578</v>
      </c>
      <c r="C6900" t="s">
        <v>21579</v>
      </c>
      <c r="D6900" t="s">
        <v>21576</v>
      </c>
      <c r="E6900">
        <v>0</v>
      </c>
      <c r="F6900" t="str">
        <f>HYPERLINK("https://github.com/iNPUTmice/Conversations/issues/3795", "show")</f>
        <v>show</v>
      </c>
      <c r="G6900" t="str">
        <f>HYPERLINK("https://github.com/iNPUTmice/Conversations", "show")</f>
        <v>show</v>
      </c>
      <c r="H6900" t="str">
        <f>HYPERLINK("https://github.com/iNPUTmice/Conversations/releases", "show")</f>
        <v>show</v>
      </c>
      <c r="I6900">
        <v>1</v>
      </c>
      <c r="J6900">
        <v>0</v>
      </c>
      <c r="K6900">
        <v>1</v>
      </c>
      <c r="L6900">
        <v>0</v>
      </c>
      <c r="M6900" t="s">
        <v>64</v>
      </c>
    </row>
    <row r="6901" spans="1:13" hidden="1" x14ac:dyDescent="0.15">
      <c r="A6901" t="s">
        <v>21580</v>
      </c>
      <c r="B6901" t="s">
        <v>21581</v>
      </c>
      <c r="C6901" t="s">
        <v>21582</v>
      </c>
      <c r="D6901" t="s">
        <v>21576</v>
      </c>
      <c r="E6901">
        <v>25</v>
      </c>
      <c r="F6901" t="str">
        <f>HYPERLINK("https://github.com/patzly/grocy-android/issues/27", "show")</f>
        <v>show</v>
      </c>
      <c r="G6901" t="str">
        <f>HYPERLINK("https://github.com/patzly/grocy-android", "show")</f>
        <v>show</v>
      </c>
      <c r="H6901" t="str">
        <f>HYPERLINK("https://github.com/patzly/grocy-android/releases", "show")</f>
        <v>show</v>
      </c>
      <c r="I6901">
        <v>1</v>
      </c>
      <c r="J6901">
        <v>0</v>
      </c>
      <c r="K6901">
        <v>0</v>
      </c>
      <c r="L6901">
        <v>0</v>
      </c>
      <c r="M6901" t="s">
        <v>17</v>
      </c>
    </row>
    <row r="6902" spans="1:13" x14ac:dyDescent="0.15">
      <c r="A6902" t="s">
        <v>21583</v>
      </c>
      <c r="B6902" t="s">
        <v>21584</v>
      </c>
      <c r="C6902" t="s">
        <v>21585</v>
      </c>
      <c r="D6902" t="s">
        <v>21576</v>
      </c>
      <c r="E6902">
        <v>0</v>
      </c>
      <c r="F6902" t="str">
        <f>HYPERLINK("https://github.com/Anuken/Mindustry/issues/2172", "show")</f>
        <v>show</v>
      </c>
      <c r="G6902" t="str">
        <f>HYPERLINK("https://github.com/Anuken/Mindustry", "show")</f>
        <v>show</v>
      </c>
      <c r="H6902" t="str">
        <f>HYPERLINK("https://github.com/Anuken/Mindustry/releases", "show")</f>
        <v>show</v>
      </c>
      <c r="I6902">
        <v>0</v>
      </c>
      <c r="J6902">
        <v>1</v>
      </c>
      <c r="K6902">
        <v>0</v>
      </c>
      <c r="L6902">
        <v>0</v>
      </c>
      <c r="M6902" t="s">
        <v>139</v>
      </c>
    </row>
    <row r="6903" spans="1:13" hidden="1" x14ac:dyDescent="0.15">
      <c r="A6903" t="s">
        <v>21586</v>
      </c>
      <c r="B6903" t="s">
        <v>21587</v>
      </c>
      <c r="C6903" t="s">
        <v>21588</v>
      </c>
      <c r="D6903" t="s">
        <v>21589</v>
      </c>
      <c r="E6903">
        <v>329</v>
      </c>
      <c r="F6903" t="str">
        <f>HYPERLINK("https://github.com/inaturalist/iNaturalistAndroid/issues/848", "show")</f>
        <v>show</v>
      </c>
      <c r="G6903" t="str">
        <f>HYPERLINK("https://github.com/inaturalist/iNaturalistAndroid", "show")</f>
        <v>show</v>
      </c>
      <c r="H6903" t="str">
        <f>HYPERLINK("https://github.com/inaturalist/iNaturalistAndroid/releases", "show")</f>
        <v>show</v>
      </c>
      <c r="I6903">
        <v>1</v>
      </c>
      <c r="J6903">
        <v>0</v>
      </c>
      <c r="K6903">
        <v>0</v>
      </c>
      <c r="L6903">
        <v>0</v>
      </c>
      <c r="M6903" t="s">
        <v>17</v>
      </c>
    </row>
    <row r="6904" spans="1:13" hidden="1" x14ac:dyDescent="0.15">
      <c r="A6904" t="s">
        <v>21590</v>
      </c>
      <c r="B6904" t="s">
        <v>21591</v>
      </c>
      <c r="C6904" t="s">
        <v>21592</v>
      </c>
      <c r="D6904" t="s">
        <v>21589</v>
      </c>
      <c r="E6904">
        <v>357</v>
      </c>
      <c r="F6904" t="str">
        <f>HYPERLINK("https://github.com/nextcloud/talk-android/issues/867", "show")</f>
        <v>show</v>
      </c>
      <c r="G6904" t="str">
        <f>HYPERLINK("https://github.com/nextcloud/talk-android", "show")</f>
        <v>show</v>
      </c>
      <c r="H6904" t="str">
        <f>HYPERLINK("https://github.com/nextcloud/talk-android/releases", "show")</f>
        <v>show</v>
      </c>
      <c r="I6904">
        <v>1</v>
      </c>
      <c r="J6904">
        <v>0</v>
      </c>
      <c r="K6904">
        <v>1</v>
      </c>
      <c r="L6904">
        <v>0</v>
      </c>
      <c r="M6904" t="s">
        <v>64</v>
      </c>
    </row>
    <row r="6905" spans="1:13" hidden="1" x14ac:dyDescent="0.15">
      <c r="A6905" t="s">
        <v>21593</v>
      </c>
      <c r="B6905" t="s">
        <v>21594</v>
      </c>
      <c r="C6905" t="s">
        <v>21595</v>
      </c>
      <c r="D6905" t="s">
        <v>21589</v>
      </c>
      <c r="E6905">
        <v>52</v>
      </c>
      <c r="F6905" t="str">
        <f>HYPERLINK("https://github.com/nextcloud/android/issues/6308", "show")</f>
        <v>show</v>
      </c>
      <c r="G6905" t="str">
        <f>HYPERLINK("https://github.com/nextcloud/android", "show")</f>
        <v>show</v>
      </c>
      <c r="H6905" t="str">
        <f>HYPERLINK("https://github.com/nextcloud/android/releases", "show")</f>
        <v>show</v>
      </c>
      <c r="I6905">
        <v>1</v>
      </c>
      <c r="J6905">
        <v>1</v>
      </c>
      <c r="K6905">
        <v>1</v>
      </c>
      <c r="L6905">
        <v>0</v>
      </c>
      <c r="M6905" t="s">
        <v>59</v>
      </c>
    </row>
    <row r="6906" spans="1:13" hidden="1" x14ac:dyDescent="0.15">
      <c r="A6906" t="s">
        <v>21596</v>
      </c>
      <c r="B6906" t="s">
        <v>21597</v>
      </c>
      <c r="C6906" t="s">
        <v>21598</v>
      </c>
      <c r="D6906" t="s">
        <v>21589</v>
      </c>
      <c r="E6906">
        <v>29</v>
      </c>
      <c r="F6906" t="str">
        <f>HYPERLINK("https://github.com/aws-amplify/amplify-android/issues/581", "show")</f>
        <v>show</v>
      </c>
      <c r="G6906" t="str">
        <f>HYPERLINK("https://github.com/aws-amplify/amplify-android", "show")</f>
        <v>show</v>
      </c>
      <c r="H6906" t="str">
        <f>HYPERLINK("https://github.com/aws-amplify/amplify-android/releases", "show")</f>
        <v>show</v>
      </c>
      <c r="I6906">
        <v>1</v>
      </c>
      <c r="J6906">
        <v>0</v>
      </c>
      <c r="K6906">
        <v>1</v>
      </c>
      <c r="L6906">
        <v>0</v>
      </c>
      <c r="M6906" t="s">
        <v>64</v>
      </c>
    </row>
    <row r="6907" spans="1:13" hidden="1" x14ac:dyDescent="0.15">
      <c r="A6907" t="s">
        <v>21599</v>
      </c>
      <c r="B6907" t="s">
        <v>21600</v>
      </c>
      <c r="C6907" t="s">
        <v>21601</v>
      </c>
      <c r="D6907" t="s">
        <v>21602</v>
      </c>
      <c r="E6907">
        <v>2</v>
      </c>
      <c r="F6907" t="str">
        <f>HYPERLINK("https://github.com/nextcloud/android/issues/6305", "show")</f>
        <v>show</v>
      </c>
      <c r="G6907" t="str">
        <f>HYPERLINK("https://github.com/nextcloud/android", "show")</f>
        <v>show</v>
      </c>
      <c r="H6907" t="str">
        <f>HYPERLINK("https://github.com/nextcloud/android/releases", "show")</f>
        <v>show</v>
      </c>
      <c r="I6907">
        <v>0</v>
      </c>
      <c r="J6907">
        <v>1</v>
      </c>
      <c r="K6907">
        <v>1</v>
      </c>
      <c r="L6907">
        <v>0</v>
      </c>
      <c r="M6907" t="s">
        <v>699</v>
      </c>
    </row>
    <row r="6908" spans="1:13" hidden="1" x14ac:dyDescent="0.15">
      <c r="A6908" t="s">
        <v>21603</v>
      </c>
      <c r="B6908" t="s">
        <v>21604</v>
      </c>
      <c r="C6908" t="s">
        <v>21605</v>
      </c>
      <c r="D6908" t="s">
        <v>21602</v>
      </c>
      <c r="E6908">
        <v>3</v>
      </c>
      <c r="F6908" t="str">
        <f>HYPERLINK("https://github.com/react-native-camera/react-native-camera/issues/2873", "show")</f>
        <v>show</v>
      </c>
      <c r="G6908" t="str">
        <f>HYPERLINK("https://github.com/react-native-camera/react-native-camera", "show")</f>
        <v>show</v>
      </c>
      <c r="H6908" t="str">
        <f>HYPERLINK("https://github.com/react-native-camera/react-native-camera/releases", "show")</f>
        <v>show</v>
      </c>
      <c r="I6908">
        <v>1</v>
      </c>
      <c r="J6908">
        <v>0</v>
      </c>
      <c r="K6908">
        <v>0</v>
      </c>
      <c r="L6908">
        <v>0</v>
      </c>
      <c r="M6908" t="s">
        <v>17</v>
      </c>
    </row>
    <row r="6909" spans="1:13" hidden="1" x14ac:dyDescent="0.15">
      <c r="A6909" t="s">
        <v>21606</v>
      </c>
      <c r="B6909" t="s">
        <v>21607</v>
      </c>
      <c r="C6909" t="s">
        <v>21608</v>
      </c>
      <c r="D6909" t="s">
        <v>21602</v>
      </c>
      <c r="E6909">
        <v>234</v>
      </c>
      <c r="F6909" t="str">
        <f>HYPERLINK("https://github.com/opensrp/opensrp-client-reveal/issues/784", "show")</f>
        <v>show</v>
      </c>
      <c r="G6909" t="str">
        <f>HYPERLINK("https://github.com/opensrp/opensrp-client-reveal", "show")</f>
        <v>show</v>
      </c>
      <c r="H6909" t="str">
        <f>HYPERLINK("https://github.com/opensrp/opensrp-client-reveal/releases", "show")</f>
        <v>show</v>
      </c>
      <c r="I6909">
        <v>1</v>
      </c>
      <c r="J6909">
        <v>0</v>
      </c>
      <c r="K6909">
        <v>0</v>
      </c>
      <c r="L6909">
        <v>0</v>
      </c>
      <c r="M6909" t="s">
        <v>17</v>
      </c>
    </row>
    <row r="6910" spans="1:13" hidden="1" x14ac:dyDescent="0.15">
      <c r="A6910" t="s">
        <v>21609</v>
      </c>
      <c r="B6910" t="s">
        <v>21610</v>
      </c>
      <c r="C6910" t="s">
        <v>21611</v>
      </c>
      <c r="D6910" t="s">
        <v>21602</v>
      </c>
      <c r="E6910">
        <v>3</v>
      </c>
      <c r="F6910" t="str">
        <f>HYPERLINK("https://github.com/square/react-native-square-reader-sdk/issues/121", "show")</f>
        <v>show</v>
      </c>
      <c r="G6910" t="str">
        <f>HYPERLINK("https://github.com/square/react-native-square-reader-sdk", "show")</f>
        <v>show</v>
      </c>
      <c r="H6910" t="str">
        <f>HYPERLINK("https://github.com/square/react-native-square-reader-sdk/releases", "show")</f>
        <v>show</v>
      </c>
      <c r="I6910">
        <v>0</v>
      </c>
      <c r="J6910">
        <v>0</v>
      </c>
      <c r="K6910">
        <v>0</v>
      </c>
      <c r="L6910">
        <v>0</v>
      </c>
      <c r="M6910" t="s">
        <v>43</v>
      </c>
    </row>
    <row r="6911" spans="1:13" hidden="1" x14ac:dyDescent="0.15">
      <c r="A6911" t="s">
        <v>21612</v>
      </c>
      <c r="B6911" t="s">
        <v>21613</v>
      </c>
      <c r="C6911" t="s">
        <v>21614</v>
      </c>
      <c r="D6911" t="s">
        <v>21602</v>
      </c>
      <c r="E6911">
        <v>0</v>
      </c>
      <c r="F6911" t="str">
        <f>HYPERLINK("https://github.com/Blankj/AndroidUtilCode/issues/1261", "show")</f>
        <v>show</v>
      </c>
      <c r="G6911" t="str">
        <f>HYPERLINK("https://github.com/Blankj/AndroidUtilCode", "show")</f>
        <v>show</v>
      </c>
      <c r="H6911" t="str">
        <f>HYPERLINK("https://github.com/Blankj/AndroidUtilCode/releases", "show")</f>
        <v>show</v>
      </c>
      <c r="I6911">
        <v>0</v>
      </c>
      <c r="J6911">
        <v>0</v>
      </c>
      <c r="K6911">
        <v>1</v>
      </c>
      <c r="L6911">
        <v>0</v>
      </c>
      <c r="M6911" t="s">
        <v>122</v>
      </c>
    </row>
    <row r="6912" spans="1:13" hidden="1" x14ac:dyDescent="0.15">
      <c r="A6912" t="s">
        <v>21615</v>
      </c>
      <c r="B6912" t="s">
        <v>21616</v>
      </c>
      <c r="C6912" t="s">
        <v>21617</v>
      </c>
      <c r="D6912" t="s">
        <v>21602</v>
      </c>
      <c r="E6912">
        <v>1</v>
      </c>
      <c r="F6912" t="str">
        <f>HYPERLINK("https://github.com/frimtec/pikett-assist/issues/154", "show")</f>
        <v>show</v>
      </c>
      <c r="G6912" t="str">
        <f>HYPERLINK("https://github.com/frimtec/pikett-assist", "show")</f>
        <v>show</v>
      </c>
      <c r="H6912" t="str">
        <f>HYPERLINK("https://github.com/frimtec/pikett-assist/releases", "show")</f>
        <v>show</v>
      </c>
      <c r="I6912">
        <v>0</v>
      </c>
      <c r="J6912">
        <v>0</v>
      </c>
      <c r="K6912">
        <v>1</v>
      </c>
      <c r="L6912">
        <v>0</v>
      </c>
      <c r="M6912" t="s">
        <v>122</v>
      </c>
    </row>
    <row r="6913" spans="1:13" hidden="1" x14ac:dyDescent="0.15">
      <c r="A6913" t="s">
        <v>21618</v>
      </c>
      <c r="B6913" t="s">
        <v>21619</v>
      </c>
      <c r="C6913" t="s">
        <v>21620</v>
      </c>
      <c r="D6913" t="s">
        <v>21621</v>
      </c>
      <c r="E6913">
        <v>316</v>
      </c>
      <c r="F6913" t="str">
        <f>HYPERLINK("https://github.com/andremion/Louvre/issues/29", "show")</f>
        <v>show</v>
      </c>
      <c r="G6913" t="str">
        <f>HYPERLINK("https://github.com/andremion/Louvre", "show")</f>
        <v>show</v>
      </c>
      <c r="H6913" t="str">
        <f>HYPERLINK("https://github.com/andremion/Louvre/releases", "show")</f>
        <v>show</v>
      </c>
      <c r="I6913">
        <v>1</v>
      </c>
      <c r="J6913">
        <v>0</v>
      </c>
      <c r="K6913">
        <v>1</v>
      </c>
      <c r="L6913">
        <v>0</v>
      </c>
      <c r="M6913" t="s">
        <v>64</v>
      </c>
    </row>
    <row r="6914" spans="1:13" hidden="1" x14ac:dyDescent="0.15">
      <c r="A6914" t="s">
        <v>21622</v>
      </c>
      <c r="B6914" t="s">
        <v>21623</v>
      </c>
      <c r="C6914" t="s">
        <v>21624</v>
      </c>
      <c r="D6914" t="s">
        <v>21621</v>
      </c>
      <c r="E6914">
        <v>0</v>
      </c>
      <c r="F6914" t="str">
        <f>HYPERLINK("https://github.com/deltachat/deltachat-android/issues/1418", "show")</f>
        <v>show</v>
      </c>
      <c r="G6914" t="str">
        <f>HYPERLINK("https://github.com/deltachat/deltachat-android", "show")</f>
        <v>show</v>
      </c>
      <c r="H6914" t="str">
        <f>HYPERLINK("https://github.com/deltachat/deltachat-android/releases", "show")</f>
        <v>show</v>
      </c>
      <c r="I6914">
        <v>1</v>
      </c>
      <c r="J6914">
        <v>0</v>
      </c>
      <c r="K6914">
        <v>0</v>
      </c>
      <c r="L6914">
        <v>0</v>
      </c>
      <c r="M6914" t="s">
        <v>17</v>
      </c>
    </row>
    <row r="6915" spans="1:13" hidden="1" x14ac:dyDescent="0.15">
      <c r="A6915" t="s">
        <v>21625</v>
      </c>
      <c r="B6915" t="s">
        <v>21626</v>
      </c>
      <c r="C6915" t="s">
        <v>21627</v>
      </c>
      <c r="D6915" t="s">
        <v>21621</v>
      </c>
      <c r="E6915">
        <v>0</v>
      </c>
      <c r="F6915" t="str">
        <f>HYPERLINK("https://github.com/Anuken/Mindustry/issues/2167", "show")</f>
        <v>show</v>
      </c>
      <c r="G6915" t="str">
        <f>HYPERLINK("https://github.com/Anuken/Mindustry", "show")</f>
        <v>show</v>
      </c>
      <c r="H6915" t="str">
        <f>HYPERLINK("https://github.com/Anuken/Mindustry/releases", "show")</f>
        <v>show</v>
      </c>
      <c r="I6915">
        <v>1</v>
      </c>
      <c r="J6915">
        <v>1</v>
      </c>
      <c r="K6915">
        <v>1</v>
      </c>
      <c r="L6915">
        <v>0</v>
      </c>
      <c r="M6915" t="s">
        <v>59</v>
      </c>
    </row>
    <row r="6916" spans="1:13" hidden="1" x14ac:dyDescent="0.15">
      <c r="A6916" t="s">
        <v>21628</v>
      </c>
      <c r="B6916" t="s">
        <v>21629</v>
      </c>
      <c r="C6916" t="s">
        <v>21630</v>
      </c>
      <c r="D6916" t="s">
        <v>21621</v>
      </c>
      <c r="E6916">
        <v>0</v>
      </c>
      <c r="F6916" t="str">
        <f>HYPERLINK("https://github.com/cgeo/cgeo/issues/8451", "show")</f>
        <v>show</v>
      </c>
      <c r="G6916" t="str">
        <f>HYPERLINK("https://github.com/cgeo/cgeo", "show")</f>
        <v>show</v>
      </c>
      <c r="H6916" t="str">
        <f>HYPERLINK("https://github.com/cgeo/cgeo/releases", "show")</f>
        <v>show</v>
      </c>
      <c r="I6916">
        <v>1</v>
      </c>
      <c r="J6916">
        <v>0</v>
      </c>
      <c r="K6916">
        <v>0</v>
      </c>
      <c r="L6916">
        <v>0</v>
      </c>
      <c r="M6916" t="s">
        <v>17</v>
      </c>
    </row>
    <row r="6917" spans="1:13" hidden="1" x14ac:dyDescent="0.15">
      <c r="A6917" t="s">
        <v>21631</v>
      </c>
      <c r="B6917" t="s">
        <v>21632</v>
      </c>
      <c r="C6917" t="s">
        <v>21633</v>
      </c>
      <c r="D6917" t="s">
        <v>21634</v>
      </c>
      <c r="E6917">
        <v>87</v>
      </c>
      <c r="F6917" t="str">
        <f>HYPERLINK("https://github.com/TeamNewPipe/NewPipe/issues/3782", "show")</f>
        <v>show</v>
      </c>
      <c r="G6917" t="str">
        <f>HYPERLINK("https://github.com/TeamNewPipe/NewPipe", "show")</f>
        <v>show</v>
      </c>
      <c r="H6917" t="str">
        <f>HYPERLINK("https://github.com/TeamNewPipe/NewPipe/releases", "show")</f>
        <v>show</v>
      </c>
      <c r="I6917">
        <v>1</v>
      </c>
      <c r="J6917">
        <v>1</v>
      </c>
      <c r="K6917">
        <v>1</v>
      </c>
      <c r="L6917">
        <v>0</v>
      </c>
      <c r="M6917" t="s">
        <v>59</v>
      </c>
    </row>
    <row r="6918" spans="1:13" hidden="1" x14ac:dyDescent="0.15">
      <c r="A6918" t="s">
        <v>21635</v>
      </c>
      <c r="B6918" t="s">
        <v>21636</v>
      </c>
      <c r="C6918" t="s">
        <v>21637</v>
      </c>
      <c r="D6918" t="s">
        <v>21634</v>
      </c>
      <c r="E6918">
        <v>0</v>
      </c>
      <c r="F6918" t="str">
        <f>HYPERLINK("https://github.com/Anuken/Mindustry/issues/2161", "show")</f>
        <v>show</v>
      </c>
      <c r="G6918" t="str">
        <f>HYPERLINK("https://github.com/Anuken/Mindustry", "show")</f>
        <v>show</v>
      </c>
      <c r="H6918" t="str">
        <f>HYPERLINK("https://github.com/Anuken/Mindustry/releases", "show")</f>
        <v>show</v>
      </c>
      <c r="I6918">
        <v>1</v>
      </c>
      <c r="J6918">
        <v>0</v>
      </c>
      <c r="K6918">
        <v>1</v>
      </c>
      <c r="L6918">
        <v>0</v>
      </c>
      <c r="M6918" t="s">
        <v>64</v>
      </c>
    </row>
    <row r="6919" spans="1:13" hidden="1" x14ac:dyDescent="0.15">
      <c r="A6919" t="s">
        <v>21638</v>
      </c>
      <c r="B6919" t="s">
        <v>21639</v>
      </c>
      <c r="C6919" t="s">
        <v>21640</v>
      </c>
      <c r="D6919" t="s">
        <v>21641</v>
      </c>
      <c r="E6919">
        <v>0</v>
      </c>
      <c r="F6919" t="str">
        <f>HYPERLINK("https://github.com/ThanhDong272/G33_QLNhaSach/issues/9", "show")</f>
        <v>show</v>
      </c>
      <c r="G6919" t="str">
        <f>HYPERLINK("https://github.com/ThanhDong272/G33_QLNhaSach", "show")</f>
        <v>show</v>
      </c>
      <c r="H6919" t="str">
        <f>HYPERLINK("https://github.com/ThanhDong272/G33_QLNhaSach/releases", "show")</f>
        <v>show</v>
      </c>
      <c r="I6919">
        <v>0</v>
      </c>
      <c r="J6919">
        <v>0</v>
      </c>
      <c r="K6919">
        <v>0</v>
      </c>
      <c r="L6919">
        <v>1</v>
      </c>
      <c r="M6919" t="s">
        <v>581</v>
      </c>
    </row>
    <row r="6920" spans="1:13" hidden="1" x14ac:dyDescent="0.15">
      <c r="A6920" t="s">
        <v>21642</v>
      </c>
      <c r="B6920" t="s">
        <v>21643</v>
      </c>
      <c r="C6920" t="s">
        <v>21644</v>
      </c>
      <c r="D6920" t="s">
        <v>21641</v>
      </c>
      <c r="E6920">
        <v>0</v>
      </c>
      <c r="F6920" t="str">
        <f>HYPERLINK("https://github.com/ThanhDong272/G33_QLNhaSach/issues/8", "show")</f>
        <v>show</v>
      </c>
      <c r="G6920" t="str">
        <f>HYPERLINK("https://github.com/ThanhDong272/G33_QLNhaSach", "show")</f>
        <v>show</v>
      </c>
      <c r="H6920" t="str">
        <f>HYPERLINK("https://github.com/ThanhDong272/G33_QLNhaSach/releases", "show")</f>
        <v>show</v>
      </c>
      <c r="I6920">
        <v>0</v>
      </c>
      <c r="J6920">
        <v>0</v>
      </c>
      <c r="K6920">
        <v>0</v>
      </c>
      <c r="L6920">
        <v>1</v>
      </c>
      <c r="M6920" t="s">
        <v>581</v>
      </c>
    </row>
    <row r="6921" spans="1:13" hidden="1" x14ac:dyDescent="0.15">
      <c r="A6921" t="s">
        <v>21645</v>
      </c>
      <c r="B6921" t="s">
        <v>21646</v>
      </c>
      <c r="C6921" t="s">
        <v>21647</v>
      </c>
      <c r="D6921" t="s">
        <v>21648</v>
      </c>
      <c r="E6921">
        <v>1</v>
      </c>
      <c r="F6921" t="str">
        <f>HYPERLINK("https://github.com/Smujb/powered-pixel-dungeon/issues/10", "show")</f>
        <v>show</v>
      </c>
      <c r="G6921" t="str">
        <f>HYPERLINK("https://github.com/Smujb/powered-pixel-dungeon", "show")</f>
        <v>show</v>
      </c>
      <c r="H6921" t="str">
        <f>HYPERLINK("https://github.com/Smujb/powered-pixel-dungeon/releases", "show")</f>
        <v>show</v>
      </c>
      <c r="I6921">
        <v>1</v>
      </c>
      <c r="J6921">
        <v>0</v>
      </c>
      <c r="K6921">
        <v>1</v>
      </c>
      <c r="L6921">
        <v>0</v>
      </c>
      <c r="M6921" t="s">
        <v>64</v>
      </c>
    </row>
    <row r="6922" spans="1:13" hidden="1" x14ac:dyDescent="0.15">
      <c r="A6922" t="s">
        <v>21649</v>
      </c>
      <c r="B6922" t="s">
        <v>21650</v>
      </c>
      <c r="C6922" t="s">
        <v>21651</v>
      </c>
      <c r="D6922" t="s">
        <v>21648</v>
      </c>
      <c r="E6922">
        <v>4</v>
      </c>
      <c r="F6922" t="str">
        <f>HYPERLINK("https://github.com/open-learning-exchange/myplanet/issues/1839", "show")</f>
        <v>show</v>
      </c>
      <c r="G6922" t="str">
        <f>HYPERLINK("https://github.com/open-learning-exchange/myplanet", "show")</f>
        <v>show</v>
      </c>
      <c r="H6922" t="str">
        <f>HYPERLINK("https://github.com/open-learning-exchange/myplanet/releases", "show")</f>
        <v>show</v>
      </c>
      <c r="I6922">
        <v>1</v>
      </c>
      <c r="J6922">
        <v>0</v>
      </c>
      <c r="K6922">
        <v>0</v>
      </c>
      <c r="L6922">
        <v>0</v>
      </c>
      <c r="M6922" t="s">
        <v>17</v>
      </c>
    </row>
    <row r="6923" spans="1:13" hidden="1" x14ac:dyDescent="0.15">
      <c r="A6923" t="s">
        <v>21652</v>
      </c>
      <c r="B6923" t="s">
        <v>21653</v>
      </c>
      <c r="C6923" t="s">
        <v>21654</v>
      </c>
      <c r="D6923" t="s">
        <v>21648</v>
      </c>
      <c r="E6923">
        <v>8</v>
      </c>
      <c r="F6923" t="str">
        <f>HYPERLINK("https://github.com/nextcloud/android/issues/6285", "show")</f>
        <v>show</v>
      </c>
      <c r="G6923" t="str">
        <f>HYPERLINK("https://github.com/nextcloud/android", "show")</f>
        <v>show</v>
      </c>
      <c r="H6923" t="str">
        <f>HYPERLINK("https://github.com/nextcloud/android/releases", "show")</f>
        <v>show</v>
      </c>
      <c r="I6923">
        <v>0</v>
      </c>
      <c r="J6923">
        <v>1</v>
      </c>
      <c r="K6923">
        <v>1</v>
      </c>
      <c r="L6923">
        <v>0</v>
      </c>
      <c r="M6923" t="s">
        <v>699</v>
      </c>
    </row>
    <row r="6924" spans="1:13" hidden="1" x14ac:dyDescent="0.15">
      <c r="A6924" t="s">
        <v>21655</v>
      </c>
      <c r="B6924" t="s">
        <v>21656</v>
      </c>
      <c r="D6924" t="s">
        <v>21648</v>
      </c>
      <c r="E6924">
        <v>0</v>
      </c>
      <c r="F6924" t="str">
        <f>HYPERLINK("https://github.com/open-learning-exchange/myplanet/issues/1831", "show")</f>
        <v>show</v>
      </c>
      <c r="G6924" t="str">
        <f>HYPERLINK("https://github.com/open-learning-exchange/myplanet", "show")</f>
        <v>show</v>
      </c>
      <c r="H6924" t="str">
        <f>HYPERLINK("https://github.com/open-learning-exchange/myplanet/releases", "show")</f>
        <v>show</v>
      </c>
      <c r="I6924">
        <v>0</v>
      </c>
      <c r="J6924">
        <v>0</v>
      </c>
      <c r="K6924">
        <v>0</v>
      </c>
      <c r="L6924">
        <v>0</v>
      </c>
      <c r="M6924" t="s">
        <v>43</v>
      </c>
    </row>
    <row r="6925" spans="1:13" hidden="1" x14ac:dyDescent="0.15">
      <c r="A6925" t="s">
        <v>21657</v>
      </c>
      <c r="B6925" t="s">
        <v>21658</v>
      </c>
      <c r="C6925" t="s">
        <v>21659</v>
      </c>
      <c r="D6925" t="s">
        <v>21648</v>
      </c>
      <c r="E6925">
        <v>26</v>
      </c>
      <c r="F6925" t="str">
        <f>HYPERLINK("https://github.com/google/ExoPlayer/issues/7494", "show")</f>
        <v>show</v>
      </c>
      <c r="G6925" t="str">
        <f>HYPERLINK("https://github.com/google/ExoPlayer", "show")</f>
        <v>show</v>
      </c>
      <c r="H6925" t="str">
        <f>HYPERLINK("https://github.com/google/ExoPlayer/releases", "show")</f>
        <v>show</v>
      </c>
      <c r="I6925">
        <v>1</v>
      </c>
      <c r="J6925">
        <v>0</v>
      </c>
      <c r="K6925">
        <v>1</v>
      </c>
      <c r="L6925">
        <v>0</v>
      </c>
      <c r="M6925" t="s">
        <v>64</v>
      </c>
    </row>
    <row r="6926" spans="1:13" hidden="1" x14ac:dyDescent="0.15">
      <c r="A6926" t="s">
        <v>21660</v>
      </c>
      <c r="B6926" t="s">
        <v>21661</v>
      </c>
      <c r="C6926" t="s">
        <v>21662</v>
      </c>
      <c r="D6926" t="s">
        <v>21648</v>
      </c>
      <c r="E6926">
        <v>45</v>
      </c>
      <c r="F6926" t="str">
        <f>HYPERLINK("https://github.com/nextcloud/android/issues/6280", "show")</f>
        <v>show</v>
      </c>
      <c r="G6926" t="str">
        <f>HYPERLINK("https://github.com/nextcloud/android", "show")</f>
        <v>show</v>
      </c>
      <c r="H6926" t="str">
        <f>HYPERLINK("https://github.com/nextcloud/android/releases", "show")</f>
        <v>show</v>
      </c>
      <c r="I6926">
        <v>1</v>
      </c>
      <c r="J6926">
        <v>1</v>
      </c>
      <c r="K6926">
        <v>1</v>
      </c>
      <c r="L6926">
        <v>0</v>
      </c>
      <c r="M6926" t="s">
        <v>59</v>
      </c>
    </row>
    <row r="6927" spans="1:13" hidden="1" x14ac:dyDescent="0.15">
      <c r="A6927" t="s">
        <v>21663</v>
      </c>
      <c r="B6927" t="s">
        <v>21664</v>
      </c>
      <c r="C6927" t="s">
        <v>21665</v>
      </c>
      <c r="D6927" t="s">
        <v>21648</v>
      </c>
      <c r="E6927">
        <v>21</v>
      </c>
      <c r="F6927" t="str">
        <f>HYPERLINK("https://github.com/nextcloud/android/issues/6279", "show")</f>
        <v>show</v>
      </c>
      <c r="G6927" t="str">
        <f>HYPERLINK("https://github.com/nextcloud/android", "show")</f>
        <v>show</v>
      </c>
      <c r="H6927" t="str">
        <f>HYPERLINK("https://github.com/nextcloud/android/releases", "show")</f>
        <v>show</v>
      </c>
      <c r="I6927">
        <v>1</v>
      </c>
      <c r="J6927">
        <v>0</v>
      </c>
      <c r="K6927">
        <v>0</v>
      </c>
      <c r="L6927">
        <v>0</v>
      </c>
      <c r="M6927" t="s">
        <v>17</v>
      </c>
    </row>
    <row r="6928" spans="1:13" hidden="1" x14ac:dyDescent="0.15">
      <c r="A6928" t="s">
        <v>21666</v>
      </c>
      <c r="B6928" t="s">
        <v>21667</v>
      </c>
      <c r="C6928" t="s">
        <v>21668</v>
      </c>
      <c r="D6928" t="s">
        <v>21648</v>
      </c>
      <c r="E6928">
        <v>19</v>
      </c>
      <c r="F6928" t="str">
        <f>HYPERLINK("https://github.com/nextcloud/android/issues/6277", "show")</f>
        <v>show</v>
      </c>
      <c r="G6928" t="str">
        <f>HYPERLINK("https://github.com/nextcloud/android", "show")</f>
        <v>show</v>
      </c>
      <c r="H6928" t="str">
        <f>HYPERLINK("https://github.com/nextcloud/android/releases", "show")</f>
        <v>show</v>
      </c>
      <c r="I6928">
        <v>1</v>
      </c>
      <c r="J6928">
        <v>1</v>
      </c>
      <c r="K6928">
        <v>1</v>
      </c>
      <c r="L6928">
        <v>0</v>
      </c>
      <c r="M6928" t="s">
        <v>59</v>
      </c>
    </row>
    <row r="6929" spans="1:13" hidden="1" x14ac:dyDescent="0.15">
      <c r="A6929" t="s">
        <v>21669</v>
      </c>
      <c r="B6929" t="s">
        <v>21670</v>
      </c>
      <c r="C6929" t="s">
        <v>21671</v>
      </c>
      <c r="D6929" t="s">
        <v>21672</v>
      </c>
      <c r="E6929">
        <v>12</v>
      </c>
      <c r="F6929" t="str">
        <f>HYPERLINK("https://github.com/google/ExoPlayer/issues/7492", "show")</f>
        <v>show</v>
      </c>
      <c r="G6929" t="str">
        <f>HYPERLINK("https://github.com/google/ExoPlayer", "show")</f>
        <v>show</v>
      </c>
      <c r="H6929" t="str">
        <f>HYPERLINK("https://github.com/google/ExoPlayer/releases", "show")</f>
        <v>show</v>
      </c>
      <c r="I6929">
        <v>1</v>
      </c>
      <c r="J6929">
        <v>0</v>
      </c>
      <c r="K6929">
        <v>1</v>
      </c>
      <c r="L6929">
        <v>0</v>
      </c>
      <c r="M6929" t="s">
        <v>64</v>
      </c>
    </row>
    <row r="6930" spans="1:13" hidden="1" x14ac:dyDescent="0.15">
      <c r="A6930" t="s">
        <v>21673</v>
      </c>
      <c r="B6930" t="s">
        <v>21674</v>
      </c>
      <c r="C6930" t="s">
        <v>21675</v>
      </c>
      <c r="D6930" t="s">
        <v>21672</v>
      </c>
      <c r="E6930">
        <v>350</v>
      </c>
      <c r="F6930" t="str">
        <f>HYPERLINK("https://github.com/react-native-share/react-native-share/issues/797", "show")</f>
        <v>show</v>
      </c>
      <c r="G6930" t="str">
        <f>HYPERLINK("https://github.com/react-native-share/react-native-share", "show")</f>
        <v>show</v>
      </c>
      <c r="H6930" t="str">
        <f>HYPERLINK("https://github.com/react-native-share/react-native-share/releases", "show")</f>
        <v>show</v>
      </c>
      <c r="I6930">
        <v>1</v>
      </c>
      <c r="J6930">
        <v>1</v>
      </c>
      <c r="K6930">
        <v>0</v>
      </c>
      <c r="L6930">
        <v>0</v>
      </c>
      <c r="M6930" t="s">
        <v>48</v>
      </c>
    </row>
    <row r="6931" spans="1:13" hidden="1" x14ac:dyDescent="0.15">
      <c r="A6931" t="s">
        <v>21676</v>
      </c>
      <c r="B6931" t="s">
        <v>21677</v>
      </c>
      <c r="C6931" t="s">
        <v>21678</v>
      </c>
      <c r="D6931" t="s">
        <v>21672</v>
      </c>
      <c r="E6931">
        <v>425</v>
      </c>
      <c r="F6931" t="str">
        <f>HYPERLINK("https://github.com/doublesymmetry/react-native-track-player/issues/969", "show")</f>
        <v>show</v>
      </c>
      <c r="G6931" t="str">
        <f>HYPERLINK("https://github.com/doublesymmetry/react-native-track-player", "show")</f>
        <v>show</v>
      </c>
      <c r="H6931" t="str">
        <f>HYPERLINK("https://github.com/doublesymmetry/react-native-track-player/releases", "show")</f>
        <v>show</v>
      </c>
      <c r="I6931">
        <v>1</v>
      </c>
      <c r="J6931">
        <v>0</v>
      </c>
      <c r="K6931">
        <v>0</v>
      </c>
      <c r="L6931">
        <v>0</v>
      </c>
      <c r="M6931" t="s">
        <v>17</v>
      </c>
    </row>
    <row r="6932" spans="1:13" hidden="1" x14ac:dyDescent="0.15">
      <c r="A6932" t="s">
        <v>21679</v>
      </c>
      <c r="B6932" t="s">
        <v>21680</v>
      </c>
      <c r="C6932" t="s">
        <v>21681</v>
      </c>
      <c r="D6932" t="s">
        <v>21672</v>
      </c>
      <c r="E6932">
        <v>0</v>
      </c>
      <c r="F6932" t="str">
        <f>HYPERLINK("https://github.com/ankidroid/Anki-Android/issues/6432", "show")</f>
        <v>show</v>
      </c>
      <c r="G6932" t="str">
        <f>HYPERLINK("https://github.com/ankidroid/Anki-Android", "show")</f>
        <v>show</v>
      </c>
      <c r="H6932" t="str">
        <f>HYPERLINK("https://github.com/ankidroid/Anki-Android/releases", "show")</f>
        <v>show</v>
      </c>
      <c r="I6932">
        <v>1</v>
      </c>
      <c r="J6932">
        <v>1</v>
      </c>
      <c r="K6932">
        <v>0</v>
      </c>
      <c r="L6932">
        <v>0</v>
      </c>
      <c r="M6932" t="s">
        <v>48</v>
      </c>
    </row>
    <row r="6933" spans="1:13" hidden="1" x14ac:dyDescent="0.15">
      <c r="A6933" t="s">
        <v>21682</v>
      </c>
      <c r="B6933" t="s">
        <v>21683</v>
      </c>
      <c r="C6933" t="s">
        <v>21684</v>
      </c>
      <c r="D6933" t="s">
        <v>21685</v>
      </c>
      <c r="E6933">
        <v>68</v>
      </c>
      <c r="F6933" t="str">
        <f>HYPERLINK("https://github.com/ElderDrivers/EdXposed/issues/566", "show")</f>
        <v>show</v>
      </c>
      <c r="G6933" t="str">
        <f>HYPERLINK("https://github.com/ElderDrivers/EdXposed", "show")</f>
        <v>show</v>
      </c>
      <c r="H6933" t="str">
        <f>HYPERLINK("https://github.com/ElderDrivers/EdXposed/releases", "show")</f>
        <v>show</v>
      </c>
      <c r="I6933">
        <v>1</v>
      </c>
      <c r="J6933">
        <v>0</v>
      </c>
      <c r="K6933">
        <v>1</v>
      </c>
      <c r="L6933">
        <v>1</v>
      </c>
      <c r="M6933" t="s">
        <v>1259</v>
      </c>
    </row>
    <row r="6934" spans="1:13" hidden="1" x14ac:dyDescent="0.15">
      <c r="A6934" t="s">
        <v>21686</v>
      </c>
      <c r="B6934" t="s">
        <v>21687</v>
      </c>
      <c r="C6934" t="s">
        <v>21688</v>
      </c>
      <c r="D6934" t="s">
        <v>21685</v>
      </c>
      <c r="E6934">
        <v>0</v>
      </c>
      <c r="F6934" t="str">
        <f>HYPERLINK("https://github.com/dimagi/commcare-android/issues/2268", "show")</f>
        <v>show</v>
      </c>
      <c r="G6934" t="str">
        <f>HYPERLINK("https://github.com/dimagi/commcare-android", "show")</f>
        <v>show</v>
      </c>
      <c r="H6934" t="str">
        <f>HYPERLINK("https://github.com/dimagi/commcare-android/releases", "show")</f>
        <v>show</v>
      </c>
      <c r="I6934">
        <v>1</v>
      </c>
      <c r="J6934">
        <v>0</v>
      </c>
      <c r="K6934">
        <v>0</v>
      </c>
      <c r="L6934">
        <v>0</v>
      </c>
      <c r="M6934" t="s">
        <v>17</v>
      </c>
    </row>
    <row r="6935" spans="1:13" hidden="1" x14ac:dyDescent="0.15">
      <c r="A6935" t="s">
        <v>21689</v>
      </c>
      <c r="B6935" t="s">
        <v>21690</v>
      </c>
      <c r="C6935" t="s">
        <v>21691</v>
      </c>
      <c r="D6935" t="s">
        <v>21692</v>
      </c>
      <c r="E6935">
        <v>5</v>
      </c>
      <c r="F6935" t="str">
        <f>HYPERLINK("https://github.com/square/okhttp/issues/6123", "show")</f>
        <v>show</v>
      </c>
      <c r="G6935" t="str">
        <f>HYPERLINK("https://github.com/square/okhttp", "show")</f>
        <v>show</v>
      </c>
      <c r="H6935" t="str">
        <f>HYPERLINK("https://github.com/square/okhttp/releases", "show")</f>
        <v>show</v>
      </c>
      <c r="I6935">
        <v>0</v>
      </c>
      <c r="J6935">
        <v>0</v>
      </c>
      <c r="K6935">
        <v>0</v>
      </c>
      <c r="L6935">
        <v>0</v>
      </c>
      <c r="M6935" t="s">
        <v>43</v>
      </c>
    </row>
    <row r="6936" spans="1:13" hidden="1" x14ac:dyDescent="0.15">
      <c r="A6936" t="s">
        <v>21693</v>
      </c>
      <c r="B6936" t="s">
        <v>21694</v>
      </c>
      <c r="C6936" t="s">
        <v>21695</v>
      </c>
      <c r="D6936" t="s">
        <v>21692</v>
      </c>
      <c r="E6936">
        <v>1</v>
      </c>
      <c r="F6936" t="str">
        <f>HYPERLINK("https://github.com/nextcloud/android/issues/6258", "show")</f>
        <v>show</v>
      </c>
      <c r="G6936" t="str">
        <f>HYPERLINK("https://github.com/nextcloud/android", "show")</f>
        <v>show</v>
      </c>
      <c r="H6936" t="str">
        <f>HYPERLINK("https://github.com/nextcloud/android/releases", "show")</f>
        <v>show</v>
      </c>
      <c r="I6936">
        <v>1</v>
      </c>
      <c r="J6936">
        <v>0</v>
      </c>
      <c r="K6936">
        <v>1</v>
      </c>
      <c r="L6936">
        <v>0</v>
      </c>
      <c r="M6936" t="s">
        <v>64</v>
      </c>
    </row>
    <row r="6937" spans="1:13" hidden="1" x14ac:dyDescent="0.15">
      <c r="A6937" t="s">
        <v>21696</v>
      </c>
      <c r="B6937" t="s">
        <v>21697</v>
      </c>
      <c r="C6937" t="s">
        <v>21698</v>
      </c>
      <c r="D6937" t="s">
        <v>21692</v>
      </c>
      <c r="E6937">
        <v>218</v>
      </c>
      <c r="F6937" t="str">
        <f>HYPERLINK("https://github.com/react-native-camera/react-native-camera/issues/2867", "show")</f>
        <v>show</v>
      </c>
      <c r="G6937" t="str">
        <f>HYPERLINK("https://github.com/react-native-camera/react-native-camera", "show")</f>
        <v>show</v>
      </c>
      <c r="H6937" t="str">
        <f>HYPERLINK("https://github.com/react-native-camera/react-native-camera/releases", "show")</f>
        <v>show</v>
      </c>
      <c r="I6937">
        <v>1</v>
      </c>
      <c r="J6937">
        <v>0</v>
      </c>
      <c r="K6937">
        <v>1</v>
      </c>
      <c r="L6937">
        <v>0</v>
      </c>
      <c r="M6937" t="s">
        <v>64</v>
      </c>
    </row>
    <row r="6938" spans="1:13" hidden="1" x14ac:dyDescent="0.15">
      <c r="A6938" t="s">
        <v>21699</v>
      </c>
      <c r="B6938" t="s">
        <v>21700</v>
      </c>
      <c r="C6938" t="s">
        <v>21701</v>
      </c>
      <c r="D6938" t="s">
        <v>21692</v>
      </c>
      <c r="E6938">
        <v>0</v>
      </c>
      <c r="F6938" t="str">
        <f>HYPERLINK("https://github.com/TeamNewPipe/NewPipe/issues/3767", "show")</f>
        <v>show</v>
      </c>
      <c r="G6938" t="str">
        <f>HYPERLINK("https://github.com/TeamNewPipe/NewPipe", "show")</f>
        <v>show</v>
      </c>
      <c r="H6938" t="str">
        <f>HYPERLINK("https://github.com/TeamNewPipe/NewPipe/releases", "show")</f>
        <v>show</v>
      </c>
      <c r="I6938">
        <v>1</v>
      </c>
      <c r="J6938">
        <v>1</v>
      </c>
      <c r="K6938">
        <v>0</v>
      </c>
      <c r="L6938">
        <v>1</v>
      </c>
      <c r="M6938" t="s">
        <v>1894</v>
      </c>
    </row>
    <row r="6939" spans="1:13" hidden="1" x14ac:dyDescent="0.15">
      <c r="A6939" t="s">
        <v>21702</v>
      </c>
      <c r="B6939" t="s">
        <v>21703</v>
      </c>
      <c r="C6939" t="s">
        <v>20390</v>
      </c>
      <c r="D6939" t="s">
        <v>21692</v>
      </c>
      <c r="E6939">
        <v>1</v>
      </c>
      <c r="F6939" t="str">
        <f>HYPERLINK("https://github.com/TeamNewPipe/NewPipe/issues/3766", "show")</f>
        <v>show</v>
      </c>
      <c r="G6939" t="str">
        <f>HYPERLINK("https://github.com/TeamNewPipe/NewPipe", "show")</f>
        <v>show</v>
      </c>
      <c r="H6939" t="str">
        <f>HYPERLINK("https://github.com/TeamNewPipe/NewPipe/releases", "show")</f>
        <v>show</v>
      </c>
      <c r="I6939">
        <v>1</v>
      </c>
      <c r="J6939">
        <v>1</v>
      </c>
      <c r="K6939">
        <v>0</v>
      </c>
      <c r="L6939">
        <v>0</v>
      </c>
      <c r="M6939" t="s">
        <v>48</v>
      </c>
    </row>
    <row r="6940" spans="1:13" hidden="1" x14ac:dyDescent="0.15">
      <c r="A6940" t="s">
        <v>21704</v>
      </c>
      <c r="B6940" t="s">
        <v>21705</v>
      </c>
      <c r="C6940" t="s">
        <v>21706</v>
      </c>
      <c r="D6940" t="s">
        <v>21692</v>
      </c>
      <c r="E6940">
        <v>0</v>
      </c>
      <c r="F6940" t="str">
        <f>HYPERLINK("https://github.com/Roaim/DTBazar/issues/33", "show")</f>
        <v>show</v>
      </c>
      <c r="G6940" t="str">
        <f>HYPERLINK("https://github.com/Roaim/DTBazar", "show")</f>
        <v>show</v>
      </c>
      <c r="H6940" t="str">
        <f>HYPERLINK("https://github.com/Roaim/DTBazar/releases", "show")</f>
        <v>show</v>
      </c>
      <c r="I6940">
        <v>0</v>
      </c>
      <c r="J6940">
        <v>0</v>
      </c>
      <c r="K6940">
        <v>0</v>
      </c>
      <c r="L6940">
        <v>0</v>
      </c>
      <c r="M6940" t="s">
        <v>43</v>
      </c>
    </row>
    <row r="6941" spans="1:13" hidden="1" x14ac:dyDescent="0.15">
      <c r="A6941" t="s">
        <v>21707</v>
      </c>
      <c r="B6941" t="s">
        <v>21708</v>
      </c>
      <c r="D6941" t="s">
        <v>21709</v>
      </c>
      <c r="E6941">
        <v>0</v>
      </c>
      <c r="F6941" t="str">
        <f>HYPERLINK("https://github.com/hzi-braunschweig/SORMAS-Project/issues/2273", "show")</f>
        <v>show</v>
      </c>
      <c r="G6941" t="str">
        <f>HYPERLINK("https://github.com/hzi-braunschweig/SORMAS-Project", "show")</f>
        <v>show</v>
      </c>
      <c r="H6941" t="str">
        <f>HYPERLINK("https://github.com/hzi-braunschweig/SORMAS-Project/releases", "show")</f>
        <v>show</v>
      </c>
      <c r="I6941">
        <v>1</v>
      </c>
      <c r="J6941">
        <v>0</v>
      </c>
      <c r="K6941">
        <v>0</v>
      </c>
      <c r="L6941">
        <v>0</v>
      </c>
      <c r="M6941" t="s">
        <v>17</v>
      </c>
    </row>
    <row r="6942" spans="1:13" hidden="1" x14ac:dyDescent="0.15">
      <c r="A6942" t="s">
        <v>21710</v>
      </c>
      <c r="B6942" t="s">
        <v>21711</v>
      </c>
      <c r="C6942" t="s">
        <v>21712</v>
      </c>
      <c r="D6942" t="s">
        <v>21709</v>
      </c>
      <c r="E6942">
        <v>221</v>
      </c>
      <c r="F6942" t="str">
        <f>HYPERLINK("https://github.com/deepjavalibrary/djl/issues/84", "show")</f>
        <v>show</v>
      </c>
      <c r="G6942" t="str">
        <f>HYPERLINK("https://github.com/deepjavalibrary/djl", "show")</f>
        <v>show</v>
      </c>
      <c r="H6942" t="str">
        <f>HYPERLINK("https://github.com/deepjavalibrary/djl/releases", "show")</f>
        <v>show</v>
      </c>
      <c r="I6942">
        <v>1</v>
      </c>
      <c r="J6942">
        <v>1</v>
      </c>
      <c r="K6942">
        <v>0</v>
      </c>
      <c r="L6942">
        <v>0</v>
      </c>
      <c r="M6942" t="s">
        <v>48</v>
      </c>
    </row>
    <row r="6943" spans="1:13" hidden="1" x14ac:dyDescent="0.15">
      <c r="A6943" t="s">
        <v>21713</v>
      </c>
      <c r="B6943" t="s">
        <v>21714</v>
      </c>
      <c r="C6943" t="s">
        <v>21715</v>
      </c>
      <c r="D6943" t="s">
        <v>21709</v>
      </c>
      <c r="E6943">
        <v>9</v>
      </c>
      <c r="F6943" t="str">
        <f>HYPERLINK("https://github.com/forrestguice/SuntimesWidget/issues/420", "show")</f>
        <v>show</v>
      </c>
      <c r="G6943" t="str">
        <f>HYPERLINK("https://github.com/forrestguice/SuntimesWidget", "show")</f>
        <v>show</v>
      </c>
      <c r="H6943" t="str">
        <f>HYPERLINK("https://github.com/forrestguice/SuntimesWidget/releases", "show")</f>
        <v>show</v>
      </c>
      <c r="I6943">
        <v>1</v>
      </c>
      <c r="J6943">
        <v>1</v>
      </c>
      <c r="K6943">
        <v>1</v>
      </c>
      <c r="L6943">
        <v>0</v>
      </c>
      <c r="M6943" t="s">
        <v>59</v>
      </c>
    </row>
    <row r="6944" spans="1:13" x14ac:dyDescent="0.15">
      <c r="A6944" t="s">
        <v>21716</v>
      </c>
      <c r="B6944" t="s">
        <v>21717</v>
      </c>
      <c r="C6944" t="s">
        <v>21718</v>
      </c>
      <c r="D6944" t="s">
        <v>21709</v>
      </c>
      <c r="E6944">
        <v>0</v>
      </c>
      <c r="F6944" t="str">
        <f>HYPERLINK("https://github.com/Anuken/Mindustry/issues/2154", "show")</f>
        <v>show</v>
      </c>
      <c r="G6944" t="str">
        <f>HYPERLINK("https://github.com/Anuken/Mindustry", "show")</f>
        <v>show</v>
      </c>
      <c r="H6944" t="str">
        <f>HYPERLINK("https://github.com/Anuken/Mindustry/releases", "show")</f>
        <v>show</v>
      </c>
      <c r="I6944">
        <v>0</v>
      </c>
      <c r="J6944">
        <v>1</v>
      </c>
      <c r="K6944">
        <v>0</v>
      </c>
      <c r="L6944">
        <v>0</v>
      </c>
      <c r="M6944" t="s">
        <v>139</v>
      </c>
    </row>
    <row r="6945" spans="1:13" hidden="1" x14ac:dyDescent="0.15">
      <c r="A6945" t="s">
        <v>21719</v>
      </c>
      <c r="B6945" t="s">
        <v>21720</v>
      </c>
      <c r="C6945" t="s">
        <v>21721</v>
      </c>
      <c r="D6945" t="s">
        <v>21722</v>
      </c>
      <c r="E6945">
        <v>14</v>
      </c>
      <c r="F6945" t="str">
        <f>HYPERLINK("https://github.com/sschueller/peertube-android/issues/165", "show")</f>
        <v>show</v>
      </c>
      <c r="G6945" t="str">
        <f>HYPERLINK("https://github.com/sschueller/peertube-android", "show")</f>
        <v>show</v>
      </c>
      <c r="H6945" t="str">
        <f>HYPERLINK("https://github.com/sschueller/peertube-android/releases", "show")</f>
        <v>show</v>
      </c>
      <c r="I6945">
        <v>1</v>
      </c>
      <c r="J6945">
        <v>0</v>
      </c>
      <c r="K6945">
        <v>0</v>
      </c>
      <c r="L6945">
        <v>1</v>
      </c>
      <c r="M6945" t="s">
        <v>29</v>
      </c>
    </row>
    <row r="6946" spans="1:13" hidden="1" x14ac:dyDescent="0.15">
      <c r="A6946" t="s">
        <v>21723</v>
      </c>
      <c r="B6946" t="s">
        <v>21724</v>
      </c>
      <c r="C6946" t="s">
        <v>21725</v>
      </c>
      <c r="D6946" t="s">
        <v>21726</v>
      </c>
      <c r="E6946">
        <v>1</v>
      </c>
      <c r="F6946" t="str">
        <f>HYPERLINK("https://github.com/deltachat/deltachat-android/issues/1399", "show")</f>
        <v>show</v>
      </c>
      <c r="G6946" t="str">
        <f>HYPERLINK("https://github.com/deltachat/deltachat-android", "show")</f>
        <v>show</v>
      </c>
      <c r="H6946" t="str">
        <f>HYPERLINK("https://github.com/deltachat/deltachat-android/releases", "show")</f>
        <v>show</v>
      </c>
      <c r="I6946">
        <v>1</v>
      </c>
      <c r="J6946">
        <v>0</v>
      </c>
      <c r="K6946">
        <v>0</v>
      </c>
      <c r="L6946">
        <v>0</v>
      </c>
      <c r="M6946" t="s">
        <v>17</v>
      </c>
    </row>
    <row r="6947" spans="1:13" hidden="1" x14ac:dyDescent="0.15">
      <c r="A6947" t="s">
        <v>21727</v>
      </c>
      <c r="B6947" t="s">
        <v>21728</v>
      </c>
      <c r="C6947" t="s">
        <v>21729</v>
      </c>
      <c r="D6947" t="s">
        <v>21726</v>
      </c>
      <c r="E6947">
        <v>0</v>
      </c>
      <c r="F6947" t="str">
        <f>HYPERLINK("https://github.com/BloomCycleCare/ChartyMcChartChart/issues/6", "show")</f>
        <v>show</v>
      </c>
      <c r="G6947" t="str">
        <f>HYPERLINK("https://github.com/BloomCycleCare/ChartyMcChartChart", "show")</f>
        <v>show</v>
      </c>
      <c r="H6947" t="str">
        <f>HYPERLINK("https://github.com/BloomCycleCare/ChartyMcChartChart/releases", "show")</f>
        <v>show</v>
      </c>
      <c r="I6947">
        <v>1</v>
      </c>
      <c r="J6947">
        <v>0</v>
      </c>
      <c r="K6947">
        <v>0</v>
      </c>
      <c r="L6947">
        <v>0</v>
      </c>
      <c r="M6947" t="s">
        <v>17</v>
      </c>
    </row>
    <row r="6948" spans="1:13" hidden="1" x14ac:dyDescent="0.15">
      <c r="A6948" t="s">
        <v>21730</v>
      </c>
      <c r="B6948" t="s">
        <v>21731</v>
      </c>
      <c r="C6948" t="s">
        <v>21732</v>
      </c>
      <c r="D6948" t="s">
        <v>21726</v>
      </c>
      <c r="E6948">
        <v>3</v>
      </c>
      <c r="F6948" t="str">
        <f>HYPERLINK("https://github.com/nextcloud/android/issues/6232", "show")</f>
        <v>show</v>
      </c>
      <c r="G6948" t="str">
        <f>HYPERLINK("https://github.com/nextcloud/android", "show")</f>
        <v>show</v>
      </c>
      <c r="H6948" t="str">
        <f>HYPERLINK("https://github.com/nextcloud/android/releases", "show")</f>
        <v>show</v>
      </c>
      <c r="I6948">
        <v>0</v>
      </c>
      <c r="J6948">
        <v>0</v>
      </c>
      <c r="K6948">
        <v>0</v>
      </c>
      <c r="L6948">
        <v>0</v>
      </c>
      <c r="M6948" t="s">
        <v>43</v>
      </c>
    </row>
    <row r="6949" spans="1:13" hidden="1" x14ac:dyDescent="0.15">
      <c r="A6949" t="s">
        <v>21733</v>
      </c>
      <c r="B6949" t="s">
        <v>21734</v>
      </c>
      <c r="D6949" t="s">
        <v>21726</v>
      </c>
      <c r="E6949">
        <v>43</v>
      </c>
      <c r="F6949" t="str">
        <f>HYPERLINK("https://github.com/SeulGeek/FoodForYou/issues/15", "show")</f>
        <v>show</v>
      </c>
      <c r="G6949" t="str">
        <f>HYPERLINK("https://github.com/SeulGeek/FoodForYou", "show")</f>
        <v>show</v>
      </c>
      <c r="H6949" t="str">
        <f>HYPERLINK("https://github.com/SeulGeek/FoodForYou/releases", "show")</f>
        <v>show</v>
      </c>
      <c r="I6949">
        <v>0</v>
      </c>
      <c r="J6949">
        <v>0</v>
      </c>
      <c r="K6949">
        <v>0</v>
      </c>
      <c r="L6949">
        <v>1</v>
      </c>
      <c r="M6949" t="s">
        <v>581</v>
      </c>
    </row>
    <row r="6950" spans="1:13" hidden="1" x14ac:dyDescent="0.15">
      <c r="A6950" t="s">
        <v>21735</v>
      </c>
      <c r="B6950" t="s">
        <v>21736</v>
      </c>
      <c r="C6950" t="s">
        <v>21737</v>
      </c>
      <c r="D6950" t="s">
        <v>21726</v>
      </c>
      <c r="E6950">
        <v>463</v>
      </c>
      <c r="F6950" t="str">
        <f>HYPERLINK("https://github.com/TeamNewPipe/NewPipe/issues/3751", "show")</f>
        <v>show</v>
      </c>
      <c r="G6950" t="str">
        <f>HYPERLINK("https://github.com/TeamNewPipe/NewPipe", "show")</f>
        <v>show</v>
      </c>
      <c r="H6950" t="str">
        <f>HYPERLINK("https://github.com/TeamNewPipe/NewPipe/releases", "show")</f>
        <v>show</v>
      </c>
      <c r="I6950">
        <v>1</v>
      </c>
      <c r="J6950">
        <v>1</v>
      </c>
      <c r="K6950">
        <v>0</v>
      </c>
      <c r="L6950">
        <v>0</v>
      </c>
      <c r="M6950" t="s">
        <v>48</v>
      </c>
    </row>
    <row r="6951" spans="1:13" hidden="1" x14ac:dyDescent="0.15">
      <c r="A6951" t="s">
        <v>21738</v>
      </c>
      <c r="B6951" t="s">
        <v>21739</v>
      </c>
      <c r="C6951" t="s">
        <v>21740</v>
      </c>
      <c r="D6951" t="s">
        <v>21741</v>
      </c>
      <c r="E6951">
        <v>0</v>
      </c>
      <c r="F6951" t="str">
        <f>HYPERLINK("https://github.com/TeamNewPipe/NewPipe/issues/3749", "show")</f>
        <v>show</v>
      </c>
      <c r="G6951" t="str">
        <f>HYPERLINK("https://github.com/TeamNewPipe/NewPipe", "show")</f>
        <v>show</v>
      </c>
      <c r="H6951" t="str">
        <f>HYPERLINK("https://github.com/TeamNewPipe/NewPipe/releases", "show")</f>
        <v>show</v>
      </c>
      <c r="I6951">
        <v>1</v>
      </c>
      <c r="J6951">
        <v>1</v>
      </c>
      <c r="K6951">
        <v>1</v>
      </c>
      <c r="L6951">
        <v>0</v>
      </c>
      <c r="M6951" t="s">
        <v>59</v>
      </c>
    </row>
    <row r="6952" spans="1:13" hidden="1" x14ac:dyDescent="0.15">
      <c r="A6952" t="s">
        <v>21742</v>
      </c>
      <c r="B6952" t="s">
        <v>21743</v>
      </c>
      <c r="C6952" t="s">
        <v>21744</v>
      </c>
      <c r="D6952" t="s">
        <v>21741</v>
      </c>
      <c r="E6952">
        <v>41</v>
      </c>
      <c r="F6952" t="str">
        <f>HYPERLINK("https://github.com/aws-amplify/amplify-android/issues/563", "show")</f>
        <v>show</v>
      </c>
      <c r="G6952" t="str">
        <f>HYPERLINK("https://github.com/aws-amplify/amplify-android", "show")</f>
        <v>show</v>
      </c>
      <c r="H6952" t="str">
        <f>HYPERLINK("https://github.com/aws-amplify/amplify-android/releases", "show")</f>
        <v>show</v>
      </c>
      <c r="I6952">
        <v>1</v>
      </c>
      <c r="J6952">
        <v>0</v>
      </c>
      <c r="K6952">
        <v>1</v>
      </c>
      <c r="L6952">
        <v>0</v>
      </c>
      <c r="M6952" t="s">
        <v>64</v>
      </c>
    </row>
    <row r="6953" spans="1:13" hidden="1" x14ac:dyDescent="0.15">
      <c r="A6953" t="s">
        <v>21745</v>
      </c>
      <c r="B6953" t="s">
        <v>21746</v>
      </c>
      <c r="C6953" t="s">
        <v>21747</v>
      </c>
      <c r="D6953" t="s">
        <v>21741</v>
      </c>
      <c r="E6953">
        <v>51</v>
      </c>
      <c r="F6953" t="str">
        <f>HYPERLINK("https://github.com/iNPUTmice/Conversations/issues/3766", "show")</f>
        <v>show</v>
      </c>
      <c r="G6953" t="str">
        <f>HYPERLINK("https://github.com/iNPUTmice/Conversations", "show")</f>
        <v>show</v>
      </c>
      <c r="H6953" t="str">
        <f>HYPERLINK("https://github.com/iNPUTmice/Conversations/releases", "show")</f>
        <v>show</v>
      </c>
      <c r="I6953">
        <v>0</v>
      </c>
      <c r="J6953">
        <v>0</v>
      </c>
      <c r="K6953">
        <v>1</v>
      </c>
      <c r="L6953">
        <v>0</v>
      </c>
      <c r="M6953" t="s">
        <v>122</v>
      </c>
    </row>
    <row r="6954" spans="1:13" hidden="1" x14ac:dyDescent="0.15">
      <c r="A6954" t="s">
        <v>21748</v>
      </c>
      <c r="B6954" t="s">
        <v>21749</v>
      </c>
      <c r="C6954" t="s">
        <v>21750</v>
      </c>
      <c r="D6954" t="s">
        <v>21741</v>
      </c>
      <c r="E6954">
        <v>71</v>
      </c>
      <c r="F6954" t="str">
        <f>HYPERLINK("https://github.com/tradle/react-native-udp/issues/119", "show")</f>
        <v>show</v>
      </c>
      <c r="G6954" t="str">
        <f>HYPERLINK("https://github.com/tradle/react-native-udp", "show")</f>
        <v>show</v>
      </c>
      <c r="H6954" t="str">
        <f>HYPERLINK("https://github.com/tradle/react-native-udp/releases", "show")</f>
        <v>show</v>
      </c>
      <c r="I6954">
        <v>0</v>
      </c>
      <c r="J6954">
        <v>0</v>
      </c>
      <c r="K6954">
        <v>1</v>
      </c>
      <c r="L6954">
        <v>0</v>
      </c>
      <c r="M6954" t="s">
        <v>122</v>
      </c>
    </row>
    <row r="6955" spans="1:13" hidden="1" x14ac:dyDescent="0.15">
      <c r="A6955" t="s">
        <v>21751</v>
      </c>
      <c r="B6955" t="s">
        <v>21752</v>
      </c>
      <c r="C6955" t="s">
        <v>20390</v>
      </c>
      <c r="D6955" t="s">
        <v>21741</v>
      </c>
      <c r="E6955">
        <v>0</v>
      </c>
      <c r="F6955" t="str">
        <f>HYPERLINK("https://github.com/TeamNewPipe/NewPipe/issues/3743", "show")</f>
        <v>show</v>
      </c>
      <c r="G6955" t="str">
        <f>HYPERLINK("https://github.com/TeamNewPipe/NewPipe", "show")</f>
        <v>show</v>
      </c>
      <c r="H6955" t="str">
        <f>HYPERLINK("https://github.com/TeamNewPipe/NewPipe/releases", "show")</f>
        <v>show</v>
      </c>
      <c r="I6955">
        <v>1</v>
      </c>
      <c r="J6955">
        <v>1</v>
      </c>
      <c r="K6955">
        <v>0</v>
      </c>
      <c r="L6955">
        <v>0</v>
      </c>
      <c r="M6955" t="s">
        <v>48</v>
      </c>
    </row>
    <row r="6956" spans="1:13" hidden="1" x14ac:dyDescent="0.15">
      <c r="A6956" t="s">
        <v>21753</v>
      </c>
      <c r="B6956" t="s">
        <v>21754</v>
      </c>
      <c r="D6956" t="s">
        <v>21755</v>
      </c>
      <c r="E6956">
        <v>0</v>
      </c>
      <c r="F6956" t="str">
        <f>HYPERLINK("https://github.com/mjmorale/Eventum/issues/266", "show")</f>
        <v>show</v>
      </c>
      <c r="G6956" t="str">
        <f>HYPERLINK("https://github.com/mjmorale/Eventum", "show")</f>
        <v>show</v>
      </c>
      <c r="H6956" t="str">
        <f>HYPERLINK("https://github.com/mjmorale/Eventum/releases", "show")</f>
        <v>show</v>
      </c>
      <c r="I6956">
        <v>1</v>
      </c>
      <c r="J6956">
        <v>0</v>
      </c>
      <c r="K6956">
        <v>0</v>
      </c>
      <c r="L6956">
        <v>0</v>
      </c>
      <c r="M6956" t="s">
        <v>17</v>
      </c>
    </row>
    <row r="6957" spans="1:13" hidden="1" x14ac:dyDescent="0.15">
      <c r="A6957" t="s">
        <v>21756</v>
      </c>
      <c r="B6957" t="s">
        <v>21757</v>
      </c>
      <c r="C6957" t="s">
        <v>21758</v>
      </c>
      <c r="D6957" t="s">
        <v>21755</v>
      </c>
      <c r="E6957">
        <v>33</v>
      </c>
      <c r="F6957" t="str">
        <f>HYPERLINK("https://github.com/material-components/material-components-android/issues/1377", "show")</f>
        <v>show</v>
      </c>
      <c r="G6957" t="str">
        <f>HYPERLINK("https://github.com/material-components/material-components-android", "show")</f>
        <v>show</v>
      </c>
      <c r="H6957" t="str">
        <f>HYPERLINK("https://github.com/material-components/material-components-android/releases", "show")</f>
        <v>show</v>
      </c>
      <c r="I6957">
        <v>1</v>
      </c>
      <c r="J6957">
        <v>0</v>
      </c>
      <c r="K6957">
        <v>1</v>
      </c>
      <c r="L6957">
        <v>0</v>
      </c>
      <c r="M6957" t="s">
        <v>64</v>
      </c>
    </row>
    <row r="6958" spans="1:13" hidden="1" x14ac:dyDescent="0.15">
      <c r="A6958" t="s">
        <v>21759</v>
      </c>
      <c r="B6958" t="s">
        <v>21760</v>
      </c>
      <c r="C6958" t="s">
        <v>21761</v>
      </c>
      <c r="D6958" t="s">
        <v>21762</v>
      </c>
      <c r="E6958">
        <v>7</v>
      </c>
      <c r="F6958" t="str">
        <f>HYPERLINK("https://github.com/Simperium/simperium-android/issues/225", "show")</f>
        <v>show</v>
      </c>
      <c r="G6958" t="str">
        <f>HYPERLINK("https://github.com/Simperium/simperium-android", "show")</f>
        <v>show</v>
      </c>
      <c r="H6958" t="str">
        <f>HYPERLINK("https://github.com/Simperium/simperium-android/releases", "show")</f>
        <v>show</v>
      </c>
      <c r="I6958">
        <v>1</v>
      </c>
      <c r="J6958">
        <v>1</v>
      </c>
      <c r="K6958">
        <v>0</v>
      </c>
      <c r="L6958">
        <v>1</v>
      </c>
      <c r="M6958" t="s">
        <v>1894</v>
      </c>
    </row>
    <row r="6959" spans="1:13" hidden="1" x14ac:dyDescent="0.15">
      <c r="A6959" t="s">
        <v>21763</v>
      </c>
      <c r="B6959" t="s">
        <v>21764</v>
      </c>
      <c r="C6959" t="s">
        <v>21765</v>
      </c>
      <c r="D6959" t="s">
        <v>21762</v>
      </c>
      <c r="E6959">
        <v>0</v>
      </c>
      <c r="F6959" t="str">
        <f>HYPERLINK("https://github.com/openforge/capacitor-game-services/issues/10", "show")</f>
        <v>show</v>
      </c>
      <c r="G6959" t="str">
        <f>HYPERLINK("https://github.com/openforge/capacitor-game-services", "show")</f>
        <v>show</v>
      </c>
      <c r="H6959" t="str">
        <f>HYPERLINK("https://github.com/openforge/capacitor-game-services/releases", "show")</f>
        <v>show</v>
      </c>
      <c r="I6959">
        <v>0</v>
      </c>
      <c r="J6959">
        <v>0</v>
      </c>
      <c r="K6959">
        <v>0</v>
      </c>
      <c r="L6959">
        <v>0</v>
      </c>
      <c r="M6959" t="s">
        <v>43</v>
      </c>
    </row>
    <row r="6960" spans="1:13" hidden="1" x14ac:dyDescent="0.15">
      <c r="A6960" t="s">
        <v>21766</v>
      </c>
      <c r="B6960" t="s">
        <v>21767</v>
      </c>
      <c r="C6960" t="s">
        <v>21768</v>
      </c>
      <c r="D6960" t="s">
        <v>21762</v>
      </c>
      <c r="E6960">
        <v>0</v>
      </c>
      <c r="F6960" t="str">
        <f>HYPERLINK("https://github.com/openforge/capacitor-game-services/issues/8", "show")</f>
        <v>show</v>
      </c>
      <c r="G6960" t="str">
        <f>HYPERLINK("https://github.com/openforge/capacitor-game-services", "show")</f>
        <v>show</v>
      </c>
      <c r="H6960" t="str">
        <f>HYPERLINK("https://github.com/openforge/capacitor-game-services/releases", "show")</f>
        <v>show</v>
      </c>
      <c r="I6960">
        <v>0</v>
      </c>
      <c r="J6960">
        <v>0</v>
      </c>
      <c r="K6960">
        <v>0</v>
      </c>
      <c r="L6960">
        <v>0</v>
      </c>
      <c r="M6960" t="s">
        <v>43</v>
      </c>
    </row>
    <row r="6961" spans="1:13" hidden="1" x14ac:dyDescent="0.15">
      <c r="A6961" t="s">
        <v>21769</v>
      </c>
      <c r="B6961" t="s">
        <v>21770</v>
      </c>
      <c r="C6961" t="s">
        <v>21771</v>
      </c>
      <c r="D6961" t="s">
        <v>21762</v>
      </c>
      <c r="E6961">
        <v>0</v>
      </c>
      <c r="F6961" t="str">
        <f>HYPERLINK("https://github.com/Anuken/Mindustry/issues/2137", "show")</f>
        <v>show</v>
      </c>
      <c r="G6961" t="str">
        <f>HYPERLINK("https://github.com/Anuken/Mindustry", "show")</f>
        <v>show</v>
      </c>
      <c r="H6961" t="str">
        <f>HYPERLINK("https://github.com/Anuken/Mindustry/releases", "show")</f>
        <v>show</v>
      </c>
      <c r="I6961">
        <v>1</v>
      </c>
      <c r="J6961">
        <v>1</v>
      </c>
      <c r="K6961">
        <v>0</v>
      </c>
      <c r="L6961">
        <v>0</v>
      </c>
      <c r="M6961" t="s">
        <v>48</v>
      </c>
    </row>
    <row r="6962" spans="1:13" hidden="1" x14ac:dyDescent="0.15">
      <c r="A6962" t="s">
        <v>21772</v>
      </c>
      <c r="B6962" t="s">
        <v>21773</v>
      </c>
      <c r="C6962" t="s">
        <v>21774</v>
      </c>
      <c r="D6962" t="s">
        <v>21762</v>
      </c>
      <c r="E6962">
        <v>1</v>
      </c>
      <c r="F6962" t="str">
        <f>HYPERLINK("https://github.com/nextcloud/android/issues/6206", "show")</f>
        <v>show</v>
      </c>
      <c r="G6962" t="str">
        <f>HYPERLINK("https://github.com/nextcloud/android", "show")</f>
        <v>show</v>
      </c>
      <c r="H6962" t="str">
        <f>HYPERLINK("https://github.com/nextcloud/android/releases", "show")</f>
        <v>show</v>
      </c>
      <c r="I6962">
        <v>1</v>
      </c>
      <c r="J6962">
        <v>1</v>
      </c>
      <c r="K6962">
        <v>0</v>
      </c>
      <c r="L6962">
        <v>1</v>
      </c>
      <c r="M6962" t="s">
        <v>1894</v>
      </c>
    </row>
    <row r="6963" spans="1:13" hidden="1" x14ac:dyDescent="0.15">
      <c r="A6963" t="s">
        <v>21775</v>
      </c>
      <c r="B6963" t="s">
        <v>21776</v>
      </c>
      <c r="C6963" t="s">
        <v>21777</v>
      </c>
      <c r="D6963" t="s">
        <v>21778</v>
      </c>
      <c r="E6963">
        <v>0</v>
      </c>
      <c r="F6963" t="str">
        <f>HYPERLINK("https://github.com/TeamNewPipe/NewPipe/issues/3721", "show")</f>
        <v>show</v>
      </c>
      <c r="G6963" t="str">
        <f>HYPERLINK("https://github.com/TeamNewPipe/NewPipe", "show")</f>
        <v>show</v>
      </c>
      <c r="H6963" t="str">
        <f>HYPERLINK("https://github.com/TeamNewPipe/NewPipe/releases", "show")</f>
        <v>show</v>
      </c>
      <c r="I6963">
        <v>1</v>
      </c>
      <c r="J6963">
        <v>1</v>
      </c>
      <c r="K6963">
        <v>0</v>
      </c>
      <c r="L6963">
        <v>0</v>
      </c>
      <c r="M6963" t="s">
        <v>48</v>
      </c>
    </row>
    <row r="6964" spans="1:13" hidden="1" x14ac:dyDescent="0.15">
      <c r="A6964" t="s">
        <v>21779</v>
      </c>
      <c r="B6964" t="s">
        <v>21780</v>
      </c>
      <c r="C6964" t="s">
        <v>21781</v>
      </c>
      <c r="D6964" t="s">
        <v>21778</v>
      </c>
      <c r="E6964">
        <v>31</v>
      </c>
      <c r="F6964" t="str">
        <f>HYPERLINK("https://github.com/nextcloud/android/issues/6200", "show")</f>
        <v>show</v>
      </c>
      <c r="G6964" t="str">
        <f>HYPERLINK("https://github.com/nextcloud/android", "show")</f>
        <v>show</v>
      </c>
      <c r="H6964" t="str">
        <f>HYPERLINK("https://github.com/nextcloud/android/releases", "show")</f>
        <v>show</v>
      </c>
      <c r="I6964">
        <v>1</v>
      </c>
      <c r="J6964">
        <v>1</v>
      </c>
      <c r="K6964">
        <v>1</v>
      </c>
      <c r="L6964">
        <v>0</v>
      </c>
      <c r="M6964" t="s">
        <v>59</v>
      </c>
    </row>
    <row r="6965" spans="1:13" hidden="1" x14ac:dyDescent="0.15">
      <c r="A6965" t="s">
        <v>21782</v>
      </c>
      <c r="B6965" t="s">
        <v>21783</v>
      </c>
      <c r="C6965" t="s">
        <v>21784</v>
      </c>
      <c r="D6965" t="s">
        <v>21778</v>
      </c>
      <c r="E6965">
        <v>254</v>
      </c>
      <c r="F6965" t="str">
        <f>HYPERLINK("https://github.com/stefan-niedermann/nextcloud-notes/issues/847", "show")</f>
        <v>show</v>
      </c>
      <c r="G6965" t="str">
        <f>HYPERLINK("https://github.com/stefan-niedermann/nextcloud-notes", "show")</f>
        <v>show</v>
      </c>
      <c r="H6965" t="str">
        <f>HYPERLINK("https://github.com/stefan-niedermann/nextcloud-notes/releases", "show")</f>
        <v>show</v>
      </c>
      <c r="I6965">
        <v>1</v>
      </c>
      <c r="J6965">
        <v>0</v>
      </c>
      <c r="K6965">
        <v>1</v>
      </c>
      <c r="L6965">
        <v>0</v>
      </c>
      <c r="M6965" t="s">
        <v>64</v>
      </c>
    </row>
    <row r="6966" spans="1:13" hidden="1" x14ac:dyDescent="0.15">
      <c r="A6966" t="s">
        <v>21785</v>
      </c>
      <c r="B6966" t="s">
        <v>21786</v>
      </c>
      <c r="C6966" t="s">
        <v>21787</v>
      </c>
      <c r="D6966" t="s">
        <v>21778</v>
      </c>
      <c r="E6966">
        <v>74</v>
      </c>
      <c r="F6966" t="str">
        <f>HYPERLINK("https://github.com/jroal/a2dpvolume/issues/290", "show")</f>
        <v>show</v>
      </c>
      <c r="G6966" t="str">
        <f>HYPERLINK("https://github.com/jroal/a2dpvolume", "show")</f>
        <v>show</v>
      </c>
      <c r="H6966" t="str">
        <f>HYPERLINK("https://github.com/jroal/a2dpvolume/releases", "show")</f>
        <v>show</v>
      </c>
      <c r="I6966">
        <v>1</v>
      </c>
      <c r="J6966">
        <v>1</v>
      </c>
      <c r="K6966">
        <v>0</v>
      </c>
      <c r="L6966">
        <v>0</v>
      </c>
      <c r="M6966" t="s">
        <v>48</v>
      </c>
    </row>
    <row r="6967" spans="1:13" hidden="1" x14ac:dyDescent="0.15">
      <c r="A6967" t="s">
        <v>21788</v>
      </c>
      <c r="B6967" t="s">
        <v>21789</v>
      </c>
      <c r="C6967" t="s">
        <v>21790</v>
      </c>
      <c r="D6967" t="s">
        <v>21791</v>
      </c>
      <c r="E6967">
        <v>5</v>
      </c>
      <c r="F6967" t="str">
        <f>HYPERLINK("https://github.com/stefan-niedermann/nextcloud-notes/issues/846", "show")</f>
        <v>show</v>
      </c>
      <c r="G6967" t="str">
        <f>HYPERLINK("https://github.com/stefan-niedermann/nextcloud-notes", "show")</f>
        <v>show</v>
      </c>
      <c r="H6967" t="str">
        <f>HYPERLINK("https://github.com/stefan-niedermann/nextcloud-notes/releases", "show")</f>
        <v>show</v>
      </c>
      <c r="I6967">
        <v>1</v>
      </c>
      <c r="J6967">
        <v>1</v>
      </c>
      <c r="K6967">
        <v>1</v>
      </c>
      <c r="L6967">
        <v>1</v>
      </c>
      <c r="M6967" t="s">
        <v>2875</v>
      </c>
    </row>
    <row r="6968" spans="1:13" hidden="1" x14ac:dyDescent="0.15">
      <c r="A6968" t="s">
        <v>21792</v>
      </c>
      <c r="B6968" t="s">
        <v>21793</v>
      </c>
      <c r="C6968" t="s">
        <v>21794</v>
      </c>
      <c r="D6968" t="s">
        <v>21791</v>
      </c>
      <c r="E6968">
        <v>7</v>
      </c>
      <c r="F6968" t="str">
        <f>HYPERLINK("https://github.com/OneBusAway/onebusaway-android/issues/1042", "show")</f>
        <v>show</v>
      </c>
      <c r="G6968" t="str">
        <f>HYPERLINK("https://github.com/OneBusAway/onebusaway-android", "show")</f>
        <v>show</v>
      </c>
      <c r="H6968" t="str">
        <f>HYPERLINK("https://github.com/OneBusAway/onebusaway-android/releases", "show")</f>
        <v>show</v>
      </c>
      <c r="I6968">
        <v>0</v>
      </c>
      <c r="J6968">
        <v>0</v>
      </c>
      <c r="K6968">
        <v>1</v>
      </c>
      <c r="L6968">
        <v>0</v>
      </c>
      <c r="M6968" t="s">
        <v>122</v>
      </c>
    </row>
    <row r="6969" spans="1:13" hidden="1" x14ac:dyDescent="0.15">
      <c r="A6969" t="s">
        <v>21795</v>
      </c>
      <c r="B6969" t="s">
        <v>21796</v>
      </c>
      <c r="C6969" t="s">
        <v>21797</v>
      </c>
      <c r="D6969" t="s">
        <v>21791</v>
      </c>
      <c r="E6969">
        <v>1</v>
      </c>
      <c r="F6969" t="str">
        <f>HYPERLINK("https://github.com/dhis2/dhis2-android-sdk/issues/1279", "show")</f>
        <v>show</v>
      </c>
      <c r="G6969" t="str">
        <f>HYPERLINK("https://github.com/dhis2/dhis2-android-sdk", "show")</f>
        <v>show</v>
      </c>
      <c r="H6969" t="str">
        <f>HYPERLINK("https://github.com/dhis2/dhis2-android-sdk/releases", "show")</f>
        <v>show</v>
      </c>
      <c r="I6969">
        <v>1</v>
      </c>
      <c r="J6969">
        <v>0</v>
      </c>
      <c r="K6969">
        <v>0</v>
      </c>
      <c r="L6969">
        <v>0</v>
      </c>
      <c r="M6969" t="s">
        <v>17</v>
      </c>
    </row>
    <row r="6970" spans="1:13" hidden="1" x14ac:dyDescent="0.15">
      <c r="A6970" t="s">
        <v>21798</v>
      </c>
      <c r="B6970" t="s">
        <v>21799</v>
      </c>
      <c r="C6970" t="s">
        <v>21800</v>
      </c>
      <c r="D6970" t="s">
        <v>21791</v>
      </c>
      <c r="E6970">
        <v>132</v>
      </c>
      <c r="F6970" t="str">
        <f>HYPERLINK("https://github.com/commons-app/apps-android-commons/issues/3791", "show")</f>
        <v>show</v>
      </c>
      <c r="G6970" t="str">
        <f>HYPERLINK("https://github.com/commons-app/apps-android-commons", "show")</f>
        <v>show</v>
      </c>
      <c r="H6970" t="str">
        <f>HYPERLINK("https://github.com/commons-app/apps-android-commons/releases", "show")</f>
        <v>show</v>
      </c>
      <c r="I6970">
        <v>1</v>
      </c>
      <c r="J6970">
        <v>0</v>
      </c>
      <c r="K6970">
        <v>1</v>
      </c>
      <c r="L6970">
        <v>0</v>
      </c>
      <c r="M6970" t="s">
        <v>64</v>
      </c>
    </row>
    <row r="6971" spans="1:13" hidden="1" x14ac:dyDescent="0.15">
      <c r="A6971" t="s">
        <v>21801</v>
      </c>
      <c r="B6971" t="s">
        <v>21802</v>
      </c>
      <c r="C6971" t="s">
        <v>21803</v>
      </c>
      <c r="D6971" t="s">
        <v>21804</v>
      </c>
      <c r="E6971">
        <v>301</v>
      </c>
      <c r="F6971" t="str">
        <f>HYPERLINK("https://github.com/OpenArchive/Save-app-android/issues/223", "show")</f>
        <v>show</v>
      </c>
      <c r="G6971" t="str">
        <f>HYPERLINK("https://github.com/OpenArchive/Save-app-android", "show")</f>
        <v>show</v>
      </c>
      <c r="H6971" t="str">
        <f>HYPERLINK("https://github.com/OpenArchive/Save-app-android/releases", "show")</f>
        <v>show</v>
      </c>
      <c r="I6971">
        <v>1</v>
      </c>
      <c r="J6971">
        <v>1</v>
      </c>
      <c r="K6971">
        <v>0</v>
      </c>
      <c r="L6971">
        <v>0</v>
      </c>
      <c r="M6971" t="s">
        <v>48</v>
      </c>
    </row>
    <row r="6972" spans="1:13" hidden="1" x14ac:dyDescent="0.15">
      <c r="A6972" t="s">
        <v>21805</v>
      </c>
      <c r="B6972" t="s">
        <v>21806</v>
      </c>
      <c r="C6972" t="s">
        <v>21807</v>
      </c>
      <c r="D6972" t="s">
        <v>21804</v>
      </c>
      <c r="E6972">
        <v>312</v>
      </c>
      <c r="F6972" t="str">
        <f>HYPERLINK("https://github.com/commons-app/apps-android-commons/issues/3790", "show")</f>
        <v>show</v>
      </c>
      <c r="G6972" t="str">
        <f>HYPERLINK("https://github.com/commons-app/apps-android-commons", "show")</f>
        <v>show</v>
      </c>
      <c r="H6972" t="str">
        <f>HYPERLINK("https://github.com/commons-app/apps-android-commons/releases", "show")</f>
        <v>show</v>
      </c>
      <c r="I6972">
        <v>1</v>
      </c>
      <c r="J6972">
        <v>0</v>
      </c>
      <c r="K6972">
        <v>1</v>
      </c>
      <c r="L6972">
        <v>0</v>
      </c>
      <c r="M6972" t="s">
        <v>64</v>
      </c>
    </row>
    <row r="6973" spans="1:13" hidden="1" x14ac:dyDescent="0.15">
      <c r="A6973" t="s">
        <v>21808</v>
      </c>
      <c r="B6973" t="s">
        <v>21809</v>
      </c>
      <c r="C6973" t="s">
        <v>21810</v>
      </c>
      <c r="D6973" t="s">
        <v>21804</v>
      </c>
      <c r="E6973">
        <v>0</v>
      </c>
      <c r="F6973" t="str">
        <f>HYPERLINK("https://github.com/TeamNewPipe/NewPipe/issues/3702", "show")</f>
        <v>show</v>
      </c>
      <c r="G6973" t="str">
        <f>HYPERLINK("https://github.com/TeamNewPipe/NewPipe", "show")</f>
        <v>show</v>
      </c>
      <c r="H6973" t="str">
        <f>HYPERLINK("https://github.com/TeamNewPipe/NewPipe/releases", "show")</f>
        <v>show</v>
      </c>
      <c r="I6973">
        <v>1</v>
      </c>
      <c r="J6973">
        <v>1</v>
      </c>
      <c r="K6973">
        <v>0</v>
      </c>
      <c r="L6973">
        <v>0</v>
      </c>
      <c r="M6973" t="s">
        <v>48</v>
      </c>
    </row>
    <row r="6974" spans="1:13" hidden="1" x14ac:dyDescent="0.15">
      <c r="A6974" t="s">
        <v>21811</v>
      </c>
      <c r="B6974" t="s">
        <v>21812</v>
      </c>
      <c r="C6974" t="s">
        <v>21813</v>
      </c>
      <c r="D6974" t="s">
        <v>21804</v>
      </c>
      <c r="E6974">
        <v>0</v>
      </c>
      <c r="F6974" t="str">
        <f>HYPERLINK("https://github.com/TeamNewPipe/NewPipe/issues/3696", "show")</f>
        <v>show</v>
      </c>
      <c r="G6974" t="str">
        <f>HYPERLINK("https://github.com/TeamNewPipe/NewPipe", "show")</f>
        <v>show</v>
      </c>
      <c r="H6974" t="str">
        <f>HYPERLINK("https://github.com/TeamNewPipe/NewPipe/releases", "show")</f>
        <v>show</v>
      </c>
      <c r="I6974">
        <v>1</v>
      </c>
      <c r="J6974">
        <v>1</v>
      </c>
      <c r="K6974">
        <v>0</v>
      </c>
      <c r="L6974">
        <v>0</v>
      </c>
      <c r="M6974" t="s">
        <v>48</v>
      </c>
    </row>
    <row r="6975" spans="1:13" hidden="1" x14ac:dyDescent="0.15">
      <c r="A6975" t="s">
        <v>21814</v>
      </c>
      <c r="B6975" t="s">
        <v>21815</v>
      </c>
      <c r="C6975" t="s">
        <v>21816</v>
      </c>
      <c r="D6975" t="s">
        <v>21817</v>
      </c>
      <c r="E6975">
        <v>5</v>
      </c>
      <c r="F6975" t="str">
        <f>HYPERLINK("https://github.com/nextcloud/android/issues/6182", "show")</f>
        <v>show</v>
      </c>
      <c r="G6975" t="str">
        <f>HYPERLINK("https://github.com/nextcloud/android", "show")</f>
        <v>show</v>
      </c>
      <c r="H6975" t="str">
        <f>HYPERLINK("https://github.com/nextcloud/android/releases", "show")</f>
        <v>show</v>
      </c>
      <c r="I6975">
        <v>1</v>
      </c>
      <c r="J6975">
        <v>1</v>
      </c>
      <c r="K6975">
        <v>0</v>
      </c>
      <c r="L6975">
        <v>0</v>
      </c>
      <c r="M6975" t="s">
        <v>48</v>
      </c>
    </row>
    <row r="6976" spans="1:13" hidden="1" x14ac:dyDescent="0.15">
      <c r="A6976" t="s">
        <v>21818</v>
      </c>
      <c r="B6976" t="s">
        <v>21819</v>
      </c>
      <c r="C6976" t="s">
        <v>21820</v>
      </c>
      <c r="D6976" t="s">
        <v>21817</v>
      </c>
      <c r="E6976">
        <v>0</v>
      </c>
      <c r="F6976" t="str">
        <f>HYPERLINK("https://github.com/TeamNewPipe/NewPipe/issues/3682", "show")</f>
        <v>show</v>
      </c>
      <c r="G6976" t="str">
        <f>HYPERLINK("https://github.com/TeamNewPipe/NewPipe", "show")</f>
        <v>show</v>
      </c>
      <c r="H6976" t="str">
        <f>HYPERLINK("https://github.com/TeamNewPipe/NewPipe/releases", "show")</f>
        <v>show</v>
      </c>
      <c r="I6976">
        <v>1</v>
      </c>
      <c r="J6976">
        <v>0</v>
      </c>
      <c r="K6976">
        <v>0</v>
      </c>
      <c r="L6976">
        <v>0</v>
      </c>
      <c r="M6976" t="s">
        <v>17</v>
      </c>
    </row>
    <row r="6977" spans="1:13" hidden="1" x14ac:dyDescent="0.15">
      <c r="A6977" t="s">
        <v>21821</v>
      </c>
      <c r="B6977" t="s">
        <v>21822</v>
      </c>
      <c r="C6977" t="s">
        <v>21823</v>
      </c>
      <c r="D6977" t="s">
        <v>21817</v>
      </c>
      <c r="E6977">
        <v>3</v>
      </c>
      <c r="F6977" t="str">
        <f>HYPERLINK("https://github.com/TeamNewPipe/NewPipe/issues/3677", "show")</f>
        <v>show</v>
      </c>
      <c r="G6977" t="str">
        <f>HYPERLINK("https://github.com/TeamNewPipe/NewPipe", "show")</f>
        <v>show</v>
      </c>
      <c r="H6977" t="str">
        <f>HYPERLINK("https://github.com/TeamNewPipe/NewPipe/releases", "show")</f>
        <v>show</v>
      </c>
      <c r="I6977">
        <v>1</v>
      </c>
      <c r="J6977">
        <v>0</v>
      </c>
      <c r="K6977">
        <v>1</v>
      </c>
      <c r="L6977">
        <v>0</v>
      </c>
      <c r="M6977" t="s">
        <v>64</v>
      </c>
    </row>
    <row r="6978" spans="1:13" hidden="1" x14ac:dyDescent="0.15">
      <c r="A6978" t="s">
        <v>21824</v>
      </c>
      <c r="B6978" t="s">
        <v>21825</v>
      </c>
      <c r="C6978" t="s">
        <v>21826</v>
      </c>
      <c r="D6978" t="s">
        <v>21827</v>
      </c>
      <c r="E6978">
        <v>0</v>
      </c>
      <c r="F6978" t="str">
        <f>HYPERLINK("https://github.com/k9mail/k-9/issues/4798", "show")</f>
        <v>show</v>
      </c>
      <c r="G6978" t="str">
        <f>HYPERLINK("https://github.com/k9mail/k-9", "show")</f>
        <v>show</v>
      </c>
      <c r="H6978" t="str">
        <f>HYPERLINK("https://github.com/k9mail/k-9/releases", "show")</f>
        <v>show</v>
      </c>
      <c r="I6978">
        <v>1</v>
      </c>
      <c r="J6978">
        <v>0</v>
      </c>
      <c r="K6978">
        <v>0</v>
      </c>
      <c r="L6978">
        <v>0</v>
      </c>
      <c r="M6978" t="s">
        <v>17</v>
      </c>
    </row>
    <row r="6979" spans="1:13" hidden="1" x14ac:dyDescent="0.15">
      <c r="A6979" t="s">
        <v>21828</v>
      </c>
      <c r="B6979" t="s">
        <v>21829</v>
      </c>
      <c r="C6979" t="s">
        <v>21830</v>
      </c>
      <c r="D6979" t="s">
        <v>21827</v>
      </c>
      <c r="E6979">
        <v>269</v>
      </c>
      <c r="F6979" t="str">
        <f>HYPERLINK("https://github.com/k9mail/k-9/issues/4797", "show")</f>
        <v>show</v>
      </c>
      <c r="G6979" t="str">
        <f>HYPERLINK("https://github.com/k9mail/k-9", "show")</f>
        <v>show</v>
      </c>
      <c r="H6979" t="str">
        <f>HYPERLINK("https://github.com/k9mail/k-9/releases", "show")</f>
        <v>show</v>
      </c>
      <c r="I6979">
        <v>1</v>
      </c>
      <c r="J6979">
        <v>1</v>
      </c>
      <c r="K6979">
        <v>0</v>
      </c>
      <c r="L6979">
        <v>0</v>
      </c>
      <c r="M6979" t="s">
        <v>48</v>
      </c>
    </row>
    <row r="6980" spans="1:13" hidden="1" x14ac:dyDescent="0.15">
      <c r="A6980" t="s">
        <v>21831</v>
      </c>
      <c r="B6980" t="s">
        <v>21832</v>
      </c>
      <c r="C6980" t="s">
        <v>21833</v>
      </c>
      <c r="D6980" t="s">
        <v>21827</v>
      </c>
      <c r="E6980">
        <v>132</v>
      </c>
      <c r="F6980" t="str">
        <f>HYPERLINK("https://github.com/tradle/react-native-udp/issues/117", "show")</f>
        <v>show</v>
      </c>
      <c r="G6980" t="str">
        <f>HYPERLINK("https://github.com/tradle/react-native-udp", "show")</f>
        <v>show</v>
      </c>
      <c r="H6980" t="str">
        <f>HYPERLINK("https://github.com/tradle/react-native-udp/releases", "show")</f>
        <v>show</v>
      </c>
      <c r="I6980">
        <v>0</v>
      </c>
      <c r="J6980">
        <v>0</v>
      </c>
      <c r="K6980">
        <v>1</v>
      </c>
      <c r="L6980">
        <v>0</v>
      </c>
      <c r="M6980" t="s">
        <v>122</v>
      </c>
    </row>
    <row r="6981" spans="1:13" hidden="1" x14ac:dyDescent="0.15">
      <c r="A6981" t="s">
        <v>21834</v>
      </c>
      <c r="B6981" t="s">
        <v>21835</v>
      </c>
      <c r="C6981" t="s">
        <v>21836</v>
      </c>
      <c r="D6981" t="s">
        <v>21827</v>
      </c>
      <c r="E6981">
        <v>13</v>
      </c>
      <c r="F6981" t="str">
        <f>HYPERLINK("https://github.com/akvo/akvo-flow-mobile/issues/1632", "show")</f>
        <v>show</v>
      </c>
      <c r="G6981" t="str">
        <f>HYPERLINK("https://github.com/akvo/akvo-flow-mobile", "show")</f>
        <v>show</v>
      </c>
      <c r="H6981" t="str">
        <f>HYPERLINK("https://github.com/akvo/akvo-flow-mobile/releases", "show")</f>
        <v>show</v>
      </c>
      <c r="I6981">
        <v>1</v>
      </c>
      <c r="J6981">
        <v>1</v>
      </c>
      <c r="K6981">
        <v>0</v>
      </c>
      <c r="L6981">
        <v>0</v>
      </c>
      <c r="M6981" t="s">
        <v>48</v>
      </c>
    </row>
    <row r="6982" spans="1:13" hidden="1" x14ac:dyDescent="0.15">
      <c r="A6982" t="s">
        <v>21837</v>
      </c>
      <c r="B6982" t="s">
        <v>21838</v>
      </c>
      <c r="C6982" t="s">
        <v>21839</v>
      </c>
      <c r="D6982" t="s">
        <v>21827</v>
      </c>
      <c r="E6982">
        <v>0</v>
      </c>
      <c r="F6982" t="str">
        <f>HYPERLINK("https://github.com/TeamNewPipe/NewPipe/issues/3666", "show")</f>
        <v>show</v>
      </c>
      <c r="G6982" t="str">
        <f>HYPERLINK("https://github.com/TeamNewPipe/NewPipe", "show")</f>
        <v>show</v>
      </c>
      <c r="H6982" t="str">
        <f>HYPERLINK("https://github.com/TeamNewPipe/NewPipe/releases", "show")</f>
        <v>show</v>
      </c>
      <c r="I6982">
        <v>1</v>
      </c>
      <c r="J6982">
        <v>1</v>
      </c>
      <c r="K6982">
        <v>1</v>
      </c>
      <c r="L6982">
        <v>0</v>
      </c>
      <c r="M6982" t="s">
        <v>59</v>
      </c>
    </row>
    <row r="6983" spans="1:13" hidden="1" x14ac:dyDescent="0.15">
      <c r="A6983" t="s">
        <v>21840</v>
      </c>
      <c r="B6983" t="s">
        <v>21841</v>
      </c>
      <c r="C6983" t="s">
        <v>21842</v>
      </c>
      <c r="D6983" t="s">
        <v>21843</v>
      </c>
      <c r="E6983">
        <v>0</v>
      </c>
      <c r="F6983" t="str">
        <f>HYPERLINK("https://github.com/TeamNewPipe/NewPipe/issues/3660", "show")</f>
        <v>show</v>
      </c>
      <c r="G6983" t="str">
        <f>HYPERLINK("https://github.com/TeamNewPipe/NewPipe", "show")</f>
        <v>show</v>
      </c>
      <c r="H6983" t="str">
        <f>HYPERLINK("https://github.com/TeamNewPipe/NewPipe/releases", "show")</f>
        <v>show</v>
      </c>
      <c r="I6983">
        <v>1</v>
      </c>
      <c r="J6983">
        <v>1</v>
      </c>
      <c r="K6983">
        <v>1</v>
      </c>
      <c r="L6983">
        <v>0</v>
      </c>
      <c r="M6983" t="s">
        <v>59</v>
      </c>
    </row>
    <row r="6984" spans="1:13" hidden="1" x14ac:dyDescent="0.15">
      <c r="A6984" t="s">
        <v>21844</v>
      </c>
      <c r="B6984" t="s">
        <v>21845</v>
      </c>
      <c r="C6984" t="s">
        <v>21846</v>
      </c>
      <c r="D6984" t="s">
        <v>21843</v>
      </c>
      <c r="E6984">
        <v>4</v>
      </c>
      <c r="F6984" t="str">
        <f>HYPERLINK("https://github.com/doublesymmetry/react-native-track-player/issues/956", "show")</f>
        <v>show</v>
      </c>
      <c r="G6984" t="str">
        <f>HYPERLINK("https://github.com/doublesymmetry/react-native-track-player", "show")</f>
        <v>show</v>
      </c>
      <c r="H6984" t="str">
        <f>HYPERLINK("https://github.com/doublesymmetry/react-native-track-player/releases", "show")</f>
        <v>show</v>
      </c>
      <c r="I6984">
        <v>1</v>
      </c>
      <c r="J6984">
        <v>0</v>
      </c>
      <c r="K6984">
        <v>0</v>
      </c>
      <c r="L6984">
        <v>0</v>
      </c>
      <c r="M6984" t="s">
        <v>17</v>
      </c>
    </row>
    <row r="6985" spans="1:13" hidden="1" x14ac:dyDescent="0.15">
      <c r="A6985" t="s">
        <v>21847</v>
      </c>
      <c r="B6985" t="s">
        <v>21848</v>
      </c>
      <c r="C6985" t="s">
        <v>21849</v>
      </c>
      <c r="D6985" t="s">
        <v>21843</v>
      </c>
      <c r="E6985">
        <v>0</v>
      </c>
      <c r="F6985" t="str">
        <f>HYPERLINK("https://github.com/TeamNewPipe/NewPipe/issues/3659", "show")</f>
        <v>show</v>
      </c>
      <c r="G6985" t="str">
        <f>HYPERLINK("https://github.com/TeamNewPipe/NewPipe", "show")</f>
        <v>show</v>
      </c>
      <c r="H6985" t="str">
        <f>HYPERLINK("https://github.com/TeamNewPipe/NewPipe/releases", "show")</f>
        <v>show</v>
      </c>
      <c r="I6985">
        <v>1</v>
      </c>
      <c r="J6985">
        <v>1</v>
      </c>
      <c r="K6985">
        <v>0</v>
      </c>
      <c r="L6985">
        <v>0</v>
      </c>
      <c r="M6985" t="s">
        <v>48</v>
      </c>
    </row>
    <row r="6986" spans="1:13" hidden="1" x14ac:dyDescent="0.15">
      <c r="A6986" t="s">
        <v>21850</v>
      </c>
      <c r="B6986" t="s">
        <v>21851</v>
      </c>
      <c r="C6986" t="s">
        <v>21852</v>
      </c>
      <c r="D6986" t="s">
        <v>21843</v>
      </c>
      <c r="E6986">
        <v>9</v>
      </c>
      <c r="F6986" t="str">
        <f>HYPERLINK("https://github.com/material-components/material-components-android/issues/1339", "show")</f>
        <v>show</v>
      </c>
      <c r="G6986" t="str">
        <f>HYPERLINK("https://github.com/material-components/material-components-android", "show")</f>
        <v>show</v>
      </c>
      <c r="H6986" t="str">
        <f>HYPERLINK("https://github.com/material-components/material-components-android/releases", "show")</f>
        <v>show</v>
      </c>
      <c r="I6986">
        <v>0</v>
      </c>
      <c r="J6986">
        <v>0</v>
      </c>
      <c r="K6986">
        <v>1</v>
      </c>
      <c r="L6986">
        <v>0</v>
      </c>
      <c r="M6986" t="s">
        <v>122</v>
      </c>
    </row>
    <row r="6987" spans="1:13" hidden="1" x14ac:dyDescent="0.15">
      <c r="A6987" t="s">
        <v>21853</v>
      </c>
      <c r="B6987" t="s">
        <v>21854</v>
      </c>
      <c r="C6987" t="s">
        <v>21855</v>
      </c>
      <c r="D6987" t="s">
        <v>21843</v>
      </c>
      <c r="E6987">
        <v>0</v>
      </c>
      <c r="F6987" t="str">
        <f>HYPERLINK("https://github.com/nextcloud/android/issues/6171", "show")</f>
        <v>show</v>
      </c>
      <c r="G6987" t="str">
        <f>HYPERLINK("https://github.com/nextcloud/android", "show")</f>
        <v>show</v>
      </c>
      <c r="H6987" t="str">
        <f>HYPERLINK("https://github.com/nextcloud/android/releases", "show")</f>
        <v>show</v>
      </c>
      <c r="I6987">
        <v>1</v>
      </c>
      <c r="J6987">
        <v>1</v>
      </c>
      <c r="K6987">
        <v>1</v>
      </c>
      <c r="L6987">
        <v>0</v>
      </c>
      <c r="M6987" t="s">
        <v>59</v>
      </c>
    </row>
    <row r="6988" spans="1:13" hidden="1" x14ac:dyDescent="0.15">
      <c r="A6988" t="s">
        <v>21856</v>
      </c>
      <c r="B6988" t="s">
        <v>21857</v>
      </c>
      <c r="C6988" t="s">
        <v>21858</v>
      </c>
      <c r="D6988" t="s">
        <v>21843</v>
      </c>
      <c r="E6988">
        <v>33</v>
      </c>
      <c r="F6988" t="str">
        <f>HYPERLINK("https://github.com/material-components/material-components-android/issues/1338", "show")</f>
        <v>show</v>
      </c>
      <c r="G6988" t="str">
        <f>HYPERLINK("https://github.com/material-components/material-components-android", "show")</f>
        <v>show</v>
      </c>
      <c r="H6988" t="str">
        <f>HYPERLINK("https://github.com/material-components/material-components-android/releases", "show")</f>
        <v>show</v>
      </c>
      <c r="I6988">
        <v>0</v>
      </c>
      <c r="J6988">
        <v>0</v>
      </c>
      <c r="K6988">
        <v>1</v>
      </c>
      <c r="L6988">
        <v>0</v>
      </c>
      <c r="M6988" t="s">
        <v>122</v>
      </c>
    </row>
    <row r="6989" spans="1:13" hidden="1" x14ac:dyDescent="0.15">
      <c r="A6989" t="s">
        <v>21859</v>
      </c>
      <c r="B6989" t="s">
        <v>21860</v>
      </c>
      <c r="C6989" t="s">
        <v>21861</v>
      </c>
      <c r="D6989" t="s">
        <v>21843</v>
      </c>
      <c r="E6989">
        <v>202</v>
      </c>
      <c r="F6989" t="str">
        <f>HYPERLINK("https://github.com/aws-amplify/amplify-android/issues/541", "show")</f>
        <v>show</v>
      </c>
      <c r="G6989" t="str">
        <f>HYPERLINK("https://github.com/aws-amplify/amplify-android", "show")</f>
        <v>show</v>
      </c>
      <c r="H6989" t="str">
        <f>HYPERLINK("https://github.com/aws-amplify/amplify-android/releases", "show")</f>
        <v>show</v>
      </c>
      <c r="I6989">
        <v>1</v>
      </c>
      <c r="J6989">
        <v>0</v>
      </c>
      <c r="K6989">
        <v>1</v>
      </c>
      <c r="L6989">
        <v>0</v>
      </c>
      <c r="M6989" t="s">
        <v>64</v>
      </c>
    </row>
    <row r="6990" spans="1:13" hidden="1" x14ac:dyDescent="0.15">
      <c r="A6990" t="s">
        <v>21862</v>
      </c>
      <c r="B6990" t="s">
        <v>21863</v>
      </c>
      <c r="C6990" t="s">
        <v>21864</v>
      </c>
      <c r="D6990" t="s">
        <v>21843</v>
      </c>
      <c r="E6990">
        <v>149</v>
      </c>
      <c r="F6990" t="str">
        <f>HYPERLINK("https://github.com/Blankj/AndroidUtilCode/issues/1250", "show")</f>
        <v>show</v>
      </c>
      <c r="G6990" t="str">
        <f>HYPERLINK("https://github.com/Blankj/AndroidUtilCode", "show")</f>
        <v>show</v>
      </c>
      <c r="H6990" t="str">
        <f>HYPERLINK("https://github.com/Blankj/AndroidUtilCode/releases", "show")</f>
        <v>show</v>
      </c>
      <c r="I6990">
        <v>1</v>
      </c>
      <c r="J6990">
        <v>0</v>
      </c>
      <c r="K6990">
        <v>0</v>
      </c>
      <c r="L6990">
        <v>0</v>
      </c>
      <c r="M6990" t="s">
        <v>17</v>
      </c>
    </row>
    <row r="6991" spans="1:13" hidden="1" x14ac:dyDescent="0.15">
      <c r="A6991" t="s">
        <v>21865</v>
      </c>
      <c r="B6991" t="s">
        <v>21866</v>
      </c>
      <c r="C6991" t="s">
        <v>21867</v>
      </c>
      <c r="D6991" t="s">
        <v>21868</v>
      </c>
      <c r="E6991">
        <v>0</v>
      </c>
      <c r="F6991" t="str">
        <f>HYPERLINK("https://github.com/TeamNewPipe/NewPipe/issues/3656", "show")</f>
        <v>show</v>
      </c>
      <c r="G6991" t="str">
        <f>HYPERLINK("https://github.com/TeamNewPipe/NewPipe", "show")</f>
        <v>show</v>
      </c>
      <c r="H6991" t="str">
        <f>HYPERLINK("https://github.com/TeamNewPipe/NewPipe/releases", "show")</f>
        <v>show</v>
      </c>
      <c r="I6991">
        <v>1</v>
      </c>
      <c r="J6991">
        <v>1</v>
      </c>
      <c r="K6991">
        <v>1</v>
      </c>
      <c r="L6991">
        <v>0</v>
      </c>
      <c r="M6991" t="s">
        <v>59</v>
      </c>
    </row>
    <row r="6992" spans="1:13" hidden="1" x14ac:dyDescent="0.15">
      <c r="A6992" t="s">
        <v>21869</v>
      </c>
      <c r="B6992" t="s">
        <v>21870</v>
      </c>
      <c r="C6992" t="s">
        <v>21871</v>
      </c>
      <c r="D6992" t="s">
        <v>21868</v>
      </c>
      <c r="E6992">
        <v>3</v>
      </c>
      <c r="F6992" t="str">
        <f>HYPERLINK("https://github.com/react-native-share/react-native-share/issues/789", "show")</f>
        <v>show</v>
      </c>
      <c r="G6992" t="str">
        <f>HYPERLINK("https://github.com/react-native-share/react-native-share", "show")</f>
        <v>show</v>
      </c>
      <c r="H6992" t="str">
        <f>HYPERLINK("https://github.com/react-native-share/react-native-share/releases", "show")</f>
        <v>show</v>
      </c>
      <c r="I6992">
        <v>1</v>
      </c>
      <c r="J6992">
        <v>1</v>
      </c>
      <c r="K6992">
        <v>0</v>
      </c>
      <c r="L6992">
        <v>0</v>
      </c>
      <c r="M6992" t="s">
        <v>48</v>
      </c>
    </row>
    <row r="6993" spans="1:13" hidden="1" x14ac:dyDescent="0.15">
      <c r="A6993" t="s">
        <v>21872</v>
      </c>
      <c r="B6993" t="s">
        <v>21873</v>
      </c>
      <c r="C6993" t="s">
        <v>21874</v>
      </c>
      <c r="D6993" t="s">
        <v>21868</v>
      </c>
      <c r="E6993">
        <v>2</v>
      </c>
      <c r="F6993" t="str">
        <f>HYPERLINK("https://github.com/k9mail/k-9/issues/4790", "show")</f>
        <v>show</v>
      </c>
      <c r="G6993" t="str">
        <f>HYPERLINK("https://github.com/k9mail/k-9", "show")</f>
        <v>show</v>
      </c>
      <c r="H6993" t="str">
        <f>HYPERLINK("https://github.com/k9mail/k-9/releases", "show")</f>
        <v>show</v>
      </c>
      <c r="I6993">
        <v>1</v>
      </c>
      <c r="J6993">
        <v>1</v>
      </c>
      <c r="K6993">
        <v>0</v>
      </c>
      <c r="L6993">
        <v>0</v>
      </c>
      <c r="M6993" t="s">
        <v>48</v>
      </c>
    </row>
    <row r="6994" spans="1:13" hidden="1" x14ac:dyDescent="0.15">
      <c r="A6994" t="s">
        <v>21875</v>
      </c>
      <c r="B6994" t="s">
        <v>21876</v>
      </c>
      <c r="C6994" t="s">
        <v>21877</v>
      </c>
      <c r="D6994" t="s">
        <v>21868</v>
      </c>
      <c r="E6994">
        <v>147</v>
      </c>
      <c r="F6994" t="str">
        <f>HYPERLINK("https://github.com/k9mail/k-9/issues/4789", "show")</f>
        <v>show</v>
      </c>
      <c r="G6994" t="str">
        <f>HYPERLINK("https://github.com/k9mail/k-9", "show")</f>
        <v>show</v>
      </c>
      <c r="H6994" t="str">
        <f>HYPERLINK("https://github.com/k9mail/k-9/releases", "show")</f>
        <v>show</v>
      </c>
      <c r="I6994">
        <v>0</v>
      </c>
      <c r="J6994">
        <v>1</v>
      </c>
      <c r="K6994">
        <v>1</v>
      </c>
      <c r="L6994">
        <v>0</v>
      </c>
      <c r="M6994" t="s">
        <v>699</v>
      </c>
    </row>
    <row r="6995" spans="1:13" hidden="1" x14ac:dyDescent="0.15">
      <c r="A6995" t="s">
        <v>21878</v>
      </c>
      <c r="B6995" t="s">
        <v>21879</v>
      </c>
      <c r="C6995" t="s">
        <v>21880</v>
      </c>
      <c r="D6995" t="s">
        <v>21881</v>
      </c>
      <c r="E6995">
        <v>2</v>
      </c>
      <c r="F6995" t="str">
        <f>HYPERLINK("https://github.com/square/okhttp/issues/6092", "show")</f>
        <v>show</v>
      </c>
      <c r="G6995" t="str">
        <f>HYPERLINK("https://github.com/square/okhttp", "show")</f>
        <v>show</v>
      </c>
      <c r="H6995" t="str">
        <f>HYPERLINK("https://github.com/square/okhttp/releases", "show")</f>
        <v>show</v>
      </c>
      <c r="I6995">
        <v>1</v>
      </c>
      <c r="J6995">
        <v>0</v>
      </c>
      <c r="K6995">
        <v>0</v>
      </c>
      <c r="L6995">
        <v>0</v>
      </c>
      <c r="M6995" t="s">
        <v>17</v>
      </c>
    </row>
    <row r="6996" spans="1:13" hidden="1" x14ac:dyDescent="0.15">
      <c r="A6996" t="s">
        <v>21882</v>
      </c>
      <c r="B6996" t="s">
        <v>21883</v>
      </c>
      <c r="C6996" t="s">
        <v>21884</v>
      </c>
      <c r="D6996" t="s">
        <v>21881</v>
      </c>
      <c r="E6996">
        <v>7</v>
      </c>
      <c r="F6996" t="str">
        <f>HYPERLINK("https://github.com/opensrp/opensrp-client-reveal/issues/755", "show")</f>
        <v>show</v>
      </c>
      <c r="G6996" t="str">
        <f>HYPERLINK("https://github.com/opensrp/opensrp-client-reveal", "show")</f>
        <v>show</v>
      </c>
      <c r="H6996" t="str">
        <f>HYPERLINK("https://github.com/opensrp/opensrp-client-reveal/releases", "show")</f>
        <v>show</v>
      </c>
      <c r="I6996">
        <v>1</v>
      </c>
      <c r="J6996">
        <v>1</v>
      </c>
      <c r="K6996">
        <v>0</v>
      </c>
      <c r="L6996">
        <v>1</v>
      </c>
      <c r="M6996" t="s">
        <v>1894</v>
      </c>
    </row>
    <row r="6997" spans="1:13" hidden="1" x14ac:dyDescent="0.15">
      <c r="A6997" t="s">
        <v>21885</v>
      </c>
      <c r="B6997" t="s">
        <v>21886</v>
      </c>
      <c r="C6997" t="s">
        <v>21887</v>
      </c>
      <c r="D6997" t="s">
        <v>21881</v>
      </c>
      <c r="E6997">
        <v>30</v>
      </c>
      <c r="F6997" t="str">
        <f>HYPERLINK("https://github.com/amit-schwartz-u/rooMe/issues/124", "show")</f>
        <v>show</v>
      </c>
      <c r="G6997" t="str">
        <f>HYPERLINK("https://github.com/amit-schwartz-u/rooMe", "show")</f>
        <v>show</v>
      </c>
      <c r="H6997" t="str">
        <f>HYPERLINK("https://github.com/amit-schwartz-u/rooMe/releases", "show")</f>
        <v>show</v>
      </c>
      <c r="I6997">
        <v>1</v>
      </c>
      <c r="J6997">
        <v>0</v>
      </c>
      <c r="K6997">
        <v>0</v>
      </c>
      <c r="L6997">
        <v>0</v>
      </c>
      <c r="M6997" t="s">
        <v>17</v>
      </c>
    </row>
    <row r="6998" spans="1:13" hidden="1" x14ac:dyDescent="0.15">
      <c r="A6998" t="s">
        <v>21888</v>
      </c>
      <c r="B6998" t="s">
        <v>21889</v>
      </c>
      <c r="C6998" t="s">
        <v>21890</v>
      </c>
      <c r="D6998" t="s">
        <v>21881</v>
      </c>
      <c r="E6998">
        <v>30</v>
      </c>
      <c r="F6998" t="str">
        <f>HYPERLINK("https://github.com/amit-schwartz-u/rooMe/issues/123", "show")</f>
        <v>show</v>
      </c>
      <c r="G6998" t="str">
        <f>HYPERLINK("https://github.com/amit-schwartz-u/rooMe", "show")</f>
        <v>show</v>
      </c>
      <c r="H6998" t="str">
        <f>HYPERLINK("https://github.com/amit-schwartz-u/rooMe/releases", "show")</f>
        <v>show</v>
      </c>
      <c r="I6998">
        <v>0</v>
      </c>
      <c r="J6998">
        <v>0</v>
      </c>
      <c r="K6998">
        <v>0</v>
      </c>
      <c r="L6998">
        <v>0</v>
      </c>
      <c r="M6998" t="s">
        <v>43</v>
      </c>
    </row>
    <row r="6999" spans="1:13" hidden="1" x14ac:dyDescent="0.15">
      <c r="A6999" t="s">
        <v>21891</v>
      </c>
      <c r="B6999" t="s">
        <v>21892</v>
      </c>
      <c r="C6999" t="s">
        <v>21893</v>
      </c>
      <c r="D6999" t="s">
        <v>21881</v>
      </c>
      <c r="E6999">
        <v>1</v>
      </c>
      <c r="F6999" t="str">
        <f>HYPERLINK("https://github.com/material-components/material-components-android/issues/1331", "show")</f>
        <v>show</v>
      </c>
      <c r="G6999" t="str">
        <f>HYPERLINK("https://github.com/material-components/material-components-android", "show")</f>
        <v>show</v>
      </c>
      <c r="H6999" t="str">
        <f>HYPERLINK("https://github.com/material-components/material-components-android/releases", "show")</f>
        <v>show</v>
      </c>
      <c r="I6999">
        <v>1</v>
      </c>
      <c r="J6999">
        <v>0</v>
      </c>
      <c r="K6999">
        <v>0</v>
      </c>
      <c r="L6999">
        <v>0</v>
      </c>
      <c r="M6999" t="s">
        <v>17</v>
      </c>
    </row>
    <row r="7000" spans="1:13" hidden="1" x14ac:dyDescent="0.15">
      <c r="A7000" t="s">
        <v>21894</v>
      </c>
      <c r="B7000" t="s">
        <v>21895</v>
      </c>
      <c r="C7000" t="s">
        <v>21896</v>
      </c>
      <c r="D7000" t="s">
        <v>21897</v>
      </c>
      <c r="E7000">
        <v>96</v>
      </c>
      <c r="F7000" t="str">
        <f>HYPERLINK("https://github.com/nextcloud/android/issues/6149", "show")</f>
        <v>show</v>
      </c>
      <c r="G7000" t="str">
        <f>HYPERLINK("https://github.com/nextcloud/android", "show")</f>
        <v>show</v>
      </c>
      <c r="H7000" t="str">
        <f>HYPERLINK("https://github.com/nextcloud/android/releases", "show")</f>
        <v>show</v>
      </c>
      <c r="I7000">
        <v>1</v>
      </c>
      <c r="J7000">
        <v>0</v>
      </c>
      <c r="K7000">
        <v>1</v>
      </c>
      <c r="L7000">
        <v>0</v>
      </c>
      <c r="M7000" t="s">
        <v>64</v>
      </c>
    </row>
    <row r="7001" spans="1:13" hidden="1" x14ac:dyDescent="0.15">
      <c r="A7001" t="s">
        <v>21898</v>
      </c>
      <c r="B7001" t="s">
        <v>21899</v>
      </c>
      <c r="C7001" t="s">
        <v>21900</v>
      </c>
      <c r="D7001" t="s">
        <v>21897</v>
      </c>
      <c r="E7001">
        <v>181</v>
      </c>
      <c r="F7001" t="str">
        <f>HYPERLINK("https://github.com/TeamNewPipe/NewPipe/issues/3646", "show")</f>
        <v>show</v>
      </c>
      <c r="G7001" t="str">
        <f>HYPERLINK("https://github.com/TeamNewPipe/NewPipe", "show")</f>
        <v>show</v>
      </c>
      <c r="H7001" t="str">
        <f>HYPERLINK("https://github.com/TeamNewPipe/NewPipe/releases", "show")</f>
        <v>show</v>
      </c>
      <c r="I7001">
        <v>1</v>
      </c>
      <c r="J7001">
        <v>0</v>
      </c>
      <c r="K7001">
        <v>1</v>
      </c>
      <c r="L7001">
        <v>1</v>
      </c>
      <c r="M7001" t="s">
        <v>1259</v>
      </c>
    </row>
    <row r="7002" spans="1:13" hidden="1" x14ac:dyDescent="0.15">
      <c r="A7002" t="s">
        <v>21901</v>
      </c>
      <c r="B7002" t="s">
        <v>21902</v>
      </c>
      <c r="D7002" t="s">
        <v>21903</v>
      </c>
      <c r="E7002">
        <v>66</v>
      </c>
      <c r="F7002" t="str">
        <f>HYPERLINK("https://github.com/vietcuongk99/HowLongYouPlay/issues/3", "show")</f>
        <v>show</v>
      </c>
      <c r="G7002" t="str">
        <f>HYPERLINK("https://github.com/vietcuongk99/HowLongYouPlay", "show")</f>
        <v>show</v>
      </c>
      <c r="H7002" t="str">
        <f>HYPERLINK("https://github.com/vietcuongk99/HowLongYouPlay/releases", "show")</f>
        <v>show</v>
      </c>
      <c r="I7002">
        <v>1</v>
      </c>
      <c r="J7002">
        <v>0</v>
      </c>
      <c r="K7002">
        <v>0</v>
      </c>
      <c r="L7002">
        <v>0</v>
      </c>
      <c r="M7002" t="s">
        <v>17</v>
      </c>
    </row>
    <row r="7003" spans="1:13" hidden="1" x14ac:dyDescent="0.15">
      <c r="A7003" t="s">
        <v>21904</v>
      </c>
      <c r="B7003" t="s">
        <v>21905</v>
      </c>
      <c r="C7003" t="s">
        <v>21906</v>
      </c>
      <c r="D7003" t="s">
        <v>21903</v>
      </c>
      <c r="E7003">
        <v>2</v>
      </c>
      <c r="F7003" t="str">
        <f>HYPERLINK("https://github.com/Rajawali/Rajawali/issues/2179", "show")</f>
        <v>show</v>
      </c>
      <c r="G7003" t="str">
        <f>HYPERLINK("https://github.com/Rajawali/Rajawali", "show")</f>
        <v>show</v>
      </c>
      <c r="H7003" t="str">
        <f>HYPERLINK("https://github.com/Rajawali/Rajawali/releases", "show")</f>
        <v>show</v>
      </c>
      <c r="I7003">
        <v>1</v>
      </c>
      <c r="J7003">
        <v>1</v>
      </c>
      <c r="K7003">
        <v>0</v>
      </c>
      <c r="L7003">
        <v>0</v>
      </c>
      <c r="M7003" t="s">
        <v>48</v>
      </c>
    </row>
    <row r="7004" spans="1:13" hidden="1" x14ac:dyDescent="0.15">
      <c r="A7004" t="s">
        <v>21907</v>
      </c>
      <c r="B7004" t="s">
        <v>21908</v>
      </c>
      <c r="C7004" t="s">
        <v>21909</v>
      </c>
      <c r="D7004" t="s">
        <v>21910</v>
      </c>
      <c r="E7004">
        <v>5</v>
      </c>
      <c r="F7004" t="str">
        <f>HYPERLINK("https://github.com/DantSu/ESCPOS-ThermalPrinter-Android/issues/10", "show")</f>
        <v>show</v>
      </c>
      <c r="G7004" t="str">
        <f>HYPERLINK("https://github.com/DantSu/ESCPOS-ThermalPrinter-Android", "show")</f>
        <v>show</v>
      </c>
      <c r="H7004" t="str">
        <f>HYPERLINK("https://github.com/DantSu/ESCPOS-ThermalPrinter-Android/releases", "show")</f>
        <v>show</v>
      </c>
      <c r="I7004">
        <v>0</v>
      </c>
      <c r="J7004">
        <v>0</v>
      </c>
      <c r="K7004">
        <v>0</v>
      </c>
      <c r="L7004">
        <v>0</v>
      </c>
      <c r="M7004" t="s">
        <v>43</v>
      </c>
    </row>
    <row r="7005" spans="1:13" hidden="1" x14ac:dyDescent="0.15">
      <c r="A7005" t="s">
        <v>21911</v>
      </c>
      <c r="B7005" t="s">
        <v>21912</v>
      </c>
      <c r="C7005" t="s">
        <v>21913</v>
      </c>
      <c r="D7005" t="s">
        <v>21910</v>
      </c>
      <c r="E7005">
        <v>3</v>
      </c>
      <c r="F7005" t="str">
        <f>HYPERLINK("https://github.com/nextcloud/android/issues/6133", "show")</f>
        <v>show</v>
      </c>
      <c r="G7005" t="str">
        <f>HYPERLINK("https://github.com/nextcloud/android", "show")</f>
        <v>show</v>
      </c>
      <c r="H7005" t="str">
        <f>HYPERLINK("https://github.com/nextcloud/android/releases", "show")</f>
        <v>show</v>
      </c>
      <c r="I7005">
        <v>1</v>
      </c>
      <c r="J7005">
        <v>1</v>
      </c>
      <c r="K7005">
        <v>1</v>
      </c>
      <c r="L7005">
        <v>0</v>
      </c>
      <c r="M7005" t="s">
        <v>59</v>
      </c>
    </row>
    <row r="7006" spans="1:13" hidden="1" x14ac:dyDescent="0.15">
      <c r="A7006" t="s">
        <v>21914</v>
      </c>
      <c r="B7006" t="s">
        <v>21915</v>
      </c>
      <c r="C7006" t="s">
        <v>21916</v>
      </c>
      <c r="D7006" t="s">
        <v>21910</v>
      </c>
      <c r="E7006">
        <v>0</v>
      </c>
      <c r="F7006" t="str">
        <f>HYPERLINK("https://github.com/square/okhttp/issues/6079", "show")</f>
        <v>show</v>
      </c>
      <c r="G7006" t="str">
        <f>HYPERLINK("https://github.com/square/okhttp", "show")</f>
        <v>show</v>
      </c>
      <c r="H7006" t="str">
        <f>HYPERLINK("https://github.com/square/okhttp/releases", "show")</f>
        <v>show</v>
      </c>
      <c r="I7006">
        <v>1</v>
      </c>
      <c r="J7006">
        <v>0</v>
      </c>
      <c r="K7006">
        <v>0</v>
      </c>
      <c r="L7006">
        <v>0</v>
      </c>
      <c r="M7006" t="s">
        <v>17</v>
      </c>
    </row>
    <row r="7007" spans="1:13" hidden="1" x14ac:dyDescent="0.15">
      <c r="A7007" t="s">
        <v>21917</v>
      </c>
      <c r="B7007" t="s">
        <v>21918</v>
      </c>
      <c r="C7007" t="s">
        <v>21919</v>
      </c>
      <c r="D7007" t="s">
        <v>21910</v>
      </c>
      <c r="E7007">
        <v>1</v>
      </c>
      <c r="F7007" t="str">
        <f>HYPERLINK("https://github.com/Miguel9r/CS179J-Team10/issues/7", "show")</f>
        <v>show</v>
      </c>
      <c r="G7007" t="str">
        <f>HYPERLINK("https://github.com/Miguel9r/CS179J-Team10", "show")</f>
        <v>show</v>
      </c>
      <c r="H7007" t="str">
        <f>HYPERLINK("https://github.com/Miguel9r/CS179J-Team10/releases", "show")</f>
        <v>show</v>
      </c>
      <c r="I7007">
        <v>1</v>
      </c>
      <c r="J7007">
        <v>0</v>
      </c>
      <c r="K7007">
        <v>0</v>
      </c>
      <c r="L7007">
        <v>1</v>
      </c>
      <c r="M7007" t="s">
        <v>29</v>
      </c>
    </row>
    <row r="7008" spans="1:13" hidden="1" x14ac:dyDescent="0.15">
      <c r="A7008" t="s">
        <v>21920</v>
      </c>
      <c r="B7008" t="s">
        <v>21921</v>
      </c>
      <c r="C7008" t="s">
        <v>21922</v>
      </c>
      <c r="D7008" t="s">
        <v>21923</v>
      </c>
      <c r="E7008">
        <v>67</v>
      </c>
      <c r="F7008" t="str">
        <f>HYPERLINK("https://github.com/nextcloud/android/issues/6127", "show")</f>
        <v>show</v>
      </c>
      <c r="G7008" t="str">
        <f>HYPERLINK("https://github.com/nextcloud/android", "show")</f>
        <v>show</v>
      </c>
      <c r="H7008" t="str">
        <f>HYPERLINK("https://github.com/nextcloud/android/releases", "show")</f>
        <v>show</v>
      </c>
      <c r="I7008">
        <v>1</v>
      </c>
      <c r="J7008">
        <v>1</v>
      </c>
      <c r="K7008">
        <v>1</v>
      </c>
      <c r="L7008">
        <v>0</v>
      </c>
      <c r="M7008" t="s">
        <v>59</v>
      </c>
    </row>
    <row r="7009" spans="1:13" hidden="1" x14ac:dyDescent="0.15">
      <c r="A7009" t="s">
        <v>21924</v>
      </c>
      <c r="B7009" t="s">
        <v>21925</v>
      </c>
      <c r="D7009" t="s">
        <v>21923</v>
      </c>
      <c r="E7009">
        <v>15</v>
      </c>
      <c r="F7009" t="str">
        <f>HYPERLINK("https://github.com/TrackerControl/tracker-control-android/issues/52", "show")</f>
        <v>show</v>
      </c>
      <c r="G7009" t="str">
        <f>HYPERLINK("https://github.com/TrackerControl/tracker-control-android", "show")</f>
        <v>show</v>
      </c>
      <c r="H7009" t="str">
        <f>HYPERLINK("https://github.com/TrackerControl/tracker-control-android/releases", "show")</f>
        <v>show</v>
      </c>
      <c r="I7009">
        <v>1</v>
      </c>
      <c r="J7009">
        <v>0</v>
      </c>
      <c r="K7009">
        <v>0</v>
      </c>
      <c r="L7009">
        <v>0</v>
      </c>
      <c r="M7009" t="s">
        <v>17</v>
      </c>
    </row>
    <row r="7010" spans="1:13" hidden="1" x14ac:dyDescent="0.15">
      <c r="A7010" t="s">
        <v>21926</v>
      </c>
      <c r="B7010" t="s">
        <v>21927</v>
      </c>
      <c r="C7010" t="s">
        <v>21928</v>
      </c>
      <c r="D7010" t="s">
        <v>21923</v>
      </c>
      <c r="E7010">
        <v>0</v>
      </c>
      <c r="F7010" t="str">
        <f>HYPERLINK("https://github.com/commons-app/apps-android-commons/issues/3763", "show")</f>
        <v>show</v>
      </c>
      <c r="G7010" t="str">
        <f>HYPERLINK("https://github.com/commons-app/apps-android-commons", "show")</f>
        <v>show</v>
      </c>
      <c r="H7010" t="str">
        <f>HYPERLINK("https://github.com/commons-app/apps-android-commons/releases", "show")</f>
        <v>show</v>
      </c>
      <c r="I7010">
        <v>1</v>
      </c>
      <c r="J7010">
        <v>1</v>
      </c>
      <c r="K7010">
        <v>1</v>
      </c>
      <c r="L7010">
        <v>0</v>
      </c>
      <c r="M7010" t="s">
        <v>59</v>
      </c>
    </row>
    <row r="7011" spans="1:13" hidden="1" x14ac:dyDescent="0.15">
      <c r="A7011" t="s">
        <v>21929</v>
      </c>
      <c r="B7011" t="s">
        <v>21930</v>
      </c>
      <c r="C7011" t="s">
        <v>21931</v>
      </c>
      <c r="D7011" t="s">
        <v>21923</v>
      </c>
      <c r="E7011">
        <v>1</v>
      </c>
      <c r="F7011" t="str">
        <f>HYPERLINK("https://github.com/nextcloud/android/issues/6124", "show")</f>
        <v>show</v>
      </c>
      <c r="G7011" t="str">
        <f>HYPERLINK("https://github.com/nextcloud/android", "show")</f>
        <v>show</v>
      </c>
      <c r="H7011" t="str">
        <f>HYPERLINK("https://github.com/nextcloud/android/releases", "show")</f>
        <v>show</v>
      </c>
      <c r="I7011">
        <v>1</v>
      </c>
      <c r="J7011">
        <v>1</v>
      </c>
      <c r="K7011">
        <v>1</v>
      </c>
      <c r="L7011">
        <v>0</v>
      </c>
      <c r="M7011" t="s">
        <v>59</v>
      </c>
    </row>
    <row r="7012" spans="1:13" hidden="1" x14ac:dyDescent="0.15">
      <c r="A7012" t="s">
        <v>21932</v>
      </c>
      <c r="B7012" t="s">
        <v>21933</v>
      </c>
      <c r="D7012" t="s">
        <v>21923</v>
      </c>
      <c r="E7012">
        <v>0</v>
      </c>
      <c r="F7012" t="str">
        <f>HYPERLINK("https://github.com/7LPdWcaW/GrowTracker-Android/issues/208", "show")</f>
        <v>show</v>
      </c>
      <c r="G7012" t="str">
        <f>HYPERLINK("https://github.com/7LPdWcaW/GrowTracker-Android", "show")</f>
        <v>show</v>
      </c>
      <c r="H7012" t="str">
        <f>HYPERLINK("https://github.com/7LPdWcaW/GrowTracker-Android/releases", "show")</f>
        <v>show</v>
      </c>
      <c r="I7012">
        <v>0</v>
      </c>
      <c r="J7012">
        <v>0</v>
      </c>
      <c r="K7012">
        <v>0</v>
      </c>
      <c r="L7012">
        <v>0</v>
      </c>
      <c r="M7012" t="s">
        <v>43</v>
      </c>
    </row>
    <row r="7013" spans="1:13" hidden="1" x14ac:dyDescent="0.15">
      <c r="A7013" t="s">
        <v>21934</v>
      </c>
      <c r="B7013" t="s">
        <v>21935</v>
      </c>
      <c r="C7013" t="s">
        <v>21936</v>
      </c>
      <c r="D7013" t="s">
        <v>21937</v>
      </c>
      <c r="E7013">
        <v>65</v>
      </c>
      <c r="F7013" t="str">
        <f>HYPERLINK("https://github.com/S2-group/NAPPA/issues/26", "show")</f>
        <v>show</v>
      </c>
      <c r="G7013" t="str">
        <f>HYPERLINK("https://github.com/S2-group/NAPPA", "show")</f>
        <v>show</v>
      </c>
      <c r="H7013" t="str">
        <f>HYPERLINK("https://github.com/S2-group/NAPPA/releases", "show")</f>
        <v>show</v>
      </c>
      <c r="I7013">
        <v>1</v>
      </c>
      <c r="J7013">
        <v>1</v>
      </c>
      <c r="K7013">
        <v>1</v>
      </c>
      <c r="L7013">
        <v>0</v>
      </c>
      <c r="M7013" t="s">
        <v>59</v>
      </c>
    </row>
    <row r="7014" spans="1:13" hidden="1" x14ac:dyDescent="0.15">
      <c r="A7014" t="s">
        <v>21938</v>
      </c>
      <c r="B7014" t="s">
        <v>21939</v>
      </c>
      <c r="C7014" t="s">
        <v>21940</v>
      </c>
      <c r="D7014" t="s">
        <v>21941</v>
      </c>
      <c r="E7014">
        <v>0</v>
      </c>
      <c r="F7014" t="str">
        <f>HYPERLINK("https://github.com/ElderDrivers/EdXposed/issues/554", "show")</f>
        <v>show</v>
      </c>
      <c r="G7014" t="str">
        <f>HYPERLINK("https://github.com/ElderDrivers/EdXposed", "show")</f>
        <v>show</v>
      </c>
      <c r="H7014" t="str">
        <f>HYPERLINK("https://github.com/ElderDrivers/EdXposed/releases", "show")</f>
        <v>show</v>
      </c>
      <c r="I7014">
        <v>0</v>
      </c>
      <c r="J7014">
        <v>0</v>
      </c>
      <c r="K7014">
        <v>0</v>
      </c>
      <c r="L7014">
        <v>0</v>
      </c>
      <c r="M7014" t="s">
        <v>43</v>
      </c>
    </row>
    <row r="7015" spans="1:13" hidden="1" x14ac:dyDescent="0.15">
      <c r="A7015" t="s">
        <v>21942</v>
      </c>
      <c r="B7015" t="s">
        <v>21943</v>
      </c>
      <c r="C7015" t="s">
        <v>21944</v>
      </c>
      <c r="D7015" t="s">
        <v>21941</v>
      </c>
      <c r="E7015">
        <v>0</v>
      </c>
      <c r="F7015" t="str">
        <f>HYPERLINK("https://github.com/nextcloud/android/issues/6111", "show")</f>
        <v>show</v>
      </c>
      <c r="G7015" t="str">
        <f>HYPERLINK("https://github.com/nextcloud/android", "show")</f>
        <v>show</v>
      </c>
      <c r="H7015" t="str">
        <f>HYPERLINK("https://github.com/nextcloud/android/releases", "show")</f>
        <v>show</v>
      </c>
      <c r="I7015">
        <v>0</v>
      </c>
      <c r="J7015">
        <v>1</v>
      </c>
      <c r="K7015">
        <v>1</v>
      </c>
      <c r="L7015">
        <v>0</v>
      </c>
      <c r="M7015" t="s">
        <v>699</v>
      </c>
    </row>
    <row r="7016" spans="1:13" hidden="1" x14ac:dyDescent="0.15">
      <c r="A7016" t="s">
        <v>21945</v>
      </c>
      <c r="B7016" t="s">
        <v>21946</v>
      </c>
      <c r="C7016" t="s">
        <v>21947</v>
      </c>
      <c r="D7016" t="s">
        <v>21941</v>
      </c>
      <c r="E7016">
        <v>3</v>
      </c>
      <c r="F7016" t="str">
        <f>HYPERLINK("https://github.com/nextcloud/android/issues/6109", "show")</f>
        <v>show</v>
      </c>
      <c r="G7016" t="str">
        <f>HYPERLINK("https://github.com/nextcloud/android", "show")</f>
        <v>show</v>
      </c>
      <c r="H7016" t="str">
        <f>HYPERLINK("https://github.com/nextcloud/android/releases", "show")</f>
        <v>show</v>
      </c>
      <c r="I7016">
        <v>1</v>
      </c>
      <c r="J7016">
        <v>0</v>
      </c>
      <c r="K7016">
        <v>0</v>
      </c>
      <c r="L7016">
        <v>0</v>
      </c>
      <c r="M7016" t="s">
        <v>17</v>
      </c>
    </row>
    <row r="7017" spans="1:13" hidden="1" x14ac:dyDescent="0.15">
      <c r="A7017" t="s">
        <v>21948</v>
      </c>
      <c r="B7017" t="s">
        <v>21949</v>
      </c>
      <c r="C7017" t="s">
        <v>20390</v>
      </c>
      <c r="D7017" t="s">
        <v>21941</v>
      </c>
      <c r="E7017">
        <v>0</v>
      </c>
      <c r="F7017" t="str">
        <f>HYPERLINK("https://github.com/TeamNewPipe/NewPipe/issues/3620", "show")</f>
        <v>show</v>
      </c>
      <c r="G7017" t="str">
        <f>HYPERLINK("https://github.com/TeamNewPipe/NewPipe", "show")</f>
        <v>show</v>
      </c>
      <c r="H7017" t="str">
        <f>HYPERLINK("https://github.com/TeamNewPipe/NewPipe/releases", "show")</f>
        <v>show</v>
      </c>
      <c r="I7017">
        <v>1</v>
      </c>
      <c r="J7017">
        <v>1</v>
      </c>
      <c r="K7017">
        <v>0</v>
      </c>
      <c r="L7017">
        <v>0</v>
      </c>
      <c r="M7017" t="s">
        <v>48</v>
      </c>
    </row>
    <row r="7018" spans="1:13" hidden="1" x14ac:dyDescent="0.15">
      <c r="A7018" t="s">
        <v>21950</v>
      </c>
      <c r="B7018" t="s">
        <v>21951</v>
      </c>
      <c r="C7018" t="s">
        <v>21952</v>
      </c>
      <c r="D7018" t="s">
        <v>21941</v>
      </c>
      <c r="E7018">
        <v>1</v>
      </c>
      <c r="F7018" t="str">
        <f>HYPERLINK("https://github.com/nextcloud/android/issues/6106", "show")</f>
        <v>show</v>
      </c>
      <c r="G7018" t="str">
        <f>HYPERLINK("https://github.com/nextcloud/android", "show")</f>
        <v>show</v>
      </c>
      <c r="H7018" t="str">
        <f>HYPERLINK("https://github.com/nextcloud/android/releases", "show")</f>
        <v>show</v>
      </c>
      <c r="I7018">
        <v>1</v>
      </c>
      <c r="J7018">
        <v>0</v>
      </c>
      <c r="K7018">
        <v>1</v>
      </c>
      <c r="L7018">
        <v>0</v>
      </c>
      <c r="M7018" t="s">
        <v>64</v>
      </c>
    </row>
    <row r="7019" spans="1:13" hidden="1" x14ac:dyDescent="0.15">
      <c r="A7019" t="s">
        <v>21953</v>
      </c>
      <c r="B7019" t="s">
        <v>21954</v>
      </c>
      <c r="C7019" t="s">
        <v>21955</v>
      </c>
      <c r="D7019" t="s">
        <v>21941</v>
      </c>
      <c r="E7019">
        <v>2</v>
      </c>
      <c r="F7019" t="str">
        <f>HYPERLINK("https://github.com/7LPdWcaW/GrowTracker-Android/issues/207", "show")</f>
        <v>show</v>
      </c>
      <c r="G7019" t="str">
        <f>HYPERLINK("https://github.com/7LPdWcaW/GrowTracker-Android", "show")</f>
        <v>show</v>
      </c>
      <c r="H7019" t="str">
        <f>HYPERLINK("https://github.com/7LPdWcaW/GrowTracker-Android/releases", "show")</f>
        <v>show</v>
      </c>
      <c r="I7019">
        <v>1</v>
      </c>
      <c r="J7019">
        <v>0</v>
      </c>
      <c r="K7019">
        <v>0</v>
      </c>
      <c r="L7019">
        <v>0</v>
      </c>
      <c r="M7019" t="s">
        <v>17</v>
      </c>
    </row>
    <row r="7020" spans="1:13" hidden="1" x14ac:dyDescent="0.15">
      <c r="A7020" t="s">
        <v>21956</v>
      </c>
      <c r="B7020" t="s">
        <v>21957</v>
      </c>
      <c r="C7020" t="s">
        <v>21958</v>
      </c>
      <c r="D7020" t="s">
        <v>21959</v>
      </c>
      <c r="E7020">
        <v>65</v>
      </c>
      <c r="F7020" t="str">
        <f>HYPERLINK("https://github.com/ankidroid/Anki-Android/issues/6216", "show")</f>
        <v>show</v>
      </c>
      <c r="G7020" t="str">
        <f>HYPERLINK("https://github.com/ankidroid/Anki-Android", "show")</f>
        <v>show</v>
      </c>
      <c r="H7020" t="str">
        <f>HYPERLINK("https://github.com/ankidroid/Anki-Android/releases", "show")</f>
        <v>show</v>
      </c>
      <c r="I7020">
        <v>0</v>
      </c>
      <c r="J7020">
        <v>0</v>
      </c>
      <c r="K7020">
        <v>0</v>
      </c>
      <c r="L7020">
        <v>0</v>
      </c>
      <c r="M7020" t="s">
        <v>43</v>
      </c>
    </row>
    <row r="7021" spans="1:13" hidden="1" x14ac:dyDescent="0.15">
      <c r="A7021" t="s">
        <v>21960</v>
      </c>
      <c r="B7021" t="s">
        <v>21961</v>
      </c>
      <c r="C7021" t="s">
        <v>21962</v>
      </c>
      <c r="D7021" t="s">
        <v>21959</v>
      </c>
      <c r="E7021">
        <v>58</v>
      </c>
      <c r="F7021" t="str">
        <f>HYPERLINK("https://github.com/square/reader-sdk-flutter-plugin/issues/45", "show")</f>
        <v>show</v>
      </c>
      <c r="G7021" t="str">
        <f>HYPERLINK("https://github.com/square/reader-sdk-flutter-plugin", "show")</f>
        <v>show</v>
      </c>
      <c r="H7021" t="str">
        <f>HYPERLINK("https://github.com/square/reader-sdk-flutter-plugin/releases", "show")</f>
        <v>show</v>
      </c>
      <c r="I7021">
        <v>1</v>
      </c>
      <c r="J7021">
        <v>0</v>
      </c>
      <c r="K7021">
        <v>0</v>
      </c>
      <c r="L7021">
        <v>0</v>
      </c>
      <c r="M7021" t="s">
        <v>17</v>
      </c>
    </row>
    <row r="7022" spans="1:13" hidden="1" x14ac:dyDescent="0.15">
      <c r="A7022" t="s">
        <v>21963</v>
      </c>
      <c r="B7022" t="s">
        <v>21964</v>
      </c>
      <c r="C7022" t="s">
        <v>21965</v>
      </c>
      <c r="D7022" t="s">
        <v>21959</v>
      </c>
      <c r="E7022">
        <v>2</v>
      </c>
      <c r="F7022" t="str">
        <f>HYPERLINK("https://github.com/nextcloud/android/issues/6100", "show")</f>
        <v>show</v>
      </c>
      <c r="G7022" t="str">
        <f>HYPERLINK("https://github.com/nextcloud/android", "show")</f>
        <v>show</v>
      </c>
      <c r="H7022" t="str">
        <f>HYPERLINK("https://github.com/nextcloud/android/releases", "show")</f>
        <v>show</v>
      </c>
      <c r="I7022">
        <v>1</v>
      </c>
      <c r="J7022">
        <v>0</v>
      </c>
      <c r="K7022">
        <v>0</v>
      </c>
      <c r="L7022">
        <v>0</v>
      </c>
      <c r="M7022" t="s">
        <v>17</v>
      </c>
    </row>
    <row r="7023" spans="1:13" hidden="1" x14ac:dyDescent="0.15">
      <c r="A7023" t="s">
        <v>21966</v>
      </c>
      <c r="B7023" t="s">
        <v>21967</v>
      </c>
      <c r="C7023" t="s">
        <v>21968</v>
      </c>
      <c r="D7023" t="s">
        <v>21959</v>
      </c>
      <c r="E7023">
        <v>68</v>
      </c>
      <c r="F7023" t="str">
        <f>HYPERLINK("https://github.com/nextcloud/android/issues/6099", "show")</f>
        <v>show</v>
      </c>
      <c r="G7023" t="str">
        <f>HYPERLINK("https://github.com/nextcloud/android", "show")</f>
        <v>show</v>
      </c>
      <c r="H7023" t="str">
        <f>HYPERLINK("https://github.com/nextcloud/android/releases", "show")</f>
        <v>show</v>
      </c>
      <c r="I7023">
        <v>0</v>
      </c>
      <c r="J7023">
        <v>0</v>
      </c>
      <c r="K7023">
        <v>1</v>
      </c>
      <c r="L7023">
        <v>0</v>
      </c>
      <c r="M7023" t="s">
        <v>122</v>
      </c>
    </row>
    <row r="7024" spans="1:13" hidden="1" x14ac:dyDescent="0.15">
      <c r="A7024" t="s">
        <v>21969</v>
      </c>
      <c r="B7024" t="s">
        <v>21970</v>
      </c>
      <c r="C7024" t="s">
        <v>21971</v>
      </c>
      <c r="D7024" t="s">
        <v>21972</v>
      </c>
      <c r="E7024">
        <v>0</v>
      </c>
      <c r="F7024" t="str">
        <f>HYPERLINK("https://github.com/TeamNewPipe/NewPipe/issues/3605", "show")</f>
        <v>show</v>
      </c>
      <c r="G7024" t="str">
        <f>HYPERLINK("https://github.com/TeamNewPipe/NewPipe", "show")</f>
        <v>show</v>
      </c>
      <c r="H7024" t="str">
        <f>HYPERLINK("https://github.com/TeamNewPipe/NewPipe/releases", "show")</f>
        <v>show</v>
      </c>
      <c r="I7024">
        <v>1</v>
      </c>
      <c r="J7024">
        <v>1</v>
      </c>
      <c r="K7024">
        <v>0</v>
      </c>
      <c r="L7024">
        <v>0</v>
      </c>
      <c r="M7024" t="s">
        <v>48</v>
      </c>
    </row>
    <row r="7025" spans="1:13" hidden="1" x14ac:dyDescent="0.15">
      <c r="A7025" t="s">
        <v>21973</v>
      </c>
      <c r="B7025" t="s">
        <v>21974</v>
      </c>
      <c r="C7025" t="s">
        <v>21975</v>
      </c>
      <c r="D7025" t="s">
        <v>21972</v>
      </c>
      <c r="E7025">
        <v>0</v>
      </c>
      <c r="F7025" t="str">
        <f>HYPERLINK("https://github.com/doublesymmetry/react-native-track-player/issues/944", "show")</f>
        <v>show</v>
      </c>
      <c r="G7025" t="str">
        <f>HYPERLINK("https://github.com/doublesymmetry/react-native-track-player", "show")</f>
        <v>show</v>
      </c>
      <c r="H7025" t="str">
        <f>HYPERLINK("https://github.com/doublesymmetry/react-native-track-player/releases", "show")</f>
        <v>show</v>
      </c>
      <c r="I7025">
        <v>1</v>
      </c>
      <c r="J7025">
        <v>0</v>
      </c>
      <c r="K7025">
        <v>0</v>
      </c>
      <c r="L7025">
        <v>0</v>
      </c>
      <c r="M7025" t="s">
        <v>17</v>
      </c>
    </row>
    <row r="7026" spans="1:13" hidden="1" x14ac:dyDescent="0.15">
      <c r="A7026" t="s">
        <v>21976</v>
      </c>
      <c r="B7026" t="s">
        <v>21977</v>
      </c>
      <c r="C7026" t="s">
        <v>21978</v>
      </c>
      <c r="D7026" t="s">
        <v>21972</v>
      </c>
      <c r="E7026">
        <v>450</v>
      </c>
      <c r="F7026" t="str">
        <f>HYPERLINK("https://github.com/doublesymmetry/react-native-track-player/issues/943", "show")</f>
        <v>show</v>
      </c>
      <c r="G7026" t="str">
        <f>HYPERLINK("https://github.com/doublesymmetry/react-native-track-player", "show")</f>
        <v>show</v>
      </c>
      <c r="H7026" t="str">
        <f>HYPERLINK("https://github.com/doublesymmetry/react-native-track-player/releases", "show")</f>
        <v>show</v>
      </c>
      <c r="I7026">
        <v>0</v>
      </c>
      <c r="J7026">
        <v>0</v>
      </c>
      <c r="K7026">
        <v>1</v>
      </c>
      <c r="L7026">
        <v>0</v>
      </c>
      <c r="M7026" t="s">
        <v>122</v>
      </c>
    </row>
    <row r="7027" spans="1:13" hidden="1" x14ac:dyDescent="0.15">
      <c r="A7027" t="s">
        <v>21979</v>
      </c>
      <c r="B7027" t="s">
        <v>21980</v>
      </c>
      <c r="C7027" t="s">
        <v>21981</v>
      </c>
      <c r="D7027" t="s">
        <v>21982</v>
      </c>
      <c r="E7027">
        <v>4</v>
      </c>
      <c r="F7027" t="str">
        <f>HYPERLINK("https://github.com/nextcloud/android/issues/6096", "show")</f>
        <v>show</v>
      </c>
      <c r="G7027" t="str">
        <f>HYPERLINK("https://github.com/nextcloud/android", "show")</f>
        <v>show</v>
      </c>
      <c r="H7027" t="str">
        <f>HYPERLINK("https://github.com/nextcloud/android/releases", "show")</f>
        <v>show</v>
      </c>
      <c r="I7027">
        <v>1</v>
      </c>
      <c r="J7027">
        <v>1</v>
      </c>
      <c r="K7027">
        <v>1</v>
      </c>
      <c r="L7027">
        <v>0</v>
      </c>
      <c r="M7027" t="s">
        <v>59</v>
      </c>
    </row>
    <row r="7028" spans="1:13" hidden="1" x14ac:dyDescent="0.15">
      <c r="A7028" t="s">
        <v>21983</v>
      </c>
      <c r="B7028" t="s">
        <v>21984</v>
      </c>
      <c r="C7028" t="s">
        <v>21985</v>
      </c>
      <c r="D7028" t="s">
        <v>21982</v>
      </c>
      <c r="E7028">
        <v>0</v>
      </c>
      <c r="F7028" t="str">
        <f>HYPERLINK("https://github.com/TeamNewPipe/NewPipe/issues/3601", "show")</f>
        <v>show</v>
      </c>
      <c r="G7028" t="str">
        <f>HYPERLINK("https://github.com/TeamNewPipe/NewPipe", "show")</f>
        <v>show</v>
      </c>
      <c r="H7028" t="str">
        <f>HYPERLINK("https://github.com/TeamNewPipe/NewPipe/releases", "show")</f>
        <v>show</v>
      </c>
      <c r="I7028">
        <v>1</v>
      </c>
      <c r="J7028">
        <v>1</v>
      </c>
      <c r="K7028">
        <v>1</v>
      </c>
      <c r="L7028">
        <v>0</v>
      </c>
      <c r="M7028" t="s">
        <v>59</v>
      </c>
    </row>
    <row r="7029" spans="1:13" hidden="1" x14ac:dyDescent="0.15">
      <c r="A7029" t="s">
        <v>21986</v>
      </c>
      <c r="B7029" t="s">
        <v>21987</v>
      </c>
      <c r="C7029" t="s">
        <v>21988</v>
      </c>
      <c r="D7029" t="s">
        <v>21982</v>
      </c>
      <c r="E7029">
        <v>348</v>
      </c>
      <c r="F7029" t="str">
        <f>HYPERLINK("https://github.com/nextcloud/talk-android/issues/887", "show")</f>
        <v>show</v>
      </c>
      <c r="G7029" t="str">
        <f>HYPERLINK("https://github.com/nextcloud/talk-android", "show")</f>
        <v>show</v>
      </c>
      <c r="H7029" t="str">
        <f>HYPERLINK("https://github.com/nextcloud/talk-android/releases", "show")</f>
        <v>show</v>
      </c>
      <c r="I7029">
        <v>1</v>
      </c>
      <c r="J7029">
        <v>0</v>
      </c>
      <c r="K7029">
        <v>0</v>
      </c>
      <c r="L7029">
        <v>0</v>
      </c>
      <c r="M7029" t="s">
        <v>17</v>
      </c>
    </row>
    <row r="7030" spans="1:13" hidden="1" x14ac:dyDescent="0.15">
      <c r="A7030" t="s">
        <v>21989</v>
      </c>
      <c r="B7030" t="s">
        <v>21990</v>
      </c>
      <c r="C7030" t="s">
        <v>21991</v>
      </c>
      <c r="D7030" t="s">
        <v>21982</v>
      </c>
      <c r="E7030">
        <v>4</v>
      </c>
      <c r="F7030" t="str">
        <f>HYPERLINK("https://github.com/nextcloud/android/issues/6094", "show")</f>
        <v>show</v>
      </c>
      <c r="G7030" t="str">
        <f>HYPERLINK("https://github.com/nextcloud/android", "show")</f>
        <v>show</v>
      </c>
      <c r="H7030" t="str">
        <f>HYPERLINK("https://github.com/nextcloud/android/releases", "show")</f>
        <v>show</v>
      </c>
      <c r="I7030">
        <v>1</v>
      </c>
      <c r="J7030">
        <v>1</v>
      </c>
      <c r="K7030">
        <v>1</v>
      </c>
      <c r="L7030">
        <v>0</v>
      </c>
      <c r="M7030" t="s">
        <v>59</v>
      </c>
    </row>
    <row r="7031" spans="1:13" hidden="1" x14ac:dyDescent="0.15">
      <c r="A7031" t="s">
        <v>21992</v>
      </c>
      <c r="B7031" t="s">
        <v>21993</v>
      </c>
      <c r="C7031" t="s">
        <v>20390</v>
      </c>
      <c r="D7031" t="s">
        <v>21982</v>
      </c>
      <c r="E7031">
        <v>0</v>
      </c>
      <c r="F7031" t="str">
        <f>HYPERLINK("https://github.com/TeamNewPipe/NewPipe/issues/3595", "show")</f>
        <v>show</v>
      </c>
      <c r="G7031" t="str">
        <f>HYPERLINK("https://github.com/TeamNewPipe/NewPipe", "show")</f>
        <v>show</v>
      </c>
      <c r="H7031" t="str">
        <f>HYPERLINK("https://github.com/TeamNewPipe/NewPipe/releases", "show")</f>
        <v>show</v>
      </c>
      <c r="I7031">
        <v>1</v>
      </c>
      <c r="J7031">
        <v>1</v>
      </c>
      <c r="K7031">
        <v>0</v>
      </c>
      <c r="L7031">
        <v>0</v>
      </c>
      <c r="M7031" t="s">
        <v>48</v>
      </c>
    </row>
    <row r="7032" spans="1:13" hidden="1" x14ac:dyDescent="0.15">
      <c r="A7032" t="s">
        <v>21994</v>
      </c>
      <c r="B7032" t="s">
        <v>21995</v>
      </c>
      <c r="C7032" t="s">
        <v>21996</v>
      </c>
      <c r="D7032" t="s">
        <v>21997</v>
      </c>
      <c r="E7032">
        <v>423</v>
      </c>
      <c r="F7032" t="str">
        <f>HYPERLINK("https://github.com/nextcloud/android/issues/6092", "show")</f>
        <v>show</v>
      </c>
      <c r="G7032" t="str">
        <f>HYPERLINK("https://github.com/nextcloud/android", "show")</f>
        <v>show</v>
      </c>
      <c r="H7032" t="str">
        <f>HYPERLINK("https://github.com/nextcloud/android/releases", "show")</f>
        <v>show</v>
      </c>
      <c r="I7032">
        <v>0</v>
      </c>
      <c r="J7032">
        <v>1</v>
      </c>
      <c r="K7032">
        <v>1</v>
      </c>
      <c r="L7032">
        <v>0</v>
      </c>
      <c r="M7032" t="s">
        <v>699</v>
      </c>
    </row>
    <row r="7033" spans="1:13" hidden="1" x14ac:dyDescent="0.15">
      <c r="A7033" t="s">
        <v>21998</v>
      </c>
      <c r="B7033" t="s">
        <v>21999</v>
      </c>
      <c r="C7033" t="s">
        <v>22000</v>
      </c>
      <c r="D7033" t="s">
        <v>21997</v>
      </c>
      <c r="E7033">
        <v>9</v>
      </c>
      <c r="F7033" t="str">
        <f>HYPERLINK("https://github.com/google/google-authenticator-android/issues/119", "show")</f>
        <v>show</v>
      </c>
      <c r="G7033" t="str">
        <f>HYPERLINK("https://github.com/google/google-authenticator-android", "show")</f>
        <v>show</v>
      </c>
      <c r="H7033" t="str">
        <f>HYPERLINK("https://github.com/google/google-authenticator-android/releases", "show")</f>
        <v>show</v>
      </c>
      <c r="I7033">
        <v>0</v>
      </c>
      <c r="J7033">
        <v>1</v>
      </c>
      <c r="K7033">
        <v>1</v>
      </c>
      <c r="L7033">
        <v>0</v>
      </c>
      <c r="M7033" t="s">
        <v>699</v>
      </c>
    </row>
    <row r="7034" spans="1:13" hidden="1" x14ac:dyDescent="0.15">
      <c r="A7034" t="s">
        <v>22001</v>
      </c>
      <c r="B7034" t="s">
        <v>22002</v>
      </c>
      <c r="C7034" t="s">
        <v>22003</v>
      </c>
      <c r="D7034" t="s">
        <v>21997</v>
      </c>
      <c r="E7034">
        <v>365</v>
      </c>
      <c r="F7034" t="str">
        <f>HYPERLINK("https://github.com/nextcloud/talk-android/issues/845", "show")</f>
        <v>show</v>
      </c>
      <c r="G7034" t="str">
        <f>HYPERLINK("https://github.com/nextcloud/talk-android", "show")</f>
        <v>show</v>
      </c>
      <c r="H7034" t="str">
        <f>HYPERLINK("https://github.com/nextcloud/talk-android/releases", "show")</f>
        <v>show</v>
      </c>
      <c r="I7034">
        <v>1</v>
      </c>
      <c r="J7034">
        <v>1</v>
      </c>
      <c r="K7034">
        <v>1</v>
      </c>
      <c r="L7034">
        <v>0</v>
      </c>
      <c r="M7034" t="s">
        <v>59</v>
      </c>
    </row>
    <row r="7035" spans="1:13" hidden="1" x14ac:dyDescent="0.15">
      <c r="A7035" t="s">
        <v>22004</v>
      </c>
      <c r="B7035" t="s">
        <v>22005</v>
      </c>
      <c r="C7035" t="s">
        <v>22006</v>
      </c>
      <c r="D7035" t="s">
        <v>21997</v>
      </c>
      <c r="E7035">
        <v>11</v>
      </c>
      <c r="F7035" t="str">
        <f>HYPERLINK("https://github.com/smartdevicelink/sdl_java_suite/issues/1351", "show")</f>
        <v>show</v>
      </c>
      <c r="G7035" t="str">
        <f>HYPERLINK("https://github.com/smartdevicelink/sdl_java_suite", "show")</f>
        <v>show</v>
      </c>
      <c r="H7035" t="str">
        <f>HYPERLINK("https://github.com/smartdevicelink/sdl_java_suite/releases", "show")</f>
        <v>show</v>
      </c>
      <c r="I7035">
        <v>1</v>
      </c>
      <c r="J7035">
        <v>0</v>
      </c>
      <c r="K7035">
        <v>0</v>
      </c>
      <c r="L7035">
        <v>0</v>
      </c>
      <c r="M7035" t="s">
        <v>17</v>
      </c>
    </row>
    <row r="7036" spans="1:13" hidden="1" x14ac:dyDescent="0.15">
      <c r="A7036" t="s">
        <v>22007</v>
      </c>
      <c r="B7036" t="s">
        <v>22008</v>
      </c>
      <c r="C7036" t="s">
        <v>22009</v>
      </c>
      <c r="D7036" t="s">
        <v>21997</v>
      </c>
      <c r="E7036">
        <v>0</v>
      </c>
      <c r="F7036" t="str">
        <f>HYPERLINK("https://github.com/square/okhttp/issues/6053", "show")</f>
        <v>show</v>
      </c>
      <c r="G7036" t="str">
        <f>HYPERLINK("https://github.com/square/okhttp", "show")</f>
        <v>show</v>
      </c>
      <c r="H7036" t="str">
        <f>HYPERLINK("https://github.com/square/okhttp/releases", "show")</f>
        <v>show</v>
      </c>
      <c r="I7036">
        <v>0</v>
      </c>
      <c r="J7036">
        <v>0</v>
      </c>
      <c r="K7036">
        <v>1</v>
      </c>
      <c r="L7036">
        <v>0</v>
      </c>
      <c r="M7036" t="s">
        <v>122</v>
      </c>
    </row>
    <row r="7037" spans="1:13" hidden="1" x14ac:dyDescent="0.15">
      <c r="A7037" t="s">
        <v>22010</v>
      </c>
      <c r="B7037" t="s">
        <v>22011</v>
      </c>
      <c r="C7037" t="s">
        <v>22012</v>
      </c>
      <c r="D7037" t="s">
        <v>21997</v>
      </c>
      <c r="E7037">
        <v>31</v>
      </c>
      <c r="F7037" t="str">
        <f>HYPERLINK("https://github.com/nikita36078/J2ME-Loader/issues/689", "show")</f>
        <v>show</v>
      </c>
      <c r="G7037" t="str">
        <f>HYPERLINK("https://github.com/nikita36078/J2ME-Loader", "show")</f>
        <v>show</v>
      </c>
      <c r="H7037" t="str">
        <f>HYPERLINK("https://github.com/nikita36078/J2ME-Loader/releases", "show")</f>
        <v>show</v>
      </c>
      <c r="I7037">
        <v>1</v>
      </c>
      <c r="J7037">
        <v>0</v>
      </c>
      <c r="K7037">
        <v>0</v>
      </c>
      <c r="L7037">
        <v>0</v>
      </c>
      <c r="M7037" t="s">
        <v>17</v>
      </c>
    </row>
    <row r="7038" spans="1:13" hidden="1" x14ac:dyDescent="0.15">
      <c r="A7038" t="s">
        <v>22013</v>
      </c>
      <c r="B7038" t="s">
        <v>22014</v>
      </c>
      <c r="C7038" t="s">
        <v>22015</v>
      </c>
      <c r="D7038" t="s">
        <v>21997</v>
      </c>
      <c r="E7038">
        <v>9</v>
      </c>
      <c r="F7038" t="str">
        <f>HYPERLINK("https://github.com/ankidroid/Anki-Android/issues/6184", "show")</f>
        <v>show</v>
      </c>
      <c r="G7038" t="str">
        <f>HYPERLINK("https://github.com/ankidroid/Anki-Android", "show")</f>
        <v>show</v>
      </c>
      <c r="H7038" t="str">
        <f>HYPERLINK("https://github.com/ankidroid/Anki-Android/releases", "show")</f>
        <v>show</v>
      </c>
      <c r="I7038">
        <v>0</v>
      </c>
      <c r="J7038">
        <v>0</v>
      </c>
      <c r="K7038">
        <v>1</v>
      </c>
      <c r="L7038">
        <v>0</v>
      </c>
      <c r="M7038" t="s">
        <v>122</v>
      </c>
    </row>
    <row r="7039" spans="1:13" hidden="1" x14ac:dyDescent="0.15">
      <c r="A7039" t="s">
        <v>22016</v>
      </c>
      <c r="B7039" t="s">
        <v>22017</v>
      </c>
      <c r="C7039" t="s">
        <v>22018</v>
      </c>
      <c r="D7039" t="s">
        <v>21997</v>
      </c>
      <c r="E7039">
        <v>27</v>
      </c>
      <c r="F7039" t="str">
        <f>HYPERLINK("https://github.com/aws-amplify/amplify-android/issues/466", "show")</f>
        <v>show</v>
      </c>
      <c r="G7039" t="str">
        <f>HYPERLINK("https://github.com/aws-amplify/amplify-android", "show")</f>
        <v>show</v>
      </c>
      <c r="H7039" t="str">
        <f>HYPERLINK("https://github.com/aws-amplify/amplify-android/releases", "show")</f>
        <v>show</v>
      </c>
      <c r="I7039">
        <v>1</v>
      </c>
      <c r="J7039">
        <v>0</v>
      </c>
      <c r="K7039">
        <v>1</v>
      </c>
      <c r="L7039">
        <v>0</v>
      </c>
      <c r="M7039" t="s">
        <v>64</v>
      </c>
    </row>
    <row r="7040" spans="1:13" hidden="1" x14ac:dyDescent="0.15">
      <c r="A7040" t="s">
        <v>22019</v>
      </c>
      <c r="B7040" t="s">
        <v>22020</v>
      </c>
      <c r="C7040" t="s">
        <v>22021</v>
      </c>
      <c r="D7040" t="s">
        <v>22022</v>
      </c>
      <c r="E7040">
        <v>1</v>
      </c>
      <c r="F7040" t="str">
        <f>HYPERLINK("https://github.com/TeamNewPipe/NewPipe/issues/3591", "show")</f>
        <v>show</v>
      </c>
      <c r="G7040" t="str">
        <f>HYPERLINK("https://github.com/TeamNewPipe/NewPipe", "show")</f>
        <v>show</v>
      </c>
      <c r="H7040" t="str">
        <f>HYPERLINK("https://github.com/TeamNewPipe/NewPipe/releases", "show")</f>
        <v>show</v>
      </c>
      <c r="I7040">
        <v>1</v>
      </c>
      <c r="J7040">
        <v>1</v>
      </c>
      <c r="K7040">
        <v>0</v>
      </c>
      <c r="L7040">
        <v>1</v>
      </c>
      <c r="M7040" t="s">
        <v>1894</v>
      </c>
    </row>
    <row r="7041" spans="1:13" hidden="1" x14ac:dyDescent="0.15">
      <c r="A7041" t="s">
        <v>22023</v>
      </c>
      <c r="B7041" t="s">
        <v>22024</v>
      </c>
      <c r="C7041" t="s">
        <v>22025</v>
      </c>
      <c r="D7041" t="s">
        <v>22022</v>
      </c>
      <c r="E7041">
        <v>359</v>
      </c>
      <c r="F7041" t="str">
        <f>HYPERLINK("https://github.com/cgeo/cgeo/issues/8343", "show")</f>
        <v>show</v>
      </c>
      <c r="G7041" t="str">
        <f>HYPERLINK("https://github.com/cgeo/cgeo", "show")</f>
        <v>show</v>
      </c>
      <c r="H7041" t="str">
        <f>HYPERLINK("https://github.com/cgeo/cgeo/releases", "show")</f>
        <v>show</v>
      </c>
      <c r="I7041">
        <v>1</v>
      </c>
      <c r="J7041">
        <v>1</v>
      </c>
      <c r="K7041">
        <v>0</v>
      </c>
      <c r="L7041">
        <v>0</v>
      </c>
      <c r="M7041" t="s">
        <v>48</v>
      </c>
    </row>
    <row r="7042" spans="1:13" hidden="1" x14ac:dyDescent="0.15">
      <c r="A7042" t="s">
        <v>22026</v>
      </c>
      <c r="B7042" t="s">
        <v>22027</v>
      </c>
      <c r="C7042" t="s">
        <v>22028</v>
      </c>
      <c r="D7042" t="s">
        <v>22022</v>
      </c>
      <c r="E7042">
        <v>160</v>
      </c>
      <c r="F7042" t="str">
        <f>HYPERLINK("https://github.com/k9mail/k-9/issues/4766", "show")</f>
        <v>show</v>
      </c>
      <c r="G7042" t="str">
        <f>HYPERLINK("https://github.com/k9mail/k-9", "show")</f>
        <v>show</v>
      </c>
      <c r="H7042" t="str">
        <f>HYPERLINK("https://github.com/k9mail/k-9/releases", "show")</f>
        <v>show</v>
      </c>
      <c r="I7042">
        <v>1</v>
      </c>
      <c r="J7042">
        <v>1</v>
      </c>
      <c r="K7042">
        <v>0</v>
      </c>
      <c r="L7042">
        <v>0</v>
      </c>
      <c r="M7042" t="s">
        <v>48</v>
      </c>
    </row>
    <row r="7043" spans="1:13" hidden="1" x14ac:dyDescent="0.15">
      <c r="A7043" t="s">
        <v>22029</v>
      </c>
      <c r="B7043" t="s">
        <v>22030</v>
      </c>
      <c r="C7043" t="s">
        <v>22031</v>
      </c>
      <c r="D7043" t="s">
        <v>22022</v>
      </c>
      <c r="E7043">
        <v>134</v>
      </c>
      <c r="F7043" t="str">
        <f>HYPERLINK("https://github.com/aws-amplify/amplify-android/issues/464", "show")</f>
        <v>show</v>
      </c>
      <c r="G7043" t="str">
        <f>HYPERLINK("https://github.com/aws-amplify/amplify-android", "show")</f>
        <v>show</v>
      </c>
      <c r="H7043" t="str">
        <f>HYPERLINK("https://github.com/aws-amplify/amplify-android/releases", "show")</f>
        <v>show</v>
      </c>
      <c r="I7043">
        <v>1</v>
      </c>
      <c r="J7043">
        <v>0</v>
      </c>
      <c r="K7043">
        <v>1</v>
      </c>
      <c r="L7043">
        <v>0</v>
      </c>
      <c r="M7043" t="s">
        <v>64</v>
      </c>
    </row>
    <row r="7044" spans="1:13" hidden="1" x14ac:dyDescent="0.15">
      <c r="A7044" t="s">
        <v>22032</v>
      </c>
      <c r="B7044" t="s">
        <v>22033</v>
      </c>
      <c r="C7044" t="s">
        <v>22034</v>
      </c>
      <c r="D7044" t="s">
        <v>22022</v>
      </c>
      <c r="E7044">
        <v>6</v>
      </c>
      <c r="F7044" t="str">
        <f>HYPERLINK("https://github.com/ankidroid/Anki-Android/issues/6177", "show")</f>
        <v>show</v>
      </c>
      <c r="G7044" t="str">
        <f>HYPERLINK("https://github.com/ankidroid/Anki-Android", "show")</f>
        <v>show</v>
      </c>
      <c r="H7044" t="str">
        <f>HYPERLINK("https://github.com/ankidroid/Anki-Android/releases", "show")</f>
        <v>show</v>
      </c>
      <c r="I7044">
        <v>0</v>
      </c>
      <c r="J7044">
        <v>1</v>
      </c>
      <c r="K7044">
        <v>1</v>
      </c>
      <c r="L7044">
        <v>0</v>
      </c>
      <c r="M7044" t="s">
        <v>699</v>
      </c>
    </row>
    <row r="7045" spans="1:13" hidden="1" x14ac:dyDescent="0.15">
      <c r="A7045" t="s">
        <v>22035</v>
      </c>
      <c r="B7045" t="s">
        <v>22036</v>
      </c>
      <c r="C7045" t="s">
        <v>22037</v>
      </c>
      <c r="D7045" t="s">
        <v>22022</v>
      </c>
      <c r="E7045">
        <v>197</v>
      </c>
      <c r="F7045" t="str">
        <f>HYPERLINK("https://github.com/aws-amplify/amplify-android/issues/461", "show")</f>
        <v>show</v>
      </c>
      <c r="G7045" t="str">
        <f>HYPERLINK("https://github.com/aws-amplify/amplify-android", "show")</f>
        <v>show</v>
      </c>
      <c r="H7045" t="str">
        <f>HYPERLINK("https://github.com/aws-amplify/amplify-android/releases", "show")</f>
        <v>show</v>
      </c>
      <c r="I7045">
        <v>1</v>
      </c>
      <c r="J7045">
        <v>1</v>
      </c>
      <c r="K7045">
        <v>1</v>
      </c>
      <c r="L7045">
        <v>0</v>
      </c>
      <c r="M7045" t="s">
        <v>59</v>
      </c>
    </row>
    <row r="7046" spans="1:13" hidden="1" x14ac:dyDescent="0.15">
      <c r="A7046" t="s">
        <v>22038</v>
      </c>
      <c r="B7046" t="s">
        <v>22039</v>
      </c>
      <c r="C7046" t="s">
        <v>22040</v>
      </c>
      <c r="D7046" t="s">
        <v>22041</v>
      </c>
      <c r="E7046">
        <v>2</v>
      </c>
      <c r="F7046" t="str">
        <f>HYPERLINK("https://github.com/nextcloud/android/issues/6070", "show")</f>
        <v>show</v>
      </c>
      <c r="G7046" t="str">
        <f>HYPERLINK("https://github.com/nextcloud/android", "show")</f>
        <v>show</v>
      </c>
      <c r="H7046" t="str">
        <f>HYPERLINK("https://github.com/nextcloud/android/releases", "show")</f>
        <v>show</v>
      </c>
      <c r="I7046">
        <v>1</v>
      </c>
      <c r="J7046">
        <v>1</v>
      </c>
      <c r="K7046">
        <v>1</v>
      </c>
      <c r="L7046">
        <v>0</v>
      </c>
      <c r="M7046" t="s">
        <v>59</v>
      </c>
    </row>
    <row r="7047" spans="1:13" x14ac:dyDescent="0.15">
      <c r="A7047" t="s">
        <v>22042</v>
      </c>
      <c r="B7047" t="s">
        <v>22043</v>
      </c>
      <c r="C7047" t="s">
        <v>22044</v>
      </c>
      <c r="D7047" t="s">
        <v>22041</v>
      </c>
      <c r="E7047">
        <v>330</v>
      </c>
      <c r="F7047" t="str">
        <f>HYPERLINK("https://github.com/hzi-braunschweig/SORMAS-Project/issues/2090", "show")</f>
        <v>show</v>
      </c>
      <c r="G7047" t="str">
        <f>HYPERLINK("https://github.com/hzi-braunschweig/SORMAS-Project", "show")</f>
        <v>show</v>
      </c>
      <c r="H7047" t="str">
        <f>HYPERLINK("https://github.com/hzi-braunschweig/SORMAS-Project/releases", "show")</f>
        <v>show</v>
      </c>
      <c r="I7047">
        <v>0</v>
      </c>
      <c r="J7047">
        <v>1</v>
      </c>
      <c r="K7047">
        <v>0</v>
      </c>
      <c r="L7047">
        <v>0</v>
      </c>
      <c r="M7047" t="s">
        <v>139</v>
      </c>
    </row>
    <row r="7048" spans="1:13" hidden="1" x14ac:dyDescent="0.15">
      <c r="A7048" t="s">
        <v>22045</v>
      </c>
      <c r="B7048" t="s">
        <v>22046</v>
      </c>
      <c r="C7048" t="s">
        <v>22047</v>
      </c>
      <c r="D7048" t="s">
        <v>22041</v>
      </c>
      <c r="E7048">
        <v>35</v>
      </c>
      <c r="F7048" t="str">
        <f>HYPERLINK("https://github.com/commons-app/apps-android-commons/issues/3748", "show")</f>
        <v>show</v>
      </c>
      <c r="G7048" t="str">
        <f>HYPERLINK("https://github.com/commons-app/apps-android-commons", "show")</f>
        <v>show</v>
      </c>
      <c r="H7048" t="str">
        <f>HYPERLINK("https://github.com/commons-app/apps-android-commons/releases", "show")</f>
        <v>show</v>
      </c>
      <c r="I7048">
        <v>1</v>
      </c>
      <c r="J7048">
        <v>1</v>
      </c>
      <c r="K7048">
        <v>0</v>
      </c>
      <c r="L7048">
        <v>0</v>
      </c>
      <c r="M7048" t="s">
        <v>48</v>
      </c>
    </row>
    <row r="7049" spans="1:13" hidden="1" x14ac:dyDescent="0.15">
      <c r="A7049" t="s">
        <v>22048</v>
      </c>
      <c r="B7049" t="s">
        <v>22049</v>
      </c>
      <c r="C7049" t="s">
        <v>22050</v>
      </c>
      <c r="D7049" t="s">
        <v>22041</v>
      </c>
      <c r="E7049">
        <v>4</v>
      </c>
      <c r="F7049" t="str">
        <f>HYPERLINK("https://github.com/TeamNewPipe/NewPipe/issues/3582", "show")</f>
        <v>show</v>
      </c>
      <c r="G7049" t="str">
        <f>HYPERLINK("https://github.com/TeamNewPipe/NewPipe", "show")</f>
        <v>show</v>
      </c>
      <c r="H7049" t="str">
        <f>HYPERLINK("https://github.com/TeamNewPipe/NewPipe/releases", "show")</f>
        <v>show</v>
      </c>
      <c r="I7049">
        <v>1</v>
      </c>
      <c r="J7049">
        <v>1</v>
      </c>
      <c r="K7049">
        <v>0</v>
      </c>
      <c r="L7049">
        <v>0</v>
      </c>
      <c r="M7049" t="s">
        <v>48</v>
      </c>
    </row>
    <row r="7050" spans="1:13" hidden="1" x14ac:dyDescent="0.15">
      <c r="A7050" t="s">
        <v>22051</v>
      </c>
      <c r="B7050" t="s">
        <v>22052</v>
      </c>
      <c r="C7050" t="s">
        <v>22053</v>
      </c>
      <c r="D7050" t="s">
        <v>22041</v>
      </c>
      <c r="E7050">
        <v>0</v>
      </c>
      <c r="F7050" t="str">
        <f>HYPERLINK("https://github.com/TeamNewPipe/NewPipe/issues/3580", "show")</f>
        <v>show</v>
      </c>
      <c r="G7050" t="str">
        <f>HYPERLINK("https://github.com/TeamNewPipe/NewPipe", "show")</f>
        <v>show</v>
      </c>
      <c r="H7050" t="str">
        <f>HYPERLINK("https://github.com/TeamNewPipe/NewPipe/releases", "show")</f>
        <v>show</v>
      </c>
      <c r="I7050">
        <v>1</v>
      </c>
      <c r="J7050">
        <v>0</v>
      </c>
      <c r="K7050">
        <v>0</v>
      </c>
      <c r="L7050">
        <v>0</v>
      </c>
      <c r="M7050" t="s">
        <v>17</v>
      </c>
    </row>
    <row r="7051" spans="1:13" hidden="1" x14ac:dyDescent="0.15">
      <c r="A7051" t="s">
        <v>22054</v>
      </c>
      <c r="B7051" t="s">
        <v>22055</v>
      </c>
      <c r="C7051" t="s">
        <v>22056</v>
      </c>
      <c r="D7051" t="s">
        <v>22041</v>
      </c>
      <c r="E7051">
        <v>0</v>
      </c>
      <c r="F7051" t="str">
        <f>HYPERLINK("https://github.com/material-components/material-components-android/issues/1297", "show")</f>
        <v>show</v>
      </c>
      <c r="G7051" t="str">
        <f>HYPERLINK("https://github.com/material-components/material-components-android", "show")</f>
        <v>show</v>
      </c>
      <c r="H7051" t="str">
        <f>HYPERLINK("https://github.com/material-components/material-components-android/releases", "show")</f>
        <v>show</v>
      </c>
      <c r="I7051">
        <v>0</v>
      </c>
      <c r="J7051">
        <v>0</v>
      </c>
      <c r="K7051">
        <v>0</v>
      </c>
      <c r="L7051">
        <v>0</v>
      </c>
      <c r="M7051" t="s">
        <v>43</v>
      </c>
    </row>
    <row r="7052" spans="1:13" hidden="1" x14ac:dyDescent="0.15">
      <c r="A7052" t="s">
        <v>22057</v>
      </c>
      <c r="B7052" t="s">
        <v>22058</v>
      </c>
      <c r="C7052" t="s">
        <v>22059</v>
      </c>
      <c r="D7052" t="s">
        <v>22060</v>
      </c>
      <c r="E7052">
        <v>79</v>
      </c>
      <c r="F7052" t="str">
        <f>HYPERLINK("https://github.com/material-components/material-components-android/issues/1295", "show")</f>
        <v>show</v>
      </c>
      <c r="G7052" t="str">
        <f>HYPERLINK("https://github.com/material-components/material-components-android", "show")</f>
        <v>show</v>
      </c>
      <c r="H7052" t="str">
        <f>HYPERLINK("https://github.com/material-components/material-components-android/releases", "show")</f>
        <v>show</v>
      </c>
      <c r="I7052">
        <v>0</v>
      </c>
      <c r="J7052">
        <v>0</v>
      </c>
      <c r="K7052">
        <v>1</v>
      </c>
      <c r="L7052">
        <v>0</v>
      </c>
      <c r="M7052" t="s">
        <v>122</v>
      </c>
    </row>
    <row r="7053" spans="1:13" hidden="1" x14ac:dyDescent="0.15">
      <c r="A7053" t="s">
        <v>22061</v>
      </c>
      <c r="B7053" t="s">
        <v>22062</v>
      </c>
      <c r="C7053" t="s">
        <v>22063</v>
      </c>
      <c r="D7053" t="s">
        <v>22060</v>
      </c>
      <c r="E7053">
        <v>0</v>
      </c>
      <c r="F7053" t="str">
        <f>HYPERLINK("https://github.com/nextcloud/android/issues/6055", "show")</f>
        <v>show</v>
      </c>
      <c r="G7053" t="str">
        <f>HYPERLINK("https://github.com/nextcloud/android", "show")</f>
        <v>show</v>
      </c>
      <c r="H7053" t="str">
        <f>HYPERLINK("https://github.com/nextcloud/android/releases", "show")</f>
        <v>show</v>
      </c>
      <c r="I7053">
        <v>1</v>
      </c>
      <c r="J7053">
        <v>1</v>
      </c>
      <c r="K7053">
        <v>1</v>
      </c>
      <c r="L7053">
        <v>0</v>
      </c>
      <c r="M7053" t="s">
        <v>59</v>
      </c>
    </row>
    <row r="7054" spans="1:13" hidden="1" x14ac:dyDescent="0.15">
      <c r="A7054" t="s">
        <v>22064</v>
      </c>
      <c r="B7054" t="s">
        <v>22065</v>
      </c>
      <c r="C7054" t="s">
        <v>22066</v>
      </c>
      <c r="D7054" t="s">
        <v>22060</v>
      </c>
      <c r="E7054">
        <v>367</v>
      </c>
      <c r="F7054" t="str">
        <f>HYPERLINK("https://github.com/nextcloud/talk-android/issues/833", "show")</f>
        <v>show</v>
      </c>
      <c r="G7054" t="str">
        <f>HYPERLINK("https://github.com/nextcloud/talk-android", "show")</f>
        <v>show</v>
      </c>
      <c r="H7054" t="str">
        <f>HYPERLINK("https://github.com/nextcloud/talk-android/releases", "show")</f>
        <v>show</v>
      </c>
      <c r="I7054">
        <v>1</v>
      </c>
      <c r="J7054">
        <v>0</v>
      </c>
      <c r="K7054">
        <v>0</v>
      </c>
      <c r="L7054">
        <v>0</v>
      </c>
      <c r="M7054" t="s">
        <v>17</v>
      </c>
    </row>
    <row r="7055" spans="1:13" hidden="1" x14ac:dyDescent="0.15">
      <c r="A7055" t="s">
        <v>22067</v>
      </c>
      <c r="B7055" t="s">
        <v>22068</v>
      </c>
      <c r="C7055" t="s">
        <v>22069</v>
      </c>
      <c r="D7055" t="s">
        <v>22060</v>
      </c>
      <c r="E7055">
        <v>30</v>
      </c>
      <c r="F7055" t="str">
        <f>HYPERLINK("https://github.com/TeamNewPipe/NewPipe/issues/3575", "show")</f>
        <v>show</v>
      </c>
      <c r="G7055" t="str">
        <f>HYPERLINK("https://github.com/TeamNewPipe/NewPipe", "show")</f>
        <v>show</v>
      </c>
      <c r="H7055" t="str">
        <f>HYPERLINK("https://github.com/TeamNewPipe/NewPipe/releases", "show")</f>
        <v>show</v>
      </c>
      <c r="I7055">
        <v>1</v>
      </c>
      <c r="J7055">
        <v>0</v>
      </c>
      <c r="K7055">
        <v>1</v>
      </c>
      <c r="L7055">
        <v>0</v>
      </c>
      <c r="M7055" t="s">
        <v>64</v>
      </c>
    </row>
    <row r="7056" spans="1:13" hidden="1" x14ac:dyDescent="0.15">
      <c r="A7056" t="s">
        <v>22070</v>
      </c>
      <c r="B7056" t="s">
        <v>22071</v>
      </c>
      <c r="C7056" t="s">
        <v>22072</v>
      </c>
      <c r="D7056" t="s">
        <v>22060</v>
      </c>
      <c r="E7056">
        <v>6</v>
      </c>
      <c r="F7056" t="str">
        <f>HYPERLINK("https://github.com/dimagi/commcare-android/issues/2235", "show")</f>
        <v>show</v>
      </c>
      <c r="G7056" t="str">
        <f>HYPERLINK("https://github.com/dimagi/commcare-android", "show")</f>
        <v>show</v>
      </c>
      <c r="H7056" t="str">
        <f>HYPERLINK("https://github.com/dimagi/commcare-android/releases", "show")</f>
        <v>show</v>
      </c>
      <c r="I7056">
        <v>0</v>
      </c>
      <c r="J7056">
        <v>0</v>
      </c>
      <c r="K7056">
        <v>0</v>
      </c>
      <c r="L7056">
        <v>0</v>
      </c>
      <c r="M7056" t="s">
        <v>43</v>
      </c>
    </row>
    <row r="7057" spans="1:13" x14ac:dyDescent="0.15">
      <c r="A7057" t="s">
        <v>22073</v>
      </c>
      <c r="B7057" t="s">
        <v>22074</v>
      </c>
      <c r="C7057" t="s">
        <v>22075</v>
      </c>
      <c r="D7057" t="s">
        <v>22076</v>
      </c>
      <c r="E7057">
        <v>19</v>
      </c>
      <c r="F7057" t="str">
        <f>HYPERLINK("https://github.com/OpenArchive/Save-app-android/issues/213", "show")</f>
        <v>show</v>
      </c>
      <c r="G7057" t="str">
        <f>HYPERLINK("https://github.com/OpenArchive/Save-app-android", "show")</f>
        <v>show</v>
      </c>
      <c r="H7057" t="str">
        <f>HYPERLINK("https://github.com/OpenArchive/Save-app-android/releases", "show")</f>
        <v>show</v>
      </c>
      <c r="I7057">
        <v>0</v>
      </c>
      <c r="J7057">
        <v>1</v>
      </c>
      <c r="K7057">
        <v>0</v>
      </c>
      <c r="L7057">
        <v>0</v>
      </c>
      <c r="M7057" t="s">
        <v>139</v>
      </c>
    </row>
    <row r="7058" spans="1:13" hidden="1" x14ac:dyDescent="0.15">
      <c r="A7058" t="s">
        <v>22077</v>
      </c>
      <c r="B7058" t="s">
        <v>22078</v>
      </c>
      <c r="C7058" t="s">
        <v>22079</v>
      </c>
      <c r="D7058" t="s">
        <v>22076</v>
      </c>
      <c r="E7058">
        <v>1</v>
      </c>
      <c r="F7058" t="str">
        <f>HYPERLINK("https://github.com/avluis/Hentoid/issues/536", "show")</f>
        <v>show</v>
      </c>
      <c r="G7058" t="str">
        <f>HYPERLINK("https://github.com/avluis/Hentoid", "show")</f>
        <v>show</v>
      </c>
      <c r="H7058" t="str">
        <f>HYPERLINK("https://github.com/avluis/Hentoid/releases", "show")</f>
        <v>show</v>
      </c>
      <c r="I7058">
        <v>1</v>
      </c>
      <c r="J7058">
        <v>0</v>
      </c>
      <c r="K7058">
        <v>0</v>
      </c>
      <c r="L7058">
        <v>0</v>
      </c>
      <c r="M7058" t="s">
        <v>17</v>
      </c>
    </row>
    <row r="7059" spans="1:13" hidden="1" x14ac:dyDescent="0.15">
      <c r="A7059" t="s">
        <v>22080</v>
      </c>
      <c r="B7059" t="s">
        <v>22081</v>
      </c>
      <c r="C7059" t="s">
        <v>22082</v>
      </c>
      <c r="D7059" t="s">
        <v>22076</v>
      </c>
      <c r="E7059">
        <v>29</v>
      </c>
      <c r="F7059" t="str">
        <f>HYPERLINK("https://github.com/noties/Markwon/issues/245", "show")</f>
        <v>show</v>
      </c>
      <c r="G7059" t="str">
        <f>HYPERLINK("https://github.com/noties/Markwon", "show")</f>
        <v>show</v>
      </c>
      <c r="H7059" t="str">
        <f>HYPERLINK("https://github.com/noties/Markwon/releases", "show")</f>
        <v>show</v>
      </c>
      <c r="I7059">
        <v>0</v>
      </c>
      <c r="J7059">
        <v>0</v>
      </c>
      <c r="K7059">
        <v>0</v>
      </c>
      <c r="L7059">
        <v>1</v>
      </c>
      <c r="M7059" t="s">
        <v>581</v>
      </c>
    </row>
    <row r="7060" spans="1:13" hidden="1" x14ac:dyDescent="0.15">
      <c r="A7060" t="s">
        <v>22083</v>
      </c>
      <c r="B7060" t="s">
        <v>22084</v>
      </c>
      <c r="C7060" t="s">
        <v>22085</v>
      </c>
      <c r="D7060" t="s">
        <v>22076</v>
      </c>
      <c r="E7060">
        <v>378</v>
      </c>
      <c r="F7060" t="str">
        <f>HYPERLINK("https://github.com/smartdevicelink/sdl_java_suite/issues/1343", "show")</f>
        <v>show</v>
      </c>
      <c r="G7060" t="str">
        <f>HYPERLINK("https://github.com/smartdevicelink/sdl_java_suite", "show")</f>
        <v>show</v>
      </c>
      <c r="H7060" t="str">
        <f>HYPERLINK("https://github.com/smartdevicelink/sdl_java_suite/releases", "show")</f>
        <v>show</v>
      </c>
      <c r="I7060">
        <v>1</v>
      </c>
      <c r="J7060">
        <v>0</v>
      </c>
      <c r="K7060">
        <v>0</v>
      </c>
      <c r="L7060">
        <v>0</v>
      </c>
      <c r="M7060" t="s">
        <v>17</v>
      </c>
    </row>
    <row r="7061" spans="1:13" hidden="1" x14ac:dyDescent="0.15">
      <c r="A7061" t="s">
        <v>22086</v>
      </c>
      <c r="B7061" t="s">
        <v>22087</v>
      </c>
      <c r="C7061" t="s">
        <v>22088</v>
      </c>
      <c r="D7061" t="s">
        <v>22076</v>
      </c>
      <c r="E7061">
        <v>112</v>
      </c>
      <c r="F7061" t="str">
        <f>HYPERLINK("https://github.com/react-native-camera/react-native-camera/issues/2832", "show")</f>
        <v>show</v>
      </c>
      <c r="G7061" t="str">
        <f>HYPERLINK("https://github.com/react-native-camera/react-native-camera", "show")</f>
        <v>show</v>
      </c>
      <c r="H7061" t="str">
        <f>HYPERLINK("https://github.com/react-native-camera/react-native-camera/releases", "show")</f>
        <v>show</v>
      </c>
      <c r="I7061">
        <v>1</v>
      </c>
      <c r="J7061">
        <v>0</v>
      </c>
      <c r="K7061">
        <v>1</v>
      </c>
      <c r="L7061">
        <v>0</v>
      </c>
      <c r="M7061" t="s">
        <v>64</v>
      </c>
    </row>
    <row r="7062" spans="1:13" hidden="1" x14ac:dyDescent="0.15">
      <c r="A7062" t="s">
        <v>22089</v>
      </c>
      <c r="B7062" t="s">
        <v>22090</v>
      </c>
      <c r="C7062" t="s">
        <v>22091</v>
      </c>
      <c r="D7062" t="s">
        <v>22076</v>
      </c>
      <c r="E7062">
        <v>680</v>
      </c>
      <c r="F7062" t="str">
        <f>HYPERLINK("https://github.com/material-components/material-components-android/issues/1290", "show")</f>
        <v>show</v>
      </c>
      <c r="G7062" t="str">
        <f>HYPERLINK("https://github.com/material-components/material-components-android", "show")</f>
        <v>show</v>
      </c>
      <c r="H7062" t="str">
        <f>HYPERLINK("https://github.com/material-components/material-components-android/releases", "show")</f>
        <v>show</v>
      </c>
      <c r="I7062">
        <v>0</v>
      </c>
      <c r="J7062">
        <v>0</v>
      </c>
      <c r="K7062">
        <v>1</v>
      </c>
      <c r="L7062">
        <v>0</v>
      </c>
      <c r="M7062" t="s">
        <v>122</v>
      </c>
    </row>
    <row r="7063" spans="1:13" hidden="1" x14ac:dyDescent="0.15">
      <c r="A7063" t="s">
        <v>22092</v>
      </c>
      <c r="B7063" t="s">
        <v>22093</v>
      </c>
      <c r="C7063" t="s">
        <v>22094</v>
      </c>
      <c r="D7063" t="s">
        <v>22076</v>
      </c>
      <c r="E7063">
        <v>0</v>
      </c>
      <c r="F7063" t="str">
        <f>HYPERLINK("https://github.com/commons-app/apps-android-commons/issues/3743", "show")</f>
        <v>show</v>
      </c>
      <c r="G7063" t="str">
        <f>HYPERLINK("https://github.com/commons-app/apps-android-commons", "show")</f>
        <v>show</v>
      </c>
      <c r="H7063" t="str">
        <f>HYPERLINK("https://github.com/commons-app/apps-android-commons/releases", "show")</f>
        <v>show</v>
      </c>
      <c r="I7063">
        <v>1</v>
      </c>
      <c r="J7063">
        <v>0</v>
      </c>
      <c r="K7063">
        <v>1</v>
      </c>
      <c r="L7063">
        <v>0</v>
      </c>
      <c r="M7063" t="s">
        <v>64</v>
      </c>
    </row>
    <row r="7064" spans="1:13" hidden="1" x14ac:dyDescent="0.15">
      <c r="A7064" t="s">
        <v>22095</v>
      </c>
      <c r="B7064" t="s">
        <v>22096</v>
      </c>
      <c r="C7064" t="s">
        <v>22097</v>
      </c>
      <c r="D7064" t="s">
        <v>22076</v>
      </c>
      <c r="E7064">
        <v>1</v>
      </c>
      <c r="F7064" t="str">
        <f>HYPERLINK("https://github.com/nextcloud/android/issues/6043", "show")</f>
        <v>show</v>
      </c>
      <c r="G7064" t="str">
        <f>HYPERLINK("https://github.com/nextcloud/android", "show")</f>
        <v>show</v>
      </c>
      <c r="H7064" t="str">
        <f>HYPERLINK("https://github.com/nextcloud/android/releases", "show")</f>
        <v>show</v>
      </c>
      <c r="I7064">
        <v>1</v>
      </c>
      <c r="J7064">
        <v>0</v>
      </c>
      <c r="K7064">
        <v>0</v>
      </c>
      <c r="L7064">
        <v>0</v>
      </c>
      <c r="M7064" t="s">
        <v>17</v>
      </c>
    </row>
    <row r="7065" spans="1:13" hidden="1" x14ac:dyDescent="0.15">
      <c r="A7065" t="s">
        <v>22098</v>
      </c>
      <c r="B7065" t="s">
        <v>22099</v>
      </c>
      <c r="C7065" t="s">
        <v>22100</v>
      </c>
      <c r="D7065" t="s">
        <v>22101</v>
      </c>
      <c r="E7065">
        <v>2</v>
      </c>
      <c r="F7065" t="str">
        <f>HYPERLINK("https://github.com/ankidroid/Anki-Android/issues/6145", "show")</f>
        <v>show</v>
      </c>
      <c r="G7065" t="str">
        <f>HYPERLINK("https://github.com/ankidroid/Anki-Android", "show")</f>
        <v>show</v>
      </c>
      <c r="H7065" t="str">
        <f>HYPERLINK("https://github.com/ankidroid/Anki-Android/releases", "show")</f>
        <v>show</v>
      </c>
      <c r="I7065">
        <v>1</v>
      </c>
      <c r="J7065">
        <v>1</v>
      </c>
      <c r="K7065">
        <v>0</v>
      </c>
      <c r="L7065">
        <v>0</v>
      </c>
      <c r="M7065" t="s">
        <v>48</v>
      </c>
    </row>
    <row r="7066" spans="1:13" hidden="1" x14ac:dyDescent="0.15">
      <c r="A7066" t="s">
        <v>22102</v>
      </c>
      <c r="B7066" t="s">
        <v>22103</v>
      </c>
      <c r="C7066" t="s">
        <v>22104</v>
      </c>
      <c r="D7066" t="s">
        <v>22101</v>
      </c>
      <c r="E7066">
        <v>15</v>
      </c>
      <c r="F7066" t="str">
        <f>HYPERLINK("https://github.com/nextcloud/android/issues/6039", "show")</f>
        <v>show</v>
      </c>
      <c r="G7066" t="str">
        <f>HYPERLINK("https://github.com/nextcloud/android", "show")</f>
        <v>show</v>
      </c>
      <c r="H7066" t="str">
        <f>HYPERLINK("https://github.com/nextcloud/android/releases", "show")</f>
        <v>show</v>
      </c>
      <c r="I7066">
        <v>1</v>
      </c>
      <c r="J7066">
        <v>1</v>
      </c>
      <c r="K7066">
        <v>0</v>
      </c>
      <c r="L7066">
        <v>0</v>
      </c>
      <c r="M7066" t="s">
        <v>48</v>
      </c>
    </row>
    <row r="7067" spans="1:13" hidden="1" x14ac:dyDescent="0.15">
      <c r="A7067" t="s">
        <v>22105</v>
      </c>
      <c r="B7067" t="s">
        <v>22106</v>
      </c>
      <c r="C7067" t="s">
        <v>22107</v>
      </c>
      <c r="D7067" t="s">
        <v>22108</v>
      </c>
      <c r="E7067">
        <v>122</v>
      </c>
      <c r="F7067" t="str">
        <f>HYPERLINK("https://github.com/TeamNewPipe/NewPipe/issues/3561", "show")</f>
        <v>show</v>
      </c>
      <c r="G7067" t="str">
        <f>HYPERLINK("https://github.com/TeamNewPipe/NewPipe", "show")</f>
        <v>show</v>
      </c>
      <c r="H7067" t="str">
        <f>HYPERLINK("https://github.com/TeamNewPipe/NewPipe/releases", "show")</f>
        <v>show</v>
      </c>
      <c r="I7067">
        <v>1</v>
      </c>
      <c r="J7067">
        <v>1</v>
      </c>
      <c r="K7067">
        <v>1</v>
      </c>
      <c r="L7067">
        <v>0</v>
      </c>
      <c r="M7067" t="s">
        <v>59</v>
      </c>
    </row>
    <row r="7068" spans="1:13" hidden="1" x14ac:dyDescent="0.15">
      <c r="A7068" t="s">
        <v>22109</v>
      </c>
      <c r="B7068" t="s">
        <v>22110</v>
      </c>
      <c r="C7068" t="s">
        <v>22111</v>
      </c>
      <c r="D7068" t="s">
        <v>22108</v>
      </c>
      <c r="E7068">
        <v>1</v>
      </c>
      <c r="F7068" t="str">
        <f>HYPERLINK("https://github.com/ankidroid/Anki-Android/issues/6137", "show")</f>
        <v>show</v>
      </c>
      <c r="G7068" t="str">
        <f>HYPERLINK("https://github.com/ankidroid/Anki-Android", "show")</f>
        <v>show</v>
      </c>
      <c r="H7068" t="str">
        <f>HYPERLINK("https://github.com/ankidroid/Anki-Android/releases", "show")</f>
        <v>show</v>
      </c>
      <c r="I7068">
        <v>0</v>
      </c>
      <c r="J7068">
        <v>0</v>
      </c>
      <c r="K7068">
        <v>1</v>
      </c>
      <c r="L7068">
        <v>0</v>
      </c>
      <c r="M7068" t="s">
        <v>122</v>
      </c>
    </row>
    <row r="7069" spans="1:13" hidden="1" x14ac:dyDescent="0.15">
      <c r="A7069" t="s">
        <v>22112</v>
      </c>
      <c r="B7069" t="s">
        <v>22113</v>
      </c>
      <c r="C7069" t="s">
        <v>22114</v>
      </c>
      <c r="D7069" t="s">
        <v>22108</v>
      </c>
      <c r="E7069">
        <v>0</v>
      </c>
      <c r="F7069" t="str">
        <f>HYPERLINK("https://github.com/k9mail/k-9/issues/4748", "show")</f>
        <v>show</v>
      </c>
      <c r="G7069" t="str">
        <f>HYPERLINK("https://github.com/k9mail/k-9", "show")</f>
        <v>show</v>
      </c>
      <c r="H7069" t="str">
        <f>HYPERLINK("https://github.com/k9mail/k-9/releases", "show")</f>
        <v>show</v>
      </c>
      <c r="I7069">
        <v>1</v>
      </c>
      <c r="J7069">
        <v>0</v>
      </c>
      <c r="K7069">
        <v>1</v>
      </c>
      <c r="L7069">
        <v>0</v>
      </c>
      <c r="M7069" t="s">
        <v>64</v>
      </c>
    </row>
    <row r="7070" spans="1:13" hidden="1" x14ac:dyDescent="0.15">
      <c r="A7070" t="s">
        <v>22115</v>
      </c>
      <c r="B7070" t="s">
        <v>22116</v>
      </c>
      <c r="C7070" t="s">
        <v>22117</v>
      </c>
      <c r="D7070" t="s">
        <v>22108</v>
      </c>
      <c r="E7070">
        <v>3</v>
      </c>
      <c r="F7070" t="str">
        <f>HYPERLINK("https://github.com/nextcloud/android/issues/6033", "show")</f>
        <v>show</v>
      </c>
      <c r="G7070" t="str">
        <f>HYPERLINK("https://github.com/nextcloud/android", "show")</f>
        <v>show</v>
      </c>
      <c r="H7070" t="str">
        <f>HYPERLINK("https://github.com/nextcloud/android/releases", "show")</f>
        <v>show</v>
      </c>
      <c r="I7070">
        <v>0</v>
      </c>
      <c r="J7070">
        <v>0</v>
      </c>
      <c r="K7070">
        <v>1</v>
      </c>
      <c r="L7070">
        <v>0</v>
      </c>
      <c r="M7070" t="s">
        <v>122</v>
      </c>
    </row>
    <row r="7071" spans="1:13" hidden="1" x14ac:dyDescent="0.15">
      <c r="A7071" t="s">
        <v>22118</v>
      </c>
      <c r="B7071" t="s">
        <v>22119</v>
      </c>
      <c r="C7071" t="s">
        <v>22120</v>
      </c>
      <c r="D7071" t="s">
        <v>22108</v>
      </c>
      <c r="E7071">
        <v>8</v>
      </c>
      <c r="F7071" t="str">
        <f>HYPERLINK("https://github.com/UCI-Networking-Group/AntMonitor/issues/4", "show")</f>
        <v>show</v>
      </c>
      <c r="G7071" t="str">
        <f>HYPERLINK("https://github.com/UCI-Networking-Group/AntMonitor", "show")</f>
        <v>show</v>
      </c>
      <c r="H7071" t="str">
        <f>HYPERLINK("https://github.com/UCI-Networking-Group/AntMonitor/releases", "show")</f>
        <v>show</v>
      </c>
      <c r="I7071">
        <v>0</v>
      </c>
      <c r="J7071">
        <v>0</v>
      </c>
      <c r="K7071">
        <v>1</v>
      </c>
      <c r="L7071">
        <v>0</v>
      </c>
      <c r="M7071" t="s">
        <v>122</v>
      </c>
    </row>
    <row r="7072" spans="1:13" hidden="1" x14ac:dyDescent="0.15">
      <c r="A7072" t="s">
        <v>22121</v>
      </c>
      <c r="B7072" t="s">
        <v>22122</v>
      </c>
      <c r="C7072" t="s">
        <v>22123</v>
      </c>
      <c r="D7072" t="s">
        <v>22108</v>
      </c>
      <c r="E7072">
        <v>0</v>
      </c>
      <c r="F7072" t="str">
        <f>HYPERLINK("https://github.com/nextcloud/android/issues/6032", "show")</f>
        <v>show</v>
      </c>
      <c r="G7072" t="str">
        <f>HYPERLINK("https://github.com/nextcloud/android", "show")</f>
        <v>show</v>
      </c>
      <c r="H7072" t="str">
        <f>HYPERLINK("https://github.com/nextcloud/android/releases", "show")</f>
        <v>show</v>
      </c>
      <c r="I7072">
        <v>1</v>
      </c>
      <c r="J7072">
        <v>1</v>
      </c>
      <c r="K7072">
        <v>1</v>
      </c>
      <c r="L7072">
        <v>0</v>
      </c>
      <c r="M7072" t="s">
        <v>59</v>
      </c>
    </row>
    <row r="7073" spans="1:13" hidden="1" x14ac:dyDescent="0.15">
      <c r="A7073" t="s">
        <v>22124</v>
      </c>
      <c r="B7073" t="s">
        <v>22125</v>
      </c>
      <c r="C7073" t="s">
        <v>22126</v>
      </c>
      <c r="D7073" t="s">
        <v>22108</v>
      </c>
      <c r="E7073">
        <v>3</v>
      </c>
      <c r="F7073" t="str">
        <f>HYPERLINK("https://github.com/nextcloud/android/issues/6031", "show")</f>
        <v>show</v>
      </c>
      <c r="G7073" t="str">
        <f>HYPERLINK("https://github.com/nextcloud/android", "show")</f>
        <v>show</v>
      </c>
      <c r="H7073" t="str">
        <f>HYPERLINK("https://github.com/nextcloud/android/releases", "show")</f>
        <v>show</v>
      </c>
      <c r="I7073">
        <v>0</v>
      </c>
      <c r="J7073">
        <v>1</v>
      </c>
      <c r="K7073">
        <v>1</v>
      </c>
      <c r="L7073">
        <v>0</v>
      </c>
      <c r="M7073" t="s">
        <v>699</v>
      </c>
    </row>
    <row r="7074" spans="1:13" hidden="1" x14ac:dyDescent="0.15">
      <c r="A7074" t="s">
        <v>22127</v>
      </c>
      <c r="B7074" t="s">
        <v>22128</v>
      </c>
      <c r="C7074" t="s">
        <v>22129</v>
      </c>
      <c r="D7074" t="s">
        <v>22130</v>
      </c>
      <c r="E7074">
        <v>1</v>
      </c>
      <c r="F7074" t="str">
        <f>HYPERLINK("https://github.com/iNPUTmice/Conversations/issues/3707", "show")</f>
        <v>show</v>
      </c>
      <c r="G7074" t="str">
        <f>HYPERLINK("https://github.com/iNPUTmice/Conversations", "show")</f>
        <v>show</v>
      </c>
      <c r="H7074" t="str">
        <f>HYPERLINK("https://github.com/iNPUTmice/Conversations/releases", "show")</f>
        <v>show</v>
      </c>
      <c r="I7074">
        <v>1</v>
      </c>
      <c r="J7074">
        <v>0</v>
      </c>
      <c r="K7074">
        <v>0</v>
      </c>
      <c r="L7074">
        <v>0</v>
      </c>
      <c r="M7074" t="s">
        <v>17</v>
      </c>
    </row>
    <row r="7075" spans="1:13" hidden="1" x14ac:dyDescent="0.15">
      <c r="A7075" t="s">
        <v>22131</v>
      </c>
      <c r="B7075" t="s">
        <v>22132</v>
      </c>
      <c r="C7075" t="s">
        <v>22133</v>
      </c>
      <c r="D7075" t="s">
        <v>22130</v>
      </c>
      <c r="E7075">
        <v>11</v>
      </c>
      <c r="F7075" t="str">
        <f>HYPERLINK("https://github.com/covid-diagnostics/covid-mobile-android/issues/83", "show")</f>
        <v>show</v>
      </c>
      <c r="G7075" t="str">
        <f>HYPERLINK("https://github.com/covid-diagnostics/covid-mobile-android", "show")</f>
        <v>show</v>
      </c>
      <c r="H7075" t="str">
        <f>HYPERLINK("https://github.com/covid-diagnostics/covid-mobile-android/releases", "show")</f>
        <v>show</v>
      </c>
      <c r="I7075">
        <v>1</v>
      </c>
      <c r="J7075">
        <v>0</v>
      </c>
      <c r="K7075">
        <v>0</v>
      </c>
      <c r="L7075">
        <v>0</v>
      </c>
      <c r="M7075" t="s">
        <v>17</v>
      </c>
    </row>
    <row r="7076" spans="1:13" hidden="1" x14ac:dyDescent="0.15">
      <c r="A7076" t="s">
        <v>22134</v>
      </c>
      <c r="B7076" t="s">
        <v>22135</v>
      </c>
      <c r="C7076" t="s">
        <v>22136</v>
      </c>
      <c r="D7076" t="s">
        <v>22130</v>
      </c>
      <c r="E7076">
        <v>61</v>
      </c>
      <c r="F7076" t="str">
        <f>HYPERLINK("https://github.com/wallabag/android-app/issues/970", "show")</f>
        <v>show</v>
      </c>
      <c r="G7076" t="str">
        <f>HYPERLINK("https://github.com/wallabag/android-app", "show")</f>
        <v>show</v>
      </c>
      <c r="H7076" t="str">
        <f>HYPERLINK("https://github.com/wallabag/android-app/releases", "show")</f>
        <v>show</v>
      </c>
      <c r="I7076">
        <v>0</v>
      </c>
      <c r="J7076">
        <v>0</v>
      </c>
      <c r="K7076">
        <v>1</v>
      </c>
      <c r="L7076">
        <v>0</v>
      </c>
      <c r="M7076" t="s">
        <v>122</v>
      </c>
    </row>
    <row r="7077" spans="1:13" hidden="1" x14ac:dyDescent="0.15">
      <c r="A7077" t="s">
        <v>22137</v>
      </c>
      <c r="B7077" t="s">
        <v>22138</v>
      </c>
      <c r="C7077" t="s">
        <v>22139</v>
      </c>
      <c r="D7077" t="s">
        <v>22130</v>
      </c>
      <c r="E7077">
        <v>578</v>
      </c>
      <c r="F7077" t="str">
        <f>HYPERLINK("https://github.com/prebid/prebid-mobile-android/issues/191", "show")</f>
        <v>show</v>
      </c>
      <c r="G7077" t="str">
        <f>HYPERLINK("https://github.com/prebid/prebid-mobile-android", "show")</f>
        <v>show</v>
      </c>
      <c r="H7077" t="str">
        <f>HYPERLINK("https://github.com/prebid/prebid-mobile-android/releases", "show")</f>
        <v>show</v>
      </c>
      <c r="I7077">
        <v>0</v>
      </c>
      <c r="J7077">
        <v>0</v>
      </c>
      <c r="K7077">
        <v>0</v>
      </c>
      <c r="L7077">
        <v>1</v>
      </c>
      <c r="M7077" t="s">
        <v>581</v>
      </c>
    </row>
    <row r="7078" spans="1:13" hidden="1" x14ac:dyDescent="0.15">
      <c r="A7078" t="s">
        <v>22140</v>
      </c>
      <c r="B7078" t="s">
        <v>22141</v>
      </c>
      <c r="C7078" t="s">
        <v>22142</v>
      </c>
      <c r="D7078" t="s">
        <v>22130</v>
      </c>
      <c r="E7078">
        <v>0</v>
      </c>
      <c r="F7078" t="str">
        <f>HYPERLINK("https://github.com/nextcloud/android/issues/6028", "show")</f>
        <v>show</v>
      </c>
      <c r="G7078" t="str">
        <f>HYPERLINK("https://github.com/nextcloud/android", "show")</f>
        <v>show</v>
      </c>
      <c r="H7078" t="str">
        <f>HYPERLINK("https://github.com/nextcloud/android/releases", "show")</f>
        <v>show</v>
      </c>
      <c r="I7078">
        <v>1</v>
      </c>
      <c r="J7078">
        <v>0</v>
      </c>
      <c r="K7078">
        <v>1</v>
      </c>
      <c r="L7078">
        <v>0</v>
      </c>
      <c r="M7078" t="s">
        <v>64</v>
      </c>
    </row>
    <row r="7079" spans="1:13" hidden="1" x14ac:dyDescent="0.15">
      <c r="A7079" t="s">
        <v>22143</v>
      </c>
      <c r="B7079" t="s">
        <v>22144</v>
      </c>
      <c r="C7079" t="s">
        <v>22145</v>
      </c>
      <c r="D7079" t="s">
        <v>22130</v>
      </c>
      <c r="E7079">
        <v>0</v>
      </c>
      <c r="F7079" t="str">
        <f>HYPERLINK("https://github.com/k9mail/k-9/issues/4738", "show")</f>
        <v>show</v>
      </c>
      <c r="G7079" t="str">
        <f>HYPERLINK("https://github.com/k9mail/k-9", "show")</f>
        <v>show</v>
      </c>
      <c r="H7079" t="str">
        <f>HYPERLINK("https://github.com/k9mail/k-9/releases", "show")</f>
        <v>show</v>
      </c>
      <c r="I7079">
        <v>1</v>
      </c>
      <c r="J7079">
        <v>0</v>
      </c>
      <c r="K7079">
        <v>1</v>
      </c>
      <c r="L7079">
        <v>0</v>
      </c>
      <c r="M7079" t="s">
        <v>64</v>
      </c>
    </row>
    <row r="7080" spans="1:13" hidden="1" x14ac:dyDescent="0.15">
      <c r="A7080" t="s">
        <v>22146</v>
      </c>
      <c r="B7080" t="s">
        <v>22147</v>
      </c>
      <c r="C7080" t="s">
        <v>22148</v>
      </c>
      <c r="D7080" t="s">
        <v>22130</v>
      </c>
      <c r="E7080">
        <v>46</v>
      </c>
      <c r="F7080" t="str">
        <f>HYPERLINK("https://github.com/nextcloud/android/issues/6024", "show")</f>
        <v>show</v>
      </c>
      <c r="G7080" t="str">
        <f>HYPERLINK("https://github.com/nextcloud/android", "show")</f>
        <v>show</v>
      </c>
      <c r="H7080" t="str">
        <f>HYPERLINK("https://github.com/nextcloud/android/releases", "show")</f>
        <v>show</v>
      </c>
      <c r="I7080">
        <v>1</v>
      </c>
      <c r="J7080">
        <v>1</v>
      </c>
      <c r="K7080">
        <v>1</v>
      </c>
      <c r="L7080">
        <v>0</v>
      </c>
      <c r="M7080" t="s">
        <v>59</v>
      </c>
    </row>
    <row r="7081" spans="1:13" hidden="1" x14ac:dyDescent="0.15">
      <c r="A7081" t="s">
        <v>22149</v>
      </c>
      <c r="B7081" t="s">
        <v>22150</v>
      </c>
      <c r="C7081" t="s">
        <v>22151</v>
      </c>
      <c r="D7081" t="s">
        <v>22130</v>
      </c>
      <c r="E7081">
        <v>3</v>
      </c>
      <c r="F7081" t="str">
        <f>HYPERLINK("https://github.com/trojan-gfw/igniter/issues/217", "show")</f>
        <v>show</v>
      </c>
      <c r="G7081" t="str">
        <f>HYPERLINK("https://github.com/trojan-gfw/igniter", "show")</f>
        <v>show</v>
      </c>
      <c r="H7081" t="str">
        <f>HYPERLINK("https://github.com/trojan-gfw/igniter/releases", "show")</f>
        <v>show</v>
      </c>
      <c r="I7081">
        <v>0</v>
      </c>
      <c r="J7081">
        <v>0</v>
      </c>
      <c r="K7081">
        <v>1</v>
      </c>
      <c r="L7081">
        <v>0</v>
      </c>
      <c r="M7081" t="s">
        <v>122</v>
      </c>
    </row>
    <row r="7082" spans="1:13" hidden="1" x14ac:dyDescent="0.15">
      <c r="A7082" t="s">
        <v>22152</v>
      </c>
      <c r="B7082" t="s">
        <v>22153</v>
      </c>
      <c r="C7082" t="s">
        <v>22154</v>
      </c>
      <c r="D7082" t="s">
        <v>22155</v>
      </c>
      <c r="E7082">
        <v>56</v>
      </c>
      <c r="F7082" t="str">
        <f>HYPERLINK("https://github.com/TeamNewPipe/NewPipe/issues/3550", "show")</f>
        <v>show</v>
      </c>
      <c r="G7082" t="str">
        <f>HYPERLINK("https://github.com/TeamNewPipe/NewPipe", "show")</f>
        <v>show</v>
      </c>
      <c r="H7082" t="str">
        <f>HYPERLINK("https://github.com/TeamNewPipe/NewPipe/releases", "show")</f>
        <v>show</v>
      </c>
      <c r="I7082">
        <v>1</v>
      </c>
      <c r="J7082">
        <v>1</v>
      </c>
      <c r="K7082">
        <v>0</v>
      </c>
      <c r="L7082">
        <v>0</v>
      </c>
      <c r="M7082" t="s">
        <v>48</v>
      </c>
    </row>
    <row r="7083" spans="1:13" hidden="1" x14ac:dyDescent="0.15">
      <c r="A7083" t="s">
        <v>22156</v>
      </c>
      <c r="B7083" t="s">
        <v>22157</v>
      </c>
      <c r="C7083" t="s">
        <v>22158</v>
      </c>
      <c r="D7083" t="s">
        <v>22155</v>
      </c>
      <c r="E7083">
        <v>1</v>
      </c>
      <c r="F7083" t="str">
        <f>HYPERLINK("https://github.com/smarteist/Android-Image-Slider/issues/130", "show")</f>
        <v>show</v>
      </c>
      <c r="G7083" t="str">
        <f>HYPERLINK("https://github.com/smarteist/Android-Image-Slider", "show")</f>
        <v>show</v>
      </c>
      <c r="H7083" t="str">
        <f>HYPERLINK("https://github.com/smarteist/Android-Image-Slider/releases", "show")</f>
        <v>show</v>
      </c>
      <c r="I7083">
        <v>1</v>
      </c>
      <c r="J7083">
        <v>0</v>
      </c>
      <c r="K7083">
        <v>1</v>
      </c>
      <c r="L7083">
        <v>0</v>
      </c>
      <c r="M7083" t="s">
        <v>64</v>
      </c>
    </row>
    <row r="7084" spans="1:13" hidden="1" x14ac:dyDescent="0.15">
      <c r="A7084" t="s">
        <v>22159</v>
      </c>
      <c r="B7084" t="s">
        <v>22160</v>
      </c>
      <c r="D7084" t="s">
        <v>22155</v>
      </c>
      <c r="E7084">
        <v>0</v>
      </c>
      <c r="F7084" t="str">
        <f>HYPERLINK("https://github.com/hzi-braunschweig/SORMAS-Project/issues/2010", "show")</f>
        <v>show</v>
      </c>
      <c r="G7084" t="str">
        <f>HYPERLINK("https://github.com/hzi-braunschweig/SORMAS-Project", "show")</f>
        <v>show</v>
      </c>
      <c r="H7084" t="str">
        <f>HYPERLINK("https://github.com/hzi-braunschweig/SORMAS-Project/releases", "show")</f>
        <v>show</v>
      </c>
      <c r="I7084">
        <v>1</v>
      </c>
      <c r="J7084">
        <v>0</v>
      </c>
      <c r="K7084">
        <v>0</v>
      </c>
      <c r="L7084">
        <v>0</v>
      </c>
      <c r="M7084" t="s">
        <v>17</v>
      </c>
    </row>
    <row r="7085" spans="1:13" hidden="1" x14ac:dyDescent="0.15">
      <c r="A7085" t="s">
        <v>22161</v>
      </c>
      <c r="B7085" t="s">
        <v>22162</v>
      </c>
      <c r="C7085" t="s">
        <v>22163</v>
      </c>
      <c r="D7085" t="s">
        <v>22155</v>
      </c>
      <c r="E7085">
        <v>201</v>
      </c>
      <c r="F7085" t="str">
        <f>HYPERLINK("https://github.com/ElderDrivers/EdXposed/issues/533", "show")</f>
        <v>show</v>
      </c>
      <c r="G7085" t="str">
        <f>HYPERLINK("https://github.com/ElderDrivers/EdXposed", "show")</f>
        <v>show</v>
      </c>
      <c r="H7085" t="str">
        <f>HYPERLINK("https://github.com/ElderDrivers/EdXposed/releases", "show")</f>
        <v>show</v>
      </c>
      <c r="I7085">
        <v>1</v>
      </c>
      <c r="J7085">
        <v>0</v>
      </c>
      <c r="K7085">
        <v>0</v>
      </c>
      <c r="L7085">
        <v>0</v>
      </c>
      <c r="M7085" t="s">
        <v>17</v>
      </c>
    </row>
    <row r="7086" spans="1:13" hidden="1" x14ac:dyDescent="0.15">
      <c r="A7086" t="s">
        <v>22164</v>
      </c>
      <c r="B7086" t="s">
        <v>4312</v>
      </c>
      <c r="C7086" t="s">
        <v>22165</v>
      </c>
      <c r="D7086" t="s">
        <v>22155</v>
      </c>
      <c r="E7086">
        <v>4</v>
      </c>
      <c r="F7086" t="str">
        <f>HYPERLINK("https://github.com/nextcloud/android/issues/6020", "show")</f>
        <v>show</v>
      </c>
      <c r="G7086" t="str">
        <f>HYPERLINK("https://github.com/nextcloud/android", "show")</f>
        <v>show</v>
      </c>
      <c r="H7086" t="str">
        <f>HYPERLINK("https://github.com/nextcloud/android/releases", "show")</f>
        <v>show</v>
      </c>
      <c r="I7086">
        <v>0</v>
      </c>
      <c r="J7086">
        <v>0</v>
      </c>
      <c r="K7086">
        <v>1</v>
      </c>
      <c r="L7086">
        <v>0</v>
      </c>
      <c r="M7086" t="s">
        <v>122</v>
      </c>
    </row>
    <row r="7087" spans="1:13" hidden="1" x14ac:dyDescent="0.15">
      <c r="A7087" t="s">
        <v>22166</v>
      </c>
      <c r="B7087" t="s">
        <v>22167</v>
      </c>
      <c r="C7087" t="s">
        <v>22168</v>
      </c>
      <c r="D7087" t="s">
        <v>22155</v>
      </c>
      <c r="E7087">
        <v>3</v>
      </c>
      <c r="F7087" t="str">
        <f>HYPERLINK("https://github.com/Arnab-Banerjee-Kolkata/Vote_Online_App/issues/11", "show")</f>
        <v>show</v>
      </c>
      <c r="G7087" t="str">
        <f>HYPERLINK("https://github.com/Arnab-Banerjee-Kolkata/Vote_Online_App", "show")</f>
        <v>show</v>
      </c>
      <c r="H7087" t="str">
        <f>HYPERLINK("https://github.com/Arnab-Banerjee-Kolkata/Vote_Online_App/releases", "show")</f>
        <v>show</v>
      </c>
      <c r="I7087">
        <v>0</v>
      </c>
      <c r="J7087">
        <v>0</v>
      </c>
      <c r="K7087">
        <v>0</v>
      </c>
      <c r="L7087">
        <v>0</v>
      </c>
      <c r="M7087" t="s">
        <v>43</v>
      </c>
    </row>
    <row r="7088" spans="1:13" hidden="1" x14ac:dyDescent="0.15">
      <c r="A7088" t="s">
        <v>22169</v>
      </c>
      <c r="B7088" t="s">
        <v>22170</v>
      </c>
      <c r="C7088" t="s">
        <v>22171</v>
      </c>
      <c r="D7088" t="s">
        <v>22155</v>
      </c>
      <c r="E7088">
        <v>2</v>
      </c>
      <c r="F7088" t="str">
        <f>HYPERLINK("https://github.com/nextcloud/talk-android/issues/819", "show")</f>
        <v>show</v>
      </c>
      <c r="G7088" t="str">
        <f>HYPERLINK("https://github.com/nextcloud/talk-android", "show")</f>
        <v>show</v>
      </c>
      <c r="H7088" t="str">
        <f>HYPERLINK("https://github.com/nextcloud/talk-android/releases", "show")</f>
        <v>show</v>
      </c>
      <c r="I7088">
        <v>1</v>
      </c>
      <c r="J7088">
        <v>0</v>
      </c>
      <c r="K7088">
        <v>0</v>
      </c>
      <c r="L7088">
        <v>0</v>
      </c>
      <c r="M7088" t="s">
        <v>17</v>
      </c>
    </row>
    <row r="7089" spans="1:13" hidden="1" x14ac:dyDescent="0.15">
      <c r="A7089" t="s">
        <v>22172</v>
      </c>
      <c r="B7089" t="s">
        <v>22173</v>
      </c>
      <c r="C7089" t="s">
        <v>22174</v>
      </c>
      <c r="D7089" t="s">
        <v>22175</v>
      </c>
      <c r="E7089">
        <v>2</v>
      </c>
      <c r="F7089" t="str">
        <f>HYPERLINK("https://github.com/iNPUTmice/Conversations/issues/3701", "show")</f>
        <v>show</v>
      </c>
      <c r="G7089" t="str">
        <f>HYPERLINK("https://github.com/iNPUTmice/Conversations", "show")</f>
        <v>show</v>
      </c>
      <c r="H7089" t="str">
        <f>HYPERLINK("https://github.com/iNPUTmice/Conversations/releases", "show")</f>
        <v>show</v>
      </c>
      <c r="I7089">
        <v>1</v>
      </c>
      <c r="J7089">
        <v>0</v>
      </c>
      <c r="K7089">
        <v>0</v>
      </c>
      <c r="L7089">
        <v>0</v>
      </c>
      <c r="M7089" t="s">
        <v>17</v>
      </c>
    </row>
    <row r="7090" spans="1:13" hidden="1" x14ac:dyDescent="0.15">
      <c r="A7090" t="s">
        <v>22176</v>
      </c>
      <c r="B7090" t="s">
        <v>22177</v>
      </c>
      <c r="C7090" t="s">
        <v>22178</v>
      </c>
      <c r="D7090" t="s">
        <v>22175</v>
      </c>
      <c r="E7090">
        <v>28</v>
      </c>
      <c r="F7090" t="str">
        <f>HYPERLINK("https://github.com/Inversion-NL/Toon-Android/issues/18", "show")</f>
        <v>show</v>
      </c>
      <c r="G7090" t="str">
        <f>HYPERLINK("https://github.com/Inversion-NL/Toon-Android", "show")</f>
        <v>show</v>
      </c>
      <c r="H7090" t="str">
        <f>HYPERLINK("https://github.com/Inversion-NL/Toon-Android/releases", "show")</f>
        <v>show</v>
      </c>
      <c r="I7090">
        <v>1</v>
      </c>
      <c r="J7090">
        <v>0</v>
      </c>
      <c r="K7090">
        <v>1</v>
      </c>
      <c r="L7090">
        <v>0</v>
      </c>
      <c r="M7090" t="s">
        <v>64</v>
      </c>
    </row>
    <row r="7091" spans="1:13" hidden="1" x14ac:dyDescent="0.15">
      <c r="A7091" t="s">
        <v>22179</v>
      </c>
      <c r="B7091" t="s">
        <v>22180</v>
      </c>
      <c r="C7091" t="s">
        <v>22181</v>
      </c>
      <c r="D7091" t="s">
        <v>22182</v>
      </c>
      <c r="E7091">
        <v>0</v>
      </c>
      <c r="F7091" t="str">
        <f>HYPERLINK("https://github.com/nextcloud/android/issues/6004", "show")</f>
        <v>show</v>
      </c>
      <c r="G7091" t="str">
        <f>HYPERLINK("https://github.com/nextcloud/android", "show")</f>
        <v>show</v>
      </c>
      <c r="H7091" t="str">
        <f>HYPERLINK("https://github.com/nextcloud/android/releases", "show")</f>
        <v>show</v>
      </c>
      <c r="I7091">
        <v>1</v>
      </c>
      <c r="J7091">
        <v>1</v>
      </c>
      <c r="K7091">
        <v>1</v>
      </c>
      <c r="L7091">
        <v>0</v>
      </c>
      <c r="M7091" t="s">
        <v>59</v>
      </c>
    </row>
    <row r="7092" spans="1:13" hidden="1" x14ac:dyDescent="0.15">
      <c r="A7092" t="s">
        <v>22183</v>
      </c>
      <c r="B7092" t="s">
        <v>22184</v>
      </c>
      <c r="C7092" t="s">
        <v>22185</v>
      </c>
      <c r="D7092" t="s">
        <v>22186</v>
      </c>
      <c r="E7092">
        <v>92</v>
      </c>
      <c r="F7092" t="str">
        <f>HYPERLINK("https://github.com/TeamNewPipe/NewPipe/issues/3527", "show")</f>
        <v>show</v>
      </c>
      <c r="G7092" t="str">
        <f>HYPERLINK("https://github.com/TeamNewPipe/NewPipe", "show")</f>
        <v>show</v>
      </c>
      <c r="H7092" t="str">
        <f>HYPERLINK("https://github.com/TeamNewPipe/NewPipe/releases", "show")</f>
        <v>show</v>
      </c>
      <c r="I7092">
        <v>1</v>
      </c>
      <c r="J7092">
        <v>1</v>
      </c>
      <c r="K7092">
        <v>0</v>
      </c>
      <c r="L7092">
        <v>0</v>
      </c>
      <c r="M7092" t="s">
        <v>48</v>
      </c>
    </row>
    <row r="7093" spans="1:13" hidden="1" x14ac:dyDescent="0.15">
      <c r="A7093" t="s">
        <v>22187</v>
      </c>
      <c r="B7093" t="s">
        <v>22188</v>
      </c>
      <c r="C7093" t="s">
        <v>22189</v>
      </c>
      <c r="D7093" t="s">
        <v>22186</v>
      </c>
      <c r="E7093">
        <v>0</v>
      </c>
      <c r="F7093" t="str">
        <f>HYPERLINK("https://github.com/material-components/material-components-android/issues/1273", "show")</f>
        <v>show</v>
      </c>
      <c r="G7093" t="str">
        <f>HYPERLINK("https://github.com/material-components/material-components-android", "show")</f>
        <v>show</v>
      </c>
      <c r="H7093" t="str">
        <f>HYPERLINK("https://github.com/material-components/material-components-android/releases", "show")</f>
        <v>show</v>
      </c>
      <c r="I7093">
        <v>1</v>
      </c>
      <c r="J7093">
        <v>0</v>
      </c>
      <c r="K7093">
        <v>0</v>
      </c>
      <c r="L7093">
        <v>0</v>
      </c>
      <c r="M7093" t="s">
        <v>17</v>
      </c>
    </row>
    <row r="7094" spans="1:13" hidden="1" x14ac:dyDescent="0.15">
      <c r="A7094" t="s">
        <v>22190</v>
      </c>
      <c r="B7094" t="s">
        <v>22191</v>
      </c>
      <c r="C7094" t="s">
        <v>22192</v>
      </c>
      <c r="D7094" t="s">
        <v>22186</v>
      </c>
      <c r="E7094">
        <v>36</v>
      </c>
      <c r="F7094" t="str">
        <f>HYPERLINK("https://github.com/commons-app/apps-android-commons/issues/3725", "show")</f>
        <v>show</v>
      </c>
      <c r="G7094" t="str">
        <f>HYPERLINK("https://github.com/commons-app/apps-android-commons", "show")</f>
        <v>show</v>
      </c>
      <c r="H7094" t="str">
        <f>HYPERLINK("https://github.com/commons-app/apps-android-commons/releases", "show")</f>
        <v>show</v>
      </c>
      <c r="I7094">
        <v>1</v>
      </c>
      <c r="J7094">
        <v>0</v>
      </c>
      <c r="K7094">
        <v>1</v>
      </c>
      <c r="L7094">
        <v>0</v>
      </c>
      <c r="M7094" t="s">
        <v>64</v>
      </c>
    </row>
    <row r="7095" spans="1:13" hidden="1" x14ac:dyDescent="0.15">
      <c r="A7095" t="s">
        <v>22193</v>
      </c>
      <c r="B7095" t="s">
        <v>22194</v>
      </c>
      <c r="C7095" t="s">
        <v>22195</v>
      </c>
      <c r="D7095" t="s">
        <v>22186</v>
      </c>
      <c r="E7095">
        <v>318</v>
      </c>
      <c r="F7095" t="str">
        <f>HYPERLINK("https://github.com/android/tv-samples/issues/29", "show")</f>
        <v>show</v>
      </c>
      <c r="G7095" t="str">
        <f>HYPERLINK("https://github.com/android/tv-samples", "show")</f>
        <v>show</v>
      </c>
      <c r="H7095" t="str">
        <f>HYPERLINK("https://github.com/android/tv-samples/releases", "show")</f>
        <v>show</v>
      </c>
      <c r="I7095">
        <v>1</v>
      </c>
      <c r="J7095">
        <v>0</v>
      </c>
      <c r="K7095">
        <v>1</v>
      </c>
      <c r="L7095">
        <v>0</v>
      </c>
      <c r="M7095" t="s">
        <v>64</v>
      </c>
    </row>
    <row r="7096" spans="1:13" hidden="1" x14ac:dyDescent="0.15">
      <c r="A7096" t="s">
        <v>22196</v>
      </c>
      <c r="B7096" t="s">
        <v>22197</v>
      </c>
      <c r="C7096" t="s">
        <v>22198</v>
      </c>
      <c r="D7096" t="s">
        <v>22186</v>
      </c>
      <c r="E7096">
        <v>25</v>
      </c>
      <c r="F7096" t="str">
        <f>HYPERLINK("https://github.com/TeamNewPipe/NewPipe/issues/3524", "show")</f>
        <v>show</v>
      </c>
      <c r="G7096" t="str">
        <f>HYPERLINK("https://github.com/TeamNewPipe/NewPipe", "show")</f>
        <v>show</v>
      </c>
      <c r="H7096" t="str">
        <f>HYPERLINK("https://github.com/TeamNewPipe/NewPipe/releases", "show")</f>
        <v>show</v>
      </c>
      <c r="I7096">
        <v>0</v>
      </c>
      <c r="J7096">
        <v>0</v>
      </c>
      <c r="K7096">
        <v>1</v>
      </c>
      <c r="L7096">
        <v>0</v>
      </c>
      <c r="M7096" t="s">
        <v>122</v>
      </c>
    </row>
    <row r="7097" spans="1:13" hidden="1" x14ac:dyDescent="0.15">
      <c r="A7097" t="s">
        <v>22199</v>
      </c>
      <c r="B7097" t="s">
        <v>22200</v>
      </c>
      <c r="C7097" t="s">
        <v>22201</v>
      </c>
      <c r="D7097" t="s">
        <v>22202</v>
      </c>
      <c r="E7097">
        <v>287</v>
      </c>
      <c r="F7097" t="str">
        <f>HYPERLINK("https://github.com/gnalberski/GNv1/issues/11", "show")</f>
        <v>show</v>
      </c>
      <c r="G7097" t="str">
        <f>HYPERLINK("https://github.com/gnalberski/GNv1", "show")</f>
        <v>show</v>
      </c>
      <c r="H7097" t="str">
        <f>HYPERLINK("https://github.com/gnalberski/GNv1/releases", "show")</f>
        <v>show</v>
      </c>
      <c r="I7097">
        <v>1</v>
      </c>
      <c r="J7097">
        <v>1</v>
      </c>
      <c r="K7097">
        <v>1</v>
      </c>
      <c r="L7097">
        <v>0</v>
      </c>
      <c r="M7097" t="s">
        <v>59</v>
      </c>
    </row>
    <row r="7098" spans="1:13" hidden="1" x14ac:dyDescent="0.15">
      <c r="A7098" t="s">
        <v>22203</v>
      </c>
      <c r="B7098" t="s">
        <v>14589</v>
      </c>
      <c r="C7098" t="s">
        <v>22204</v>
      </c>
      <c r="D7098" t="s">
        <v>22202</v>
      </c>
      <c r="E7098">
        <v>0</v>
      </c>
      <c r="F7098" t="str">
        <f>HYPERLINK("https://github.com/nextcloud/android/issues/5999", "show")</f>
        <v>show</v>
      </c>
      <c r="G7098" t="str">
        <f>HYPERLINK("https://github.com/nextcloud/android", "show")</f>
        <v>show</v>
      </c>
      <c r="H7098" t="str">
        <f>HYPERLINK("https://github.com/nextcloud/android/releases", "show")</f>
        <v>show</v>
      </c>
      <c r="I7098">
        <v>0</v>
      </c>
      <c r="J7098">
        <v>0</v>
      </c>
      <c r="K7098">
        <v>1</v>
      </c>
      <c r="L7098">
        <v>0</v>
      </c>
      <c r="M7098" t="s">
        <v>122</v>
      </c>
    </row>
    <row r="7099" spans="1:13" hidden="1" x14ac:dyDescent="0.15">
      <c r="A7099" t="s">
        <v>22205</v>
      </c>
      <c r="B7099" t="s">
        <v>22206</v>
      </c>
      <c r="C7099" t="s">
        <v>22207</v>
      </c>
      <c r="D7099" t="s">
        <v>22202</v>
      </c>
      <c r="E7099">
        <v>1</v>
      </c>
      <c r="F7099" t="str">
        <f>HYPERLINK("https://github.com/forrestguice/SuntimesWidget/issues/408", "show")</f>
        <v>show</v>
      </c>
      <c r="G7099" t="str">
        <f>HYPERLINK("https://github.com/forrestguice/SuntimesWidget", "show")</f>
        <v>show</v>
      </c>
      <c r="H7099" t="str">
        <f>HYPERLINK("https://github.com/forrestguice/SuntimesWidget/releases", "show")</f>
        <v>show</v>
      </c>
      <c r="I7099">
        <v>1</v>
      </c>
      <c r="J7099">
        <v>1</v>
      </c>
      <c r="K7099">
        <v>1</v>
      </c>
      <c r="L7099">
        <v>0</v>
      </c>
      <c r="M7099" t="s">
        <v>59</v>
      </c>
    </row>
    <row r="7100" spans="1:13" hidden="1" x14ac:dyDescent="0.15">
      <c r="A7100" t="s">
        <v>22208</v>
      </c>
      <c r="B7100" t="s">
        <v>22209</v>
      </c>
      <c r="C7100" t="s">
        <v>22210</v>
      </c>
      <c r="D7100" t="s">
        <v>22211</v>
      </c>
      <c r="E7100">
        <v>7</v>
      </c>
      <c r="F7100" t="str">
        <f>HYPERLINK("https://github.com/Tencent/QMUI_Android/issues/910", "show")</f>
        <v>show</v>
      </c>
      <c r="G7100" t="str">
        <f>HYPERLINK("https://github.com/Tencent/QMUI_Android", "show")</f>
        <v>show</v>
      </c>
      <c r="H7100" t="str">
        <f>HYPERLINK("https://github.com/Tencent/QMUI_Android/releases", "show")</f>
        <v>show</v>
      </c>
      <c r="I7100">
        <v>0</v>
      </c>
      <c r="J7100">
        <v>0</v>
      </c>
      <c r="K7100">
        <v>1</v>
      </c>
      <c r="L7100">
        <v>0</v>
      </c>
      <c r="M7100" t="s">
        <v>122</v>
      </c>
    </row>
    <row r="7101" spans="1:13" hidden="1" x14ac:dyDescent="0.15">
      <c r="A7101" t="s">
        <v>22212</v>
      </c>
      <c r="B7101" t="s">
        <v>22213</v>
      </c>
      <c r="C7101" t="s">
        <v>22214</v>
      </c>
      <c r="D7101" t="s">
        <v>22211</v>
      </c>
      <c r="E7101">
        <v>11</v>
      </c>
      <c r="F7101" t="str">
        <f>HYPERLINK("https://github.com/vehiloco/crypto-checker/issues/4", "show")</f>
        <v>show</v>
      </c>
      <c r="G7101" t="str">
        <f>HYPERLINK("https://github.com/vehiloco/crypto-checker", "show")</f>
        <v>show</v>
      </c>
      <c r="H7101" t="str">
        <f>HYPERLINK("https://github.com/vehiloco/crypto-checker/releases", "show")</f>
        <v>show</v>
      </c>
      <c r="I7101">
        <v>1</v>
      </c>
      <c r="J7101">
        <v>0</v>
      </c>
      <c r="K7101">
        <v>0</v>
      </c>
      <c r="L7101">
        <v>0</v>
      </c>
      <c r="M7101" t="s">
        <v>17</v>
      </c>
    </row>
    <row r="7102" spans="1:13" hidden="1" x14ac:dyDescent="0.15">
      <c r="A7102" t="s">
        <v>22215</v>
      </c>
      <c r="B7102" t="s">
        <v>22216</v>
      </c>
      <c r="C7102" t="s">
        <v>22217</v>
      </c>
      <c r="D7102" t="s">
        <v>22211</v>
      </c>
      <c r="E7102">
        <v>5</v>
      </c>
      <c r="F7102" t="str">
        <f>HYPERLINK("https://github.com/GoogleCloudPlatform/fda-mystudies/issues/315", "show")</f>
        <v>show</v>
      </c>
      <c r="G7102" t="str">
        <f>HYPERLINK("https://github.com/GoogleCloudPlatform/fda-mystudies", "show")</f>
        <v>show</v>
      </c>
      <c r="H7102" t="str">
        <f>HYPERLINK("https://github.com/GoogleCloudPlatform/fda-mystudies/releases", "show")</f>
        <v>show</v>
      </c>
      <c r="I7102">
        <v>1</v>
      </c>
      <c r="J7102">
        <v>0</v>
      </c>
      <c r="K7102">
        <v>0</v>
      </c>
      <c r="L7102">
        <v>0</v>
      </c>
      <c r="M7102" t="s">
        <v>17</v>
      </c>
    </row>
    <row r="7103" spans="1:13" hidden="1" x14ac:dyDescent="0.15">
      <c r="A7103" t="s">
        <v>22218</v>
      </c>
      <c r="B7103" t="s">
        <v>22219</v>
      </c>
      <c r="C7103" t="s">
        <v>22220</v>
      </c>
      <c r="D7103" t="s">
        <v>22221</v>
      </c>
      <c r="E7103">
        <v>678</v>
      </c>
      <c r="F7103" t="str">
        <f>HYPERLINK("https://github.com/nextcloud/android/issues/5995", "show")</f>
        <v>show</v>
      </c>
      <c r="G7103" t="str">
        <f>HYPERLINK("https://github.com/nextcloud/android", "show")</f>
        <v>show</v>
      </c>
      <c r="H7103" t="str">
        <f>HYPERLINK("https://github.com/nextcloud/android/releases", "show")</f>
        <v>show</v>
      </c>
      <c r="I7103">
        <v>1</v>
      </c>
      <c r="J7103">
        <v>0</v>
      </c>
      <c r="K7103">
        <v>1</v>
      </c>
      <c r="L7103">
        <v>0</v>
      </c>
      <c r="M7103" t="s">
        <v>64</v>
      </c>
    </row>
    <row r="7104" spans="1:13" hidden="1" x14ac:dyDescent="0.15">
      <c r="A7104" t="s">
        <v>22222</v>
      </c>
      <c r="B7104" t="s">
        <v>22223</v>
      </c>
      <c r="C7104" t="s">
        <v>22224</v>
      </c>
      <c r="D7104" t="s">
        <v>22221</v>
      </c>
      <c r="E7104">
        <v>3</v>
      </c>
      <c r="F7104" t="str">
        <f>HYPERLINK("https://github.com/TeamNewPipe/NewPipe/issues/3512", "show")</f>
        <v>show</v>
      </c>
      <c r="G7104" t="str">
        <f>HYPERLINK("https://github.com/TeamNewPipe/NewPipe", "show")</f>
        <v>show</v>
      </c>
      <c r="H7104" t="str">
        <f>HYPERLINK("https://github.com/TeamNewPipe/NewPipe/releases", "show")</f>
        <v>show</v>
      </c>
      <c r="I7104">
        <v>1</v>
      </c>
      <c r="J7104">
        <v>1</v>
      </c>
      <c r="K7104">
        <v>0</v>
      </c>
      <c r="L7104">
        <v>0</v>
      </c>
      <c r="M7104" t="s">
        <v>48</v>
      </c>
    </row>
    <row r="7105" spans="1:13" hidden="1" x14ac:dyDescent="0.15">
      <c r="A7105" t="s">
        <v>22225</v>
      </c>
      <c r="B7105" t="s">
        <v>22226</v>
      </c>
      <c r="C7105" t="s">
        <v>22227</v>
      </c>
      <c r="D7105" t="s">
        <v>22228</v>
      </c>
      <c r="E7105">
        <v>1</v>
      </c>
      <c r="F7105" t="str">
        <f>HYPERLINK("https://github.com/doublesymmetry/react-native-track-player/issues/924", "show")</f>
        <v>show</v>
      </c>
      <c r="G7105" t="str">
        <f>HYPERLINK("https://github.com/doublesymmetry/react-native-track-player", "show")</f>
        <v>show</v>
      </c>
      <c r="H7105" t="str">
        <f>HYPERLINK("https://github.com/doublesymmetry/react-native-track-player/releases", "show")</f>
        <v>show</v>
      </c>
      <c r="I7105">
        <v>1</v>
      </c>
      <c r="J7105">
        <v>0</v>
      </c>
      <c r="K7105">
        <v>0</v>
      </c>
      <c r="L7105">
        <v>0</v>
      </c>
      <c r="M7105" t="s">
        <v>17</v>
      </c>
    </row>
    <row r="7106" spans="1:13" hidden="1" x14ac:dyDescent="0.15">
      <c r="A7106" t="s">
        <v>22229</v>
      </c>
      <c r="B7106" t="s">
        <v>22230</v>
      </c>
      <c r="C7106" t="s">
        <v>22231</v>
      </c>
      <c r="D7106" t="s">
        <v>22228</v>
      </c>
      <c r="E7106">
        <v>225</v>
      </c>
      <c r="F7106" t="str">
        <f>HYPERLINK("https://github.com/ElderDrivers/EdXposed/issues/526", "show")</f>
        <v>show</v>
      </c>
      <c r="G7106" t="str">
        <f>HYPERLINK("https://github.com/ElderDrivers/EdXposed", "show")</f>
        <v>show</v>
      </c>
      <c r="H7106" t="str">
        <f>HYPERLINK("https://github.com/ElderDrivers/EdXposed/releases", "show")</f>
        <v>show</v>
      </c>
      <c r="I7106">
        <v>0</v>
      </c>
      <c r="J7106">
        <v>0</v>
      </c>
      <c r="K7106">
        <v>0</v>
      </c>
      <c r="L7106">
        <v>0</v>
      </c>
      <c r="M7106" t="s">
        <v>43</v>
      </c>
    </row>
    <row r="7107" spans="1:13" hidden="1" x14ac:dyDescent="0.15">
      <c r="A7107" t="s">
        <v>22232</v>
      </c>
      <c r="B7107" t="s">
        <v>22233</v>
      </c>
      <c r="C7107" t="s">
        <v>22234</v>
      </c>
      <c r="D7107" t="s">
        <v>22235</v>
      </c>
      <c r="E7107">
        <v>3</v>
      </c>
      <c r="F7107" t="str">
        <f>HYPERLINK("https://github.com/iNPUTmice/Conversations/issues/3682", "show")</f>
        <v>show</v>
      </c>
      <c r="G7107" t="str">
        <f>HYPERLINK("https://github.com/iNPUTmice/Conversations", "show")</f>
        <v>show</v>
      </c>
      <c r="H7107" t="str">
        <f>HYPERLINK("https://github.com/iNPUTmice/Conversations/releases", "show")</f>
        <v>show</v>
      </c>
      <c r="I7107">
        <v>1</v>
      </c>
      <c r="J7107">
        <v>0</v>
      </c>
      <c r="K7107">
        <v>0</v>
      </c>
      <c r="L7107">
        <v>0</v>
      </c>
      <c r="M7107" t="s">
        <v>17</v>
      </c>
    </row>
    <row r="7108" spans="1:13" hidden="1" x14ac:dyDescent="0.15">
      <c r="A7108" t="s">
        <v>22236</v>
      </c>
      <c r="B7108" t="s">
        <v>22237</v>
      </c>
      <c r="C7108" t="s">
        <v>22238</v>
      </c>
      <c r="D7108" t="s">
        <v>22235</v>
      </c>
      <c r="E7108">
        <v>183</v>
      </c>
      <c r="F7108" t="str">
        <f>HYPERLINK("https://github.com/morenoh149/react-native-contacts/issues/516", "show")</f>
        <v>show</v>
      </c>
      <c r="G7108" t="str">
        <f>HYPERLINK("https://github.com/morenoh149/react-native-contacts", "show")</f>
        <v>show</v>
      </c>
      <c r="H7108" t="str">
        <f>HYPERLINK("https://github.com/morenoh149/react-native-contacts/releases", "show")</f>
        <v>show</v>
      </c>
      <c r="I7108">
        <v>1</v>
      </c>
      <c r="J7108">
        <v>0</v>
      </c>
      <c r="K7108">
        <v>0</v>
      </c>
      <c r="L7108">
        <v>0</v>
      </c>
      <c r="M7108" t="s">
        <v>17</v>
      </c>
    </row>
    <row r="7109" spans="1:13" hidden="1" x14ac:dyDescent="0.15">
      <c r="A7109" t="s">
        <v>22239</v>
      </c>
      <c r="B7109" t="s">
        <v>22240</v>
      </c>
      <c r="C7109" t="s">
        <v>22241</v>
      </c>
      <c r="D7109" t="s">
        <v>22235</v>
      </c>
      <c r="E7109">
        <v>1</v>
      </c>
      <c r="F7109" t="str">
        <f>HYPERLINK("https://github.com/ankidroid/Anki-Android/issues/6089", "show")</f>
        <v>show</v>
      </c>
      <c r="G7109" t="str">
        <f>HYPERLINK("https://github.com/ankidroid/Anki-Android", "show")</f>
        <v>show</v>
      </c>
      <c r="H7109" t="str">
        <f>HYPERLINK("https://github.com/ankidroid/Anki-Android/releases", "show")</f>
        <v>show</v>
      </c>
      <c r="I7109">
        <v>1</v>
      </c>
      <c r="J7109">
        <v>1</v>
      </c>
      <c r="K7109">
        <v>0</v>
      </c>
      <c r="L7109">
        <v>0</v>
      </c>
      <c r="M7109" t="s">
        <v>48</v>
      </c>
    </row>
    <row r="7110" spans="1:13" hidden="1" x14ac:dyDescent="0.15">
      <c r="A7110" t="s">
        <v>22242</v>
      </c>
      <c r="B7110" t="s">
        <v>22243</v>
      </c>
      <c r="C7110" t="s">
        <v>22244</v>
      </c>
      <c r="D7110" t="s">
        <v>22245</v>
      </c>
      <c r="E7110">
        <v>109</v>
      </c>
      <c r="F7110" t="str">
        <f>HYPERLINK("https://github.com/TeamNewPipe/NewPipe/issues/3499", "show")</f>
        <v>show</v>
      </c>
      <c r="G7110" t="str">
        <f>HYPERLINK("https://github.com/TeamNewPipe/NewPipe", "show")</f>
        <v>show</v>
      </c>
      <c r="H7110" t="str">
        <f>HYPERLINK("https://github.com/TeamNewPipe/NewPipe/releases", "show")</f>
        <v>show</v>
      </c>
      <c r="I7110">
        <v>0</v>
      </c>
      <c r="J7110">
        <v>0</v>
      </c>
      <c r="K7110">
        <v>0</v>
      </c>
      <c r="L7110">
        <v>0</v>
      </c>
      <c r="M7110" t="s">
        <v>43</v>
      </c>
    </row>
    <row r="7111" spans="1:13" hidden="1" x14ac:dyDescent="0.15">
      <c r="A7111" t="s">
        <v>22246</v>
      </c>
      <c r="B7111" t="s">
        <v>22247</v>
      </c>
      <c r="C7111" t="s">
        <v>22248</v>
      </c>
      <c r="D7111" t="s">
        <v>22245</v>
      </c>
      <c r="E7111">
        <v>5</v>
      </c>
      <c r="F7111" t="str">
        <f>HYPERLINK("https://github.com/google/ExoPlayer/issues/7306", "show")</f>
        <v>show</v>
      </c>
      <c r="G7111" t="str">
        <f>HYPERLINK("https://github.com/google/ExoPlayer", "show")</f>
        <v>show</v>
      </c>
      <c r="H7111" t="str">
        <f>HYPERLINK("https://github.com/google/ExoPlayer/releases", "show")</f>
        <v>show</v>
      </c>
      <c r="I7111">
        <v>1</v>
      </c>
      <c r="J7111">
        <v>1</v>
      </c>
      <c r="K7111">
        <v>1</v>
      </c>
      <c r="L7111">
        <v>0</v>
      </c>
      <c r="M7111" t="s">
        <v>59</v>
      </c>
    </row>
    <row r="7112" spans="1:13" hidden="1" x14ac:dyDescent="0.15">
      <c r="A7112" t="s">
        <v>22249</v>
      </c>
      <c r="B7112" t="s">
        <v>22250</v>
      </c>
      <c r="C7112" t="s">
        <v>22251</v>
      </c>
      <c r="D7112" t="s">
        <v>22245</v>
      </c>
      <c r="E7112">
        <v>1</v>
      </c>
      <c r="F7112" t="str">
        <f>HYPERLINK("https://github.com/hzi-braunschweig/SORMAS-Project/issues/1931", "show")</f>
        <v>show</v>
      </c>
      <c r="G7112" t="str">
        <f>HYPERLINK("https://github.com/hzi-braunschweig/SORMAS-Project", "show")</f>
        <v>show</v>
      </c>
      <c r="H7112" t="str">
        <f>HYPERLINK("https://github.com/hzi-braunschweig/SORMAS-Project/releases", "show")</f>
        <v>show</v>
      </c>
      <c r="I7112">
        <v>1</v>
      </c>
      <c r="J7112">
        <v>0</v>
      </c>
      <c r="K7112">
        <v>0</v>
      </c>
      <c r="L7112">
        <v>0</v>
      </c>
      <c r="M7112" t="s">
        <v>17</v>
      </c>
    </row>
    <row r="7113" spans="1:13" hidden="1" x14ac:dyDescent="0.15">
      <c r="A7113" t="s">
        <v>22252</v>
      </c>
      <c r="B7113" t="s">
        <v>22253</v>
      </c>
      <c r="C7113" t="s">
        <v>22254</v>
      </c>
      <c r="D7113" t="s">
        <v>22245</v>
      </c>
      <c r="E7113">
        <v>295</v>
      </c>
      <c r="F7113" t="str">
        <f>HYPERLINK("https://github.com/dev-labs-bg/fullscreen-video-view/issues/71", "show")</f>
        <v>show</v>
      </c>
      <c r="G7113" t="str">
        <f>HYPERLINK("https://github.com/dev-labs-bg/fullscreen-video-view", "show")</f>
        <v>show</v>
      </c>
      <c r="H7113" t="str">
        <f>HYPERLINK("https://github.com/dev-labs-bg/fullscreen-video-view/releases", "show")</f>
        <v>show</v>
      </c>
      <c r="I7113">
        <v>1</v>
      </c>
      <c r="J7113">
        <v>0</v>
      </c>
      <c r="K7113">
        <v>0</v>
      </c>
      <c r="L7113">
        <v>0</v>
      </c>
      <c r="M7113" t="s">
        <v>17</v>
      </c>
    </row>
    <row r="7114" spans="1:13" hidden="1" x14ac:dyDescent="0.15">
      <c r="A7114" t="s">
        <v>22255</v>
      </c>
      <c r="B7114" t="s">
        <v>22256</v>
      </c>
      <c r="C7114" t="s">
        <v>22257</v>
      </c>
      <c r="D7114" t="s">
        <v>22245</v>
      </c>
      <c r="E7114">
        <v>10</v>
      </c>
      <c r="F7114" t="str">
        <f>HYPERLINK("https://github.com/aws/aws-iot-device-sdk-java-v2/issues/53", "show")</f>
        <v>show</v>
      </c>
      <c r="G7114" t="str">
        <f>HYPERLINK("https://github.com/aws/aws-iot-device-sdk-java-v2", "show")</f>
        <v>show</v>
      </c>
      <c r="H7114" t="str">
        <f>HYPERLINK("https://github.com/aws/aws-iot-device-sdk-java-v2/releases", "show")</f>
        <v>show</v>
      </c>
      <c r="I7114">
        <v>1</v>
      </c>
      <c r="J7114">
        <v>1</v>
      </c>
      <c r="K7114">
        <v>0</v>
      </c>
      <c r="L7114">
        <v>0</v>
      </c>
      <c r="M7114" t="s">
        <v>48</v>
      </c>
    </row>
    <row r="7115" spans="1:13" hidden="1" x14ac:dyDescent="0.15">
      <c r="A7115" t="s">
        <v>22258</v>
      </c>
      <c r="B7115" t="s">
        <v>22259</v>
      </c>
      <c r="C7115" t="s">
        <v>22260</v>
      </c>
      <c r="D7115" t="s">
        <v>22245</v>
      </c>
      <c r="E7115">
        <v>36</v>
      </c>
      <c r="F7115" t="str">
        <f>HYPERLINK("https://github.com/GoogleCloudPlatform/fda-mystudies/issues/252", "show")</f>
        <v>show</v>
      </c>
      <c r="G7115" t="str">
        <f>HYPERLINK("https://github.com/GoogleCloudPlatform/fda-mystudies", "show")</f>
        <v>show</v>
      </c>
      <c r="H7115" t="str">
        <f>HYPERLINK("https://github.com/GoogleCloudPlatform/fda-mystudies/releases", "show")</f>
        <v>show</v>
      </c>
      <c r="I7115">
        <v>1</v>
      </c>
      <c r="J7115">
        <v>0</v>
      </c>
      <c r="K7115">
        <v>0</v>
      </c>
      <c r="L7115">
        <v>0</v>
      </c>
      <c r="M7115" t="s">
        <v>17</v>
      </c>
    </row>
    <row r="7116" spans="1:13" hidden="1" x14ac:dyDescent="0.15">
      <c r="A7116" t="s">
        <v>22261</v>
      </c>
      <c r="B7116" t="s">
        <v>22262</v>
      </c>
      <c r="C7116" t="s">
        <v>22263</v>
      </c>
      <c r="D7116" t="s">
        <v>22264</v>
      </c>
      <c r="E7116">
        <v>2</v>
      </c>
      <c r="F7116" t="str">
        <f>HYPERLINK("https://github.com/andrzejchm/RESTMock/issues/111", "show")</f>
        <v>show</v>
      </c>
      <c r="G7116" t="str">
        <f>HYPERLINK("https://github.com/andrzejchm/RESTMock", "show")</f>
        <v>show</v>
      </c>
      <c r="H7116" t="str">
        <f>HYPERLINK("https://github.com/andrzejchm/RESTMock/releases", "show")</f>
        <v>show</v>
      </c>
      <c r="I7116">
        <v>1</v>
      </c>
      <c r="J7116">
        <v>0</v>
      </c>
      <c r="K7116">
        <v>0</v>
      </c>
      <c r="L7116">
        <v>0</v>
      </c>
      <c r="M7116" t="s">
        <v>17</v>
      </c>
    </row>
    <row r="7117" spans="1:13" hidden="1" x14ac:dyDescent="0.15">
      <c r="A7117" t="s">
        <v>22265</v>
      </c>
      <c r="B7117" t="s">
        <v>22266</v>
      </c>
      <c r="C7117" t="s">
        <v>22267</v>
      </c>
      <c r="D7117" t="s">
        <v>22264</v>
      </c>
      <c r="E7117">
        <v>0</v>
      </c>
      <c r="F7117" t="str">
        <f>HYPERLINK("https://github.com/OneBusAway/onebusaway-android/issues/1037", "show")</f>
        <v>show</v>
      </c>
      <c r="G7117" t="str">
        <f>HYPERLINK("https://github.com/OneBusAway/onebusaway-android", "show")</f>
        <v>show</v>
      </c>
      <c r="H7117" t="str">
        <f>HYPERLINK("https://github.com/OneBusAway/onebusaway-android/releases", "show")</f>
        <v>show</v>
      </c>
      <c r="I7117">
        <v>1</v>
      </c>
      <c r="J7117">
        <v>1</v>
      </c>
      <c r="K7117">
        <v>0</v>
      </c>
      <c r="L7117">
        <v>0</v>
      </c>
      <c r="M7117" t="s">
        <v>48</v>
      </c>
    </row>
    <row r="7118" spans="1:13" hidden="1" x14ac:dyDescent="0.15">
      <c r="A7118" t="s">
        <v>22268</v>
      </c>
      <c r="B7118" t="s">
        <v>22269</v>
      </c>
      <c r="C7118" t="s">
        <v>22270</v>
      </c>
      <c r="D7118" t="s">
        <v>22264</v>
      </c>
      <c r="E7118">
        <v>1</v>
      </c>
      <c r="F7118" t="str">
        <f>HYPERLINK("https://github.com/material-components/material-components-android/issues/1251", "show")</f>
        <v>show</v>
      </c>
      <c r="G7118" t="str">
        <f>HYPERLINK("https://github.com/material-components/material-components-android", "show")</f>
        <v>show</v>
      </c>
      <c r="H7118" t="str">
        <f>HYPERLINK("https://github.com/material-components/material-components-android/releases", "show")</f>
        <v>show</v>
      </c>
      <c r="I7118">
        <v>1</v>
      </c>
      <c r="J7118">
        <v>0</v>
      </c>
      <c r="K7118">
        <v>1</v>
      </c>
      <c r="L7118">
        <v>0</v>
      </c>
      <c r="M7118" t="s">
        <v>64</v>
      </c>
    </row>
    <row r="7119" spans="1:13" hidden="1" x14ac:dyDescent="0.15">
      <c r="A7119" t="s">
        <v>22271</v>
      </c>
      <c r="B7119" t="s">
        <v>22272</v>
      </c>
      <c r="C7119" t="s">
        <v>22273</v>
      </c>
      <c r="D7119" t="s">
        <v>22274</v>
      </c>
      <c r="E7119">
        <v>378</v>
      </c>
      <c r="F7119" t="str">
        <f>HYPERLINK("https://github.com/k9mail/k-9/issues/4697", "show")</f>
        <v>show</v>
      </c>
      <c r="G7119" t="str">
        <f>HYPERLINK("https://github.com/k9mail/k-9", "show")</f>
        <v>show</v>
      </c>
      <c r="H7119" t="str">
        <f>HYPERLINK("https://github.com/k9mail/k-9/releases", "show")</f>
        <v>show</v>
      </c>
      <c r="I7119">
        <v>1</v>
      </c>
      <c r="J7119">
        <v>0</v>
      </c>
      <c r="K7119">
        <v>0</v>
      </c>
      <c r="L7119">
        <v>0</v>
      </c>
      <c r="M7119" t="s">
        <v>17</v>
      </c>
    </row>
    <row r="7120" spans="1:13" hidden="1" x14ac:dyDescent="0.15">
      <c r="A7120" t="s">
        <v>22275</v>
      </c>
      <c r="B7120" t="s">
        <v>22276</v>
      </c>
      <c r="C7120" t="s">
        <v>22277</v>
      </c>
      <c r="D7120" t="s">
        <v>22274</v>
      </c>
      <c r="E7120">
        <v>1</v>
      </c>
      <c r="F7120" t="str">
        <f>HYPERLINK("https://github.com/zhanghai/AndroidFastScroll/issues/18", "show")</f>
        <v>show</v>
      </c>
      <c r="G7120" t="str">
        <f>HYPERLINK("https://github.com/zhanghai/AndroidFastScroll", "show")</f>
        <v>show</v>
      </c>
      <c r="H7120" t="str">
        <f>HYPERLINK("https://github.com/zhanghai/AndroidFastScroll/releases", "show")</f>
        <v>show</v>
      </c>
      <c r="I7120">
        <v>1</v>
      </c>
      <c r="J7120">
        <v>0</v>
      </c>
      <c r="K7120">
        <v>0</v>
      </c>
      <c r="L7120">
        <v>0</v>
      </c>
      <c r="M7120" t="s">
        <v>17</v>
      </c>
    </row>
    <row r="7121" spans="1:13" hidden="1" x14ac:dyDescent="0.15">
      <c r="A7121" t="s">
        <v>22278</v>
      </c>
      <c r="B7121" t="s">
        <v>22279</v>
      </c>
      <c r="C7121" t="s">
        <v>22280</v>
      </c>
      <c r="D7121" t="s">
        <v>22274</v>
      </c>
      <c r="E7121">
        <v>52</v>
      </c>
      <c r="F7121" t="str">
        <f>HYPERLINK("https://github.com/GoogleChrome/android-browser-helper/issues/89", "show")</f>
        <v>show</v>
      </c>
      <c r="G7121" t="str">
        <f>HYPERLINK("https://github.com/GoogleChrome/android-browser-helper", "show")</f>
        <v>show</v>
      </c>
      <c r="H7121" t="str">
        <f>HYPERLINK("https://github.com/GoogleChrome/android-browser-helper/releases", "show")</f>
        <v>show</v>
      </c>
      <c r="I7121">
        <v>1</v>
      </c>
      <c r="J7121">
        <v>0</v>
      </c>
      <c r="K7121">
        <v>1</v>
      </c>
      <c r="L7121">
        <v>0</v>
      </c>
      <c r="M7121" t="s">
        <v>64</v>
      </c>
    </row>
    <row r="7122" spans="1:13" hidden="1" x14ac:dyDescent="0.15">
      <c r="A7122" t="s">
        <v>22281</v>
      </c>
      <c r="B7122" t="s">
        <v>22282</v>
      </c>
      <c r="C7122" t="s">
        <v>22283</v>
      </c>
      <c r="D7122" t="s">
        <v>22284</v>
      </c>
      <c r="E7122">
        <v>8</v>
      </c>
      <c r="F7122" t="str">
        <f>HYPERLINK("https://github.com/MrCatDog/JustCalc/issues/3", "show")</f>
        <v>show</v>
      </c>
      <c r="G7122" t="str">
        <f>HYPERLINK("https://github.com/MrCatDog/JustCalc", "show")</f>
        <v>show</v>
      </c>
      <c r="H7122" t="str">
        <f>HYPERLINK("https://github.com/MrCatDog/JustCalc/releases", "show")</f>
        <v>show</v>
      </c>
      <c r="I7122">
        <v>0</v>
      </c>
      <c r="J7122">
        <v>0</v>
      </c>
      <c r="K7122">
        <v>0</v>
      </c>
      <c r="L7122">
        <v>0</v>
      </c>
      <c r="M7122" t="s">
        <v>43</v>
      </c>
    </row>
    <row r="7123" spans="1:13" hidden="1" x14ac:dyDescent="0.15">
      <c r="A7123" t="s">
        <v>22285</v>
      </c>
      <c r="B7123" t="s">
        <v>22286</v>
      </c>
      <c r="C7123" t="s">
        <v>22287</v>
      </c>
      <c r="D7123" t="s">
        <v>22284</v>
      </c>
      <c r="E7123">
        <v>2</v>
      </c>
      <c r="F7123" t="str">
        <f>HYPERLINK("https://github.com/TeamNewPipe/NewPipe/issues/3484", "show")</f>
        <v>show</v>
      </c>
      <c r="G7123" t="str">
        <f>HYPERLINK("https://github.com/TeamNewPipe/NewPipe", "show")</f>
        <v>show</v>
      </c>
      <c r="H7123" t="str">
        <f>HYPERLINK("https://github.com/TeamNewPipe/NewPipe/releases", "show")</f>
        <v>show</v>
      </c>
      <c r="I7123">
        <v>1</v>
      </c>
      <c r="J7123">
        <v>1</v>
      </c>
      <c r="K7123">
        <v>0</v>
      </c>
      <c r="L7123">
        <v>0</v>
      </c>
      <c r="M7123" t="s">
        <v>48</v>
      </c>
    </row>
    <row r="7124" spans="1:13" hidden="1" x14ac:dyDescent="0.15">
      <c r="A7124" t="s">
        <v>22288</v>
      </c>
      <c r="B7124" t="s">
        <v>22289</v>
      </c>
      <c r="C7124" t="s">
        <v>22290</v>
      </c>
      <c r="D7124" t="s">
        <v>22284</v>
      </c>
      <c r="E7124">
        <v>5</v>
      </c>
      <c r="F7124" t="str">
        <f>HYPERLINK("https://github.com/cyclestreets/android/issues/368", "show")</f>
        <v>show</v>
      </c>
      <c r="G7124" t="str">
        <f>HYPERLINK("https://github.com/cyclestreets/android", "show")</f>
        <v>show</v>
      </c>
      <c r="H7124" t="str">
        <f>HYPERLINK("https://github.com/cyclestreets/android/releases", "show")</f>
        <v>show</v>
      </c>
      <c r="I7124">
        <v>1</v>
      </c>
      <c r="J7124">
        <v>0</v>
      </c>
      <c r="K7124">
        <v>1</v>
      </c>
      <c r="L7124">
        <v>0</v>
      </c>
      <c r="M7124" t="s">
        <v>64</v>
      </c>
    </row>
    <row r="7125" spans="1:13" hidden="1" x14ac:dyDescent="0.15">
      <c r="A7125" t="s">
        <v>22291</v>
      </c>
      <c r="B7125" t="s">
        <v>22292</v>
      </c>
      <c r="C7125" t="s">
        <v>22293</v>
      </c>
      <c r="D7125" t="s">
        <v>22284</v>
      </c>
      <c r="E7125">
        <v>9</v>
      </c>
      <c r="F7125" t="str">
        <f>HYPERLINK("https://github.com/material-components/material-components-android/issues/1245", "show")</f>
        <v>show</v>
      </c>
      <c r="G7125" t="str">
        <f>HYPERLINK("https://github.com/material-components/material-components-android", "show")</f>
        <v>show</v>
      </c>
      <c r="H7125" t="str">
        <f>HYPERLINK("https://github.com/material-components/material-components-android/releases", "show")</f>
        <v>show</v>
      </c>
      <c r="I7125">
        <v>1</v>
      </c>
      <c r="J7125">
        <v>0</v>
      </c>
      <c r="K7125">
        <v>1</v>
      </c>
      <c r="L7125">
        <v>0</v>
      </c>
      <c r="M7125" t="s">
        <v>64</v>
      </c>
    </row>
    <row r="7126" spans="1:13" hidden="1" x14ac:dyDescent="0.15">
      <c r="A7126" t="s">
        <v>22294</v>
      </c>
      <c r="B7126" t="s">
        <v>22295</v>
      </c>
      <c r="C7126" t="s">
        <v>22296</v>
      </c>
      <c r="D7126" t="s">
        <v>22284</v>
      </c>
      <c r="E7126">
        <v>66</v>
      </c>
      <c r="F7126" t="str">
        <f>HYPERLINK("https://github.com/NordicSemiconductor/Android-BLE-Library/issues/188", "show")</f>
        <v>show</v>
      </c>
      <c r="G7126" t="str">
        <f>HYPERLINK("https://github.com/NordicSemiconductor/Android-BLE-Library", "show")</f>
        <v>show</v>
      </c>
      <c r="H7126" t="str">
        <f>HYPERLINK("https://github.com/NordicSemiconductor/Android-BLE-Library/releases", "show")</f>
        <v>show</v>
      </c>
      <c r="I7126">
        <v>1</v>
      </c>
      <c r="J7126">
        <v>0</v>
      </c>
      <c r="K7126">
        <v>1</v>
      </c>
      <c r="L7126">
        <v>0</v>
      </c>
      <c r="M7126" t="s">
        <v>64</v>
      </c>
    </row>
    <row r="7127" spans="1:13" hidden="1" x14ac:dyDescent="0.15">
      <c r="A7127" t="s">
        <v>22297</v>
      </c>
      <c r="B7127" t="s">
        <v>22298</v>
      </c>
      <c r="C7127" t="s">
        <v>22299</v>
      </c>
      <c r="D7127" t="s">
        <v>22284</v>
      </c>
      <c r="E7127">
        <v>49</v>
      </c>
      <c r="F7127" t="str">
        <f>HYPERLINK("https://github.com/nextcloud/android/issues/5936", "show")</f>
        <v>show</v>
      </c>
      <c r="G7127" t="str">
        <f>HYPERLINK("https://github.com/nextcloud/android", "show")</f>
        <v>show</v>
      </c>
      <c r="H7127" t="str">
        <f>HYPERLINK("https://github.com/nextcloud/android/releases", "show")</f>
        <v>show</v>
      </c>
      <c r="I7127">
        <v>0</v>
      </c>
      <c r="J7127">
        <v>1</v>
      </c>
      <c r="K7127">
        <v>1</v>
      </c>
      <c r="L7127">
        <v>0</v>
      </c>
      <c r="M7127" t="s">
        <v>699</v>
      </c>
    </row>
    <row r="7128" spans="1:13" hidden="1" x14ac:dyDescent="0.15">
      <c r="A7128" t="s">
        <v>22300</v>
      </c>
      <c r="B7128" t="s">
        <v>22301</v>
      </c>
      <c r="C7128" t="s">
        <v>22302</v>
      </c>
      <c r="D7128" t="s">
        <v>22303</v>
      </c>
      <c r="E7128">
        <v>0</v>
      </c>
      <c r="F7128" t="str">
        <f>HYPERLINK("https://github.com/marksuth/indigenous-android/issues/362", "show")</f>
        <v>show</v>
      </c>
      <c r="G7128" t="str">
        <f>HYPERLINK("https://github.com/marksuth/indigenous-android", "show")</f>
        <v>show</v>
      </c>
      <c r="H7128" t="str">
        <f>HYPERLINK("https://github.com/marksuth/indigenous-android/releases", "show")</f>
        <v>show</v>
      </c>
      <c r="I7128">
        <v>1</v>
      </c>
      <c r="J7128">
        <v>0</v>
      </c>
      <c r="K7128">
        <v>0</v>
      </c>
      <c r="L7128">
        <v>0</v>
      </c>
      <c r="M7128" t="s">
        <v>17</v>
      </c>
    </row>
    <row r="7129" spans="1:13" hidden="1" x14ac:dyDescent="0.15">
      <c r="A7129" t="s">
        <v>22304</v>
      </c>
      <c r="B7129" t="s">
        <v>22305</v>
      </c>
      <c r="C7129" t="s">
        <v>22306</v>
      </c>
      <c r="D7129" t="s">
        <v>22303</v>
      </c>
      <c r="E7129">
        <v>0</v>
      </c>
      <c r="F7129" t="str">
        <f>HYPERLINK("https://github.com/commons-app/apps-android-commons/issues/3706", "show")</f>
        <v>show</v>
      </c>
      <c r="G7129" t="str">
        <f>HYPERLINK("https://github.com/commons-app/apps-android-commons", "show")</f>
        <v>show</v>
      </c>
      <c r="H7129" t="str">
        <f>HYPERLINK("https://github.com/commons-app/apps-android-commons/releases", "show")</f>
        <v>show</v>
      </c>
      <c r="I7129">
        <v>1</v>
      </c>
      <c r="J7129">
        <v>0</v>
      </c>
      <c r="K7129">
        <v>1</v>
      </c>
      <c r="L7129">
        <v>0</v>
      </c>
      <c r="M7129" t="s">
        <v>64</v>
      </c>
    </row>
    <row r="7130" spans="1:13" hidden="1" x14ac:dyDescent="0.15">
      <c r="A7130" t="s">
        <v>22307</v>
      </c>
      <c r="B7130" t="s">
        <v>22308</v>
      </c>
      <c r="C7130" t="s">
        <v>22309</v>
      </c>
      <c r="D7130" t="s">
        <v>22303</v>
      </c>
      <c r="E7130">
        <v>46</v>
      </c>
      <c r="F7130" t="str">
        <f>HYPERLINK("https://github.com/commons-app/apps-android-commons/issues/3705", "show")</f>
        <v>show</v>
      </c>
      <c r="G7130" t="str">
        <f>HYPERLINK("https://github.com/commons-app/apps-android-commons", "show")</f>
        <v>show</v>
      </c>
      <c r="H7130" t="str">
        <f>HYPERLINK("https://github.com/commons-app/apps-android-commons/releases", "show")</f>
        <v>show</v>
      </c>
      <c r="I7130">
        <v>1</v>
      </c>
      <c r="J7130">
        <v>0</v>
      </c>
      <c r="K7130">
        <v>1</v>
      </c>
      <c r="L7130">
        <v>0</v>
      </c>
      <c r="M7130" t="s">
        <v>64</v>
      </c>
    </row>
    <row r="7131" spans="1:13" x14ac:dyDescent="0.15">
      <c r="A7131" t="s">
        <v>22310</v>
      </c>
      <c r="B7131" t="s">
        <v>22311</v>
      </c>
      <c r="C7131" t="s">
        <v>22312</v>
      </c>
      <c r="D7131" t="s">
        <v>22303</v>
      </c>
      <c r="E7131">
        <v>0</v>
      </c>
      <c r="F7131" t="str">
        <f>HYPERLINK("https://github.com/nextcloud/android/issues/5928", "show")</f>
        <v>show</v>
      </c>
      <c r="G7131" t="str">
        <f>HYPERLINK("https://github.com/nextcloud/android", "show")</f>
        <v>show</v>
      </c>
      <c r="H7131" t="str">
        <f>HYPERLINK("https://github.com/nextcloud/android/releases", "show")</f>
        <v>show</v>
      </c>
      <c r="I7131">
        <v>0</v>
      </c>
      <c r="J7131">
        <v>1</v>
      </c>
      <c r="K7131">
        <v>0</v>
      </c>
      <c r="L7131">
        <v>0</v>
      </c>
      <c r="M7131" t="s">
        <v>139</v>
      </c>
    </row>
    <row r="7132" spans="1:13" hidden="1" x14ac:dyDescent="0.15">
      <c r="A7132" t="s">
        <v>22313</v>
      </c>
      <c r="B7132" t="s">
        <v>22314</v>
      </c>
      <c r="C7132" t="s">
        <v>22315</v>
      </c>
      <c r="D7132" t="s">
        <v>22316</v>
      </c>
      <c r="E7132">
        <v>2</v>
      </c>
      <c r="F7132" t="str">
        <f>HYPERLINK("https://github.com/cgeo/cgeo/issues/8241", "show")</f>
        <v>show</v>
      </c>
      <c r="G7132" t="str">
        <f>HYPERLINK("https://github.com/cgeo/cgeo", "show")</f>
        <v>show</v>
      </c>
      <c r="H7132" t="str">
        <f>HYPERLINK("https://github.com/cgeo/cgeo/releases", "show")</f>
        <v>show</v>
      </c>
      <c r="I7132">
        <v>1</v>
      </c>
      <c r="J7132">
        <v>1</v>
      </c>
      <c r="K7132">
        <v>0</v>
      </c>
      <c r="L7132">
        <v>0</v>
      </c>
      <c r="M7132" t="s">
        <v>48</v>
      </c>
    </row>
    <row r="7133" spans="1:13" hidden="1" x14ac:dyDescent="0.15">
      <c r="A7133" t="s">
        <v>22317</v>
      </c>
      <c r="B7133" t="s">
        <v>22318</v>
      </c>
      <c r="D7133" t="s">
        <v>22316</v>
      </c>
      <c r="E7133">
        <v>1</v>
      </c>
      <c r="F7133" t="str">
        <f>HYPERLINK("https://github.com/karimassi/balelec-bud/issues/136", "show")</f>
        <v>show</v>
      </c>
      <c r="G7133" t="str">
        <f>HYPERLINK("https://github.com/karimassi/balelec-bud", "show")</f>
        <v>show</v>
      </c>
      <c r="H7133" t="str">
        <f>HYPERLINK("https://github.com/karimassi/balelec-bud/releases", "show")</f>
        <v>show</v>
      </c>
      <c r="I7133">
        <v>0</v>
      </c>
      <c r="J7133">
        <v>0</v>
      </c>
      <c r="K7133">
        <v>0</v>
      </c>
      <c r="L7133">
        <v>0</v>
      </c>
      <c r="M7133" t="s">
        <v>43</v>
      </c>
    </row>
    <row r="7134" spans="1:13" hidden="1" x14ac:dyDescent="0.15">
      <c r="A7134" t="s">
        <v>22319</v>
      </c>
      <c r="B7134" t="s">
        <v>22320</v>
      </c>
      <c r="C7134" t="s">
        <v>22321</v>
      </c>
      <c r="D7134" t="s">
        <v>22316</v>
      </c>
      <c r="E7134">
        <v>635</v>
      </c>
      <c r="F7134" t="str">
        <f>HYPERLINK("https://github.com/nextcloud/android/issues/5926", "show")</f>
        <v>show</v>
      </c>
      <c r="G7134" t="str">
        <f>HYPERLINK("https://github.com/nextcloud/android", "show")</f>
        <v>show</v>
      </c>
      <c r="H7134" t="str">
        <f>HYPERLINK("https://github.com/nextcloud/android/releases", "show")</f>
        <v>show</v>
      </c>
      <c r="I7134">
        <v>1</v>
      </c>
      <c r="J7134">
        <v>1</v>
      </c>
      <c r="K7134">
        <v>1</v>
      </c>
      <c r="L7134">
        <v>0</v>
      </c>
      <c r="M7134" t="s">
        <v>59</v>
      </c>
    </row>
    <row r="7135" spans="1:13" hidden="1" x14ac:dyDescent="0.15">
      <c r="A7135" t="s">
        <v>22322</v>
      </c>
      <c r="B7135" t="s">
        <v>22323</v>
      </c>
      <c r="C7135" t="s">
        <v>22324</v>
      </c>
      <c r="D7135" t="s">
        <v>22316</v>
      </c>
      <c r="E7135">
        <v>1</v>
      </c>
      <c r="F7135" t="str">
        <f>HYPERLINK("https://github.com/Fitbit/bitgatt/issues/25", "show")</f>
        <v>show</v>
      </c>
      <c r="G7135" t="str">
        <f>HYPERLINK("https://github.com/Fitbit/bitgatt", "show")</f>
        <v>show</v>
      </c>
      <c r="H7135" t="str">
        <f>HYPERLINK("https://github.com/Fitbit/bitgatt/releases", "show")</f>
        <v>show</v>
      </c>
      <c r="I7135">
        <v>0</v>
      </c>
      <c r="J7135">
        <v>0</v>
      </c>
      <c r="K7135">
        <v>0</v>
      </c>
      <c r="L7135">
        <v>0</v>
      </c>
      <c r="M7135" t="s">
        <v>43</v>
      </c>
    </row>
    <row r="7136" spans="1:13" hidden="1" x14ac:dyDescent="0.15">
      <c r="A7136" t="s">
        <v>22325</v>
      </c>
      <c r="B7136" t="s">
        <v>22326</v>
      </c>
      <c r="C7136" t="s">
        <v>22327</v>
      </c>
      <c r="D7136" t="s">
        <v>22316</v>
      </c>
      <c r="E7136">
        <v>132</v>
      </c>
      <c r="F7136" t="str">
        <f>HYPERLINK("https://github.com/TeamNewPipe/NewPipe/issues/3473", "show")</f>
        <v>show</v>
      </c>
      <c r="G7136" t="str">
        <f>HYPERLINK("https://github.com/TeamNewPipe/NewPipe", "show")</f>
        <v>show</v>
      </c>
      <c r="H7136" t="str">
        <f>HYPERLINK("https://github.com/TeamNewPipe/NewPipe/releases", "show")</f>
        <v>show</v>
      </c>
      <c r="I7136">
        <v>1</v>
      </c>
      <c r="J7136">
        <v>1</v>
      </c>
      <c r="K7136">
        <v>0</v>
      </c>
      <c r="L7136">
        <v>0</v>
      </c>
      <c r="M7136" t="s">
        <v>48</v>
      </c>
    </row>
    <row r="7137" spans="1:13" hidden="1" x14ac:dyDescent="0.15">
      <c r="A7137" t="s">
        <v>22328</v>
      </c>
      <c r="B7137" t="s">
        <v>20290</v>
      </c>
      <c r="C7137" t="s">
        <v>22329</v>
      </c>
      <c r="D7137" t="s">
        <v>22330</v>
      </c>
      <c r="E7137">
        <v>44</v>
      </c>
      <c r="F7137" t="str">
        <f>HYPERLINK("https://github.com/nextcloud/android/issues/5914", "show")</f>
        <v>show</v>
      </c>
      <c r="G7137" t="str">
        <f>HYPERLINK("https://github.com/nextcloud/android", "show")</f>
        <v>show</v>
      </c>
      <c r="H7137" t="str">
        <f>HYPERLINK("https://github.com/nextcloud/android/releases", "show")</f>
        <v>show</v>
      </c>
      <c r="I7137">
        <v>0</v>
      </c>
      <c r="J7137">
        <v>1</v>
      </c>
      <c r="K7137">
        <v>1</v>
      </c>
      <c r="L7137">
        <v>0</v>
      </c>
      <c r="M7137" t="s">
        <v>699</v>
      </c>
    </row>
    <row r="7138" spans="1:13" hidden="1" x14ac:dyDescent="0.15">
      <c r="A7138" t="s">
        <v>22331</v>
      </c>
      <c r="B7138" t="s">
        <v>22332</v>
      </c>
      <c r="C7138" t="s">
        <v>22333</v>
      </c>
      <c r="D7138" t="s">
        <v>22330</v>
      </c>
      <c r="E7138">
        <v>0</v>
      </c>
      <c r="F7138" t="str">
        <f>HYPERLINK("https://github.com/nextcloud/android/issues/5913", "show")</f>
        <v>show</v>
      </c>
      <c r="G7138" t="str">
        <f>HYPERLINK("https://github.com/nextcloud/android", "show")</f>
        <v>show</v>
      </c>
      <c r="H7138" t="str">
        <f>HYPERLINK("https://github.com/nextcloud/android/releases", "show")</f>
        <v>show</v>
      </c>
      <c r="I7138">
        <v>0</v>
      </c>
      <c r="J7138">
        <v>1</v>
      </c>
      <c r="K7138">
        <v>1</v>
      </c>
      <c r="L7138">
        <v>0</v>
      </c>
      <c r="M7138" t="s">
        <v>699</v>
      </c>
    </row>
    <row r="7139" spans="1:13" hidden="1" x14ac:dyDescent="0.15">
      <c r="A7139" t="s">
        <v>22334</v>
      </c>
      <c r="B7139" t="s">
        <v>22335</v>
      </c>
      <c r="C7139" t="s">
        <v>22336</v>
      </c>
      <c r="D7139" t="s">
        <v>22330</v>
      </c>
      <c r="E7139">
        <v>22</v>
      </c>
      <c r="F7139" t="str">
        <f>HYPERLINK("https://github.com/google/ExoPlayer/issues/7278", "show")</f>
        <v>show</v>
      </c>
      <c r="G7139" t="str">
        <f>HYPERLINK("https://github.com/google/ExoPlayer", "show")</f>
        <v>show</v>
      </c>
      <c r="H7139" t="str">
        <f>HYPERLINK("https://github.com/google/ExoPlayer/releases", "show")</f>
        <v>show</v>
      </c>
      <c r="I7139">
        <v>1</v>
      </c>
      <c r="J7139">
        <v>1</v>
      </c>
      <c r="K7139">
        <v>1</v>
      </c>
      <c r="L7139">
        <v>0</v>
      </c>
      <c r="M7139" t="s">
        <v>59</v>
      </c>
    </row>
    <row r="7140" spans="1:13" hidden="1" x14ac:dyDescent="0.15">
      <c r="A7140" t="s">
        <v>22337</v>
      </c>
      <c r="B7140" t="s">
        <v>22338</v>
      </c>
      <c r="C7140" t="s">
        <v>22339</v>
      </c>
      <c r="D7140" t="s">
        <v>22330</v>
      </c>
      <c r="E7140">
        <v>0</v>
      </c>
      <c r="F7140" t="str">
        <f>HYPERLINK("https://github.com/TeamNewPipe/NewPipe/issues/3469", "show")</f>
        <v>show</v>
      </c>
      <c r="G7140" t="str">
        <f>HYPERLINK("https://github.com/TeamNewPipe/NewPipe", "show")</f>
        <v>show</v>
      </c>
      <c r="H7140" t="str">
        <f>HYPERLINK("https://github.com/TeamNewPipe/NewPipe/releases", "show")</f>
        <v>show</v>
      </c>
      <c r="I7140">
        <v>1</v>
      </c>
      <c r="J7140">
        <v>1</v>
      </c>
      <c r="K7140">
        <v>0</v>
      </c>
      <c r="L7140">
        <v>0</v>
      </c>
      <c r="M7140" t="s">
        <v>48</v>
      </c>
    </row>
    <row r="7141" spans="1:13" hidden="1" x14ac:dyDescent="0.15">
      <c r="A7141" t="s">
        <v>22340</v>
      </c>
      <c r="B7141" t="s">
        <v>22341</v>
      </c>
      <c r="C7141" t="s">
        <v>20390</v>
      </c>
      <c r="D7141" t="s">
        <v>22330</v>
      </c>
      <c r="E7141">
        <v>0</v>
      </c>
      <c r="F7141" t="str">
        <f>HYPERLINK("https://github.com/TeamNewPipe/NewPipe/issues/3468", "show")</f>
        <v>show</v>
      </c>
      <c r="G7141" t="str">
        <f>HYPERLINK("https://github.com/TeamNewPipe/NewPipe", "show")</f>
        <v>show</v>
      </c>
      <c r="H7141" t="str">
        <f>HYPERLINK("https://github.com/TeamNewPipe/NewPipe/releases", "show")</f>
        <v>show</v>
      </c>
      <c r="I7141">
        <v>1</v>
      </c>
      <c r="J7141">
        <v>1</v>
      </c>
      <c r="K7141">
        <v>0</v>
      </c>
      <c r="L7141">
        <v>0</v>
      </c>
      <c r="M7141" t="s">
        <v>48</v>
      </c>
    </row>
    <row r="7142" spans="1:13" hidden="1" x14ac:dyDescent="0.15">
      <c r="A7142" t="s">
        <v>22342</v>
      </c>
      <c r="B7142" t="s">
        <v>22343</v>
      </c>
      <c r="C7142" t="s">
        <v>22344</v>
      </c>
      <c r="D7142" t="s">
        <v>22345</v>
      </c>
      <c r="E7142">
        <v>2</v>
      </c>
      <c r="F7142" t="str">
        <f>HYPERLINK("https://github.com/nextcloud/android/issues/5911", "show")</f>
        <v>show</v>
      </c>
      <c r="G7142" t="str">
        <f>HYPERLINK("https://github.com/nextcloud/android", "show")</f>
        <v>show</v>
      </c>
      <c r="H7142" t="str">
        <f>HYPERLINK("https://github.com/nextcloud/android/releases", "show")</f>
        <v>show</v>
      </c>
      <c r="I7142">
        <v>0</v>
      </c>
      <c r="J7142">
        <v>0</v>
      </c>
      <c r="K7142">
        <v>1</v>
      </c>
      <c r="L7142">
        <v>0</v>
      </c>
      <c r="M7142" t="s">
        <v>122</v>
      </c>
    </row>
    <row r="7143" spans="1:13" hidden="1" x14ac:dyDescent="0.15">
      <c r="A7143" t="s">
        <v>22346</v>
      </c>
      <c r="B7143" t="s">
        <v>22347</v>
      </c>
      <c r="C7143" t="s">
        <v>22348</v>
      </c>
      <c r="D7143" t="s">
        <v>22345</v>
      </c>
      <c r="E7143">
        <v>46</v>
      </c>
      <c r="F7143" t="str">
        <f>HYPERLINK("https://github.com/BogdanDinescu/EventiFind/issues/13", "show")</f>
        <v>show</v>
      </c>
      <c r="G7143" t="str">
        <f>HYPERLINK("https://github.com/BogdanDinescu/EventiFind", "show")</f>
        <v>show</v>
      </c>
      <c r="H7143" t="str">
        <f>HYPERLINK("https://github.com/BogdanDinescu/EventiFind/releases", "show")</f>
        <v>show</v>
      </c>
      <c r="I7143">
        <v>0</v>
      </c>
      <c r="J7143">
        <v>0</v>
      </c>
      <c r="K7143">
        <v>0</v>
      </c>
      <c r="L7143">
        <v>0</v>
      </c>
      <c r="M7143" t="s">
        <v>43</v>
      </c>
    </row>
    <row r="7144" spans="1:13" hidden="1" x14ac:dyDescent="0.15">
      <c r="A7144" t="s">
        <v>22349</v>
      </c>
      <c r="B7144" t="s">
        <v>22350</v>
      </c>
      <c r="C7144" t="s">
        <v>22351</v>
      </c>
      <c r="D7144" t="s">
        <v>22345</v>
      </c>
      <c r="E7144">
        <v>7</v>
      </c>
      <c r="F7144" t="str">
        <f>HYPERLINK("https://github.com/google/ExoPlayer/issues/7273", "show")</f>
        <v>show</v>
      </c>
      <c r="G7144" t="str">
        <f>HYPERLINK("https://github.com/google/ExoPlayer", "show")</f>
        <v>show</v>
      </c>
      <c r="H7144" t="str">
        <f>HYPERLINK("https://github.com/google/ExoPlayer/releases", "show")</f>
        <v>show</v>
      </c>
      <c r="I7144">
        <v>1</v>
      </c>
      <c r="J7144">
        <v>0</v>
      </c>
      <c r="K7144">
        <v>0</v>
      </c>
      <c r="L7144">
        <v>0</v>
      </c>
      <c r="M7144" t="s">
        <v>17</v>
      </c>
    </row>
    <row r="7145" spans="1:13" hidden="1" x14ac:dyDescent="0.15">
      <c r="A7145" t="s">
        <v>22352</v>
      </c>
      <c r="B7145" t="s">
        <v>22353</v>
      </c>
      <c r="C7145" t="s">
        <v>22354</v>
      </c>
      <c r="D7145" t="s">
        <v>22345</v>
      </c>
      <c r="E7145">
        <v>286</v>
      </c>
      <c r="F7145" t="str">
        <f>HYPERLINK("https://github.com/SubhamTyagi/android-ocr/issues/4", "show")</f>
        <v>show</v>
      </c>
      <c r="G7145" t="str">
        <f>HYPERLINK("https://github.com/SubhamTyagi/android-ocr", "show")</f>
        <v>show</v>
      </c>
      <c r="H7145" t="str">
        <f>HYPERLINK("https://github.com/SubhamTyagi/android-ocr/releases", "show")</f>
        <v>show</v>
      </c>
      <c r="I7145">
        <v>0</v>
      </c>
      <c r="J7145">
        <v>0</v>
      </c>
      <c r="K7145">
        <v>0</v>
      </c>
      <c r="L7145">
        <v>0</v>
      </c>
      <c r="M7145" t="s">
        <v>43</v>
      </c>
    </row>
    <row r="7146" spans="1:13" hidden="1" x14ac:dyDescent="0.15">
      <c r="A7146" t="s">
        <v>22355</v>
      </c>
      <c r="B7146" t="s">
        <v>22356</v>
      </c>
      <c r="C7146" t="s">
        <v>22357</v>
      </c>
      <c r="D7146" t="s">
        <v>22345</v>
      </c>
      <c r="E7146">
        <v>2</v>
      </c>
      <c r="F7146" t="str">
        <f>HYPERLINK("https://github.com/fiskaly/fiskaly-sdk-java/issues/2", "show")</f>
        <v>show</v>
      </c>
      <c r="G7146" t="str">
        <f>HYPERLINK("https://github.com/fiskaly/fiskaly-sdk-java", "show")</f>
        <v>show</v>
      </c>
      <c r="H7146" t="str">
        <f>HYPERLINK("https://github.com/fiskaly/fiskaly-sdk-java/releases", "show")</f>
        <v>show</v>
      </c>
      <c r="I7146">
        <v>0</v>
      </c>
      <c r="J7146">
        <v>0</v>
      </c>
      <c r="K7146">
        <v>0</v>
      </c>
      <c r="L7146">
        <v>0</v>
      </c>
      <c r="M7146" t="s">
        <v>43</v>
      </c>
    </row>
    <row r="7147" spans="1:13" hidden="1" x14ac:dyDescent="0.15">
      <c r="A7147" t="s">
        <v>22358</v>
      </c>
      <c r="B7147" t="s">
        <v>22359</v>
      </c>
      <c r="C7147" t="s">
        <v>22360</v>
      </c>
      <c r="D7147" t="s">
        <v>22345</v>
      </c>
      <c r="E7147">
        <v>560</v>
      </c>
      <c r="F7147" t="str">
        <f>HYPERLINK("https://github.com/material-components/material-components-android/issues/1229", "show")</f>
        <v>show</v>
      </c>
      <c r="G7147" t="str">
        <f>HYPERLINK("https://github.com/material-components/material-components-android", "show")</f>
        <v>show</v>
      </c>
      <c r="H7147" t="str">
        <f>HYPERLINK("https://github.com/material-components/material-components-android/releases", "show")</f>
        <v>show</v>
      </c>
      <c r="I7147">
        <v>0</v>
      </c>
      <c r="J7147">
        <v>0</v>
      </c>
      <c r="K7147">
        <v>0</v>
      </c>
      <c r="L7147">
        <v>0</v>
      </c>
      <c r="M7147" t="s">
        <v>43</v>
      </c>
    </row>
    <row r="7148" spans="1:13" hidden="1" x14ac:dyDescent="0.15">
      <c r="A7148" t="s">
        <v>22361</v>
      </c>
      <c r="B7148" t="s">
        <v>22362</v>
      </c>
      <c r="C7148" t="s">
        <v>22363</v>
      </c>
      <c r="D7148" t="s">
        <v>22364</v>
      </c>
      <c r="E7148">
        <v>234</v>
      </c>
      <c r="F7148" t="str">
        <f>HYPERLINK("https://github.com/SubhamTyagi/Last-Launcher/issues/55", "show")</f>
        <v>show</v>
      </c>
      <c r="G7148" t="str">
        <f>HYPERLINK("https://github.com/SubhamTyagi/Last-Launcher", "show")</f>
        <v>show</v>
      </c>
      <c r="H7148" t="str">
        <f>HYPERLINK("https://github.com/SubhamTyagi/Last-Launcher/releases", "show")</f>
        <v>show</v>
      </c>
      <c r="I7148">
        <v>1</v>
      </c>
      <c r="J7148">
        <v>0</v>
      </c>
      <c r="K7148">
        <v>0</v>
      </c>
      <c r="L7148">
        <v>0</v>
      </c>
      <c r="M7148" t="s">
        <v>17</v>
      </c>
    </row>
    <row r="7149" spans="1:13" hidden="1" x14ac:dyDescent="0.15">
      <c r="A7149" t="s">
        <v>22365</v>
      </c>
      <c r="B7149" t="s">
        <v>22366</v>
      </c>
      <c r="C7149" t="s">
        <v>22367</v>
      </c>
      <c r="D7149" t="s">
        <v>22368</v>
      </c>
      <c r="E7149">
        <v>0</v>
      </c>
      <c r="F7149" t="str">
        <f>HYPERLINK("https://github.com/jaychenblue/scout-concordia/issues/290", "show")</f>
        <v>show</v>
      </c>
      <c r="G7149" t="str">
        <f>HYPERLINK("https://github.com/jaychenblue/scout-concordia", "show")</f>
        <v>show</v>
      </c>
      <c r="H7149" t="str">
        <f>HYPERLINK("https://github.com/jaychenblue/scout-concordia/releases", "show")</f>
        <v>show</v>
      </c>
      <c r="I7149">
        <v>1</v>
      </c>
      <c r="J7149">
        <v>0</v>
      </c>
      <c r="K7149">
        <v>0</v>
      </c>
      <c r="L7149">
        <v>0</v>
      </c>
      <c r="M7149" t="s">
        <v>17</v>
      </c>
    </row>
    <row r="7150" spans="1:13" hidden="1" x14ac:dyDescent="0.15">
      <c r="A7150" t="s">
        <v>22369</v>
      </c>
      <c r="B7150" t="s">
        <v>22370</v>
      </c>
      <c r="C7150" t="s">
        <v>22371</v>
      </c>
      <c r="D7150" t="s">
        <v>22368</v>
      </c>
      <c r="E7150">
        <v>0</v>
      </c>
      <c r="F7150" t="str">
        <f>HYPERLINK("https://github.com/jaychenblue/scout-concordia/issues/287", "show")</f>
        <v>show</v>
      </c>
      <c r="G7150" t="str">
        <f>HYPERLINK("https://github.com/jaychenblue/scout-concordia", "show")</f>
        <v>show</v>
      </c>
      <c r="H7150" t="str">
        <f>HYPERLINK("https://github.com/jaychenblue/scout-concordia/releases", "show")</f>
        <v>show</v>
      </c>
      <c r="I7150">
        <v>1</v>
      </c>
      <c r="J7150">
        <v>1</v>
      </c>
      <c r="K7150">
        <v>0</v>
      </c>
      <c r="L7150">
        <v>0</v>
      </c>
      <c r="M7150" t="s">
        <v>48</v>
      </c>
    </row>
    <row r="7151" spans="1:13" hidden="1" x14ac:dyDescent="0.15">
      <c r="A7151" t="s">
        <v>22372</v>
      </c>
      <c r="B7151" t="s">
        <v>22373</v>
      </c>
      <c r="C7151" t="s">
        <v>22374</v>
      </c>
      <c r="D7151" t="s">
        <v>22368</v>
      </c>
      <c r="E7151">
        <v>1</v>
      </c>
      <c r="F7151" t="str">
        <f>HYPERLINK("https://github.com/nextcloud/android/issues/5901", "show")</f>
        <v>show</v>
      </c>
      <c r="G7151" t="str">
        <f>HYPERLINK("https://github.com/nextcloud/android", "show")</f>
        <v>show</v>
      </c>
      <c r="H7151" t="str">
        <f>HYPERLINK("https://github.com/nextcloud/android/releases", "show")</f>
        <v>show</v>
      </c>
      <c r="I7151">
        <v>0</v>
      </c>
      <c r="J7151">
        <v>1</v>
      </c>
      <c r="K7151">
        <v>1</v>
      </c>
      <c r="L7151">
        <v>0</v>
      </c>
      <c r="M7151" t="s">
        <v>699</v>
      </c>
    </row>
    <row r="7152" spans="1:13" hidden="1" x14ac:dyDescent="0.15">
      <c r="A7152" t="s">
        <v>22375</v>
      </c>
      <c r="B7152" t="s">
        <v>22376</v>
      </c>
      <c r="C7152" t="s">
        <v>22377</v>
      </c>
      <c r="D7152" t="s">
        <v>22368</v>
      </c>
      <c r="E7152">
        <v>9</v>
      </c>
      <c r="F7152" t="str">
        <f>HYPERLINK("https://github.com/skynet-im/skynet-android/issues/27", "show")</f>
        <v>show</v>
      </c>
      <c r="G7152" t="str">
        <f>HYPERLINK("https://github.com/skynet-im/skynet-android", "show")</f>
        <v>show</v>
      </c>
      <c r="H7152" t="str">
        <f>HYPERLINK("https://github.com/skynet-im/skynet-android/releases", "show")</f>
        <v>show</v>
      </c>
      <c r="I7152">
        <v>0</v>
      </c>
      <c r="J7152">
        <v>0</v>
      </c>
      <c r="K7152">
        <v>0</v>
      </c>
      <c r="L7152">
        <v>0</v>
      </c>
      <c r="M7152" t="s">
        <v>43</v>
      </c>
    </row>
    <row r="7153" spans="1:13" hidden="1" x14ac:dyDescent="0.15">
      <c r="A7153" t="s">
        <v>22378</v>
      </c>
      <c r="B7153" t="s">
        <v>22379</v>
      </c>
      <c r="D7153" t="s">
        <v>22380</v>
      </c>
      <c r="E7153">
        <v>12</v>
      </c>
      <c r="F7153" t="str">
        <f>HYPERLINK("https://github.com/WenXiaowei/Stalker_App/issues/29", "show")</f>
        <v>show</v>
      </c>
      <c r="G7153" t="str">
        <f>HYPERLINK("https://github.com/WenXiaowei/Stalker_App", "show")</f>
        <v>show</v>
      </c>
      <c r="H7153" t="str">
        <f>HYPERLINK("https://github.com/WenXiaowei/Stalker_App/releases", "show")</f>
        <v>show</v>
      </c>
      <c r="I7153">
        <v>0</v>
      </c>
      <c r="J7153">
        <v>0</v>
      </c>
      <c r="K7153">
        <v>0</v>
      </c>
      <c r="L7153">
        <v>0</v>
      </c>
      <c r="M7153" t="s">
        <v>43</v>
      </c>
    </row>
    <row r="7154" spans="1:13" hidden="1" x14ac:dyDescent="0.15">
      <c r="A7154" t="s">
        <v>22381</v>
      </c>
      <c r="B7154" t="s">
        <v>22382</v>
      </c>
      <c r="C7154" t="s">
        <v>22383</v>
      </c>
      <c r="D7154" t="s">
        <v>22380</v>
      </c>
      <c r="E7154">
        <v>7</v>
      </c>
      <c r="F7154" t="str">
        <f>HYPERLINK("https://github.com/cgeo/cgeo/issues/8226", "show")</f>
        <v>show</v>
      </c>
      <c r="G7154" t="str">
        <f>HYPERLINK("https://github.com/cgeo/cgeo", "show")</f>
        <v>show</v>
      </c>
      <c r="H7154" t="str">
        <f>HYPERLINK("https://github.com/cgeo/cgeo/releases", "show")</f>
        <v>show</v>
      </c>
      <c r="I7154">
        <v>1</v>
      </c>
      <c r="J7154">
        <v>0</v>
      </c>
      <c r="K7154">
        <v>1</v>
      </c>
      <c r="L7154">
        <v>0</v>
      </c>
      <c r="M7154" t="s">
        <v>64</v>
      </c>
    </row>
    <row r="7155" spans="1:13" hidden="1" x14ac:dyDescent="0.15">
      <c r="A7155" t="s">
        <v>22384</v>
      </c>
      <c r="B7155" t="s">
        <v>22385</v>
      </c>
      <c r="C7155" t="s">
        <v>22386</v>
      </c>
      <c r="D7155" t="s">
        <v>22380</v>
      </c>
      <c r="E7155">
        <v>2</v>
      </c>
      <c r="F7155" t="str">
        <f>HYPERLINK("https://github.com/TeamNewPipe/NewPipe/issues/3452", "show")</f>
        <v>show</v>
      </c>
      <c r="G7155" t="str">
        <f>HYPERLINK("https://github.com/TeamNewPipe/NewPipe", "show")</f>
        <v>show</v>
      </c>
      <c r="H7155" t="str">
        <f>HYPERLINK("https://github.com/TeamNewPipe/NewPipe/releases", "show")</f>
        <v>show</v>
      </c>
      <c r="I7155">
        <v>0</v>
      </c>
      <c r="J7155">
        <v>0</v>
      </c>
      <c r="K7155">
        <v>1</v>
      </c>
      <c r="L7155">
        <v>1</v>
      </c>
      <c r="M7155" t="s">
        <v>351</v>
      </c>
    </row>
    <row r="7156" spans="1:13" hidden="1" x14ac:dyDescent="0.15">
      <c r="A7156" t="s">
        <v>22387</v>
      </c>
      <c r="B7156" t="s">
        <v>22388</v>
      </c>
      <c r="C7156" t="s">
        <v>22389</v>
      </c>
      <c r="D7156" t="s">
        <v>22380</v>
      </c>
      <c r="E7156">
        <v>2</v>
      </c>
      <c r="F7156" t="str">
        <f>HYPERLINK("https://github.com/TeamNewPipe/NewPipe/issues/3451", "show")</f>
        <v>show</v>
      </c>
      <c r="G7156" t="str">
        <f>HYPERLINK("https://github.com/TeamNewPipe/NewPipe", "show")</f>
        <v>show</v>
      </c>
      <c r="H7156" t="str">
        <f>HYPERLINK("https://github.com/TeamNewPipe/NewPipe/releases", "show")</f>
        <v>show</v>
      </c>
      <c r="I7156">
        <v>1</v>
      </c>
      <c r="J7156">
        <v>1</v>
      </c>
      <c r="K7156">
        <v>0</v>
      </c>
      <c r="L7156">
        <v>1</v>
      </c>
      <c r="M7156" t="s">
        <v>1894</v>
      </c>
    </row>
    <row r="7157" spans="1:13" hidden="1" x14ac:dyDescent="0.15">
      <c r="A7157" t="s">
        <v>22390</v>
      </c>
      <c r="B7157" t="s">
        <v>22391</v>
      </c>
      <c r="C7157" t="s">
        <v>22392</v>
      </c>
      <c r="D7157" t="s">
        <v>22393</v>
      </c>
      <c r="E7157">
        <v>121</v>
      </c>
      <c r="F7157" t="str">
        <f>HYPERLINK("https://github.com/TeamNewPipe/NewPipe/issues/3447", "show")</f>
        <v>show</v>
      </c>
      <c r="G7157" t="str">
        <f>HYPERLINK("https://github.com/TeamNewPipe/NewPipe", "show")</f>
        <v>show</v>
      </c>
      <c r="H7157" t="str">
        <f>HYPERLINK("https://github.com/TeamNewPipe/NewPipe/releases", "show")</f>
        <v>show</v>
      </c>
      <c r="I7157">
        <v>1</v>
      </c>
      <c r="J7157">
        <v>1</v>
      </c>
      <c r="K7157">
        <v>1</v>
      </c>
      <c r="L7157">
        <v>0</v>
      </c>
      <c r="M7157" t="s">
        <v>59</v>
      </c>
    </row>
    <row r="7158" spans="1:13" hidden="1" x14ac:dyDescent="0.15">
      <c r="A7158" t="s">
        <v>22394</v>
      </c>
      <c r="B7158" t="s">
        <v>22395</v>
      </c>
      <c r="C7158" t="s">
        <v>22396</v>
      </c>
      <c r="D7158" t="s">
        <v>22393</v>
      </c>
      <c r="E7158">
        <v>78</v>
      </c>
      <c r="F7158" t="str">
        <f>HYPERLINK("https://github.com/NordicSemiconductor/Android-DFU-Library/issues/229", "show")</f>
        <v>show</v>
      </c>
      <c r="G7158" t="str">
        <f>HYPERLINK("https://github.com/NordicSemiconductor/Android-DFU-Library", "show")</f>
        <v>show</v>
      </c>
      <c r="H7158" t="str">
        <f>HYPERLINK("https://github.com/NordicSemiconductor/Android-DFU-Library/releases", "show")</f>
        <v>show</v>
      </c>
      <c r="I7158">
        <v>1</v>
      </c>
      <c r="J7158">
        <v>0</v>
      </c>
      <c r="K7158">
        <v>1</v>
      </c>
      <c r="L7158">
        <v>0</v>
      </c>
      <c r="M7158" t="s">
        <v>64</v>
      </c>
    </row>
    <row r="7159" spans="1:13" hidden="1" x14ac:dyDescent="0.15">
      <c r="A7159" t="s">
        <v>22397</v>
      </c>
      <c r="B7159" t="s">
        <v>22398</v>
      </c>
      <c r="C7159" t="s">
        <v>22399</v>
      </c>
      <c r="D7159" t="s">
        <v>22393</v>
      </c>
      <c r="E7159">
        <v>29</v>
      </c>
      <c r="F7159" t="str">
        <f>HYPERLINK("https://github.com/nextcloud/android/issues/5891", "show")</f>
        <v>show</v>
      </c>
      <c r="G7159" t="str">
        <f>HYPERLINK("https://github.com/nextcloud/android", "show")</f>
        <v>show</v>
      </c>
      <c r="H7159" t="str">
        <f>HYPERLINK("https://github.com/nextcloud/android/releases", "show")</f>
        <v>show</v>
      </c>
      <c r="I7159">
        <v>0</v>
      </c>
      <c r="J7159">
        <v>0</v>
      </c>
      <c r="K7159">
        <v>1</v>
      </c>
      <c r="L7159">
        <v>0</v>
      </c>
      <c r="M7159" t="s">
        <v>122</v>
      </c>
    </row>
    <row r="7160" spans="1:13" hidden="1" x14ac:dyDescent="0.15">
      <c r="A7160" t="s">
        <v>22400</v>
      </c>
      <c r="B7160" t="s">
        <v>22401</v>
      </c>
      <c r="C7160" t="s">
        <v>22402</v>
      </c>
      <c r="D7160" t="s">
        <v>22393</v>
      </c>
      <c r="E7160">
        <v>0</v>
      </c>
      <c r="F7160" t="str">
        <f>HYPERLINK("https://github.com/nextcloud/android/issues/5889", "show")</f>
        <v>show</v>
      </c>
      <c r="G7160" t="str">
        <f>HYPERLINK("https://github.com/nextcloud/android", "show")</f>
        <v>show</v>
      </c>
      <c r="H7160" t="str">
        <f>HYPERLINK("https://github.com/nextcloud/android/releases", "show")</f>
        <v>show</v>
      </c>
      <c r="I7160">
        <v>1</v>
      </c>
      <c r="J7160">
        <v>0</v>
      </c>
      <c r="K7160">
        <v>1</v>
      </c>
      <c r="L7160">
        <v>0</v>
      </c>
      <c r="M7160" t="s">
        <v>64</v>
      </c>
    </row>
    <row r="7161" spans="1:13" hidden="1" x14ac:dyDescent="0.15">
      <c r="A7161" t="s">
        <v>22403</v>
      </c>
      <c r="B7161" t="s">
        <v>22404</v>
      </c>
      <c r="C7161" t="s">
        <v>22405</v>
      </c>
      <c r="D7161" t="s">
        <v>22393</v>
      </c>
      <c r="E7161">
        <v>703</v>
      </c>
      <c r="F7161" t="str">
        <f>HYPERLINK("https://github.com/commons-app/apps-android-commons/issues/3663", "show")</f>
        <v>show</v>
      </c>
      <c r="G7161" t="str">
        <f>HYPERLINK("https://github.com/commons-app/apps-android-commons", "show")</f>
        <v>show</v>
      </c>
      <c r="H7161" t="str">
        <f>HYPERLINK("https://github.com/commons-app/apps-android-commons/releases", "show")</f>
        <v>show</v>
      </c>
      <c r="I7161">
        <v>0</v>
      </c>
      <c r="J7161">
        <v>0</v>
      </c>
      <c r="K7161">
        <v>1</v>
      </c>
      <c r="L7161">
        <v>0</v>
      </c>
      <c r="M7161" t="s">
        <v>122</v>
      </c>
    </row>
    <row r="7162" spans="1:13" hidden="1" x14ac:dyDescent="0.15">
      <c r="A7162" t="s">
        <v>22406</v>
      </c>
      <c r="B7162" t="s">
        <v>22404</v>
      </c>
      <c r="C7162" t="s">
        <v>22407</v>
      </c>
      <c r="D7162" t="s">
        <v>22393</v>
      </c>
      <c r="E7162">
        <v>0</v>
      </c>
      <c r="F7162" t="str">
        <f>HYPERLINK("https://github.com/martykan/forecastie/issues/466", "show")</f>
        <v>show</v>
      </c>
      <c r="G7162" t="str">
        <f>HYPERLINK("https://github.com/martykan/forecastie", "show")</f>
        <v>show</v>
      </c>
      <c r="H7162" t="str">
        <f>HYPERLINK("https://github.com/martykan/forecastie/releases", "show")</f>
        <v>show</v>
      </c>
      <c r="I7162">
        <v>0</v>
      </c>
      <c r="J7162">
        <v>0</v>
      </c>
      <c r="K7162">
        <v>1</v>
      </c>
      <c r="L7162">
        <v>0</v>
      </c>
      <c r="M7162" t="s">
        <v>122</v>
      </c>
    </row>
    <row r="7163" spans="1:13" hidden="1" x14ac:dyDescent="0.15">
      <c r="A7163" t="s">
        <v>22408</v>
      </c>
      <c r="B7163" t="s">
        <v>22409</v>
      </c>
      <c r="C7163" t="s">
        <v>22410</v>
      </c>
      <c r="D7163" t="s">
        <v>22411</v>
      </c>
      <c r="E7163">
        <v>2</v>
      </c>
      <c r="F7163" t="str">
        <f>HYPERLINK("https://github.com/nextcloud/android/issues/5882", "show")</f>
        <v>show</v>
      </c>
      <c r="G7163" t="str">
        <f>HYPERLINK("https://github.com/nextcloud/android", "show")</f>
        <v>show</v>
      </c>
      <c r="H7163" t="str">
        <f>HYPERLINK("https://github.com/nextcloud/android/releases", "show")</f>
        <v>show</v>
      </c>
      <c r="I7163">
        <v>1</v>
      </c>
      <c r="J7163">
        <v>1</v>
      </c>
      <c r="K7163">
        <v>0</v>
      </c>
      <c r="L7163">
        <v>0</v>
      </c>
      <c r="M7163" t="s">
        <v>48</v>
      </c>
    </row>
    <row r="7164" spans="1:13" hidden="1" x14ac:dyDescent="0.15">
      <c r="A7164" t="s">
        <v>22412</v>
      </c>
      <c r="B7164" t="s">
        <v>22413</v>
      </c>
      <c r="C7164" t="s">
        <v>22414</v>
      </c>
      <c r="D7164" t="s">
        <v>22411</v>
      </c>
      <c r="E7164">
        <v>72</v>
      </c>
      <c r="F7164" t="str">
        <f>HYPERLINK("https://github.com/GoogleChrome/android-browser-helper/issues/86", "show")</f>
        <v>show</v>
      </c>
      <c r="G7164" t="str">
        <f>HYPERLINK("https://github.com/GoogleChrome/android-browser-helper", "show")</f>
        <v>show</v>
      </c>
      <c r="H7164" t="str">
        <f>HYPERLINK("https://github.com/GoogleChrome/android-browser-helper/releases", "show")</f>
        <v>show</v>
      </c>
      <c r="I7164">
        <v>1</v>
      </c>
      <c r="J7164">
        <v>1</v>
      </c>
      <c r="K7164">
        <v>0</v>
      </c>
      <c r="L7164">
        <v>0</v>
      </c>
      <c r="M7164" t="s">
        <v>48</v>
      </c>
    </row>
    <row r="7165" spans="1:13" hidden="1" x14ac:dyDescent="0.15">
      <c r="A7165" t="s">
        <v>22415</v>
      </c>
      <c r="B7165" t="s">
        <v>22416</v>
      </c>
      <c r="C7165" t="s">
        <v>22417</v>
      </c>
      <c r="D7165" t="s">
        <v>22411</v>
      </c>
      <c r="E7165">
        <v>0</v>
      </c>
      <c r="F7165" t="str">
        <f>HYPERLINK("https://github.com/jaychenblue/scout-concordia/issues/266", "show")</f>
        <v>show</v>
      </c>
      <c r="G7165" t="str">
        <f>HYPERLINK("https://github.com/jaychenblue/scout-concordia", "show")</f>
        <v>show</v>
      </c>
      <c r="H7165" t="str">
        <f>HYPERLINK("https://github.com/jaychenblue/scout-concordia/releases", "show")</f>
        <v>show</v>
      </c>
      <c r="I7165">
        <v>1</v>
      </c>
      <c r="J7165">
        <v>1</v>
      </c>
      <c r="K7165">
        <v>0</v>
      </c>
      <c r="L7165">
        <v>0</v>
      </c>
      <c r="M7165" t="s">
        <v>48</v>
      </c>
    </row>
    <row r="7166" spans="1:13" hidden="1" x14ac:dyDescent="0.15">
      <c r="A7166" t="s">
        <v>22418</v>
      </c>
      <c r="B7166" t="s">
        <v>22419</v>
      </c>
      <c r="C7166" t="s">
        <v>12056</v>
      </c>
      <c r="D7166" t="s">
        <v>22411</v>
      </c>
      <c r="E7166">
        <v>6</v>
      </c>
      <c r="F7166" t="str">
        <f>HYPERLINK("https://github.com/nextcloud/android/issues/5878", "show")</f>
        <v>show</v>
      </c>
      <c r="G7166" t="str">
        <f>HYPERLINK("https://github.com/nextcloud/android", "show")</f>
        <v>show</v>
      </c>
      <c r="H7166" t="str">
        <f>HYPERLINK("https://github.com/nextcloud/android/releases", "show")</f>
        <v>show</v>
      </c>
      <c r="I7166">
        <v>1</v>
      </c>
      <c r="J7166">
        <v>1</v>
      </c>
      <c r="K7166">
        <v>1</v>
      </c>
      <c r="L7166">
        <v>0</v>
      </c>
      <c r="M7166" t="s">
        <v>59</v>
      </c>
    </row>
    <row r="7167" spans="1:13" hidden="1" x14ac:dyDescent="0.15">
      <c r="A7167" t="s">
        <v>22420</v>
      </c>
      <c r="B7167" t="s">
        <v>22421</v>
      </c>
      <c r="C7167" t="s">
        <v>22422</v>
      </c>
      <c r="D7167" t="s">
        <v>22411</v>
      </c>
      <c r="E7167">
        <v>3</v>
      </c>
      <c r="F7167" t="str">
        <f>HYPERLINK("https://github.com/oliexdev/openScale/issues/570", "show")</f>
        <v>show</v>
      </c>
      <c r="G7167" t="str">
        <f>HYPERLINK("https://github.com/oliexdev/openScale", "show")</f>
        <v>show</v>
      </c>
      <c r="H7167" t="str">
        <f>HYPERLINK("https://github.com/oliexdev/openScale/releases", "show")</f>
        <v>show</v>
      </c>
      <c r="I7167">
        <v>1</v>
      </c>
      <c r="J7167">
        <v>1</v>
      </c>
      <c r="K7167">
        <v>1</v>
      </c>
      <c r="L7167">
        <v>0</v>
      </c>
      <c r="M7167" t="s">
        <v>59</v>
      </c>
    </row>
    <row r="7168" spans="1:13" hidden="1" x14ac:dyDescent="0.15">
      <c r="A7168" t="s">
        <v>22423</v>
      </c>
      <c r="B7168" t="s">
        <v>22424</v>
      </c>
      <c r="C7168" t="s">
        <v>22425</v>
      </c>
      <c r="D7168" t="s">
        <v>22411</v>
      </c>
      <c r="E7168">
        <v>0</v>
      </c>
      <c r="F7168" t="str">
        <f>HYPERLINK("https://github.com/TeamNewPipe/NewPipe/issues/3439", "show")</f>
        <v>show</v>
      </c>
      <c r="G7168" t="str">
        <f>HYPERLINK("https://github.com/TeamNewPipe/NewPipe", "show")</f>
        <v>show</v>
      </c>
      <c r="H7168" t="str">
        <f>HYPERLINK("https://github.com/TeamNewPipe/NewPipe/releases", "show")</f>
        <v>show</v>
      </c>
      <c r="I7168">
        <v>1</v>
      </c>
      <c r="J7168">
        <v>1</v>
      </c>
      <c r="K7168">
        <v>0</v>
      </c>
      <c r="L7168">
        <v>1</v>
      </c>
      <c r="M7168" t="s">
        <v>1894</v>
      </c>
    </row>
    <row r="7169" spans="1:13" hidden="1" x14ac:dyDescent="0.15">
      <c r="A7169" t="s">
        <v>22426</v>
      </c>
      <c r="B7169" t="s">
        <v>22427</v>
      </c>
      <c r="C7169" t="s">
        <v>22428</v>
      </c>
      <c r="D7169" t="s">
        <v>22429</v>
      </c>
      <c r="E7169">
        <v>1</v>
      </c>
      <c r="F7169" t="str">
        <f>HYPERLINK("https://github.com/nextcloud/android/issues/5869", "show")</f>
        <v>show</v>
      </c>
      <c r="G7169" t="str">
        <f>HYPERLINK("https://github.com/nextcloud/android", "show")</f>
        <v>show</v>
      </c>
      <c r="H7169" t="str">
        <f>HYPERLINK("https://github.com/nextcloud/android/releases", "show")</f>
        <v>show</v>
      </c>
      <c r="I7169">
        <v>1</v>
      </c>
      <c r="J7169">
        <v>1</v>
      </c>
      <c r="K7169">
        <v>1</v>
      </c>
      <c r="L7169">
        <v>0</v>
      </c>
      <c r="M7169" t="s">
        <v>59</v>
      </c>
    </row>
    <row r="7170" spans="1:13" hidden="1" x14ac:dyDescent="0.15">
      <c r="A7170" t="s">
        <v>22430</v>
      </c>
      <c r="B7170" t="s">
        <v>22431</v>
      </c>
      <c r="C7170" t="s">
        <v>22432</v>
      </c>
      <c r="D7170" t="s">
        <v>22429</v>
      </c>
      <c r="E7170">
        <v>21</v>
      </c>
      <c r="F7170" t="str">
        <f>HYPERLINK("https://github.com/google/ExoPlayer/issues/7234", "show")</f>
        <v>show</v>
      </c>
      <c r="G7170" t="str">
        <f>HYPERLINK("https://github.com/google/ExoPlayer", "show")</f>
        <v>show</v>
      </c>
      <c r="H7170" t="str">
        <f>HYPERLINK("https://github.com/google/ExoPlayer/releases", "show")</f>
        <v>show</v>
      </c>
      <c r="I7170">
        <v>1</v>
      </c>
      <c r="J7170">
        <v>0</v>
      </c>
      <c r="K7170">
        <v>0</v>
      </c>
      <c r="L7170">
        <v>0</v>
      </c>
      <c r="M7170" t="s">
        <v>17</v>
      </c>
    </row>
    <row r="7171" spans="1:13" hidden="1" x14ac:dyDescent="0.15">
      <c r="A7171" t="s">
        <v>22433</v>
      </c>
      <c r="B7171" t="s">
        <v>22434</v>
      </c>
      <c r="C7171" t="s">
        <v>22435</v>
      </c>
      <c r="D7171" t="s">
        <v>22429</v>
      </c>
      <c r="E7171">
        <v>5</v>
      </c>
      <c r="F7171" t="str">
        <f>HYPERLINK("https://github.com/ElderDrivers/EdXposed/issues/512", "show")</f>
        <v>show</v>
      </c>
      <c r="G7171" t="str">
        <f>HYPERLINK("https://github.com/ElderDrivers/EdXposed", "show")</f>
        <v>show</v>
      </c>
      <c r="H7171" t="str">
        <f>HYPERLINK("https://github.com/ElderDrivers/EdXposed/releases", "show")</f>
        <v>show</v>
      </c>
      <c r="I7171">
        <v>1</v>
      </c>
      <c r="J7171">
        <v>0</v>
      </c>
      <c r="K7171">
        <v>0</v>
      </c>
      <c r="L7171">
        <v>1</v>
      </c>
      <c r="M7171" t="s">
        <v>29</v>
      </c>
    </row>
    <row r="7172" spans="1:13" hidden="1" x14ac:dyDescent="0.15">
      <c r="A7172" t="s">
        <v>22436</v>
      </c>
      <c r="B7172" t="s">
        <v>22437</v>
      </c>
      <c r="C7172" t="s">
        <v>22438</v>
      </c>
      <c r="D7172" t="s">
        <v>22439</v>
      </c>
      <c r="E7172">
        <v>702</v>
      </c>
      <c r="F7172" t="str">
        <f>HYPERLINK("https://github.com/material-components/material-components-android/issues/1207", "show")</f>
        <v>show</v>
      </c>
      <c r="G7172" t="str">
        <f>HYPERLINK("https://github.com/material-components/material-components-android", "show")</f>
        <v>show</v>
      </c>
      <c r="H7172" t="str">
        <f>HYPERLINK("https://github.com/material-components/material-components-android/releases", "show")</f>
        <v>show</v>
      </c>
      <c r="I7172">
        <v>1</v>
      </c>
      <c r="J7172">
        <v>0</v>
      </c>
      <c r="K7172">
        <v>0</v>
      </c>
      <c r="L7172">
        <v>1</v>
      </c>
      <c r="M7172" t="s">
        <v>29</v>
      </c>
    </row>
    <row r="7173" spans="1:13" hidden="1" x14ac:dyDescent="0.15">
      <c r="A7173" t="s">
        <v>22440</v>
      </c>
      <c r="B7173" t="s">
        <v>22441</v>
      </c>
      <c r="C7173" t="s">
        <v>22442</v>
      </c>
      <c r="D7173" t="s">
        <v>22439</v>
      </c>
      <c r="E7173">
        <v>0</v>
      </c>
      <c r="F7173" t="str">
        <f>HYPERLINK("https://github.com/dimagi/commcare-android/issues/2219", "show")</f>
        <v>show</v>
      </c>
      <c r="G7173" t="str">
        <f>HYPERLINK("https://github.com/dimagi/commcare-android", "show")</f>
        <v>show</v>
      </c>
      <c r="H7173" t="str">
        <f>HYPERLINK("https://github.com/dimagi/commcare-android/releases", "show")</f>
        <v>show</v>
      </c>
      <c r="I7173">
        <v>1</v>
      </c>
      <c r="J7173">
        <v>0</v>
      </c>
      <c r="K7173">
        <v>0</v>
      </c>
      <c r="L7173">
        <v>0</v>
      </c>
      <c r="M7173" t="s">
        <v>17</v>
      </c>
    </row>
    <row r="7174" spans="1:13" hidden="1" x14ac:dyDescent="0.15">
      <c r="A7174" t="s">
        <v>22443</v>
      </c>
      <c r="B7174" t="s">
        <v>22444</v>
      </c>
      <c r="C7174" t="s">
        <v>22445</v>
      </c>
      <c r="D7174" t="s">
        <v>22446</v>
      </c>
      <c r="E7174">
        <v>46</v>
      </c>
      <c r="F7174" t="str">
        <f>HYPERLINK("https://github.com/Blankj/AndroidUtilCode/issues/1223", "show")</f>
        <v>show</v>
      </c>
      <c r="G7174" t="str">
        <f>HYPERLINK("https://github.com/Blankj/AndroidUtilCode", "show")</f>
        <v>show</v>
      </c>
      <c r="H7174" t="str">
        <f>HYPERLINK("https://github.com/Blankj/AndroidUtilCode/releases", "show")</f>
        <v>show</v>
      </c>
      <c r="I7174">
        <v>1</v>
      </c>
      <c r="J7174">
        <v>0</v>
      </c>
      <c r="K7174">
        <v>0</v>
      </c>
      <c r="L7174">
        <v>0</v>
      </c>
      <c r="M7174" t="s">
        <v>17</v>
      </c>
    </row>
    <row r="7175" spans="1:13" hidden="1" x14ac:dyDescent="0.15">
      <c r="A7175" t="s">
        <v>22447</v>
      </c>
      <c r="B7175" t="s">
        <v>22448</v>
      </c>
      <c r="C7175" t="s">
        <v>22449</v>
      </c>
      <c r="D7175" t="s">
        <v>22446</v>
      </c>
      <c r="E7175">
        <v>17</v>
      </c>
      <c r="F7175" t="str">
        <f>HYPERLINK("https://github.com/material-components/material-components-android/issues/1204", "show")</f>
        <v>show</v>
      </c>
      <c r="G7175" t="str">
        <f>HYPERLINK("https://github.com/material-components/material-components-android", "show")</f>
        <v>show</v>
      </c>
      <c r="H7175" t="str">
        <f>HYPERLINK("https://github.com/material-components/material-components-android/releases", "show")</f>
        <v>show</v>
      </c>
      <c r="I7175">
        <v>1</v>
      </c>
      <c r="J7175">
        <v>0</v>
      </c>
      <c r="K7175">
        <v>0</v>
      </c>
      <c r="L7175">
        <v>0</v>
      </c>
      <c r="M7175" t="s">
        <v>17</v>
      </c>
    </row>
    <row r="7176" spans="1:13" hidden="1" x14ac:dyDescent="0.15">
      <c r="A7176" t="s">
        <v>22450</v>
      </c>
      <c r="B7176" t="s">
        <v>22451</v>
      </c>
      <c r="C7176" t="s">
        <v>22452</v>
      </c>
      <c r="D7176" t="s">
        <v>22446</v>
      </c>
      <c r="E7176">
        <v>2</v>
      </c>
      <c r="F7176" t="str">
        <f>HYPERLINK("https://github.com/nextcloud/android/issues/5856", "show")</f>
        <v>show</v>
      </c>
      <c r="G7176" t="str">
        <f>HYPERLINK("https://github.com/nextcloud/android", "show")</f>
        <v>show</v>
      </c>
      <c r="H7176" t="str">
        <f>HYPERLINK("https://github.com/nextcloud/android/releases", "show")</f>
        <v>show</v>
      </c>
      <c r="I7176">
        <v>1</v>
      </c>
      <c r="J7176">
        <v>0</v>
      </c>
      <c r="K7176">
        <v>1</v>
      </c>
      <c r="L7176">
        <v>0</v>
      </c>
      <c r="M7176" t="s">
        <v>64</v>
      </c>
    </row>
    <row r="7177" spans="1:13" hidden="1" x14ac:dyDescent="0.15">
      <c r="A7177" t="s">
        <v>22453</v>
      </c>
      <c r="B7177" t="s">
        <v>2929</v>
      </c>
      <c r="C7177" t="s">
        <v>22452</v>
      </c>
      <c r="D7177" t="s">
        <v>22446</v>
      </c>
      <c r="E7177">
        <v>2</v>
      </c>
      <c r="F7177" t="str">
        <f>HYPERLINK("https://github.com/nextcloud/android/issues/5855", "show")</f>
        <v>show</v>
      </c>
      <c r="G7177" t="str">
        <f>HYPERLINK("https://github.com/nextcloud/android", "show")</f>
        <v>show</v>
      </c>
      <c r="H7177" t="str">
        <f>HYPERLINK("https://github.com/nextcloud/android/releases", "show")</f>
        <v>show</v>
      </c>
      <c r="I7177">
        <v>0</v>
      </c>
      <c r="J7177">
        <v>0</v>
      </c>
      <c r="K7177">
        <v>1</v>
      </c>
      <c r="L7177">
        <v>0</v>
      </c>
      <c r="M7177" t="s">
        <v>122</v>
      </c>
    </row>
    <row r="7178" spans="1:13" hidden="1" x14ac:dyDescent="0.15">
      <c r="A7178" t="s">
        <v>22454</v>
      </c>
      <c r="B7178" t="s">
        <v>6557</v>
      </c>
      <c r="C7178" t="s">
        <v>22455</v>
      </c>
      <c r="D7178" t="s">
        <v>22446</v>
      </c>
      <c r="E7178">
        <v>2</v>
      </c>
      <c r="F7178" t="str">
        <f>HYPERLINK("https://github.com/nextcloud/android/issues/5854", "show")</f>
        <v>show</v>
      </c>
      <c r="G7178" t="str">
        <f>HYPERLINK("https://github.com/nextcloud/android", "show")</f>
        <v>show</v>
      </c>
      <c r="H7178" t="str">
        <f>HYPERLINK("https://github.com/nextcloud/android/releases", "show")</f>
        <v>show</v>
      </c>
      <c r="I7178">
        <v>0</v>
      </c>
      <c r="J7178">
        <v>1</v>
      </c>
      <c r="K7178">
        <v>1</v>
      </c>
      <c r="L7178">
        <v>0</v>
      </c>
      <c r="M7178" t="s">
        <v>699</v>
      </c>
    </row>
    <row r="7179" spans="1:13" hidden="1" x14ac:dyDescent="0.15">
      <c r="A7179" t="s">
        <v>22456</v>
      </c>
      <c r="B7179" t="s">
        <v>22457</v>
      </c>
      <c r="C7179" t="s">
        <v>22458</v>
      </c>
      <c r="D7179" t="s">
        <v>22459</v>
      </c>
      <c r="E7179">
        <v>100</v>
      </c>
      <c r="F7179" t="str">
        <f>HYPERLINK("https://github.com/aws-amplify/amplify-android/issues/377", "show")</f>
        <v>show</v>
      </c>
      <c r="G7179" t="str">
        <f>HYPERLINK("https://github.com/aws-amplify/amplify-android", "show")</f>
        <v>show</v>
      </c>
      <c r="H7179" t="str">
        <f>HYPERLINK("https://github.com/aws-amplify/amplify-android/releases", "show")</f>
        <v>show</v>
      </c>
      <c r="I7179">
        <v>1</v>
      </c>
      <c r="J7179">
        <v>0</v>
      </c>
      <c r="K7179">
        <v>1</v>
      </c>
      <c r="L7179">
        <v>0</v>
      </c>
      <c r="M7179" t="s">
        <v>64</v>
      </c>
    </row>
    <row r="7180" spans="1:13" hidden="1" x14ac:dyDescent="0.15">
      <c r="A7180" t="s">
        <v>22460</v>
      </c>
      <c r="B7180" t="s">
        <v>22461</v>
      </c>
      <c r="C7180" t="s">
        <v>22462</v>
      </c>
      <c r="D7180" t="s">
        <v>22459</v>
      </c>
      <c r="E7180">
        <v>0</v>
      </c>
      <c r="F7180" t="str">
        <f>HYPERLINK("https://github.com/CoronaTeam/CoronaGame/issues/109", "show")</f>
        <v>show</v>
      </c>
      <c r="G7180" t="str">
        <f>HYPERLINK("https://github.com/CoronaTeam/CoronaGame", "show")</f>
        <v>show</v>
      </c>
      <c r="H7180" t="str">
        <f>HYPERLINK("https://github.com/CoronaTeam/CoronaGame/releases", "show")</f>
        <v>show</v>
      </c>
      <c r="I7180">
        <v>1</v>
      </c>
      <c r="J7180">
        <v>0</v>
      </c>
      <c r="K7180">
        <v>1</v>
      </c>
      <c r="L7180">
        <v>0</v>
      </c>
      <c r="M7180" t="s">
        <v>64</v>
      </c>
    </row>
    <row r="7181" spans="1:13" hidden="1" x14ac:dyDescent="0.15">
      <c r="A7181" t="s">
        <v>22463</v>
      </c>
      <c r="B7181" t="s">
        <v>22464</v>
      </c>
      <c r="C7181" t="s">
        <v>22465</v>
      </c>
      <c r="D7181" t="s">
        <v>22459</v>
      </c>
      <c r="E7181">
        <v>3</v>
      </c>
      <c r="F7181" t="str">
        <f>HYPERLINK("https://github.com/nextcloud/android/issues/5849", "show")</f>
        <v>show</v>
      </c>
      <c r="G7181" t="str">
        <f>HYPERLINK("https://github.com/nextcloud/android", "show")</f>
        <v>show</v>
      </c>
      <c r="H7181" t="str">
        <f>HYPERLINK("https://github.com/nextcloud/android/releases", "show")</f>
        <v>show</v>
      </c>
      <c r="I7181">
        <v>1</v>
      </c>
      <c r="J7181">
        <v>1</v>
      </c>
      <c r="K7181">
        <v>1</v>
      </c>
      <c r="L7181">
        <v>0</v>
      </c>
      <c r="M7181" t="s">
        <v>59</v>
      </c>
    </row>
    <row r="7182" spans="1:13" hidden="1" x14ac:dyDescent="0.15">
      <c r="A7182" t="s">
        <v>22466</v>
      </c>
      <c r="B7182" t="s">
        <v>22467</v>
      </c>
      <c r="D7182" t="s">
        <v>22468</v>
      </c>
      <c r="E7182">
        <v>6</v>
      </c>
      <c r="F7182" t="str">
        <f>HYPERLINK("https://github.com/AthulKrishna14310/inlens_official/issues/59", "show")</f>
        <v>show</v>
      </c>
      <c r="G7182" t="str">
        <f>HYPERLINK("https://github.com/AthulKrishna14310/inlens_official", "show")</f>
        <v>show</v>
      </c>
      <c r="H7182" t="str">
        <f>HYPERLINK("https://github.com/AthulKrishna14310/inlens_official/releases", "show")</f>
        <v>show</v>
      </c>
      <c r="I7182">
        <v>0</v>
      </c>
      <c r="J7182">
        <v>0</v>
      </c>
      <c r="K7182">
        <v>1</v>
      </c>
      <c r="L7182">
        <v>0</v>
      </c>
      <c r="M7182" t="s">
        <v>122</v>
      </c>
    </row>
    <row r="7183" spans="1:13" hidden="1" x14ac:dyDescent="0.15">
      <c r="A7183" t="s">
        <v>22469</v>
      </c>
      <c r="B7183" t="s">
        <v>22470</v>
      </c>
      <c r="C7183" t="s">
        <v>22471</v>
      </c>
      <c r="D7183" t="s">
        <v>22468</v>
      </c>
      <c r="E7183">
        <v>157</v>
      </c>
      <c r="F7183" t="str">
        <f>HYPERLINK("https://github.com/commons-app/apps-android-commons/issues/3639", "show")</f>
        <v>show</v>
      </c>
      <c r="G7183" t="str">
        <f>HYPERLINK("https://github.com/commons-app/apps-android-commons", "show")</f>
        <v>show</v>
      </c>
      <c r="H7183" t="str">
        <f>HYPERLINK("https://github.com/commons-app/apps-android-commons/releases", "show")</f>
        <v>show</v>
      </c>
      <c r="I7183">
        <v>1</v>
      </c>
      <c r="J7183">
        <v>1</v>
      </c>
      <c r="K7183">
        <v>1</v>
      </c>
      <c r="L7183">
        <v>0</v>
      </c>
      <c r="M7183" t="s">
        <v>59</v>
      </c>
    </row>
    <row r="7184" spans="1:13" hidden="1" x14ac:dyDescent="0.15">
      <c r="A7184" t="s">
        <v>22472</v>
      </c>
      <c r="B7184" t="s">
        <v>22473</v>
      </c>
      <c r="C7184" t="s">
        <v>22474</v>
      </c>
      <c r="D7184" t="s">
        <v>22468</v>
      </c>
      <c r="E7184">
        <v>341</v>
      </c>
      <c r="F7184" t="str">
        <f>HYPERLINK("https://github.com/TeamNewPipe/NewPipe/issues/3411", "show")</f>
        <v>show</v>
      </c>
      <c r="G7184" t="str">
        <f>HYPERLINK("https://github.com/TeamNewPipe/NewPipe", "show")</f>
        <v>show</v>
      </c>
      <c r="H7184" t="str">
        <f>HYPERLINK("https://github.com/TeamNewPipe/NewPipe/releases", "show")</f>
        <v>show</v>
      </c>
      <c r="I7184">
        <v>1</v>
      </c>
      <c r="J7184">
        <v>0</v>
      </c>
      <c r="K7184">
        <v>1</v>
      </c>
      <c r="L7184">
        <v>0</v>
      </c>
      <c r="M7184" t="s">
        <v>64</v>
      </c>
    </row>
    <row r="7185" spans="1:13" hidden="1" x14ac:dyDescent="0.15">
      <c r="A7185" t="s">
        <v>22475</v>
      </c>
      <c r="B7185" t="s">
        <v>22476</v>
      </c>
      <c r="C7185" t="s">
        <v>22477</v>
      </c>
      <c r="D7185" t="s">
        <v>22468</v>
      </c>
      <c r="E7185">
        <v>20</v>
      </c>
      <c r="F7185" t="str">
        <f>HYPERLINK("https://github.com/nextcloud/android/issues/5843", "show")</f>
        <v>show</v>
      </c>
      <c r="G7185" t="str">
        <f>HYPERLINK("https://github.com/nextcloud/android", "show")</f>
        <v>show</v>
      </c>
      <c r="H7185" t="str">
        <f>HYPERLINK("https://github.com/nextcloud/android/releases", "show")</f>
        <v>show</v>
      </c>
      <c r="I7185">
        <v>0</v>
      </c>
      <c r="J7185">
        <v>1</v>
      </c>
      <c r="K7185">
        <v>1</v>
      </c>
      <c r="L7185">
        <v>0</v>
      </c>
      <c r="M7185" t="s">
        <v>699</v>
      </c>
    </row>
    <row r="7186" spans="1:13" hidden="1" x14ac:dyDescent="0.15">
      <c r="A7186" t="s">
        <v>22478</v>
      </c>
      <c r="B7186" t="s">
        <v>22479</v>
      </c>
      <c r="C7186" t="s">
        <v>22480</v>
      </c>
      <c r="D7186" t="s">
        <v>22481</v>
      </c>
      <c r="E7186">
        <v>0</v>
      </c>
      <c r="F7186" t="str">
        <f>HYPERLINK("https://github.com/Concordia-Campus-Guide/Concordia-Campus-Guide/issues/272", "show")</f>
        <v>show</v>
      </c>
      <c r="G7186" t="str">
        <f>HYPERLINK("https://github.com/Concordia-Campus-Guide/Concordia-Campus-Guide", "show")</f>
        <v>show</v>
      </c>
      <c r="H7186" t="str">
        <f>HYPERLINK("https://github.com/Concordia-Campus-Guide/Concordia-Campus-Guide/releases", "show")</f>
        <v>show</v>
      </c>
      <c r="I7186">
        <v>1</v>
      </c>
      <c r="J7186">
        <v>0</v>
      </c>
      <c r="K7186">
        <v>0</v>
      </c>
      <c r="L7186">
        <v>0</v>
      </c>
      <c r="M7186" t="s">
        <v>17</v>
      </c>
    </row>
    <row r="7187" spans="1:13" hidden="1" x14ac:dyDescent="0.15">
      <c r="A7187" t="s">
        <v>22482</v>
      </c>
      <c r="B7187" t="s">
        <v>22483</v>
      </c>
      <c r="C7187" t="s">
        <v>22484</v>
      </c>
      <c r="D7187" t="s">
        <v>22481</v>
      </c>
      <c r="E7187">
        <v>229</v>
      </c>
      <c r="F7187" t="str">
        <f>HYPERLINK("https://github.com/ElderDrivers/EdXposed/issues/508", "show")</f>
        <v>show</v>
      </c>
      <c r="G7187" t="str">
        <f>HYPERLINK("https://github.com/ElderDrivers/EdXposed", "show")</f>
        <v>show</v>
      </c>
      <c r="H7187" t="str">
        <f>HYPERLINK("https://github.com/ElderDrivers/EdXposed/releases", "show")</f>
        <v>show</v>
      </c>
      <c r="I7187">
        <v>0</v>
      </c>
      <c r="J7187">
        <v>0</v>
      </c>
      <c r="K7187">
        <v>1</v>
      </c>
      <c r="L7187">
        <v>0</v>
      </c>
      <c r="M7187" t="s">
        <v>122</v>
      </c>
    </row>
    <row r="7188" spans="1:13" hidden="1" x14ac:dyDescent="0.15">
      <c r="A7188" t="s">
        <v>22485</v>
      </c>
      <c r="B7188" t="s">
        <v>22486</v>
      </c>
      <c r="C7188" t="s">
        <v>22487</v>
      </c>
      <c r="D7188" t="s">
        <v>22488</v>
      </c>
      <c r="E7188">
        <v>67</v>
      </c>
      <c r="F7188" t="str">
        <f>HYPERLINK("https://github.com/react-native-camera/react-native-camera/issues/2780", "show")</f>
        <v>show</v>
      </c>
      <c r="G7188" t="str">
        <f>HYPERLINK("https://github.com/react-native-camera/react-native-camera", "show")</f>
        <v>show</v>
      </c>
      <c r="H7188" t="str">
        <f>HYPERLINK("https://github.com/react-native-camera/react-native-camera/releases", "show")</f>
        <v>show</v>
      </c>
      <c r="I7188">
        <v>1</v>
      </c>
      <c r="J7188">
        <v>1</v>
      </c>
      <c r="K7188">
        <v>1</v>
      </c>
      <c r="L7188">
        <v>0</v>
      </c>
      <c r="M7188" t="s">
        <v>59</v>
      </c>
    </row>
    <row r="7189" spans="1:13" hidden="1" x14ac:dyDescent="0.15">
      <c r="A7189" t="s">
        <v>22489</v>
      </c>
      <c r="B7189" t="s">
        <v>22490</v>
      </c>
      <c r="C7189" t="s">
        <v>22491</v>
      </c>
      <c r="D7189" t="s">
        <v>22488</v>
      </c>
      <c r="E7189">
        <v>1</v>
      </c>
      <c r="F7189" t="str">
        <f>HYPERLINK("https://github.com/react-native-share/react-native-share/issues/757", "show")</f>
        <v>show</v>
      </c>
      <c r="G7189" t="str">
        <f>HYPERLINK("https://github.com/react-native-share/react-native-share", "show")</f>
        <v>show</v>
      </c>
      <c r="H7189" t="str">
        <f>HYPERLINK("https://github.com/react-native-share/react-native-share/releases", "show")</f>
        <v>show</v>
      </c>
      <c r="I7189">
        <v>0</v>
      </c>
      <c r="J7189">
        <v>0</v>
      </c>
      <c r="K7189">
        <v>0</v>
      </c>
      <c r="L7189">
        <v>0</v>
      </c>
      <c r="M7189" t="s">
        <v>43</v>
      </c>
    </row>
    <row r="7190" spans="1:13" hidden="1" x14ac:dyDescent="0.15">
      <c r="A7190" t="s">
        <v>22492</v>
      </c>
      <c r="B7190" t="s">
        <v>22493</v>
      </c>
      <c r="C7190" t="s">
        <v>22494</v>
      </c>
      <c r="D7190" t="s">
        <v>22488</v>
      </c>
      <c r="E7190">
        <v>4</v>
      </c>
      <c r="F7190" t="str">
        <f>HYPERLINK("https://github.com/pushbots/pushbots-react-native/issues/8", "show")</f>
        <v>show</v>
      </c>
      <c r="G7190" t="str">
        <f>HYPERLINK("https://github.com/pushbots/pushbots-react-native", "show")</f>
        <v>show</v>
      </c>
      <c r="H7190" t="str">
        <f>HYPERLINK("https://github.com/pushbots/pushbots-react-native/releases", "show")</f>
        <v>show</v>
      </c>
      <c r="I7190">
        <v>0</v>
      </c>
      <c r="J7190">
        <v>0</v>
      </c>
      <c r="K7190">
        <v>0</v>
      </c>
      <c r="L7190">
        <v>0</v>
      </c>
      <c r="M7190" t="s">
        <v>43</v>
      </c>
    </row>
    <row r="7191" spans="1:13" hidden="1" x14ac:dyDescent="0.15">
      <c r="A7191" t="s">
        <v>22495</v>
      </c>
      <c r="B7191" t="s">
        <v>22496</v>
      </c>
      <c r="C7191" t="s">
        <v>22497</v>
      </c>
      <c r="D7191" t="s">
        <v>22488</v>
      </c>
      <c r="E7191">
        <v>42</v>
      </c>
      <c r="F7191" t="str">
        <f>HYPERLINK("https://github.com/nextcloud/android/issues/5831", "show")</f>
        <v>show</v>
      </c>
      <c r="G7191" t="str">
        <f>HYPERLINK("https://github.com/nextcloud/android", "show")</f>
        <v>show</v>
      </c>
      <c r="H7191" t="str">
        <f>HYPERLINK("https://github.com/nextcloud/android/releases", "show")</f>
        <v>show</v>
      </c>
      <c r="I7191">
        <v>1</v>
      </c>
      <c r="J7191">
        <v>1</v>
      </c>
      <c r="K7191">
        <v>1</v>
      </c>
      <c r="L7191">
        <v>0</v>
      </c>
      <c r="M7191" t="s">
        <v>59</v>
      </c>
    </row>
    <row r="7192" spans="1:13" hidden="1" x14ac:dyDescent="0.15">
      <c r="A7192" t="s">
        <v>22498</v>
      </c>
      <c r="B7192" t="s">
        <v>22499</v>
      </c>
      <c r="C7192" t="s">
        <v>22500</v>
      </c>
      <c r="D7192" t="s">
        <v>22501</v>
      </c>
      <c r="E7192">
        <v>148</v>
      </c>
      <c r="F7192" t="str">
        <f>HYPERLINK("https://github.com/TeamNewPipe/NewPipe/issues/3387", "show")</f>
        <v>show</v>
      </c>
      <c r="G7192" t="str">
        <f>HYPERLINK("https://github.com/TeamNewPipe/NewPipe", "show")</f>
        <v>show</v>
      </c>
      <c r="H7192" t="str">
        <f>HYPERLINK("https://github.com/TeamNewPipe/NewPipe/releases", "show")</f>
        <v>show</v>
      </c>
      <c r="I7192">
        <v>1</v>
      </c>
      <c r="J7192">
        <v>1</v>
      </c>
      <c r="K7192">
        <v>0</v>
      </c>
      <c r="L7192">
        <v>0</v>
      </c>
      <c r="M7192" t="s">
        <v>48</v>
      </c>
    </row>
    <row r="7193" spans="1:13" hidden="1" x14ac:dyDescent="0.15">
      <c r="A7193" t="s">
        <v>22502</v>
      </c>
      <c r="B7193" t="s">
        <v>22503</v>
      </c>
      <c r="C7193" t="s">
        <v>22504</v>
      </c>
      <c r="D7193" t="s">
        <v>22501</v>
      </c>
      <c r="E7193">
        <v>0</v>
      </c>
      <c r="F7193" t="str">
        <f>HYPERLINK("https://github.com/leondeklerk/SmartController/issues/13", "show")</f>
        <v>show</v>
      </c>
      <c r="G7193" t="str">
        <f>HYPERLINK("https://github.com/leondeklerk/SmartController", "show")</f>
        <v>show</v>
      </c>
      <c r="H7193" t="str">
        <f>HYPERLINK("https://github.com/leondeklerk/SmartController/releases", "show")</f>
        <v>show</v>
      </c>
      <c r="I7193">
        <v>0</v>
      </c>
      <c r="J7193">
        <v>0</v>
      </c>
      <c r="K7193">
        <v>0</v>
      </c>
      <c r="L7193">
        <v>0</v>
      </c>
      <c r="M7193" t="s">
        <v>43</v>
      </c>
    </row>
    <row r="7194" spans="1:13" hidden="1" x14ac:dyDescent="0.15">
      <c r="A7194" t="s">
        <v>22505</v>
      </c>
      <c r="B7194" t="s">
        <v>22506</v>
      </c>
      <c r="C7194" t="s">
        <v>22507</v>
      </c>
      <c r="D7194" t="s">
        <v>22501</v>
      </c>
      <c r="E7194">
        <v>8</v>
      </c>
      <c r="F7194" t="str">
        <f>HYPERLINK("https://github.com/twilio/video-quickstart-android/issues/493", "show")</f>
        <v>show</v>
      </c>
      <c r="G7194" t="str">
        <f>HYPERLINK("https://github.com/twilio/video-quickstart-android", "show")</f>
        <v>show</v>
      </c>
      <c r="H7194" t="str">
        <f>HYPERLINK("https://github.com/twilio/video-quickstart-android/releases", "show")</f>
        <v>show</v>
      </c>
      <c r="I7194">
        <v>1</v>
      </c>
      <c r="J7194">
        <v>0</v>
      </c>
      <c r="K7194">
        <v>1</v>
      </c>
      <c r="L7194">
        <v>0</v>
      </c>
      <c r="M7194" t="s">
        <v>64</v>
      </c>
    </row>
    <row r="7195" spans="1:13" hidden="1" x14ac:dyDescent="0.15">
      <c r="A7195" t="s">
        <v>22508</v>
      </c>
      <c r="B7195" t="s">
        <v>22509</v>
      </c>
      <c r="C7195" t="s">
        <v>22510</v>
      </c>
      <c r="D7195" t="s">
        <v>22511</v>
      </c>
      <c r="E7195">
        <v>4</v>
      </c>
      <c r="F7195" t="str">
        <f>HYPERLINK("https://github.com/TeamNewPipe/NewPipe/issues/3381", "show")</f>
        <v>show</v>
      </c>
      <c r="G7195" t="str">
        <f>HYPERLINK("https://github.com/TeamNewPipe/NewPipe", "show")</f>
        <v>show</v>
      </c>
      <c r="H7195" t="str">
        <f>HYPERLINK("https://github.com/TeamNewPipe/NewPipe/releases", "show")</f>
        <v>show</v>
      </c>
      <c r="I7195">
        <v>1</v>
      </c>
      <c r="J7195">
        <v>1</v>
      </c>
      <c r="K7195">
        <v>0</v>
      </c>
      <c r="L7195">
        <v>1</v>
      </c>
      <c r="M7195" t="s">
        <v>1894</v>
      </c>
    </row>
    <row r="7196" spans="1:13" hidden="1" x14ac:dyDescent="0.15">
      <c r="A7196" t="s">
        <v>22512</v>
      </c>
      <c r="B7196" t="s">
        <v>22513</v>
      </c>
      <c r="C7196" t="s">
        <v>22514</v>
      </c>
      <c r="D7196" t="s">
        <v>22511</v>
      </c>
      <c r="E7196">
        <v>94</v>
      </c>
      <c r="F7196" t="str">
        <f>HYPERLINK("https://github.com/hzi-braunschweig/SORMAS-Project/issues/1765", "show")</f>
        <v>show</v>
      </c>
      <c r="G7196" t="str">
        <f>HYPERLINK("https://github.com/hzi-braunschweig/SORMAS-Project", "show")</f>
        <v>show</v>
      </c>
      <c r="H7196" t="str">
        <f>HYPERLINK("https://github.com/hzi-braunschweig/SORMAS-Project/releases", "show")</f>
        <v>show</v>
      </c>
      <c r="I7196">
        <v>0</v>
      </c>
      <c r="J7196">
        <v>1</v>
      </c>
      <c r="K7196">
        <v>1</v>
      </c>
      <c r="L7196">
        <v>0</v>
      </c>
      <c r="M7196" t="s">
        <v>699</v>
      </c>
    </row>
    <row r="7197" spans="1:13" hidden="1" x14ac:dyDescent="0.15">
      <c r="A7197" t="s">
        <v>22515</v>
      </c>
      <c r="B7197" t="s">
        <v>22516</v>
      </c>
      <c r="C7197" t="s">
        <v>22517</v>
      </c>
      <c r="D7197" t="s">
        <v>22511</v>
      </c>
      <c r="E7197">
        <v>192</v>
      </c>
      <c r="F7197" t="str">
        <f>HYPERLINK("https://github.com/proyecto26/react-native-inappbrowser/issues/150", "show")</f>
        <v>show</v>
      </c>
      <c r="G7197" t="str">
        <f>HYPERLINK("https://github.com/proyecto26/react-native-inappbrowser", "show")</f>
        <v>show</v>
      </c>
      <c r="H7197" t="str">
        <f>HYPERLINK("https://github.com/proyecto26/react-native-inappbrowser/releases", "show")</f>
        <v>show</v>
      </c>
      <c r="I7197">
        <v>0</v>
      </c>
      <c r="J7197">
        <v>0</v>
      </c>
      <c r="K7197">
        <v>0</v>
      </c>
      <c r="L7197">
        <v>1</v>
      </c>
      <c r="M7197" t="s">
        <v>581</v>
      </c>
    </row>
    <row r="7198" spans="1:13" hidden="1" x14ac:dyDescent="0.15">
      <c r="A7198" t="s">
        <v>22518</v>
      </c>
      <c r="B7198" t="s">
        <v>22519</v>
      </c>
      <c r="C7198" t="s">
        <v>22520</v>
      </c>
      <c r="D7198" t="s">
        <v>22511</v>
      </c>
      <c r="E7198">
        <v>108</v>
      </c>
      <c r="F7198" t="str">
        <f>HYPERLINK("https://github.com/hzi-braunschweig/SORMAS-Project/issues/1759", "show")</f>
        <v>show</v>
      </c>
      <c r="G7198" t="str">
        <f>HYPERLINK("https://github.com/hzi-braunschweig/SORMAS-Project", "show")</f>
        <v>show</v>
      </c>
      <c r="H7198" t="str">
        <f>HYPERLINK("https://github.com/hzi-braunschweig/SORMAS-Project/releases", "show")</f>
        <v>show</v>
      </c>
      <c r="I7198">
        <v>1</v>
      </c>
      <c r="J7198">
        <v>1</v>
      </c>
      <c r="K7198">
        <v>0</v>
      </c>
      <c r="L7198">
        <v>0</v>
      </c>
      <c r="M7198" t="s">
        <v>48</v>
      </c>
    </row>
    <row r="7199" spans="1:13" hidden="1" x14ac:dyDescent="0.15">
      <c r="A7199" t="s">
        <v>22521</v>
      </c>
      <c r="B7199" t="s">
        <v>22522</v>
      </c>
      <c r="C7199" t="s">
        <v>22523</v>
      </c>
      <c r="D7199" t="s">
        <v>22511</v>
      </c>
      <c r="E7199">
        <v>236</v>
      </c>
      <c r="F7199" t="str">
        <f>HYPERLINK("https://github.com/ElderDrivers/EdXposed/issues/504", "show")</f>
        <v>show</v>
      </c>
      <c r="G7199" t="str">
        <f>HYPERLINK("https://github.com/ElderDrivers/EdXposed", "show")</f>
        <v>show</v>
      </c>
      <c r="H7199" t="str">
        <f>HYPERLINK("https://github.com/ElderDrivers/EdXposed/releases", "show")</f>
        <v>show</v>
      </c>
      <c r="I7199">
        <v>1</v>
      </c>
      <c r="J7199">
        <v>0</v>
      </c>
      <c r="K7199">
        <v>0</v>
      </c>
      <c r="L7199">
        <v>0</v>
      </c>
      <c r="M7199" t="s">
        <v>17</v>
      </c>
    </row>
    <row r="7200" spans="1:13" hidden="1" x14ac:dyDescent="0.15">
      <c r="A7200" t="s">
        <v>22524</v>
      </c>
      <c r="B7200" t="s">
        <v>22525</v>
      </c>
      <c r="C7200" t="s">
        <v>22526</v>
      </c>
      <c r="D7200" t="s">
        <v>22511</v>
      </c>
      <c r="E7200">
        <v>1</v>
      </c>
      <c r="F7200" t="str">
        <f>HYPERLINK("https://github.com/iatenine/Social-Distancing-App/issues/4", "show")</f>
        <v>show</v>
      </c>
      <c r="G7200" t="str">
        <f>HYPERLINK("https://github.com/iatenine/Social-Distancing-App", "show")</f>
        <v>show</v>
      </c>
      <c r="H7200" t="str">
        <f>HYPERLINK("https://github.com/iatenine/Social-Distancing-App/releases", "show")</f>
        <v>show</v>
      </c>
      <c r="I7200">
        <v>1</v>
      </c>
      <c r="J7200">
        <v>0</v>
      </c>
      <c r="K7200">
        <v>1</v>
      </c>
      <c r="L7200">
        <v>0</v>
      </c>
      <c r="M7200" t="s">
        <v>64</v>
      </c>
    </row>
    <row r="7201" spans="1:13" hidden="1" x14ac:dyDescent="0.15">
      <c r="A7201" t="s">
        <v>22527</v>
      </c>
      <c r="B7201" t="s">
        <v>22528</v>
      </c>
      <c r="C7201" t="s">
        <v>22529</v>
      </c>
      <c r="D7201" t="s">
        <v>22530</v>
      </c>
      <c r="E7201">
        <v>0</v>
      </c>
      <c r="F7201" t="str">
        <f>HYPERLINK("https://github.com/condog190/5E-Initiative-Tracker/issues/129", "show")</f>
        <v>show</v>
      </c>
      <c r="G7201" t="str">
        <f>HYPERLINK("https://github.com/condog190/5E-Initiative-Tracker", "show")</f>
        <v>show</v>
      </c>
      <c r="H7201" t="str">
        <f>HYPERLINK("https://github.com/condog190/5E-Initiative-Tracker/releases", "show")</f>
        <v>show</v>
      </c>
      <c r="I7201">
        <v>1</v>
      </c>
      <c r="J7201">
        <v>0</v>
      </c>
      <c r="K7201">
        <v>0</v>
      </c>
      <c r="L7201">
        <v>0</v>
      </c>
      <c r="M7201" t="s">
        <v>17</v>
      </c>
    </row>
    <row r="7202" spans="1:13" hidden="1" x14ac:dyDescent="0.15">
      <c r="A7202" t="s">
        <v>22531</v>
      </c>
      <c r="B7202" t="s">
        <v>22532</v>
      </c>
      <c r="C7202" t="s">
        <v>22533</v>
      </c>
      <c r="D7202" t="s">
        <v>22530</v>
      </c>
      <c r="E7202">
        <v>45</v>
      </c>
      <c r="F7202" t="str">
        <f>HYPERLINK("https://github.com/nextcloud/android/issues/5809", "show")</f>
        <v>show</v>
      </c>
      <c r="G7202" t="str">
        <f>HYPERLINK("https://github.com/nextcloud/android", "show")</f>
        <v>show</v>
      </c>
      <c r="H7202" t="str">
        <f>HYPERLINK("https://github.com/nextcloud/android/releases", "show")</f>
        <v>show</v>
      </c>
      <c r="I7202">
        <v>1</v>
      </c>
      <c r="J7202">
        <v>0</v>
      </c>
      <c r="K7202">
        <v>0</v>
      </c>
      <c r="L7202">
        <v>0</v>
      </c>
      <c r="M7202" t="s">
        <v>17</v>
      </c>
    </row>
    <row r="7203" spans="1:13" hidden="1" x14ac:dyDescent="0.15">
      <c r="A7203" t="s">
        <v>22534</v>
      </c>
      <c r="B7203" t="s">
        <v>22535</v>
      </c>
      <c r="C7203" t="s">
        <v>22536</v>
      </c>
      <c r="D7203" t="s">
        <v>22530</v>
      </c>
      <c r="E7203">
        <v>685</v>
      </c>
      <c r="F7203" t="str">
        <f>HYPERLINK("https://github.com/TeamNewPipe/NewPipe/issues/3368", "show")</f>
        <v>show</v>
      </c>
      <c r="G7203" t="str">
        <f>HYPERLINK("https://github.com/TeamNewPipe/NewPipe", "show")</f>
        <v>show</v>
      </c>
      <c r="H7203" t="str">
        <f>HYPERLINK("https://github.com/TeamNewPipe/NewPipe/releases", "show")</f>
        <v>show</v>
      </c>
      <c r="I7203">
        <v>0</v>
      </c>
      <c r="J7203">
        <v>1</v>
      </c>
      <c r="K7203">
        <v>1</v>
      </c>
      <c r="L7203">
        <v>0</v>
      </c>
      <c r="M7203" t="s">
        <v>699</v>
      </c>
    </row>
    <row r="7204" spans="1:13" hidden="1" x14ac:dyDescent="0.15">
      <c r="A7204" t="s">
        <v>22537</v>
      </c>
      <c r="B7204" t="s">
        <v>22538</v>
      </c>
      <c r="C7204" t="s">
        <v>22539</v>
      </c>
      <c r="D7204" t="s">
        <v>22530</v>
      </c>
      <c r="E7204">
        <v>30</v>
      </c>
      <c r="F7204" t="str">
        <f>HYPERLINK("https://github.com/k9mail/k-9/issues/4639", "show")</f>
        <v>show</v>
      </c>
      <c r="G7204" t="str">
        <f>HYPERLINK("https://github.com/k9mail/k-9", "show")</f>
        <v>show</v>
      </c>
      <c r="H7204" t="str">
        <f>HYPERLINK("https://github.com/k9mail/k-9/releases", "show")</f>
        <v>show</v>
      </c>
      <c r="I7204">
        <v>1</v>
      </c>
      <c r="J7204">
        <v>1</v>
      </c>
      <c r="K7204">
        <v>0</v>
      </c>
      <c r="L7204">
        <v>0</v>
      </c>
      <c r="M7204" t="s">
        <v>48</v>
      </c>
    </row>
    <row r="7205" spans="1:13" hidden="1" x14ac:dyDescent="0.15">
      <c r="A7205" t="s">
        <v>22540</v>
      </c>
      <c r="B7205" t="s">
        <v>22541</v>
      </c>
      <c r="C7205" t="s">
        <v>22542</v>
      </c>
      <c r="D7205" t="s">
        <v>22543</v>
      </c>
      <c r="E7205">
        <v>4</v>
      </c>
      <c r="F7205" t="str">
        <f>HYPERLINK("https://github.com/wiglenet/wigle-wifi-wardriving/issues/415", "show")</f>
        <v>show</v>
      </c>
      <c r="G7205" t="str">
        <f>HYPERLINK("https://github.com/wiglenet/wigle-wifi-wardriving", "show")</f>
        <v>show</v>
      </c>
      <c r="H7205" t="str">
        <f>HYPERLINK("https://github.com/wiglenet/wigle-wifi-wardriving/releases", "show")</f>
        <v>show</v>
      </c>
      <c r="I7205">
        <v>1</v>
      </c>
      <c r="J7205">
        <v>0</v>
      </c>
      <c r="K7205">
        <v>1</v>
      </c>
      <c r="L7205">
        <v>0</v>
      </c>
      <c r="M7205" t="s">
        <v>64</v>
      </c>
    </row>
    <row r="7206" spans="1:13" hidden="1" x14ac:dyDescent="0.15">
      <c r="A7206" t="s">
        <v>22544</v>
      </c>
      <c r="B7206" t="s">
        <v>22545</v>
      </c>
      <c r="C7206" t="s">
        <v>22546</v>
      </c>
      <c r="D7206" t="s">
        <v>22543</v>
      </c>
      <c r="E7206">
        <v>4</v>
      </c>
      <c r="F7206" t="str">
        <f>HYPERLINK("https://github.com/nextcloud/android/issues/5807", "show")</f>
        <v>show</v>
      </c>
      <c r="G7206" t="str">
        <f>HYPERLINK("https://github.com/nextcloud/android", "show")</f>
        <v>show</v>
      </c>
      <c r="H7206" t="str">
        <f>HYPERLINK("https://github.com/nextcloud/android/releases", "show")</f>
        <v>show</v>
      </c>
      <c r="I7206">
        <v>1</v>
      </c>
      <c r="J7206">
        <v>1</v>
      </c>
      <c r="K7206">
        <v>1</v>
      </c>
      <c r="L7206">
        <v>0</v>
      </c>
      <c r="M7206" t="s">
        <v>59</v>
      </c>
    </row>
    <row r="7207" spans="1:13" hidden="1" x14ac:dyDescent="0.15">
      <c r="A7207" t="s">
        <v>22547</v>
      </c>
      <c r="B7207" t="s">
        <v>22548</v>
      </c>
      <c r="C7207" t="s">
        <v>22549</v>
      </c>
      <c r="D7207" t="s">
        <v>22543</v>
      </c>
      <c r="E7207">
        <v>7</v>
      </c>
      <c r="F7207" t="str">
        <f>HYPERLINK("https://github.com/AEFeinstein/mtg-familiar/issues/511", "show")</f>
        <v>show</v>
      </c>
      <c r="G7207" t="str">
        <f>HYPERLINK("https://github.com/AEFeinstein/mtg-familiar", "show")</f>
        <v>show</v>
      </c>
      <c r="H7207" t="str">
        <f>HYPERLINK("https://github.com/AEFeinstein/mtg-familiar/releases", "show")</f>
        <v>show</v>
      </c>
      <c r="I7207">
        <v>1</v>
      </c>
      <c r="J7207">
        <v>0</v>
      </c>
      <c r="K7207">
        <v>1</v>
      </c>
      <c r="L7207">
        <v>0</v>
      </c>
      <c r="M7207" t="s">
        <v>64</v>
      </c>
    </row>
    <row r="7208" spans="1:13" hidden="1" x14ac:dyDescent="0.15">
      <c r="A7208" t="s">
        <v>22550</v>
      </c>
      <c r="B7208" t="s">
        <v>22551</v>
      </c>
      <c r="C7208" t="s">
        <v>22552</v>
      </c>
      <c r="D7208" t="s">
        <v>22543</v>
      </c>
      <c r="E7208">
        <v>39</v>
      </c>
      <c r="F7208" t="str">
        <f>HYPERLINK("https://github.com/nextcloud/android/issues/5805", "show")</f>
        <v>show</v>
      </c>
      <c r="G7208" t="str">
        <f>HYPERLINK("https://github.com/nextcloud/android", "show")</f>
        <v>show</v>
      </c>
      <c r="H7208" t="str">
        <f>HYPERLINK("https://github.com/nextcloud/android/releases", "show")</f>
        <v>show</v>
      </c>
      <c r="I7208">
        <v>1</v>
      </c>
      <c r="J7208">
        <v>0</v>
      </c>
      <c r="K7208">
        <v>1</v>
      </c>
      <c r="L7208">
        <v>0</v>
      </c>
      <c r="M7208" t="s">
        <v>64</v>
      </c>
    </row>
    <row r="7209" spans="1:13" hidden="1" x14ac:dyDescent="0.15">
      <c r="A7209" t="s">
        <v>22553</v>
      </c>
      <c r="B7209" t="s">
        <v>22554</v>
      </c>
      <c r="C7209" t="s">
        <v>22555</v>
      </c>
      <c r="D7209" t="s">
        <v>22543</v>
      </c>
      <c r="E7209">
        <v>129</v>
      </c>
      <c r="F7209" t="str">
        <f>HYPERLINK("https://github.com/deltachat/deltachat-android/issues/1283", "show")</f>
        <v>show</v>
      </c>
      <c r="G7209" t="str">
        <f>HYPERLINK("https://github.com/deltachat/deltachat-android", "show")</f>
        <v>show</v>
      </c>
      <c r="H7209" t="str">
        <f>HYPERLINK("https://github.com/deltachat/deltachat-android/releases", "show")</f>
        <v>show</v>
      </c>
      <c r="I7209">
        <v>1</v>
      </c>
      <c r="J7209">
        <v>0</v>
      </c>
      <c r="K7209">
        <v>0</v>
      </c>
      <c r="L7209">
        <v>0</v>
      </c>
      <c r="M7209" t="s">
        <v>17</v>
      </c>
    </row>
    <row r="7210" spans="1:13" x14ac:dyDescent="0.15">
      <c r="A7210" t="s">
        <v>22556</v>
      </c>
      <c r="B7210" t="s">
        <v>22557</v>
      </c>
      <c r="C7210" t="s">
        <v>22558</v>
      </c>
      <c r="D7210" t="s">
        <v>22543</v>
      </c>
      <c r="E7210">
        <v>100</v>
      </c>
      <c r="F7210" t="str">
        <f>HYPERLINK("https://github.com/nextcloud/android-library/issues/421", "show")</f>
        <v>show</v>
      </c>
      <c r="G7210" t="str">
        <f>HYPERLINK("https://github.com/nextcloud/android-library", "show")</f>
        <v>show</v>
      </c>
      <c r="H7210" t="str">
        <f>HYPERLINK("https://github.com/nextcloud/android-library/releases", "show")</f>
        <v>show</v>
      </c>
      <c r="I7210">
        <v>0</v>
      </c>
      <c r="J7210">
        <v>1</v>
      </c>
      <c r="K7210">
        <v>0</v>
      </c>
      <c r="L7210">
        <v>0</v>
      </c>
      <c r="M7210" t="s">
        <v>139</v>
      </c>
    </row>
    <row r="7211" spans="1:13" hidden="1" x14ac:dyDescent="0.15">
      <c r="A7211" t="s">
        <v>22559</v>
      </c>
      <c r="B7211" t="s">
        <v>22560</v>
      </c>
      <c r="C7211" t="s">
        <v>22561</v>
      </c>
      <c r="D7211" t="s">
        <v>22543</v>
      </c>
      <c r="E7211">
        <v>0</v>
      </c>
      <c r="F7211" t="str">
        <f>HYPERLINK("https://github.com/hzi-braunschweig/SORMAS-Project/issues/1744", "show")</f>
        <v>show</v>
      </c>
      <c r="G7211" t="str">
        <f>HYPERLINK("https://github.com/hzi-braunschweig/SORMAS-Project", "show")</f>
        <v>show</v>
      </c>
      <c r="H7211" t="str">
        <f>HYPERLINK("https://github.com/hzi-braunschweig/SORMAS-Project/releases", "show")</f>
        <v>show</v>
      </c>
      <c r="I7211">
        <v>1</v>
      </c>
      <c r="J7211">
        <v>0</v>
      </c>
      <c r="K7211">
        <v>1</v>
      </c>
      <c r="L7211">
        <v>0</v>
      </c>
      <c r="M7211" t="s">
        <v>64</v>
      </c>
    </row>
    <row r="7212" spans="1:13" hidden="1" x14ac:dyDescent="0.15">
      <c r="A7212" t="s">
        <v>22562</v>
      </c>
      <c r="B7212" t="s">
        <v>22563</v>
      </c>
      <c r="C7212" t="s">
        <v>22564</v>
      </c>
      <c r="D7212" t="s">
        <v>22543</v>
      </c>
      <c r="E7212">
        <v>63</v>
      </c>
      <c r="F7212" t="str">
        <f>HYPERLINK("https://github.com/AmazMod/AmazMod/issues/847", "show")</f>
        <v>show</v>
      </c>
      <c r="G7212" t="str">
        <f>HYPERLINK("https://github.com/AmazMod/AmazMod", "show")</f>
        <v>show</v>
      </c>
      <c r="H7212" t="str">
        <f>HYPERLINK("https://github.com/AmazMod/AmazMod/releases", "show")</f>
        <v>show</v>
      </c>
      <c r="I7212">
        <v>1</v>
      </c>
      <c r="J7212">
        <v>0</v>
      </c>
      <c r="K7212">
        <v>0</v>
      </c>
      <c r="L7212">
        <v>0</v>
      </c>
      <c r="M7212" t="s">
        <v>17</v>
      </c>
    </row>
    <row r="7213" spans="1:13" hidden="1" x14ac:dyDescent="0.15">
      <c r="A7213" t="s">
        <v>22565</v>
      </c>
      <c r="B7213" t="s">
        <v>22566</v>
      </c>
      <c r="C7213" t="s">
        <v>22567</v>
      </c>
      <c r="D7213" t="s">
        <v>22568</v>
      </c>
      <c r="E7213">
        <v>56</v>
      </c>
      <c r="F7213" t="str">
        <f>HYPERLINK("https://github.com/TeamNewPipe/NewPipe/issues/3350", "show")</f>
        <v>show</v>
      </c>
      <c r="G7213" t="str">
        <f>HYPERLINK("https://github.com/TeamNewPipe/NewPipe", "show")</f>
        <v>show</v>
      </c>
      <c r="H7213" t="str">
        <f>HYPERLINK("https://github.com/TeamNewPipe/NewPipe/releases", "show")</f>
        <v>show</v>
      </c>
      <c r="I7213">
        <v>1</v>
      </c>
      <c r="J7213">
        <v>1</v>
      </c>
      <c r="K7213">
        <v>1</v>
      </c>
      <c r="L7213">
        <v>1</v>
      </c>
      <c r="M7213" t="s">
        <v>2875</v>
      </c>
    </row>
    <row r="7214" spans="1:13" hidden="1" x14ac:dyDescent="0.15">
      <c r="A7214" t="s">
        <v>22569</v>
      </c>
      <c r="B7214" t="s">
        <v>22570</v>
      </c>
      <c r="C7214" t="s">
        <v>22571</v>
      </c>
      <c r="D7214" t="s">
        <v>22568</v>
      </c>
      <c r="E7214">
        <v>160</v>
      </c>
      <c r="F7214" t="str">
        <f>HYPERLINK("https://github.com/TeamNewPipe/NewPipe/issues/3348", "show")</f>
        <v>show</v>
      </c>
      <c r="G7214" t="str">
        <f>HYPERLINK("https://github.com/TeamNewPipe/NewPipe", "show")</f>
        <v>show</v>
      </c>
      <c r="H7214" t="str">
        <f>HYPERLINK("https://github.com/TeamNewPipe/NewPipe/releases", "show")</f>
        <v>show</v>
      </c>
      <c r="I7214">
        <v>1</v>
      </c>
      <c r="J7214">
        <v>0</v>
      </c>
      <c r="K7214">
        <v>0</v>
      </c>
      <c r="L7214">
        <v>0</v>
      </c>
      <c r="M7214" t="s">
        <v>17</v>
      </c>
    </row>
    <row r="7215" spans="1:13" hidden="1" x14ac:dyDescent="0.15">
      <c r="A7215" t="s">
        <v>22572</v>
      </c>
      <c r="B7215" t="s">
        <v>22573</v>
      </c>
      <c r="C7215" t="s">
        <v>22574</v>
      </c>
      <c r="D7215" t="s">
        <v>22568</v>
      </c>
      <c r="E7215">
        <v>11</v>
      </c>
      <c r="F7215" t="str">
        <f>HYPERLINK("https://github.com/mapbox/mapbox-events-android/issues/472", "show")</f>
        <v>show</v>
      </c>
      <c r="G7215" t="str">
        <f>HYPERLINK("https://github.com/mapbox/mapbox-events-android", "show")</f>
        <v>show</v>
      </c>
      <c r="H7215" t="str">
        <f>HYPERLINK("https://github.com/mapbox/mapbox-events-android/releases", "show")</f>
        <v>show</v>
      </c>
      <c r="I7215">
        <v>1</v>
      </c>
      <c r="J7215">
        <v>0</v>
      </c>
      <c r="K7215">
        <v>0</v>
      </c>
      <c r="L7215">
        <v>0</v>
      </c>
      <c r="M7215" t="s">
        <v>17</v>
      </c>
    </row>
    <row r="7216" spans="1:13" hidden="1" x14ac:dyDescent="0.15">
      <c r="A7216" t="s">
        <v>22575</v>
      </c>
      <c r="B7216" t="s">
        <v>22576</v>
      </c>
      <c r="C7216" t="s">
        <v>22577</v>
      </c>
      <c r="D7216" t="s">
        <v>22568</v>
      </c>
      <c r="E7216">
        <v>11</v>
      </c>
      <c r="F7216" t="str">
        <f>HYPERLINK("https://github.com/nextcloud/android/issues/5799", "show")</f>
        <v>show</v>
      </c>
      <c r="G7216" t="str">
        <f>HYPERLINK("https://github.com/nextcloud/android", "show")</f>
        <v>show</v>
      </c>
      <c r="H7216" t="str">
        <f>HYPERLINK("https://github.com/nextcloud/android/releases", "show")</f>
        <v>show</v>
      </c>
      <c r="I7216">
        <v>0</v>
      </c>
      <c r="J7216">
        <v>1</v>
      </c>
      <c r="K7216">
        <v>1</v>
      </c>
      <c r="L7216">
        <v>0</v>
      </c>
      <c r="M7216" t="s">
        <v>699</v>
      </c>
    </row>
    <row r="7217" spans="1:13" hidden="1" x14ac:dyDescent="0.15">
      <c r="A7217" t="s">
        <v>22578</v>
      </c>
      <c r="B7217" t="s">
        <v>22579</v>
      </c>
      <c r="C7217" t="s">
        <v>22580</v>
      </c>
      <c r="D7217" t="s">
        <v>22568</v>
      </c>
      <c r="E7217">
        <v>0</v>
      </c>
      <c r="F7217" t="str">
        <f>HYPERLINK("https://github.com/ECE493-Group5/adjustable-audio/issues/114", "show")</f>
        <v>show</v>
      </c>
      <c r="G7217" t="str">
        <f>HYPERLINK("https://github.com/ECE493-Group5/adjustable-audio", "show")</f>
        <v>show</v>
      </c>
      <c r="H7217" t="str">
        <f>HYPERLINK("https://github.com/ECE493-Group5/adjustable-audio/releases", "show")</f>
        <v>show</v>
      </c>
      <c r="I7217">
        <v>1</v>
      </c>
      <c r="J7217">
        <v>0</v>
      </c>
      <c r="K7217">
        <v>0</v>
      </c>
      <c r="L7217">
        <v>0</v>
      </c>
      <c r="M7217" t="s">
        <v>17</v>
      </c>
    </row>
    <row r="7218" spans="1:13" hidden="1" x14ac:dyDescent="0.15">
      <c r="A7218" t="s">
        <v>22581</v>
      </c>
      <c r="B7218" t="s">
        <v>22582</v>
      </c>
      <c r="C7218" t="s">
        <v>22583</v>
      </c>
      <c r="D7218" t="s">
        <v>22568</v>
      </c>
      <c r="E7218">
        <v>4</v>
      </c>
      <c r="F7218" t="str">
        <f>HYPERLINK("https://github.com/react-native-share/react-native-share/issues/746", "show")</f>
        <v>show</v>
      </c>
      <c r="G7218" t="str">
        <f>HYPERLINK("https://github.com/react-native-share/react-native-share", "show")</f>
        <v>show</v>
      </c>
      <c r="H7218" t="str">
        <f>HYPERLINK("https://github.com/react-native-share/react-native-share/releases", "show")</f>
        <v>show</v>
      </c>
      <c r="I7218">
        <v>1</v>
      </c>
      <c r="J7218">
        <v>0</v>
      </c>
      <c r="K7218">
        <v>1</v>
      </c>
      <c r="L7218">
        <v>0</v>
      </c>
      <c r="M7218" t="s">
        <v>64</v>
      </c>
    </row>
    <row r="7219" spans="1:13" hidden="1" x14ac:dyDescent="0.15">
      <c r="A7219" t="s">
        <v>22584</v>
      </c>
      <c r="B7219" t="s">
        <v>22585</v>
      </c>
      <c r="C7219" t="s">
        <v>22586</v>
      </c>
      <c r="D7219" t="s">
        <v>22587</v>
      </c>
      <c r="E7219">
        <v>1</v>
      </c>
      <c r="F7219" t="str">
        <f>HYPERLINK("https://github.com/CMPUT301W20T07/arrival/issues/157", "show")</f>
        <v>show</v>
      </c>
      <c r="G7219" t="str">
        <f>HYPERLINK("https://github.com/CMPUT301W20T07/arrival", "show")</f>
        <v>show</v>
      </c>
      <c r="H7219" t="str">
        <f>HYPERLINK("https://github.com/CMPUT301W20T07/arrival/releases", "show")</f>
        <v>show</v>
      </c>
      <c r="I7219">
        <v>0</v>
      </c>
      <c r="J7219">
        <v>0</v>
      </c>
      <c r="K7219">
        <v>0</v>
      </c>
      <c r="L7219">
        <v>0</v>
      </c>
      <c r="M7219" t="s">
        <v>43</v>
      </c>
    </row>
    <row r="7220" spans="1:13" hidden="1" x14ac:dyDescent="0.15">
      <c r="A7220" t="s">
        <v>22588</v>
      </c>
      <c r="B7220" t="s">
        <v>22589</v>
      </c>
      <c r="C7220" t="s">
        <v>22590</v>
      </c>
      <c r="D7220" t="s">
        <v>22587</v>
      </c>
      <c r="E7220">
        <v>1</v>
      </c>
      <c r="F7220" t="str">
        <f>HYPERLINK("https://github.com/CMPUT301W20T07/arrival/issues/156", "show")</f>
        <v>show</v>
      </c>
      <c r="G7220" t="str">
        <f>HYPERLINK("https://github.com/CMPUT301W20T07/arrival", "show")</f>
        <v>show</v>
      </c>
      <c r="H7220" t="str">
        <f>HYPERLINK("https://github.com/CMPUT301W20T07/arrival/releases", "show")</f>
        <v>show</v>
      </c>
      <c r="I7220">
        <v>0</v>
      </c>
      <c r="J7220">
        <v>0</v>
      </c>
      <c r="K7220">
        <v>0</v>
      </c>
      <c r="L7220">
        <v>0</v>
      </c>
      <c r="M7220" t="s">
        <v>43</v>
      </c>
    </row>
    <row r="7221" spans="1:13" hidden="1" x14ac:dyDescent="0.15">
      <c r="A7221" t="s">
        <v>22591</v>
      </c>
      <c r="B7221" t="s">
        <v>22592</v>
      </c>
      <c r="D7221" t="s">
        <v>22587</v>
      </c>
      <c r="E7221">
        <v>1</v>
      </c>
      <c r="F7221" t="str">
        <f>HYPERLINK("https://github.com/CMPUT301W20T07/arrival/issues/153", "show")</f>
        <v>show</v>
      </c>
      <c r="G7221" t="str">
        <f>HYPERLINK("https://github.com/CMPUT301W20T07/arrival", "show")</f>
        <v>show</v>
      </c>
      <c r="H7221" t="str">
        <f>HYPERLINK("https://github.com/CMPUT301W20T07/arrival/releases", "show")</f>
        <v>show</v>
      </c>
      <c r="I7221">
        <v>0</v>
      </c>
      <c r="J7221">
        <v>0</v>
      </c>
      <c r="K7221">
        <v>0</v>
      </c>
      <c r="L7221">
        <v>0</v>
      </c>
      <c r="M7221" t="s">
        <v>43</v>
      </c>
    </row>
    <row r="7222" spans="1:13" hidden="1" x14ac:dyDescent="0.15">
      <c r="A7222" t="s">
        <v>22593</v>
      </c>
      <c r="B7222" t="s">
        <v>22594</v>
      </c>
      <c r="C7222" t="s">
        <v>22595</v>
      </c>
      <c r="D7222" t="s">
        <v>22587</v>
      </c>
      <c r="E7222">
        <v>125</v>
      </c>
      <c r="F7222" t="str">
        <f>HYPERLINK("https://github.com/SmartDeviceLink-Examples/example_weather_app_android/issues/18", "show")</f>
        <v>show</v>
      </c>
      <c r="G7222" t="str">
        <f>HYPERLINK("https://github.com/SmartDeviceLink-Examples/example_weather_app_android", "show")</f>
        <v>show</v>
      </c>
      <c r="H7222" t="str">
        <f>HYPERLINK("https://github.com/SmartDeviceLink-Examples/example_weather_app_android/releases", "show")</f>
        <v>show</v>
      </c>
      <c r="I7222">
        <v>1</v>
      </c>
      <c r="J7222">
        <v>0</v>
      </c>
      <c r="K7222">
        <v>0</v>
      </c>
      <c r="L7222">
        <v>0</v>
      </c>
      <c r="M7222" t="s">
        <v>17</v>
      </c>
    </row>
    <row r="7223" spans="1:13" hidden="1" x14ac:dyDescent="0.15">
      <c r="A7223" t="s">
        <v>22596</v>
      </c>
      <c r="B7223" t="s">
        <v>22597</v>
      </c>
      <c r="C7223" t="s">
        <v>22598</v>
      </c>
      <c r="D7223" t="s">
        <v>22587</v>
      </c>
      <c r="E7223">
        <v>2</v>
      </c>
      <c r="F7223" t="str">
        <f>HYPERLINK("https://github.com/hzi-braunschweig/SORMAS-Project/issues/1724", "show")</f>
        <v>show</v>
      </c>
      <c r="G7223" t="str">
        <f>HYPERLINK("https://github.com/hzi-braunschweig/SORMAS-Project", "show")</f>
        <v>show</v>
      </c>
      <c r="H7223" t="str">
        <f>HYPERLINK("https://github.com/hzi-braunschweig/SORMAS-Project/releases", "show")</f>
        <v>show</v>
      </c>
      <c r="I7223">
        <v>1</v>
      </c>
      <c r="J7223">
        <v>1</v>
      </c>
      <c r="K7223">
        <v>0</v>
      </c>
      <c r="L7223">
        <v>1</v>
      </c>
      <c r="M7223" t="s">
        <v>1894</v>
      </c>
    </row>
    <row r="7224" spans="1:13" hidden="1" x14ac:dyDescent="0.15">
      <c r="A7224" t="s">
        <v>22599</v>
      </c>
      <c r="B7224" t="s">
        <v>22600</v>
      </c>
      <c r="C7224" t="s">
        <v>22601</v>
      </c>
      <c r="D7224" t="s">
        <v>22587</v>
      </c>
      <c r="E7224">
        <v>0</v>
      </c>
      <c r="F7224" t="str">
        <f>HYPERLINK("https://github.com/TeamNewPipe/NewPipe/issues/3333", "show")</f>
        <v>show</v>
      </c>
      <c r="G7224" t="str">
        <f>HYPERLINK("https://github.com/TeamNewPipe/NewPipe", "show")</f>
        <v>show</v>
      </c>
      <c r="H7224" t="str">
        <f>HYPERLINK("https://github.com/TeamNewPipe/NewPipe/releases", "show")</f>
        <v>show</v>
      </c>
      <c r="I7224">
        <v>1</v>
      </c>
      <c r="J7224">
        <v>0</v>
      </c>
      <c r="K7224">
        <v>0</v>
      </c>
      <c r="L7224">
        <v>0</v>
      </c>
      <c r="M7224" t="s">
        <v>17</v>
      </c>
    </row>
    <row r="7225" spans="1:13" hidden="1" x14ac:dyDescent="0.15">
      <c r="A7225" t="s">
        <v>22602</v>
      </c>
      <c r="B7225" t="s">
        <v>22603</v>
      </c>
      <c r="C7225" t="s">
        <v>22604</v>
      </c>
      <c r="D7225" t="s">
        <v>22587</v>
      </c>
      <c r="E7225">
        <v>10</v>
      </c>
      <c r="F7225" t="str">
        <f>HYPERLINK("https://github.com/Blankj/AndroidUtilCode/issues/1213", "show")</f>
        <v>show</v>
      </c>
      <c r="G7225" t="str">
        <f>HYPERLINK("https://github.com/Blankj/AndroidUtilCode", "show")</f>
        <v>show</v>
      </c>
      <c r="H7225" t="str">
        <f>HYPERLINK("https://github.com/Blankj/AndroidUtilCode/releases", "show")</f>
        <v>show</v>
      </c>
      <c r="I7225">
        <v>1</v>
      </c>
      <c r="J7225">
        <v>0</v>
      </c>
      <c r="K7225">
        <v>0</v>
      </c>
      <c r="L7225">
        <v>0</v>
      </c>
      <c r="M7225" t="s">
        <v>17</v>
      </c>
    </row>
    <row r="7226" spans="1:13" hidden="1" x14ac:dyDescent="0.15">
      <c r="A7226" t="s">
        <v>22605</v>
      </c>
      <c r="B7226" t="s">
        <v>22606</v>
      </c>
      <c r="C7226" t="s">
        <v>22607</v>
      </c>
      <c r="D7226" t="s">
        <v>22608</v>
      </c>
      <c r="E7226">
        <v>2</v>
      </c>
      <c r="F7226" t="str">
        <f>HYPERLINK("https://github.com/ECE493-Group5/adjustable-audio/issues/100", "show")</f>
        <v>show</v>
      </c>
      <c r="G7226" t="str">
        <f>HYPERLINK("https://github.com/ECE493-Group5/adjustable-audio", "show")</f>
        <v>show</v>
      </c>
      <c r="H7226" t="str">
        <f>HYPERLINK("https://github.com/ECE493-Group5/adjustable-audio/releases", "show")</f>
        <v>show</v>
      </c>
      <c r="I7226">
        <v>1</v>
      </c>
      <c r="J7226">
        <v>0</v>
      </c>
      <c r="K7226">
        <v>0</v>
      </c>
      <c r="L7226">
        <v>0</v>
      </c>
      <c r="M7226" t="s">
        <v>17</v>
      </c>
    </row>
    <row r="7227" spans="1:13" hidden="1" x14ac:dyDescent="0.15">
      <c r="A7227" t="s">
        <v>22609</v>
      </c>
      <c r="B7227" t="s">
        <v>22610</v>
      </c>
      <c r="D7227" t="s">
        <v>22608</v>
      </c>
      <c r="E7227">
        <v>2</v>
      </c>
      <c r="F7227" t="str">
        <f>HYPERLINK("https://github.com/nathanww/ContactApp/issues/1", "show")</f>
        <v>show</v>
      </c>
      <c r="G7227" t="str">
        <f>HYPERLINK("https://github.com/nathanww/ContactApp", "show")</f>
        <v>show</v>
      </c>
      <c r="H7227" t="str">
        <f>HYPERLINK("https://github.com/nathanww/ContactApp/releases", "show")</f>
        <v>show</v>
      </c>
      <c r="I7227">
        <v>1</v>
      </c>
      <c r="J7227">
        <v>0</v>
      </c>
      <c r="K7227">
        <v>0</v>
      </c>
      <c r="L7227">
        <v>0</v>
      </c>
      <c r="M7227" t="s">
        <v>17</v>
      </c>
    </row>
    <row r="7228" spans="1:13" hidden="1" x14ac:dyDescent="0.15">
      <c r="A7228" t="s">
        <v>22611</v>
      </c>
      <c r="B7228" t="s">
        <v>22612</v>
      </c>
      <c r="C7228" t="s">
        <v>22613</v>
      </c>
      <c r="D7228" t="s">
        <v>22608</v>
      </c>
      <c r="E7228">
        <v>258</v>
      </c>
      <c r="F7228" t="str">
        <f>HYPERLINK("https://github.com/ubergeek42/weechat-android/issues/439", "show")</f>
        <v>show</v>
      </c>
      <c r="G7228" t="str">
        <f>HYPERLINK("https://github.com/ubergeek42/weechat-android", "show")</f>
        <v>show</v>
      </c>
      <c r="H7228" t="str">
        <f>HYPERLINK("https://github.com/ubergeek42/weechat-android/releases", "show")</f>
        <v>show</v>
      </c>
      <c r="I7228">
        <v>1</v>
      </c>
      <c r="J7228">
        <v>0</v>
      </c>
      <c r="K7228">
        <v>0</v>
      </c>
      <c r="L7228">
        <v>0</v>
      </c>
      <c r="M7228" t="s">
        <v>17</v>
      </c>
    </row>
    <row r="7229" spans="1:13" hidden="1" x14ac:dyDescent="0.15">
      <c r="A7229" t="s">
        <v>22614</v>
      </c>
      <c r="B7229" t="s">
        <v>22615</v>
      </c>
      <c r="C7229" t="s">
        <v>22616</v>
      </c>
      <c r="D7229" t="s">
        <v>22608</v>
      </c>
      <c r="E7229">
        <v>0</v>
      </c>
      <c r="F7229" t="str">
        <f>HYPERLINK("https://github.com/TeamNewPipe/NewPipe/issues/3323", "show")</f>
        <v>show</v>
      </c>
      <c r="G7229" t="str">
        <f>HYPERLINK("https://github.com/TeamNewPipe/NewPipe", "show")</f>
        <v>show</v>
      </c>
      <c r="H7229" t="str">
        <f>HYPERLINK("https://github.com/TeamNewPipe/NewPipe/releases", "show")</f>
        <v>show</v>
      </c>
      <c r="I7229">
        <v>1</v>
      </c>
      <c r="J7229">
        <v>0</v>
      </c>
      <c r="K7229">
        <v>1</v>
      </c>
      <c r="L7229">
        <v>0</v>
      </c>
      <c r="M7229" t="s">
        <v>64</v>
      </c>
    </row>
    <row r="7230" spans="1:13" hidden="1" x14ac:dyDescent="0.15">
      <c r="A7230" t="s">
        <v>22617</v>
      </c>
      <c r="B7230" t="s">
        <v>22618</v>
      </c>
      <c r="C7230" t="s">
        <v>22619</v>
      </c>
      <c r="D7230" t="s">
        <v>22608</v>
      </c>
      <c r="E7230">
        <v>0</v>
      </c>
      <c r="F7230" t="str">
        <f>HYPERLINK("https://github.com/TeamNewPipe/NewPipe/issues/3322", "show")</f>
        <v>show</v>
      </c>
      <c r="G7230" t="str">
        <f>HYPERLINK("https://github.com/TeamNewPipe/NewPipe", "show")</f>
        <v>show</v>
      </c>
      <c r="H7230" t="str">
        <f>HYPERLINK("https://github.com/TeamNewPipe/NewPipe/releases", "show")</f>
        <v>show</v>
      </c>
      <c r="I7230">
        <v>1</v>
      </c>
      <c r="J7230">
        <v>0</v>
      </c>
      <c r="K7230">
        <v>0</v>
      </c>
      <c r="L7230">
        <v>0</v>
      </c>
      <c r="M7230" t="s">
        <v>17</v>
      </c>
    </row>
    <row r="7231" spans="1:13" hidden="1" x14ac:dyDescent="0.15">
      <c r="A7231" t="s">
        <v>22620</v>
      </c>
      <c r="B7231" t="s">
        <v>22621</v>
      </c>
      <c r="C7231" t="s">
        <v>22622</v>
      </c>
      <c r="D7231" t="s">
        <v>22608</v>
      </c>
      <c r="E7231">
        <v>32</v>
      </c>
      <c r="F7231" t="str">
        <f>HYPERLINK("https://github.com/google/ExoPlayer/issues/7168", "show")</f>
        <v>show</v>
      </c>
      <c r="G7231" t="str">
        <f>HYPERLINK("https://github.com/google/ExoPlayer", "show")</f>
        <v>show</v>
      </c>
      <c r="H7231" t="str">
        <f>HYPERLINK("https://github.com/google/ExoPlayer/releases", "show")</f>
        <v>show</v>
      </c>
      <c r="I7231">
        <v>1</v>
      </c>
      <c r="J7231">
        <v>0</v>
      </c>
      <c r="K7231">
        <v>1</v>
      </c>
      <c r="L7231">
        <v>0</v>
      </c>
      <c r="M7231" t="s">
        <v>64</v>
      </c>
    </row>
    <row r="7232" spans="1:13" hidden="1" x14ac:dyDescent="0.15">
      <c r="A7232" t="s">
        <v>22623</v>
      </c>
      <c r="B7232" t="s">
        <v>22624</v>
      </c>
      <c r="C7232" t="s">
        <v>22625</v>
      </c>
      <c r="D7232" t="s">
        <v>22626</v>
      </c>
      <c r="E7232">
        <v>3</v>
      </c>
      <c r="F7232" t="str">
        <f>HYPERLINK("https://github.com/CMPUT301W20T07/arrival/issues/147", "show")</f>
        <v>show</v>
      </c>
      <c r="G7232" t="str">
        <f>HYPERLINK("https://github.com/CMPUT301W20T07/arrival", "show")</f>
        <v>show</v>
      </c>
      <c r="H7232" t="str">
        <f>HYPERLINK("https://github.com/CMPUT301W20T07/arrival/releases", "show")</f>
        <v>show</v>
      </c>
      <c r="I7232">
        <v>1</v>
      </c>
      <c r="J7232">
        <v>0</v>
      </c>
      <c r="K7232">
        <v>1</v>
      </c>
      <c r="L7232">
        <v>0</v>
      </c>
      <c r="M7232" t="s">
        <v>64</v>
      </c>
    </row>
    <row r="7233" spans="1:13" hidden="1" x14ac:dyDescent="0.15">
      <c r="A7233" t="s">
        <v>22627</v>
      </c>
      <c r="B7233" t="s">
        <v>22628</v>
      </c>
      <c r="C7233" t="s">
        <v>22629</v>
      </c>
      <c r="D7233" t="s">
        <v>22626</v>
      </c>
      <c r="E7233">
        <v>1</v>
      </c>
      <c r="F7233" t="str">
        <f>HYPERLINK("https://github.com/TeamNewPipe/NewPipe/issues/3320", "show")</f>
        <v>show</v>
      </c>
      <c r="G7233" t="str">
        <f>HYPERLINK("https://github.com/TeamNewPipe/NewPipe", "show")</f>
        <v>show</v>
      </c>
      <c r="H7233" t="str">
        <f>HYPERLINK("https://github.com/TeamNewPipe/NewPipe/releases", "show")</f>
        <v>show</v>
      </c>
      <c r="I7233">
        <v>1</v>
      </c>
      <c r="J7233">
        <v>0</v>
      </c>
      <c r="K7233">
        <v>0</v>
      </c>
      <c r="L7233">
        <v>0</v>
      </c>
      <c r="M7233" t="s">
        <v>17</v>
      </c>
    </row>
    <row r="7234" spans="1:13" hidden="1" x14ac:dyDescent="0.15">
      <c r="A7234" t="s">
        <v>22630</v>
      </c>
      <c r="B7234" t="s">
        <v>22631</v>
      </c>
      <c r="C7234" t="s">
        <v>22632</v>
      </c>
      <c r="D7234" t="s">
        <v>22626</v>
      </c>
      <c r="E7234">
        <v>8</v>
      </c>
      <c r="F7234" t="str">
        <f>HYPERLINK("https://github.com/PojavLauncherTeam/PojavLauncher/issues/33", "show")</f>
        <v>show</v>
      </c>
      <c r="G7234" t="str">
        <f>HYPERLINK("https://github.com/PojavLauncherTeam/PojavLauncher", "show")</f>
        <v>show</v>
      </c>
      <c r="H7234" t="str">
        <f>HYPERLINK("https://github.com/PojavLauncherTeam/PojavLauncher/releases", "show")</f>
        <v>show</v>
      </c>
      <c r="I7234">
        <v>1</v>
      </c>
      <c r="J7234">
        <v>0</v>
      </c>
      <c r="K7234">
        <v>0</v>
      </c>
      <c r="L7234">
        <v>0</v>
      </c>
      <c r="M7234" t="s">
        <v>17</v>
      </c>
    </row>
    <row r="7235" spans="1:13" hidden="1" x14ac:dyDescent="0.15">
      <c r="A7235" t="s">
        <v>22633</v>
      </c>
      <c r="B7235" t="s">
        <v>22634</v>
      </c>
      <c r="C7235" t="s">
        <v>22635</v>
      </c>
      <c r="D7235" t="s">
        <v>22626</v>
      </c>
      <c r="E7235">
        <v>13</v>
      </c>
      <c r="F7235" t="str">
        <f>HYPERLINK("https://github.com/PojavLauncherTeam/PojavLauncher/issues/32", "show")</f>
        <v>show</v>
      </c>
      <c r="G7235" t="str">
        <f>HYPERLINK("https://github.com/PojavLauncherTeam/PojavLauncher", "show")</f>
        <v>show</v>
      </c>
      <c r="H7235" t="str">
        <f>HYPERLINK("https://github.com/PojavLauncherTeam/PojavLauncher/releases", "show")</f>
        <v>show</v>
      </c>
      <c r="I7235">
        <v>1</v>
      </c>
      <c r="J7235">
        <v>0</v>
      </c>
      <c r="K7235">
        <v>0</v>
      </c>
      <c r="L7235">
        <v>0</v>
      </c>
      <c r="M7235" t="s">
        <v>17</v>
      </c>
    </row>
    <row r="7236" spans="1:13" hidden="1" x14ac:dyDescent="0.15">
      <c r="A7236" t="s">
        <v>22636</v>
      </c>
      <c r="B7236" t="s">
        <v>22637</v>
      </c>
      <c r="C7236" t="s">
        <v>22638</v>
      </c>
      <c r="D7236" t="s">
        <v>22626</v>
      </c>
      <c r="E7236">
        <v>21</v>
      </c>
      <c r="F7236" t="str">
        <f>HYPERLINK("https://github.com/nextcloud/android/issues/5785", "show")</f>
        <v>show</v>
      </c>
      <c r="G7236" t="str">
        <f>HYPERLINK("https://github.com/nextcloud/android", "show")</f>
        <v>show</v>
      </c>
      <c r="H7236" t="str">
        <f>HYPERLINK("https://github.com/nextcloud/android/releases", "show")</f>
        <v>show</v>
      </c>
      <c r="I7236">
        <v>1</v>
      </c>
      <c r="J7236">
        <v>1</v>
      </c>
      <c r="K7236">
        <v>1</v>
      </c>
      <c r="L7236">
        <v>0</v>
      </c>
      <c r="M7236" t="s">
        <v>59</v>
      </c>
    </row>
    <row r="7237" spans="1:13" hidden="1" x14ac:dyDescent="0.15">
      <c r="A7237" t="s">
        <v>22639</v>
      </c>
      <c r="B7237" t="s">
        <v>22640</v>
      </c>
      <c r="C7237" t="s">
        <v>22641</v>
      </c>
      <c r="D7237" t="s">
        <v>22626</v>
      </c>
      <c r="E7237">
        <v>100</v>
      </c>
      <c r="F7237" t="str">
        <f>HYPERLINK("https://github.com/TeamNewPipe/NewPipe/issues/3317", "show")</f>
        <v>show</v>
      </c>
      <c r="G7237" t="str">
        <f>HYPERLINK("https://github.com/TeamNewPipe/NewPipe", "show")</f>
        <v>show</v>
      </c>
      <c r="H7237" t="str">
        <f>HYPERLINK("https://github.com/TeamNewPipe/NewPipe/releases", "show")</f>
        <v>show</v>
      </c>
      <c r="I7237">
        <v>1</v>
      </c>
      <c r="J7237">
        <v>1</v>
      </c>
      <c r="K7237">
        <v>1</v>
      </c>
      <c r="L7237">
        <v>0</v>
      </c>
      <c r="M7237" t="s">
        <v>59</v>
      </c>
    </row>
    <row r="7238" spans="1:13" hidden="1" x14ac:dyDescent="0.15">
      <c r="A7238" t="s">
        <v>22642</v>
      </c>
      <c r="B7238" t="s">
        <v>22643</v>
      </c>
      <c r="C7238" t="s">
        <v>22644</v>
      </c>
      <c r="D7238" t="s">
        <v>22645</v>
      </c>
      <c r="E7238">
        <v>1</v>
      </c>
      <c r="F7238" t="str">
        <f>HYPERLINK("https://github.com/CMPUT301W20T22/EasyRide/issues/58", "show")</f>
        <v>show</v>
      </c>
      <c r="G7238" t="str">
        <f>HYPERLINK("https://github.com/CMPUT301W20T22/EasyRide", "show")</f>
        <v>show</v>
      </c>
      <c r="H7238" t="str">
        <f>HYPERLINK("https://github.com/CMPUT301W20T22/EasyRide/releases", "show")</f>
        <v>show</v>
      </c>
      <c r="I7238">
        <v>0</v>
      </c>
      <c r="J7238">
        <v>0</v>
      </c>
      <c r="K7238">
        <v>0</v>
      </c>
      <c r="L7238">
        <v>0</v>
      </c>
      <c r="M7238" t="s">
        <v>43</v>
      </c>
    </row>
    <row r="7239" spans="1:13" hidden="1" x14ac:dyDescent="0.15">
      <c r="A7239" t="s">
        <v>22646</v>
      </c>
      <c r="B7239" t="s">
        <v>22647</v>
      </c>
      <c r="C7239" t="s">
        <v>22648</v>
      </c>
      <c r="D7239" t="s">
        <v>22645</v>
      </c>
      <c r="E7239">
        <v>3</v>
      </c>
      <c r="F7239" t="str">
        <f>HYPERLINK("https://github.com/CMPUT301W20T22/EasyRide/issues/56", "show")</f>
        <v>show</v>
      </c>
      <c r="G7239" t="str">
        <f>HYPERLINK("https://github.com/CMPUT301W20T22/EasyRide", "show")</f>
        <v>show</v>
      </c>
      <c r="H7239" t="str">
        <f>HYPERLINK("https://github.com/CMPUT301W20T22/EasyRide/releases", "show")</f>
        <v>show</v>
      </c>
      <c r="I7239">
        <v>1</v>
      </c>
      <c r="J7239">
        <v>0</v>
      </c>
      <c r="K7239">
        <v>0</v>
      </c>
      <c r="L7239">
        <v>0</v>
      </c>
      <c r="M7239" t="s">
        <v>17</v>
      </c>
    </row>
    <row r="7240" spans="1:13" hidden="1" x14ac:dyDescent="0.15">
      <c r="A7240" t="s">
        <v>22649</v>
      </c>
      <c r="B7240" t="s">
        <v>22650</v>
      </c>
      <c r="C7240" t="s">
        <v>22651</v>
      </c>
      <c r="D7240" t="s">
        <v>22645</v>
      </c>
      <c r="E7240">
        <v>140</v>
      </c>
      <c r="F7240" t="str">
        <f>HYPERLINK("https://github.com/amahi/android/issues/529", "show")</f>
        <v>show</v>
      </c>
      <c r="G7240" t="str">
        <f>HYPERLINK("https://github.com/amahi/android", "show")</f>
        <v>show</v>
      </c>
      <c r="H7240" t="str">
        <f>HYPERLINK("https://github.com/amahi/android/releases", "show")</f>
        <v>show</v>
      </c>
      <c r="I7240">
        <v>1</v>
      </c>
      <c r="J7240">
        <v>0</v>
      </c>
      <c r="K7240">
        <v>0</v>
      </c>
      <c r="L7240">
        <v>1</v>
      </c>
      <c r="M7240" t="s">
        <v>29</v>
      </c>
    </row>
    <row r="7241" spans="1:13" hidden="1" x14ac:dyDescent="0.15">
      <c r="A7241" t="s">
        <v>22652</v>
      </c>
      <c r="B7241" t="s">
        <v>22653</v>
      </c>
      <c r="C7241" t="s">
        <v>22654</v>
      </c>
      <c r="D7241" t="s">
        <v>22645</v>
      </c>
      <c r="E7241">
        <v>701</v>
      </c>
      <c r="F7241" t="str">
        <f>HYPERLINK("https://github.com/commons-app/apps-android-commons/issues/3607", "show")</f>
        <v>show</v>
      </c>
      <c r="G7241" t="str">
        <f>HYPERLINK("https://github.com/commons-app/apps-android-commons", "show")</f>
        <v>show</v>
      </c>
      <c r="H7241" t="str">
        <f>HYPERLINK("https://github.com/commons-app/apps-android-commons/releases", "show")</f>
        <v>show</v>
      </c>
      <c r="I7241">
        <v>0</v>
      </c>
      <c r="J7241">
        <v>1</v>
      </c>
      <c r="K7241">
        <v>1</v>
      </c>
      <c r="L7241">
        <v>0</v>
      </c>
      <c r="M7241" t="s">
        <v>699</v>
      </c>
    </row>
    <row r="7242" spans="1:13" hidden="1" x14ac:dyDescent="0.15">
      <c r="A7242" t="s">
        <v>22655</v>
      </c>
      <c r="B7242" t="s">
        <v>22656</v>
      </c>
      <c r="C7242" t="s">
        <v>22657</v>
      </c>
      <c r="D7242" t="s">
        <v>22645</v>
      </c>
      <c r="E7242">
        <v>1</v>
      </c>
      <c r="F7242" t="str">
        <f>HYPERLINK("https://github.com/eduvpn/android/issues/262", "show")</f>
        <v>show</v>
      </c>
      <c r="G7242" t="str">
        <f>HYPERLINK("https://github.com/eduvpn/android", "show")</f>
        <v>show</v>
      </c>
      <c r="H7242" t="str">
        <f>HYPERLINK("https://github.com/eduvpn/android/releases", "show")</f>
        <v>show</v>
      </c>
      <c r="I7242">
        <v>0</v>
      </c>
      <c r="J7242">
        <v>0</v>
      </c>
      <c r="K7242">
        <v>0</v>
      </c>
      <c r="L7242">
        <v>0</v>
      </c>
      <c r="M7242" t="s">
        <v>43</v>
      </c>
    </row>
    <row r="7243" spans="1:13" hidden="1" x14ac:dyDescent="0.15">
      <c r="A7243" t="s">
        <v>22658</v>
      </c>
      <c r="B7243" t="s">
        <v>22659</v>
      </c>
      <c r="C7243" t="s">
        <v>22660</v>
      </c>
      <c r="D7243" t="s">
        <v>22645</v>
      </c>
      <c r="E7243">
        <v>1</v>
      </c>
      <c r="F7243" t="str">
        <f>HYPERLINK("https://github.com/TeamNewPipe/NewPipe/issues/3303", "show")</f>
        <v>show</v>
      </c>
      <c r="G7243" t="str">
        <f>HYPERLINK("https://github.com/TeamNewPipe/NewPipe", "show")</f>
        <v>show</v>
      </c>
      <c r="H7243" t="str">
        <f>HYPERLINK("https://github.com/TeamNewPipe/NewPipe/releases", "show")</f>
        <v>show</v>
      </c>
      <c r="I7243">
        <v>1</v>
      </c>
      <c r="J7243">
        <v>1</v>
      </c>
      <c r="K7243">
        <v>1</v>
      </c>
      <c r="L7243">
        <v>0</v>
      </c>
      <c r="M7243" t="s">
        <v>59</v>
      </c>
    </row>
    <row r="7244" spans="1:13" hidden="1" x14ac:dyDescent="0.15">
      <c r="A7244" t="s">
        <v>22661</v>
      </c>
      <c r="B7244" t="s">
        <v>22662</v>
      </c>
      <c r="C7244" t="s">
        <v>22663</v>
      </c>
      <c r="D7244" t="s">
        <v>22645</v>
      </c>
      <c r="E7244">
        <v>578</v>
      </c>
      <c r="F7244" t="str">
        <f>HYPERLINK("https://github.com/bumptech/glide/issues/4165", "show")</f>
        <v>show</v>
      </c>
      <c r="G7244" t="str">
        <f>HYPERLINK("https://github.com/bumptech/glide", "show")</f>
        <v>show</v>
      </c>
      <c r="H7244" t="str">
        <f>HYPERLINK("https://github.com/bumptech/glide/releases", "show")</f>
        <v>show</v>
      </c>
      <c r="I7244">
        <v>1</v>
      </c>
      <c r="J7244">
        <v>0</v>
      </c>
      <c r="K7244">
        <v>0</v>
      </c>
      <c r="L7244">
        <v>0</v>
      </c>
      <c r="M7244" t="s">
        <v>17</v>
      </c>
    </row>
    <row r="7245" spans="1:13" hidden="1" x14ac:dyDescent="0.15">
      <c r="A7245" t="s">
        <v>22664</v>
      </c>
      <c r="B7245" t="s">
        <v>22665</v>
      </c>
      <c r="C7245" t="s">
        <v>22666</v>
      </c>
      <c r="D7245" t="s">
        <v>22645</v>
      </c>
      <c r="E7245">
        <v>74</v>
      </c>
      <c r="F7245" t="str">
        <f>HYPERLINK("https://github.com/react-native-camera/react-native-camera/issues/2773", "show")</f>
        <v>show</v>
      </c>
      <c r="G7245" t="str">
        <f>HYPERLINK("https://github.com/react-native-camera/react-native-camera", "show")</f>
        <v>show</v>
      </c>
      <c r="H7245" t="str">
        <f>HYPERLINK("https://github.com/react-native-camera/react-native-camera/releases", "show")</f>
        <v>show</v>
      </c>
      <c r="I7245">
        <v>1</v>
      </c>
      <c r="J7245">
        <v>0</v>
      </c>
      <c r="K7245">
        <v>0</v>
      </c>
      <c r="L7245">
        <v>0</v>
      </c>
      <c r="M7245" t="s">
        <v>17</v>
      </c>
    </row>
    <row r="7246" spans="1:13" hidden="1" x14ac:dyDescent="0.15">
      <c r="A7246" t="s">
        <v>22667</v>
      </c>
      <c r="B7246" t="s">
        <v>22668</v>
      </c>
      <c r="C7246" t="s">
        <v>22669</v>
      </c>
      <c r="D7246" t="s">
        <v>22645</v>
      </c>
      <c r="E7246">
        <v>0</v>
      </c>
      <c r="F7246" t="str">
        <f>HYPERLINK("https://github.com/nextcloud/android/issues/5771", "show")</f>
        <v>show</v>
      </c>
      <c r="G7246" t="str">
        <f>HYPERLINK("https://github.com/nextcloud/android", "show")</f>
        <v>show</v>
      </c>
      <c r="H7246" t="str">
        <f>HYPERLINK("https://github.com/nextcloud/android/releases", "show")</f>
        <v>show</v>
      </c>
      <c r="I7246">
        <v>0</v>
      </c>
      <c r="J7246">
        <v>1</v>
      </c>
      <c r="K7246">
        <v>1</v>
      </c>
      <c r="L7246">
        <v>0</v>
      </c>
      <c r="M7246" t="s">
        <v>699</v>
      </c>
    </row>
    <row r="7247" spans="1:13" hidden="1" x14ac:dyDescent="0.15">
      <c r="A7247" t="s">
        <v>22670</v>
      </c>
      <c r="B7247" t="s">
        <v>22671</v>
      </c>
      <c r="C7247" t="s">
        <v>22672</v>
      </c>
      <c r="D7247" t="s">
        <v>22645</v>
      </c>
      <c r="E7247">
        <v>1</v>
      </c>
      <c r="F7247" t="str">
        <f>HYPERLINK("https://github.com/condog190/5E-Initiative-Tracker/issues/115", "show")</f>
        <v>show</v>
      </c>
      <c r="G7247" t="str">
        <f>HYPERLINK("https://github.com/condog190/5E-Initiative-Tracker", "show")</f>
        <v>show</v>
      </c>
      <c r="H7247" t="str">
        <f>HYPERLINK("https://github.com/condog190/5E-Initiative-Tracker/releases", "show")</f>
        <v>show</v>
      </c>
      <c r="I7247">
        <v>1</v>
      </c>
      <c r="J7247">
        <v>0</v>
      </c>
      <c r="K7247">
        <v>0</v>
      </c>
      <c r="L7247">
        <v>0</v>
      </c>
      <c r="M7247" t="s">
        <v>17</v>
      </c>
    </row>
    <row r="7248" spans="1:13" hidden="1" x14ac:dyDescent="0.15">
      <c r="A7248" t="s">
        <v>22673</v>
      </c>
      <c r="B7248" t="s">
        <v>22674</v>
      </c>
      <c r="C7248" t="s">
        <v>22675</v>
      </c>
      <c r="D7248" t="s">
        <v>22676</v>
      </c>
      <c r="E7248">
        <v>5</v>
      </c>
      <c r="F7248" t="str">
        <f>HYPERLINK("https://github.com/cgeo/cgeo/issues/8167", "show")</f>
        <v>show</v>
      </c>
      <c r="G7248" t="str">
        <f>HYPERLINK("https://github.com/cgeo/cgeo", "show")</f>
        <v>show</v>
      </c>
      <c r="H7248" t="str">
        <f>HYPERLINK("https://github.com/cgeo/cgeo/releases", "show")</f>
        <v>show</v>
      </c>
      <c r="I7248">
        <v>1</v>
      </c>
      <c r="J7248">
        <v>1</v>
      </c>
      <c r="K7248">
        <v>0</v>
      </c>
      <c r="L7248">
        <v>0</v>
      </c>
      <c r="M7248" t="s">
        <v>48</v>
      </c>
    </row>
    <row r="7249" spans="1:13" hidden="1" x14ac:dyDescent="0.15">
      <c r="A7249" t="s">
        <v>22677</v>
      </c>
      <c r="B7249" t="s">
        <v>22678</v>
      </c>
      <c r="C7249" t="s">
        <v>22679</v>
      </c>
      <c r="D7249" t="s">
        <v>22676</v>
      </c>
      <c r="E7249">
        <v>1</v>
      </c>
      <c r="F7249" t="str">
        <f>HYPERLINK("https://github.com/google/ExoPlayer/issues/7160", "show")</f>
        <v>show</v>
      </c>
      <c r="G7249" t="str">
        <f>HYPERLINK("https://github.com/google/ExoPlayer", "show")</f>
        <v>show</v>
      </c>
      <c r="H7249" t="str">
        <f>HYPERLINK("https://github.com/google/ExoPlayer/releases", "show")</f>
        <v>show</v>
      </c>
      <c r="I7249">
        <v>1</v>
      </c>
      <c r="J7249">
        <v>1</v>
      </c>
      <c r="K7249">
        <v>1</v>
      </c>
      <c r="L7249">
        <v>0</v>
      </c>
      <c r="M7249" t="s">
        <v>59</v>
      </c>
    </row>
    <row r="7250" spans="1:13" hidden="1" x14ac:dyDescent="0.15">
      <c r="A7250" t="s">
        <v>22680</v>
      </c>
      <c r="B7250" t="s">
        <v>22681</v>
      </c>
      <c r="C7250" t="s">
        <v>22682</v>
      </c>
      <c r="D7250" t="s">
        <v>22676</v>
      </c>
      <c r="E7250">
        <v>1</v>
      </c>
      <c r="F7250" t="str">
        <f>HYPERLINK("https://github.com/nextcloud/android/issues/5766", "show")</f>
        <v>show</v>
      </c>
      <c r="G7250" t="str">
        <f>HYPERLINK("https://github.com/nextcloud/android", "show")</f>
        <v>show</v>
      </c>
      <c r="H7250" t="str">
        <f>HYPERLINK("https://github.com/nextcloud/android/releases", "show")</f>
        <v>show</v>
      </c>
      <c r="I7250">
        <v>1</v>
      </c>
      <c r="J7250">
        <v>1</v>
      </c>
      <c r="K7250">
        <v>1</v>
      </c>
      <c r="L7250">
        <v>0</v>
      </c>
      <c r="M7250" t="s">
        <v>59</v>
      </c>
    </row>
    <row r="7251" spans="1:13" hidden="1" x14ac:dyDescent="0.15">
      <c r="A7251" t="s">
        <v>22683</v>
      </c>
      <c r="B7251" t="s">
        <v>22684</v>
      </c>
      <c r="C7251" t="s">
        <v>22685</v>
      </c>
      <c r="D7251" t="s">
        <v>22676</v>
      </c>
      <c r="E7251">
        <v>4</v>
      </c>
      <c r="F7251" t="str">
        <f>HYPERLINK("https://github.com/nextcloud/android/issues/5764", "show")</f>
        <v>show</v>
      </c>
      <c r="G7251" t="str">
        <f>HYPERLINK("https://github.com/nextcloud/android", "show")</f>
        <v>show</v>
      </c>
      <c r="H7251" t="str">
        <f>HYPERLINK("https://github.com/nextcloud/android/releases", "show")</f>
        <v>show</v>
      </c>
      <c r="I7251">
        <v>0</v>
      </c>
      <c r="J7251">
        <v>1</v>
      </c>
      <c r="K7251">
        <v>1</v>
      </c>
      <c r="L7251">
        <v>0</v>
      </c>
      <c r="M7251" t="s">
        <v>699</v>
      </c>
    </row>
    <row r="7252" spans="1:13" hidden="1" x14ac:dyDescent="0.15">
      <c r="A7252" t="s">
        <v>22686</v>
      </c>
      <c r="B7252" t="s">
        <v>22687</v>
      </c>
      <c r="C7252" t="s">
        <v>22688</v>
      </c>
      <c r="D7252" t="s">
        <v>22689</v>
      </c>
      <c r="E7252">
        <v>0</v>
      </c>
      <c r="F7252" t="str">
        <f>HYPERLINK("https://github.com/TeamNewPipe/NewPipe/issues/3292", "show")</f>
        <v>show</v>
      </c>
      <c r="G7252" t="str">
        <f>HYPERLINK("https://github.com/TeamNewPipe/NewPipe", "show")</f>
        <v>show</v>
      </c>
      <c r="H7252" t="str">
        <f>HYPERLINK("https://github.com/TeamNewPipe/NewPipe/releases", "show")</f>
        <v>show</v>
      </c>
      <c r="I7252">
        <v>1</v>
      </c>
      <c r="J7252">
        <v>0</v>
      </c>
      <c r="K7252">
        <v>0</v>
      </c>
      <c r="L7252">
        <v>0</v>
      </c>
      <c r="M7252" t="s">
        <v>17</v>
      </c>
    </row>
    <row r="7253" spans="1:13" hidden="1" x14ac:dyDescent="0.15">
      <c r="A7253" t="s">
        <v>22690</v>
      </c>
      <c r="B7253" t="s">
        <v>22691</v>
      </c>
      <c r="C7253" t="s">
        <v>22692</v>
      </c>
      <c r="D7253" t="s">
        <v>22689</v>
      </c>
      <c r="E7253">
        <v>16</v>
      </c>
      <c r="F7253" t="str">
        <f>HYPERLINK("https://github.com/SkyTubeTeam/SkyTube/issues/712", "show")</f>
        <v>show</v>
      </c>
      <c r="G7253" t="str">
        <f>HYPERLINK("https://github.com/SkyTubeTeam/SkyTube", "show")</f>
        <v>show</v>
      </c>
      <c r="H7253" t="str">
        <f>HYPERLINK("https://github.com/SkyTubeTeam/SkyTube/releases", "show")</f>
        <v>show</v>
      </c>
      <c r="I7253">
        <v>0</v>
      </c>
      <c r="J7253">
        <v>0</v>
      </c>
      <c r="K7253">
        <v>1</v>
      </c>
      <c r="L7253">
        <v>0</v>
      </c>
      <c r="M7253" t="s">
        <v>122</v>
      </c>
    </row>
    <row r="7254" spans="1:13" hidden="1" x14ac:dyDescent="0.15">
      <c r="A7254" t="s">
        <v>22693</v>
      </c>
      <c r="B7254" t="s">
        <v>22694</v>
      </c>
      <c r="C7254" t="s">
        <v>22695</v>
      </c>
      <c r="D7254" t="s">
        <v>22689</v>
      </c>
      <c r="E7254">
        <v>13</v>
      </c>
      <c r="F7254" t="str">
        <f>HYPERLINK("https://github.com/X-dea/flutter_vpn/issues/45", "show")</f>
        <v>show</v>
      </c>
      <c r="G7254" t="str">
        <f>HYPERLINK("https://github.com/X-dea/flutter_vpn", "show")</f>
        <v>show</v>
      </c>
      <c r="H7254" t="str">
        <f>HYPERLINK("https://github.com/X-dea/flutter_vpn/releases", "show")</f>
        <v>show</v>
      </c>
      <c r="I7254">
        <v>1</v>
      </c>
      <c r="J7254">
        <v>0</v>
      </c>
      <c r="K7254">
        <v>0</v>
      </c>
      <c r="L7254">
        <v>0</v>
      </c>
      <c r="M7254" t="s">
        <v>17</v>
      </c>
    </row>
    <row r="7255" spans="1:13" hidden="1" x14ac:dyDescent="0.15">
      <c r="A7255" t="s">
        <v>22696</v>
      </c>
      <c r="B7255" t="s">
        <v>22697</v>
      </c>
      <c r="C7255" t="s">
        <v>22698</v>
      </c>
      <c r="D7255" t="s">
        <v>22699</v>
      </c>
      <c r="E7255">
        <v>1</v>
      </c>
      <c r="F7255" t="str">
        <f>HYPERLINK("https://github.com/SkyTubeTeam/SkyTube/issues/710", "show")</f>
        <v>show</v>
      </c>
      <c r="G7255" t="str">
        <f>HYPERLINK("https://github.com/SkyTubeTeam/SkyTube", "show")</f>
        <v>show</v>
      </c>
      <c r="H7255" t="str">
        <f>HYPERLINK("https://github.com/SkyTubeTeam/SkyTube/releases", "show")</f>
        <v>show</v>
      </c>
      <c r="I7255">
        <v>1</v>
      </c>
      <c r="J7255">
        <v>0</v>
      </c>
      <c r="K7255">
        <v>1</v>
      </c>
      <c r="L7255">
        <v>0</v>
      </c>
      <c r="M7255" t="s">
        <v>64</v>
      </c>
    </row>
    <row r="7256" spans="1:13" hidden="1" x14ac:dyDescent="0.15">
      <c r="A7256" t="s">
        <v>22700</v>
      </c>
      <c r="B7256" t="s">
        <v>22701</v>
      </c>
      <c r="C7256" t="s">
        <v>22702</v>
      </c>
      <c r="D7256" t="s">
        <v>22699</v>
      </c>
      <c r="E7256">
        <v>13</v>
      </c>
      <c r="F7256" t="str">
        <f>HYPERLINK("https://github.com/moberwasserlechner/capacitor-oauth2/issues/73", "show")</f>
        <v>show</v>
      </c>
      <c r="G7256" t="str">
        <f>HYPERLINK("https://github.com/moberwasserlechner/capacitor-oauth2", "show")</f>
        <v>show</v>
      </c>
      <c r="H7256" t="str">
        <f>HYPERLINK("https://github.com/moberwasserlechner/capacitor-oauth2/releases", "show")</f>
        <v>show</v>
      </c>
      <c r="I7256">
        <v>1</v>
      </c>
      <c r="J7256">
        <v>0</v>
      </c>
      <c r="K7256">
        <v>0</v>
      </c>
      <c r="L7256">
        <v>0</v>
      </c>
      <c r="M7256" t="s">
        <v>17</v>
      </c>
    </row>
    <row r="7257" spans="1:13" hidden="1" x14ac:dyDescent="0.15">
      <c r="A7257" t="s">
        <v>22703</v>
      </c>
      <c r="B7257" t="s">
        <v>22704</v>
      </c>
      <c r="C7257" t="s">
        <v>22705</v>
      </c>
      <c r="D7257" t="s">
        <v>22699</v>
      </c>
      <c r="E7257">
        <v>78</v>
      </c>
      <c r="F7257" t="str">
        <f>HYPERLINK("https://github.com/nextcloud/android/issues/5753", "show")</f>
        <v>show</v>
      </c>
      <c r="G7257" t="str">
        <f>HYPERLINK("https://github.com/nextcloud/android", "show")</f>
        <v>show</v>
      </c>
      <c r="H7257" t="str">
        <f>HYPERLINK("https://github.com/nextcloud/android/releases", "show")</f>
        <v>show</v>
      </c>
      <c r="I7257">
        <v>0</v>
      </c>
      <c r="J7257">
        <v>0</v>
      </c>
      <c r="K7257">
        <v>1</v>
      </c>
      <c r="L7257">
        <v>0</v>
      </c>
      <c r="M7257" t="s">
        <v>122</v>
      </c>
    </row>
    <row r="7258" spans="1:13" x14ac:dyDescent="0.15">
      <c r="A7258" t="s">
        <v>22706</v>
      </c>
      <c r="B7258" t="s">
        <v>22707</v>
      </c>
      <c r="C7258" t="s">
        <v>22708</v>
      </c>
      <c r="D7258" t="s">
        <v>22699</v>
      </c>
      <c r="E7258">
        <v>0</v>
      </c>
      <c r="F7258" t="str">
        <f>HYPERLINK("https://github.com/TeamNewPipe/NewPipe/issues/3280", "show")</f>
        <v>show</v>
      </c>
      <c r="G7258" t="str">
        <f>HYPERLINK("https://github.com/TeamNewPipe/NewPipe", "show")</f>
        <v>show</v>
      </c>
      <c r="H7258" t="str">
        <f>HYPERLINK("https://github.com/TeamNewPipe/NewPipe/releases", "show")</f>
        <v>show</v>
      </c>
      <c r="I7258">
        <v>0</v>
      </c>
      <c r="J7258">
        <v>1</v>
      </c>
      <c r="K7258">
        <v>0</v>
      </c>
      <c r="L7258">
        <v>0</v>
      </c>
      <c r="M7258" t="s">
        <v>139</v>
      </c>
    </row>
    <row r="7259" spans="1:13" hidden="1" x14ac:dyDescent="0.15">
      <c r="A7259" t="s">
        <v>22709</v>
      </c>
      <c r="B7259" t="s">
        <v>22710</v>
      </c>
      <c r="C7259" t="s">
        <v>22711</v>
      </c>
      <c r="D7259" t="s">
        <v>22699</v>
      </c>
      <c r="E7259">
        <v>14</v>
      </c>
      <c r="F7259" t="str">
        <f>HYPERLINK("https://github.com/material-components/material-components-android/issues/1159", "show")</f>
        <v>show</v>
      </c>
      <c r="G7259" t="str">
        <f>HYPERLINK("https://github.com/material-components/material-components-android", "show")</f>
        <v>show</v>
      </c>
      <c r="H7259" t="str">
        <f>HYPERLINK("https://github.com/material-components/material-components-android/releases", "show")</f>
        <v>show</v>
      </c>
      <c r="I7259">
        <v>1</v>
      </c>
      <c r="J7259">
        <v>1</v>
      </c>
      <c r="K7259">
        <v>0</v>
      </c>
      <c r="L7259">
        <v>1</v>
      </c>
      <c r="M7259" t="s">
        <v>1894</v>
      </c>
    </row>
    <row r="7260" spans="1:13" hidden="1" x14ac:dyDescent="0.15">
      <c r="A7260" t="s">
        <v>22712</v>
      </c>
      <c r="B7260" t="s">
        <v>22713</v>
      </c>
      <c r="C7260" t="s">
        <v>22714</v>
      </c>
      <c r="D7260" t="s">
        <v>22699</v>
      </c>
      <c r="E7260">
        <v>1</v>
      </c>
      <c r="F7260" t="str">
        <f>HYPERLINK("https://github.com/ECE493-Group5/adjustable-audio/issues/79", "show")</f>
        <v>show</v>
      </c>
      <c r="G7260" t="str">
        <f>HYPERLINK("https://github.com/ECE493-Group5/adjustable-audio", "show")</f>
        <v>show</v>
      </c>
      <c r="H7260" t="str">
        <f>HYPERLINK("https://github.com/ECE493-Group5/adjustable-audio/releases", "show")</f>
        <v>show</v>
      </c>
      <c r="I7260">
        <v>1</v>
      </c>
      <c r="J7260">
        <v>0</v>
      </c>
      <c r="K7260">
        <v>0</v>
      </c>
      <c r="L7260">
        <v>1</v>
      </c>
      <c r="M7260" t="s">
        <v>29</v>
      </c>
    </row>
    <row r="7261" spans="1:13" hidden="1" x14ac:dyDescent="0.15">
      <c r="A7261" t="s">
        <v>22715</v>
      </c>
      <c r="B7261" t="s">
        <v>22716</v>
      </c>
      <c r="C7261" t="s">
        <v>22717</v>
      </c>
      <c r="D7261" t="s">
        <v>22699</v>
      </c>
      <c r="E7261">
        <v>1</v>
      </c>
      <c r="F7261" t="str">
        <f>HYPERLINK("https://github.com/TeamNewPipe/NewPipe/issues/3279", "show")</f>
        <v>show</v>
      </c>
      <c r="G7261" t="str">
        <f>HYPERLINK("https://github.com/TeamNewPipe/NewPipe", "show")</f>
        <v>show</v>
      </c>
      <c r="H7261" t="str">
        <f>HYPERLINK("https://github.com/TeamNewPipe/NewPipe/releases", "show")</f>
        <v>show</v>
      </c>
      <c r="I7261">
        <v>0</v>
      </c>
      <c r="J7261">
        <v>0</v>
      </c>
      <c r="K7261">
        <v>0</v>
      </c>
      <c r="L7261">
        <v>0</v>
      </c>
      <c r="M7261" t="s">
        <v>43</v>
      </c>
    </row>
    <row r="7262" spans="1:13" hidden="1" x14ac:dyDescent="0.15">
      <c r="A7262" t="s">
        <v>22718</v>
      </c>
      <c r="B7262" t="s">
        <v>22719</v>
      </c>
      <c r="C7262" t="s">
        <v>22720</v>
      </c>
      <c r="D7262" t="s">
        <v>22699</v>
      </c>
      <c r="E7262">
        <v>3</v>
      </c>
      <c r="F7262" t="str">
        <f>HYPERLINK("https://github.com/ECE493-Group5/adjustable-audio/issues/76", "show")</f>
        <v>show</v>
      </c>
      <c r="G7262" t="str">
        <f>HYPERLINK("https://github.com/ECE493-Group5/adjustable-audio", "show")</f>
        <v>show</v>
      </c>
      <c r="H7262" t="str">
        <f>HYPERLINK("https://github.com/ECE493-Group5/adjustable-audio/releases", "show")</f>
        <v>show</v>
      </c>
      <c r="I7262">
        <v>1</v>
      </c>
      <c r="J7262">
        <v>0</v>
      </c>
      <c r="K7262">
        <v>0</v>
      </c>
      <c r="L7262">
        <v>1</v>
      </c>
      <c r="M7262" t="s">
        <v>29</v>
      </c>
    </row>
    <row r="7263" spans="1:13" hidden="1" x14ac:dyDescent="0.15">
      <c r="A7263" t="s">
        <v>22721</v>
      </c>
      <c r="B7263" t="s">
        <v>22722</v>
      </c>
      <c r="C7263" t="s">
        <v>22723</v>
      </c>
      <c r="D7263" t="s">
        <v>22724</v>
      </c>
      <c r="E7263">
        <v>44</v>
      </c>
      <c r="F7263" t="str">
        <f>HYPERLINK("https://github.com/nextcloud/android/issues/5749", "show")</f>
        <v>show</v>
      </c>
      <c r="G7263" t="str">
        <f>HYPERLINK("https://github.com/nextcloud/android", "show")</f>
        <v>show</v>
      </c>
      <c r="H7263" t="str">
        <f>HYPERLINK("https://github.com/nextcloud/android/releases", "show")</f>
        <v>show</v>
      </c>
      <c r="I7263">
        <v>1</v>
      </c>
      <c r="J7263">
        <v>1</v>
      </c>
      <c r="K7263">
        <v>1</v>
      </c>
      <c r="L7263">
        <v>0</v>
      </c>
      <c r="M7263" t="s">
        <v>59</v>
      </c>
    </row>
    <row r="7264" spans="1:13" x14ac:dyDescent="0.15">
      <c r="A7264" t="s">
        <v>22725</v>
      </c>
      <c r="B7264" t="s">
        <v>22726</v>
      </c>
      <c r="C7264" t="s">
        <v>22727</v>
      </c>
      <c r="D7264" t="s">
        <v>22724</v>
      </c>
      <c r="E7264">
        <v>1</v>
      </c>
      <c r="F7264" t="str">
        <f>HYPERLINK("https://github.com/nextcloud/android/issues/5747", "show")</f>
        <v>show</v>
      </c>
      <c r="G7264" t="str">
        <f>HYPERLINK("https://github.com/nextcloud/android", "show")</f>
        <v>show</v>
      </c>
      <c r="H7264" t="str">
        <f>HYPERLINK("https://github.com/nextcloud/android/releases", "show")</f>
        <v>show</v>
      </c>
      <c r="I7264">
        <v>0</v>
      </c>
      <c r="J7264">
        <v>1</v>
      </c>
      <c r="K7264">
        <v>0</v>
      </c>
      <c r="L7264">
        <v>0</v>
      </c>
      <c r="M7264" t="s">
        <v>139</v>
      </c>
    </row>
    <row r="7265" spans="1:13" hidden="1" x14ac:dyDescent="0.15">
      <c r="A7265" t="s">
        <v>22728</v>
      </c>
      <c r="B7265" t="s">
        <v>22729</v>
      </c>
      <c r="C7265" t="s">
        <v>22730</v>
      </c>
      <c r="D7265" t="s">
        <v>22724</v>
      </c>
      <c r="E7265">
        <v>2</v>
      </c>
      <c r="F7265" t="str">
        <f>HYPERLINK("https://github.com/TeamNewPipe/NewPipe/issues/3277", "show")</f>
        <v>show</v>
      </c>
      <c r="G7265" t="str">
        <f>HYPERLINK("https://github.com/TeamNewPipe/NewPipe", "show")</f>
        <v>show</v>
      </c>
      <c r="H7265" t="str">
        <f>HYPERLINK("https://github.com/TeamNewPipe/NewPipe/releases", "show")</f>
        <v>show</v>
      </c>
      <c r="I7265">
        <v>1</v>
      </c>
      <c r="J7265">
        <v>1</v>
      </c>
      <c r="K7265">
        <v>1</v>
      </c>
      <c r="L7265">
        <v>0</v>
      </c>
      <c r="M7265" t="s">
        <v>59</v>
      </c>
    </row>
    <row r="7266" spans="1:13" hidden="1" x14ac:dyDescent="0.15">
      <c r="A7266" t="s">
        <v>22731</v>
      </c>
      <c r="B7266" t="s">
        <v>22732</v>
      </c>
      <c r="C7266" t="s">
        <v>22733</v>
      </c>
      <c r="D7266" t="s">
        <v>22724</v>
      </c>
      <c r="E7266">
        <v>15</v>
      </c>
      <c r="F7266" t="str">
        <f>HYPERLINK("https://github.com/X-dea/flutter_vpn/issues/44", "show")</f>
        <v>show</v>
      </c>
      <c r="G7266" t="str">
        <f>HYPERLINK("https://github.com/X-dea/flutter_vpn", "show")</f>
        <v>show</v>
      </c>
      <c r="H7266" t="str">
        <f>HYPERLINK("https://github.com/X-dea/flutter_vpn/releases", "show")</f>
        <v>show</v>
      </c>
      <c r="I7266">
        <v>1</v>
      </c>
      <c r="J7266">
        <v>0</v>
      </c>
      <c r="K7266">
        <v>0</v>
      </c>
      <c r="L7266">
        <v>0</v>
      </c>
      <c r="M7266" t="s">
        <v>17</v>
      </c>
    </row>
    <row r="7267" spans="1:13" hidden="1" x14ac:dyDescent="0.15">
      <c r="A7267" t="s">
        <v>22734</v>
      </c>
      <c r="B7267" t="s">
        <v>22735</v>
      </c>
      <c r="C7267" t="s">
        <v>22736</v>
      </c>
      <c r="D7267" t="s">
        <v>22724</v>
      </c>
      <c r="E7267">
        <v>0</v>
      </c>
      <c r="F7267" t="str">
        <f>HYPERLINK("https://github.com/Concordia-Campus-Guide/Concordia-Campus-Guide/issues/155", "show")</f>
        <v>show</v>
      </c>
      <c r="G7267" t="str">
        <f>HYPERLINK("https://github.com/Concordia-Campus-Guide/Concordia-Campus-Guide", "show")</f>
        <v>show</v>
      </c>
      <c r="H7267" t="str">
        <f>HYPERLINK("https://github.com/Concordia-Campus-Guide/Concordia-Campus-Guide/releases", "show")</f>
        <v>show</v>
      </c>
      <c r="I7267">
        <v>1</v>
      </c>
      <c r="J7267">
        <v>1</v>
      </c>
      <c r="K7267">
        <v>0</v>
      </c>
      <c r="L7267">
        <v>1</v>
      </c>
      <c r="M7267" t="s">
        <v>1894</v>
      </c>
    </row>
    <row r="7268" spans="1:13" hidden="1" x14ac:dyDescent="0.15">
      <c r="A7268" t="s">
        <v>22737</v>
      </c>
      <c r="B7268" t="s">
        <v>22738</v>
      </c>
      <c r="C7268" t="s">
        <v>22739</v>
      </c>
      <c r="D7268" t="s">
        <v>22740</v>
      </c>
      <c r="E7268">
        <v>7</v>
      </c>
      <c r="F7268" t="str">
        <f>HYPERLINK("https://github.com/ionic-team/capacitor/issues/2639", "show")</f>
        <v>show</v>
      </c>
      <c r="G7268" t="str">
        <f>HYPERLINK("https://github.com/ionic-team/capacitor", "show")</f>
        <v>show</v>
      </c>
      <c r="H7268" t="str">
        <f>HYPERLINK("https://github.com/ionic-team/capacitor/releases", "show")</f>
        <v>show</v>
      </c>
      <c r="I7268">
        <v>1</v>
      </c>
      <c r="J7268">
        <v>0</v>
      </c>
      <c r="K7268">
        <v>0</v>
      </c>
      <c r="L7268">
        <v>0</v>
      </c>
      <c r="M7268" t="s">
        <v>17</v>
      </c>
    </row>
    <row r="7269" spans="1:13" hidden="1" x14ac:dyDescent="0.15">
      <c r="A7269" t="s">
        <v>22741</v>
      </c>
      <c r="B7269" t="s">
        <v>22742</v>
      </c>
      <c r="C7269" t="s">
        <v>22743</v>
      </c>
      <c r="D7269" t="s">
        <v>22740</v>
      </c>
      <c r="E7269">
        <v>1</v>
      </c>
      <c r="F7269" t="str">
        <f>HYPERLINK("https://github.com/ankidroid/Anki-Android/issues/5864", "show")</f>
        <v>show</v>
      </c>
      <c r="G7269" t="str">
        <f>HYPERLINK("https://github.com/ankidroid/Anki-Android", "show")</f>
        <v>show</v>
      </c>
      <c r="H7269" t="str">
        <f>HYPERLINK("https://github.com/ankidroid/Anki-Android/releases", "show")</f>
        <v>show</v>
      </c>
      <c r="I7269">
        <v>1</v>
      </c>
      <c r="J7269">
        <v>0</v>
      </c>
      <c r="K7269">
        <v>1</v>
      </c>
      <c r="L7269">
        <v>0</v>
      </c>
      <c r="M7269" t="s">
        <v>64</v>
      </c>
    </row>
    <row r="7270" spans="1:13" hidden="1" x14ac:dyDescent="0.15">
      <c r="A7270" t="s">
        <v>22744</v>
      </c>
      <c r="B7270" t="s">
        <v>22745</v>
      </c>
      <c r="C7270" t="s">
        <v>22746</v>
      </c>
      <c r="D7270" t="s">
        <v>22740</v>
      </c>
      <c r="E7270">
        <v>0</v>
      </c>
      <c r="F7270" t="str">
        <f>HYPERLINK("https://github.com/SkyTubeTeam/SkyTube/issues/702", "show")</f>
        <v>show</v>
      </c>
      <c r="G7270" t="str">
        <f>HYPERLINK("https://github.com/SkyTubeTeam/SkyTube", "show")</f>
        <v>show</v>
      </c>
      <c r="H7270" t="str">
        <f>HYPERLINK("https://github.com/SkyTubeTeam/SkyTube/releases", "show")</f>
        <v>show</v>
      </c>
      <c r="I7270">
        <v>0</v>
      </c>
      <c r="J7270">
        <v>1</v>
      </c>
      <c r="K7270">
        <v>1</v>
      </c>
      <c r="L7270">
        <v>1</v>
      </c>
      <c r="M7270" t="s">
        <v>427</v>
      </c>
    </row>
    <row r="7271" spans="1:13" hidden="1" x14ac:dyDescent="0.15">
      <c r="A7271" t="s">
        <v>22747</v>
      </c>
      <c r="B7271" t="s">
        <v>22748</v>
      </c>
      <c r="C7271" t="s">
        <v>22749</v>
      </c>
      <c r="D7271" t="s">
        <v>22740</v>
      </c>
      <c r="E7271">
        <v>32</v>
      </c>
      <c r="F7271" t="str">
        <f>HYPERLINK("https://github.com/BiglySoftware/BiglyBT-Android/issues/135", "show")</f>
        <v>show</v>
      </c>
      <c r="G7271" t="str">
        <f>HYPERLINK("https://github.com/BiglySoftware/BiglyBT-Android", "show")</f>
        <v>show</v>
      </c>
      <c r="H7271" t="str">
        <f>HYPERLINK("https://github.com/BiglySoftware/BiglyBT-Android/releases", "show")</f>
        <v>show</v>
      </c>
      <c r="I7271">
        <v>1</v>
      </c>
      <c r="J7271">
        <v>0</v>
      </c>
      <c r="K7271">
        <v>0</v>
      </c>
      <c r="L7271">
        <v>0</v>
      </c>
      <c r="M7271" t="s">
        <v>17</v>
      </c>
    </row>
    <row r="7272" spans="1:13" hidden="1" x14ac:dyDescent="0.15">
      <c r="A7272" t="s">
        <v>22750</v>
      </c>
      <c r="B7272" t="s">
        <v>22751</v>
      </c>
      <c r="C7272" t="s">
        <v>22752</v>
      </c>
      <c r="D7272" t="s">
        <v>22753</v>
      </c>
      <c r="E7272">
        <v>46</v>
      </c>
      <c r="F7272" t="str">
        <f>HYPERLINK("https://github.com/nextcloud/android/issues/5735", "show")</f>
        <v>show</v>
      </c>
      <c r="G7272" t="str">
        <f>HYPERLINK("https://github.com/nextcloud/android", "show")</f>
        <v>show</v>
      </c>
      <c r="H7272" t="str">
        <f>HYPERLINK("https://github.com/nextcloud/android/releases", "show")</f>
        <v>show</v>
      </c>
      <c r="I7272">
        <v>0</v>
      </c>
      <c r="J7272">
        <v>1</v>
      </c>
      <c r="K7272">
        <v>1</v>
      </c>
      <c r="L7272">
        <v>0</v>
      </c>
      <c r="M7272" t="s">
        <v>699</v>
      </c>
    </row>
    <row r="7273" spans="1:13" hidden="1" x14ac:dyDescent="0.15">
      <c r="A7273" t="s">
        <v>22754</v>
      </c>
      <c r="B7273" t="s">
        <v>22755</v>
      </c>
      <c r="C7273" t="s">
        <v>22756</v>
      </c>
      <c r="D7273" t="s">
        <v>22757</v>
      </c>
      <c r="E7273">
        <v>680</v>
      </c>
      <c r="F7273" t="str">
        <f>HYPERLINK("https://github.com/BogdanDinescu/EventiFind/issues/9", "show")</f>
        <v>show</v>
      </c>
      <c r="G7273" t="str">
        <f>HYPERLINK("https://github.com/BogdanDinescu/EventiFind", "show")</f>
        <v>show</v>
      </c>
      <c r="H7273" t="str">
        <f>HYPERLINK("https://github.com/BogdanDinescu/EventiFind/releases", "show")</f>
        <v>show</v>
      </c>
      <c r="I7273">
        <v>0</v>
      </c>
      <c r="J7273">
        <v>0</v>
      </c>
      <c r="K7273">
        <v>0</v>
      </c>
      <c r="L7273">
        <v>0</v>
      </c>
      <c r="M7273" t="s">
        <v>43</v>
      </c>
    </row>
    <row r="7274" spans="1:13" hidden="1" x14ac:dyDescent="0.15">
      <c r="A7274" t="s">
        <v>22758</v>
      </c>
      <c r="B7274" t="s">
        <v>22759</v>
      </c>
      <c r="C7274" t="s">
        <v>22760</v>
      </c>
      <c r="D7274" t="s">
        <v>22757</v>
      </c>
      <c r="E7274">
        <v>2</v>
      </c>
      <c r="F7274" t="str">
        <f>HYPERLINK("https://github.com/nextcloud/android/issues/5731", "show")</f>
        <v>show</v>
      </c>
      <c r="G7274" t="str">
        <f>HYPERLINK("https://github.com/nextcloud/android", "show")</f>
        <v>show</v>
      </c>
      <c r="H7274" t="str">
        <f>HYPERLINK("https://github.com/nextcloud/android/releases", "show")</f>
        <v>show</v>
      </c>
      <c r="I7274">
        <v>1</v>
      </c>
      <c r="J7274">
        <v>1</v>
      </c>
      <c r="K7274">
        <v>1</v>
      </c>
      <c r="L7274">
        <v>0</v>
      </c>
      <c r="M7274" t="s">
        <v>59</v>
      </c>
    </row>
    <row r="7275" spans="1:13" hidden="1" x14ac:dyDescent="0.15">
      <c r="A7275" t="s">
        <v>22761</v>
      </c>
      <c r="B7275" t="s">
        <v>22762</v>
      </c>
      <c r="C7275" t="s">
        <v>22763</v>
      </c>
      <c r="D7275" t="s">
        <v>22757</v>
      </c>
      <c r="E7275">
        <v>0</v>
      </c>
      <c r="F7275" t="str">
        <f>HYPERLINK("https://github.com/mit-cml/appinventor-sources/issues/2112", "show")</f>
        <v>show</v>
      </c>
      <c r="G7275" t="str">
        <f>HYPERLINK("https://github.com/mit-cml/appinventor-sources", "show")</f>
        <v>show</v>
      </c>
      <c r="H7275" t="str">
        <f>HYPERLINK("https://github.com/mit-cml/appinventor-sources/releases", "show")</f>
        <v>show</v>
      </c>
      <c r="I7275">
        <v>0</v>
      </c>
      <c r="J7275">
        <v>0</v>
      </c>
      <c r="K7275">
        <v>0</v>
      </c>
      <c r="L7275">
        <v>0</v>
      </c>
      <c r="M7275" t="s">
        <v>43</v>
      </c>
    </row>
    <row r="7276" spans="1:13" hidden="1" x14ac:dyDescent="0.15">
      <c r="A7276" t="s">
        <v>22764</v>
      </c>
      <c r="B7276" t="s">
        <v>22765</v>
      </c>
      <c r="C7276" t="s">
        <v>22766</v>
      </c>
      <c r="D7276" t="s">
        <v>22757</v>
      </c>
      <c r="E7276">
        <v>5</v>
      </c>
      <c r="F7276" t="str">
        <f>HYPERLINK("https://github.com/grpc/grpc-java/issues/6850", "show")</f>
        <v>show</v>
      </c>
      <c r="G7276" t="str">
        <f>HYPERLINK("https://github.com/grpc/grpc-java", "show")</f>
        <v>show</v>
      </c>
      <c r="H7276" t="str">
        <f>HYPERLINK("https://github.com/grpc/grpc-java/releases", "show")</f>
        <v>show</v>
      </c>
      <c r="I7276">
        <v>1</v>
      </c>
      <c r="J7276">
        <v>1</v>
      </c>
      <c r="K7276">
        <v>1</v>
      </c>
      <c r="L7276">
        <v>0</v>
      </c>
      <c r="M7276" t="s">
        <v>59</v>
      </c>
    </row>
    <row r="7277" spans="1:13" hidden="1" x14ac:dyDescent="0.15">
      <c r="A7277" t="s">
        <v>22767</v>
      </c>
      <c r="B7277" t="s">
        <v>22768</v>
      </c>
      <c r="C7277" t="s">
        <v>22769</v>
      </c>
      <c r="D7277" t="s">
        <v>22770</v>
      </c>
      <c r="E7277">
        <v>22</v>
      </c>
      <c r="F7277" t="str">
        <f>HYPERLINK("https://github.com/PhenoApps/Field-Book/issues/121", "show")</f>
        <v>show</v>
      </c>
      <c r="G7277" t="str">
        <f>HYPERLINK("https://github.com/PhenoApps/Field-Book", "show")</f>
        <v>show</v>
      </c>
      <c r="H7277" t="str">
        <f>HYPERLINK("https://github.com/PhenoApps/Field-Book/releases", "show")</f>
        <v>show</v>
      </c>
      <c r="I7277">
        <v>1</v>
      </c>
      <c r="J7277">
        <v>0</v>
      </c>
      <c r="K7277">
        <v>1</v>
      </c>
      <c r="L7277">
        <v>0</v>
      </c>
      <c r="M7277" t="s">
        <v>64</v>
      </c>
    </row>
    <row r="7278" spans="1:13" hidden="1" x14ac:dyDescent="0.15">
      <c r="A7278" t="s">
        <v>22771</v>
      </c>
      <c r="B7278" t="s">
        <v>22772</v>
      </c>
      <c r="C7278" t="s">
        <v>22773</v>
      </c>
      <c r="D7278" t="s">
        <v>22770</v>
      </c>
      <c r="E7278">
        <v>1</v>
      </c>
      <c r="F7278" t="str">
        <f>HYPERLINK("https://github.com/Concordia-Campus-Guide/Concordia-Campus-Guide/issues/141", "show")</f>
        <v>show</v>
      </c>
      <c r="G7278" t="str">
        <f>HYPERLINK("https://github.com/Concordia-Campus-Guide/Concordia-Campus-Guide", "show")</f>
        <v>show</v>
      </c>
      <c r="H7278" t="str">
        <f>HYPERLINK("https://github.com/Concordia-Campus-Guide/Concordia-Campus-Guide/releases", "show")</f>
        <v>show</v>
      </c>
      <c r="I7278">
        <v>1</v>
      </c>
      <c r="J7278">
        <v>1</v>
      </c>
      <c r="K7278">
        <v>0</v>
      </c>
      <c r="L7278">
        <v>1</v>
      </c>
      <c r="M7278" t="s">
        <v>1894</v>
      </c>
    </row>
    <row r="7279" spans="1:13" hidden="1" x14ac:dyDescent="0.15">
      <c r="A7279" t="s">
        <v>22774</v>
      </c>
      <c r="B7279" t="s">
        <v>22775</v>
      </c>
      <c r="C7279" t="s">
        <v>22776</v>
      </c>
      <c r="D7279" t="s">
        <v>22770</v>
      </c>
      <c r="E7279">
        <v>2</v>
      </c>
      <c r="F7279" t="str">
        <f>HYPERLINK("https://github.com/ECE493-Group5/adjustable-audio/issues/67", "show")</f>
        <v>show</v>
      </c>
      <c r="G7279" t="str">
        <f>HYPERLINK("https://github.com/ECE493-Group5/adjustable-audio", "show")</f>
        <v>show</v>
      </c>
      <c r="H7279" t="str">
        <f>HYPERLINK("https://github.com/ECE493-Group5/adjustable-audio/releases", "show")</f>
        <v>show</v>
      </c>
      <c r="I7279">
        <v>0</v>
      </c>
      <c r="J7279">
        <v>0</v>
      </c>
      <c r="K7279">
        <v>0</v>
      </c>
      <c r="L7279">
        <v>0</v>
      </c>
      <c r="M7279" t="s">
        <v>43</v>
      </c>
    </row>
    <row r="7280" spans="1:13" hidden="1" x14ac:dyDescent="0.15">
      <c r="A7280" t="s">
        <v>22777</v>
      </c>
      <c r="B7280" t="s">
        <v>22778</v>
      </c>
      <c r="C7280" t="s">
        <v>22779</v>
      </c>
      <c r="D7280" t="s">
        <v>22770</v>
      </c>
      <c r="E7280">
        <v>136</v>
      </c>
      <c r="F7280" t="str">
        <f>HYPERLINK("https://github.com/nextcloud/android/issues/5709", "show")</f>
        <v>show</v>
      </c>
      <c r="G7280" t="str">
        <f>HYPERLINK("https://github.com/nextcloud/android", "show")</f>
        <v>show</v>
      </c>
      <c r="H7280" t="str">
        <f>HYPERLINK("https://github.com/nextcloud/android/releases", "show")</f>
        <v>show</v>
      </c>
      <c r="I7280">
        <v>1</v>
      </c>
      <c r="J7280">
        <v>0</v>
      </c>
      <c r="K7280">
        <v>1</v>
      </c>
      <c r="L7280">
        <v>0</v>
      </c>
      <c r="M7280" t="s">
        <v>64</v>
      </c>
    </row>
    <row r="7281" spans="1:13" hidden="1" x14ac:dyDescent="0.15">
      <c r="A7281" t="s">
        <v>22780</v>
      </c>
      <c r="B7281" t="s">
        <v>22781</v>
      </c>
      <c r="C7281" t="s">
        <v>22782</v>
      </c>
      <c r="D7281" t="s">
        <v>22783</v>
      </c>
      <c r="E7281">
        <v>70</v>
      </c>
      <c r="F7281" t="str">
        <f>HYPERLINK("https://github.com/TeamNewPipe/NewPipe/issues/3255", "show")</f>
        <v>show</v>
      </c>
      <c r="G7281" t="str">
        <f>HYPERLINK("https://github.com/TeamNewPipe/NewPipe", "show")</f>
        <v>show</v>
      </c>
      <c r="H7281" t="str">
        <f>HYPERLINK("https://github.com/TeamNewPipe/NewPipe/releases", "show")</f>
        <v>show</v>
      </c>
      <c r="I7281">
        <v>1</v>
      </c>
      <c r="J7281">
        <v>0</v>
      </c>
      <c r="K7281">
        <v>0</v>
      </c>
      <c r="L7281">
        <v>0</v>
      </c>
      <c r="M7281" t="s">
        <v>17</v>
      </c>
    </row>
    <row r="7282" spans="1:13" hidden="1" x14ac:dyDescent="0.15">
      <c r="A7282" t="s">
        <v>22784</v>
      </c>
      <c r="B7282" t="s">
        <v>22785</v>
      </c>
      <c r="C7282" t="s">
        <v>22786</v>
      </c>
      <c r="D7282" t="s">
        <v>22783</v>
      </c>
      <c r="E7282">
        <v>37</v>
      </c>
      <c r="F7282" t="str">
        <f>HYPERLINK("https://github.com/Fr4gorSoftware/SecScanQR/issues/145", "show")</f>
        <v>show</v>
      </c>
      <c r="G7282" t="str">
        <f>HYPERLINK("https://github.com/Fr4gorSoftware/SecScanQR", "show")</f>
        <v>show</v>
      </c>
      <c r="H7282" t="str">
        <f>HYPERLINK("https://github.com/Fr4gorSoftware/SecScanQR/releases", "show")</f>
        <v>show</v>
      </c>
      <c r="I7282">
        <v>1</v>
      </c>
      <c r="J7282">
        <v>0</v>
      </c>
      <c r="K7282">
        <v>0</v>
      </c>
      <c r="L7282">
        <v>0</v>
      </c>
      <c r="M7282" t="s">
        <v>17</v>
      </c>
    </row>
    <row r="7283" spans="1:13" hidden="1" x14ac:dyDescent="0.15">
      <c r="A7283" t="s">
        <v>22787</v>
      </c>
      <c r="B7283" t="s">
        <v>22788</v>
      </c>
      <c r="C7283" t="s">
        <v>22789</v>
      </c>
      <c r="D7283" t="s">
        <v>22783</v>
      </c>
      <c r="E7283">
        <v>14</v>
      </c>
      <c r="F7283" t="str">
        <f>HYPERLINK("https://github.com/k9mail/k-9/issues/4620", "show")</f>
        <v>show</v>
      </c>
      <c r="G7283" t="str">
        <f>HYPERLINK("https://github.com/k9mail/k-9", "show")</f>
        <v>show</v>
      </c>
      <c r="H7283" t="str">
        <f>HYPERLINK("https://github.com/k9mail/k-9/releases", "show")</f>
        <v>show</v>
      </c>
      <c r="I7283">
        <v>1</v>
      </c>
      <c r="J7283">
        <v>1</v>
      </c>
      <c r="K7283">
        <v>1</v>
      </c>
      <c r="L7283">
        <v>0</v>
      </c>
      <c r="M7283" t="s">
        <v>59</v>
      </c>
    </row>
    <row r="7284" spans="1:13" x14ac:dyDescent="0.15">
      <c r="A7284" t="s">
        <v>22790</v>
      </c>
      <c r="B7284" t="s">
        <v>22791</v>
      </c>
      <c r="C7284" t="s">
        <v>22792</v>
      </c>
      <c r="D7284" t="s">
        <v>22793</v>
      </c>
      <c r="E7284">
        <v>1</v>
      </c>
      <c r="F7284" t="str">
        <f>HYPERLINK("https://github.com/nextcloud/android/issues/5699", "show")</f>
        <v>show</v>
      </c>
      <c r="G7284" t="str">
        <f>HYPERLINK("https://github.com/nextcloud/android", "show")</f>
        <v>show</v>
      </c>
      <c r="H7284" t="str">
        <f>HYPERLINK("https://github.com/nextcloud/android/releases", "show")</f>
        <v>show</v>
      </c>
      <c r="I7284">
        <v>0</v>
      </c>
      <c r="J7284">
        <v>1</v>
      </c>
      <c r="K7284">
        <v>0</v>
      </c>
      <c r="L7284">
        <v>0</v>
      </c>
      <c r="M7284" t="s">
        <v>139</v>
      </c>
    </row>
    <row r="7285" spans="1:13" hidden="1" x14ac:dyDescent="0.15">
      <c r="A7285" t="s">
        <v>22794</v>
      </c>
      <c r="B7285" t="s">
        <v>22795</v>
      </c>
      <c r="C7285" t="s">
        <v>22796</v>
      </c>
      <c r="D7285" t="s">
        <v>22797</v>
      </c>
      <c r="E7285">
        <v>9</v>
      </c>
      <c r="F7285" t="str">
        <f>HYPERLINK("https://github.com/CMPUT301W20T17/BeepBeep/issues/43", "show")</f>
        <v>show</v>
      </c>
      <c r="G7285" t="str">
        <f>HYPERLINK("https://github.com/CMPUT301W20T17/BeepBeep", "show")</f>
        <v>show</v>
      </c>
      <c r="H7285" t="str">
        <f>HYPERLINK("https://github.com/CMPUT301W20T17/BeepBeep/releases", "show")</f>
        <v>show</v>
      </c>
      <c r="I7285">
        <v>1</v>
      </c>
      <c r="J7285">
        <v>0</v>
      </c>
      <c r="K7285">
        <v>0</v>
      </c>
      <c r="L7285">
        <v>0</v>
      </c>
      <c r="M7285" t="s">
        <v>17</v>
      </c>
    </row>
    <row r="7286" spans="1:13" hidden="1" x14ac:dyDescent="0.15">
      <c r="A7286" t="s">
        <v>22798</v>
      </c>
      <c r="B7286" t="s">
        <v>22799</v>
      </c>
      <c r="C7286" t="s">
        <v>22800</v>
      </c>
      <c r="D7286" t="s">
        <v>22797</v>
      </c>
      <c r="E7286">
        <v>0</v>
      </c>
      <c r="F7286" t="str">
        <f>HYPERLINK("https://github.com/nextcloud/android/issues/5689", "show")</f>
        <v>show</v>
      </c>
      <c r="G7286" t="str">
        <f>HYPERLINK("https://github.com/nextcloud/android", "show")</f>
        <v>show</v>
      </c>
      <c r="H7286" t="str">
        <f>HYPERLINK("https://github.com/nextcloud/android/releases", "show")</f>
        <v>show</v>
      </c>
      <c r="I7286">
        <v>0</v>
      </c>
      <c r="J7286">
        <v>1</v>
      </c>
      <c r="K7286">
        <v>1</v>
      </c>
      <c r="L7286">
        <v>0</v>
      </c>
      <c r="M7286" t="s">
        <v>699</v>
      </c>
    </row>
    <row r="7287" spans="1:13" hidden="1" x14ac:dyDescent="0.15">
      <c r="A7287" t="s">
        <v>22801</v>
      </c>
      <c r="B7287" t="s">
        <v>22802</v>
      </c>
      <c r="C7287" t="s">
        <v>22803</v>
      </c>
      <c r="D7287" t="s">
        <v>22797</v>
      </c>
      <c r="E7287">
        <v>580</v>
      </c>
      <c r="F7287" t="str">
        <f>HYPERLINK("https://github.com/ankidroid/Anki-Android/issues/5836", "show")</f>
        <v>show</v>
      </c>
      <c r="G7287" t="str">
        <f>HYPERLINK("https://github.com/ankidroid/Anki-Android", "show")</f>
        <v>show</v>
      </c>
      <c r="H7287" t="str">
        <f>HYPERLINK("https://github.com/ankidroid/Anki-Android/releases", "show")</f>
        <v>show</v>
      </c>
      <c r="I7287">
        <v>1</v>
      </c>
      <c r="J7287">
        <v>0</v>
      </c>
      <c r="K7287">
        <v>0</v>
      </c>
      <c r="L7287">
        <v>0</v>
      </c>
      <c r="M7287" t="s">
        <v>17</v>
      </c>
    </row>
    <row r="7288" spans="1:13" hidden="1" x14ac:dyDescent="0.15">
      <c r="A7288" t="s">
        <v>22804</v>
      </c>
      <c r="B7288" t="s">
        <v>22805</v>
      </c>
      <c r="C7288" t="s">
        <v>22806</v>
      </c>
      <c r="D7288" t="s">
        <v>22797</v>
      </c>
      <c r="E7288">
        <v>6</v>
      </c>
      <c r="F7288" t="str">
        <f>HYPERLINK("https://github.com/google/ExoPlayer/issues/7108", "show")</f>
        <v>show</v>
      </c>
      <c r="G7288" t="str">
        <f>HYPERLINK("https://github.com/google/ExoPlayer", "show")</f>
        <v>show</v>
      </c>
      <c r="H7288" t="str">
        <f>HYPERLINK("https://github.com/google/ExoPlayer/releases", "show")</f>
        <v>show</v>
      </c>
      <c r="I7288">
        <v>1</v>
      </c>
      <c r="J7288">
        <v>0</v>
      </c>
      <c r="K7288">
        <v>1</v>
      </c>
      <c r="L7288">
        <v>0</v>
      </c>
      <c r="M7288" t="s">
        <v>64</v>
      </c>
    </row>
    <row r="7289" spans="1:13" hidden="1" x14ac:dyDescent="0.15">
      <c r="A7289" t="s">
        <v>22807</v>
      </c>
      <c r="B7289" t="s">
        <v>22808</v>
      </c>
      <c r="C7289" t="s">
        <v>22809</v>
      </c>
      <c r="D7289" t="s">
        <v>22797</v>
      </c>
      <c r="E7289">
        <v>5</v>
      </c>
      <c r="F7289" t="str">
        <f>HYPERLINK("https://github.com/CMPUT301W20T17/BeepBeep/issues/39", "show")</f>
        <v>show</v>
      </c>
      <c r="G7289" t="str">
        <f>HYPERLINK("https://github.com/CMPUT301W20T17/BeepBeep", "show")</f>
        <v>show</v>
      </c>
      <c r="H7289" t="str">
        <f>HYPERLINK("https://github.com/CMPUT301W20T17/BeepBeep/releases", "show")</f>
        <v>show</v>
      </c>
      <c r="I7289">
        <v>1</v>
      </c>
      <c r="J7289">
        <v>0</v>
      </c>
      <c r="K7289">
        <v>0</v>
      </c>
      <c r="L7289">
        <v>0</v>
      </c>
      <c r="M7289" t="s">
        <v>17</v>
      </c>
    </row>
    <row r="7290" spans="1:13" hidden="1" x14ac:dyDescent="0.15">
      <c r="A7290" t="s">
        <v>22810</v>
      </c>
      <c r="B7290" t="s">
        <v>22811</v>
      </c>
      <c r="C7290" t="s">
        <v>22812</v>
      </c>
      <c r="D7290" t="s">
        <v>22797</v>
      </c>
      <c r="E7290">
        <v>0</v>
      </c>
      <c r="F7290" t="str">
        <f>HYPERLINK("https://github.com/CMPUT301W20T17/BeepBeep/issues/38", "show")</f>
        <v>show</v>
      </c>
      <c r="G7290" t="str">
        <f>HYPERLINK("https://github.com/CMPUT301W20T17/BeepBeep", "show")</f>
        <v>show</v>
      </c>
      <c r="H7290" t="str">
        <f>HYPERLINK("https://github.com/CMPUT301W20T17/BeepBeep/releases", "show")</f>
        <v>show</v>
      </c>
      <c r="I7290">
        <v>1</v>
      </c>
      <c r="J7290">
        <v>0</v>
      </c>
      <c r="K7290">
        <v>1</v>
      </c>
      <c r="L7290">
        <v>0</v>
      </c>
      <c r="M7290" t="s">
        <v>64</v>
      </c>
    </row>
    <row r="7291" spans="1:13" hidden="1" x14ac:dyDescent="0.15">
      <c r="A7291" t="s">
        <v>22813</v>
      </c>
      <c r="B7291" t="s">
        <v>22814</v>
      </c>
      <c r="C7291" t="s">
        <v>22815</v>
      </c>
      <c r="D7291" t="s">
        <v>22797</v>
      </c>
      <c r="E7291">
        <v>7</v>
      </c>
      <c r="F7291" t="str">
        <f>HYPERLINK("https://github.com/Concordia-Campus-Guide/Concordia-Campus-Guide/issues/117", "show")</f>
        <v>show</v>
      </c>
      <c r="G7291" t="str">
        <f>HYPERLINK("https://github.com/Concordia-Campus-Guide/Concordia-Campus-Guide", "show")</f>
        <v>show</v>
      </c>
      <c r="H7291" t="str">
        <f>HYPERLINK("https://github.com/Concordia-Campus-Guide/Concordia-Campus-Guide/releases", "show")</f>
        <v>show</v>
      </c>
      <c r="I7291">
        <v>1</v>
      </c>
      <c r="J7291">
        <v>0</v>
      </c>
      <c r="K7291">
        <v>0</v>
      </c>
      <c r="L7291">
        <v>0</v>
      </c>
      <c r="M7291" t="s">
        <v>17</v>
      </c>
    </row>
    <row r="7292" spans="1:13" hidden="1" x14ac:dyDescent="0.15">
      <c r="A7292" t="s">
        <v>22816</v>
      </c>
      <c r="B7292" t="s">
        <v>22817</v>
      </c>
      <c r="C7292" t="s">
        <v>22818</v>
      </c>
      <c r="D7292" t="s">
        <v>22819</v>
      </c>
      <c r="E7292">
        <v>17</v>
      </c>
      <c r="F7292" t="str">
        <f>HYPERLINK("https://github.com/nextcloud/android/issues/5686", "show")</f>
        <v>show</v>
      </c>
      <c r="G7292" t="str">
        <f>HYPERLINK("https://github.com/nextcloud/android", "show")</f>
        <v>show</v>
      </c>
      <c r="H7292" t="str">
        <f>HYPERLINK("https://github.com/nextcloud/android/releases", "show")</f>
        <v>show</v>
      </c>
      <c r="I7292">
        <v>1</v>
      </c>
      <c r="J7292">
        <v>0</v>
      </c>
      <c r="K7292">
        <v>1</v>
      </c>
      <c r="L7292">
        <v>0</v>
      </c>
      <c r="M7292" t="s">
        <v>64</v>
      </c>
    </row>
    <row r="7293" spans="1:13" hidden="1" x14ac:dyDescent="0.15">
      <c r="A7293" t="s">
        <v>22820</v>
      </c>
      <c r="B7293" t="s">
        <v>22821</v>
      </c>
      <c r="C7293" t="s">
        <v>22822</v>
      </c>
      <c r="D7293" t="s">
        <v>22823</v>
      </c>
      <c r="E7293">
        <v>5</v>
      </c>
      <c r="F7293" t="str">
        <f>HYPERLINK("https://github.com/jaychenblue/scout-concordia/issues/170", "show")</f>
        <v>show</v>
      </c>
      <c r="G7293" t="str">
        <f>HYPERLINK("https://github.com/jaychenblue/scout-concordia", "show")</f>
        <v>show</v>
      </c>
      <c r="H7293" t="str">
        <f>HYPERLINK("https://github.com/jaychenblue/scout-concordia/releases", "show")</f>
        <v>show</v>
      </c>
      <c r="I7293">
        <v>0</v>
      </c>
      <c r="J7293">
        <v>1</v>
      </c>
      <c r="K7293">
        <v>0</v>
      </c>
      <c r="L7293">
        <v>1</v>
      </c>
      <c r="M7293" t="s">
        <v>1732</v>
      </c>
    </row>
    <row r="7294" spans="1:13" hidden="1" x14ac:dyDescent="0.15">
      <c r="A7294" t="s">
        <v>22824</v>
      </c>
      <c r="B7294" t="s">
        <v>22825</v>
      </c>
      <c r="C7294" t="s">
        <v>22826</v>
      </c>
      <c r="D7294" t="s">
        <v>22823</v>
      </c>
      <c r="E7294">
        <v>336</v>
      </c>
      <c r="F7294" t="str">
        <f>HYPERLINK("https://github.com/commons-app/apps-android-commons/issues/3531", "show")</f>
        <v>show</v>
      </c>
      <c r="G7294" t="str">
        <f>HYPERLINK("https://github.com/commons-app/apps-android-commons", "show")</f>
        <v>show</v>
      </c>
      <c r="H7294" t="str">
        <f>HYPERLINK("https://github.com/commons-app/apps-android-commons/releases", "show")</f>
        <v>show</v>
      </c>
      <c r="I7294">
        <v>1</v>
      </c>
      <c r="J7294">
        <v>1</v>
      </c>
      <c r="K7294">
        <v>1</v>
      </c>
      <c r="L7294">
        <v>0</v>
      </c>
      <c r="M7294" t="s">
        <v>59</v>
      </c>
    </row>
    <row r="7295" spans="1:13" hidden="1" x14ac:dyDescent="0.15">
      <c r="A7295" t="s">
        <v>22827</v>
      </c>
      <c r="B7295" t="s">
        <v>22828</v>
      </c>
      <c r="C7295" t="s">
        <v>22829</v>
      </c>
      <c r="D7295" t="s">
        <v>22823</v>
      </c>
      <c r="E7295">
        <v>1</v>
      </c>
      <c r="F7295" t="str">
        <f>HYPERLINK("https://github.com/wiglenet/wigle-wifi-wardriving/issues/410", "show")</f>
        <v>show</v>
      </c>
      <c r="G7295" t="str">
        <f>HYPERLINK("https://github.com/wiglenet/wigle-wifi-wardriving", "show")</f>
        <v>show</v>
      </c>
      <c r="H7295" t="str">
        <f>HYPERLINK("https://github.com/wiglenet/wigle-wifi-wardriving/releases", "show")</f>
        <v>show</v>
      </c>
      <c r="I7295">
        <v>0</v>
      </c>
      <c r="J7295">
        <v>0</v>
      </c>
      <c r="K7295">
        <v>0</v>
      </c>
      <c r="L7295">
        <v>0</v>
      </c>
      <c r="M7295" t="s">
        <v>43</v>
      </c>
    </row>
    <row r="7296" spans="1:13" hidden="1" x14ac:dyDescent="0.15">
      <c r="A7296" t="s">
        <v>22830</v>
      </c>
      <c r="B7296" t="s">
        <v>22831</v>
      </c>
      <c r="C7296" t="s">
        <v>22832</v>
      </c>
      <c r="D7296" t="s">
        <v>22823</v>
      </c>
      <c r="E7296">
        <v>500</v>
      </c>
      <c r="F7296" t="str">
        <f>HYPERLINK("https://github.com/nextcloud/android/issues/5669", "show")</f>
        <v>show</v>
      </c>
      <c r="G7296" t="str">
        <f>HYPERLINK("https://github.com/nextcloud/android", "show")</f>
        <v>show</v>
      </c>
      <c r="H7296" t="str">
        <f>HYPERLINK("https://github.com/nextcloud/android/releases", "show")</f>
        <v>show</v>
      </c>
      <c r="I7296">
        <v>1</v>
      </c>
      <c r="J7296">
        <v>0</v>
      </c>
      <c r="K7296">
        <v>1</v>
      </c>
      <c r="L7296">
        <v>0</v>
      </c>
      <c r="M7296" t="s">
        <v>64</v>
      </c>
    </row>
    <row r="7297" spans="1:13" hidden="1" x14ac:dyDescent="0.15">
      <c r="A7297" t="s">
        <v>22833</v>
      </c>
      <c r="B7297" t="s">
        <v>22834</v>
      </c>
      <c r="C7297" t="s">
        <v>22835</v>
      </c>
      <c r="D7297" t="s">
        <v>22823</v>
      </c>
      <c r="E7297">
        <v>0</v>
      </c>
      <c r="F7297" t="str">
        <f>HYPERLINK("https://github.com/nextcloud/android/issues/5666", "show")</f>
        <v>show</v>
      </c>
      <c r="G7297" t="str">
        <f>HYPERLINK("https://github.com/nextcloud/android", "show")</f>
        <v>show</v>
      </c>
      <c r="H7297" t="str">
        <f>HYPERLINK("https://github.com/nextcloud/android/releases", "show")</f>
        <v>show</v>
      </c>
      <c r="I7297">
        <v>1</v>
      </c>
      <c r="J7297">
        <v>1</v>
      </c>
      <c r="K7297">
        <v>1</v>
      </c>
      <c r="L7297">
        <v>0</v>
      </c>
      <c r="M7297" t="s">
        <v>59</v>
      </c>
    </row>
    <row r="7298" spans="1:13" hidden="1" x14ac:dyDescent="0.15">
      <c r="A7298" t="s">
        <v>22836</v>
      </c>
      <c r="B7298" t="s">
        <v>22837</v>
      </c>
      <c r="C7298" t="s">
        <v>22838</v>
      </c>
      <c r="D7298" t="s">
        <v>22839</v>
      </c>
      <c r="E7298">
        <v>1</v>
      </c>
      <c r="F7298" t="str">
        <f>HYPERLINK("https://github.com/cgeo/WhereYouGo/issues/86", "show")</f>
        <v>show</v>
      </c>
      <c r="G7298" t="str">
        <f>HYPERLINK("https://github.com/cgeo/WhereYouGo", "show")</f>
        <v>show</v>
      </c>
      <c r="H7298" t="str">
        <f>HYPERLINK("https://github.com/cgeo/WhereYouGo/releases", "show")</f>
        <v>show</v>
      </c>
      <c r="I7298">
        <v>1</v>
      </c>
      <c r="J7298">
        <v>1</v>
      </c>
      <c r="K7298">
        <v>0</v>
      </c>
      <c r="L7298">
        <v>1</v>
      </c>
      <c r="M7298" t="s">
        <v>1894</v>
      </c>
    </row>
    <row r="7299" spans="1:13" x14ac:dyDescent="0.15">
      <c r="A7299" t="s">
        <v>22840</v>
      </c>
      <c r="B7299" t="s">
        <v>22841</v>
      </c>
      <c r="C7299" t="s">
        <v>22842</v>
      </c>
      <c r="D7299" t="s">
        <v>22839</v>
      </c>
      <c r="E7299">
        <v>1</v>
      </c>
      <c r="F7299" t="str">
        <f>HYPERLINK("https://github.com/opensrp/opensrp-client-chw-hf/issues/55", "show")</f>
        <v>show</v>
      </c>
      <c r="G7299" t="str">
        <f>HYPERLINK("https://github.com/opensrp/opensrp-client-chw-hf", "show")</f>
        <v>show</v>
      </c>
      <c r="H7299" t="str">
        <f>HYPERLINK("https://github.com/opensrp/opensrp-client-chw-hf/releases", "show")</f>
        <v>show</v>
      </c>
      <c r="I7299">
        <v>0</v>
      </c>
      <c r="J7299">
        <v>1</v>
      </c>
      <c r="K7299">
        <v>0</v>
      </c>
      <c r="L7299">
        <v>0</v>
      </c>
      <c r="M7299" t="s">
        <v>139</v>
      </c>
    </row>
    <row r="7300" spans="1:13" x14ac:dyDescent="0.15">
      <c r="A7300" t="s">
        <v>22843</v>
      </c>
      <c r="B7300" t="s">
        <v>22841</v>
      </c>
      <c r="C7300" t="s">
        <v>22842</v>
      </c>
      <c r="D7300" t="s">
        <v>22839</v>
      </c>
      <c r="E7300">
        <v>0</v>
      </c>
      <c r="F7300" t="str">
        <f>HYPERLINK("https://github.com/opensrp/opensrp-client-chw-family-planning/issues/62", "show")</f>
        <v>show</v>
      </c>
      <c r="G7300" t="str">
        <f>HYPERLINK("https://github.com/opensrp/opensrp-client-chw-family-planning", "show")</f>
        <v>show</v>
      </c>
      <c r="H7300" t="str">
        <f>HYPERLINK("https://github.com/opensrp/opensrp-client-chw-family-planning/releases", "show")</f>
        <v>show</v>
      </c>
      <c r="I7300">
        <v>0</v>
      </c>
      <c r="J7300">
        <v>1</v>
      </c>
      <c r="K7300">
        <v>0</v>
      </c>
      <c r="L7300">
        <v>0</v>
      </c>
      <c r="M7300" t="s">
        <v>139</v>
      </c>
    </row>
    <row r="7301" spans="1:13" hidden="1" x14ac:dyDescent="0.15">
      <c r="A7301" t="s">
        <v>22844</v>
      </c>
      <c r="B7301" t="s">
        <v>22845</v>
      </c>
      <c r="C7301" t="s">
        <v>22846</v>
      </c>
      <c r="D7301" t="s">
        <v>22847</v>
      </c>
      <c r="E7301">
        <v>4</v>
      </c>
      <c r="F7301" t="str">
        <f>HYPERLINK("https://github.com/CMPUT301W20T07/arrival/issues/83", "show")</f>
        <v>show</v>
      </c>
      <c r="G7301" t="str">
        <f>HYPERLINK("https://github.com/CMPUT301W20T07/arrival", "show")</f>
        <v>show</v>
      </c>
      <c r="H7301" t="str">
        <f>HYPERLINK("https://github.com/CMPUT301W20T07/arrival/releases", "show")</f>
        <v>show</v>
      </c>
      <c r="I7301">
        <v>1</v>
      </c>
      <c r="J7301">
        <v>0</v>
      </c>
      <c r="K7301">
        <v>0</v>
      </c>
      <c r="L7301">
        <v>0</v>
      </c>
      <c r="M7301" t="s">
        <v>17</v>
      </c>
    </row>
    <row r="7302" spans="1:13" hidden="1" x14ac:dyDescent="0.15">
      <c r="A7302" t="s">
        <v>22848</v>
      </c>
      <c r="B7302" t="s">
        <v>22849</v>
      </c>
      <c r="C7302" t="s">
        <v>22850</v>
      </c>
      <c r="D7302" t="s">
        <v>22851</v>
      </c>
      <c r="E7302">
        <v>1</v>
      </c>
      <c r="F7302" t="str">
        <f>HYPERLINK("https://github.com/MakerStation/FabCatApp/issues/4", "show")</f>
        <v>show</v>
      </c>
      <c r="G7302" t="str">
        <f>HYPERLINK("https://github.com/MakerStation/FabCatApp", "show")</f>
        <v>show</v>
      </c>
      <c r="H7302" t="str">
        <f>HYPERLINK("https://github.com/MakerStation/FabCatApp/releases", "show")</f>
        <v>show</v>
      </c>
      <c r="I7302">
        <v>0</v>
      </c>
      <c r="J7302">
        <v>0</v>
      </c>
      <c r="K7302">
        <v>0</v>
      </c>
      <c r="L7302">
        <v>0</v>
      </c>
      <c r="M7302" t="s">
        <v>43</v>
      </c>
    </row>
    <row r="7303" spans="1:13" hidden="1" x14ac:dyDescent="0.15">
      <c r="A7303" t="s">
        <v>22852</v>
      </c>
      <c r="B7303" t="s">
        <v>22853</v>
      </c>
      <c r="C7303" t="s">
        <v>22854</v>
      </c>
      <c r="D7303" t="s">
        <v>22851</v>
      </c>
      <c r="E7303">
        <v>1</v>
      </c>
      <c r="F7303" t="str">
        <f>HYPERLINK("https://github.com/MakerStation/FabCatApp/issues/3", "show")</f>
        <v>show</v>
      </c>
      <c r="G7303" t="str">
        <f>HYPERLINK("https://github.com/MakerStation/FabCatApp", "show")</f>
        <v>show</v>
      </c>
      <c r="H7303" t="str">
        <f>HYPERLINK("https://github.com/MakerStation/FabCatApp/releases", "show")</f>
        <v>show</v>
      </c>
      <c r="I7303">
        <v>1</v>
      </c>
      <c r="J7303">
        <v>0</v>
      </c>
      <c r="K7303">
        <v>0</v>
      </c>
      <c r="L7303">
        <v>0</v>
      </c>
      <c r="M7303" t="s">
        <v>17</v>
      </c>
    </row>
    <row r="7304" spans="1:13" x14ac:dyDescent="0.15">
      <c r="A7304" t="s">
        <v>22855</v>
      </c>
      <c r="B7304" t="s">
        <v>22856</v>
      </c>
      <c r="C7304" t="s">
        <v>22792</v>
      </c>
      <c r="D7304" t="s">
        <v>22851</v>
      </c>
      <c r="E7304">
        <v>0</v>
      </c>
      <c r="F7304" t="str">
        <f>HYPERLINK("https://github.com/nextcloud/android/issues/5650", "show")</f>
        <v>show</v>
      </c>
      <c r="G7304" t="str">
        <f>HYPERLINK("https://github.com/nextcloud/android", "show")</f>
        <v>show</v>
      </c>
      <c r="H7304" t="str">
        <f>HYPERLINK("https://github.com/nextcloud/android/releases", "show")</f>
        <v>show</v>
      </c>
      <c r="I7304">
        <v>0</v>
      </c>
      <c r="J7304">
        <v>1</v>
      </c>
      <c r="K7304">
        <v>0</v>
      </c>
      <c r="L7304">
        <v>0</v>
      </c>
      <c r="M7304" t="s">
        <v>139</v>
      </c>
    </row>
    <row r="7305" spans="1:13" hidden="1" x14ac:dyDescent="0.15">
      <c r="A7305" t="s">
        <v>22857</v>
      </c>
      <c r="B7305" t="s">
        <v>22858</v>
      </c>
      <c r="C7305" t="s">
        <v>22859</v>
      </c>
      <c r="D7305" t="s">
        <v>22851</v>
      </c>
      <c r="E7305">
        <v>1</v>
      </c>
      <c r="F7305" t="str">
        <f>HYPERLINK("https://github.com/commons-app/apps-android-commons/issues/3507", "show")</f>
        <v>show</v>
      </c>
      <c r="G7305" t="str">
        <f>HYPERLINK("https://github.com/commons-app/apps-android-commons", "show")</f>
        <v>show</v>
      </c>
      <c r="H7305" t="str">
        <f>HYPERLINK("https://github.com/commons-app/apps-android-commons/releases", "show")</f>
        <v>show</v>
      </c>
      <c r="I7305">
        <v>1</v>
      </c>
      <c r="J7305">
        <v>0</v>
      </c>
      <c r="K7305">
        <v>1</v>
      </c>
      <c r="L7305">
        <v>0</v>
      </c>
      <c r="M7305" t="s">
        <v>64</v>
      </c>
    </row>
    <row r="7306" spans="1:13" hidden="1" x14ac:dyDescent="0.15">
      <c r="A7306" t="s">
        <v>22860</v>
      </c>
      <c r="B7306" t="s">
        <v>4312</v>
      </c>
      <c r="C7306" t="s">
        <v>22861</v>
      </c>
      <c r="D7306" t="s">
        <v>22862</v>
      </c>
      <c r="E7306">
        <v>18</v>
      </c>
      <c r="F7306" t="str">
        <f>HYPERLINK("https://github.com/nextcloud/android/issues/5647", "show")</f>
        <v>show</v>
      </c>
      <c r="G7306" t="str">
        <f>HYPERLINK("https://github.com/nextcloud/android", "show")</f>
        <v>show</v>
      </c>
      <c r="H7306" t="str">
        <f>HYPERLINK("https://github.com/nextcloud/android/releases", "show")</f>
        <v>show</v>
      </c>
      <c r="I7306">
        <v>0</v>
      </c>
      <c r="J7306">
        <v>0</v>
      </c>
      <c r="K7306">
        <v>1</v>
      </c>
      <c r="L7306">
        <v>0</v>
      </c>
      <c r="M7306" t="s">
        <v>122</v>
      </c>
    </row>
    <row r="7307" spans="1:13" hidden="1" x14ac:dyDescent="0.15">
      <c r="A7307" t="s">
        <v>22863</v>
      </c>
      <c r="B7307" t="s">
        <v>22864</v>
      </c>
      <c r="C7307" t="s">
        <v>22865</v>
      </c>
      <c r="D7307" t="s">
        <v>22862</v>
      </c>
      <c r="E7307">
        <v>13</v>
      </c>
      <c r="F7307" t="str">
        <f>HYPERLINK("https://github.com/trojan-gfw/igniter/issues/117", "show")</f>
        <v>show</v>
      </c>
      <c r="G7307" t="str">
        <f>HYPERLINK("https://github.com/trojan-gfw/igniter", "show")</f>
        <v>show</v>
      </c>
      <c r="H7307" t="str">
        <f>HYPERLINK("https://github.com/trojan-gfw/igniter/releases", "show")</f>
        <v>show</v>
      </c>
      <c r="I7307">
        <v>0</v>
      </c>
      <c r="J7307">
        <v>0</v>
      </c>
      <c r="K7307">
        <v>0</v>
      </c>
      <c r="L7307">
        <v>0</v>
      </c>
      <c r="M7307" t="s">
        <v>43</v>
      </c>
    </row>
    <row r="7308" spans="1:13" hidden="1" x14ac:dyDescent="0.15">
      <c r="A7308" t="s">
        <v>22866</v>
      </c>
      <c r="B7308" t="s">
        <v>22867</v>
      </c>
      <c r="C7308" t="s">
        <v>22868</v>
      </c>
      <c r="D7308" t="s">
        <v>22862</v>
      </c>
      <c r="E7308">
        <v>0</v>
      </c>
      <c r="F7308" t="str">
        <f>HYPERLINK("https://github.com/k3b/APhotoManager/issues/168", "show")</f>
        <v>show</v>
      </c>
      <c r="G7308" t="str">
        <f>HYPERLINK("https://github.com/k3b/APhotoManager", "show")</f>
        <v>show</v>
      </c>
      <c r="H7308" t="str">
        <f>HYPERLINK("https://github.com/k3b/APhotoManager/releases", "show")</f>
        <v>show</v>
      </c>
      <c r="I7308">
        <v>1</v>
      </c>
      <c r="J7308">
        <v>0</v>
      </c>
      <c r="K7308">
        <v>0</v>
      </c>
      <c r="L7308">
        <v>0</v>
      </c>
      <c r="M7308" t="s">
        <v>17</v>
      </c>
    </row>
    <row r="7309" spans="1:13" hidden="1" x14ac:dyDescent="0.15">
      <c r="A7309" t="s">
        <v>22869</v>
      </c>
      <c r="B7309" t="s">
        <v>22870</v>
      </c>
      <c r="C7309" t="s">
        <v>12185</v>
      </c>
      <c r="D7309" t="s">
        <v>22871</v>
      </c>
      <c r="E7309">
        <v>10</v>
      </c>
      <c r="F7309" t="str">
        <f>HYPERLINK("https://github.com/nextcloud/android/issues/5637", "show")</f>
        <v>show</v>
      </c>
      <c r="G7309" t="str">
        <f>HYPERLINK("https://github.com/nextcloud/android", "show")</f>
        <v>show</v>
      </c>
      <c r="H7309" t="str">
        <f>HYPERLINK("https://github.com/nextcloud/android/releases", "show")</f>
        <v>show</v>
      </c>
      <c r="I7309">
        <v>0</v>
      </c>
      <c r="J7309">
        <v>0</v>
      </c>
      <c r="K7309">
        <v>1</v>
      </c>
      <c r="L7309">
        <v>0</v>
      </c>
      <c r="M7309" t="s">
        <v>122</v>
      </c>
    </row>
    <row r="7310" spans="1:13" hidden="1" x14ac:dyDescent="0.15">
      <c r="A7310" t="s">
        <v>22872</v>
      </c>
      <c r="B7310" t="s">
        <v>22873</v>
      </c>
      <c r="C7310" t="s">
        <v>22874</v>
      </c>
      <c r="D7310" t="s">
        <v>22875</v>
      </c>
      <c r="E7310">
        <v>10</v>
      </c>
      <c r="F7310" t="str">
        <f>HYPERLINK("https://github.com/SanojPunchihewa/f5n/issues/136", "show")</f>
        <v>show</v>
      </c>
      <c r="G7310" t="str">
        <f>HYPERLINK("https://github.com/SanojPunchihewa/f5n", "show")</f>
        <v>show</v>
      </c>
      <c r="H7310" t="str">
        <f>HYPERLINK("https://github.com/SanojPunchihewa/f5n/releases", "show")</f>
        <v>show</v>
      </c>
      <c r="I7310">
        <v>1</v>
      </c>
      <c r="J7310">
        <v>1</v>
      </c>
      <c r="K7310">
        <v>0</v>
      </c>
      <c r="L7310">
        <v>0</v>
      </c>
      <c r="M7310" t="s">
        <v>48</v>
      </c>
    </row>
    <row r="7311" spans="1:13" hidden="1" x14ac:dyDescent="0.15">
      <c r="A7311" t="s">
        <v>22876</v>
      </c>
      <c r="B7311" t="s">
        <v>3180</v>
      </c>
      <c r="C7311" t="s">
        <v>22877</v>
      </c>
      <c r="D7311" t="s">
        <v>22875</v>
      </c>
      <c r="E7311">
        <v>0</v>
      </c>
      <c r="F7311" t="str">
        <f>HYPERLINK("https://github.com/nextcloud/android/issues/5618", "show")</f>
        <v>show</v>
      </c>
      <c r="G7311" t="str">
        <f>HYPERLINK("https://github.com/nextcloud/android", "show")</f>
        <v>show</v>
      </c>
      <c r="H7311" t="str">
        <f>HYPERLINK("https://github.com/nextcloud/android/releases", "show")</f>
        <v>show</v>
      </c>
      <c r="I7311">
        <v>0</v>
      </c>
      <c r="J7311">
        <v>0</v>
      </c>
      <c r="K7311">
        <v>1</v>
      </c>
      <c r="L7311">
        <v>0</v>
      </c>
      <c r="M7311" t="s">
        <v>122</v>
      </c>
    </row>
    <row r="7312" spans="1:13" hidden="1" x14ac:dyDescent="0.15">
      <c r="A7312" t="s">
        <v>22878</v>
      </c>
      <c r="B7312" t="s">
        <v>22879</v>
      </c>
      <c r="C7312" t="s">
        <v>22880</v>
      </c>
      <c r="D7312" t="s">
        <v>22875</v>
      </c>
      <c r="E7312">
        <v>18</v>
      </c>
      <c r="F7312" t="str">
        <f>HYPERLINK("https://github.com/nextcloud/android/issues/5615", "show")</f>
        <v>show</v>
      </c>
      <c r="G7312" t="str">
        <f>HYPERLINK("https://github.com/nextcloud/android", "show")</f>
        <v>show</v>
      </c>
      <c r="H7312" t="str">
        <f>HYPERLINK("https://github.com/nextcloud/android/releases", "show")</f>
        <v>show</v>
      </c>
      <c r="I7312">
        <v>1</v>
      </c>
      <c r="J7312">
        <v>1</v>
      </c>
      <c r="K7312">
        <v>1</v>
      </c>
      <c r="L7312">
        <v>0</v>
      </c>
      <c r="M7312" t="s">
        <v>59</v>
      </c>
    </row>
    <row r="7313" spans="1:13" hidden="1" x14ac:dyDescent="0.15">
      <c r="A7313" t="s">
        <v>22881</v>
      </c>
      <c r="B7313" t="s">
        <v>22882</v>
      </c>
      <c r="C7313" t="s">
        <v>22883</v>
      </c>
      <c r="D7313" t="s">
        <v>22884</v>
      </c>
      <c r="E7313">
        <v>2</v>
      </c>
      <c r="F7313" t="str">
        <f>HYPERLINK("https://github.com/condog190/5E-Initiative-Tracker/issues/98", "show")</f>
        <v>show</v>
      </c>
      <c r="G7313" t="str">
        <f>HYPERLINK("https://github.com/condog190/5E-Initiative-Tracker", "show")</f>
        <v>show</v>
      </c>
      <c r="H7313" t="str">
        <f>HYPERLINK("https://github.com/condog190/5E-Initiative-Tracker/releases", "show")</f>
        <v>show</v>
      </c>
      <c r="I7313">
        <v>1</v>
      </c>
      <c r="J7313">
        <v>0</v>
      </c>
      <c r="K7313">
        <v>0</v>
      </c>
      <c r="L7313">
        <v>0</v>
      </c>
      <c r="M7313" t="s">
        <v>17</v>
      </c>
    </row>
    <row r="7314" spans="1:13" hidden="1" x14ac:dyDescent="0.15">
      <c r="A7314" t="s">
        <v>22885</v>
      </c>
      <c r="B7314" t="s">
        <v>22886</v>
      </c>
      <c r="C7314" t="s">
        <v>22887</v>
      </c>
      <c r="D7314" t="s">
        <v>22884</v>
      </c>
      <c r="E7314">
        <v>0</v>
      </c>
      <c r="F7314" t="str">
        <f>HYPERLINK("https://github.com/condog190/5E-Initiative-Tracker/issues/95", "show")</f>
        <v>show</v>
      </c>
      <c r="G7314" t="str">
        <f>HYPERLINK("https://github.com/condog190/5E-Initiative-Tracker", "show")</f>
        <v>show</v>
      </c>
      <c r="H7314" t="str">
        <f>HYPERLINK("https://github.com/condog190/5E-Initiative-Tracker/releases", "show")</f>
        <v>show</v>
      </c>
      <c r="I7314">
        <v>1</v>
      </c>
      <c r="J7314">
        <v>0</v>
      </c>
      <c r="K7314">
        <v>0</v>
      </c>
      <c r="L7314">
        <v>0</v>
      </c>
      <c r="M7314" t="s">
        <v>17</v>
      </c>
    </row>
    <row r="7315" spans="1:13" hidden="1" x14ac:dyDescent="0.15">
      <c r="A7315" t="s">
        <v>22888</v>
      </c>
      <c r="B7315" t="s">
        <v>22889</v>
      </c>
      <c r="C7315" t="s">
        <v>22890</v>
      </c>
      <c r="D7315" t="s">
        <v>22891</v>
      </c>
      <c r="E7315">
        <v>1</v>
      </c>
      <c r="F7315" t="str">
        <f>HYPERLINK("https://github.com/UCSD-CSE-110-2020/team-project-team-25/issues/193", "show")</f>
        <v>show</v>
      </c>
      <c r="G7315" t="str">
        <f>HYPERLINK("https://github.com/UCSD-CSE-110-2020/team-project-team-25", "show")</f>
        <v>show</v>
      </c>
      <c r="H7315" t="str">
        <f>HYPERLINK("https://github.com/UCSD-CSE-110-2020/team-project-team-25/releases", "show")</f>
        <v>show</v>
      </c>
      <c r="I7315">
        <v>1</v>
      </c>
      <c r="J7315">
        <v>0</v>
      </c>
      <c r="K7315">
        <v>0</v>
      </c>
      <c r="L7315">
        <v>0</v>
      </c>
      <c r="M7315" t="s">
        <v>17</v>
      </c>
    </row>
    <row r="7316" spans="1:13" hidden="1" x14ac:dyDescent="0.15">
      <c r="A7316" t="s">
        <v>22892</v>
      </c>
      <c r="B7316" t="s">
        <v>22893</v>
      </c>
      <c r="C7316" t="s">
        <v>22894</v>
      </c>
      <c r="D7316" t="s">
        <v>22891</v>
      </c>
      <c r="E7316">
        <v>22</v>
      </c>
      <c r="F7316" t="str">
        <f>HYPERLINK("https://github.com/oliexdev/openScale/issues/557", "show")</f>
        <v>show</v>
      </c>
      <c r="G7316" t="str">
        <f>HYPERLINK("https://github.com/oliexdev/openScale", "show")</f>
        <v>show</v>
      </c>
      <c r="H7316" t="str">
        <f>HYPERLINK("https://github.com/oliexdev/openScale/releases", "show")</f>
        <v>show</v>
      </c>
      <c r="I7316">
        <v>1</v>
      </c>
      <c r="J7316">
        <v>1</v>
      </c>
      <c r="K7316">
        <v>1</v>
      </c>
      <c r="L7316">
        <v>0</v>
      </c>
      <c r="M7316" t="s">
        <v>59</v>
      </c>
    </row>
    <row r="7317" spans="1:13" hidden="1" x14ac:dyDescent="0.15">
      <c r="A7317" t="s">
        <v>22895</v>
      </c>
      <c r="B7317" t="s">
        <v>22896</v>
      </c>
      <c r="C7317" t="s">
        <v>22897</v>
      </c>
      <c r="D7317" t="s">
        <v>22898</v>
      </c>
      <c r="E7317">
        <v>75</v>
      </c>
      <c r="F7317" t="str">
        <f>HYPERLINK("https://github.com/applivery/applivery-android-sdk/issues/57", "show")</f>
        <v>show</v>
      </c>
      <c r="G7317" t="str">
        <f>HYPERLINK("https://github.com/applivery/applivery-android-sdk", "show")</f>
        <v>show</v>
      </c>
      <c r="H7317" t="str">
        <f>HYPERLINK("https://github.com/applivery/applivery-android-sdk/releases", "show")</f>
        <v>show</v>
      </c>
      <c r="I7317">
        <v>0</v>
      </c>
      <c r="J7317">
        <v>1</v>
      </c>
      <c r="K7317">
        <v>1</v>
      </c>
      <c r="L7317">
        <v>0</v>
      </c>
      <c r="M7317" t="s">
        <v>699</v>
      </c>
    </row>
    <row r="7318" spans="1:13" hidden="1" x14ac:dyDescent="0.15">
      <c r="A7318" t="s">
        <v>22899</v>
      </c>
      <c r="B7318" t="s">
        <v>22900</v>
      </c>
      <c r="C7318" t="s">
        <v>22901</v>
      </c>
      <c r="D7318" t="s">
        <v>22898</v>
      </c>
      <c r="E7318">
        <v>6</v>
      </c>
      <c r="F7318" t="str">
        <f>HYPERLINK("https://github.com/broken-shotgun/run-lines/issues/15", "show")</f>
        <v>show</v>
      </c>
      <c r="G7318" t="str">
        <f>HYPERLINK("https://github.com/broken-shotgun/run-lines", "show")</f>
        <v>show</v>
      </c>
      <c r="H7318" t="str">
        <f>HYPERLINK("https://github.com/broken-shotgun/run-lines/releases", "show")</f>
        <v>show</v>
      </c>
      <c r="I7318">
        <v>0</v>
      </c>
      <c r="J7318">
        <v>0</v>
      </c>
      <c r="K7318">
        <v>0</v>
      </c>
      <c r="L7318">
        <v>0</v>
      </c>
      <c r="M7318" t="s">
        <v>43</v>
      </c>
    </row>
    <row r="7319" spans="1:13" hidden="1" x14ac:dyDescent="0.15">
      <c r="A7319" t="s">
        <v>22902</v>
      </c>
      <c r="B7319" t="s">
        <v>22903</v>
      </c>
      <c r="C7319" t="s">
        <v>22904</v>
      </c>
      <c r="D7319" t="s">
        <v>22905</v>
      </c>
      <c r="E7319">
        <v>0</v>
      </c>
      <c r="F7319" t="str">
        <f>HYPERLINK("https://github.com/rodit/SnapMod/issues/64", "show")</f>
        <v>show</v>
      </c>
      <c r="G7319" t="str">
        <f>HYPERLINK("https://github.com/rodit/SnapMod", "show")</f>
        <v>show</v>
      </c>
      <c r="H7319" t="str">
        <f>HYPERLINK("https://github.com/rodit/SnapMod/releases", "show")</f>
        <v>show</v>
      </c>
      <c r="I7319">
        <v>1</v>
      </c>
      <c r="J7319">
        <v>0</v>
      </c>
      <c r="K7319">
        <v>0</v>
      </c>
      <c r="L7319">
        <v>0</v>
      </c>
      <c r="M7319" t="s">
        <v>17</v>
      </c>
    </row>
    <row r="7320" spans="1:13" hidden="1" x14ac:dyDescent="0.15">
      <c r="A7320" t="s">
        <v>22906</v>
      </c>
      <c r="B7320" t="s">
        <v>22907</v>
      </c>
      <c r="C7320" t="s">
        <v>22908</v>
      </c>
      <c r="D7320" t="s">
        <v>22905</v>
      </c>
      <c r="E7320">
        <v>0</v>
      </c>
      <c r="F7320" t="str">
        <f>HYPERLINK("https://github.com/PojavLauncherTeam/PojavLauncher/issues/3141", "show")</f>
        <v>show</v>
      </c>
      <c r="G7320" t="str">
        <f>HYPERLINK("https://github.com/PojavLauncherTeam/PojavLauncher", "show")</f>
        <v>show</v>
      </c>
      <c r="H7320" t="str">
        <f>HYPERLINK("https://github.com/PojavLauncherTeam/PojavLauncher/releases", "show")</f>
        <v>show</v>
      </c>
      <c r="I7320">
        <v>1</v>
      </c>
      <c r="J7320">
        <v>1</v>
      </c>
      <c r="K7320">
        <v>0</v>
      </c>
      <c r="L7320">
        <v>0</v>
      </c>
      <c r="M7320" t="s">
        <v>48</v>
      </c>
    </row>
    <row r="7321" spans="1:13" hidden="1" x14ac:dyDescent="0.15">
      <c r="A7321" t="s">
        <v>22909</v>
      </c>
      <c r="B7321" t="s">
        <v>22910</v>
      </c>
      <c r="D7321" t="s">
        <v>22905</v>
      </c>
      <c r="E7321">
        <v>0</v>
      </c>
      <c r="F7321" t="str">
        <f>HYPERLINK("https://github.com/mtotschnig/MyExpenses/issues/964", "show")</f>
        <v>show</v>
      </c>
      <c r="G7321" t="str">
        <f>HYPERLINK("https://github.com/mtotschnig/MyExpenses", "show")</f>
        <v>show</v>
      </c>
      <c r="H7321" t="str">
        <f>HYPERLINK("https://github.com/mtotschnig/MyExpenses/releases", "show")</f>
        <v>show</v>
      </c>
      <c r="I7321">
        <v>1</v>
      </c>
      <c r="J7321">
        <v>0</v>
      </c>
      <c r="K7321">
        <v>0</v>
      </c>
      <c r="L7321">
        <v>0</v>
      </c>
      <c r="M7321" t="s">
        <v>17</v>
      </c>
    </row>
    <row r="7322" spans="1:13" hidden="1" x14ac:dyDescent="0.15">
      <c r="A7322" t="s">
        <v>22911</v>
      </c>
      <c r="B7322" t="s">
        <v>22912</v>
      </c>
      <c r="C7322" t="s">
        <v>22913</v>
      </c>
      <c r="D7322" t="s">
        <v>22914</v>
      </c>
      <c r="E7322">
        <v>0</v>
      </c>
      <c r="F7322" t="str">
        <f>HYPERLINK("https://github.com/PojavLauncherTeam/PojavLauncher/issues/3135", "show")</f>
        <v>show</v>
      </c>
      <c r="G7322" t="str">
        <f>HYPERLINK("https://github.com/PojavLauncherTeam/PojavLauncher", "show")</f>
        <v>show</v>
      </c>
      <c r="H7322" t="str">
        <f>HYPERLINK("https://github.com/PojavLauncherTeam/PojavLauncher/releases", "show")</f>
        <v>show</v>
      </c>
      <c r="I7322">
        <v>0</v>
      </c>
      <c r="J7322">
        <v>0</v>
      </c>
      <c r="K7322">
        <v>1</v>
      </c>
      <c r="L7322">
        <v>0</v>
      </c>
      <c r="M7322" t="s">
        <v>122</v>
      </c>
    </row>
    <row r="7323" spans="1:13" hidden="1" x14ac:dyDescent="0.15">
      <c r="A7323" t="s">
        <v>22915</v>
      </c>
      <c r="B7323" t="s">
        <v>22900</v>
      </c>
      <c r="C7323" t="s">
        <v>22916</v>
      </c>
      <c r="D7323" t="s">
        <v>22898</v>
      </c>
      <c r="E7323">
        <v>6</v>
      </c>
      <c r="F7323" t="str">
        <f>HYPERLINK("https://github.com/broken-shotgun/run-lines/issues/12", "show")</f>
        <v>show</v>
      </c>
      <c r="G7323" t="str">
        <f>HYPERLINK("https://github.com/broken-shotgun/run-lines", "show")</f>
        <v>show</v>
      </c>
      <c r="H7323" t="str">
        <f>HYPERLINK("https://github.com/broken-shotgun/run-lines/releases", "show")</f>
        <v>show</v>
      </c>
      <c r="I7323">
        <v>1</v>
      </c>
      <c r="J7323">
        <v>1</v>
      </c>
      <c r="K7323">
        <v>0</v>
      </c>
      <c r="L7323">
        <v>0</v>
      </c>
      <c r="M7323" t="s">
        <v>48</v>
      </c>
    </row>
    <row r="7324" spans="1:13" hidden="1" x14ac:dyDescent="0.15">
      <c r="A7324" t="s">
        <v>22917</v>
      </c>
      <c r="B7324" t="s">
        <v>22918</v>
      </c>
      <c r="C7324" t="s">
        <v>22919</v>
      </c>
      <c r="D7324" t="s">
        <v>22898</v>
      </c>
      <c r="E7324">
        <v>220</v>
      </c>
      <c r="F7324" t="str">
        <f>HYPERLINK("https://github.com/ankidroid/Anki-Android/issues/5794", "show")</f>
        <v>show</v>
      </c>
      <c r="G7324" t="str">
        <f>HYPERLINK("https://github.com/ankidroid/Anki-Android", "show")</f>
        <v>show</v>
      </c>
      <c r="H7324" t="str">
        <f>HYPERLINK("https://github.com/ankidroid/Anki-Android/releases", "show")</f>
        <v>show</v>
      </c>
      <c r="I7324">
        <v>1</v>
      </c>
      <c r="J7324">
        <v>1</v>
      </c>
      <c r="K7324">
        <v>0</v>
      </c>
      <c r="L7324">
        <v>0</v>
      </c>
      <c r="M7324" t="s">
        <v>48</v>
      </c>
    </row>
    <row r="7325" spans="1:13" hidden="1" x14ac:dyDescent="0.15">
      <c r="A7325" t="s">
        <v>22920</v>
      </c>
      <c r="B7325" t="s">
        <v>22921</v>
      </c>
      <c r="C7325" t="s">
        <v>22922</v>
      </c>
      <c r="D7325" t="s">
        <v>22898</v>
      </c>
      <c r="E7325">
        <v>3</v>
      </c>
      <c r="F7325" t="str">
        <f>HYPERLINK("https://github.com/castle/castle-android/issues/26", "show")</f>
        <v>show</v>
      </c>
      <c r="G7325" t="str">
        <f>HYPERLINK("https://github.com/castle/castle-android", "show")</f>
        <v>show</v>
      </c>
      <c r="H7325" t="str">
        <f>HYPERLINK("https://github.com/castle/castle-android/releases", "show")</f>
        <v>show</v>
      </c>
      <c r="I7325">
        <v>1</v>
      </c>
      <c r="J7325">
        <v>0</v>
      </c>
      <c r="K7325">
        <v>1</v>
      </c>
      <c r="L7325">
        <v>0</v>
      </c>
      <c r="M7325" t="s">
        <v>64</v>
      </c>
    </row>
    <row r="7326" spans="1:13" hidden="1" x14ac:dyDescent="0.15">
      <c r="A7326" t="s">
        <v>22923</v>
      </c>
      <c r="B7326" t="s">
        <v>22924</v>
      </c>
      <c r="C7326" t="s">
        <v>22925</v>
      </c>
      <c r="D7326" t="s">
        <v>22898</v>
      </c>
      <c r="E7326">
        <v>36</v>
      </c>
      <c r="F7326" t="str">
        <f>HYPERLINK("https://github.com/AthulKrishna14310/inlens_official/issues/43", "show")</f>
        <v>show</v>
      </c>
      <c r="G7326" t="str">
        <f>HYPERLINK("https://github.com/AthulKrishna14310/inlens_official", "show")</f>
        <v>show</v>
      </c>
      <c r="H7326" t="str">
        <f>HYPERLINK("https://github.com/AthulKrishna14310/inlens_official/releases", "show")</f>
        <v>show</v>
      </c>
      <c r="I7326">
        <v>0</v>
      </c>
      <c r="J7326">
        <v>0</v>
      </c>
      <c r="K7326">
        <v>0</v>
      </c>
      <c r="L7326">
        <v>0</v>
      </c>
      <c r="M7326" t="s">
        <v>43</v>
      </c>
    </row>
    <row r="7327" spans="1:13" hidden="1" x14ac:dyDescent="0.15">
      <c r="A7327" t="s">
        <v>22926</v>
      </c>
      <c r="B7327" t="s">
        <v>22927</v>
      </c>
      <c r="C7327" t="s">
        <v>22928</v>
      </c>
      <c r="D7327" t="s">
        <v>22898</v>
      </c>
      <c r="E7327">
        <v>61</v>
      </c>
      <c r="F7327" t="str">
        <f>HYPERLINK("https://github.com/andOTP/andOTP/issues/500", "show")</f>
        <v>show</v>
      </c>
      <c r="G7327" t="str">
        <f>HYPERLINK("https://github.com/andOTP/andOTP", "show")</f>
        <v>show</v>
      </c>
      <c r="H7327" t="str">
        <f>HYPERLINK("https://github.com/andOTP/andOTP/releases", "show")</f>
        <v>show</v>
      </c>
      <c r="I7327">
        <v>1</v>
      </c>
      <c r="J7327">
        <v>0</v>
      </c>
      <c r="K7327">
        <v>1</v>
      </c>
      <c r="L7327">
        <v>0</v>
      </c>
      <c r="M7327" t="s">
        <v>64</v>
      </c>
    </row>
    <row r="7328" spans="1:13" hidden="1" x14ac:dyDescent="0.15">
      <c r="A7328" t="s">
        <v>22929</v>
      </c>
      <c r="B7328" t="s">
        <v>22930</v>
      </c>
      <c r="C7328" t="s">
        <v>22931</v>
      </c>
      <c r="D7328" t="s">
        <v>22898</v>
      </c>
      <c r="E7328">
        <v>5</v>
      </c>
      <c r="F7328" t="str">
        <f>HYPERLINK("https://github.com/AdguardTeam/ContentBlocker/issues/220", "show")</f>
        <v>show</v>
      </c>
      <c r="G7328" t="str">
        <f>HYPERLINK("https://github.com/AdguardTeam/ContentBlocker", "show")</f>
        <v>show</v>
      </c>
      <c r="H7328" t="str">
        <f>HYPERLINK("https://github.com/AdguardTeam/ContentBlocker/releases", "show")</f>
        <v>show</v>
      </c>
      <c r="I7328">
        <v>0</v>
      </c>
      <c r="J7328">
        <v>0</v>
      </c>
      <c r="K7328">
        <v>0</v>
      </c>
      <c r="L7328">
        <v>0</v>
      </c>
      <c r="M7328" t="s">
        <v>43</v>
      </c>
    </row>
    <row r="7329" spans="1:13" hidden="1" x14ac:dyDescent="0.15">
      <c r="A7329" t="s">
        <v>22932</v>
      </c>
      <c r="B7329" t="s">
        <v>22933</v>
      </c>
      <c r="C7329" t="s">
        <v>22934</v>
      </c>
      <c r="D7329" t="s">
        <v>22898</v>
      </c>
      <c r="E7329">
        <v>30</v>
      </c>
      <c r="F7329" t="str">
        <f>HYPERLINK("https://github.com/cgeo/WhereYouGo/issues/65", "show")</f>
        <v>show</v>
      </c>
      <c r="G7329" t="str">
        <f>HYPERLINK("https://github.com/cgeo/WhereYouGo", "show")</f>
        <v>show</v>
      </c>
      <c r="H7329" t="str">
        <f>HYPERLINK("https://github.com/cgeo/WhereYouGo/releases", "show")</f>
        <v>show</v>
      </c>
      <c r="I7329">
        <v>1</v>
      </c>
      <c r="J7329">
        <v>0</v>
      </c>
      <c r="K7329">
        <v>0</v>
      </c>
      <c r="L7329">
        <v>0</v>
      </c>
      <c r="M7329" t="s">
        <v>17</v>
      </c>
    </row>
    <row r="7330" spans="1:13" hidden="1" x14ac:dyDescent="0.15">
      <c r="A7330" t="s">
        <v>22935</v>
      </c>
      <c r="B7330" t="s">
        <v>22936</v>
      </c>
      <c r="C7330" t="s">
        <v>22937</v>
      </c>
      <c r="D7330" t="s">
        <v>22898</v>
      </c>
      <c r="E7330">
        <v>14</v>
      </c>
      <c r="F7330" t="str">
        <f>HYPERLINK("https://github.com/k9mail/k-9/issues/4592", "show")</f>
        <v>show</v>
      </c>
      <c r="G7330" t="str">
        <f>HYPERLINK("https://github.com/k9mail/k-9", "show")</f>
        <v>show</v>
      </c>
      <c r="H7330" t="str">
        <f>HYPERLINK("https://github.com/k9mail/k-9/releases", "show")</f>
        <v>show</v>
      </c>
      <c r="I7330">
        <v>1</v>
      </c>
      <c r="J7330">
        <v>1</v>
      </c>
      <c r="K7330">
        <v>0</v>
      </c>
      <c r="L7330">
        <v>0</v>
      </c>
      <c r="M7330" t="s">
        <v>48</v>
      </c>
    </row>
    <row r="7331" spans="1:13" hidden="1" x14ac:dyDescent="0.15">
      <c r="A7331" t="s">
        <v>22938</v>
      </c>
      <c r="B7331" t="s">
        <v>22939</v>
      </c>
      <c r="C7331" t="s">
        <v>22940</v>
      </c>
      <c r="D7331" t="s">
        <v>22941</v>
      </c>
      <c r="E7331">
        <v>0</v>
      </c>
      <c r="F7331" t="str">
        <f>HYPERLINK("https://github.com/CMPUT301W20T17/BeepBeep/issues/9", "show")</f>
        <v>show</v>
      </c>
      <c r="G7331" t="str">
        <f>HYPERLINK("https://github.com/CMPUT301W20T17/BeepBeep", "show")</f>
        <v>show</v>
      </c>
      <c r="H7331" t="str">
        <f>HYPERLINK("https://github.com/CMPUT301W20T17/BeepBeep/releases", "show")</f>
        <v>show</v>
      </c>
      <c r="I7331">
        <v>1</v>
      </c>
      <c r="J7331">
        <v>0</v>
      </c>
      <c r="K7331">
        <v>0</v>
      </c>
      <c r="L7331">
        <v>0</v>
      </c>
      <c r="M7331" t="s">
        <v>17</v>
      </c>
    </row>
    <row r="7332" spans="1:13" x14ac:dyDescent="0.15">
      <c r="A7332" t="s">
        <v>22942</v>
      </c>
      <c r="B7332" t="s">
        <v>22943</v>
      </c>
      <c r="C7332" t="s">
        <v>22944</v>
      </c>
      <c r="D7332" t="s">
        <v>22941</v>
      </c>
      <c r="E7332">
        <v>0</v>
      </c>
      <c r="F7332" t="str">
        <f>HYPERLINK("https://github.com/CMPUT301W20T17/BeepBeep/issues/7", "show")</f>
        <v>show</v>
      </c>
      <c r="G7332" t="str">
        <f>HYPERLINK("https://github.com/CMPUT301W20T17/BeepBeep", "show")</f>
        <v>show</v>
      </c>
      <c r="H7332" t="str">
        <f>HYPERLINK("https://github.com/CMPUT301W20T17/BeepBeep/releases", "show")</f>
        <v>show</v>
      </c>
      <c r="I7332">
        <v>0</v>
      </c>
      <c r="J7332">
        <v>1</v>
      </c>
      <c r="K7332">
        <v>0</v>
      </c>
      <c r="L7332">
        <v>0</v>
      </c>
      <c r="M7332" t="s">
        <v>139</v>
      </c>
    </row>
    <row r="7333" spans="1:13" x14ac:dyDescent="0.15">
      <c r="A7333" t="s">
        <v>22945</v>
      </c>
      <c r="B7333" t="s">
        <v>22946</v>
      </c>
      <c r="C7333" t="s">
        <v>22947</v>
      </c>
      <c r="D7333" t="s">
        <v>22941</v>
      </c>
      <c r="E7333">
        <v>16</v>
      </c>
      <c r="F7333" t="str">
        <f>HYPERLINK("https://github.com/nextcloud/android/issues/5590", "show")</f>
        <v>show</v>
      </c>
      <c r="G7333" t="str">
        <f>HYPERLINK("https://github.com/nextcloud/android", "show")</f>
        <v>show</v>
      </c>
      <c r="H7333" t="str">
        <f>HYPERLINK("https://github.com/nextcloud/android/releases", "show")</f>
        <v>show</v>
      </c>
      <c r="I7333">
        <v>0</v>
      </c>
      <c r="J7333">
        <v>1</v>
      </c>
      <c r="K7333">
        <v>0</v>
      </c>
      <c r="L7333">
        <v>0</v>
      </c>
      <c r="M7333" t="s">
        <v>139</v>
      </c>
    </row>
    <row r="7334" spans="1:13" hidden="1" x14ac:dyDescent="0.15">
      <c r="A7334" t="s">
        <v>22948</v>
      </c>
      <c r="B7334" t="s">
        <v>22949</v>
      </c>
      <c r="C7334" t="s">
        <v>22950</v>
      </c>
      <c r="D7334" t="s">
        <v>22941</v>
      </c>
      <c r="E7334">
        <v>0</v>
      </c>
      <c r="F7334" t="str">
        <f>HYPERLINK("https://github.com/barbeau/gpstest/issues/386", "show")</f>
        <v>show</v>
      </c>
      <c r="G7334" t="str">
        <f>HYPERLINK("https://github.com/barbeau/gpstest", "show")</f>
        <v>show</v>
      </c>
      <c r="H7334" t="str">
        <f>HYPERLINK("https://github.com/barbeau/gpstest/releases", "show")</f>
        <v>show</v>
      </c>
      <c r="I7334">
        <v>1</v>
      </c>
      <c r="J7334">
        <v>0</v>
      </c>
      <c r="K7334">
        <v>1</v>
      </c>
      <c r="L7334">
        <v>0</v>
      </c>
      <c r="M7334" t="s">
        <v>64</v>
      </c>
    </row>
    <row r="7335" spans="1:13" hidden="1" x14ac:dyDescent="0.15">
      <c r="A7335" t="s">
        <v>22951</v>
      </c>
      <c r="B7335" t="s">
        <v>22952</v>
      </c>
      <c r="C7335" t="s">
        <v>22953</v>
      </c>
      <c r="D7335" t="s">
        <v>22941</v>
      </c>
      <c r="E7335">
        <v>4</v>
      </c>
      <c r="F7335" t="str">
        <f>HYPERLINK("https://github.com/defold/extension-iap/issues/18", "show")</f>
        <v>show</v>
      </c>
      <c r="G7335" t="str">
        <f>HYPERLINK("https://github.com/defold/extension-iap", "show")</f>
        <v>show</v>
      </c>
      <c r="H7335" t="str">
        <f>HYPERLINK("https://github.com/defold/extension-iap/releases", "show")</f>
        <v>show</v>
      </c>
      <c r="I7335">
        <v>1</v>
      </c>
      <c r="J7335">
        <v>0</v>
      </c>
      <c r="K7335">
        <v>0</v>
      </c>
      <c r="L7335">
        <v>0</v>
      </c>
      <c r="M7335" t="s">
        <v>17</v>
      </c>
    </row>
    <row r="7336" spans="1:13" hidden="1" x14ac:dyDescent="0.15">
      <c r="A7336" t="s">
        <v>22954</v>
      </c>
      <c r="B7336" t="s">
        <v>22955</v>
      </c>
      <c r="C7336" t="s">
        <v>22956</v>
      </c>
      <c r="D7336" t="s">
        <v>22941</v>
      </c>
      <c r="E7336">
        <v>32</v>
      </c>
      <c r="F7336" t="str">
        <f>HYPERLINK("https://github.com/commons-app/apps-android-commons/issues/3466", "show")</f>
        <v>show</v>
      </c>
      <c r="G7336" t="str">
        <f>HYPERLINK("https://github.com/commons-app/apps-android-commons", "show")</f>
        <v>show</v>
      </c>
      <c r="H7336" t="str">
        <f>HYPERLINK("https://github.com/commons-app/apps-android-commons/releases", "show")</f>
        <v>show</v>
      </c>
      <c r="I7336">
        <v>1</v>
      </c>
      <c r="J7336">
        <v>0</v>
      </c>
      <c r="K7336">
        <v>0</v>
      </c>
      <c r="L7336">
        <v>1</v>
      </c>
      <c r="M7336" t="s">
        <v>29</v>
      </c>
    </row>
    <row r="7337" spans="1:13" hidden="1" x14ac:dyDescent="0.15">
      <c r="A7337" t="s">
        <v>22957</v>
      </c>
      <c r="B7337" t="s">
        <v>22958</v>
      </c>
      <c r="C7337" t="s">
        <v>22959</v>
      </c>
      <c r="D7337" t="s">
        <v>22960</v>
      </c>
      <c r="E7337">
        <v>40</v>
      </c>
      <c r="F7337" t="str">
        <f>HYPERLINK("https://github.com/Instabug/Instabug-Android/issues/285", "show")</f>
        <v>show</v>
      </c>
      <c r="G7337" t="str">
        <f>HYPERLINK("https://github.com/Instabug/Instabug-Android", "show")</f>
        <v>show</v>
      </c>
      <c r="H7337" t="str">
        <f>HYPERLINK("https://github.com/Instabug/Instabug-Android/releases", "show")</f>
        <v>show</v>
      </c>
      <c r="I7337">
        <v>1</v>
      </c>
      <c r="J7337">
        <v>0</v>
      </c>
      <c r="K7337">
        <v>1</v>
      </c>
      <c r="L7337">
        <v>1</v>
      </c>
      <c r="M7337" t="s">
        <v>1259</v>
      </c>
    </row>
    <row r="7338" spans="1:13" hidden="1" x14ac:dyDescent="0.15">
      <c r="A7338" t="s">
        <v>22961</v>
      </c>
      <c r="B7338" t="s">
        <v>22962</v>
      </c>
      <c r="C7338" t="s">
        <v>22963</v>
      </c>
      <c r="D7338" t="s">
        <v>22960</v>
      </c>
      <c r="E7338">
        <v>17</v>
      </c>
      <c r="F7338" t="str">
        <f>HYPERLINK("https://github.com/nextcloud/android/issues/5577", "show")</f>
        <v>show</v>
      </c>
      <c r="G7338" t="str">
        <f>HYPERLINK("https://github.com/nextcloud/android", "show")</f>
        <v>show</v>
      </c>
      <c r="H7338" t="str">
        <f>HYPERLINK("https://github.com/nextcloud/android/releases", "show")</f>
        <v>show</v>
      </c>
      <c r="I7338">
        <v>1</v>
      </c>
      <c r="J7338">
        <v>1</v>
      </c>
      <c r="K7338">
        <v>1</v>
      </c>
      <c r="L7338">
        <v>0</v>
      </c>
      <c r="M7338" t="s">
        <v>59</v>
      </c>
    </row>
    <row r="7339" spans="1:13" hidden="1" x14ac:dyDescent="0.15">
      <c r="A7339" t="s">
        <v>22964</v>
      </c>
      <c r="B7339" t="s">
        <v>22965</v>
      </c>
      <c r="C7339" t="s">
        <v>22966</v>
      </c>
      <c r="D7339" t="s">
        <v>22960</v>
      </c>
      <c r="E7339">
        <v>2</v>
      </c>
      <c r="F7339" t="str">
        <f>HYPERLINK("https://github.com/square/okhttp/issues/5844", "show")</f>
        <v>show</v>
      </c>
      <c r="G7339" t="str">
        <f>HYPERLINK("https://github.com/square/okhttp", "show")</f>
        <v>show</v>
      </c>
      <c r="H7339" t="str">
        <f>HYPERLINK("https://github.com/square/okhttp/releases", "show")</f>
        <v>show</v>
      </c>
      <c r="I7339">
        <v>0</v>
      </c>
      <c r="J7339">
        <v>0</v>
      </c>
      <c r="K7339">
        <v>0</v>
      </c>
      <c r="L7339">
        <v>0</v>
      </c>
      <c r="M7339" t="s">
        <v>43</v>
      </c>
    </row>
    <row r="7340" spans="1:13" hidden="1" x14ac:dyDescent="0.15">
      <c r="A7340" t="s">
        <v>22967</v>
      </c>
      <c r="B7340" t="s">
        <v>22968</v>
      </c>
      <c r="C7340" t="s">
        <v>22969</v>
      </c>
      <c r="D7340" t="s">
        <v>22960</v>
      </c>
      <c r="E7340">
        <v>0</v>
      </c>
      <c r="F7340" t="str">
        <f>HYPERLINK("https://github.com/Simerjit-developer/Team2/issues/11", "show")</f>
        <v>show</v>
      </c>
      <c r="G7340" t="str">
        <f>HYPERLINK("https://github.com/Simerjit-developer/Team2", "show")</f>
        <v>show</v>
      </c>
      <c r="H7340" t="str">
        <f>HYPERLINK("https://github.com/Simerjit-developer/Team2/releases", "show")</f>
        <v>show</v>
      </c>
      <c r="I7340">
        <v>1</v>
      </c>
      <c r="J7340">
        <v>0</v>
      </c>
      <c r="K7340">
        <v>0</v>
      </c>
      <c r="L7340">
        <v>0</v>
      </c>
      <c r="M7340" t="s">
        <v>17</v>
      </c>
    </row>
    <row r="7341" spans="1:13" hidden="1" x14ac:dyDescent="0.15">
      <c r="A7341" t="s">
        <v>22970</v>
      </c>
      <c r="B7341" t="s">
        <v>22971</v>
      </c>
      <c r="C7341" t="s">
        <v>22972</v>
      </c>
      <c r="D7341" t="s">
        <v>22973</v>
      </c>
      <c r="E7341">
        <v>79</v>
      </c>
      <c r="F7341" t="str">
        <f>HYPERLINK("https://github.com/TachibanaGeneralLaboratories/download-navi/issues/56", "show")</f>
        <v>show</v>
      </c>
      <c r="G7341" t="str">
        <f>HYPERLINK("https://github.com/TachibanaGeneralLaboratories/download-navi", "show")</f>
        <v>show</v>
      </c>
      <c r="H7341" t="str">
        <f>HYPERLINK("https://github.com/TachibanaGeneralLaboratories/download-navi/releases", "show")</f>
        <v>show</v>
      </c>
      <c r="I7341">
        <v>0</v>
      </c>
      <c r="J7341">
        <v>0</v>
      </c>
      <c r="K7341">
        <v>1</v>
      </c>
      <c r="L7341">
        <v>0</v>
      </c>
      <c r="M7341" t="s">
        <v>122</v>
      </c>
    </row>
    <row r="7342" spans="1:13" hidden="1" x14ac:dyDescent="0.15">
      <c r="A7342" t="s">
        <v>22974</v>
      </c>
      <c r="B7342" t="s">
        <v>16780</v>
      </c>
      <c r="C7342" t="s">
        <v>22975</v>
      </c>
      <c r="D7342" t="s">
        <v>22973</v>
      </c>
      <c r="E7342">
        <v>60</v>
      </c>
      <c r="F7342" t="str">
        <f>HYPERLINK("https://github.com/nextcloud/android/issues/5568", "show")</f>
        <v>show</v>
      </c>
      <c r="G7342" t="str">
        <f>HYPERLINK("https://github.com/nextcloud/android", "show")</f>
        <v>show</v>
      </c>
      <c r="H7342" t="str">
        <f>HYPERLINK("https://github.com/nextcloud/android/releases", "show")</f>
        <v>show</v>
      </c>
      <c r="I7342">
        <v>0</v>
      </c>
      <c r="J7342">
        <v>0</v>
      </c>
      <c r="K7342">
        <v>1</v>
      </c>
      <c r="L7342">
        <v>0</v>
      </c>
      <c r="M7342" t="s">
        <v>122</v>
      </c>
    </row>
    <row r="7343" spans="1:13" hidden="1" x14ac:dyDescent="0.15">
      <c r="A7343" t="s">
        <v>22976</v>
      </c>
      <c r="B7343" t="s">
        <v>22977</v>
      </c>
      <c r="C7343" t="s">
        <v>22978</v>
      </c>
      <c r="D7343" t="s">
        <v>22973</v>
      </c>
      <c r="E7343">
        <v>16</v>
      </c>
      <c r="F7343" t="str">
        <f>HYPERLINK("https://github.com/square/okhttp/issues/5840", "show")</f>
        <v>show</v>
      </c>
      <c r="G7343" t="str">
        <f>HYPERLINK("https://github.com/square/okhttp", "show")</f>
        <v>show</v>
      </c>
      <c r="H7343" t="str">
        <f>HYPERLINK("https://github.com/square/okhttp/releases", "show")</f>
        <v>show</v>
      </c>
      <c r="I7343">
        <v>1</v>
      </c>
      <c r="J7343">
        <v>1</v>
      </c>
      <c r="K7343">
        <v>1</v>
      </c>
      <c r="L7343">
        <v>0</v>
      </c>
      <c r="M7343" t="s">
        <v>59</v>
      </c>
    </row>
    <row r="7344" spans="1:13" hidden="1" x14ac:dyDescent="0.15">
      <c r="A7344" t="s">
        <v>22979</v>
      </c>
      <c r="B7344" t="s">
        <v>22980</v>
      </c>
      <c r="C7344" t="s">
        <v>22981</v>
      </c>
      <c r="D7344" t="s">
        <v>22982</v>
      </c>
      <c r="E7344">
        <v>0</v>
      </c>
      <c r="F7344" t="str">
        <f>HYPERLINK("https://github.com/square/okhttp/issues/5837", "show")</f>
        <v>show</v>
      </c>
      <c r="G7344" t="str">
        <f>HYPERLINK("https://github.com/square/okhttp", "show")</f>
        <v>show</v>
      </c>
      <c r="H7344" t="str">
        <f>HYPERLINK("https://github.com/square/okhttp/releases", "show")</f>
        <v>show</v>
      </c>
      <c r="I7344">
        <v>0</v>
      </c>
      <c r="J7344">
        <v>0</v>
      </c>
      <c r="K7344">
        <v>1</v>
      </c>
      <c r="L7344">
        <v>0</v>
      </c>
      <c r="M7344" t="s">
        <v>122</v>
      </c>
    </row>
    <row r="7345" spans="1:13" hidden="1" x14ac:dyDescent="0.15">
      <c r="A7345" t="s">
        <v>22983</v>
      </c>
      <c r="B7345" t="s">
        <v>22984</v>
      </c>
      <c r="C7345" t="s">
        <v>22985</v>
      </c>
      <c r="D7345" t="s">
        <v>22982</v>
      </c>
      <c r="E7345">
        <v>41</v>
      </c>
      <c r="F7345" t="str">
        <f>HYPERLINK("https://github.com/readrops/Readrops/issues/55", "show")</f>
        <v>show</v>
      </c>
      <c r="G7345" t="str">
        <f>HYPERLINK("https://github.com/readrops/Readrops", "show")</f>
        <v>show</v>
      </c>
      <c r="H7345" t="str">
        <f>HYPERLINK("https://github.com/readrops/Readrops/releases", "show")</f>
        <v>show</v>
      </c>
      <c r="I7345">
        <v>1</v>
      </c>
      <c r="J7345">
        <v>0</v>
      </c>
      <c r="K7345">
        <v>0</v>
      </c>
      <c r="L7345">
        <v>0</v>
      </c>
      <c r="M7345" t="s">
        <v>17</v>
      </c>
    </row>
    <row r="7346" spans="1:13" hidden="1" x14ac:dyDescent="0.15">
      <c r="A7346" t="s">
        <v>22986</v>
      </c>
      <c r="B7346" t="s">
        <v>22987</v>
      </c>
      <c r="C7346" t="s">
        <v>736</v>
      </c>
      <c r="D7346" t="s">
        <v>22982</v>
      </c>
      <c r="E7346">
        <v>188</v>
      </c>
      <c r="F7346" t="str">
        <f>HYPERLINK("https://github.com/koral--/android-gif-drawable/issues/729", "show")</f>
        <v>show</v>
      </c>
      <c r="G7346" t="str">
        <f>HYPERLINK("https://github.com/koral--/android-gif-drawable", "show")</f>
        <v>show</v>
      </c>
      <c r="H7346" t="str">
        <f>HYPERLINK("https://github.com/koral--/android-gif-drawable/releases", "show")</f>
        <v>show</v>
      </c>
      <c r="I7346">
        <v>0</v>
      </c>
      <c r="J7346">
        <v>0</v>
      </c>
      <c r="K7346">
        <v>0</v>
      </c>
      <c r="L7346">
        <v>0</v>
      </c>
      <c r="M7346" t="s">
        <v>43</v>
      </c>
    </row>
    <row r="7347" spans="1:13" hidden="1" x14ac:dyDescent="0.15">
      <c r="A7347" t="s">
        <v>22988</v>
      </c>
      <c r="B7347" t="s">
        <v>22989</v>
      </c>
      <c r="C7347" t="s">
        <v>22990</v>
      </c>
      <c r="D7347" t="s">
        <v>22982</v>
      </c>
      <c r="E7347">
        <v>61</v>
      </c>
      <c r="F7347" t="str">
        <f>HYPERLINK("https://github.com/nextcloud/android/issues/5556", "show")</f>
        <v>show</v>
      </c>
      <c r="G7347" t="str">
        <f>HYPERLINK("https://github.com/nextcloud/android", "show")</f>
        <v>show</v>
      </c>
      <c r="H7347" t="str">
        <f>HYPERLINK("https://github.com/nextcloud/android/releases", "show")</f>
        <v>show</v>
      </c>
      <c r="I7347">
        <v>1</v>
      </c>
      <c r="J7347">
        <v>1</v>
      </c>
      <c r="K7347">
        <v>1</v>
      </c>
      <c r="L7347">
        <v>0</v>
      </c>
      <c r="M7347" t="s">
        <v>59</v>
      </c>
    </row>
    <row r="7348" spans="1:13" hidden="1" x14ac:dyDescent="0.15">
      <c r="A7348" t="s">
        <v>22991</v>
      </c>
      <c r="B7348" t="s">
        <v>22992</v>
      </c>
      <c r="C7348" t="s">
        <v>22993</v>
      </c>
      <c r="D7348" t="s">
        <v>22994</v>
      </c>
      <c r="E7348">
        <v>3</v>
      </c>
      <c r="F7348" t="str">
        <f>HYPERLINK("https://github.com/deltachat/deltachat-android/issues/1259", "show")</f>
        <v>show</v>
      </c>
      <c r="G7348" t="str">
        <f>HYPERLINK("https://github.com/deltachat/deltachat-android", "show")</f>
        <v>show</v>
      </c>
      <c r="H7348" t="str">
        <f>HYPERLINK("https://github.com/deltachat/deltachat-android/releases", "show")</f>
        <v>show</v>
      </c>
      <c r="I7348">
        <v>1</v>
      </c>
      <c r="J7348">
        <v>0</v>
      </c>
      <c r="K7348">
        <v>0</v>
      </c>
      <c r="L7348">
        <v>0</v>
      </c>
      <c r="M7348" t="s">
        <v>17</v>
      </c>
    </row>
    <row r="7349" spans="1:13" hidden="1" x14ac:dyDescent="0.15">
      <c r="A7349" t="s">
        <v>22995</v>
      </c>
      <c r="B7349" t="s">
        <v>22996</v>
      </c>
      <c r="C7349" t="s">
        <v>22997</v>
      </c>
      <c r="D7349" t="s">
        <v>22994</v>
      </c>
      <c r="E7349">
        <v>778</v>
      </c>
      <c r="F7349" t="str">
        <f>HYPERLINK("https://github.com/ramack/ActivityDiary/issues/292", "show")</f>
        <v>show</v>
      </c>
      <c r="G7349" t="str">
        <f>HYPERLINK("https://github.com/ramack/ActivityDiary", "show")</f>
        <v>show</v>
      </c>
      <c r="H7349" t="str">
        <f>HYPERLINK("https://github.com/ramack/ActivityDiary/releases", "show")</f>
        <v>show</v>
      </c>
      <c r="I7349">
        <v>1</v>
      </c>
      <c r="J7349">
        <v>0</v>
      </c>
      <c r="K7349">
        <v>1</v>
      </c>
      <c r="L7349">
        <v>0</v>
      </c>
      <c r="M7349" t="s">
        <v>64</v>
      </c>
    </row>
    <row r="7350" spans="1:13" hidden="1" x14ac:dyDescent="0.15">
      <c r="A7350" t="s">
        <v>22998</v>
      </c>
      <c r="B7350" t="s">
        <v>22999</v>
      </c>
      <c r="C7350" t="s">
        <v>23000</v>
      </c>
      <c r="D7350" t="s">
        <v>22994</v>
      </c>
      <c r="E7350">
        <v>3</v>
      </c>
      <c r="F7350" t="str">
        <f>HYPERLINK("https://github.com/druit/Wallet-Analyzer/issues/19", "show")</f>
        <v>show</v>
      </c>
      <c r="G7350" t="str">
        <f>HYPERLINK("https://github.com/druit/Wallet-Analyzer", "show")</f>
        <v>show</v>
      </c>
      <c r="H7350" t="str">
        <f>HYPERLINK("https://github.com/druit/Wallet-Analyzer/releases", "show")</f>
        <v>show</v>
      </c>
      <c r="I7350">
        <v>1</v>
      </c>
      <c r="J7350">
        <v>0</v>
      </c>
      <c r="K7350">
        <v>0</v>
      </c>
      <c r="L7350">
        <v>0</v>
      </c>
      <c r="M7350" t="s">
        <v>17</v>
      </c>
    </row>
    <row r="7351" spans="1:13" hidden="1" x14ac:dyDescent="0.15">
      <c r="A7351" t="s">
        <v>23001</v>
      </c>
      <c r="B7351" t="s">
        <v>23002</v>
      </c>
      <c r="C7351" t="s">
        <v>23003</v>
      </c>
      <c r="D7351" t="s">
        <v>22994</v>
      </c>
      <c r="E7351">
        <v>1</v>
      </c>
      <c r="F7351" t="str">
        <f>HYPERLINK("https://github.com/commons-app/apps-android-commons/issues/3442", "show")</f>
        <v>show</v>
      </c>
      <c r="G7351" t="str">
        <f>HYPERLINK("https://github.com/commons-app/apps-android-commons", "show")</f>
        <v>show</v>
      </c>
      <c r="H7351" t="str">
        <f>HYPERLINK("https://github.com/commons-app/apps-android-commons/releases", "show")</f>
        <v>show</v>
      </c>
      <c r="I7351">
        <v>1</v>
      </c>
      <c r="J7351">
        <v>0</v>
      </c>
      <c r="K7351">
        <v>1</v>
      </c>
      <c r="L7351">
        <v>0</v>
      </c>
      <c r="M7351" t="s">
        <v>64</v>
      </c>
    </row>
    <row r="7352" spans="1:13" hidden="1" x14ac:dyDescent="0.15">
      <c r="A7352" t="s">
        <v>23004</v>
      </c>
      <c r="B7352" t="s">
        <v>23005</v>
      </c>
      <c r="C7352" t="s">
        <v>23006</v>
      </c>
      <c r="D7352" t="s">
        <v>22994</v>
      </c>
      <c r="E7352">
        <v>161</v>
      </c>
      <c r="F7352" t="str">
        <f>HYPERLINK("https://github.com/sc4v3ng3r/flutter_audio_query/issues/16", "show")</f>
        <v>show</v>
      </c>
      <c r="G7352" t="str">
        <f>HYPERLINK("https://github.com/sc4v3ng3r/flutter_audio_query", "show")</f>
        <v>show</v>
      </c>
      <c r="H7352" t="str">
        <f>HYPERLINK("https://github.com/sc4v3ng3r/flutter_audio_query/releases", "show")</f>
        <v>show</v>
      </c>
      <c r="I7352">
        <v>0</v>
      </c>
      <c r="J7352">
        <v>0</v>
      </c>
      <c r="K7352">
        <v>0</v>
      </c>
      <c r="L7352">
        <v>0</v>
      </c>
      <c r="M7352" t="s">
        <v>43</v>
      </c>
    </row>
    <row r="7353" spans="1:13" hidden="1" x14ac:dyDescent="0.15">
      <c r="A7353" t="s">
        <v>23007</v>
      </c>
      <c r="B7353" t="s">
        <v>13288</v>
      </c>
      <c r="C7353" t="s">
        <v>23008</v>
      </c>
      <c r="D7353" t="s">
        <v>22994</v>
      </c>
      <c r="E7353">
        <v>62</v>
      </c>
      <c r="F7353" t="str">
        <f>HYPERLINK("https://github.com/nextcloud/android/issues/5551", "show")</f>
        <v>show</v>
      </c>
      <c r="G7353" t="str">
        <f>HYPERLINK("https://github.com/nextcloud/android", "show")</f>
        <v>show</v>
      </c>
      <c r="H7353" t="str">
        <f>HYPERLINK("https://github.com/nextcloud/android/releases", "show")</f>
        <v>show</v>
      </c>
      <c r="I7353">
        <v>1</v>
      </c>
      <c r="J7353">
        <v>1</v>
      </c>
      <c r="K7353">
        <v>1</v>
      </c>
      <c r="L7353">
        <v>0</v>
      </c>
      <c r="M7353" t="s">
        <v>59</v>
      </c>
    </row>
    <row r="7354" spans="1:13" hidden="1" x14ac:dyDescent="0.15">
      <c r="A7354" t="s">
        <v>23009</v>
      </c>
      <c r="B7354" t="s">
        <v>23010</v>
      </c>
      <c r="C7354" t="s">
        <v>23011</v>
      </c>
      <c r="D7354" t="s">
        <v>23012</v>
      </c>
      <c r="E7354">
        <v>168</v>
      </c>
      <c r="F7354" t="str">
        <f>HYPERLINK("https://github.com/TeamNewPipe/NewPipe/issues/3163", "show")</f>
        <v>show</v>
      </c>
      <c r="G7354" t="str">
        <f>HYPERLINK("https://github.com/TeamNewPipe/NewPipe", "show")</f>
        <v>show</v>
      </c>
      <c r="H7354" t="str">
        <f>HYPERLINK("https://github.com/TeamNewPipe/NewPipe/releases", "show")</f>
        <v>show</v>
      </c>
      <c r="I7354">
        <v>1</v>
      </c>
      <c r="J7354">
        <v>1</v>
      </c>
      <c r="K7354">
        <v>1</v>
      </c>
      <c r="L7354">
        <v>1</v>
      </c>
      <c r="M7354" t="s">
        <v>2875</v>
      </c>
    </row>
    <row r="7355" spans="1:13" hidden="1" x14ac:dyDescent="0.15">
      <c r="A7355" t="s">
        <v>23013</v>
      </c>
      <c r="B7355" t="s">
        <v>23014</v>
      </c>
      <c r="C7355" t="s">
        <v>23015</v>
      </c>
      <c r="D7355" t="s">
        <v>23012</v>
      </c>
      <c r="E7355">
        <v>31</v>
      </c>
      <c r="F7355" t="str">
        <f>HYPERLINK("https://github.com/ankidroid/Anki-Android/issues/5780", "show")</f>
        <v>show</v>
      </c>
      <c r="G7355" t="str">
        <f>HYPERLINK("https://github.com/ankidroid/Anki-Android", "show")</f>
        <v>show</v>
      </c>
      <c r="H7355" t="str">
        <f>HYPERLINK("https://github.com/ankidroid/Anki-Android/releases", "show")</f>
        <v>show</v>
      </c>
      <c r="I7355">
        <v>1</v>
      </c>
      <c r="J7355">
        <v>1</v>
      </c>
      <c r="K7355">
        <v>0</v>
      </c>
      <c r="L7355">
        <v>0</v>
      </c>
      <c r="M7355" t="s">
        <v>48</v>
      </c>
    </row>
    <row r="7356" spans="1:13" hidden="1" x14ac:dyDescent="0.15">
      <c r="A7356" t="s">
        <v>23016</v>
      </c>
      <c r="B7356" t="s">
        <v>23017</v>
      </c>
      <c r="C7356" t="s">
        <v>23018</v>
      </c>
      <c r="D7356" t="s">
        <v>23019</v>
      </c>
      <c r="E7356">
        <v>9</v>
      </c>
      <c r="F7356" t="str">
        <f>HYPERLINK("https://github.com/catalinghita8/android-mvvm-rxjava2-dagger2/issues/1", "show")</f>
        <v>show</v>
      </c>
      <c r="G7356" t="str">
        <f>HYPERLINK("https://github.com/catalinghita8/android-mvvm-rxjava2-dagger2", "show")</f>
        <v>show</v>
      </c>
      <c r="H7356" t="str">
        <f>HYPERLINK("https://github.com/catalinghita8/android-mvvm-rxjava2-dagger2/releases", "show")</f>
        <v>show</v>
      </c>
      <c r="I7356">
        <v>1</v>
      </c>
      <c r="J7356">
        <v>0</v>
      </c>
      <c r="K7356">
        <v>0</v>
      </c>
      <c r="L7356">
        <v>0</v>
      </c>
      <c r="M7356" t="s">
        <v>17</v>
      </c>
    </row>
    <row r="7357" spans="1:13" hidden="1" x14ac:dyDescent="0.15">
      <c r="A7357" t="s">
        <v>23020</v>
      </c>
      <c r="B7357" t="s">
        <v>23021</v>
      </c>
      <c r="D7357" t="s">
        <v>23019</v>
      </c>
      <c r="E7357">
        <v>0</v>
      </c>
      <c r="F7357" t="str">
        <f>HYPERLINK("https://github.com/cs-4518/fp/issues/23", "show")</f>
        <v>show</v>
      </c>
      <c r="G7357" t="str">
        <f>HYPERLINK("https://github.com/cs-4518/fp", "show")</f>
        <v>show</v>
      </c>
      <c r="H7357" t="str">
        <f>HYPERLINK("https://github.com/cs-4518/fp/releases", "show")</f>
        <v>show</v>
      </c>
      <c r="I7357">
        <v>1</v>
      </c>
      <c r="J7357">
        <v>0</v>
      </c>
      <c r="K7357">
        <v>0</v>
      </c>
      <c r="L7357">
        <v>0</v>
      </c>
      <c r="M7357" t="s">
        <v>17</v>
      </c>
    </row>
    <row r="7358" spans="1:13" hidden="1" x14ac:dyDescent="0.15">
      <c r="A7358" t="s">
        <v>23022</v>
      </c>
      <c r="B7358" t="s">
        <v>23023</v>
      </c>
      <c r="C7358" t="s">
        <v>23024</v>
      </c>
      <c r="D7358" t="s">
        <v>23019</v>
      </c>
      <c r="E7358">
        <v>23</v>
      </c>
      <c r="F7358" t="str">
        <f>HYPERLINK("https://github.com/nextcloud/android/issues/5543", "show")</f>
        <v>show</v>
      </c>
      <c r="G7358" t="str">
        <f>HYPERLINK("https://github.com/nextcloud/android", "show")</f>
        <v>show</v>
      </c>
      <c r="H7358" t="str">
        <f>HYPERLINK("https://github.com/nextcloud/android/releases", "show")</f>
        <v>show</v>
      </c>
      <c r="I7358">
        <v>1</v>
      </c>
      <c r="J7358">
        <v>1</v>
      </c>
      <c r="K7358">
        <v>1</v>
      </c>
      <c r="L7358">
        <v>0</v>
      </c>
      <c r="M7358" t="s">
        <v>59</v>
      </c>
    </row>
    <row r="7359" spans="1:13" hidden="1" x14ac:dyDescent="0.15">
      <c r="A7359" t="s">
        <v>23025</v>
      </c>
      <c r="B7359" t="s">
        <v>23026</v>
      </c>
      <c r="C7359" t="s">
        <v>23027</v>
      </c>
      <c r="D7359" t="s">
        <v>23019</v>
      </c>
      <c r="E7359">
        <v>1</v>
      </c>
      <c r="F7359" t="str">
        <f>HYPERLINK("https://github.com/CaptainSpam/geohashdroid/issues/73", "show")</f>
        <v>show</v>
      </c>
      <c r="G7359" t="str">
        <f>HYPERLINK("https://github.com/CaptainSpam/geohashdroid", "show")</f>
        <v>show</v>
      </c>
      <c r="H7359" t="str">
        <f>HYPERLINK("https://github.com/CaptainSpam/geohashdroid/releases", "show")</f>
        <v>show</v>
      </c>
      <c r="I7359">
        <v>1</v>
      </c>
      <c r="J7359">
        <v>0</v>
      </c>
      <c r="K7359">
        <v>0</v>
      </c>
      <c r="L7359">
        <v>0</v>
      </c>
      <c r="M7359" t="s">
        <v>17</v>
      </c>
    </row>
    <row r="7360" spans="1:13" hidden="1" x14ac:dyDescent="0.15">
      <c r="A7360" t="s">
        <v>23028</v>
      </c>
      <c r="B7360" t="s">
        <v>23029</v>
      </c>
      <c r="C7360" t="s">
        <v>23030</v>
      </c>
      <c r="D7360" t="s">
        <v>23031</v>
      </c>
      <c r="E7360">
        <v>6</v>
      </c>
      <c r="F7360" t="str">
        <f>HYPERLINK("https://github.com/CorvetteCole/PixelWatchFace/issues/18", "show")</f>
        <v>show</v>
      </c>
      <c r="G7360" t="str">
        <f>HYPERLINK("https://github.com/CorvetteCole/PixelWatchFace", "show")</f>
        <v>show</v>
      </c>
      <c r="H7360" t="str">
        <f>HYPERLINK("https://github.com/CorvetteCole/PixelWatchFace/releases", "show")</f>
        <v>show</v>
      </c>
      <c r="I7360">
        <v>0</v>
      </c>
      <c r="J7360">
        <v>0</v>
      </c>
      <c r="K7360">
        <v>0</v>
      </c>
      <c r="L7360">
        <v>0</v>
      </c>
      <c r="M7360" t="s">
        <v>43</v>
      </c>
    </row>
    <row r="7361" spans="1:13" hidden="1" x14ac:dyDescent="0.15">
      <c r="A7361" t="s">
        <v>23032</v>
      </c>
      <c r="B7361" t="s">
        <v>23033</v>
      </c>
      <c r="C7361" t="s">
        <v>23034</v>
      </c>
      <c r="D7361" t="s">
        <v>23031</v>
      </c>
      <c r="E7361">
        <v>0</v>
      </c>
      <c r="F7361" t="str">
        <f>HYPERLINK("https://github.com/jellyfin/jellyfin-androidtv/issues/365", "show")</f>
        <v>show</v>
      </c>
      <c r="G7361" t="str">
        <f>HYPERLINK("https://github.com/jellyfin/jellyfin-androidtv", "show")</f>
        <v>show</v>
      </c>
      <c r="H7361" t="str">
        <f>HYPERLINK("https://github.com/jellyfin/jellyfin-androidtv/releases", "show")</f>
        <v>show</v>
      </c>
      <c r="I7361">
        <v>1</v>
      </c>
      <c r="J7361">
        <v>0</v>
      </c>
      <c r="K7361">
        <v>0</v>
      </c>
      <c r="L7361">
        <v>0</v>
      </c>
      <c r="M7361" t="s">
        <v>17</v>
      </c>
    </row>
    <row r="7362" spans="1:13" hidden="1" x14ac:dyDescent="0.15">
      <c r="A7362" t="s">
        <v>23035</v>
      </c>
      <c r="B7362" t="s">
        <v>23036</v>
      </c>
      <c r="D7362" t="s">
        <v>23031</v>
      </c>
      <c r="E7362">
        <v>55</v>
      </c>
      <c r="F7362" t="str">
        <f>HYPERLINK("https://github.com/haiyangwu/mediasoup-demo-android/issues/3", "show")</f>
        <v>show</v>
      </c>
      <c r="G7362" t="str">
        <f>HYPERLINK("https://github.com/haiyangwu/mediasoup-demo-android", "show")</f>
        <v>show</v>
      </c>
      <c r="H7362" t="str">
        <f>HYPERLINK("https://github.com/haiyangwu/mediasoup-demo-android/releases", "show")</f>
        <v>show</v>
      </c>
      <c r="I7362">
        <v>1</v>
      </c>
      <c r="J7362">
        <v>0</v>
      </c>
      <c r="K7362">
        <v>0</v>
      </c>
      <c r="L7362">
        <v>0</v>
      </c>
      <c r="M7362" t="s">
        <v>17</v>
      </c>
    </row>
    <row r="7363" spans="1:13" hidden="1" x14ac:dyDescent="0.15">
      <c r="A7363" t="s">
        <v>23037</v>
      </c>
      <c r="B7363" t="s">
        <v>23038</v>
      </c>
      <c r="C7363" t="s">
        <v>23039</v>
      </c>
      <c r="D7363" t="s">
        <v>23031</v>
      </c>
      <c r="E7363">
        <v>54</v>
      </c>
      <c r="F7363" t="str">
        <f>HYPERLINK("https://github.com/kalaspuffar/secure-quick-reliable-login/issues/467", "show")</f>
        <v>show</v>
      </c>
      <c r="G7363" t="str">
        <f>HYPERLINK("https://github.com/kalaspuffar/secure-quick-reliable-login", "show")</f>
        <v>show</v>
      </c>
      <c r="H7363" t="str">
        <f>HYPERLINK("https://github.com/kalaspuffar/secure-quick-reliable-login/releases", "show")</f>
        <v>show</v>
      </c>
      <c r="I7363">
        <v>1</v>
      </c>
      <c r="J7363">
        <v>0</v>
      </c>
      <c r="K7363">
        <v>0</v>
      </c>
      <c r="L7363">
        <v>1</v>
      </c>
      <c r="M7363" t="s">
        <v>29</v>
      </c>
    </row>
    <row r="7364" spans="1:13" hidden="1" x14ac:dyDescent="0.15">
      <c r="A7364" t="s">
        <v>23040</v>
      </c>
      <c r="B7364" t="s">
        <v>23041</v>
      </c>
      <c r="C7364" t="s">
        <v>23042</v>
      </c>
      <c r="D7364" t="s">
        <v>23031</v>
      </c>
      <c r="E7364">
        <v>4</v>
      </c>
      <c r="F7364" t="str">
        <f>HYPERLINK("https://github.com/MozillaReality/FirefoxReality/issues/2881", "show")</f>
        <v>show</v>
      </c>
      <c r="G7364" t="str">
        <f>HYPERLINK("https://github.com/MozillaReality/FirefoxReality", "show")</f>
        <v>show</v>
      </c>
      <c r="H7364" t="str">
        <f>HYPERLINK("https://github.com/MozillaReality/FirefoxReality/releases", "show")</f>
        <v>show</v>
      </c>
      <c r="I7364">
        <v>1</v>
      </c>
      <c r="J7364">
        <v>1</v>
      </c>
      <c r="K7364">
        <v>0</v>
      </c>
      <c r="L7364">
        <v>0</v>
      </c>
      <c r="M7364" t="s">
        <v>48</v>
      </c>
    </row>
    <row r="7365" spans="1:13" hidden="1" x14ac:dyDescent="0.15">
      <c r="A7365" t="s">
        <v>23043</v>
      </c>
      <c r="B7365" t="s">
        <v>23044</v>
      </c>
      <c r="C7365" t="s">
        <v>23045</v>
      </c>
      <c r="D7365" t="s">
        <v>23031</v>
      </c>
      <c r="E7365">
        <v>10</v>
      </c>
      <c r="F7365" t="str">
        <f>HYPERLINK("https://github.com/TeamNewPipe/NewPipe/issues/3147", "show")</f>
        <v>show</v>
      </c>
      <c r="G7365" t="str">
        <f>HYPERLINK("https://github.com/TeamNewPipe/NewPipe", "show")</f>
        <v>show</v>
      </c>
      <c r="H7365" t="str">
        <f>HYPERLINK("https://github.com/TeamNewPipe/NewPipe/releases", "show")</f>
        <v>show</v>
      </c>
      <c r="I7365">
        <v>1</v>
      </c>
      <c r="J7365">
        <v>0</v>
      </c>
      <c r="K7365">
        <v>1</v>
      </c>
      <c r="L7365">
        <v>0</v>
      </c>
      <c r="M7365" t="s">
        <v>64</v>
      </c>
    </row>
    <row r="7366" spans="1:13" hidden="1" x14ac:dyDescent="0.15">
      <c r="A7366" t="s">
        <v>23046</v>
      </c>
      <c r="B7366" t="s">
        <v>23047</v>
      </c>
      <c r="C7366" t="s">
        <v>23048</v>
      </c>
      <c r="D7366" t="s">
        <v>23049</v>
      </c>
      <c r="E7366">
        <v>13</v>
      </c>
      <c r="F7366" t="str">
        <f>HYPERLINK("https://github.com/nextcloud/android/issues/5526", "show")</f>
        <v>show</v>
      </c>
      <c r="G7366" t="str">
        <f>HYPERLINK("https://github.com/nextcloud/android", "show")</f>
        <v>show</v>
      </c>
      <c r="H7366" t="str">
        <f>HYPERLINK("https://github.com/nextcloud/android/releases", "show")</f>
        <v>show</v>
      </c>
      <c r="I7366">
        <v>0</v>
      </c>
      <c r="J7366">
        <v>0</v>
      </c>
      <c r="K7366">
        <v>1</v>
      </c>
      <c r="L7366">
        <v>0</v>
      </c>
      <c r="M7366" t="s">
        <v>122</v>
      </c>
    </row>
    <row r="7367" spans="1:13" hidden="1" x14ac:dyDescent="0.15">
      <c r="A7367" t="s">
        <v>23050</v>
      </c>
      <c r="B7367" t="s">
        <v>23051</v>
      </c>
      <c r="C7367" t="s">
        <v>23052</v>
      </c>
      <c r="D7367" t="s">
        <v>23049</v>
      </c>
      <c r="E7367">
        <v>18</v>
      </c>
      <c r="F7367" t="str">
        <f>HYPERLINK("https://github.com/XBigTK13X/snowgloo/issues/10", "show")</f>
        <v>show</v>
      </c>
      <c r="G7367" t="str">
        <f>HYPERLINK("https://github.com/XBigTK13X/snowgloo", "show")</f>
        <v>show</v>
      </c>
      <c r="H7367" t="str">
        <f>HYPERLINK("https://github.com/XBigTK13X/snowgloo/releases", "show")</f>
        <v>show</v>
      </c>
      <c r="I7367">
        <v>1</v>
      </c>
      <c r="J7367">
        <v>0</v>
      </c>
      <c r="K7367">
        <v>0</v>
      </c>
      <c r="L7367">
        <v>0</v>
      </c>
      <c r="M7367" t="s">
        <v>17</v>
      </c>
    </row>
    <row r="7368" spans="1:13" x14ac:dyDescent="0.15">
      <c r="A7368" t="s">
        <v>23053</v>
      </c>
      <c r="B7368" t="s">
        <v>23054</v>
      </c>
      <c r="C7368" t="s">
        <v>22792</v>
      </c>
      <c r="D7368" t="s">
        <v>23049</v>
      </c>
      <c r="E7368">
        <v>66</v>
      </c>
      <c r="F7368" t="str">
        <f>HYPERLINK("https://github.com/nextcloud/android/issues/5523", "show")</f>
        <v>show</v>
      </c>
      <c r="G7368" t="str">
        <f>HYPERLINK("https://github.com/nextcloud/android", "show")</f>
        <v>show</v>
      </c>
      <c r="H7368" t="str">
        <f>HYPERLINK("https://github.com/nextcloud/android/releases", "show")</f>
        <v>show</v>
      </c>
      <c r="I7368">
        <v>0</v>
      </c>
      <c r="J7368">
        <v>1</v>
      </c>
      <c r="K7368">
        <v>0</v>
      </c>
      <c r="L7368">
        <v>0</v>
      </c>
      <c r="M7368" t="s">
        <v>139</v>
      </c>
    </row>
    <row r="7369" spans="1:13" hidden="1" x14ac:dyDescent="0.15">
      <c r="A7369" t="s">
        <v>23055</v>
      </c>
      <c r="B7369" t="s">
        <v>23056</v>
      </c>
      <c r="C7369" t="s">
        <v>23057</v>
      </c>
      <c r="D7369" t="s">
        <v>23049</v>
      </c>
      <c r="E7369">
        <v>104</v>
      </c>
      <c r="F7369" t="str">
        <f>HYPERLINK("https://github.com/mapbox/mapbox-events-android/issues/458", "show")</f>
        <v>show</v>
      </c>
      <c r="G7369" t="str">
        <f>HYPERLINK("https://github.com/mapbox/mapbox-events-android", "show")</f>
        <v>show</v>
      </c>
      <c r="H7369" t="str">
        <f>HYPERLINK("https://github.com/mapbox/mapbox-events-android/releases", "show")</f>
        <v>show</v>
      </c>
      <c r="I7369">
        <v>1</v>
      </c>
      <c r="J7369">
        <v>0</v>
      </c>
      <c r="K7369">
        <v>0</v>
      </c>
      <c r="L7369">
        <v>0</v>
      </c>
      <c r="M7369" t="s">
        <v>17</v>
      </c>
    </row>
    <row r="7370" spans="1:13" hidden="1" x14ac:dyDescent="0.15">
      <c r="A7370" t="s">
        <v>23058</v>
      </c>
      <c r="B7370" t="s">
        <v>23059</v>
      </c>
      <c r="C7370" t="s">
        <v>23060</v>
      </c>
      <c r="D7370" t="s">
        <v>23061</v>
      </c>
      <c r="E7370">
        <v>1</v>
      </c>
      <c r="F7370" t="str">
        <f>HYPERLINK("https://github.com/barbeau/gpstest/issues/380", "show")</f>
        <v>show</v>
      </c>
      <c r="G7370" t="str">
        <f>HYPERLINK("https://github.com/barbeau/gpstest", "show")</f>
        <v>show</v>
      </c>
      <c r="H7370" t="str">
        <f>HYPERLINK("https://github.com/barbeau/gpstest/releases", "show")</f>
        <v>show</v>
      </c>
      <c r="I7370">
        <v>1</v>
      </c>
      <c r="J7370">
        <v>0</v>
      </c>
      <c r="K7370">
        <v>1</v>
      </c>
      <c r="L7370">
        <v>0</v>
      </c>
      <c r="M7370" t="s">
        <v>64</v>
      </c>
    </row>
    <row r="7371" spans="1:13" hidden="1" x14ac:dyDescent="0.15">
      <c r="A7371" t="s">
        <v>23062</v>
      </c>
      <c r="B7371" t="s">
        <v>23063</v>
      </c>
      <c r="C7371" t="s">
        <v>23064</v>
      </c>
      <c r="D7371" t="s">
        <v>23065</v>
      </c>
      <c r="E7371">
        <v>0</v>
      </c>
      <c r="F7371" t="str">
        <f>HYPERLINK("https://github.com/nextcloud/android/issues/5513", "show")</f>
        <v>show</v>
      </c>
      <c r="G7371" t="str">
        <f>HYPERLINK("https://github.com/nextcloud/android", "show")</f>
        <v>show</v>
      </c>
      <c r="H7371" t="str">
        <f>HYPERLINK("https://github.com/nextcloud/android/releases", "show")</f>
        <v>show</v>
      </c>
      <c r="I7371">
        <v>1</v>
      </c>
      <c r="J7371">
        <v>1</v>
      </c>
      <c r="K7371">
        <v>0</v>
      </c>
      <c r="L7371">
        <v>0</v>
      </c>
      <c r="M7371" t="s">
        <v>48</v>
      </c>
    </row>
    <row r="7372" spans="1:13" hidden="1" x14ac:dyDescent="0.15">
      <c r="A7372" t="s">
        <v>23066</v>
      </c>
      <c r="B7372" t="s">
        <v>23067</v>
      </c>
      <c r="C7372" t="s">
        <v>23068</v>
      </c>
      <c r="D7372" t="s">
        <v>23065</v>
      </c>
      <c r="E7372">
        <v>12</v>
      </c>
      <c r="F7372" t="str">
        <f>HYPERLINK("https://github.com/Bartekm1996/Invi/issues/20", "show")</f>
        <v>show</v>
      </c>
      <c r="G7372" t="str">
        <f>HYPERLINK("https://github.com/Bartekm1996/Invi", "show")</f>
        <v>show</v>
      </c>
      <c r="H7372" t="str">
        <f>HYPERLINK("https://github.com/Bartekm1996/Invi/releases", "show")</f>
        <v>show</v>
      </c>
      <c r="I7372">
        <v>1</v>
      </c>
      <c r="J7372">
        <v>0</v>
      </c>
      <c r="K7372">
        <v>0</v>
      </c>
      <c r="L7372">
        <v>0</v>
      </c>
      <c r="M7372" t="s">
        <v>17</v>
      </c>
    </row>
    <row r="7373" spans="1:13" hidden="1" x14ac:dyDescent="0.15">
      <c r="A7373" t="s">
        <v>23069</v>
      </c>
      <c r="B7373" t="s">
        <v>23070</v>
      </c>
      <c r="C7373" t="s">
        <v>23071</v>
      </c>
      <c r="D7373" t="s">
        <v>23072</v>
      </c>
      <c r="E7373">
        <v>172</v>
      </c>
      <c r="F7373" t="str">
        <f>HYPERLINK("https://github.com/material-components/material-components-android/issues/1054", "show")</f>
        <v>show</v>
      </c>
      <c r="G7373" t="str">
        <f>HYPERLINK("https://github.com/material-components/material-components-android", "show")</f>
        <v>show</v>
      </c>
      <c r="H7373" t="str">
        <f>HYPERLINK("https://github.com/material-components/material-components-android/releases", "show")</f>
        <v>show</v>
      </c>
      <c r="I7373">
        <v>1</v>
      </c>
      <c r="J7373">
        <v>0</v>
      </c>
      <c r="K7373">
        <v>1</v>
      </c>
      <c r="L7373">
        <v>0</v>
      </c>
      <c r="M7373" t="s">
        <v>64</v>
      </c>
    </row>
    <row r="7374" spans="1:13" hidden="1" x14ac:dyDescent="0.15">
      <c r="A7374" t="s">
        <v>23073</v>
      </c>
      <c r="B7374" t="s">
        <v>23074</v>
      </c>
      <c r="C7374" t="s">
        <v>23075</v>
      </c>
      <c r="D7374" t="s">
        <v>23076</v>
      </c>
      <c r="E7374">
        <v>16</v>
      </c>
      <c r="F7374" t="str">
        <f>HYPERLINK("https://github.com/tanguyantoine/react-native-music-control/issues/319", "show")</f>
        <v>show</v>
      </c>
      <c r="G7374" t="str">
        <f>HYPERLINK("https://github.com/tanguyantoine/react-native-music-control", "show")</f>
        <v>show</v>
      </c>
      <c r="H7374" t="str">
        <f>HYPERLINK("https://github.com/tanguyantoine/react-native-music-control/releases", "show")</f>
        <v>show</v>
      </c>
      <c r="I7374">
        <v>1</v>
      </c>
      <c r="J7374">
        <v>0</v>
      </c>
      <c r="K7374">
        <v>1</v>
      </c>
      <c r="L7374">
        <v>0</v>
      </c>
      <c r="M7374" t="s">
        <v>64</v>
      </c>
    </row>
    <row r="7375" spans="1:13" hidden="1" x14ac:dyDescent="0.15">
      <c r="A7375" t="s">
        <v>23077</v>
      </c>
      <c r="B7375" t="s">
        <v>23078</v>
      </c>
      <c r="C7375" t="s">
        <v>23079</v>
      </c>
      <c r="D7375" t="s">
        <v>23076</v>
      </c>
      <c r="E7375">
        <v>30</v>
      </c>
      <c r="F7375" t="str">
        <f>HYPERLINK("https://github.com/nextcloud/android/issues/5505", "show")</f>
        <v>show</v>
      </c>
      <c r="G7375" t="str">
        <f>HYPERLINK("https://github.com/nextcloud/android", "show")</f>
        <v>show</v>
      </c>
      <c r="H7375" t="str">
        <f>HYPERLINK("https://github.com/nextcloud/android/releases", "show")</f>
        <v>show</v>
      </c>
      <c r="I7375">
        <v>1</v>
      </c>
      <c r="J7375">
        <v>1</v>
      </c>
      <c r="K7375">
        <v>1</v>
      </c>
      <c r="L7375">
        <v>0</v>
      </c>
      <c r="M7375" t="s">
        <v>59</v>
      </c>
    </row>
    <row r="7376" spans="1:13" hidden="1" x14ac:dyDescent="0.15">
      <c r="A7376" t="s">
        <v>23080</v>
      </c>
      <c r="B7376" t="s">
        <v>23081</v>
      </c>
      <c r="C7376" t="s">
        <v>23082</v>
      </c>
      <c r="D7376" t="s">
        <v>23076</v>
      </c>
      <c r="E7376">
        <v>77</v>
      </c>
      <c r="F7376" t="str">
        <f>HYPERLINK("https://github.com/nextcloud/android/issues/5503", "show")</f>
        <v>show</v>
      </c>
      <c r="G7376" t="str">
        <f>HYPERLINK("https://github.com/nextcloud/android", "show")</f>
        <v>show</v>
      </c>
      <c r="H7376" t="str">
        <f>HYPERLINK("https://github.com/nextcloud/android/releases", "show")</f>
        <v>show</v>
      </c>
      <c r="I7376">
        <v>0</v>
      </c>
      <c r="J7376">
        <v>0</v>
      </c>
      <c r="K7376">
        <v>1</v>
      </c>
      <c r="L7376">
        <v>0</v>
      </c>
      <c r="M7376" t="s">
        <v>122</v>
      </c>
    </row>
    <row r="7377" spans="1:13" hidden="1" x14ac:dyDescent="0.15">
      <c r="A7377" t="s">
        <v>23083</v>
      </c>
      <c r="B7377" t="s">
        <v>23084</v>
      </c>
      <c r="C7377" t="s">
        <v>23085</v>
      </c>
      <c r="D7377" t="s">
        <v>23076</v>
      </c>
      <c r="E7377">
        <v>10</v>
      </c>
      <c r="F7377" t="str">
        <f>HYPERLINK("https://github.com/inaturalist/iNaturalistAndroid/issues/781", "show")</f>
        <v>show</v>
      </c>
      <c r="G7377" t="str">
        <f>HYPERLINK("https://github.com/inaturalist/iNaturalistAndroid", "show")</f>
        <v>show</v>
      </c>
      <c r="H7377" t="str">
        <f>HYPERLINK("https://github.com/inaturalist/iNaturalistAndroid/releases", "show")</f>
        <v>show</v>
      </c>
      <c r="I7377">
        <v>0</v>
      </c>
      <c r="J7377">
        <v>0</v>
      </c>
      <c r="K7377">
        <v>0</v>
      </c>
      <c r="L7377">
        <v>0</v>
      </c>
      <c r="M7377" t="s">
        <v>43</v>
      </c>
    </row>
    <row r="7378" spans="1:13" hidden="1" x14ac:dyDescent="0.15">
      <c r="A7378" t="s">
        <v>23086</v>
      </c>
      <c r="B7378" t="s">
        <v>23087</v>
      </c>
      <c r="D7378" t="s">
        <v>23088</v>
      </c>
      <c r="E7378">
        <v>17</v>
      </c>
      <c r="F7378" t="str">
        <f>HYPERLINK("https://github.com/mit-cml/appinventor-sources/issues/2049", "show")</f>
        <v>show</v>
      </c>
      <c r="G7378" t="str">
        <f>HYPERLINK("https://github.com/mit-cml/appinventor-sources", "show")</f>
        <v>show</v>
      </c>
      <c r="H7378" t="str">
        <f>HYPERLINK("https://github.com/mit-cml/appinventor-sources/releases", "show")</f>
        <v>show</v>
      </c>
      <c r="I7378">
        <v>0</v>
      </c>
      <c r="J7378">
        <v>0</v>
      </c>
      <c r="K7378">
        <v>0</v>
      </c>
      <c r="L7378">
        <v>0</v>
      </c>
      <c r="M7378" t="s">
        <v>43</v>
      </c>
    </row>
    <row r="7379" spans="1:13" hidden="1" x14ac:dyDescent="0.15">
      <c r="A7379" t="s">
        <v>23089</v>
      </c>
      <c r="B7379" t="s">
        <v>23090</v>
      </c>
      <c r="D7379" t="s">
        <v>23088</v>
      </c>
      <c r="E7379">
        <v>119</v>
      </c>
      <c r="F7379" t="str">
        <f>HYPERLINK("https://github.com/opensrp/opensrp-client-giz-malawi/issues/226", "show")</f>
        <v>show</v>
      </c>
      <c r="G7379" t="str">
        <f>HYPERLINK("https://github.com/opensrp/opensrp-client-giz-malawi", "show")</f>
        <v>show</v>
      </c>
      <c r="H7379" t="str">
        <f>HYPERLINK("https://github.com/opensrp/opensrp-client-giz-malawi/releases", "show")</f>
        <v>show</v>
      </c>
      <c r="I7379">
        <v>0</v>
      </c>
      <c r="J7379">
        <v>0</v>
      </c>
      <c r="K7379">
        <v>1</v>
      </c>
      <c r="L7379">
        <v>0</v>
      </c>
      <c r="M7379" t="s">
        <v>122</v>
      </c>
    </row>
    <row r="7380" spans="1:13" hidden="1" x14ac:dyDescent="0.15">
      <c r="A7380" t="s">
        <v>23091</v>
      </c>
      <c r="B7380" t="s">
        <v>23092</v>
      </c>
      <c r="C7380" t="s">
        <v>23093</v>
      </c>
      <c r="D7380" t="s">
        <v>23088</v>
      </c>
      <c r="E7380">
        <v>71</v>
      </c>
      <c r="F7380" t="str">
        <f>HYPERLINK("https://github.com/nextcloud/android/issues/5500", "show")</f>
        <v>show</v>
      </c>
      <c r="G7380" t="str">
        <f>HYPERLINK("https://github.com/nextcloud/android", "show")</f>
        <v>show</v>
      </c>
      <c r="H7380" t="str">
        <f>HYPERLINK("https://github.com/nextcloud/android/releases", "show")</f>
        <v>show</v>
      </c>
      <c r="I7380">
        <v>0</v>
      </c>
      <c r="J7380">
        <v>1</v>
      </c>
      <c r="K7380">
        <v>1</v>
      </c>
      <c r="L7380">
        <v>0</v>
      </c>
      <c r="M7380" t="s">
        <v>699</v>
      </c>
    </row>
    <row r="7381" spans="1:13" hidden="1" x14ac:dyDescent="0.15">
      <c r="A7381" t="s">
        <v>23094</v>
      </c>
      <c r="B7381" t="s">
        <v>23095</v>
      </c>
      <c r="C7381" t="s">
        <v>23096</v>
      </c>
      <c r="D7381" t="s">
        <v>23088</v>
      </c>
      <c r="E7381">
        <v>3</v>
      </c>
      <c r="F7381" t="str">
        <f>HYPERLINK("https://github.com/nextcloud/android/issues/5499", "show")</f>
        <v>show</v>
      </c>
      <c r="G7381" t="str">
        <f>HYPERLINK("https://github.com/nextcloud/android", "show")</f>
        <v>show</v>
      </c>
      <c r="H7381" t="str">
        <f>HYPERLINK("https://github.com/nextcloud/android/releases", "show")</f>
        <v>show</v>
      </c>
      <c r="I7381">
        <v>1</v>
      </c>
      <c r="J7381">
        <v>1</v>
      </c>
      <c r="K7381">
        <v>1</v>
      </c>
      <c r="L7381">
        <v>0</v>
      </c>
      <c r="M7381" t="s">
        <v>59</v>
      </c>
    </row>
    <row r="7382" spans="1:13" hidden="1" x14ac:dyDescent="0.15">
      <c r="A7382" t="s">
        <v>23097</v>
      </c>
      <c r="B7382" t="s">
        <v>23098</v>
      </c>
      <c r="C7382" t="s">
        <v>23099</v>
      </c>
      <c r="D7382" t="s">
        <v>23100</v>
      </c>
      <c r="E7382">
        <v>13</v>
      </c>
      <c r="F7382" t="str">
        <f>HYPERLINK("https://github.com/k9mail/k-9/issues/4554", "show")</f>
        <v>show</v>
      </c>
      <c r="G7382" t="str">
        <f>HYPERLINK("https://github.com/k9mail/k-9", "show")</f>
        <v>show</v>
      </c>
      <c r="H7382" t="str">
        <f>HYPERLINK("https://github.com/k9mail/k-9/releases", "show")</f>
        <v>show</v>
      </c>
      <c r="I7382">
        <v>0</v>
      </c>
      <c r="J7382">
        <v>0</v>
      </c>
      <c r="K7382">
        <v>0</v>
      </c>
      <c r="L7382">
        <v>0</v>
      </c>
      <c r="M7382" t="s">
        <v>43</v>
      </c>
    </row>
    <row r="7383" spans="1:13" hidden="1" x14ac:dyDescent="0.15">
      <c r="A7383" t="s">
        <v>23101</v>
      </c>
      <c r="B7383" t="s">
        <v>23102</v>
      </c>
      <c r="C7383" t="s">
        <v>23103</v>
      </c>
      <c r="D7383" t="s">
        <v>23104</v>
      </c>
      <c r="E7383">
        <v>0</v>
      </c>
      <c r="F7383" t="str">
        <f>HYPERLINK("https://github.com/ankidroid/Anki-Android/issues/5764", "show")</f>
        <v>show</v>
      </c>
      <c r="G7383" t="str">
        <f>HYPERLINK("https://github.com/ankidroid/Anki-Android", "show")</f>
        <v>show</v>
      </c>
      <c r="H7383" t="str">
        <f>HYPERLINK("https://github.com/ankidroid/Anki-Android/releases", "show")</f>
        <v>show</v>
      </c>
      <c r="I7383">
        <v>1</v>
      </c>
      <c r="J7383">
        <v>1</v>
      </c>
      <c r="K7383">
        <v>1</v>
      </c>
      <c r="L7383">
        <v>0</v>
      </c>
      <c r="M7383" t="s">
        <v>59</v>
      </c>
    </row>
    <row r="7384" spans="1:13" hidden="1" x14ac:dyDescent="0.15">
      <c r="A7384" t="s">
        <v>23105</v>
      </c>
      <c r="B7384" t="s">
        <v>23106</v>
      </c>
      <c r="C7384" t="s">
        <v>23107</v>
      </c>
      <c r="D7384" t="s">
        <v>23104</v>
      </c>
      <c r="E7384">
        <v>3</v>
      </c>
      <c r="F7384" t="str">
        <f>HYPERLINK("https://github.com/inspiraluna/doiContacts/issues/51", "show")</f>
        <v>show</v>
      </c>
      <c r="G7384" t="str">
        <f>HYPERLINK("https://github.com/inspiraluna/doiContacts", "show")</f>
        <v>show</v>
      </c>
      <c r="H7384" t="str">
        <f>HYPERLINK("https://github.com/inspiraluna/doiContacts/releases", "show")</f>
        <v>show</v>
      </c>
      <c r="I7384">
        <v>1</v>
      </c>
      <c r="J7384">
        <v>0</v>
      </c>
      <c r="K7384">
        <v>0</v>
      </c>
      <c r="L7384">
        <v>0</v>
      </c>
      <c r="M7384" t="s">
        <v>17</v>
      </c>
    </row>
    <row r="7385" spans="1:13" hidden="1" x14ac:dyDescent="0.15">
      <c r="A7385" t="s">
        <v>23108</v>
      </c>
      <c r="B7385" t="s">
        <v>6557</v>
      </c>
      <c r="C7385" t="s">
        <v>23109</v>
      </c>
      <c r="D7385" t="s">
        <v>23104</v>
      </c>
      <c r="E7385">
        <v>0</v>
      </c>
      <c r="F7385" t="str">
        <f>HYPERLINK("https://github.com/nextcloud/android/issues/5490", "show")</f>
        <v>show</v>
      </c>
      <c r="G7385" t="str">
        <f>HYPERLINK("https://github.com/nextcloud/android", "show")</f>
        <v>show</v>
      </c>
      <c r="H7385" t="str">
        <f>HYPERLINK("https://github.com/nextcloud/android/releases", "show")</f>
        <v>show</v>
      </c>
      <c r="I7385">
        <v>0</v>
      </c>
      <c r="J7385">
        <v>0</v>
      </c>
      <c r="K7385">
        <v>0</v>
      </c>
      <c r="L7385">
        <v>0</v>
      </c>
      <c r="M7385" t="s">
        <v>43</v>
      </c>
    </row>
    <row r="7386" spans="1:13" hidden="1" x14ac:dyDescent="0.15">
      <c r="A7386" t="s">
        <v>23110</v>
      </c>
      <c r="B7386" t="s">
        <v>23111</v>
      </c>
      <c r="C7386" t="s">
        <v>23112</v>
      </c>
      <c r="D7386" t="s">
        <v>23104</v>
      </c>
      <c r="E7386">
        <v>96</v>
      </c>
      <c r="F7386" t="str">
        <f>HYPERLINK("https://github.com/Haptic-Apps/Slide/issues/3124", "show")</f>
        <v>show</v>
      </c>
      <c r="G7386" t="str">
        <f>HYPERLINK("https://github.com/Haptic-Apps/Slide", "show")</f>
        <v>show</v>
      </c>
      <c r="H7386" t="str">
        <f>HYPERLINK("https://github.com/Haptic-Apps/Slide/releases", "show")</f>
        <v>show</v>
      </c>
      <c r="I7386">
        <v>1</v>
      </c>
      <c r="J7386">
        <v>1</v>
      </c>
      <c r="K7386">
        <v>0</v>
      </c>
      <c r="L7386">
        <v>0</v>
      </c>
      <c r="M7386" t="s">
        <v>48</v>
      </c>
    </row>
    <row r="7387" spans="1:13" hidden="1" x14ac:dyDescent="0.15">
      <c r="A7387" t="s">
        <v>23113</v>
      </c>
      <c r="B7387" t="s">
        <v>23114</v>
      </c>
      <c r="C7387" t="s">
        <v>23115</v>
      </c>
      <c r="D7387" t="s">
        <v>23104</v>
      </c>
      <c r="E7387">
        <v>64</v>
      </c>
      <c r="F7387" t="str">
        <f>HYPERLINK("https://github.com/opensrp/opensrp-client-chw-hf/issues/48", "show")</f>
        <v>show</v>
      </c>
      <c r="G7387" t="str">
        <f>HYPERLINK("https://github.com/opensrp/opensrp-client-chw-hf", "show")</f>
        <v>show</v>
      </c>
      <c r="H7387" t="str">
        <f>HYPERLINK("https://github.com/opensrp/opensrp-client-chw-hf/releases", "show")</f>
        <v>show</v>
      </c>
      <c r="I7387">
        <v>1</v>
      </c>
      <c r="J7387">
        <v>0</v>
      </c>
      <c r="K7387">
        <v>0</v>
      </c>
      <c r="L7387">
        <v>0</v>
      </c>
      <c r="M7387" t="s">
        <v>17</v>
      </c>
    </row>
    <row r="7388" spans="1:13" hidden="1" x14ac:dyDescent="0.15">
      <c r="A7388" t="s">
        <v>23116</v>
      </c>
      <c r="B7388" t="s">
        <v>23117</v>
      </c>
      <c r="C7388" t="s">
        <v>23118</v>
      </c>
      <c r="D7388" t="s">
        <v>23104</v>
      </c>
      <c r="E7388">
        <v>134</v>
      </c>
      <c r="F7388" t="str">
        <f>HYPERLINK("https://github.com/nextcloud/android-library/issues/404", "show")</f>
        <v>show</v>
      </c>
      <c r="G7388" t="str">
        <f>HYPERLINK("https://github.com/nextcloud/android-library", "show")</f>
        <v>show</v>
      </c>
      <c r="H7388" t="str">
        <f>HYPERLINK("https://github.com/nextcloud/android-library/releases", "show")</f>
        <v>show</v>
      </c>
      <c r="I7388">
        <v>1</v>
      </c>
      <c r="J7388">
        <v>0</v>
      </c>
      <c r="K7388">
        <v>1</v>
      </c>
      <c r="L7388">
        <v>0</v>
      </c>
      <c r="M7388" t="s">
        <v>64</v>
      </c>
    </row>
    <row r="7389" spans="1:13" hidden="1" x14ac:dyDescent="0.15">
      <c r="A7389" t="s">
        <v>23119</v>
      </c>
      <c r="B7389" t="s">
        <v>23120</v>
      </c>
      <c r="C7389" t="s">
        <v>23121</v>
      </c>
      <c r="D7389" t="s">
        <v>23122</v>
      </c>
      <c r="E7389">
        <v>141</v>
      </c>
      <c r="F7389" t="str">
        <f>HYPERLINK("https://github.com/amahi/android/issues/507", "show")</f>
        <v>show</v>
      </c>
      <c r="G7389" t="str">
        <f>HYPERLINK("https://github.com/amahi/android", "show")</f>
        <v>show</v>
      </c>
      <c r="H7389" t="str">
        <f>HYPERLINK("https://github.com/amahi/android/releases", "show")</f>
        <v>show</v>
      </c>
      <c r="I7389">
        <v>0</v>
      </c>
      <c r="J7389">
        <v>0</v>
      </c>
      <c r="K7389">
        <v>0</v>
      </c>
      <c r="L7389">
        <v>0</v>
      </c>
      <c r="M7389" t="s">
        <v>43</v>
      </c>
    </row>
    <row r="7390" spans="1:13" hidden="1" x14ac:dyDescent="0.15">
      <c r="A7390" t="s">
        <v>23123</v>
      </c>
      <c r="B7390" t="s">
        <v>23124</v>
      </c>
      <c r="C7390" t="s">
        <v>23125</v>
      </c>
      <c r="D7390" t="s">
        <v>23122</v>
      </c>
      <c r="E7390">
        <v>0</v>
      </c>
      <c r="F7390" t="str">
        <f>HYPERLINK("https://github.com/ankidroid/Anki-Android/issues/5760", "show")</f>
        <v>show</v>
      </c>
      <c r="G7390" t="str">
        <f>HYPERLINK("https://github.com/ankidroid/Anki-Android", "show")</f>
        <v>show</v>
      </c>
      <c r="H7390" t="str">
        <f>HYPERLINK("https://github.com/ankidroid/Anki-Android/releases", "show")</f>
        <v>show</v>
      </c>
      <c r="I7390">
        <v>0</v>
      </c>
      <c r="J7390">
        <v>0</v>
      </c>
      <c r="K7390">
        <v>1</v>
      </c>
      <c r="L7390">
        <v>0</v>
      </c>
      <c r="M7390" t="s">
        <v>122</v>
      </c>
    </row>
    <row r="7391" spans="1:13" hidden="1" x14ac:dyDescent="0.15">
      <c r="A7391" t="s">
        <v>23126</v>
      </c>
      <c r="B7391" t="s">
        <v>23127</v>
      </c>
      <c r="C7391" t="s">
        <v>23128</v>
      </c>
      <c r="D7391" t="s">
        <v>23122</v>
      </c>
      <c r="E7391">
        <v>0</v>
      </c>
      <c r="F7391" t="str">
        <f>HYPERLINK("https://github.com/TeamNewPipe/NewPipe/issues/3105", "show")</f>
        <v>show</v>
      </c>
      <c r="G7391" t="str">
        <f>HYPERLINK("https://github.com/TeamNewPipe/NewPipe", "show")</f>
        <v>show</v>
      </c>
      <c r="H7391" t="str">
        <f>HYPERLINK("https://github.com/TeamNewPipe/NewPipe/releases", "show")</f>
        <v>show</v>
      </c>
      <c r="I7391">
        <v>1</v>
      </c>
      <c r="J7391">
        <v>0</v>
      </c>
      <c r="K7391">
        <v>1</v>
      </c>
      <c r="L7391">
        <v>1</v>
      </c>
      <c r="M7391" t="s">
        <v>1259</v>
      </c>
    </row>
    <row r="7392" spans="1:13" hidden="1" x14ac:dyDescent="0.15">
      <c r="A7392" t="s">
        <v>23129</v>
      </c>
      <c r="B7392" t="s">
        <v>23130</v>
      </c>
      <c r="C7392" t="s">
        <v>23131</v>
      </c>
      <c r="D7392" t="s">
        <v>23122</v>
      </c>
      <c r="E7392">
        <v>10</v>
      </c>
      <c r="F7392" t="str">
        <f>HYPERLINK("https://github.com/k3b/APhotoManager/issues/167", "show")</f>
        <v>show</v>
      </c>
      <c r="G7392" t="str">
        <f>HYPERLINK("https://github.com/k3b/APhotoManager", "show")</f>
        <v>show</v>
      </c>
      <c r="H7392" t="str">
        <f>HYPERLINK("https://github.com/k3b/APhotoManager/releases", "show")</f>
        <v>show</v>
      </c>
      <c r="I7392">
        <v>1</v>
      </c>
      <c r="J7392">
        <v>0</v>
      </c>
      <c r="K7392">
        <v>0</v>
      </c>
      <c r="L7392">
        <v>0</v>
      </c>
      <c r="M7392" t="s">
        <v>17</v>
      </c>
    </row>
    <row r="7393" spans="1:13" x14ac:dyDescent="0.15">
      <c r="A7393" t="s">
        <v>23132</v>
      </c>
      <c r="B7393" t="s">
        <v>23133</v>
      </c>
      <c r="C7393" t="s">
        <v>23134</v>
      </c>
      <c r="D7393" t="s">
        <v>23135</v>
      </c>
      <c r="E7393">
        <v>15</v>
      </c>
      <c r="F7393" t="str">
        <f>HYPERLINK("https://github.com/ankidroid/Anki-Android/issues/5758", "show")</f>
        <v>show</v>
      </c>
      <c r="G7393" t="str">
        <f>HYPERLINK("https://github.com/ankidroid/Anki-Android", "show")</f>
        <v>show</v>
      </c>
      <c r="H7393" t="str">
        <f>HYPERLINK("https://github.com/ankidroid/Anki-Android/releases", "show")</f>
        <v>show</v>
      </c>
      <c r="I7393">
        <v>0</v>
      </c>
      <c r="J7393">
        <v>1</v>
      </c>
      <c r="K7393">
        <v>0</v>
      </c>
      <c r="L7393">
        <v>0</v>
      </c>
      <c r="M7393" t="s">
        <v>139</v>
      </c>
    </row>
    <row r="7394" spans="1:13" hidden="1" x14ac:dyDescent="0.15">
      <c r="A7394" t="s">
        <v>23136</v>
      </c>
      <c r="B7394" t="s">
        <v>23137</v>
      </c>
      <c r="C7394" t="s">
        <v>23138</v>
      </c>
      <c r="D7394" t="s">
        <v>23135</v>
      </c>
      <c r="E7394">
        <v>7</v>
      </c>
      <c r="F7394" t="str">
        <f>HYPERLINK("https://github.com/material-components/material-components-android/issues/1026", "show")</f>
        <v>show</v>
      </c>
      <c r="G7394" t="str">
        <f>HYPERLINK("https://github.com/material-components/material-components-android", "show")</f>
        <v>show</v>
      </c>
      <c r="H7394" t="str">
        <f>HYPERLINK("https://github.com/material-components/material-components-android/releases", "show")</f>
        <v>show</v>
      </c>
      <c r="I7394">
        <v>1</v>
      </c>
      <c r="J7394">
        <v>0</v>
      </c>
      <c r="K7394">
        <v>0</v>
      </c>
      <c r="L7394">
        <v>0</v>
      </c>
      <c r="M7394" t="s">
        <v>17</v>
      </c>
    </row>
    <row r="7395" spans="1:13" hidden="1" x14ac:dyDescent="0.15">
      <c r="A7395" t="s">
        <v>23139</v>
      </c>
      <c r="B7395" t="s">
        <v>23140</v>
      </c>
      <c r="C7395" t="s">
        <v>23141</v>
      </c>
      <c r="D7395" t="s">
        <v>23135</v>
      </c>
      <c r="E7395">
        <v>34</v>
      </c>
      <c r="F7395" t="str">
        <f>HYPERLINK("https://github.com/ankidroid/Anki-Android/issues/5756", "show")</f>
        <v>show</v>
      </c>
      <c r="G7395" t="str">
        <f>HYPERLINK("https://github.com/ankidroid/Anki-Android", "show")</f>
        <v>show</v>
      </c>
      <c r="H7395" t="str">
        <f>HYPERLINK("https://github.com/ankidroid/Anki-Android/releases", "show")</f>
        <v>show</v>
      </c>
      <c r="I7395">
        <v>1</v>
      </c>
      <c r="J7395">
        <v>1</v>
      </c>
      <c r="K7395">
        <v>1</v>
      </c>
      <c r="L7395">
        <v>0</v>
      </c>
      <c r="M7395" t="s">
        <v>59</v>
      </c>
    </row>
    <row r="7396" spans="1:13" hidden="1" x14ac:dyDescent="0.15">
      <c r="A7396" t="s">
        <v>23142</v>
      </c>
      <c r="B7396" t="s">
        <v>23143</v>
      </c>
      <c r="C7396" t="s">
        <v>23144</v>
      </c>
      <c r="D7396" t="s">
        <v>23135</v>
      </c>
      <c r="E7396">
        <v>72</v>
      </c>
      <c r="F7396" t="str">
        <f>HYPERLINK("https://github.com/nextcloud/android/issues/5481", "show")</f>
        <v>show</v>
      </c>
      <c r="G7396" t="str">
        <f>HYPERLINK("https://github.com/nextcloud/android", "show")</f>
        <v>show</v>
      </c>
      <c r="H7396" t="str">
        <f>HYPERLINK("https://github.com/nextcloud/android/releases", "show")</f>
        <v>show</v>
      </c>
      <c r="I7396">
        <v>0</v>
      </c>
      <c r="J7396">
        <v>0</v>
      </c>
      <c r="K7396">
        <v>1</v>
      </c>
      <c r="L7396">
        <v>0</v>
      </c>
      <c r="M7396" t="s">
        <v>122</v>
      </c>
    </row>
    <row r="7397" spans="1:13" hidden="1" x14ac:dyDescent="0.15">
      <c r="A7397" t="s">
        <v>23145</v>
      </c>
      <c r="B7397" t="s">
        <v>11287</v>
      </c>
      <c r="C7397" t="s">
        <v>23146</v>
      </c>
      <c r="D7397" t="s">
        <v>23135</v>
      </c>
      <c r="E7397">
        <v>60</v>
      </c>
      <c r="F7397" t="str">
        <f>HYPERLINK("https://github.com/Firefds/FirefdsKit/issues/7", "show")</f>
        <v>show</v>
      </c>
      <c r="G7397" t="str">
        <f>HYPERLINK("https://github.com/Firefds/FirefdsKit", "show")</f>
        <v>show</v>
      </c>
      <c r="H7397" t="str">
        <f>HYPERLINK("https://github.com/Firefds/FirefdsKit/releases", "show")</f>
        <v>show</v>
      </c>
      <c r="I7397">
        <v>1</v>
      </c>
      <c r="J7397">
        <v>0</v>
      </c>
      <c r="K7397">
        <v>0</v>
      </c>
      <c r="L7397">
        <v>0</v>
      </c>
      <c r="M7397" t="s">
        <v>17</v>
      </c>
    </row>
    <row r="7398" spans="1:13" hidden="1" x14ac:dyDescent="0.15">
      <c r="A7398" t="s">
        <v>23147</v>
      </c>
      <c r="B7398" t="s">
        <v>23148</v>
      </c>
      <c r="C7398" t="s">
        <v>23149</v>
      </c>
      <c r="D7398" t="s">
        <v>23150</v>
      </c>
      <c r="E7398">
        <v>18</v>
      </c>
      <c r="F7398" t="str">
        <f>HYPERLINK("https://github.com/k9mail/k-9/issues/4539", "show")</f>
        <v>show</v>
      </c>
      <c r="G7398" t="str">
        <f>HYPERLINK("https://github.com/k9mail/k-9", "show")</f>
        <v>show</v>
      </c>
      <c r="H7398" t="str">
        <f>HYPERLINK("https://github.com/k9mail/k-9/releases", "show")</f>
        <v>show</v>
      </c>
      <c r="I7398">
        <v>1</v>
      </c>
      <c r="J7398">
        <v>0</v>
      </c>
      <c r="K7398">
        <v>1</v>
      </c>
      <c r="L7398">
        <v>0</v>
      </c>
      <c r="M7398" t="s">
        <v>64</v>
      </c>
    </row>
    <row r="7399" spans="1:13" hidden="1" x14ac:dyDescent="0.15">
      <c r="A7399" t="s">
        <v>23151</v>
      </c>
      <c r="B7399" t="s">
        <v>23152</v>
      </c>
      <c r="C7399" t="s">
        <v>23153</v>
      </c>
      <c r="D7399" t="s">
        <v>23150</v>
      </c>
      <c r="E7399">
        <v>1</v>
      </c>
      <c r="F7399" t="str">
        <f>HYPERLINK("https://github.com/ankidroid/Anki-Android/issues/5755", "show")</f>
        <v>show</v>
      </c>
      <c r="G7399" t="str">
        <f>HYPERLINK("https://github.com/ankidroid/Anki-Android", "show")</f>
        <v>show</v>
      </c>
      <c r="H7399" t="str">
        <f>HYPERLINK("https://github.com/ankidroid/Anki-Android/releases", "show")</f>
        <v>show</v>
      </c>
      <c r="I7399">
        <v>1</v>
      </c>
      <c r="J7399">
        <v>1</v>
      </c>
      <c r="K7399">
        <v>0</v>
      </c>
      <c r="L7399">
        <v>0</v>
      </c>
      <c r="M7399" t="s">
        <v>48</v>
      </c>
    </row>
    <row r="7400" spans="1:13" hidden="1" x14ac:dyDescent="0.15">
      <c r="A7400" t="s">
        <v>23154</v>
      </c>
      <c r="B7400" t="s">
        <v>23155</v>
      </c>
      <c r="C7400" t="s">
        <v>23156</v>
      </c>
      <c r="D7400" t="s">
        <v>23150</v>
      </c>
      <c r="E7400">
        <v>54</v>
      </c>
      <c r="F7400" t="str">
        <f>HYPERLINK("https://github.com/nextcloud/android/issues/5479", "show")</f>
        <v>show</v>
      </c>
      <c r="G7400" t="str">
        <f>HYPERLINK("https://github.com/nextcloud/android", "show")</f>
        <v>show</v>
      </c>
      <c r="H7400" t="str">
        <f>HYPERLINK("https://github.com/nextcloud/android/releases", "show")</f>
        <v>show</v>
      </c>
      <c r="I7400">
        <v>1</v>
      </c>
      <c r="J7400">
        <v>1</v>
      </c>
      <c r="K7400">
        <v>1</v>
      </c>
      <c r="L7400">
        <v>0</v>
      </c>
      <c r="M7400" t="s">
        <v>59</v>
      </c>
    </row>
    <row r="7401" spans="1:13" hidden="1" x14ac:dyDescent="0.15">
      <c r="A7401" t="s">
        <v>23157</v>
      </c>
      <c r="B7401" t="s">
        <v>23158</v>
      </c>
      <c r="C7401" t="s">
        <v>23159</v>
      </c>
      <c r="D7401" t="s">
        <v>23160</v>
      </c>
      <c r="E7401">
        <v>2</v>
      </c>
      <c r="F7401" t="str">
        <f>HYPERLINK("https://github.com/ankidroid/Anki-Android/issues/5752", "show")</f>
        <v>show</v>
      </c>
      <c r="G7401" t="str">
        <f>HYPERLINK("https://github.com/ankidroid/Anki-Android", "show")</f>
        <v>show</v>
      </c>
      <c r="H7401" t="str">
        <f>HYPERLINK("https://github.com/ankidroid/Anki-Android/releases", "show")</f>
        <v>show</v>
      </c>
      <c r="I7401">
        <v>0</v>
      </c>
      <c r="J7401">
        <v>1</v>
      </c>
      <c r="K7401">
        <v>1</v>
      </c>
      <c r="L7401">
        <v>0</v>
      </c>
      <c r="M7401" t="s">
        <v>699</v>
      </c>
    </row>
    <row r="7402" spans="1:13" hidden="1" x14ac:dyDescent="0.15">
      <c r="A7402" t="s">
        <v>23161</v>
      </c>
      <c r="B7402" t="s">
        <v>23162</v>
      </c>
      <c r="C7402" t="s">
        <v>23163</v>
      </c>
      <c r="D7402" t="s">
        <v>23160</v>
      </c>
      <c r="E7402">
        <v>1</v>
      </c>
      <c r="F7402" t="str">
        <f>HYPERLINK("https://github.com/ankidroid/Anki-Android/issues/5749", "show")</f>
        <v>show</v>
      </c>
      <c r="G7402" t="str">
        <f>HYPERLINK("https://github.com/ankidroid/Anki-Android", "show")</f>
        <v>show</v>
      </c>
      <c r="H7402" t="str">
        <f>HYPERLINK("https://github.com/ankidroid/Anki-Android/releases", "show")</f>
        <v>show</v>
      </c>
      <c r="I7402">
        <v>0</v>
      </c>
      <c r="J7402">
        <v>1</v>
      </c>
      <c r="K7402">
        <v>1</v>
      </c>
      <c r="L7402">
        <v>0</v>
      </c>
      <c r="M7402" t="s">
        <v>699</v>
      </c>
    </row>
    <row r="7403" spans="1:13" hidden="1" x14ac:dyDescent="0.15">
      <c r="A7403" t="s">
        <v>23164</v>
      </c>
      <c r="B7403" t="s">
        <v>23165</v>
      </c>
      <c r="C7403" t="s">
        <v>23166</v>
      </c>
      <c r="D7403" t="s">
        <v>23160</v>
      </c>
      <c r="E7403">
        <v>2</v>
      </c>
      <c r="F7403" t="str">
        <f>HYPERLINK("https://github.com/ankidroid/Anki-Android/issues/5748", "show")</f>
        <v>show</v>
      </c>
      <c r="G7403" t="str">
        <f>HYPERLINK("https://github.com/ankidroid/Anki-Android", "show")</f>
        <v>show</v>
      </c>
      <c r="H7403" t="str">
        <f>HYPERLINK("https://github.com/ankidroid/Anki-Android/releases", "show")</f>
        <v>show</v>
      </c>
      <c r="I7403">
        <v>1</v>
      </c>
      <c r="J7403">
        <v>1</v>
      </c>
      <c r="K7403">
        <v>1</v>
      </c>
      <c r="L7403">
        <v>0</v>
      </c>
      <c r="M7403" t="s">
        <v>59</v>
      </c>
    </row>
    <row r="7404" spans="1:13" hidden="1" x14ac:dyDescent="0.15">
      <c r="A7404" t="s">
        <v>23167</v>
      </c>
      <c r="B7404" t="s">
        <v>23168</v>
      </c>
      <c r="C7404" t="s">
        <v>23169</v>
      </c>
      <c r="D7404" t="s">
        <v>23160</v>
      </c>
      <c r="E7404">
        <v>0</v>
      </c>
      <c r="F7404" t="str">
        <f>HYPERLINK("https://github.com/barbeau/gpstest/issues/373", "show")</f>
        <v>show</v>
      </c>
      <c r="G7404" t="str">
        <f>HYPERLINK("https://github.com/barbeau/gpstest", "show")</f>
        <v>show</v>
      </c>
      <c r="H7404" t="str">
        <f>HYPERLINK("https://github.com/barbeau/gpstest/releases", "show")</f>
        <v>show</v>
      </c>
      <c r="I7404">
        <v>1</v>
      </c>
      <c r="J7404">
        <v>0</v>
      </c>
      <c r="K7404">
        <v>1</v>
      </c>
      <c r="L7404">
        <v>0</v>
      </c>
      <c r="M7404" t="s">
        <v>64</v>
      </c>
    </row>
    <row r="7405" spans="1:13" hidden="1" x14ac:dyDescent="0.15">
      <c r="A7405" t="s">
        <v>23170</v>
      </c>
      <c r="B7405" t="s">
        <v>23171</v>
      </c>
      <c r="C7405" t="s">
        <v>23172</v>
      </c>
      <c r="D7405" t="s">
        <v>23160</v>
      </c>
      <c r="E7405">
        <v>44</v>
      </c>
      <c r="F7405" t="str">
        <f>HYPERLINK("https://github.com/cgeo/cgeo/issues/8126", "show")</f>
        <v>show</v>
      </c>
      <c r="G7405" t="str">
        <f>HYPERLINK("https://github.com/cgeo/cgeo", "show")</f>
        <v>show</v>
      </c>
      <c r="H7405" t="str">
        <f>HYPERLINK("https://github.com/cgeo/cgeo/releases", "show")</f>
        <v>show</v>
      </c>
      <c r="I7405">
        <v>1</v>
      </c>
      <c r="J7405">
        <v>1</v>
      </c>
      <c r="K7405">
        <v>0</v>
      </c>
      <c r="L7405">
        <v>0</v>
      </c>
      <c r="M7405" t="s">
        <v>48</v>
      </c>
    </row>
    <row r="7406" spans="1:13" x14ac:dyDescent="0.15">
      <c r="A7406" t="s">
        <v>23173</v>
      </c>
      <c r="B7406" t="s">
        <v>23174</v>
      </c>
      <c r="C7406" t="s">
        <v>22792</v>
      </c>
      <c r="D7406" t="s">
        <v>23160</v>
      </c>
      <c r="E7406">
        <v>1</v>
      </c>
      <c r="F7406" t="str">
        <f>HYPERLINK("https://github.com/nextcloud/android/issues/5475", "show")</f>
        <v>show</v>
      </c>
      <c r="G7406" t="str">
        <f>HYPERLINK("https://github.com/nextcloud/android", "show")</f>
        <v>show</v>
      </c>
      <c r="H7406" t="str">
        <f>HYPERLINK("https://github.com/nextcloud/android/releases", "show")</f>
        <v>show</v>
      </c>
      <c r="I7406">
        <v>0</v>
      </c>
      <c r="J7406">
        <v>1</v>
      </c>
      <c r="K7406">
        <v>0</v>
      </c>
      <c r="L7406">
        <v>0</v>
      </c>
      <c r="M7406" t="s">
        <v>139</v>
      </c>
    </row>
    <row r="7407" spans="1:13" hidden="1" x14ac:dyDescent="0.15">
      <c r="A7407" t="s">
        <v>23175</v>
      </c>
      <c r="B7407" t="s">
        <v>23176</v>
      </c>
      <c r="C7407" t="s">
        <v>23177</v>
      </c>
      <c r="D7407" t="s">
        <v>23160</v>
      </c>
      <c r="E7407">
        <v>243</v>
      </c>
      <c r="F7407" t="str">
        <f>HYPERLINK("https://github.com/StringCare/AndroidLibrary/issues/75", "show")</f>
        <v>show</v>
      </c>
      <c r="G7407" t="str">
        <f>HYPERLINK("https://github.com/StringCare/AndroidLibrary", "show")</f>
        <v>show</v>
      </c>
      <c r="H7407" t="str">
        <f>HYPERLINK("https://github.com/StringCare/AndroidLibrary/releases", "show")</f>
        <v>show</v>
      </c>
      <c r="I7407">
        <v>1</v>
      </c>
      <c r="J7407">
        <v>0</v>
      </c>
      <c r="K7407">
        <v>0</v>
      </c>
      <c r="L7407">
        <v>0</v>
      </c>
      <c r="M7407" t="s">
        <v>17</v>
      </c>
    </row>
    <row r="7408" spans="1:13" hidden="1" x14ac:dyDescent="0.15">
      <c r="A7408" t="s">
        <v>23178</v>
      </c>
      <c r="B7408" t="s">
        <v>23179</v>
      </c>
      <c r="C7408" t="s">
        <v>23180</v>
      </c>
      <c r="D7408" t="s">
        <v>23160</v>
      </c>
      <c r="E7408">
        <v>5</v>
      </c>
      <c r="F7408" t="str">
        <f>HYPERLINK("https://github.com/opensrp/opensrp-client-giz-malawi/issues/204", "show")</f>
        <v>show</v>
      </c>
      <c r="G7408" t="str">
        <f>HYPERLINK("https://github.com/opensrp/opensrp-client-giz-malawi", "show")</f>
        <v>show</v>
      </c>
      <c r="H7408" t="str">
        <f>HYPERLINK("https://github.com/opensrp/opensrp-client-giz-malawi/releases", "show")</f>
        <v>show</v>
      </c>
      <c r="I7408">
        <v>0</v>
      </c>
      <c r="J7408">
        <v>0</v>
      </c>
      <c r="K7408">
        <v>1</v>
      </c>
      <c r="L7408">
        <v>0</v>
      </c>
      <c r="M7408" t="s">
        <v>122</v>
      </c>
    </row>
    <row r="7409" spans="1:13" hidden="1" x14ac:dyDescent="0.15">
      <c r="A7409" t="s">
        <v>23181</v>
      </c>
      <c r="B7409" t="s">
        <v>23182</v>
      </c>
      <c r="C7409" t="s">
        <v>23183</v>
      </c>
      <c r="D7409" t="s">
        <v>23160</v>
      </c>
      <c r="E7409">
        <v>133</v>
      </c>
      <c r="F7409" t="str">
        <f>HYPERLINK("https://github.com/nextcloud/android/issues/5468", "show")</f>
        <v>show</v>
      </c>
      <c r="G7409" t="str">
        <f>HYPERLINK("https://github.com/nextcloud/android", "show")</f>
        <v>show</v>
      </c>
      <c r="H7409" t="str">
        <f>HYPERLINK("https://github.com/nextcloud/android/releases", "show")</f>
        <v>show</v>
      </c>
      <c r="I7409">
        <v>0</v>
      </c>
      <c r="J7409">
        <v>1</v>
      </c>
      <c r="K7409">
        <v>1</v>
      </c>
      <c r="L7409">
        <v>0</v>
      </c>
      <c r="M7409" t="s">
        <v>699</v>
      </c>
    </row>
    <row r="7410" spans="1:13" hidden="1" x14ac:dyDescent="0.15">
      <c r="A7410" t="s">
        <v>23184</v>
      </c>
      <c r="B7410" t="s">
        <v>23185</v>
      </c>
      <c r="C7410" t="s">
        <v>23186</v>
      </c>
      <c r="D7410" t="s">
        <v>23160</v>
      </c>
      <c r="E7410">
        <v>1</v>
      </c>
      <c r="F7410" t="str">
        <f>HYPERLINK("https://github.com/readrops/Readrops/issues/51", "show")</f>
        <v>show</v>
      </c>
      <c r="G7410" t="str">
        <f>HYPERLINK("https://github.com/readrops/Readrops", "show")</f>
        <v>show</v>
      </c>
      <c r="H7410" t="str">
        <f>HYPERLINK("https://github.com/readrops/Readrops/releases", "show")</f>
        <v>show</v>
      </c>
      <c r="I7410">
        <v>1</v>
      </c>
      <c r="J7410">
        <v>0</v>
      </c>
      <c r="K7410">
        <v>1</v>
      </c>
      <c r="L7410">
        <v>0</v>
      </c>
      <c r="M7410" t="s">
        <v>64</v>
      </c>
    </row>
    <row r="7411" spans="1:13" hidden="1" x14ac:dyDescent="0.15">
      <c r="A7411" t="s">
        <v>23187</v>
      </c>
      <c r="B7411" t="s">
        <v>23188</v>
      </c>
      <c r="C7411" t="s">
        <v>23189</v>
      </c>
      <c r="D7411" t="s">
        <v>23190</v>
      </c>
      <c r="E7411">
        <v>11</v>
      </c>
      <c r="F7411" t="str">
        <f>HYPERLINK("https://github.com/Awful/Awful.apk/issues/702", "show")</f>
        <v>show</v>
      </c>
      <c r="G7411" t="str">
        <f>HYPERLINK("https://github.com/Awful/Awful.apk", "show")</f>
        <v>show</v>
      </c>
      <c r="H7411" t="str">
        <f>HYPERLINK("https://github.com/Awful/Awful.apk/releases", "show")</f>
        <v>show</v>
      </c>
      <c r="I7411">
        <v>1</v>
      </c>
      <c r="J7411">
        <v>1</v>
      </c>
      <c r="K7411">
        <v>0</v>
      </c>
      <c r="L7411">
        <v>0</v>
      </c>
      <c r="M7411" t="s">
        <v>48</v>
      </c>
    </row>
    <row r="7412" spans="1:13" hidden="1" x14ac:dyDescent="0.15">
      <c r="A7412" t="s">
        <v>23191</v>
      </c>
      <c r="B7412" t="s">
        <v>23192</v>
      </c>
      <c r="C7412" t="s">
        <v>23193</v>
      </c>
      <c r="D7412" t="s">
        <v>23190</v>
      </c>
      <c r="E7412">
        <v>19</v>
      </c>
      <c r="F7412" t="str">
        <f>HYPERLINK("https://github.com/inaturalist/iNaturalistAndroid/issues/777", "show")</f>
        <v>show</v>
      </c>
      <c r="G7412" t="str">
        <f>HYPERLINK("https://github.com/inaturalist/iNaturalistAndroid", "show")</f>
        <v>show</v>
      </c>
      <c r="H7412" t="str">
        <f>HYPERLINK("https://github.com/inaturalist/iNaturalistAndroid/releases", "show")</f>
        <v>show</v>
      </c>
      <c r="I7412">
        <v>1</v>
      </c>
      <c r="J7412">
        <v>1</v>
      </c>
      <c r="K7412">
        <v>0</v>
      </c>
      <c r="L7412">
        <v>0</v>
      </c>
      <c r="M7412" t="s">
        <v>48</v>
      </c>
    </row>
    <row r="7413" spans="1:13" hidden="1" x14ac:dyDescent="0.15">
      <c r="A7413" t="s">
        <v>23194</v>
      </c>
      <c r="B7413" t="s">
        <v>23195</v>
      </c>
      <c r="C7413" t="s">
        <v>23196</v>
      </c>
      <c r="D7413" t="s">
        <v>23190</v>
      </c>
      <c r="E7413">
        <v>22</v>
      </c>
      <c r="F7413" t="str">
        <f>HYPERLINK("https://github.com/square/okhttp/issues/5783", "show")</f>
        <v>show</v>
      </c>
      <c r="G7413" t="str">
        <f>HYPERLINK("https://github.com/square/okhttp", "show")</f>
        <v>show</v>
      </c>
      <c r="H7413" t="str">
        <f>HYPERLINK("https://github.com/square/okhttp/releases", "show")</f>
        <v>show</v>
      </c>
      <c r="I7413">
        <v>1</v>
      </c>
      <c r="J7413">
        <v>0</v>
      </c>
      <c r="K7413">
        <v>1</v>
      </c>
      <c r="L7413">
        <v>0</v>
      </c>
      <c r="M7413" t="s">
        <v>64</v>
      </c>
    </row>
    <row r="7414" spans="1:13" hidden="1" x14ac:dyDescent="0.15">
      <c r="A7414" t="s">
        <v>23197</v>
      </c>
      <c r="B7414" t="s">
        <v>23198</v>
      </c>
      <c r="C7414" t="s">
        <v>23199</v>
      </c>
      <c r="D7414" t="s">
        <v>23190</v>
      </c>
      <c r="E7414">
        <v>0</v>
      </c>
      <c r="F7414" t="str">
        <f>HYPERLINK("https://github.com/nextcloud/android/issues/5464", "show")</f>
        <v>show</v>
      </c>
      <c r="G7414" t="str">
        <f>HYPERLINK("https://github.com/nextcloud/android", "show")</f>
        <v>show</v>
      </c>
      <c r="H7414" t="str">
        <f>HYPERLINK("https://github.com/nextcloud/android/releases", "show")</f>
        <v>show</v>
      </c>
      <c r="I7414">
        <v>1</v>
      </c>
      <c r="J7414">
        <v>1</v>
      </c>
      <c r="K7414">
        <v>1</v>
      </c>
      <c r="L7414">
        <v>0</v>
      </c>
      <c r="M7414" t="s">
        <v>59</v>
      </c>
    </row>
    <row r="7415" spans="1:13" hidden="1" x14ac:dyDescent="0.15">
      <c r="A7415" t="s">
        <v>23200</v>
      </c>
      <c r="B7415" t="s">
        <v>23201</v>
      </c>
      <c r="C7415" t="s">
        <v>23202</v>
      </c>
      <c r="D7415" t="s">
        <v>23190</v>
      </c>
      <c r="E7415">
        <v>37</v>
      </c>
      <c r="F7415" t="str">
        <f>HYPERLINK("https://github.com/nextcloud/android/issues/5460", "show")</f>
        <v>show</v>
      </c>
      <c r="G7415" t="str">
        <f>HYPERLINK("https://github.com/nextcloud/android", "show")</f>
        <v>show</v>
      </c>
      <c r="H7415" t="str">
        <f>HYPERLINK("https://github.com/nextcloud/android/releases", "show")</f>
        <v>show</v>
      </c>
      <c r="I7415">
        <v>1</v>
      </c>
      <c r="J7415">
        <v>1</v>
      </c>
      <c r="K7415">
        <v>1</v>
      </c>
      <c r="L7415">
        <v>0</v>
      </c>
      <c r="M7415" t="s">
        <v>59</v>
      </c>
    </row>
    <row r="7416" spans="1:13" hidden="1" x14ac:dyDescent="0.15">
      <c r="A7416" t="s">
        <v>23203</v>
      </c>
      <c r="B7416" t="s">
        <v>23204</v>
      </c>
      <c r="C7416" t="s">
        <v>23205</v>
      </c>
      <c r="D7416" t="s">
        <v>23190</v>
      </c>
      <c r="E7416">
        <v>0</v>
      </c>
      <c r="F7416" t="str">
        <f>HYPERLINK("https://github.com/opensrp/opensrp-client-reveal/issues/644", "show")</f>
        <v>show</v>
      </c>
      <c r="G7416" t="str">
        <f>HYPERLINK("https://github.com/opensrp/opensrp-client-reveal", "show")</f>
        <v>show</v>
      </c>
      <c r="H7416" t="str">
        <f>HYPERLINK("https://github.com/opensrp/opensrp-client-reveal/releases", "show")</f>
        <v>show</v>
      </c>
      <c r="I7416">
        <v>1</v>
      </c>
      <c r="J7416">
        <v>0</v>
      </c>
      <c r="K7416">
        <v>0</v>
      </c>
      <c r="L7416">
        <v>1</v>
      </c>
      <c r="M7416" t="s">
        <v>29</v>
      </c>
    </row>
    <row r="7417" spans="1:13" hidden="1" x14ac:dyDescent="0.15">
      <c r="A7417" t="s">
        <v>23206</v>
      </c>
      <c r="B7417" t="s">
        <v>23207</v>
      </c>
      <c r="C7417" t="s">
        <v>23208</v>
      </c>
      <c r="D7417" t="s">
        <v>23209</v>
      </c>
      <c r="E7417">
        <v>70</v>
      </c>
      <c r="F7417" t="str">
        <f>HYPERLINK("https://github.com/raphaelmue/travlyn/issues/22", "show")</f>
        <v>show</v>
      </c>
      <c r="G7417" t="str">
        <f>HYPERLINK("https://github.com/raphaelmue/travlyn", "show")</f>
        <v>show</v>
      </c>
      <c r="H7417" t="str">
        <f>HYPERLINK("https://github.com/raphaelmue/travlyn/releases", "show")</f>
        <v>show</v>
      </c>
      <c r="I7417">
        <v>0</v>
      </c>
      <c r="J7417">
        <v>0</v>
      </c>
      <c r="K7417">
        <v>0</v>
      </c>
      <c r="L7417">
        <v>0</v>
      </c>
      <c r="M7417" t="s">
        <v>43</v>
      </c>
    </row>
    <row r="7418" spans="1:13" hidden="1" x14ac:dyDescent="0.15">
      <c r="A7418" t="s">
        <v>23210</v>
      </c>
      <c r="B7418" t="s">
        <v>23211</v>
      </c>
      <c r="C7418" t="s">
        <v>23212</v>
      </c>
      <c r="D7418" t="s">
        <v>23209</v>
      </c>
      <c r="E7418">
        <v>27</v>
      </c>
      <c r="F7418" t="str">
        <f>HYPERLINK("https://github.com/NordicSemiconductor/Android-DFU-Library/issues/218", "show")</f>
        <v>show</v>
      </c>
      <c r="G7418" t="str">
        <f>HYPERLINK("https://github.com/NordicSemiconductor/Android-DFU-Library", "show")</f>
        <v>show</v>
      </c>
      <c r="H7418" t="str">
        <f>HYPERLINK("https://github.com/NordicSemiconductor/Android-DFU-Library/releases", "show")</f>
        <v>show</v>
      </c>
      <c r="I7418">
        <v>1</v>
      </c>
      <c r="J7418">
        <v>0</v>
      </c>
      <c r="K7418">
        <v>0</v>
      </c>
      <c r="L7418">
        <v>0</v>
      </c>
      <c r="M7418" t="s">
        <v>17</v>
      </c>
    </row>
    <row r="7419" spans="1:13" hidden="1" x14ac:dyDescent="0.15">
      <c r="A7419" t="s">
        <v>23213</v>
      </c>
      <c r="B7419" t="s">
        <v>23214</v>
      </c>
      <c r="C7419" t="s">
        <v>23215</v>
      </c>
      <c r="D7419" t="s">
        <v>23209</v>
      </c>
      <c r="E7419">
        <v>0</v>
      </c>
      <c r="F7419" t="str">
        <f>HYPERLINK("https://github.com/ankidroid/Anki-Android/issues/5744", "show")</f>
        <v>show</v>
      </c>
      <c r="G7419" t="str">
        <f>HYPERLINK("https://github.com/ankidroid/Anki-Android", "show")</f>
        <v>show</v>
      </c>
      <c r="H7419" t="str">
        <f>HYPERLINK("https://github.com/ankidroid/Anki-Android/releases", "show")</f>
        <v>show</v>
      </c>
      <c r="I7419">
        <v>0</v>
      </c>
      <c r="J7419">
        <v>0</v>
      </c>
      <c r="K7419">
        <v>1</v>
      </c>
      <c r="L7419">
        <v>0</v>
      </c>
      <c r="M7419" t="s">
        <v>122</v>
      </c>
    </row>
    <row r="7420" spans="1:13" hidden="1" x14ac:dyDescent="0.15">
      <c r="A7420" t="s">
        <v>23216</v>
      </c>
      <c r="B7420" t="s">
        <v>23217</v>
      </c>
      <c r="C7420" t="s">
        <v>23218</v>
      </c>
      <c r="D7420" t="s">
        <v>23209</v>
      </c>
      <c r="E7420">
        <v>0</v>
      </c>
      <c r="F7420" t="str">
        <f>HYPERLINK("https://github.com/ankidroid/Anki-Android/issues/5743", "show")</f>
        <v>show</v>
      </c>
      <c r="G7420" t="str">
        <f>HYPERLINK("https://github.com/ankidroid/Anki-Android", "show")</f>
        <v>show</v>
      </c>
      <c r="H7420" t="str">
        <f>HYPERLINK("https://github.com/ankidroid/Anki-Android/releases", "show")</f>
        <v>show</v>
      </c>
      <c r="I7420">
        <v>1</v>
      </c>
      <c r="J7420">
        <v>0</v>
      </c>
      <c r="K7420">
        <v>1</v>
      </c>
      <c r="L7420">
        <v>0</v>
      </c>
      <c r="M7420" t="s">
        <v>64</v>
      </c>
    </row>
    <row r="7421" spans="1:13" hidden="1" x14ac:dyDescent="0.15">
      <c r="A7421" t="s">
        <v>23219</v>
      </c>
      <c r="B7421" t="s">
        <v>23220</v>
      </c>
      <c r="C7421" t="s">
        <v>23221</v>
      </c>
      <c r="D7421" t="s">
        <v>23222</v>
      </c>
      <c r="E7421">
        <v>23</v>
      </c>
      <c r="F7421" t="str">
        <f>HYPERLINK("https://github.com/Blockstream/green_android/issues/80", "show")</f>
        <v>show</v>
      </c>
      <c r="G7421" t="str">
        <f>HYPERLINK("https://github.com/Blockstream/green_android", "show")</f>
        <v>show</v>
      </c>
      <c r="H7421" t="str">
        <f>HYPERLINK("https://github.com/Blockstream/green_android/releases", "show")</f>
        <v>show</v>
      </c>
      <c r="I7421">
        <v>0</v>
      </c>
      <c r="J7421">
        <v>0</v>
      </c>
      <c r="K7421">
        <v>0</v>
      </c>
      <c r="L7421">
        <v>1</v>
      </c>
      <c r="M7421" t="s">
        <v>581</v>
      </c>
    </row>
    <row r="7422" spans="1:13" hidden="1" x14ac:dyDescent="0.15">
      <c r="A7422" t="s">
        <v>23223</v>
      </c>
      <c r="B7422" t="s">
        <v>23224</v>
      </c>
      <c r="C7422" t="s">
        <v>23225</v>
      </c>
      <c r="D7422" t="s">
        <v>23222</v>
      </c>
      <c r="E7422">
        <v>37</v>
      </c>
      <c r="F7422" t="str">
        <f>HYPERLINK("https://github.com/nextcloud/android/issues/5456", "show")</f>
        <v>show</v>
      </c>
      <c r="G7422" t="str">
        <f>HYPERLINK("https://github.com/nextcloud/android", "show")</f>
        <v>show</v>
      </c>
      <c r="H7422" t="str">
        <f>HYPERLINK("https://github.com/nextcloud/android/releases", "show")</f>
        <v>show</v>
      </c>
      <c r="I7422">
        <v>1</v>
      </c>
      <c r="J7422">
        <v>0</v>
      </c>
      <c r="K7422">
        <v>1</v>
      </c>
      <c r="L7422">
        <v>0</v>
      </c>
      <c r="M7422" t="s">
        <v>64</v>
      </c>
    </row>
    <row r="7423" spans="1:13" hidden="1" x14ac:dyDescent="0.15">
      <c r="A7423" t="s">
        <v>23226</v>
      </c>
      <c r="B7423" t="s">
        <v>23227</v>
      </c>
      <c r="C7423" t="s">
        <v>23228</v>
      </c>
      <c r="D7423" t="s">
        <v>23222</v>
      </c>
      <c r="E7423">
        <v>6</v>
      </c>
      <c r="F7423" t="str">
        <f>HYPERLINK("https://github.com/getodk/collect/issues/3635", "show")</f>
        <v>show</v>
      </c>
      <c r="G7423" t="str">
        <f>HYPERLINK("https://github.com/getodk/collect", "show")</f>
        <v>show</v>
      </c>
      <c r="H7423" t="str">
        <f>HYPERLINK("https://github.com/getodk/collect/releases", "show")</f>
        <v>show</v>
      </c>
      <c r="I7423">
        <v>1</v>
      </c>
      <c r="J7423">
        <v>0</v>
      </c>
      <c r="K7423">
        <v>0</v>
      </c>
      <c r="L7423">
        <v>0</v>
      </c>
      <c r="M7423" t="s">
        <v>17</v>
      </c>
    </row>
    <row r="7424" spans="1:13" hidden="1" x14ac:dyDescent="0.15">
      <c r="A7424" t="s">
        <v>23229</v>
      </c>
      <c r="B7424" t="s">
        <v>23230</v>
      </c>
      <c r="C7424" t="s">
        <v>23231</v>
      </c>
      <c r="D7424" t="s">
        <v>23222</v>
      </c>
      <c r="E7424">
        <v>0</v>
      </c>
      <c r="F7424" t="str">
        <f>HYPERLINK("https://github.com/nextcloud/android/issues/5454", "show")</f>
        <v>show</v>
      </c>
      <c r="G7424" t="str">
        <f>HYPERLINK("https://github.com/nextcloud/android", "show")</f>
        <v>show</v>
      </c>
      <c r="H7424" t="str">
        <f>HYPERLINK("https://github.com/nextcloud/android/releases", "show")</f>
        <v>show</v>
      </c>
      <c r="I7424">
        <v>1</v>
      </c>
      <c r="J7424">
        <v>1</v>
      </c>
      <c r="K7424">
        <v>1</v>
      </c>
      <c r="L7424">
        <v>0</v>
      </c>
      <c r="M7424" t="s">
        <v>59</v>
      </c>
    </row>
    <row r="7425" spans="1:13" hidden="1" x14ac:dyDescent="0.15">
      <c r="A7425" t="s">
        <v>23232</v>
      </c>
      <c r="B7425" t="s">
        <v>23233</v>
      </c>
      <c r="C7425" t="s">
        <v>23234</v>
      </c>
      <c r="D7425" t="s">
        <v>23222</v>
      </c>
      <c r="E7425">
        <v>0</v>
      </c>
      <c r="F7425" t="str">
        <f>HYPERLINK("https://github.com/nextcloud/android/issues/5453", "show")</f>
        <v>show</v>
      </c>
      <c r="G7425" t="str">
        <f>HYPERLINK("https://github.com/nextcloud/android", "show")</f>
        <v>show</v>
      </c>
      <c r="H7425" t="str">
        <f>HYPERLINK("https://github.com/nextcloud/android/releases", "show")</f>
        <v>show</v>
      </c>
      <c r="I7425">
        <v>1</v>
      </c>
      <c r="J7425">
        <v>1</v>
      </c>
      <c r="K7425">
        <v>0</v>
      </c>
      <c r="L7425">
        <v>0</v>
      </c>
      <c r="M7425" t="s">
        <v>48</v>
      </c>
    </row>
    <row r="7426" spans="1:13" hidden="1" x14ac:dyDescent="0.15">
      <c r="A7426" t="s">
        <v>23235</v>
      </c>
      <c r="B7426" t="s">
        <v>23236</v>
      </c>
      <c r="C7426" t="s">
        <v>23237</v>
      </c>
      <c r="D7426" t="s">
        <v>23222</v>
      </c>
      <c r="E7426">
        <v>797</v>
      </c>
      <c r="F7426" t="str">
        <f>HYPERLINK("https://github.com/ramack/ActivityDiary/issues/285", "show")</f>
        <v>show</v>
      </c>
      <c r="G7426" t="str">
        <f>HYPERLINK("https://github.com/ramack/ActivityDiary", "show")</f>
        <v>show</v>
      </c>
      <c r="H7426" t="str">
        <f>HYPERLINK("https://github.com/ramack/ActivityDiary/releases", "show")</f>
        <v>show</v>
      </c>
      <c r="I7426">
        <v>1</v>
      </c>
      <c r="J7426">
        <v>0</v>
      </c>
      <c r="K7426">
        <v>1</v>
      </c>
      <c r="L7426">
        <v>0</v>
      </c>
      <c r="M7426" t="s">
        <v>64</v>
      </c>
    </row>
    <row r="7427" spans="1:13" hidden="1" x14ac:dyDescent="0.15">
      <c r="A7427" t="s">
        <v>23238</v>
      </c>
      <c r="B7427" t="s">
        <v>23239</v>
      </c>
      <c r="C7427" t="s">
        <v>23240</v>
      </c>
      <c r="D7427" t="s">
        <v>23241</v>
      </c>
      <c r="E7427">
        <v>0</v>
      </c>
      <c r="F7427" t="str">
        <f>HYPERLINK("https://github.com/TeamNewPipe/NewPipe/issues/3072", "show")</f>
        <v>show</v>
      </c>
      <c r="G7427" t="str">
        <f>HYPERLINK("https://github.com/TeamNewPipe/NewPipe", "show")</f>
        <v>show</v>
      </c>
      <c r="H7427" t="str">
        <f>HYPERLINK("https://github.com/TeamNewPipe/NewPipe/releases", "show")</f>
        <v>show</v>
      </c>
      <c r="I7427">
        <v>1</v>
      </c>
      <c r="J7427">
        <v>1</v>
      </c>
      <c r="K7427">
        <v>1</v>
      </c>
      <c r="L7427">
        <v>0</v>
      </c>
      <c r="M7427" t="s">
        <v>59</v>
      </c>
    </row>
    <row r="7428" spans="1:13" hidden="1" x14ac:dyDescent="0.15">
      <c r="A7428" t="s">
        <v>23242</v>
      </c>
      <c r="B7428" t="s">
        <v>23243</v>
      </c>
      <c r="C7428" t="s">
        <v>23244</v>
      </c>
      <c r="D7428" t="s">
        <v>23241</v>
      </c>
      <c r="E7428">
        <v>45</v>
      </c>
      <c r="F7428" t="str">
        <f>HYPERLINK("https://github.com/nextcloud/android/issues/5446", "show")</f>
        <v>show</v>
      </c>
      <c r="G7428" t="str">
        <f>HYPERLINK("https://github.com/nextcloud/android", "show")</f>
        <v>show</v>
      </c>
      <c r="H7428" t="str">
        <f>HYPERLINK("https://github.com/nextcloud/android/releases", "show")</f>
        <v>show</v>
      </c>
      <c r="I7428">
        <v>1</v>
      </c>
      <c r="J7428">
        <v>0</v>
      </c>
      <c r="K7428">
        <v>0</v>
      </c>
      <c r="L7428">
        <v>0</v>
      </c>
      <c r="M7428" t="s">
        <v>17</v>
      </c>
    </row>
    <row r="7429" spans="1:13" hidden="1" x14ac:dyDescent="0.15">
      <c r="A7429" t="s">
        <v>23245</v>
      </c>
      <c r="B7429" t="s">
        <v>23246</v>
      </c>
      <c r="D7429" t="s">
        <v>23241</v>
      </c>
      <c r="E7429">
        <v>0</v>
      </c>
      <c r="F7429" t="str">
        <f>HYPERLINK("https://github.com/defold/extension-iap/issues/16", "show")</f>
        <v>show</v>
      </c>
      <c r="G7429" t="str">
        <f>HYPERLINK("https://github.com/defold/extension-iap", "show")</f>
        <v>show</v>
      </c>
      <c r="H7429" t="str">
        <f>HYPERLINK("https://github.com/defold/extension-iap/releases", "show")</f>
        <v>show</v>
      </c>
      <c r="I7429">
        <v>1</v>
      </c>
      <c r="J7429">
        <v>0</v>
      </c>
      <c r="K7429">
        <v>0</v>
      </c>
      <c r="L7429">
        <v>0</v>
      </c>
      <c r="M7429" t="s">
        <v>17</v>
      </c>
    </row>
    <row r="7430" spans="1:13" hidden="1" x14ac:dyDescent="0.15">
      <c r="A7430" t="s">
        <v>23247</v>
      </c>
      <c r="B7430" t="s">
        <v>23248</v>
      </c>
      <c r="C7430" t="s">
        <v>23249</v>
      </c>
      <c r="D7430" t="s">
        <v>23241</v>
      </c>
      <c r="E7430">
        <v>0</v>
      </c>
      <c r="F7430" t="str">
        <f>HYPERLINK("https://github.com/nextcloud/android/issues/5441", "show")</f>
        <v>show</v>
      </c>
      <c r="G7430" t="str">
        <f>HYPERLINK("https://github.com/nextcloud/android", "show")</f>
        <v>show</v>
      </c>
      <c r="H7430" t="str">
        <f>HYPERLINK("https://github.com/nextcloud/android/releases", "show")</f>
        <v>show</v>
      </c>
      <c r="I7430">
        <v>1</v>
      </c>
      <c r="J7430">
        <v>0</v>
      </c>
      <c r="K7430">
        <v>1</v>
      </c>
      <c r="L7430">
        <v>0</v>
      </c>
      <c r="M7430" t="s">
        <v>64</v>
      </c>
    </row>
    <row r="7431" spans="1:13" x14ac:dyDescent="0.15">
      <c r="A7431" t="s">
        <v>23250</v>
      </c>
      <c r="B7431" t="s">
        <v>23251</v>
      </c>
      <c r="C7431" t="s">
        <v>23252</v>
      </c>
      <c r="D7431" t="s">
        <v>23253</v>
      </c>
      <c r="E7431">
        <v>0</v>
      </c>
      <c r="F7431" t="str">
        <f>HYPERLINK("https://github.com/nextcloud/android/issues/5439", "show")</f>
        <v>show</v>
      </c>
      <c r="G7431" t="str">
        <f>HYPERLINK("https://github.com/nextcloud/android", "show")</f>
        <v>show</v>
      </c>
      <c r="H7431" t="str">
        <f>HYPERLINK("https://github.com/nextcloud/android/releases", "show")</f>
        <v>show</v>
      </c>
      <c r="I7431">
        <v>0</v>
      </c>
      <c r="J7431">
        <v>1</v>
      </c>
      <c r="K7431">
        <v>0</v>
      </c>
      <c r="L7431">
        <v>0</v>
      </c>
      <c r="M7431" t="s">
        <v>139</v>
      </c>
    </row>
    <row r="7432" spans="1:13" hidden="1" x14ac:dyDescent="0.15">
      <c r="A7432" t="s">
        <v>23254</v>
      </c>
      <c r="B7432" t="s">
        <v>23255</v>
      </c>
      <c r="C7432" t="s">
        <v>23256</v>
      </c>
      <c r="D7432" t="s">
        <v>23253</v>
      </c>
      <c r="E7432">
        <v>25</v>
      </c>
      <c r="F7432" t="str">
        <f>HYPERLINK("https://github.com/jellyfin/jellyfin-androidtv/issues/325", "show")</f>
        <v>show</v>
      </c>
      <c r="G7432" t="str">
        <f>HYPERLINK("https://github.com/jellyfin/jellyfin-androidtv", "show")</f>
        <v>show</v>
      </c>
      <c r="H7432" t="str">
        <f>HYPERLINK("https://github.com/jellyfin/jellyfin-androidtv/releases", "show")</f>
        <v>show</v>
      </c>
      <c r="I7432">
        <v>1</v>
      </c>
      <c r="J7432">
        <v>0</v>
      </c>
      <c r="K7432">
        <v>1</v>
      </c>
      <c r="L7432">
        <v>0</v>
      </c>
      <c r="M7432" t="s">
        <v>64</v>
      </c>
    </row>
    <row r="7433" spans="1:13" hidden="1" x14ac:dyDescent="0.15">
      <c r="A7433" t="s">
        <v>23257</v>
      </c>
      <c r="B7433" t="s">
        <v>23258</v>
      </c>
      <c r="C7433" t="s">
        <v>23259</v>
      </c>
      <c r="D7433" t="s">
        <v>23253</v>
      </c>
      <c r="E7433">
        <v>11</v>
      </c>
      <c r="F7433" t="str">
        <f>HYPERLINK("https://github.com/nextcloud/android/issues/5437", "show")</f>
        <v>show</v>
      </c>
      <c r="G7433" t="str">
        <f>HYPERLINK("https://github.com/nextcloud/android", "show")</f>
        <v>show</v>
      </c>
      <c r="H7433" t="str">
        <f>HYPERLINK("https://github.com/nextcloud/android/releases", "show")</f>
        <v>show</v>
      </c>
      <c r="I7433">
        <v>0</v>
      </c>
      <c r="J7433">
        <v>0</v>
      </c>
      <c r="K7433">
        <v>1</v>
      </c>
      <c r="L7433">
        <v>0</v>
      </c>
      <c r="M7433" t="s">
        <v>122</v>
      </c>
    </row>
    <row r="7434" spans="1:13" hidden="1" x14ac:dyDescent="0.15">
      <c r="A7434" t="s">
        <v>23260</v>
      </c>
      <c r="B7434" t="s">
        <v>23261</v>
      </c>
      <c r="C7434" t="s">
        <v>22792</v>
      </c>
      <c r="D7434" t="s">
        <v>23253</v>
      </c>
      <c r="E7434">
        <v>0</v>
      </c>
      <c r="F7434" t="str">
        <f>HYPERLINK("https://github.com/nextcloud/android/issues/5435", "show")</f>
        <v>show</v>
      </c>
      <c r="G7434" t="str">
        <f>HYPERLINK("https://github.com/nextcloud/android", "show")</f>
        <v>show</v>
      </c>
      <c r="H7434" t="str">
        <f>HYPERLINK("https://github.com/nextcloud/android/releases", "show")</f>
        <v>show</v>
      </c>
      <c r="I7434">
        <v>1</v>
      </c>
      <c r="J7434">
        <v>1</v>
      </c>
      <c r="K7434">
        <v>0</v>
      </c>
      <c r="L7434">
        <v>0</v>
      </c>
      <c r="M7434" t="s">
        <v>48</v>
      </c>
    </row>
    <row r="7435" spans="1:13" hidden="1" x14ac:dyDescent="0.15">
      <c r="A7435" t="s">
        <v>23262</v>
      </c>
      <c r="B7435" t="s">
        <v>23263</v>
      </c>
      <c r="C7435" t="s">
        <v>23264</v>
      </c>
      <c r="D7435" t="s">
        <v>23265</v>
      </c>
      <c r="E7435">
        <v>152</v>
      </c>
      <c r="F7435" t="str">
        <f>HYPERLINK("https://github.com/wallabag/android-app/issues/918", "show")</f>
        <v>show</v>
      </c>
      <c r="G7435" t="str">
        <f>HYPERLINK("https://github.com/wallabag/android-app", "show")</f>
        <v>show</v>
      </c>
      <c r="H7435" t="str">
        <f>HYPERLINK("https://github.com/wallabag/android-app/releases", "show")</f>
        <v>show</v>
      </c>
      <c r="I7435">
        <v>1</v>
      </c>
      <c r="J7435">
        <v>0</v>
      </c>
      <c r="K7435">
        <v>0</v>
      </c>
      <c r="L7435">
        <v>0</v>
      </c>
      <c r="M7435" t="s">
        <v>17</v>
      </c>
    </row>
    <row r="7436" spans="1:13" hidden="1" x14ac:dyDescent="0.15">
      <c r="A7436" t="s">
        <v>23266</v>
      </c>
      <c r="B7436" t="s">
        <v>23267</v>
      </c>
      <c r="C7436" t="s">
        <v>23268</v>
      </c>
      <c r="D7436" t="s">
        <v>23265</v>
      </c>
      <c r="E7436">
        <v>74</v>
      </c>
      <c r="F7436" t="str">
        <f>HYPERLINK("https://github.com/nextcloud/android/issues/5430", "show")</f>
        <v>show</v>
      </c>
      <c r="G7436" t="str">
        <f>HYPERLINK("https://github.com/nextcloud/android", "show")</f>
        <v>show</v>
      </c>
      <c r="H7436" t="str">
        <f>HYPERLINK("https://github.com/nextcloud/android/releases", "show")</f>
        <v>show</v>
      </c>
      <c r="I7436">
        <v>1</v>
      </c>
      <c r="J7436">
        <v>1</v>
      </c>
      <c r="K7436">
        <v>1</v>
      </c>
      <c r="L7436">
        <v>0</v>
      </c>
      <c r="M7436" t="s">
        <v>59</v>
      </c>
    </row>
    <row r="7437" spans="1:13" hidden="1" x14ac:dyDescent="0.15">
      <c r="A7437" t="s">
        <v>23269</v>
      </c>
      <c r="B7437" t="s">
        <v>23270</v>
      </c>
      <c r="C7437" t="s">
        <v>23271</v>
      </c>
      <c r="D7437" t="s">
        <v>23265</v>
      </c>
      <c r="E7437">
        <v>31</v>
      </c>
      <c r="F7437" t="str">
        <f>HYPERLINK("https://github.com/nextcloud/android/issues/5427", "show")</f>
        <v>show</v>
      </c>
      <c r="G7437" t="str">
        <f>HYPERLINK("https://github.com/nextcloud/android", "show")</f>
        <v>show</v>
      </c>
      <c r="H7437" t="str">
        <f>HYPERLINK("https://github.com/nextcloud/android/releases", "show")</f>
        <v>show</v>
      </c>
      <c r="I7437">
        <v>1</v>
      </c>
      <c r="J7437">
        <v>1</v>
      </c>
      <c r="K7437">
        <v>0</v>
      </c>
      <c r="L7437">
        <v>0</v>
      </c>
      <c r="M7437" t="s">
        <v>48</v>
      </c>
    </row>
    <row r="7438" spans="1:13" hidden="1" x14ac:dyDescent="0.15">
      <c r="A7438" t="s">
        <v>23272</v>
      </c>
      <c r="B7438" t="s">
        <v>23273</v>
      </c>
      <c r="C7438" t="s">
        <v>23274</v>
      </c>
      <c r="D7438" t="s">
        <v>23265</v>
      </c>
      <c r="E7438">
        <v>0</v>
      </c>
      <c r="F7438" t="str">
        <f>HYPERLINK("https://github.com/k9mail/k-9/issues/4519", "show")</f>
        <v>show</v>
      </c>
      <c r="G7438" t="str">
        <f>HYPERLINK("https://github.com/k9mail/k-9", "show")</f>
        <v>show</v>
      </c>
      <c r="H7438" t="str">
        <f>HYPERLINK("https://github.com/k9mail/k-9/releases", "show")</f>
        <v>show</v>
      </c>
      <c r="I7438">
        <v>1</v>
      </c>
      <c r="J7438">
        <v>1</v>
      </c>
      <c r="K7438">
        <v>1</v>
      </c>
      <c r="L7438">
        <v>0</v>
      </c>
      <c r="M7438" t="s">
        <v>59</v>
      </c>
    </row>
    <row r="7439" spans="1:13" x14ac:dyDescent="0.15">
      <c r="A7439" t="s">
        <v>23275</v>
      </c>
      <c r="B7439" t="s">
        <v>23276</v>
      </c>
      <c r="C7439" t="s">
        <v>23277</v>
      </c>
      <c r="D7439" t="s">
        <v>23278</v>
      </c>
      <c r="E7439">
        <v>0</v>
      </c>
      <c r="F7439" t="str">
        <f>HYPERLINK("https://github.com/sambatech/player_sdk_android/issues/86", "show")</f>
        <v>show</v>
      </c>
      <c r="G7439" t="str">
        <f>HYPERLINK("https://github.com/sambatech/player_sdk_android", "show")</f>
        <v>show</v>
      </c>
      <c r="H7439" t="str">
        <f>HYPERLINK("https://github.com/sambatech/player_sdk_android/releases", "show")</f>
        <v>show</v>
      </c>
      <c r="I7439">
        <v>0</v>
      </c>
      <c r="J7439">
        <v>1</v>
      </c>
      <c r="K7439">
        <v>0</v>
      </c>
      <c r="L7439">
        <v>0</v>
      </c>
      <c r="M7439" t="s">
        <v>139</v>
      </c>
    </row>
    <row r="7440" spans="1:13" x14ac:dyDescent="0.15">
      <c r="A7440" t="s">
        <v>23279</v>
      </c>
      <c r="B7440" t="s">
        <v>23276</v>
      </c>
      <c r="C7440" t="s">
        <v>23277</v>
      </c>
      <c r="D7440" t="s">
        <v>23278</v>
      </c>
      <c r="E7440">
        <v>0</v>
      </c>
      <c r="F7440" t="str">
        <f>HYPERLINK("https://github.com/sambatech/player_sdk_android/issues/85", "show")</f>
        <v>show</v>
      </c>
      <c r="G7440" t="str">
        <f>HYPERLINK("https://github.com/sambatech/player_sdk_android", "show")</f>
        <v>show</v>
      </c>
      <c r="H7440" t="str">
        <f>HYPERLINK("https://github.com/sambatech/player_sdk_android/releases", "show")</f>
        <v>show</v>
      </c>
      <c r="I7440">
        <v>0</v>
      </c>
      <c r="J7440">
        <v>1</v>
      </c>
      <c r="K7440">
        <v>0</v>
      </c>
      <c r="L7440">
        <v>0</v>
      </c>
      <c r="M7440" t="s">
        <v>139</v>
      </c>
    </row>
    <row r="7441" spans="1:13" hidden="1" x14ac:dyDescent="0.15">
      <c r="A7441" t="s">
        <v>23280</v>
      </c>
      <c r="B7441" t="s">
        <v>23281</v>
      </c>
      <c r="C7441" t="s">
        <v>23282</v>
      </c>
      <c r="D7441" t="s">
        <v>23278</v>
      </c>
      <c r="E7441">
        <v>256</v>
      </c>
      <c r="F7441" t="str">
        <f>HYPERLINK("https://github.com/jellyfin/jellyfin-androidtv/issues/312", "show")</f>
        <v>show</v>
      </c>
      <c r="G7441" t="str">
        <f>HYPERLINK("https://github.com/jellyfin/jellyfin-androidtv", "show")</f>
        <v>show</v>
      </c>
      <c r="H7441" t="str">
        <f>HYPERLINK("https://github.com/jellyfin/jellyfin-androidtv/releases", "show")</f>
        <v>show</v>
      </c>
      <c r="I7441">
        <v>1</v>
      </c>
      <c r="J7441">
        <v>0</v>
      </c>
      <c r="K7441">
        <v>0</v>
      </c>
      <c r="L7441">
        <v>0</v>
      </c>
      <c r="M7441" t="s">
        <v>17</v>
      </c>
    </row>
    <row r="7442" spans="1:13" hidden="1" x14ac:dyDescent="0.15">
      <c r="A7442" t="s">
        <v>23283</v>
      </c>
      <c r="B7442" t="s">
        <v>23284</v>
      </c>
      <c r="C7442" t="s">
        <v>23285</v>
      </c>
      <c r="D7442" t="s">
        <v>23278</v>
      </c>
      <c r="E7442">
        <v>6</v>
      </c>
      <c r="F7442" t="str">
        <f>HYPERLINK("https://github.com/onaio/rdt-standard/issues/245", "show")</f>
        <v>show</v>
      </c>
      <c r="G7442" t="str">
        <f>HYPERLINK("https://github.com/onaio/rdt-standard", "show")</f>
        <v>show</v>
      </c>
      <c r="H7442" t="str">
        <f>HYPERLINK("https://github.com/onaio/rdt-standard/releases", "show")</f>
        <v>show</v>
      </c>
      <c r="I7442">
        <v>0</v>
      </c>
      <c r="J7442">
        <v>0</v>
      </c>
      <c r="K7442">
        <v>1</v>
      </c>
      <c r="L7442">
        <v>0</v>
      </c>
      <c r="M7442" t="s">
        <v>122</v>
      </c>
    </row>
    <row r="7443" spans="1:13" hidden="1" x14ac:dyDescent="0.15">
      <c r="A7443" t="s">
        <v>23286</v>
      </c>
      <c r="B7443" t="s">
        <v>23287</v>
      </c>
      <c r="C7443" t="s">
        <v>23288</v>
      </c>
      <c r="D7443" t="s">
        <v>23278</v>
      </c>
      <c r="E7443">
        <v>6</v>
      </c>
      <c r="F7443" t="str">
        <f>HYPERLINK("https://github.com/onaio/rdt-standard/issues/244", "show")</f>
        <v>show</v>
      </c>
      <c r="G7443" t="str">
        <f>HYPERLINK("https://github.com/onaio/rdt-standard", "show")</f>
        <v>show</v>
      </c>
      <c r="H7443" t="str">
        <f>HYPERLINK("https://github.com/onaio/rdt-standard/releases", "show")</f>
        <v>show</v>
      </c>
      <c r="I7443">
        <v>0</v>
      </c>
      <c r="J7443">
        <v>0</v>
      </c>
      <c r="K7443">
        <v>1</v>
      </c>
      <c r="L7443">
        <v>0</v>
      </c>
      <c r="M7443" t="s">
        <v>122</v>
      </c>
    </row>
    <row r="7444" spans="1:13" hidden="1" x14ac:dyDescent="0.15">
      <c r="A7444" t="s">
        <v>23289</v>
      </c>
      <c r="B7444" t="s">
        <v>23290</v>
      </c>
      <c r="C7444" t="s">
        <v>23291</v>
      </c>
      <c r="D7444" t="s">
        <v>23278</v>
      </c>
      <c r="E7444">
        <v>102</v>
      </c>
      <c r="F7444" t="str">
        <f>HYPERLINK("https://github.com/applivery/applivery-android-sdk/issues/56", "show")</f>
        <v>show</v>
      </c>
      <c r="G7444" t="str">
        <f>HYPERLINK("https://github.com/applivery/applivery-android-sdk", "show")</f>
        <v>show</v>
      </c>
      <c r="H7444" t="str">
        <f>HYPERLINK("https://github.com/applivery/applivery-android-sdk/releases", "show")</f>
        <v>show</v>
      </c>
      <c r="I7444">
        <v>0</v>
      </c>
      <c r="J7444">
        <v>1</v>
      </c>
      <c r="K7444">
        <v>1</v>
      </c>
      <c r="L7444">
        <v>0</v>
      </c>
      <c r="M7444" t="s">
        <v>699</v>
      </c>
    </row>
    <row r="7445" spans="1:13" hidden="1" x14ac:dyDescent="0.15">
      <c r="A7445" t="s">
        <v>23292</v>
      </c>
      <c r="B7445" t="s">
        <v>23293</v>
      </c>
      <c r="C7445" t="s">
        <v>23294</v>
      </c>
      <c r="D7445" t="s">
        <v>23295</v>
      </c>
      <c r="E7445">
        <v>0</v>
      </c>
      <c r="F7445" t="str">
        <f>HYPERLINK("https://github.com/applivery/applivery-android-sdk/issues/55", "show")</f>
        <v>show</v>
      </c>
      <c r="G7445" t="str">
        <f>HYPERLINK("https://github.com/applivery/applivery-android-sdk", "show")</f>
        <v>show</v>
      </c>
      <c r="H7445" t="str">
        <f>HYPERLINK("https://github.com/applivery/applivery-android-sdk/releases", "show")</f>
        <v>show</v>
      </c>
      <c r="I7445">
        <v>1</v>
      </c>
      <c r="J7445">
        <v>0</v>
      </c>
      <c r="K7445">
        <v>1</v>
      </c>
      <c r="L7445">
        <v>0</v>
      </c>
      <c r="M7445" t="s">
        <v>64</v>
      </c>
    </row>
    <row r="7446" spans="1:13" hidden="1" x14ac:dyDescent="0.15">
      <c r="A7446" t="s">
        <v>23296</v>
      </c>
      <c r="B7446" t="s">
        <v>23297</v>
      </c>
      <c r="C7446" t="s">
        <v>23298</v>
      </c>
      <c r="D7446" t="s">
        <v>23295</v>
      </c>
      <c r="E7446">
        <v>13</v>
      </c>
      <c r="F7446" t="str">
        <f>HYPERLINK("https://github.com/material-components/material-components-android/issues/990", "show")</f>
        <v>show</v>
      </c>
      <c r="G7446" t="str">
        <f>HYPERLINK("https://github.com/material-components/material-components-android", "show")</f>
        <v>show</v>
      </c>
      <c r="H7446" t="str">
        <f>HYPERLINK("https://github.com/material-components/material-components-android/releases", "show")</f>
        <v>show</v>
      </c>
      <c r="I7446">
        <v>1</v>
      </c>
      <c r="J7446">
        <v>0</v>
      </c>
      <c r="K7446">
        <v>1</v>
      </c>
      <c r="L7446">
        <v>0</v>
      </c>
      <c r="M7446" t="s">
        <v>64</v>
      </c>
    </row>
    <row r="7447" spans="1:13" hidden="1" x14ac:dyDescent="0.15">
      <c r="A7447" t="s">
        <v>23299</v>
      </c>
      <c r="B7447" t="s">
        <v>23300</v>
      </c>
      <c r="C7447" t="s">
        <v>23301</v>
      </c>
      <c r="D7447" t="s">
        <v>23295</v>
      </c>
      <c r="E7447">
        <v>0</v>
      </c>
      <c r="F7447" t="str">
        <f>HYPERLINK("https://github.com/fieldsight/fieldsight-mobile/issues/509", "show")</f>
        <v>show</v>
      </c>
      <c r="G7447" t="str">
        <f>HYPERLINK("https://github.com/fieldsight/fieldsight-mobile", "show")</f>
        <v>show</v>
      </c>
      <c r="H7447" t="str">
        <f>HYPERLINK("https://github.com/fieldsight/fieldsight-mobile/releases", "show")</f>
        <v>show</v>
      </c>
      <c r="I7447">
        <v>1</v>
      </c>
      <c r="J7447">
        <v>1</v>
      </c>
      <c r="K7447">
        <v>1</v>
      </c>
      <c r="L7447">
        <v>0</v>
      </c>
      <c r="M7447" t="s">
        <v>59</v>
      </c>
    </row>
    <row r="7448" spans="1:13" hidden="1" x14ac:dyDescent="0.15">
      <c r="A7448" t="s">
        <v>23302</v>
      </c>
      <c r="B7448" t="s">
        <v>23303</v>
      </c>
      <c r="C7448" t="s">
        <v>23304</v>
      </c>
      <c r="D7448" t="s">
        <v>23305</v>
      </c>
      <c r="E7448">
        <v>1</v>
      </c>
      <c r="F7448" t="str">
        <f>HYPERLINK("https://github.com/jellyfin/jellyfin-androidtv/issues/296", "show")</f>
        <v>show</v>
      </c>
      <c r="G7448" t="str">
        <f>HYPERLINK("https://github.com/jellyfin/jellyfin-androidtv", "show")</f>
        <v>show</v>
      </c>
      <c r="H7448" t="str">
        <f>HYPERLINK("https://github.com/jellyfin/jellyfin-androidtv/releases", "show")</f>
        <v>show</v>
      </c>
      <c r="I7448">
        <v>1</v>
      </c>
      <c r="J7448">
        <v>0</v>
      </c>
      <c r="K7448">
        <v>1</v>
      </c>
      <c r="L7448">
        <v>0</v>
      </c>
      <c r="M7448" t="s">
        <v>64</v>
      </c>
    </row>
    <row r="7449" spans="1:13" hidden="1" x14ac:dyDescent="0.15">
      <c r="A7449" t="s">
        <v>23306</v>
      </c>
      <c r="B7449" t="s">
        <v>23307</v>
      </c>
      <c r="C7449" t="s">
        <v>23308</v>
      </c>
      <c r="D7449" t="s">
        <v>23305</v>
      </c>
      <c r="E7449">
        <v>14</v>
      </c>
      <c r="F7449" t="str">
        <f>HYPERLINK("https://github.com/aprsworld/awat/issues/6", "show")</f>
        <v>show</v>
      </c>
      <c r="G7449" t="str">
        <f>HYPERLINK("https://github.com/aprsworld/awat", "show")</f>
        <v>show</v>
      </c>
      <c r="H7449" t="str">
        <f>HYPERLINK("https://github.com/aprsworld/awat/releases", "show")</f>
        <v>show</v>
      </c>
      <c r="I7449">
        <v>0</v>
      </c>
      <c r="J7449">
        <v>0</v>
      </c>
      <c r="K7449">
        <v>0</v>
      </c>
      <c r="L7449">
        <v>0</v>
      </c>
      <c r="M7449" t="s">
        <v>43</v>
      </c>
    </row>
    <row r="7450" spans="1:13" hidden="1" x14ac:dyDescent="0.15">
      <c r="A7450" t="s">
        <v>23309</v>
      </c>
      <c r="B7450" t="s">
        <v>23310</v>
      </c>
      <c r="C7450" t="s">
        <v>23311</v>
      </c>
      <c r="D7450" t="s">
        <v>23305</v>
      </c>
      <c r="E7450">
        <v>47</v>
      </c>
      <c r="F7450" t="str">
        <f>HYPERLINK("https://github.com/nextcloud/android/issues/5408", "show")</f>
        <v>show</v>
      </c>
      <c r="G7450" t="str">
        <f>HYPERLINK("https://github.com/nextcloud/android", "show")</f>
        <v>show</v>
      </c>
      <c r="H7450" t="str">
        <f>HYPERLINK("https://github.com/nextcloud/android/releases", "show")</f>
        <v>show</v>
      </c>
      <c r="I7450">
        <v>0</v>
      </c>
      <c r="J7450">
        <v>0</v>
      </c>
      <c r="K7450">
        <v>0</v>
      </c>
      <c r="L7450">
        <v>0</v>
      </c>
      <c r="M7450" t="s">
        <v>43</v>
      </c>
    </row>
    <row r="7451" spans="1:13" hidden="1" x14ac:dyDescent="0.15">
      <c r="A7451" t="s">
        <v>23312</v>
      </c>
      <c r="B7451" t="s">
        <v>23313</v>
      </c>
      <c r="C7451" t="s">
        <v>23314</v>
      </c>
      <c r="D7451" t="s">
        <v>23305</v>
      </c>
      <c r="E7451">
        <v>2</v>
      </c>
      <c r="F7451" t="str">
        <f>HYPERLINK("https://github.com/TeamNewPipe/NewPipe/issues/3059", "show")</f>
        <v>show</v>
      </c>
      <c r="G7451" t="str">
        <f>HYPERLINK("https://github.com/TeamNewPipe/NewPipe", "show")</f>
        <v>show</v>
      </c>
      <c r="H7451" t="str">
        <f>HYPERLINK("https://github.com/TeamNewPipe/NewPipe/releases", "show")</f>
        <v>show</v>
      </c>
      <c r="I7451">
        <v>0</v>
      </c>
      <c r="J7451">
        <v>0</v>
      </c>
      <c r="K7451">
        <v>1</v>
      </c>
      <c r="L7451">
        <v>0</v>
      </c>
      <c r="M7451" t="s">
        <v>122</v>
      </c>
    </row>
    <row r="7452" spans="1:13" hidden="1" x14ac:dyDescent="0.15">
      <c r="A7452" t="s">
        <v>23315</v>
      </c>
      <c r="B7452" t="s">
        <v>23316</v>
      </c>
      <c r="C7452" t="s">
        <v>23317</v>
      </c>
      <c r="D7452" t="s">
        <v>23318</v>
      </c>
      <c r="E7452">
        <v>15</v>
      </c>
      <c r="F7452" t="str">
        <f>HYPERLINK("https://github.com/material-components/material-components-android/issues/980", "show")</f>
        <v>show</v>
      </c>
      <c r="G7452" t="str">
        <f>HYPERLINK("https://github.com/material-components/material-components-android", "show")</f>
        <v>show</v>
      </c>
      <c r="H7452" t="str">
        <f>HYPERLINK("https://github.com/material-components/material-components-android/releases", "show")</f>
        <v>show</v>
      </c>
      <c r="I7452">
        <v>1</v>
      </c>
      <c r="J7452">
        <v>1</v>
      </c>
      <c r="K7452">
        <v>1</v>
      </c>
      <c r="L7452">
        <v>0</v>
      </c>
      <c r="M7452" t="s">
        <v>59</v>
      </c>
    </row>
    <row r="7453" spans="1:13" hidden="1" x14ac:dyDescent="0.15">
      <c r="A7453" t="s">
        <v>23319</v>
      </c>
      <c r="B7453" t="s">
        <v>23320</v>
      </c>
      <c r="C7453" t="s">
        <v>23321</v>
      </c>
      <c r="D7453" t="s">
        <v>23318</v>
      </c>
      <c r="E7453">
        <v>37</v>
      </c>
      <c r="F7453" t="str">
        <f>HYPERLINK("https://github.com/nextcloud/android/issues/5394", "show")</f>
        <v>show</v>
      </c>
      <c r="G7453" t="str">
        <f>HYPERLINK("https://github.com/nextcloud/android", "show")</f>
        <v>show</v>
      </c>
      <c r="H7453" t="str">
        <f>HYPERLINK("https://github.com/nextcloud/android/releases", "show")</f>
        <v>show</v>
      </c>
      <c r="I7453">
        <v>0</v>
      </c>
      <c r="J7453">
        <v>0</v>
      </c>
      <c r="K7453">
        <v>1</v>
      </c>
      <c r="L7453">
        <v>0</v>
      </c>
      <c r="M7453" t="s">
        <v>122</v>
      </c>
    </row>
    <row r="7454" spans="1:13" hidden="1" x14ac:dyDescent="0.15">
      <c r="A7454" t="s">
        <v>23322</v>
      </c>
      <c r="B7454" t="s">
        <v>23323</v>
      </c>
      <c r="C7454" t="s">
        <v>23324</v>
      </c>
      <c r="D7454" t="s">
        <v>23318</v>
      </c>
      <c r="E7454">
        <v>83</v>
      </c>
      <c r="F7454" t="str">
        <f>HYPERLINK("https://github.com/opensrp/opensrp-client-opd/issues/68", "show")</f>
        <v>show</v>
      </c>
      <c r="G7454" t="str">
        <f>HYPERLINK("https://github.com/opensrp/opensrp-client-opd", "show")</f>
        <v>show</v>
      </c>
      <c r="H7454" t="str">
        <f>HYPERLINK("https://github.com/opensrp/opensrp-client-opd/releases", "show")</f>
        <v>show</v>
      </c>
      <c r="I7454">
        <v>1</v>
      </c>
      <c r="J7454">
        <v>0</v>
      </c>
      <c r="K7454">
        <v>0</v>
      </c>
      <c r="L7454">
        <v>0</v>
      </c>
      <c r="M7454" t="s">
        <v>17</v>
      </c>
    </row>
    <row r="7455" spans="1:13" hidden="1" x14ac:dyDescent="0.15">
      <c r="A7455" t="s">
        <v>23325</v>
      </c>
      <c r="B7455" t="s">
        <v>23326</v>
      </c>
      <c r="C7455" t="s">
        <v>23327</v>
      </c>
      <c r="D7455" t="s">
        <v>23318</v>
      </c>
      <c r="E7455">
        <v>12</v>
      </c>
      <c r="F7455" t="str">
        <f>HYPERLINK("https://github.com/square/okhttp/issues/5770", "show")</f>
        <v>show</v>
      </c>
      <c r="G7455" t="str">
        <f>HYPERLINK("https://github.com/square/okhttp", "show")</f>
        <v>show</v>
      </c>
      <c r="H7455" t="str">
        <f>HYPERLINK("https://github.com/square/okhttp/releases", "show")</f>
        <v>show</v>
      </c>
      <c r="I7455">
        <v>1</v>
      </c>
      <c r="J7455">
        <v>0</v>
      </c>
      <c r="K7455">
        <v>1</v>
      </c>
      <c r="L7455">
        <v>0</v>
      </c>
      <c r="M7455" t="s">
        <v>64</v>
      </c>
    </row>
    <row r="7456" spans="1:13" hidden="1" x14ac:dyDescent="0.15">
      <c r="A7456" t="s">
        <v>23328</v>
      </c>
      <c r="B7456" t="s">
        <v>23329</v>
      </c>
      <c r="C7456" t="s">
        <v>23330</v>
      </c>
      <c r="D7456" t="s">
        <v>23331</v>
      </c>
      <c r="E7456">
        <v>0</v>
      </c>
      <c r="F7456" t="str">
        <f>HYPERLINK("https://github.com/ankidroid/Anki-Android/issues/5736", "show")</f>
        <v>show</v>
      </c>
      <c r="G7456" t="str">
        <f>HYPERLINK("https://github.com/ankidroid/Anki-Android", "show")</f>
        <v>show</v>
      </c>
      <c r="H7456" t="str">
        <f>HYPERLINK("https://github.com/ankidroid/Anki-Android/releases", "show")</f>
        <v>show</v>
      </c>
      <c r="I7456">
        <v>1</v>
      </c>
      <c r="J7456">
        <v>0</v>
      </c>
      <c r="K7456">
        <v>0</v>
      </c>
      <c r="L7456">
        <v>0</v>
      </c>
      <c r="M7456" t="s">
        <v>17</v>
      </c>
    </row>
    <row r="7457" spans="1:13" hidden="1" x14ac:dyDescent="0.15">
      <c r="A7457" t="s">
        <v>23332</v>
      </c>
      <c r="B7457" t="s">
        <v>23333</v>
      </c>
      <c r="C7457" t="s">
        <v>23334</v>
      </c>
      <c r="D7457" t="s">
        <v>23331</v>
      </c>
      <c r="E7457">
        <v>0</v>
      </c>
      <c r="F7457" t="str">
        <f>HYPERLINK("https://github.com/nextcloud/android/issues/5391", "show")</f>
        <v>show</v>
      </c>
      <c r="G7457" t="str">
        <f>HYPERLINK("https://github.com/nextcloud/android", "show")</f>
        <v>show</v>
      </c>
      <c r="H7457" t="str">
        <f>HYPERLINK("https://github.com/nextcloud/android/releases", "show")</f>
        <v>show</v>
      </c>
      <c r="I7457">
        <v>1</v>
      </c>
      <c r="J7457">
        <v>1</v>
      </c>
      <c r="K7457">
        <v>1</v>
      </c>
      <c r="L7457">
        <v>0</v>
      </c>
      <c r="M7457" t="s">
        <v>59</v>
      </c>
    </row>
    <row r="7458" spans="1:13" hidden="1" x14ac:dyDescent="0.15">
      <c r="A7458" t="s">
        <v>23335</v>
      </c>
      <c r="B7458" t="s">
        <v>23336</v>
      </c>
      <c r="C7458" t="s">
        <v>23337</v>
      </c>
      <c r="D7458" t="s">
        <v>23331</v>
      </c>
      <c r="E7458">
        <v>17</v>
      </c>
      <c r="F7458" t="str">
        <f>HYPERLINK("https://github.com/nextcloud/android/issues/5390", "show")</f>
        <v>show</v>
      </c>
      <c r="G7458" t="str">
        <f>HYPERLINK("https://github.com/nextcloud/android", "show")</f>
        <v>show</v>
      </c>
      <c r="H7458" t="str">
        <f>HYPERLINK("https://github.com/nextcloud/android/releases", "show")</f>
        <v>show</v>
      </c>
      <c r="I7458">
        <v>1</v>
      </c>
      <c r="J7458">
        <v>1</v>
      </c>
      <c r="K7458">
        <v>1</v>
      </c>
      <c r="L7458">
        <v>0</v>
      </c>
      <c r="M7458" t="s">
        <v>59</v>
      </c>
    </row>
    <row r="7459" spans="1:13" hidden="1" x14ac:dyDescent="0.15">
      <c r="A7459" t="s">
        <v>23338</v>
      </c>
      <c r="B7459" t="s">
        <v>23339</v>
      </c>
      <c r="C7459" t="s">
        <v>23340</v>
      </c>
      <c r="D7459" t="s">
        <v>23331</v>
      </c>
      <c r="E7459">
        <v>34</v>
      </c>
      <c r="F7459" t="str">
        <f>HYPERLINK("https://github.com/TeamNewPipe/NewPipe/issues/3046", "show")</f>
        <v>show</v>
      </c>
      <c r="G7459" t="str">
        <f>HYPERLINK("https://github.com/TeamNewPipe/NewPipe", "show")</f>
        <v>show</v>
      </c>
      <c r="H7459" t="str">
        <f>HYPERLINK("https://github.com/TeamNewPipe/NewPipe/releases", "show")</f>
        <v>show</v>
      </c>
      <c r="I7459">
        <v>1</v>
      </c>
      <c r="J7459">
        <v>0</v>
      </c>
      <c r="K7459">
        <v>0</v>
      </c>
      <c r="L7459">
        <v>0</v>
      </c>
      <c r="M7459" t="s">
        <v>17</v>
      </c>
    </row>
    <row r="7460" spans="1:13" hidden="1" x14ac:dyDescent="0.15">
      <c r="A7460" t="s">
        <v>23341</v>
      </c>
      <c r="B7460" t="s">
        <v>23342</v>
      </c>
      <c r="C7460" t="s">
        <v>23343</v>
      </c>
      <c r="D7460" t="s">
        <v>23331</v>
      </c>
      <c r="E7460">
        <v>43</v>
      </c>
      <c r="F7460" t="str">
        <f>HYPERLINK("https://github.com/nextcloud/android/issues/5380", "show")</f>
        <v>show</v>
      </c>
      <c r="G7460" t="str">
        <f>HYPERLINK("https://github.com/nextcloud/android", "show")</f>
        <v>show</v>
      </c>
      <c r="H7460" t="str">
        <f>HYPERLINK("https://github.com/nextcloud/android/releases", "show")</f>
        <v>show</v>
      </c>
      <c r="I7460">
        <v>1</v>
      </c>
      <c r="J7460">
        <v>1</v>
      </c>
      <c r="K7460">
        <v>1</v>
      </c>
      <c r="L7460">
        <v>0</v>
      </c>
      <c r="M7460" t="s">
        <v>59</v>
      </c>
    </row>
    <row r="7461" spans="1:13" hidden="1" x14ac:dyDescent="0.15">
      <c r="A7461" t="s">
        <v>23344</v>
      </c>
      <c r="B7461" t="s">
        <v>23345</v>
      </c>
      <c r="C7461" t="s">
        <v>23346</v>
      </c>
      <c r="D7461" t="s">
        <v>23347</v>
      </c>
      <c r="E7461">
        <v>37</v>
      </c>
      <c r="F7461" t="str">
        <f>HYPERLINK("https://github.com/nextcloud/android/issues/5377", "show")</f>
        <v>show</v>
      </c>
      <c r="G7461" t="str">
        <f>HYPERLINK("https://github.com/nextcloud/android", "show")</f>
        <v>show</v>
      </c>
      <c r="H7461" t="str">
        <f>HYPERLINK("https://github.com/nextcloud/android/releases", "show")</f>
        <v>show</v>
      </c>
      <c r="I7461">
        <v>0</v>
      </c>
      <c r="J7461">
        <v>0</v>
      </c>
      <c r="K7461">
        <v>1</v>
      </c>
      <c r="L7461">
        <v>0</v>
      </c>
      <c r="M7461" t="s">
        <v>122</v>
      </c>
    </row>
    <row r="7462" spans="1:13" hidden="1" x14ac:dyDescent="0.15">
      <c r="A7462" t="s">
        <v>23348</v>
      </c>
      <c r="B7462" t="s">
        <v>23349</v>
      </c>
      <c r="C7462" t="s">
        <v>23350</v>
      </c>
      <c r="D7462" t="s">
        <v>23347</v>
      </c>
      <c r="E7462">
        <v>35</v>
      </c>
      <c r="F7462" t="str">
        <f>HYPERLINK("https://github.com/TeamNewPipe/NewPipe/issues/3045", "show")</f>
        <v>show</v>
      </c>
      <c r="G7462" t="str">
        <f>HYPERLINK("https://github.com/TeamNewPipe/NewPipe", "show")</f>
        <v>show</v>
      </c>
      <c r="H7462" t="str">
        <f>HYPERLINK("https://github.com/TeamNewPipe/NewPipe/releases", "show")</f>
        <v>show</v>
      </c>
      <c r="I7462">
        <v>0</v>
      </c>
      <c r="J7462">
        <v>0</v>
      </c>
      <c r="K7462">
        <v>1</v>
      </c>
      <c r="L7462">
        <v>0</v>
      </c>
      <c r="M7462" t="s">
        <v>122</v>
      </c>
    </row>
    <row r="7463" spans="1:13" hidden="1" x14ac:dyDescent="0.15">
      <c r="A7463" t="s">
        <v>23351</v>
      </c>
      <c r="B7463" t="s">
        <v>23352</v>
      </c>
      <c r="C7463" t="s">
        <v>23353</v>
      </c>
      <c r="D7463" t="s">
        <v>23347</v>
      </c>
      <c r="E7463">
        <v>1</v>
      </c>
      <c r="F7463" t="str">
        <f>HYPERLINK("https://github.com/nextcloud/android/issues/5373", "show")</f>
        <v>show</v>
      </c>
      <c r="G7463" t="str">
        <f>HYPERLINK("https://github.com/nextcloud/android", "show")</f>
        <v>show</v>
      </c>
      <c r="H7463" t="str">
        <f>HYPERLINK("https://github.com/nextcloud/android/releases", "show")</f>
        <v>show</v>
      </c>
      <c r="I7463">
        <v>1</v>
      </c>
      <c r="J7463">
        <v>1</v>
      </c>
      <c r="K7463">
        <v>1</v>
      </c>
      <c r="L7463">
        <v>0</v>
      </c>
      <c r="M7463" t="s">
        <v>59</v>
      </c>
    </row>
    <row r="7464" spans="1:13" hidden="1" x14ac:dyDescent="0.15">
      <c r="A7464" t="s">
        <v>23354</v>
      </c>
      <c r="B7464" t="s">
        <v>23355</v>
      </c>
      <c r="C7464" t="s">
        <v>23356</v>
      </c>
      <c r="D7464" t="s">
        <v>23347</v>
      </c>
      <c r="E7464">
        <v>1</v>
      </c>
      <c r="F7464" t="str">
        <f>HYPERLINK("https://github.com/nextcloud/android/issues/5372", "show")</f>
        <v>show</v>
      </c>
      <c r="G7464" t="str">
        <f>HYPERLINK("https://github.com/nextcloud/android", "show")</f>
        <v>show</v>
      </c>
      <c r="H7464" t="str">
        <f>HYPERLINK("https://github.com/nextcloud/android/releases", "show")</f>
        <v>show</v>
      </c>
      <c r="I7464">
        <v>1</v>
      </c>
      <c r="J7464">
        <v>1</v>
      </c>
      <c r="K7464">
        <v>1</v>
      </c>
      <c r="L7464">
        <v>0</v>
      </c>
      <c r="M7464" t="s">
        <v>59</v>
      </c>
    </row>
    <row r="7465" spans="1:13" hidden="1" x14ac:dyDescent="0.15">
      <c r="A7465" t="s">
        <v>23357</v>
      </c>
      <c r="B7465" t="s">
        <v>23358</v>
      </c>
      <c r="C7465" t="s">
        <v>23359</v>
      </c>
      <c r="D7465" t="s">
        <v>23360</v>
      </c>
      <c r="E7465">
        <v>38</v>
      </c>
      <c r="F7465" t="str">
        <f>HYPERLINK("https://github.com/NordicSemiconductor/Android-BLE-Library/issues/154", "show")</f>
        <v>show</v>
      </c>
      <c r="G7465" t="str">
        <f>HYPERLINK("https://github.com/NordicSemiconductor/Android-BLE-Library", "show")</f>
        <v>show</v>
      </c>
      <c r="H7465" t="str">
        <f>HYPERLINK("https://github.com/NordicSemiconductor/Android-BLE-Library/releases", "show")</f>
        <v>show</v>
      </c>
      <c r="I7465">
        <v>0</v>
      </c>
      <c r="J7465">
        <v>0</v>
      </c>
      <c r="K7465">
        <v>0</v>
      </c>
      <c r="L7465">
        <v>0</v>
      </c>
      <c r="M7465" t="s">
        <v>43</v>
      </c>
    </row>
    <row r="7466" spans="1:13" hidden="1" x14ac:dyDescent="0.15">
      <c r="A7466" t="s">
        <v>23361</v>
      </c>
      <c r="B7466" t="s">
        <v>23362</v>
      </c>
      <c r="C7466" t="s">
        <v>23363</v>
      </c>
      <c r="D7466" t="s">
        <v>23360</v>
      </c>
      <c r="E7466">
        <v>2</v>
      </c>
      <c r="F7466" t="str">
        <f>HYPERLINK("https://github.com/nextcloud/android/issues/5370", "show")</f>
        <v>show</v>
      </c>
      <c r="G7466" t="str">
        <f>HYPERLINK("https://github.com/nextcloud/android", "show")</f>
        <v>show</v>
      </c>
      <c r="H7466" t="str">
        <f>HYPERLINK("https://github.com/nextcloud/android/releases", "show")</f>
        <v>show</v>
      </c>
      <c r="I7466">
        <v>1</v>
      </c>
      <c r="J7466">
        <v>1</v>
      </c>
      <c r="K7466">
        <v>0</v>
      </c>
      <c r="L7466">
        <v>0</v>
      </c>
      <c r="M7466" t="s">
        <v>48</v>
      </c>
    </row>
    <row r="7467" spans="1:13" hidden="1" x14ac:dyDescent="0.15">
      <c r="A7467" t="s">
        <v>23364</v>
      </c>
      <c r="B7467" t="s">
        <v>23365</v>
      </c>
      <c r="C7467" t="s">
        <v>23366</v>
      </c>
      <c r="D7467" t="s">
        <v>23360</v>
      </c>
      <c r="E7467">
        <v>0</v>
      </c>
      <c r="F7467" t="str">
        <f>HYPERLINK("https://github.com/nextcloud/android/issues/5369", "show")</f>
        <v>show</v>
      </c>
      <c r="G7467" t="str">
        <f>HYPERLINK("https://github.com/nextcloud/android", "show")</f>
        <v>show</v>
      </c>
      <c r="H7467" t="str">
        <f>HYPERLINK("https://github.com/nextcloud/android/releases", "show")</f>
        <v>show</v>
      </c>
      <c r="I7467">
        <v>0</v>
      </c>
      <c r="J7467">
        <v>1</v>
      </c>
      <c r="K7467">
        <v>1</v>
      </c>
      <c r="L7467">
        <v>0</v>
      </c>
      <c r="M7467" t="s">
        <v>699</v>
      </c>
    </row>
    <row r="7468" spans="1:13" hidden="1" x14ac:dyDescent="0.15">
      <c r="A7468" t="s">
        <v>23367</v>
      </c>
      <c r="B7468" t="s">
        <v>23368</v>
      </c>
      <c r="C7468" t="s">
        <v>23369</v>
      </c>
      <c r="D7468" t="s">
        <v>23360</v>
      </c>
      <c r="E7468">
        <v>783</v>
      </c>
      <c r="F7468" t="str">
        <f>HYPERLINK("https://github.com/aws-amplify/aws-sdk-android/issues/1510", "show")</f>
        <v>show</v>
      </c>
      <c r="G7468" t="str">
        <f>HYPERLINK("https://github.com/aws-amplify/aws-sdk-android", "show")</f>
        <v>show</v>
      </c>
      <c r="H7468" t="str">
        <f>HYPERLINK("https://github.com/aws-amplify/aws-sdk-android/releases", "show")</f>
        <v>show</v>
      </c>
      <c r="I7468">
        <v>1</v>
      </c>
      <c r="J7468">
        <v>0</v>
      </c>
      <c r="K7468">
        <v>0</v>
      </c>
      <c r="L7468">
        <v>0</v>
      </c>
      <c r="M7468" t="s">
        <v>17</v>
      </c>
    </row>
    <row r="7469" spans="1:13" hidden="1" x14ac:dyDescent="0.15">
      <c r="A7469" t="s">
        <v>23370</v>
      </c>
      <c r="B7469" t="s">
        <v>23371</v>
      </c>
      <c r="C7469" t="s">
        <v>23372</v>
      </c>
      <c r="D7469" t="s">
        <v>23360</v>
      </c>
      <c r="E7469">
        <v>35</v>
      </c>
      <c r="F7469" t="str">
        <f>HYPERLINK("https://github.com/zoontek/react-native-bootsplash/issues/58", "show")</f>
        <v>show</v>
      </c>
      <c r="G7469" t="str">
        <f>HYPERLINK("https://github.com/zoontek/react-native-bootsplash", "show")</f>
        <v>show</v>
      </c>
      <c r="H7469" t="str">
        <f>HYPERLINK("https://github.com/zoontek/react-native-bootsplash/releases", "show")</f>
        <v>show</v>
      </c>
      <c r="I7469">
        <v>0</v>
      </c>
      <c r="J7469">
        <v>0</v>
      </c>
      <c r="K7469">
        <v>1</v>
      </c>
      <c r="L7469">
        <v>0</v>
      </c>
      <c r="M7469" t="s">
        <v>122</v>
      </c>
    </row>
    <row r="7470" spans="1:13" hidden="1" x14ac:dyDescent="0.15">
      <c r="A7470" t="s">
        <v>23373</v>
      </c>
      <c r="B7470" t="s">
        <v>23374</v>
      </c>
      <c r="C7470" t="s">
        <v>23375</v>
      </c>
      <c r="D7470" t="s">
        <v>23360</v>
      </c>
      <c r="E7470">
        <v>314</v>
      </c>
      <c r="F7470" t="str">
        <f>HYPERLINK("https://github.com/ElderDrivers/EdXposed/issues/456", "show")</f>
        <v>show</v>
      </c>
      <c r="G7470" t="str">
        <f>HYPERLINK("https://github.com/ElderDrivers/EdXposed", "show")</f>
        <v>show</v>
      </c>
      <c r="H7470" t="str">
        <f>HYPERLINK("https://github.com/ElderDrivers/EdXposed/releases", "show")</f>
        <v>show</v>
      </c>
      <c r="I7470">
        <v>1</v>
      </c>
      <c r="J7470">
        <v>0</v>
      </c>
      <c r="K7470">
        <v>1</v>
      </c>
      <c r="L7470">
        <v>0</v>
      </c>
      <c r="M7470" t="s">
        <v>64</v>
      </c>
    </row>
    <row r="7471" spans="1:13" hidden="1" x14ac:dyDescent="0.15">
      <c r="A7471" t="s">
        <v>23376</v>
      </c>
      <c r="B7471" t="s">
        <v>23377</v>
      </c>
      <c r="C7471" t="s">
        <v>23378</v>
      </c>
      <c r="D7471" t="s">
        <v>23379</v>
      </c>
      <c r="E7471">
        <v>0</v>
      </c>
      <c r="F7471" t="str">
        <f>HYPERLINK("https://github.com/nextcloud/android/issues/5366", "show")</f>
        <v>show</v>
      </c>
      <c r="G7471" t="str">
        <f>HYPERLINK("https://github.com/nextcloud/android", "show")</f>
        <v>show</v>
      </c>
      <c r="H7471" t="str">
        <f>HYPERLINK("https://github.com/nextcloud/android/releases", "show")</f>
        <v>show</v>
      </c>
      <c r="I7471">
        <v>1</v>
      </c>
      <c r="J7471">
        <v>1</v>
      </c>
      <c r="K7471">
        <v>1</v>
      </c>
      <c r="L7471">
        <v>0</v>
      </c>
      <c r="M7471" t="s">
        <v>59</v>
      </c>
    </row>
    <row r="7472" spans="1:13" hidden="1" x14ac:dyDescent="0.15">
      <c r="A7472" t="s">
        <v>23380</v>
      </c>
      <c r="B7472" t="s">
        <v>23381</v>
      </c>
      <c r="C7472" t="s">
        <v>23382</v>
      </c>
      <c r="D7472" t="s">
        <v>23379</v>
      </c>
      <c r="E7472">
        <v>3</v>
      </c>
      <c r="F7472" t="str">
        <f>HYPERLINK("https://github.com/armpatch/TrainingLog/issues/13", "show")</f>
        <v>show</v>
      </c>
      <c r="G7472" t="str">
        <f>HYPERLINK("https://github.com/armpatch/TrainingLog", "show")</f>
        <v>show</v>
      </c>
      <c r="H7472" t="str">
        <f>HYPERLINK("https://github.com/armpatch/TrainingLog/releases", "show")</f>
        <v>show</v>
      </c>
      <c r="I7472">
        <v>1</v>
      </c>
      <c r="J7472">
        <v>0</v>
      </c>
      <c r="K7472">
        <v>0</v>
      </c>
      <c r="L7472">
        <v>0</v>
      </c>
      <c r="M7472" t="s">
        <v>17</v>
      </c>
    </row>
    <row r="7473" spans="1:13" hidden="1" x14ac:dyDescent="0.15">
      <c r="A7473" t="s">
        <v>23383</v>
      </c>
      <c r="B7473" t="s">
        <v>23384</v>
      </c>
      <c r="C7473" t="s">
        <v>23385</v>
      </c>
      <c r="D7473" t="s">
        <v>23379</v>
      </c>
      <c r="E7473">
        <v>3</v>
      </c>
      <c r="F7473" t="str">
        <f>HYPERLINK("https://github.com/nextcloud/android/issues/5364", "show")</f>
        <v>show</v>
      </c>
      <c r="G7473" t="str">
        <f>HYPERLINK("https://github.com/nextcloud/android", "show")</f>
        <v>show</v>
      </c>
      <c r="H7473" t="str">
        <f>HYPERLINK("https://github.com/nextcloud/android/releases", "show")</f>
        <v>show</v>
      </c>
      <c r="I7473">
        <v>1</v>
      </c>
      <c r="J7473">
        <v>1</v>
      </c>
      <c r="K7473">
        <v>1</v>
      </c>
      <c r="L7473">
        <v>0</v>
      </c>
      <c r="M7473" t="s">
        <v>59</v>
      </c>
    </row>
    <row r="7474" spans="1:13" hidden="1" x14ac:dyDescent="0.15">
      <c r="A7474" t="s">
        <v>23386</v>
      </c>
      <c r="B7474" t="s">
        <v>23387</v>
      </c>
      <c r="C7474" t="s">
        <v>23388</v>
      </c>
      <c r="D7474" t="s">
        <v>23379</v>
      </c>
      <c r="E7474">
        <v>0</v>
      </c>
      <c r="F7474" t="str">
        <f>HYPERLINK("https://github.com/nextcloud/android/issues/5362", "show")</f>
        <v>show</v>
      </c>
      <c r="G7474" t="str">
        <f>HYPERLINK("https://github.com/nextcloud/android", "show")</f>
        <v>show</v>
      </c>
      <c r="H7474" t="str">
        <f>HYPERLINK("https://github.com/nextcloud/android/releases", "show")</f>
        <v>show</v>
      </c>
      <c r="I7474">
        <v>1</v>
      </c>
      <c r="J7474">
        <v>0</v>
      </c>
      <c r="K7474">
        <v>1</v>
      </c>
      <c r="L7474">
        <v>0</v>
      </c>
      <c r="M7474" t="s">
        <v>64</v>
      </c>
    </row>
    <row r="7475" spans="1:13" hidden="1" x14ac:dyDescent="0.15">
      <c r="A7475" t="s">
        <v>23389</v>
      </c>
      <c r="B7475" t="s">
        <v>23390</v>
      </c>
      <c r="C7475" t="s">
        <v>23391</v>
      </c>
      <c r="D7475" t="s">
        <v>23392</v>
      </c>
      <c r="E7475">
        <v>1</v>
      </c>
      <c r="F7475" t="str">
        <f>HYPERLINK("https://github.com/nextcloud/android/issues/5356", "show")</f>
        <v>show</v>
      </c>
      <c r="G7475" t="str">
        <f>HYPERLINK("https://github.com/nextcloud/android", "show")</f>
        <v>show</v>
      </c>
      <c r="H7475" t="str">
        <f>HYPERLINK("https://github.com/nextcloud/android/releases", "show")</f>
        <v>show</v>
      </c>
      <c r="I7475">
        <v>1</v>
      </c>
      <c r="J7475">
        <v>0</v>
      </c>
      <c r="K7475">
        <v>1</v>
      </c>
      <c r="L7475">
        <v>0</v>
      </c>
      <c r="M7475" t="s">
        <v>64</v>
      </c>
    </row>
    <row r="7476" spans="1:13" hidden="1" x14ac:dyDescent="0.15">
      <c r="A7476" t="s">
        <v>23393</v>
      </c>
      <c r="B7476" t="s">
        <v>23394</v>
      </c>
      <c r="C7476" t="s">
        <v>23395</v>
      </c>
      <c r="D7476" t="s">
        <v>23392</v>
      </c>
      <c r="E7476">
        <v>77</v>
      </c>
      <c r="F7476" t="str">
        <f>HYPERLINK("https://github.com/aws-amplify/aws-sdk-android/issues/1461", "show")</f>
        <v>show</v>
      </c>
      <c r="G7476" t="str">
        <f>HYPERLINK("https://github.com/aws-amplify/aws-sdk-android", "show")</f>
        <v>show</v>
      </c>
      <c r="H7476" t="str">
        <f>HYPERLINK("https://github.com/aws-amplify/aws-sdk-android/releases", "show")</f>
        <v>show</v>
      </c>
      <c r="I7476">
        <v>1</v>
      </c>
      <c r="J7476">
        <v>0</v>
      </c>
      <c r="K7476">
        <v>1</v>
      </c>
      <c r="L7476">
        <v>0</v>
      </c>
      <c r="M7476" t="s">
        <v>64</v>
      </c>
    </row>
    <row r="7477" spans="1:13" hidden="1" x14ac:dyDescent="0.15">
      <c r="A7477" t="s">
        <v>23396</v>
      </c>
      <c r="B7477" t="s">
        <v>23397</v>
      </c>
      <c r="C7477" t="s">
        <v>23398</v>
      </c>
      <c r="D7477" t="s">
        <v>23392</v>
      </c>
      <c r="E7477">
        <v>3</v>
      </c>
      <c r="F7477" t="str">
        <f>HYPERLINK("https://github.com/renyuneyun/Easer/issues/322", "show")</f>
        <v>show</v>
      </c>
      <c r="G7477" t="str">
        <f>HYPERLINK("https://github.com/renyuneyun/Easer", "show")</f>
        <v>show</v>
      </c>
      <c r="H7477" t="str">
        <f>HYPERLINK("https://github.com/renyuneyun/Easer/releases", "show")</f>
        <v>show</v>
      </c>
      <c r="I7477">
        <v>1</v>
      </c>
      <c r="J7477">
        <v>1</v>
      </c>
      <c r="K7477">
        <v>0</v>
      </c>
      <c r="L7477">
        <v>0</v>
      </c>
      <c r="M7477" t="s">
        <v>48</v>
      </c>
    </row>
    <row r="7478" spans="1:13" hidden="1" x14ac:dyDescent="0.15">
      <c r="A7478" t="s">
        <v>23399</v>
      </c>
      <c r="B7478" t="s">
        <v>23400</v>
      </c>
      <c r="C7478" t="s">
        <v>23401</v>
      </c>
      <c r="D7478" t="s">
        <v>23392</v>
      </c>
      <c r="E7478">
        <v>146</v>
      </c>
      <c r="F7478" t="str">
        <f>HYPERLINK("https://github.com/getodk/collect/issues/3615", "show")</f>
        <v>show</v>
      </c>
      <c r="G7478" t="str">
        <f>HYPERLINK("https://github.com/getodk/collect", "show")</f>
        <v>show</v>
      </c>
      <c r="H7478" t="str">
        <f>HYPERLINK("https://github.com/getodk/collect/releases", "show")</f>
        <v>show</v>
      </c>
      <c r="I7478">
        <v>1</v>
      </c>
      <c r="J7478">
        <v>1</v>
      </c>
      <c r="K7478">
        <v>0</v>
      </c>
      <c r="L7478">
        <v>0</v>
      </c>
      <c r="M7478" t="s">
        <v>48</v>
      </c>
    </row>
    <row r="7479" spans="1:13" x14ac:dyDescent="0.15">
      <c r="A7479" t="s">
        <v>23402</v>
      </c>
      <c r="B7479" t="s">
        <v>23403</v>
      </c>
      <c r="C7479" t="s">
        <v>23404</v>
      </c>
      <c r="D7479" t="s">
        <v>23405</v>
      </c>
      <c r="E7479">
        <v>104</v>
      </c>
      <c r="F7479" t="str">
        <f>HYPERLINK("https://github.com/OpenArchive/Save-app-android/issues/204", "show")</f>
        <v>show</v>
      </c>
      <c r="G7479" t="str">
        <f>HYPERLINK("https://github.com/OpenArchive/Save-app-android", "show")</f>
        <v>show</v>
      </c>
      <c r="H7479" t="str">
        <f>HYPERLINK("https://github.com/OpenArchive/Save-app-android/releases", "show")</f>
        <v>show</v>
      </c>
      <c r="I7479">
        <v>0</v>
      </c>
      <c r="J7479">
        <v>1</v>
      </c>
      <c r="K7479">
        <v>0</v>
      </c>
      <c r="L7479">
        <v>0</v>
      </c>
      <c r="M7479" t="s">
        <v>139</v>
      </c>
    </row>
    <row r="7480" spans="1:13" hidden="1" x14ac:dyDescent="0.15">
      <c r="A7480" t="s">
        <v>23406</v>
      </c>
      <c r="B7480" t="s">
        <v>23407</v>
      </c>
      <c r="C7480" t="s">
        <v>23408</v>
      </c>
      <c r="D7480" t="s">
        <v>23405</v>
      </c>
      <c r="E7480">
        <v>5</v>
      </c>
      <c r="F7480" t="str">
        <f>HYPERLINK("https://github.com/ankidroid/Anki-Android/issues/5731", "show")</f>
        <v>show</v>
      </c>
      <c r="G7480" t="str">
        <f>HYPERLINK("https://github.com/ankidroid/Anki-Android", "show")</f>
        <v>show</v>
      </c>
      <c r="H7480" t="str">
        <f>HYPERLINK("https://github.com/ankidroid/Anki-Android/releases", "show")</f>
        <v>show</v>
      </c>
      <c r="I7480">
        <v>0</v>
      </c>
      <c r="J7480">
        <v>0</v>
      </c>
      <c r="K7480">
        <v>0</v>
      </c>
      <c r="L7480">
        <v>0</v>
      </c>
      <c r="M7480" t="s">
        <v>43</v>
      </c>
    </row>
    <row r="7481" spans="1:13" hidden="1" x14ac:dyDescent="0.15">
      <c r="A7481" t="s">
        <v>23409</v>
      </c>
      <c r="B7481" t="s">
        <v>23410</v>
      </c>
      <c r="C7481" t="s">
        <v>23411</v>
      </c>
      <c r="D7481" t="s">
        <v>23405</v>
      </c>
      <c r="E7481">
        <v>540</v>
      </c>
      <c r="F7481" t="str">
        <f>HYPERLINK("https://github.com/enviroCar/enviroCar-app/issues/389", "show")</f>
        <v>show</v>
      </c>
      <c r="G7481" t="str">
        <f>HYPERLINK("https://github.com/enviroCar/enviroCar-app", "show")</f>
        <v>show</v>
      </c>
      <c r="H7481" t="str">
        <f>HYPERLINK("https://github.com/enviroCar/enviroCar-app/releases", "show")</f>
        <v>show</v>
      </c>
      <c r="I7481">
        <v>1</v>
      </c>
      <c r="J7481">
        <v>1</v>
      </c>
      <c r="K7481">
        <v>0</v>
      </c>
      <c r="L7481">
        <v>0</v>
      </c>
      <c r="M7481" t="s">
        <v>48</v>
      </c>
    </row>
    <row r="7482" spans="1:13" x14ac:dyDescent="0.15">
      <c r="A7482" t="s">
        <v>23412</v>
      </c>
      <c r="B7482" t="s">
        <v>3180</v>
      </c>
      <c r="C7482" t="s">
        <v>23413</v>
      </c>
      <c r="D7482" t="s">
        <v>23405</v>
      </c>
      <c r="E7482">
        <v>2</v>
      </c>
      <c r="F7482" t="str">
        <f>HYPERLINK("https://github.com/nextcloud/android/issues/5348", "show")</f>
        <v>show</v>
      </c>
      <c r="G7482" t="str">
        <f>HYPERLINK("https://github.com/nextcloud/android", "show")</f>
        <v>show</v>
      </c>
      <c r="H7482" t="str">
        <f>HYPERLINK("https://github.com/nextcloud/android/releases", "show")</f>
        <v>show</v>
      </c>
      <c r="I7482">
        <v>0</v>
      </c>
      <c r="J7482">
        <v>1</v>
      </c>
      <c r="K7482">
        <v>0</v>
      </c>
      <c r="L7482">
        <v>0</v>
      </c>
      <c r="M7482" t="s">
        <v>139</v>
      </c>
    </row>
    <row r="7483" spans="1:13" hidden="1" x14ac:dyDescent="0.15">
      <c r="A7483" t="s">
        <v>23414</v>
      </c>
      <c r="B7483" t="s">
        <v>23415</v>
      </c>
      <c r="C7483" t="s">
        <v>23416</v>
      </c>
      <c r="D7483" t="s">
        <v>23417</v>
      </c>
      <c r="E7483">
        <v>0</v>
      </c>
      <c r="F7483" t="str">
        <f>HYPERLINK("https://github.com/nextcloud/android/issues/5344", "show")</f>
        <v>show</v>
      </c>
      <c r="G7483" t="str">
        <f>HYPERLINK("https://github.com/nextcloud/android", "show")</f>
        <v>show</v>
      </c>
      <c r="H7483" t="str">
        <f>HYPERLINK("https://github.com/nextcloud/android/releases", "show")</f>
        <v>show</v>
      </c>
      <c r="I7483">
        <v>0</v>
      </c>
      <c r="J7483">
        <v>1</v>
      </c>
      <c r="K7483">
        <v>1</v>
      </c>
      <c r="L7483">
        <v>0</v>
      </c>
      <c r="M7483" t="s">
        <v>699</v>
      </c>
    </row>
    <row r="7484" spans="1:13" hidden="1" x14ac:dyDescent="0.15">
      <c r="A7484" t="s">
        <v>23418</v>
      </c>
      <c r="B7484" t="s">
        <v>23419</v>
      </c>
      <c r="C7484" t="s">
        <v>23420</v>
      </c>
      <c r="D7484" t="s">
        <v>23417</v>
      </c>
      <c r="E7484">
        <v>0</v>
      </c>
      <c r="F7484" t="str">
        <f>HYPERLINK("https://github.com/nextcloud/android/issues/5341", "show")</f>
        <v>show</v>
      </c>
      <c r="G7484" t="str">
        <f>HYPERLINK("https://github.com/nextcloud/android", "show")</f>
        <v>show</v>
      </c>
      <c r="H7484" t="str">
        <f>HYPERLINK("https://github.com/nextcloud/android/releases", "show")</f>
        <v>show</v>
      </c>
      <c r="I7484">
        <v>1</v>
      </c>
      <c r="J7484">
        <v>0</v>
      </c>
      <c r="K7484">
        <v>1</v>
      </c>
      <c r="L7484">
        <v>0</v>
      </c>
      <c r="M7484" t="s">
        <v>64</v>
      </c>
    </row>
    <row r="7485" spans="1:13" hidden="1" x14ac:dyDescent="0.15">
      <c r="A7485" t="s">
        <v>23421</v>
      </c>
      <c r="B7485" t="s">
        <v>23422</v>
      </c>
      <c r="C7485" t="s">
        <v>23423</v>
      </c>
      <c r="D7485" t="s">
        <v>23417</v>
      </c>
      <c r="E7485">
        <v>5</v>
      </c>
      <c r="F7485" t="str">
        <f>HYPERLINK("https://github.com/TeamNewPipe/NewPipe/issues/3023", "show")</f>
        <v>show</v>
      </c>
      <c r="G7485" t="str">
        <f>HYPERLINK("https://github.com/TeamNewPipe/NewPipe", "show")</f>
        <v>show</v>
      </c>
      <c r="H7485" t="str">
        <f>HYPERLINK("https://github.com/TeamNewPipe/NewPipe/releases", "show")</f>
        <v>show</v>
      </c>
      <c r="I7485">
        <v>1</v>
      </c>
      <c r="J7485">
        <v>0</v>
      </c>
      <c r="K7485">
        <v>1</v>
      </c>
      <c r="L7485">
        <v>0</v>
      </c>
      <c r="M7485" t="s">
        <v>64</v>
      </c>
    </row>
    <row r="7486" spans="1:13" hidden="1" x14ac:dyDescent="0.15">
      <c r="A7486" t="s">
        <v>23424</v>
      </c>
      <c r="B7486" t="s">
        <v>23425</v>
      </c>
      <c r="C7486" t="s">
        <v>23426</v>
      </c>
      <c r="D7486" t="s">
        <v>23417</v>
      </c>
      <c r="E7486">
        <v>349</v>
      </c>
      <c r="F7486" t="str">
        <f>HYPERLINK("https://github.com/commons-app/apps-android-commons/issues/3352", "show")</f>
        <v>show</v>
      </c>
      <c r="G7486" t="str">
        <f>HYPERLINK("https://github.com/commons-app/apps-android-commons", "show")</f>
        <v>show</v>
      </c>
      <c r="H7486" t="str">
        <f>HYPERLINK("https://github.com/commons-app/apps-android-commons/releases", "show")</f>
        <v>show</v>
      </c>
      <c r="I7486">
        <v>1</v>
      </c>
      <c r="J7486">
        <v>1</v>
      </c>
      <c r="K7486">
        <v>1</v>
      </c>
      <c r="L7486">
        <v>1</v>
      </c>
      <c r="M7486" t="s">
        <v>2875</v>
      </c>
    </row>
    <row r="7487" spans="1:13" hidden="1" x14ac:dyDescent="0.15">
      <c r="A7487" t="s">
        <v>23427</v>
      </c>
      <c r="B7487" t="s">
        <v>23428</v>
      </c>
      <c r="C7487" t="s">
        <v>23429</v>
      </c>
      <c r="D7487" t="s">
        <v>23430</v>
      </c>
      <c r="E7487">
        <v>56</v>
      </c>
      <c r="F7487" t="str">
        <f>HYPERLINK("https://github.com/nextcloud/android/issues/5334", "show")</f>
        <v>show</v>
      </c>
      <c r="G7487" t="str">
        <f>HYPERLINK("https://github.com/nextcloud/android", "show")</f>
        <v>show</v>
      </c>
      <c r="H7487" t="str">
        <f>HYPERLINK("https://github.com/nextcloud/android/releases", "show")</f>
        <v>show</v>
      </c>
      <c r="I7487">
        <v>1</v>
      </c>
      <c r="J7487">
        <v>1</v>
      </c>
      <c r="K7487">
        <v>1</v>
      </c>
      <c r="L7487">
        <v>0</v>
      </c>
      <c r="M7487" t="s">
        <v>59</v>
      </c>
    </row>
    <row r="7488" spans="1:13" hidden="1" x14ac:dyDescent="0.15">
      <c r="A7488" t="s">
        <v>23431</v>
      </c>
      <c r="B7488" t="s">
        <v>23432</v>
      </c>
      <c r="C7488" t="s">
        <v>23433</v>
      </c>
      <c r="D7488" t="s">
        <v>23430</v>
      </c>
      <c r="E7488">
        <v>24</v>
      </c>
      <c r="F7488" t="str">
        <f>HYPERLINK("https://github.com/nextcloud/android/issues/5333", "show")</f>
        <v>show</v>
      </c>
      <c r="G7488" t="str">
        <f>HYPERLINK("https://github.com/nextcloud/android", "show")</f>
        <v>show</v>
      </c>
      <c r="H7488" t="str">
        <f>HYPERLINK("https://github.com/nextcloud/android/releases", "show")</f>
        <v>show</v>
      </c>
      <c r="I7488">
        <v>1</v>
      </c>
      <c r="J7488">
        <v>1</v>
      </c>
      <c r="K7488">
        <v>1</v>
      </c>
      <c r="L7488">
        <v>0</v>
      </c>
      <c r="M7488" t="s">
        <v>59</v>
      </c>
    </row>
    <row r="7489" spans="1:13" hidden="1" x14ac:dyDescent="0.15">
      <c r="A7489" t="s">
        <v>23434</v>
      </c>
      <c r="B7489" t="s">
        <v>23435</v>
      </c>
      <c r="C7489" t="s">
        <v>23436</v>
      </c>
      <c r="D7489" t="s">
        <v>23430</v>
      </c>
      <c r="E7489">
        <v>0</v>
      </c>
      <c r="F7489" t="str">
        <f>HYPERLINK("https://github.com/nextcloud/android/issues/5327", "show")</f>
        <v>show</v>
      </c>
      <c r="G7489" t="str">
        <f>HYPERLINK("https://github.com/nextcloud/android", "show")</f>
        <v>show</v>
      </c>
      <c r="H7489" t="str">
        <f>HYPERLINK("https://github.com/nextcloud/android/releases", "show")</f>
        <v>show</v>
      </c>
      <c r="I7489">
        <v>1</v>
      </c>
      <c r="J7489">
        <v>0</v>
      </c>
      <c r="K7489">
        <v>1</v>
      </c>
      <c r="L7489">
        <v>0</v>
      </c>
      <c r="M7489" t="s">
        <v>64</v>
      </c>
    </row>
    <row r="7490" spans="1:13" hidden="1" x14ac:dyDescent="0.15">
      <c r="A7490" t="s">
        <v>23437</v>
      </c>
      <c r="B7490" t="s">
        <v>23438</v>
      </c>
      <c r="C7490" t="s">
        <v>23439</v>
      </c>
      <c r="D7490" t="s">
        <v>23430</v>
      </c>
      <c r="E7490">
        <v>1</v>
      </c>
      <c r="F7490" t="str">
        <f>HYPERLINK("https://github.com/MiKinshu/SilverBook/issues/28", "show")</f>
        <v>show</v>
      </c>
      <c r="G7490" t="str">
        <f>HYPERLINK("https://github.com/MiKinshu/SilverBook", "show")</f>
        <v>show</v>
      </c>
      <c r="H7490" t="str">
        <f>HYPERLINK("https://github.com/MiKinshu/SilverBook/releases", "show")</f>
        <v>show</v>
      </c>
      <c r="I7490">
        <v>1</v>
      </c>
      <c r="J7490">
        <v>0</v>
      </c>
      <c r="K7490">
        <v>0</v>
      </c>
      <c r="L7490">
        <v>0</v>
      </c>
      <c r="M7490" t="s">
        <v>17</v>
      </c>
    </row>
    <row r="7491" spans="1:13" hidden="1" x14ac:dyDescent="0.15">
      <c r="A7491" t="s">
        <v>23440</v>
      </c>
      <c r="B7491" t="s">
        <v>23441</v>
      </c>
      <c r="C7491" t="s">
        <v>23442</v>
      </c>
      <c r="D7491" t="s">
        <v>23430</v>
      </c>
      <c r="E7491">
        <v>257</v>
      </c>
      <c r="F7491" t="str">
        <f>HYPERLINK("https://github.com/TeamNewPipe/NewPipe/issues/3015", "show")</f>
        <v>show</v>
      </c>
      <c r="G7491" t="str">
        <f>HYPERLINK("https://github.com/TeamNewPipe/NewPipe", "show")</f>
        <v>show</v>
      </c>
      <c r="H7491" t="str">
        <f>HYPERLINK("https://github.com/TeamNewPipe/NewPipe/releases", "show")</f>
        <v>show</v>
      </c>
      <c r="I7491">
        <v>1</v>
      </c>
      <c r="J7491">
        <v>0</v>
      </c>
      <c r="K7491">
        <v>0</v>
      </c>
      <c r="L7491">
        <v>0</v>
      </c>
      <c r="M7491" t="s">
        <v>17</v>
      </c>
    </row>
    <row r="7492" spans="1:13" hidden="1" x14ac:dyDescent="0.15">
      <c r="A7492" t="s">
        <v>23443</v>
      </c>
      <c r="B7492" t="s">
        <v>23444</v>
      </c>
      <c r="C7492" t="s">
        <v>23445</v>
      </c>
      <c r="D7492" t="s">
        <v>23446</v>
      </c>
      <c r="E7492">
        <v>0</v>
      </c>
      <c r="F7492" t="str">
        <f>HYPERLINK("https://github.com/nextcloud/android/issues/5319", "show")</f>
        <v>show</v>
      </c>
      <c r="G7492" t="str">
        <f t="shared" ref="G7492:G7497" si="30">HYPERLINK("https://github.com/nextcloud/android", "show")</f>
        <v>show</v>
      </c>
      <c r="H7492" t="str">
        <f t="shared" ref="H7492:H7497" si="31">HYPERLINK("https://github.com/nextcloud/android/releases", "show")</f>
        <v>show</v>
      </c>
      <c r="I7492">
        <v>1</v>
      </c>
      <c r="J7492">
        <v>1</v>
      </c>
      <c r="K7492">
        <v>1</v>
      </c>
      <c r="L7492">
        <v>0</v>
      </c>
      <c r="M7492" t="s">
        <v>59</v>
      </c>
    </row>
    <row r="7493" spans="1:13" hidden="1" x14ac:dyDescent="0.15">
      <c r="A7493" t="s">
        <v>23447</v>
      </c>
      <c r="B7493" t="s">
        <v>23448</v>
      </c>
      <c r="C7493" t="s">
        <v>23449</v>
      </c>
      <c r="D7493" t="s">
        <v>23446</v>
      </c>
      <c r="E7493">
        <v>29</v>
      </c>
      <c r="F7493" t="str">
        <f>HYPERLINK("https://github.com/nextcloud/android/issues/5318", "show")</f>
        <v>show</v>
      </c>
      <c r="G7493" t="str">
        <f t="shared" si="30"/>
        <v>show</v>
      </c>
      <c r="H7493" t="str">
        <f t="shared" si="31"/>
        <v>show</v>
      </c>
      <c r="I7493">
        <v>1</v>
      </c>
      <c r="J7493">
        <v>1</v>
      </c>
      <c r="K7493">
        <v>1</v>
      </c>
      <c r="L7493">
        <v>0</v>
      </c>
      <c r="M7493" t="s">
        <v>59</v>
      </c>
    </row>
    <row r="7494" spans="1:13" hidden="1" x14ac:dyDescent="0.15">
      <c r="A7494" t="s">
        <v>23450</v>
      </c>
      <c r="B7494" t="s">
        <v>23451</v>
      </c>
      <c r="C7494" t="s">
        <v>23452</v>
      </c>
      <c r="D7494" t="s">
        <v>23446</v>
      </c>
      <c r="E7494">
        <v>0</v>
      </c>
      <c r="F7494" t="str">
        <f>HYPERLINK("https://github.com/nextcloud/android/issues/5317", "show")</f>
        <v>show</v>
      </c>
      <c r="G7494" t="str">
        <f t="shared" si="30"/>
        <v>show</v>
      </c>
      <c r="H7494" t="str">
        <f t="shared" si="31"/>
        <v>show</v>
      </c>
      <c r="I7494">
        <v>0</v>
      </c>
      <c r="J7494">
        <v>1</v>
      </c>
      <c r="K7494">
        <v>1</v>
      </c>
      <c r="L7494">
        <v>0</v>
      </c>
      <c r="M7494" t="s">
        <v>699</v>
      </c>
    </row>
    <row r="7495" spans="1:13" hidden="1" x14ac:dyDescent="0.15">
      <c r="A7495" t="s">
        <v>23453</v>
      </c>
      <c r="B7495" t="s">
        <v>13288</v>
      </c>
      <c r="C7495" t="s">
        <v>23454</v>
      </c>
      <c r="D7495" t="s">
        <v>23455</v>
      </c>
      <c r="E7495">
        <v>2</v>
      </c>
      <c r="F7495" t="str">
        <f>HYPERLINK("https://github.com/nextcloud/android/issues/5309", "show")</f>
        <v>show</v>
      </c>
      <c r="G7495" t="str">
        <f t="shared" si="30"/>
        <v>show</v>
      </c>
      <c r="H7495" t="str">
        <f t="shared" si="31"/>
        <v>show</v>
      </c>
      <c r="I7495">
        <v>1</v>
      </c>
      <c r="J7495">
        <v>1</v>
      </c>
      <c r="K7495">
        <v>1</v>
      </c>
      <c r="L7495">
        <v>0</v>
      </c>
      <c r="M7495" t="s">
        <v>59</v>
      </c>
    </row>
    <row r="7496" spans="1:13" x14ac:dyDescent="0.15">
      <c r="A7496" t="s">
        <v>23456</v>
      </c>
      <c r="B7496" t="s">
        <v>23457</v>
      </c>
      <c r="C7496" t="s">
        <v>23458</v>
      </c>
      <c r="D7496" t="s">
        <v>23455</v>
      </c>
      <c r="E7496">
        <v>1</v>
      </c>
      <c r="F7496" t="str">
        <f>HYPERLINK("https://github.com/nextcloud/android/issues/5308", "show")</f>
        <v>show</v>
      </c>
      <c r="G7496" t="str">
        <f t="shared" si="30"/>
        <v>show</v>
      </c>
      <c r="H7496" t="str">
        <f t="shared" si="31"/>
        <v>show</v>
      </c>
      <c r="I7496">
        <v>0</v>
      </c>
      <c r="J7496">
        <v>1</v>
      </c>
      <c r="K7496">
        <v>0</v>
      </c>
      <c r="L7496">
        <v>0</v>
      </c>
      <c r="M7496" t="s">
        <v>139</v>
      </c>
    </row>
    <row r="7497" spans="1:13" hidden="1" x14ac:dyDescent="0.15">
      <c r="A7497" t="s">
        <v>23459</v>
      </c>
      <c r="B7497" t="s">
        <v>23460</v>
      </c>
      <c r="C7497" t="s">
        <v>23461</v>
      </c>
      <c r="D7497" t="s">
        <v>23455</v>
      </c>
      <c r="E7497">
        <v>26</v>
      </c>
      <c r="F7497" t="str">
        <f>HYPERLINK("https://github.com/nextcloud/android/issues/5305", "show")</f>
        <v>show</v>
      </c>
      <c r="G7497" t="str">
        <f t="shared" si="30"/>
        <v>show</v>
      </c>
      <c r="H7497" t="str">
        <f t="shared" si="31"/>
        <v>show</v>
      </c>
      <c r="I7497">
        <v>1</v>
      </c>
      <c r="J7497">
        <v>0</v>
      </c>
      <c r="K7497">
        <v>1</v>
      </c>
      <c r="L7497">
        <v>0</v>
      </c>
      <c r="M7497" t="s">
        <v>64</v>
      </c>
    </row>
    <row r="7498" spans="1:13" hidden="1" x14ac:dyDescent="0.15">
      <c r="A7498" t="s">
        <v>23462</v>
      </c>
      <c r="B7498" t="s">
        <v>23463</v>
      </c>
      <c r="C7498" t="s">
        <v>23464</v>
      </c>
      <c r="D7498" t="s">
        <v>23455</v>
      </c>
      <c r="E7498">
        <v>0</v>
      </c>
      <c r="F7498" t="str">
        <f>HYPERLINK("https://github.com/react-native-share/react-native-share/issues/687", "show")</f>
        <v>show</v>
      </c>
      <c r="G7498" t="str">
        <f>HYPERLINK("https://github.com/react-native-share/react-native-share", "show")</f>
        <v>show</v>
      </c>
      <c r="H7498" t="str">
        <f>HYPERLINK("https://github.com/react-native-share/react-native-share/releases", "show")</f>
        <v>show</v>
      </c>
      <c r="I7498">
        <v>1</v>
      </c>
      <c r="J7498">
        <v>1</v>
      </c>
      <c r="K7498">
        <v>0</v>
      </c>
      <c r="L7498">
        <v>0</v>
      </c>
      <c r="M7498" t="s">
        <v>48</v>
      </c>
    </row>
    <row r="7499" spans="1:13" hidden="1" x14ac:dyDescent="0.15">
      <c r="A7499" t="s">
        <v>23465</v>
      </c>
      <c r="B7499" t="s">
        <v>23466</v>
      </c>
      <c r="C7499" t="s">
        <v>23467</v>
      </c>
      <c r="D7499" t="s">
        <v>23468</v>
      </c>
      <c r="E7499">
        <v>0</v>
      </c>
      <c r="F7499" t="str">
        <f>HYPERLINK("https://github.com/nextcloud/android/issues/5302", "show")</f>
        <v>show</v>
      </c>
      <c r="G7499" t="str">
        <f>HYPERLINK("https://github.com/nextcloud/android", "show")</f>
        <v>show</v>
      </c>
      <c r="H7499" t="str">
        <f>HYPERLINK("https://github.com/nextcloud/android/releases", "show")</f>
        <v>show</v>
      </c>
      <c r="I7499">
        <v>1</v>
      </c>
      <c r="J7499">
        <v>1</v>
      </c>
      <c r="K7499">
        <v>1</v>
      </c>
      <c r="L7499">
        <v>0</v>
      </c>
      <c r="M7499" t="s">
        <v>59</v>
      </c>
    </row>
    <row r="7500" spans="1:13" hidden="1" x14ac:dyDescent="0.15">
      <c r="A7500" t="s">
        <v>23469</v>
      </c>
      <c r="B7500" t="s">
        <v>23470</v>
      </c>
      <c r="C7500" t="s">
        <v>23471</v>
      </c>
      <c r="D7500" t="s">
        <v>23468</v>
      </c>
      <c r="E7500">
        <v>119</v>
      </c>
      <c r="F7500" t="str">
        <f>HYPERLINK("https://github.com/GrapheneOS/Auditor/issues/64", "show")</f>
        <v>show</v>
      </c>
      <c r="G7500" t="str">
        <f>HYPERLINK("https://github.com/GrapheneOS/Auditor", "show")</f>
        <v>show</v>
      </c>
      <c r="H7500" t="str">
        <f>HYPERLINK("https://github.com/GrapheneOS/Auditor/releases", "show")</f>
        <v>show</v>
      </c>
      <c r="I7500">
        <v>1</v>
      </c>
      <c r="J7500">
        <v>1</v>
      </c>
      <c r="K7500">
        <v>0</v>
      </c>
      <c r="L7500">
        <v>0</v>
      </c>
      <c r="M7500" t="s">
        <v>48</v>
      </c>
    </row>
    <row r="7501" spans="1:13" hidden="1" x14ac:dyDescent="0.15">
      <c r="A7501" t="s">
        <v>23472</v>
      </c>
      <c r="B7501" t="s">
        <v>23473</v>
      </c>
      <c r="C7501" t="s">
        <v>23474</v>
      </c>
      <c r="D7501" t="s">
        <v>23468</v>
      </c>
      <c r="E7501">
        <v>2</v>
      </c>
      <c r="F7501" t="str">
        <f>HYPERLINK("https://github.com/deltachat/deltachat-android/issues/1222", "show")</f>
        <v>show</v>
      </c>
      <c r="G7501" t="str">
        <f>HYPERLINK("https://github.com/deltachat/deltachat-android", "show")</f>
        <v>show</v>
      </c>
      <c r="H7501" t="str">
        <f>HYPERLINK("https://github.com/deltachat/deltachat-android/releases", "show")</f>
        <v>show</v>
      </c>
      <c r="I7501">
        <v>0</v>
      </c>
      <c r="J7501">
        <v>0</v>
      </c>
      <c r="K7501">
        <v>0</v>
      </c>
      <c r="L7501">
        <v>0</v>
      </c>
      <c r="M7501" t="s">
        <v>43</v>
      </c>
    </row>
    <row r="7502" spans="1:13" hidden="1" x14ac:dyDescent="0.15">
      <c r="A7502" t="s">
        <v>23475</v>
      </c>
      <c r="B7502" t="s">
        <v>23476</v>
      </c>
      <c r="D7502" t="s">
        <v>23477</v>
      </c>
      <c r="E7502">
        <v>1</v>
      </c>
      <c r="F7502" t="str">
        <f>HYPERLINK("https://github.com/HarvestProfit/react-native-rectangle-scanner/issues/9", "show")</f>
        <v>show</v>
      </c>
      <c r="G7502" t="str">
        <f>HYPERLINK("https://github.com/HarvestProfit/react-native-rectangle-scanner", "show")</f>
        <v>show</v>
      </c>
      <c r="H7502" t="str">
        <f>HYPERLINK("https://github.com/HarvestProfit/react-native-rectangle-scanner/releases", "show")</f>
        <v>show</v>
      </c>
      <c r="I7502">
        <v>0</v>
      </c>
      <c r="J7502">
        <v>0</v>
      </c>
      <c r="K7502">
        <v>0</v>
      </c>
      <c r="L7502">
        <v>0</v>
      </c>
      <c r="M7502" t="s">
        <v>43</v>
      </c>
    </row>
    <row r="7503" spans="1:13" hidden="1" x14ac:dyDescent="0.15">
      <c r="A7503" t="s">
        <v>23478</v>
      </c>
      <c r="B7503" t="s">
        <v>23479</v>
      </c>
      <c r="C7503" t="s">
        <v>23480</v>
      </c>
      <c r="D7503" t="s">
        <v>23477</v>
      </c>
      <c r="E7503">
        <v>1</v>
      </c>
      <c r="F7503" t="str">
        <f>HYPERLINK("https://github.com/HarvestProfit/react-native-rectangle-scanner/issues/8", "show")</f>
        <v>show</v>
      </c>
      <c r="G7503" t="str">
        <f>HYPERLINK("https://github.com/HarvestProfit/react-native-rectangle-scanner", "show")</f>
        <v>show</v>
      </c>
      <c r="H7503" t="str">
        <f>HYPERLINK("https://github.com/HarvestProfit/react-native-rectangle-scanner/releases", "show")</f>
        <v>show</v>
      </c>
      <c r="I7503">
        <v>1</v>
      </c>
      <c r="J7503">
        <v>0</v>
      </c>
      <c r="K7503">
        <v>0</v>
      </c>
      <c r="L7503">
        <v>0</v>
      </c>
      <c r="M7503" t="s">
        <v>17</v>
      </c>
    </row>
    <row r="7504" spans="1:13" hidden="1" x14ac:dyDescent="0.15">
      <c r="A7504" t="s">
        <v>23481</v>
      </c>
      <c r="B7504" t="s">
        <v>23482</v>
      </c>
      <c r="C7504" t="s">
        <v>23483</v>
      </c>
      <c r="D7504" t="s">
        <v>23477</v>
      </c>
      <c r="E7504">
        <v>3</v>
      </c>
      <c r="F7504" t="str">
        <f>HYPERLINK("https://github.com/nextcloud/android/issues/5295", "show")</f>
        <v>show</v>
      </c>
      <c r="G7504" t="str">
        <f>HYPERLINK("https://github.com/nextcloud/android", "show")</f>
        <v>show</v>
      </c>
      <c r="H7504" t="str">
        <f>HYPERLINK("https://github.com/nextcloud/android/releases", "show")</f>
        <v>show</v>
      </c>
      <c r="I7504">
        <v>1</v>
      </c>
      <c r="J7504">
        <v>1</v>
      </c>
      <c r="K7504">
        <v>1</v>
      </c>
      <c r="L7504">
        <v>0</v>
      </c>
      <c r="M7504" t="s">
        <v>59</v>
      </c>
    </row>
    <row r="7505" spans="1:13" hidden="1" x14ac:dyDescent="0.15">
      <c r="A7505" t="s">
        <v>23484</v>
      </c>
      <c r="B7505" t="s">
        <v>23485</v>
      </c>
      <c r="C7505" t="s">
        <v>23486</v>
      </c>
      <c r="D7505" t="s">
        <v>23487</v>
      </c>
      <c r="E7505">
        <v>11</v>
      </c>
      <c r="F7505" t="str">
        <f>HYPERLINK("https://github.com/TeamNewPipe/NewPipe/issues/2979", "show")</f>
        <v>show</v>
      </c>
      <c r="G7505" t="str">
        <f>HYPERLINK("https://github.com/TeamNewPipe/NewPipe", "show")</f>
        <v>show</v>
      </c>
      <c r="H7505" t="str">
        <f>HYPERLINK("https://github.com/TeamNewPipe/NewPipe/releases", "show")</f>
        <v>show</v>
      </c>
      <c r="I7505">
        <v>0</v>
      </c>
      <c r="J7505">
        <v>0</v>
      </c>
      <c r="K7505">
        <v>1</v>
      </c>
      <c r="L7505">
        <v>0</v>
      </c>
      <c r="M7505" t="s">
        <v>122</v>
      </c>
    </row>
    <row r="7506" spans="1:13" hidden="1" x14ac:dyDescent="0.15">
      <c r="A7506" t="s">
        <v>23488</v>
      </c>
      <c r="B7506" t="s">
        <v>23489</v>
      </c>
      <c r="C7506" t="s">
        <v>23490</v>
      </c>
      <c r="D7506" t="s">
        <v>23487</v>
      </c>
      <c r="E7506">
        <v>0</v>
      </c>
      <c r="F7506" t="str">
        <f>HYPERLINK("https://github.com/nextcloud/android/issues/5284", "show")</f>
        <v>show</v>
      </c>
      <c r="G7506" t="str">
        <f>HYPERLINK("https://github.com/nextcloud/android", "show")</f>
        <v>show</v>
      </c>
      <c r="H7506" t="str">
        <f>HYPERLINK("https://github.com/nextcloud/android/releases", "show")</f>
        <v>show</v>
      </c>
      <c r="I7506">
        <v>0</v>
      </c>
      <c r="J7506">
        <v>0</v>
      </c>
      <c r="K7506">
        <v>1</v>
      </c>
      <c r="L7506">
        <v>0</v>
      </c>
      <c r="M7506" t="s">
        <v>122</v>
      </c>
    </row>
    <row r="7507" spans="1:13" hidden="1" x14ac:dyDescent="0.15">
      <c r="A7507" t="s">
        <v>23491</v>
      </c>
      <c r="B7507" t="s">
        <v>23492</v>
      </c>
      <c r="C7507" t="s">
        <v>23493</v>
      </c>
      <c r="D7507" t="s">
        <v>23494</v>
      </c>
      <c r="E7507">
        <v>1</v>
      </c>
      <c r="F7507" t="str">
        <f>HYPERLINK("https://github.com/commons-app/apps-android-commons/issues/3335", "show")</f>
        <v>show</v>
      </c>
      <c r="G7507" t="str">
        <f>HYPERLINK("https://github.com/commons-app/apps-android-commons", "show")</f>
        <v>show</v>
      </c>
      <c r="H7507" t="str">
        <f>HYPERLINK("https://github.com/commons-app/apps-android-commons/releases", "show")</f>
        <v>show</v>
      </c>
      <c r="I7507">
        <v>1</v>
      </c>
      <c r="J7507">
        <v>0</v>
      </c>
      <c r="K7507">
        <v>0</v>
      </c>
      <c r="L7507">
        <v>0</v>
      </c>
      <c r="M7507" t="s">
        <v>17</v>
      </c>
    </row>
    <row r="7508" spans="1:13" hidden="1" x14ac:dyDescent="0.15">
      <c r="A7508" t="s">
        <v>23495</v>
      </c>
      <c r="B7508" t="s">
        <v>23496</v>
      </c>
      <c r="C7508" t="s">
        <v>23497</v>
      </c>
      <c r="D7508" t="s">
        <v>23494</v>
      </c>
      <c r="E7508">
        <v>3</v>
      </c>
      <c r="F7508" t="str">
        <f>HYPERLINK("https://github.com/martykan/forecastie/issues/429", "show")</f>
        <v>show</v>
      </c>
      <c r="G7508" t="str">
        <f>HYPERLINK("https://github.com/martykan/forecastie", "show")</f>
        <v>show</v>
      </c>
      <c r="H7508" t="str">
        <f>HYPERLINK("https://github.com/martykan/forecastie/releases", "show")</f>
        <v>show</v>
      </c>
      <c r="I7508">
        <v>0</v>
      </c>
      <c r="J7508">
        <v>0</v>
      </c>
      <c r="K7508">
        <v>1</v>
      </c>
      <c r="L7508">
        <v>0</v>
      </c>
      <c r="M7508" t="s">
        <v>122</v>
      </c>
    </row>
    <row r="7509" spans="1:13" hidden="1" x14ac:dyDescent="0.15">
      <c r="A7509" t="s">
        <v>23498</v>
      </c>
      <c r="B7509" t="s">
        <v>23499</v>
      </c>
      <c r="C7509" t="s">
        <v>23490</v>
      </c>
      <c r="D7509" t="s">
        <v>23494</v>
      </c>
      <c r="E7509">
        <v>1</v>
      </c>
      <c r="F7509" t="str">
        <f>HYPERLINK("https://github.com/nextcloud/android/issues/5264", "show")</f>
        <v>show</v>
      </c>
      <c r="G7509" t="str">
        <f>HYPERLINK("https://github.com/nextcloud/android", "show")</f>
        <v>show</v>
      </c>
      <c r="H7509" t="str">
        <f>HYPERLINK("https://github.com/nextcloud/android/releases", "show")</f>
        <v>show</v>
      </c>
      <c r="I7509">
        <v>1</v>
      </c>
      <c r="J7509">
        <v>0</v>
      </c>
      <c r="K7509">
        <v>1</v>
      </c>
      <c r="L7509">
        <v>0</v>
      </c>
      <c r="M7509" t="s">
        <v>64</v>
      </c>
    </row>
    <row r="7510" spans="1:13" hidden="1" x14ac:dyDescent="0.15">
      <c r="A7510" t="s">
        <v>23500</v>
      </c>
      <c r="B7510" t="s">
        <v>23501</v>
      </c>
      <c r="C7510" t="s">
        <v>23502</v>
      </c>
      <c r="D7510" t="s">
        <v>23494</v>
      </c>
      <c r="E7510">
        <v>139</v>
      </c>
      <c r="F7510" t="str">
        <f>HYPERLINK("https://github.com/OpenArchive/Save-app-android/issues/199", "show")</f>
        <v>show</v>
      </c>
      <c r="G7510" t="str">
        <f>HYPERLINK("https://github.com/OpenArchive/Save-app-android", "show")</f>
        <v>show</v>
      </c>
      <c r="H7510" t="str">
        <f>HYPERLINK("https://github.com/OpenArchive/Save-app-android/releases", "show")</f>
        <v>show</v>
      </c>
      <c r="I7510">
        <v>1</v>
      </c>
      <c r="J7510">
        <v>1</v>
      </c>
      <c r="K7510">
        <v>0</v>
      </c>
      <c r="L7510">
        <v>0</v>
      </c>
      <c r="M7510" t="s">
        <v>48</v>
      </c>
    </row>
    <row r="7511" spans="1:13" hidden="1" x14ac:dyDescent="0.15">
      <c r="A7511" t="s">
        <v>23503</v>
      </c>
      <c r="B7511" t="s">
        <v>23504</v>
      </c>
      <c r="C7511" t="s">
        <v>23505</v>
      </c>
      <c r="D7511" t="s">
        <v>23494</v>
      </c>
      <c r="E7511">
        <v>1</v>
      </c>
      <c r="F7511" t="str">
        <f>HYPERLINK("https://github.com/Zhuinden/simple-stack/issues/215", "show")</f>
        <v>show</v>
      </c>
      <c r="G7511" t="str">
        <f>HYPERLINK("https://github.com/Zhuinden/simple-stack", "show")</f>
        <v>show</v>
      </c>
      <c r="H7511" t="str">
        <f>HYPERLINK("https://github.com/Zhuinden/simple-stack/releases", "show")</f>
        <v>show</v>
      </c>
      <c r="I7511">
        <v>0</v>
      </c>
      <c r="J7511">
        <v>0</v>
      </c>
      <c r="K7511">
        <v>1</v>
      </c>
      <c r="L7511">
        <v>0</v>
      </c>
      <c r="M7511" t="s">
        <v>122</v>
      </c>
    </row>
    <row r="7512" spans="1:13" hidden="1" x14ac:dyDescent="0.15">
      <c r="A7512" t="s">
        <v>23506</v>
      </c>
      <c r="B7512" t="s">
        <v>23507</v>
      </c>
      <c r="C7512" t="s">
        <v>23508</v>
      </c>
      <c r="D7512" t="s">
        <v>23509</v>
      </c>
      <c r="E7512">
        <v>1</v>
      </c>
      <c r="F7512" t="str">
        <f>HYPERLINK("https://github.com/nextcloud/android/issues/5258", "show")</f>
        <v>show</v>
      </c>
      <c r="G7512" t="str">
        <f>HYPERLINK("https://github.com/nextcloud/android", "show")</f>
        <v>show</v>
      </c>
      <c r="H7512" t="str">
        <f>HYPERLINK("https://github.com/nextcloud/android/releases", "show")</f>
        <v>show</v>
      </c>
      <c r="I7512">
        <v>1</v>
      </c>
      <c r="J7512">
        <v>0</v>
      </c>
      <c r="K7512">
        <v>1</v>
      </c>
      <c r="L7512">
        <v>0</v>
      </c>
      <c r="M7512" t="s">
        <v>64</v>
      </c>
    </row>
    <row r="7513" spans="1:13" hidden="1" x14ac:dyDescent="0.15">
      <c r="A7513" t="s">
        <v>23510</v>
      </c>
      <c r="B7513" t="s">
        <v>23511</v>
      </c>
      <c r="C7513" t="s">
        <v>23512</v>
      </c>
      <c r="D7513" t="s">
        <v>23509</v>
      </c>
      <c r="E7513">
        <v>0</v>
      </c>
      <c r="F7513" t="str">
        <f>HYPERLINK("https://github.com/nextcloud/android/issues/5250", "show")</f>
        <v>show</v>
      </c>
      <c r="G7513" t="str">
        <f>HYPERLINK("https://github.com/nextcloud/android", "show")</f>
        <v>show</v>
      </c>
      <c r="H7513" t="str">
        <f>HYPERLINK("https://github.com/nextcloud/android/releases", "show")</f>
        <v>show</v>
      </c>
      <c r="I7513">
        <v>0</v>
      </c>
      <c r="J7513">
        <v>1</v>
      </c>
      <c r="K7513">
        <v>1</v>
      </c>
      <c r="L7513">
        <v>0</v>
      </c>
      <c r="M7513" t="s">
        <v>699</v>
      </c>
    </row>
    <row r="7514" spans="1:13" hidden="1" x14ac:dyDescent="0.15">
      <c r="A7514" t="s">
        <v>23513</v>
      </c>
      <c r="B7514" t="s">
        <v>23514</v>
      </c>
      <c r="C7514" t="s">
        <v>23515</v>
      </c>
      <c r="D7514" t="s">
        <v>23509</v>
      </c>
      <c r="E7514">
        <v>2</v>
      </c>
      <c r="F7514" t="str">
        <f>HYPERLINK("https://github.com/material-components/material-components-android/issues/925", "show")</f>
        <v>show</v>
      </c>
      <c r="G7514" t="str">
        <f>HYPERLINK("https://github.com/material-components/material-components-android", "show")</f>
        <v>show</v>
      </c>
      <c r="H7514" t="str">
        <f>HYPERLINK("https://github.com/material-components/material-components-android/releases", "show")</f>
        <v>show</v>
      </c>
      <c r="I7514">
        <v>0</v>
      </c>
      <c r="J7514">
        <v>0</v>
      </c>
      <c r="K7514">
        <v>1</v>
      </c>
      <c r="L7514">
        <v>0</v>
      </c>
      <c r="M7514" t="s">
        <v>122</v>
      </c>
    </row>
    <row r="7515" spans="1:13" hidden="1" x14ac:dyDescent="0.15">
      <c r="A7515" t="s">
        <v>23516</v>
      </c>
      <c r="B7515" t="s">
        <v>23517</v>
      </c>
      <c r="C7515" t="s">
        <v>23518</v>
      </c>
      <c r="D7515" t="s">
        <v>23519</v>
      </c>
      <c r="E7515">
        <v>32</v>
      </c>
      <c r="F7515" t="str">
        <f>HYPERLINK("https://github.com/nextcloud/android/issues/5245", "show")</f>
        <v>show</v>
      </c>
      <c r="G7515" t="str">
        <f>HYPERLINK("https://github.com/nextcloud/android", "show")</f>
        <v>show</v>
      </c>
      <c r="H7515" t="str">
        <f>HYPERLINK("https://github.com/nextcloud/android/releases", "show")</f>
        <v>show</v>
      </c>
      <c r="I7515">
        <v>0</v>
      </c>
      <c r="J7515">
        <v>1</v>
      </c>
      <c r="K7515">
        <v>1</v>
      </c>
      <c r="L7515">
        <v>0</v>
      </c>
      <c r="M7515" t="s">
        <v>699</v>
      </c>
    </row>
    <row r="7516" spans="1:13" hidden="1" x14ac:dyDescent="0.15">
      <c r="A7516" t="s">
        <v>23520</v>
      </c>
      <c r="B7516" t="s">
        <v>23521</v>
      </c>
      <c r="C7516" t="s">
        <v>23522</v>
      </c>
      <c r="D7516" t="s">
        <v>23519</v>
      </c>
      <c r="E7516">
        <v>62</v>
      </c>
      <c r="F7516" t="str">
        <f>HYPERLINK("https://github.com/nextcloud/android/issues/5241", "show")</f>
        <v>show</v>
      </c>
      <c r="G7516" t="str">
        <f>HYPERLINK("https://github.com/nextcloud/android", "show")</f>
        <v>show</v>
      </c>
      <c r="H7516" t="str">
        <f>HYPERLINK("https://github.com/nextcloud/android/releases", "show")</f>
        <v>show</v>
      </c>
      <c r="I7516">
        <v>1</v>
      </c>
      <c r="J7516">
        <v>1</v>
      </c>
      <c r="K7516">
        <v>0</v>
      </c>
      <c r="L7516">
        <v>0</v>
      </c>
      <c r="M7516" t="s">
        <v>48</v>
      </c>
    </row>
    <row r="7517" spans="1:13" hidden="1" x14ac:dyDescent="0.15">
      <c r="A7517" t="s">
        <v>23523</v>
      </c>
      <c r="B7517" t="s">
        <v>23524</v>
      </c>
      <c r="C7517" t="s">
        <v>23525</v>
      </c>
      <c r="D7517" t="s">
        <v>23519</v>
      </c>
      <c r="E7517">
        <v>40</v>
      </c>
      <c r="F7517" t="str">
        <f>HYPERLINK("https://github.com/material-components/material-components-android/issues/923", "show")</f>
        <v>show</v>
      </c>
      <c r="G7517" t="str">
        <f>HYPERLINK("https://github.com/material-components/material-components-android", "show")</f>
        <v>show</v>
      </c>
      <c r="H7517" t="str">
        <f>HYPERLINK("https://github.com/material-components/material-components-android/releases", "show")</f>
        <v>show</v>
      </c>
      <c r="I7517">
        <v>1</v>
      </c>
      <c r="J7517">
        <v>0</v>
      </c>
      <c r="K7517">
        <v>0</v>
      </c>
      <c r="L7517">
        <v>0</v>
      </c>
      <c r="M7517" t="s">
        <v>17</v>
      </c>
    </row>
    <row r="7518" spans="1:13" hidden="1" x14ac:dyDescent="0.15">
      <c r="A7518" t="s">
        <v>23526</v>
      </c>
      <c r="B7518" t="s">
        <v>23527</v>
      </c>
      <c r="C7518" t="s">
        <v>23528</v>
      </c>
      <c r="D7518" t="s">
        <v>23519</v>
      </c>
      <c r="E7518">
        <v>44</v>
      </c>
      <c r="F7518" t="str">
        <f>HYPERLINK("https://github.com/nextcloud/android/issues/5240", "show")</f>
        <v>show</v>
      </c>
      <c r="G7518" t="str">
        <f>HYPERLINK("https://github.com/nextcloud/android", "show")</f>
        <v>show</v>
      </c>
      <c r="H7518" t="str">
        <f>HYPERLINK("https://github.com/nextcloud/android/releases", "show")</f>
        <v>show</v>
      </c>
      <c r="I7518">
        <v>1</v>
      </c>
      <c r="J7518">
        <v>0</v>
      </c>
      <c r="K7518">
        <v>1</v>
      </c>
      <c r="L7518">
        <v>0</v>
      </c>
      <c r="M7518" t="s">
        <v>64</v>
      </c>
    </row>
    <row r="7519" spans="1:13" hidden="1" x14ac:dyDescent="0.15">
      <c r="A7519" t="s">
        <v>23529</v>
      </c>
      <c r="B7519" t="s">
        <v>23530</v>
      </c>
      <c r="C7519" t="s">
        <v>23531</v>
      </c>
      <c r="D7519" t="s">
        <v>23519</v>
      </c>
      <c r="E7519">
        <v>1</v>
      </c>
      <c r="F7519" t="str">
        <f>HYPERLINK("https://github.com/nextcloud/android/issues/5239", "show")</f>
        <v>show</v>
      </c>
      <c r="G7519" t="str">
        <f>HYPERLINK("https://github.com/nextcloud/android", "show")</f>
        <v>show</v>
      </c>
      <c r="H7519" t="str">
        <f>HYPERLINK("https://github.com/nextcloud/android/releases", "show")</f>
        <v>show</v>
      </c>
      <c r="I7519">
        <v>0</v>
      </c>
      <c r="J7519">
        <v>0</v>
      </c>
      <c r="K7519">
        <v>1</v>
      </c>
      <c r="L7519">
        <v>0</v>
      </c>
      <c r="M7519" t="s">
        <v>122</v>
      </c>
    </row>
    <row r="7520" spans="1:13" hidden="1" x14ac:dyDescent="0.15">
      <c r="A7520" t="s">
        <v>23532</v>
      </c>
      <c r="B7520" t="s">
        <v>23533</v>
      </c>
      <c r="C7520" t="s">
        <v>23534</v>
      </c>
      <c r="D7520" t="s">
        <v>23519</v>
      </c>
      <c r="E7520">
        <v>1</v>
      </c>
      <c r="F7520" t="str">
        <f>HYPERLINK("https://github.com/nextcloud/android/issues/5237", "show")</f>
        <v>show</v>
      </c>
      <c r="G7520" t="str">
        <f>HYPERLINK("https://github.com/nextcloud/android", "show")</f>
        <v>show</v>
      </c>
      <c r="H7520" t="str">
        <f>HYPERLINK("https://github.com/nextcloud/android/releases", "show")</f>
        <v>show</v>
      </c>
      <c r="I7520">
        <v>1</v>
      </c>
      <c r="J7520">
        <v>1</v>
      </c>
      <c r="K7520">
        <v>0</v>
      </c>
      <c r="L7520">
        <v>0</v>
      </c>
      <c r="M7520" t="s">
        <v>48</v>
      </c>
    </row>
    <row r="7521" spans="1:13" hidden="1" x14ac:dyDescent="0.15">
      <c r="A7521" t="s">
        <v>23535</v>
      </c>
      <c r="B7521" t="s">
        <v>23536</v>
      </c>
      <c r="C7521" t="s">
        <v>23537</v>
      </c>
      <c r="D7521" t="s">
        <v>23538</v>
      </c>
      <c r="E7521">
        <v>4</v>
      </c>
      <c r="F7521" t="str">
        <f>HYPERLINK("https://github.com/nextcloud/android/issues/5236", "show")</f>
        <v>show</v>
      </c>
      <c r="G7521" t="str">
        <f>HYPERLINK("https://github.com/nextcloud/android", "show")</f>
        <v>show</v>
      </c>
      <c r="H7521" t="str">
        <f>HYPERLINK("https://github.com/nextcloud/android/releases", "show")</f>
        <v>show</v>
      </c>
      <c r="I7521">
        <v>0</v>
      </c>
      <c r="J7521">
        <v>0</v>
      </c>
      <c r="K7521">
        <v>1</v>
      </c>
      <c r="L7521">
        <v>0</v>
      </c>
      <c r="M7521" t="s">
        <v>122</v>
      </c>
    </row>
    <row r="7522" spans="1:13" hidden="1" x14ac:dyDescent="0.15">
      <c r="A7522" t="s">
        <v>23539</v>
      </c>
      <c r="B7522" t="s">
        <v>23540</v>
      </c>
      <c r="C7522" t="s">
        <v>23541</v>
      </c>
      <c r="D7522" t="s">
        <v>23538</v>
      </c>
      <c r="E7522">
        <v>16</v>
      </c>
      <c r="F7522" t="str">
        <f>HYPERLINK("https://github.com/nextcloud/android/issues/5235", "show")</f>
        <v>show</v>
      </c>
      <c r="G7522" t="str">
        <f>HYPERLINK("https://github.com/nextcloud/android", "show")</f>
        <v>show</v>
      </c>
      <c r="H7522" t="str">
        <f>HYPERLINK("https://github.com/nextcloud/android/releases", "show")</f>
        <v>show</v>
      </c>
      <c r="I7522">
        <v>1</v>
      </c>
      <c r="J7522">
        <v>0</v>
      </c>
      <c r="K7522">
        <v>1</v>
      </c>
      <c r="L7522">
        <v>0</v>
      </c>
      <c r="M7522" t="s">
        <v>64</v>
      </c>
    </row>
    <row r="7523" spans="1:13" hidden="1" x14ac:dyDescent="0.15">
      <c r="A7523" t="s">
        <v>23542</v>
      </c>
      <c r="B7523" t="s">
        <v>23543</v>
      </c>
      <c r="C7523" t="s">
        <v>23544</v>
      </c>
      <c r="D7523" t="s">
        <v>23538</v>
      </c>
      <c r="E7523">
        <v>9</v>
      </c>
      <c r="F7523" t="str">
        <f>HYPERLINK("https://github.com/mgks/Android-SmartWebView/issues/131", "show")</f>
        <v>show</v>
      </c>
      <c r="G7523" t="str">
        <f>HYPERLINK("https://github.com/mgks/Android-SmartWebView", "show")</f>
        <v>show</v>
      </c>
      <c r="H7523" t="str">
        <f>HYPERLINK("https://github.com/mgks/Android-SmartWebView/releases", "show")</f>
        <v>show</v>
      </c>
      <c r="I7523">
        <v>1</v>
      </c>
      <c r="J7523">
        <v>0</v>
      </c>
      <c r="K7523">
        <v>0</v>
      </c>
      <c r="L7523">
        <v>0</v>
      </c>
      <c r="M7523" t="s">
        <v>17</v>
      </c>
    </row>
    <row r="7524" spans="1:13" hidden="1" x14ac:dyDescent="0.15">
      <c r="A7524" t="s">
        <v>23545</v>
      </c>
      <c r="B7524" t="s">
        <v>23546</v>
      </c>
      <c r="C7524" t="s">
        <v>23547</v>
      </c>
      <c r="D7524" t="s">
        <v>23548</v>
      </c>
      <c r="E7524">
        <v>4</v>
      </c>
      <c r="F7524" t="str">
        <f>HYPERLINK("https://github.com/inaturalist/iNaturalistAndroid/issues/769", "show")</f>
        <v>show</v>
      </c>
      <c r="G7524" t="str">
        <f>HYPERLINK("https://github.com/inaturalist/iNaturalistAndroid", "show")</f>
        <v>show</v>
      </c>
      <c r="H7524" t="str">
        <f>HYPERLINK("https://github.com/inaturalist/iNaturalistAndroid/releases", "show")</f>
        <v>show</v>
      </c>
      <c r="I7524">
        <v>1</v>
      </c>
      <c r="J7524">
        <v>1</v>
      </c>
      <c r="K7524">
        <v>1</v>
      </c>
      <c r="L7524">
        <v>0</v>
      </c>
      <c r="M7524" t="s">
        <v>59</v>
      </c>
    </row>
    <row r="7525" spans="1:13" hidden="1" x14ac:dyDescent="0.15">
      <c r="A7525" t="s">
        <v>23549</v>
      </c>
      <c r="B7525" t="s">
        <v>23550</v>
      </c>
      <c r="C7525" t="s">
        <v>23551</v>
      </c>
      <c r="D7525" t="s">
        <v>23548</v>
      </c>
      <c r="E7525">
        <v>529</v>
      </c>
      <c r="F7525" t="str">
        <f>HYPERLINK("https://github.com/renyuneyun/Easer/issues/310", "show")</f>
        <v>show</v>
      </c>
      <c r="G7525" t="str">
        <f>HYPERLINK("https://github.com/renyuneyun/Easer", "show")</f>
        <v>show</v>
      </c>
      <c r="H7525" t="str">
        <f>HYPERLINK("https://github.com/renyuneyun/Easer/releases", "show")</f>
        <v>show</v>
      </c>
      <c r="I7525">
        <v>1</v>
      </c>
      <c r="J7525">
        <v>1</v>
      </c>
      <c r="K7525">
        <v>0</v>
      </c>
      <c r="L7525">
        <v>0</v>
      </c>
      <c r="M7525" t="s">
        <v>48</v>
      </c>
    </row>
    <row r="7526" spans="1:13" hidden="1" x14ac:dyDescent="0.15">
      <c r="A7526" t="s">
        <v>23552</v>
      </c>
      <c r="B7526" t="s">
        <v>23553</v>
      </c>
      <c r="C7526" t="s">
        <v>23554</v>
      </c>
      <c r="D7526" t="s">
        <v>23548</v>
      </c>
      <c r="E7526">
        <v>689</v>
      </c>
      <c r="F7526" t="str">
        <f>HYPERLINK("https://github.com/material-components/material-components-android/issues/917", "show")</f>
        <v>show</v>
      </c>
      <c r="G7526" t="str">
        <f>HYPERLINK("https://github.com/material-components/material-components-android", "show")</f>
        <v>show</v>
      </c>
      <c r="H7526" t="str">
        <f>HYPERLINK("https://github.com/material-components/material-components-android/releases", "show")</f>
        <v>show</v>
      </c>
      <c r="I7526">
        <v>1</v>
      </c>
      <c r="J7526">
        <v>0</v>
      </c>
      <c r="K7526">
        <v>1</v>
      </c>
      <c r="L7526">
        <v>0</v>
      </c>
      <c r="M7526" t="s">
        <v>64</v>
      </c>
    </row>
    <row r="7527" spans="1:13" hidden="1" x14ac:dyDescent="0.15">
      <c r="A7527" t="s">
        <v>23555</v>
      </c>
      <c r="B7527" t="s">
        <v>23556</v>
      </c>
      <c r="C7527" t="s">
        <v>23557</v>
      </c>
      <c r="D7527" t="s">
        <v>23558</v>
      </c>
      <c r="E7527">
        <v>89</v>
      </c>
      <c r="F7527" t="str">
        <f>HYPERLINK("https://github.com/nextcloud/android/issues/5219", "show")</f>
        <v>show</v>
      </c>
      <c r="G7527" t="str">
        <f>HYPERLINK("https://github.com/nextcloud/android", "show")</f>
        <v>show</v>
      </c>
      <c r="H7527" t="str">
        <f>HYPERLINK("https://github.com/nextcloud/android/releases", "show")</f>
        <v>show</v>
      </c>
      <c r="I7527">
        <v>0</v>
      </c>
      <c r="J7527">
        <v>0</v>
      </c>
      <c r="K7527">
        <v>1</v>
      </c>
      <c r="L7527">
        <v>0</v>
      </c>
      <c r="M7527" t="s">
        <v>122</v>
      </c>
    </row>
    <row r="7528" spans="1:13" hidden="1" x14ac:dyDescent="0.15">
      <c r="A7528" t="s">
        <v>23559</v>
      </c>
      <c r="B7528" t="s">
        <v>23560</v>
      </c>
      <c r="C7528" t="s">
        <v>23561</v>
      </c>
      <c r="D7528" t="s">
        <v>23558</v>
      </c>
      <c r="E7528">
        <v>1</v>
      </c>
      <c r="F7528" t="str">
        <f>HYPERLINK("https://github.com/wordpress-mobile/WordPressMocks/issues/16", "show")</f>
        <v>show</v>
      </c>
      <c r="G7528" t="str">
        <f>HYPERLINK("https://github.com/wordpress-mobile/WordPressMocks", "show")</f>
        <v>show</v>
      </c>
      <c r="H7528" t="str">
        <f>HYPERLINK("https://github.com/wordpress-mobile/WordPressMocks/releases", "show")</f>
        <v>show</v>
      </c>
      <c r="I7528">
        <v>1</v>
      </c>
      <c r="J7528">
        <v>0</v>
      </c>
      <c r="K7528">
        <v>0</v>
      </c>
      <c r="L7528">
        <v>0</v>
      </c>
      <c r="M7528" t="s">
        <v>17</v>
      </c>
    </row>
    <row r="7529" spans="1:13" hidden="1" x14ac:dyDescent="0.15">
      <c r="A7529" t="s">
        <v>23562</v>
      </c>
      <c r="B7529" t="s">
        <v>23563</v>
      </c>
      <c r="D7529" t="s">
        <v>23558</v>
      </c>
      <c r="E7529">
        <v>0</v>
      </c>
      <c r="F7529" t="str">
        <f>HYPERLINK("https://github.com/Technion236272/2020a-Cue/issues/79", "show")</f>
        <v>show</v>
      </c>
      <c r="G7529" t="str">
        <f>HYPERLINK("https://github.com/Technion236272/2020a-Cue", "show")</f>
        <v>show</v>
      </c>
      <c r="H7529" t="str">
        <f>HYPERLINK("https://github.com/Technion236272/2020a-Cue/releases", "show")</f>
        <v>show</v>
      </c>
      <c r="I7529">
        <v>1</v>
      </c>
      <c r="J7529">
        <v>0</v>
      </c>
      <c r="K7529">
        <v>0</v>
      </c>
      <c r="L7529">
        <v>0</v>
      </c>
      <c r="M7529" t="s">
        <v>17</v>
      </c>
    </row>
    <row r="7530" spans="1:13" hidden="1" x14ac:dyDescent="0.15">
      <c r="A7530" t="s">
        <v>23564</v>
      </c>
      <c r="B7530" t="s">
        <v>23565</v>
      </c>
      <c r="C7530" t="s">
        <v>23566</v>
      </c>
      <c r="D7530" t="s">
        <v>23558</v>
      </c>
      <c r="E7530">
        <v>56</v>
      </c>
      <c r="F7530" t="str">
        <f>HYPERLINK("https://github.com/defold/extension-iap/issues/14", "show")</f>
        <v>show</v>
      </c>
      <c r="G7530" t="str">
        <f>HYPERLINK("https://github.com/defold/extension-iap", "show")</f>
        <v>show</v>
      </c>
      <c r="H7530" t="str">
        <f>HYPERLINK("https://github.com/defold/extension-iap/releases", "show")</f>
        <v>show</v>
      </c>
      <c r="I7530">
        <v>1</v>
      </c>
      <c r="J7530">
        <v>0</v>
      </c>
      <c r="K7530">
        <v>0</v>
      </c>
      <c r="L7530">
        <v>0</v>
      </c>
      <c r="M7530" t="s">
        <v>17</v>
      </c>
    </row>
    <row r="7531" spans="1:13" hidden="1" x14ac:dyDescent="0.15">
      <c r="A7531" t="s">
        <v>23567</v>
      </c>
      <c r="B7531" t="s">
        <v>23568</v>
      </c>
      <c r="C7531" t="s">
        <v>23569</v>
      </c>
      <c r="D7531" t="s">
        <v>23570</v>
      </c>
      <c r="E7531">
        <v>11</v>
      </c>
      <c r="F7531" t="str">
        <f>HYPERLINK("https://github.com/react-native-cookies/cookies/issues/9", "show")</f>
        <v>show</v>
      </c>
      <c r="G7531" t="str">
        <f>HYPERLINK("https://github.com/react-native-cookies/cookies", "show")</f>
        <v>show</v>
      </c>
      <c r="H7531" t="str">
        <f>HYPERLINK("https://github.com/react-native-cookies/cookies/releases", "show")</f>
        <v>show</v>
      </c>
      <c r="I7531">
        <v>1</v>
      </c>
      <c r="J7531">
        <v>0</v>
      </c>
      <c r="K7531">
        <v>0</v>
      </c>
      <c r="L7531">
        <v>0</v>
      </c>
      <c r="M7531" t="s">
        <v>17</v>
      </c>
    </row>
    <row r="7532" spans="1:13" hidden="1" x14ac:dyDescent="0.15">
      <c r="A7532" t="s">
        <v>23571</v>
      </c>
      <c r="B7532" t="s">
        <v>23572</v>
      </c>
      <c r="C7532" t="s">
        <v>23573</v>
      </c>
      <c r="D7532" t="s">
        <v>23570</v>
      </c>
      <c r="E7532">
        <v>0</v>
      </c>
      <c r="F7532" t="str">
        <f>HYPERLINK("https://github.com/nextcloud/talk-android/issues/707", "show")</f>
        <v>show</v>
      </c>
      <c r="G7532" t="str">
        <f>HYPERLINK("https://github.com/nextcloud/talk-android", "show")</f>
        <v>show</v>
      </c>
      <c r="H7532" t="str">
        <f>HYPERLINK("https://github.com/nextcloud/talk-android/releases", "show")</f>
        <v>show</v>
      </c>
      <c r="I7532">
        <v>1</v>
      </c>
      <c r="J7532">
        <v>1</v>
      </c>
      <c r="K7532">
        <v>1</v>
      </c>
      <c r="L7532">
        <v>0</v>
      </c>
      <c r="M7532" t="s">
        <v>59</v>
      </c>
    </row>
    <row r="7533" spans="1:13" hidden="1" x14ac:dyDescent="0.15">
      <c r="A7533" t="s">
        <v>23574</v>
      </c>
      <c r="B7533" t="s">
        <v>23575</v>
      </c>
      <c r="C7533" t="s">
        <v>23576</v>
      </c>
      <c r="D7533" t="s">
        <v>23570</v>
      </c>
      <c r="E7533">
        <v>5</v>
      </c>
      <c r="F7533" t="str">
        <f>HYPERLINK("https://github.com/4Q-s-r-o/ota_update/issues/24", "show")</f>
        <v>show</v>
      </c>
      <c r="G7533" t="str">
        <f>HYPERLINK("https://github.com/4Q-s-r-o/ota_update", "show")</f>
        <v>show</v>
      </c>
      <c r="H7533" t="str">
        <f>HYPERLINK("https://github.com/4Q-s-r-o/ota_update/releases", "show")</f>
        <v>show</v>
      </c>
      <c r="I7533">
        <v>1</v>
      </c>
      <c r="J7533">
        <v>0</v>
      </c>
      <c r="K7533">
        <v>0</v>
      </c>
      <c r="L7533">
        <v>0</v>
      </c>
      <c r="M7533" t="s">
        <v>17</v>
      </c>
    </row>
    <row r="7534" spans="1:13" hidden="1" x14ac:dyDescent="0.15">
      <c r="A7534" t="s">
        <v>23577</v>
      </c>
      <c r="B7534" t="s">
        <v>23578</v>
      </c>
      <c r="C7534" t="s">
        <v>23579</v>
      </c>
      <c r="D7534" t="s">
        <v>23570</v>
      </c>
      <c r="E7534">
        <v>0</v>
      </c>
      <c r="F7534" t="str">
        <f>HYPERLINK("https://github.com/nextcloud/talk-android/issues/704", "show")</f>
        <v>show</v>
      </c>
      <c r="G7534" t="str">
        <f>HYPERLINK("https://github.com/nextcloud/talk-android", "show")</f>
        <v>show</v>
      </c>
      <c r="H7534" t="str">
        <f>HYPERLINK("https://github.com/nextcloud/talk-android/releases", "show")</f>
        <v>show</v>
      </c>
      <c r="I7534">
        <v>1</v>
      </c>
      <c r="J7534">
        <v>0</v>
      </c>
      <c r="K7534">
        <v>0</v>
      </c>
      <c r="L7534">
        <v>0</v>
      </c>
      <c r="M7534" t="s">
        <v>17</v>
      </c>
    </row>
    <row r="7535" spans="1:13" hidden="1" x14ac:dyDescent="0.15">
      <c r="A7535" t="s">
        <v>23580</v>
      </c>
      <c r="B7535" t="s">
        <v>23581</v>
      </c>
      <c r="C7535" t="s">
        <v>23582</v>
      </c>
      <c r="D7535" t="s">
        <v>23570</v>
      </c>
      <c r="E7535">
        <v>0</v>
      </c>
      <c r="F7535" t="str">
        <f>HYPERLINK("https://github.com/nextcloud/android/issues/5204", "show")</f>
        <v>show</v>
      </c>
      <c r="G7535" t="str">
        <f>HYPERLINK("https://github.com/nextcloud/android", "show")</f>
        <v>show</v>
      </c>
      <c r="H7535" t="str">
        <f>HYPERLINK("https://github.com/nextcloud/android/releases", "show")</f>
        <v>show</v>
      </c>
      <c r="I7535">
        <v>1</v>
      </c>
      <c r="J7535">
        <v>1</v>
      </c>
      <c r="K7535">
        <v>1</v>
      </c>
      <c r="L7535">
        <v>0</v>
      </c>
      <c r="M7535" t="s">
        <v>59</v>
      </c>
    </row>
    <row r="7536" spans="1:13" hidden="1" x14ac:dyDescent="0.15">
      <c r="A7536" t="s">
        <v>23583</v>
      </c>
      <c r="B7536" t="s">
        <v>23584</v>
      </c>
      <c r="C7536" t="s">
        <v>23585</v>
      </c>
      <c r="D7536" t="s">
        <v>23586</v>
      </c>
      <c r="E7536">
        <v>3</v>
      </c>
      <c r="F7536" t="str">
        <f>HYPERLINK("https://github.com/federicoiosue/Omni-Notes/issues/741", "show")</f>
        <v>show</v>
      </c>
      <c r="G7536" t="str">
        <f>HYPERLINK("https://github.com/federicoiosue/Omni-Notes", "show")</f>
        <v>show</v>
      </c>
      <c r="H7536" t="str">
        <f>HYPERLINK("https://github.com/federicoiosue/Omni-Notes/releases", "show")</f>
        <v>show</v>
      </c>
      <c r="I7536">
        <v>1</v>
      </c>
      <c r="J7536">
        <v>1</v>
      </c>
      <c r="K7536">
        <v>1</v>
      </c>
      <c r="L7536">
        <v>0</v>
      </c>
      <c r="M7536" t="s">
        <v>59</v>
      </c>
    </row>
    <row r="7537" spans="1:13" hidden="1" x14ac:dyDescent="0.15">
      <c r="A7537" t="s">
        <v>23587</v>
      </c>
      <c r="B7537" t="s">
        <v>23588</v>
      </c>
      <c r="C7537" t="s">
        <v>23589</v>
      </c>
      <c r="D7537" t="s">
        <v>23586</v>
      </c>
      <c r="E7537">
        <v>1</v>
      </c>
      <c r="F7537" t="str">
        <f>HYPERLINK("https://github.com/Simperium/simperium-android/issues/216", "show")</f>
        <v>show</v>
      </c>
      <c r="G7537" t="str">
        <f>HYPERLINK("https://github.com/Simperium/simperium-android", "show")</f>
        <v>show</v>
      </c>
      <c r="H7537" t="str">
        <f>HYPERLINK("https://github.com/Simperium/simperium-android/releases", "show")</f>
        <v>show</v>
      </c>
      <c r="I7537">
        <v>1</v>
      </c>
      <c r="J7537">
        <v>0</v>
      </c>
      <c r="K7537">
        <v>0</v>
      </c>
      <c r="L7537">
        <v>0</v>
      </c>
      <c r="M7537" t="s">
        <v>17</v>
      </c>
    </row>
    <row r="7538" spans="1:13" x14ac:dyDescent="0.15">
      <c r="A7538" t="s">
        <v>23590</v>
      </c>
      <c r="B7538" t="s">
        <v>23591</v>
      </c>
      <c r="C7538" t="s">
        <v>23592</v>
      </c>
      <c r="D7538" t="s">
        <v>23586</v>
      </c>
      <c r="E7538">
        <v>0</v>
      </c>
      <c r="F7538" t="str">
        <f>HYPERLINK("https://github.com/nextcloud/android/issues/5199", "show")</f>
        <v>show</v>
      </c>
      <c r="G7538" t="str">
        <f>HYPERLINK("https://github.com/nextcloud/android", "show")</f>
        <v>show</v>
      </c>
      <c r="H7538" t="str">
        <f>HYPERLINK("https://github.com/nextcloud/android/releases", "show")</f>
        <v>show</v>
      </c>
      <c r="I7538">
        <v>0</v>
      </c>
      <c r="J7538">
        <v>1</v>
      </c>
      <c r="K7538">
        <v>0</v>
      </c>
      <c r="L7538">
        <v>0</v>
      </c>
      <c r="M7538" t="s">
        <v>139</v>
      </c>
    </row>
    <row r="7539" spans="1:13" hidden="1" x14ac:dyDescent="0.15">
      <c r="A7539" t="s">
        <v>23593</v>
      </c>
      <c r="B7539" t="s">
        <v>23594</v>
      </c>
      <c r="C7539" t="s">
        <v>12185</v>
      </c>
      <c r="D7539" t="s">
        <v>23586</v>
      </c>
      <c r="E7539">
        <v>0</v>
      </c>
      <c r="F7539" t="str">
        <f>HYPERLINK("https://github.com/nextcloud/android/issues/5183", "show")</f>
        <v>show</v>
      </c>
      <c r="G7539" t="str">
        <f>HYPERLINK("https://github.com/nextcloud/android", "show")</f>
        <v>show</v>
      </c>
      <c r="H7539" t="str">
        <f>HYPERLINK("https://github.com/nextcloud/android/releases", "show")</f>
        <v>show</v>
      </c>
      <c r="I7539">
        <v>1</v>
      </c>
      <c r="J7539">
        <v>0</v>
      </c>
      <c r="K7539">
        <v>1</v>
      </c>
      <c r="L7539">
        <v>0</v>
      </c>
      <c r="M7539" t="s">
        <v>64</v>
      </c>
    </row>
    <row r="7540" spans="1:13" hidden="1" x14ac:dyDescent="0.15">
      <c r="A7540" t="s">
        <v>23595</v>
      </c>
      <c r="B7540" t="s">
        <v>23596</v>
      </c>
      <c r="C7540" t="s">
        <v>23597</v>
      </c>
      <c r="D7540" t="s">
        <v>23586</v>
      </c>
      <c r="E7540">
        <v>0</v>
      </c>
      <c r="F7540" t="str">
        <f>HYPERLINK("https://github.com/ElderDrivers/EdXposed/issues/443", "show")</f>
        <v>show</v>
      </c>
      <c r="G7540" t="str">
        <f>HYPERLINK("https://github.com/ElderDrivers/EdXposed", "show")</f>
        <v>show</v>
      </c>
      <c r="H7540" t="str">
        <f>HYPERLINK("https://github.com/ElderDrivers/EdXposed/releases", "show")</f>
        <v>show</v>
      </c>
      <c r="I7540">
        <v>0</v>
      </c>
      <c r="J7540">
        <v>0</v>
      </c>
      <c r="K7540">
        <v>1</v>
      </c>
      <c r="L7540">
        <v>0</v>
      </c>
      <c r="M7540" t="s">
        <v>122</v>
      </c>
    </row>
    <row r="7541" spans="1:13" hidden="1" x14ac:dyDescent="0.15">
      <c r="A7541" t="s">
        <v>23598</v>
      </c>
      <c r="B7541" t="s">
        <v>23599</v>
      </c>
      <c r="C7541" t="s">
        <v>23600</v>
      </c>
      <c r="D7541" t="s">
        <v>23586</v>
      </c>
      <c r="E7541">
        <v>0</v>
      </c>
      <c r="F7541" t="str">
        <f>HYPERLINK("https://github.com/nextcloud/android/issues/5182", "show")</f>
        <v>show</v>
      </c>
      <c r="G7541" t="str">
        <f>HYPERLINK("https://github.com/nextcloud/android", "show")</f>
        <v>show</v>
      </c>
      <c r="H7541" t="str">
        <f>HYPERLINK("https://github.com/nextcloud/android/releases", "show")</f>
        <v>show</v>
      </c>
      <c r="I7541">
        <v>1</v>
      </c>
      <c r="J7541">
        <v>1</v>
      </c>
      <c r="K7541">
        <v>1</v>
      </c>
      <c r="L7541">
        <v>0</v>
      </c>
      <c r="M7541" t="s">
        <v>59</v>
      </c>
    </row>
    <row r="7542" spans="1:13" x14ac:dyDescent="0.15">
      <c r="A7542" t="s">
        <v>23601</v>
      </c>
      <c r="B7542" t="s">
        <v>23602</v>
      </c>
      <c r="C7542" t="s">
        <v>23603</v>
      </c>
      <c r="D7542" t="s">
        <v>23604</v>
      </c>
      <c r="E7542">
        <v>0</v>
      </c>
      <c r="F7542" t="str">
        <f>HYPERLINK("https://github.com/nextcloud/android/issues/5176", "show")</f>
        <v>show</v>
      </c>
      <c r="G7542" t="str">
        <f>HYPERLINK("https://github.com/nextcloud/android", "show")</f>
        <v>show</v>
      </c>
      <c r="H7542" t="str">
        <f>HYPERLINK("https://github.com/nextcloud/android/releases", "show")</f>
        <v>show</v>
      </c>
      <c r="I7542">
        <v>0</v>
      </c>
      <c r="J7542">
        <v>1</v>
      </c>
      <c r="K7542">
        <v>0</v>
      </c>
      <c r="L7542">
        <v>0</v>
      </c>
      <c r="M7542" t="s">
        <v>139</v>
      </c>
    </row>
    <row r="7543" spans="1:13" hidden="1" x14ac:dyDescent="0.15">
      <c r="A7543" t="s">
        <v>23605</v>
      </c>
      <c r="B7543" t="s">
        <v>23606</v>
      </c>
      <c r="C7543" t="s">
        <v>23607</v>
      </c>
      <c r="D7543" t="s">
        <v>23604</v>
      </c>
      <c r="E7543">
        <v>1</v>
      </c>
      <c r="F7543" t="str">
        <f>HYPERLINK("https://github.com/nextcloud/android/issues/5173", "show")</f>
        <v>show</v>
      </c>
      <c r="G7543" t="str">
        <f>HYPERLINK("https://github.com/nextcloud/android", "show")</f>
        <v>show</v>
      </c>
      <c r="H7543" t="str">
        <f>HYPERLINK("https://github.com/nextcloud/android/releases", "show")</f>
        <v>show</v>
      </c>
      <c r="I7543">
        <v>0</v>
      </c>
      <c r="J7543">
        <v>1</v>
      </c>
      <c r="K7543">
        <v>1</v>
      </c>
      <c r="L7543">
        <v>0</v>
      </c>
      <c r="M7543" t="s">
        <v>699</v>
      </c>
    </row>
    <row r="7544" spans="1:13" hidden="1" x14ac:dyDescent="0.15">
      <c r="A7544" t="s">
        <v>23608</v>
      </c>
      <c r="B7544" t="s">
        <v>23609</v>
      </c>
      <c r="C7544" t="s">
        <v>23610</v>
      </c>
      <c r="D7544" t="s">
        <v>23604</v>
      </c>
      <c r="E7544">
        <v>4</v>
      </c>
      <c r="F7544" t="str">
        <f>HYPERLINK("https://github.com/avluis/Hentoid/issues/447", "show")</f>
        <v>show</v>
      </c>
      <c r="G7544" t="str">
        <f>HYPERLINK("https://github.com/avluis/Hentoid", "show")</f>
        <v>show</v>
      </c>
      <c r="H7544" t="str">
        <f>HYPERLINK("https://github.com/avluis/Hentoid/releases", "show")</f>
        <v>show</v>
      </c>
      <c r="I7544">
        <v>1</v>
      </c>
      <c r="J7544">
        <v>0</v>
      </c>
      <c r="K7544">
        <v>0</v>
      </c>
      <c r="L7544">
        <v>0</v>
      </c>
      <c r="M7544" t="s">
        <v>17</v>
      </c>
    </row>
    <row r="7545" spans="1:13" hidden="1" x14ac:dyDescent="0.15">
      <c r="A7545" t="s">
        <v>23611</v>
      </c>
      <c r="B7545" t="s">
        <v>23612</v>
      </c>
      <c r="C7545" t="s">
        <v>23613</v>
      </c>
      <c r="D7545" t="s">
        <v>23604</v>
      </c>
      <c r="E7545">
        <v>0</v>
      </c>
      <c r="F7545" t="str">
        <f>HYPERLINK("https://github.com/nextcloud/android/issues/5171", "show")</f>
        <v>show</v>
      </c>
      <c r="G7545" t="str">
        <f>HYPERLINK("https://github.com/nextcloud/android", "show")</f>
        <v>show</v>
      </c>
      <c r="H7545" t="str">
        <f>HYPERLINK("https://github.com/nextcloud/android/releases", "show")</f>
        <v>show</v>
      </c>
      <c r="I7545">
        <v>1</v>
      </c>
      <c r="J7545">
        <v>0</v>
      </c>
      <c r="K7545">
        <v>1</v>
      </c>
      <c r="L7545">
        <v>0</v>
      </c>
      <c r="M7545" t="s">
        <v>64</v>
      </c>
    </row>
    <row r="7546" spans="1:13" hidden="1" x14ac:dyDescent="0.15">
      <c r="A7546" t="s">
        <v>23614</v>
      </c>
      <c r="B7546" t="s">
        <v>23615</v>
      </c>
      <c r="C7546" t="s">
        <v>23616</v>
      </c>
      <c r="D7546" t="s">
        <v>23604</v>
      </c>
      <c r="E7546">
        <v>0</v>
      </c>
      <c r="F7546" t="str">
        <f>HYPERLINK("https://github.com/nextcloud/android/issues/5170", "show")</f>
        <v>show</v>
      </c>
      <c r="G7546" t="str">
        <f>HYPERLINK("https://github.com/nextcloud/android", "show")</f>
        <v>show</v>
      </c>
      <c r="H7546" t="str">
        <f>HYPERLINK("https://github.com/nextcloud/android/releases", "show")</f>
        <v>show</v>
      </c>
      <c r="I7546">
        <v>1</v>
      </c>
      <c r="J7546">
        <v>1</v>
      </c>
      <c r="K7546">
        <v>1</v>
      </c>
      <c r="L7546">
        <v>0</v>
      </c>
      <c r="M7546" t="s">
        <v>59</v>
      </c>
    </row>
    <row r="7547" spans="1:13" hidden="1" x14ac:dyDescent="0.15">
      <c r="A7547" t="s">
        <v>23617</v>
      </c>
      <c r="B7547" t="s">
        <v>23618</v>
      </c>
      <c r="C7547" t="s">
        <v>23619</v>
      </c>
      <c r="D7547" t="s">
        <v>23604</v>
      </c>
      <c r="E7547">
        <v>0</v>
      </c>
      <c r="F7547" t="str">
        <f>HYPERLINK("https://github.com/ElderDrivers/EdXposed/issues/442", "show")</f>
        <v>show</v>
      </c>
      <c r="G7547" t="str">
        <f>HYPERLINK("https://github.com/ElderDrivers/EdXposed", "show")</f>
        <v>show</v>
      </c>
      <c r="H7547" t="str">
        <f>HYPERLINK("https://github.com/ElderDrivers/EdXposed/releases", "show")</f>
        <v>show</v>
      </c>
      <c r="I7547">
        <v>1</v>
      </c>
      <c r="J7547">
        <v>0</v>
      </c>
      <c r="K7547">
        <v>0</v>
      </c>
      <c r="L7547">
        <v>0</v>
      </c>
      <c r="M7547" t="s">
        <v>17</v>
      </c>
    </row>
    <row r="7548" spans="1:13" hidden="1" x14ac:dyDescent="0.15">
      <c r="A7548" t="s">
        <v>23620</v>
      </c>
      <c r="B7548" t="s">
        <v>23621</v>
      </c>
      <c r="C7548" t="s">
        <v>23622</v>
      </c>
      <c r="D7548" t="s">
        <v>23623</v>
      </c>
      <c r="E7548">
        <v>3</v>
      </c>
      <c r="F7548" t="str">
        <f>HYPERLINK("https://github.com/cgeo/cgeo/issues/8069", "show")</f>
        <v>show</v>
      </c>
      <c r="G7548" t="str">
        <f>HYPERLINK("https://github.com/cgeo/cgeo", "show")</f>
        <v>show</v>
      </c>
      <c r="H7548" t="str">
        <f>HYPERLINK("https://github.com/cgeo/cgeo/releases", "show")</f>
        <v>show</v>
      </c>
      <c r="I7548">
        <v>0</v>
      </c>
      <c r="J7548">
        <v>0</v>
      </c>
      <c r="K7548">
        <v>0</v>
      </c>
      <c r="L7548">
        <v>0</v>
      </c>
      <c r="M7548" t="s">
        <v>43</v>
      </c>
    </row>
    <row r="7549" spans="1:13" hidden="1" x14ac:dyDescent="0.15">
      <c r="A7549" t="s">
        <v>23624</v>
      </c>
      <c r="B7549" t="s">
        <v>23625</v>
      </c>
      <c r="C7549" t="s">
        <v>23626</v>
      </c>
      <c r="D7549" t="s">
        <v>23623</v>
      </c>
      <c r="E7549">
        <v>302</v>
      </c>
      <c r="F7549" t="str">
        <f>HYPERLINK("https://github.com/Intelehealth/Android-Mobile-Client/issues/782", "show")</f>
        <v>show</v>
      </c>
      <c r="G7549" t="str">
        <f>HYPERLINK("https://github.com/Intelehealth/Android-Mobile-Client", "show")</f>
        <v>show</v>
      </c>
      <c r="H7549" t="str">
        <f>HYPERLINK("https://github.com/Intelehealth/Android-Mobile-Client/releases", "show")</f>
        <v>show</v>
      </c>
      <c r="I7549">
        <v>1</v>
      </c>
      <c r="J7549">
        <v>0</v>
      </c>
      <c r="K7549">
        <v>1</v>
      </c>
      <c r="L7549">
        <v>0</v>
      </c>
      <c r="M7549" t="s">
        <v>64</v>
      </c>
    </row>
    <row r="7550" spans="1:13" hidden="1" x14ac:dyDescent="0.15">
      <c r="A7550" t="s">
        <v>23627</v>
      </c>
      <c r="B7550" t="s">
        <v>23628</v>
      </c>
      <c r="C7550" t="s">
        <v>23629</v>
      </c>
      <c r="D7550" t="s">
        <v>23623</v>
      </c>
      <c r="E7550">
        <v>1</v>
      </c>
      <c r="F7550" t="str">
        <f>HYPERLINK("https://github.com/nextcloud/android/issues/5166", "show")</f>
        <v>show</v>
      </c>
      <c r="G7550" t="str">
        <f>HYPERLINK("https://github.com/nextcloud/android", "show")</f>
        <v>show</v>
      </c>
      <c r="H7550" t="str">
        <f>HYPERLINK("https://github.com/nextcloud/android/releases", "show")</f>
        <v>show</v>
      </c>
      <c r="I7550">
        <v>1</v>
      </c>
      <c r="J7550">
        <v>1</v>
      </c>
      <c r="K7550">
        <v>1</v>
      </c>
      <c r="L7550">
        <v>0</v>
      </c>
      <c r="M7550" t="s">
        <v>59</v>
      </c>
    </row>
    <row r="7551" spans="1:13" hidden="1" x14ac:dyDescent="0.15">
      <c r="A7551" t="s">
        <v>23630</v>
      </c>
      <c r="B7551" t="s">
        <v>23631</v>
      </c>
      <c r="C7551" t="s">
        <v>23632</v>
      </c>
      <c r="D7551" t="s">
        <v>23623</v>
      </c>
      <c r="E7551">
        <v>0</v>
      </c>
      <c r="F7551" t="str">
        <f>HYPERLINK("https://github.com/nextcloud/android/issues/5165", "show")</f>
        <v>show</v>
      </c>
      <c r="G7551" t="str">
        <f>HYPERLINK("https://github.com/nextcloud/android", "show")</f>
        <v>show</v>
      </c>
      <c r="H7551" t="str">
        <f>HYPERLINK("https://github.com/nextcloud/android/releases", "show")</f>
        <v>show</v>
      </c>
      <c r="I7551">
        <v>1</v>
      </c>
      <c r="J7551">
        <v>0</v>
      </c>
      <c r="K7551">
        <v>1</v>
      </c>
      <c r="L7551">
        <v>0</v>
      </c>
      <c r="M7551" t="s">
        <v>64</v>
      </c>
    </row>
    <row r="7552" spans="1:13" hidden="1" x14ac:dyDescent="0.15">
      <c r="A7552" t="s">
        <v>23633</v>
      </c>
      <c r="B7552" t="s">
        <v>23634</v>
      </c>
      <c r="C7552" t="s">
        <v>23635</v>
      </c>
      <c r="D7552" t="s">
        <v>23623</v>
      </c>
      <c r="E7552">
        <v>3</v>
      </c>
      <c r="F7552" t="str">
        <f>HYPERLINK("https://github.com/nextcloud/android/issues/5162", "show")</f>
        <v>show</v>
      </c>
      <c r="G7552" t="str">
        <f>HYPERLINK("https://github.com/nextcloud/android", "show")</f>
        <v>show</v>
      </c>
      <c r="H7552" t="str">
        <f>HYPERLINK("https://github.com/nextcloud/android/releases", "show")</f>
        <v>show</v>
      </c>
      <c r="I7552">
        <v>1</v>
      </c>
      <c r="J7552">
        <v>0</v>
      </c>
      <c r="K7552">
        <v>0</v>
      </c>
      <c r="L7552">
        <v>0</v>
      </c>
      <c r="M7552" t="s">
        <v>17</v>
      </c>
    </row>
    <row r="7553" spans="1:13" hidden="1" x14ac:dyDescent="0.15">
      <c r="A7553" t="s">
        <v>23636</v>
      </c>
      <c r="B7553" t="s">
        <v>23637</v>
      </c>
      <c r="C7553" t="s">
        <v>23638</v>
      </c>
      <c r="D7553" t="s">
        <v>23623</v>
      </c>
      <c r="E7553">
        <v>2</v>
      </c>
      <c r="F7553" t="str">
        <f>HYPERLINK("https://github.com/nextcloud/android/issues/5161", "show")</f>
        <v>show</v>
      </c>
      <c r="G7553" t="str">
        <f>HYPERLINK("https://github.com/nextcloud/android", "show")</f>
        <v>show</v>
      </c>
      <c r="H7553" t="str">
        <f>HYPERLINK("https://github.com/nextcloud/android/releases", "show")</f>
        <v>show</v>
      </c>
      <c r="I7553">
        <v>0</v>
      </c>
      <c r="J7553">
        <v>1</v>
      </c>
      <c r="K7553">
        <v>1</v>
      </c>
      <c r="L7553">
        <v>0</v>
      </c>
      <c r="M7553" t="s">
        <v>699</v>
      </c>
    </row>
    <row r="7554" spans="1:13" hidden="1" x14ac:dyDescent="0.15">
      <c r="A7554" t="s">
        <v>23639</v>
      </c>
      <c r="B7554" t="s">
        <v>23640</v>
      </c>
      <c r="C7554" t="s">
        <v>23641</v>
      </c>
      <c r="D7554" t="s">
        <v>23623</v>
      </c>
      <c r="E7554">
        <v>111</v>
      </c>
      <c r="F7554" t="str">
        <f>HYPERLINK("https://github.com/nextcloud/android/issues/5160", "show")</f>
        <v>show</v>
      </c>
      <c r="G7554" t="str">
        <f>HYPERLINK("https://github.com/nextcloud/android", "show")</f>
        <v>show</v>
      </c>
      <c r="H7554" t="str">
        <f>HYPERLINK("https://github.com/nextcloud/android/releases", "show")</f>
        <v>show</v>
      </c>
      <c r="I7554">
        <v>1</v>
      </c>
      <c r="J7554">
        <v>1</v>
      </c>
      <c r="K7554">
        <v>1</v>
      </c>
      <c r="L7554">
        <v>0</v>
      </c>
      <c r="M7554" t="s">
        <v>59</v>
      </c>
    </row>
    <row r="7555" spans="1:13" hidden="1" x14ac:dyDescent="0.15">
      <c r="A7555" t="s">
        <v>23642</v>
      </c>
      <c r="B7555" t="s">
        <v>23643</v>
      </c>
      <c r="C7555" t="s">
        <v>23644</v>
      </c>
      <c r="D7555" t="s">
        <v>23645</v>
      </c>
      <c r="E7555">
        <v>9</v>
      </c>
      <c r="F7555" t="str">
        <f>HYPERLINK("https://github.com/DigitalCampus/oppia-mobile-android/issues/982", "show")</f>
        <v>show</v>
      </c>
      <c r="G7555" t="str">
        <f>HYPERLINK("https://github.com/DigitalCampus/oppia-mobile-android", "show")</f>
        <v>show</v>
      </c>
      <c r="H7555" t="str">
        <f>HYPERLINK("https://github.com/DigitalCampus/oppia-mobile-android/releases", "show")</f>
        <v>show</v>
      </c>
      <c r="I7555">
        <v>0</v>
      </c>
      <c r="J7555">
        <v>0</v>
      </c>
      <c r="K7555">
        <v>0</v>
      </c>
      <c r="L7555">
        <v>0</v>
      </c>
      <c r="M7555" t="s">
        <v>43</v>
      </c>
    </row>
    <row r="7556" spans="1:13" x14ac:dyDescent="0.15">
      <c r="A7556" t="s">
        <v>23646</v>
      </c>
      <c r="B7556" t="s">
        <v>23647</v>
      </c>
      <c r="C7556" t="s">
        <v>23648</v>
      </c>
      <c r="D7556" t="s">
        <v>23649</v>
      </c>
      <c r="E7556">
        <v>14</v>
      </c>
      <c r="F7556" t="str">
        <f>HYPERLINK("https://github.com/k9mail/k-9/issues/4437", "show")</f>
        <v>show</v>
      </c>
      <c r="G7556" t="str">
        <f>HYPERLINK("https://github.com/k9mail/k-9", "show")</f>
        <v>show</v>
      </c>
      <c r="H7556" t="str">
        <f>HYPERLINK("https://github.com/k9mail/k-9/releases", "show")</f>
        <v>show</v>
      </c>
      <c r="I7556">
        <v>0</v>
      </c>
      <c r="J7556">
        <v>1</v>
      </c>
      <c r="K7556">
        <v>0</v>
      </c>
      <c r="L7556">
        <v>0</v>
      </c>
      <c r="M7556" t="s">
        <v>139</v>
      </c>
    </row>
    <row r="7557" spans="1:13" hidden="1" x14ac:dyDescent="0.15">
      <c r="A7557" t="s">
        <v>23650</v>
      </c>
      <c r="B7557" t="s">
        <v>23651</v>
      </c>
      <c r="C7557" t="s">
        <v>23652</v>
      </c>
      <c r="D7557" t="s">
        <v>23649</v>
      </c>
      <c r="E7557">
        <v>41</v>
      </c>
      <c r="F7557" t="str">
        <f>HYPERLINK("https://github.com/microsoft/appcenter-sdk-android/issues/1348", "show")</f>
        <v>show</v>
      </c>
      <c r="G7557" t="str">
        <f>HYPERLINK("https://github.com/microsoft/appcenter-sdk-android", "show")</f>
        <v>show</v>
      </c>
      <c r="H7557" t="str">
        <f>HYPERLINK("https://github.com/microsoft/appcenter-sdk-android/releases", "show")</f>
        <v>show</v>
      </c>
      <c r="I7557">
        <v>0</v>
      </c>
      <c r="J7557">
        <v>0</v>
      </c>
      <c r="K7557">
        <v>1</v>
      </c>
      <c r="L7557">
        <v>0</v>
      </c>
      <c r="M7557" t="s">
        <v>122</v>
      </c>
    </row>
    <row r="7558" spans="1:13" hidden="1" x14ac:dyDescent="0.15">
      <c r="A7558" t="s">
        <v>23653</v>
      </c>
      <c r="B7558" t="s">
        <v>23654</v>
      </c>
      <c r="C7558" t="s">
        <v>23655</v>
      </c>
      <c r="D7558" t="s">
        <v>23649</v>
      </c>
      <c r="E7558">
        <v>18</v>
      </c>
      <c r="F7558" t="str">
        <f>HYPERLINK("https://github.com/getsentry/sentry-java/issues/809", "show")</f>
        <v>show</v>
      </c>
      <c r="G7558" t="str">
        <f>HYPERLINK("https://github.com/getsentry/sentry-java", "show")</f>
        <v>show</v>
      </c>
      <c r="H7558" t="str">
        <f>HYPERLINK("https://github.com/getsentry/sentry-java/releases", "show")</f>
        <v>show</v>
      </c>
      <c r="I7558">
        <v>1</v>
      </c>
      <c r="J7558">
        <v>0</v>
      </c>
      <c r="K7558">
        <v>0</v>
      </c>
      <c r="L7558">
        <v>0</v>
      </c>
      <c r="M7558" t="s">
        <v>17</v>
      </c>
    </row>
    <row r="7559" spans="1:13" hidden="1" x14ac:dyDescent="0.15">
      <c r="A7559" t="s">
        <v>23656</v>
      </c>
      <c r="B7559" t="s">
        <v>23657</v>
      </c>
      <c r="C7559" t="s">
        <v>23658</v>
      </c>
      <c r="D7559" t="s">
        <v>23649</v>
      </c>
      <c r="E7559">
        <v>3</v>
      </c>
      <c r="F7559" t="str">
        <f>HYPERLINK("https://github.com/nextcloud/android/issues/5146", "show")</f>
        <v>show</v>
      </c>
      <c r="G7559" t="str">
        <f>HYPERLINK("https://github.com/nextcloud/android", "show")</f>
        <v>show</v>
      </c>
      <c r="H7559" t="str">
        <f>HYPERLINK("https://github.com/nextcloud/android/releases", "show")</f>
        <v>show</v>
      </c>
      <c r="I7559">
        <v>0</v>
      </c>
      <c r="J7559">
        <v>0</v>
      </c>
      <c r="K7559">
        <v>1</v>
      </c>
      <c r="L7559">
        <v>0</v>
      </c>
      <c r="M7559" t="s">
        <v>122</v>
      </c>
    </row>
    <row r="7560" spans="1:13" hidden="1" x14ac:dyDescent="0.15">
      <c r="A7560" t="s">
        <v>23659</v>
      </c>
      <c r="B7560" t="s">
        <v>23660</v>
      </c>
      <c r="C7560" t="s">
        <v>23661</v>
      </c>
      <c r="D7560" t="s">
        <v>23649</v>
      </c>
      <c r="E7560">
        <v>433</v>
      </c>
      <c r="F7560" t="str">
        <f>HYPERLINK("https://github.com/android/tv-samples/issues/19", "show")</f>
        <v>show</v>
      </c>
      <c r="G7560" t="str">
        <f>HYPERLINK("https://github.com/android/tv-samples", "show")</f>
        <v>show</v>
      </c>
      <c r="H7560" t="str">
        <f>HYPERLINK("https://github.com/android/tv-samples/releases", "show")</f>
        <v>show</v>
      </c>
      <c r="I7560">
        <v>1</v>
      </c>
      <c r="J7560">
        <v>1</v>
      </c>
      <c r="K7560">
        <v>1</v>
      </c>
      <c r="L7560">
        <v>0</v>
      </c>
      <c r="M7560" t="s">
        <v>59</v>
      </c>
    </row>
    <row r="7561" spans="1:13" hidden="1" x14ac:dyDescent="0.15">
      <c r="A7561" t="s">
        <v>23662</v>
      </c>
      <c r="B7561" t="s">
        <v>23663</v>
      </c>
      <c r="C7561" t="s">
        <v>23664</v>
      </c>
      <c r="D7561" t="s">
        <v>23665</v>
      </c>
      <c r="E7561">
        <v>5</v>
      </c>
      <c r="F7561" t="str">
        <f>HYPERLINK("https://github.com/nextcloud/android/issues/5142", "show")</f>
        <v>show</v>
      </c>
      <c r="G7561" t="str">
        <f>HYPERLINK("https://github.com/nextcloud/android", "show")</f>
        <v>show</v>
      </c>
      <c r="H7561" t="str">
        <f>HYPERLINK("https://github.com/nextcloud/android/releases", "show")</f>
        <v>show</v>
      </c>
      <c r="I7561">
        <v>1</v>
      </c>
      <c r="J7561">
        <v>0</v>
      </c>
      <c r="K7561">
        <v>0</v>
      </c>
      <c r="L7561">
        <v>0</v>
      </c>
      <c r="M7561" t="s">
        <v>17</v>
      </c>
    </row>
    <row r="7562" spans="1:13" hidden="1" x14ac:dyDescent="0.15">
      <c r="A7562" t="s">
        <v>23666</v>
      </c>
      <c r="B7562" t="s">
        <v>23667</v>
      </c>
      <c r="C7562" t="s">
        <v>23668</v>
      </c>
      <c r="D7562" t="s">
        <v>23665</v>
      </c>
      <c r="E7562">
        <v>1</v>
      </c>
      <c r="F7562" t="str">
        <f>HYPERLINK("https://github.com/nextcloud/android/issues/5137", "show")</f>
        <v>show</v>
      </c>
      <c r="G7562" t="str">
        <f>HYPERLINK("https://github.com/nextcloud/android", "show")</f>
        <v>show</v>
      </c>
      <c r="H7562" t="str">
        <f>HYPERLINK("https://github.com/nextcloud/android/releases", "show")</f>
        <v>show</v>
      </c>
      <c r="I7562">
        <v>1</v>
      </c>
      <c r="J7562">
        <v>0</v>
      </c>
      <c r="K7562">
        <v>0</v>
      </c>
      <c r="L7562">
        <v>0</v>
      </c>
      <c r="M7562" t="s">
        <v>17</v>
      </c>
    </row>
    <row r="7563" spans="1:13" hidden="1" x14ac:dyDescent="0.15">
      <c r="A7563" t="s">
        <v>23669</v>
      </c>
      <c r="B7563" t="s">
        <v>23670</v>
      </c>
      <c r="C7563" t="s">
        <v>23671</v>
      </c>
      <c r="D7563" t="s">
        <v>23665</v>
      </c>
      <c r="E7563">
        <v>0</v>
      </c>
      <c r="F7563" t="str">
        <f>HYPERLINK("https://github.com/nextcloud/android/issues/5131", "show")</f>
        <v>show</v>
      </c>
      <c r="G7563" t="str">
        <f>HYPERLINK("https://github.com/nextcloud/android", "show")</f>
        <v>show</v>
      </c>
      <c r="H7563" t="str">
        <f>HYPERLINK("https://github.com/nextcloud/android/releases", "show")</f>
        <v>show</v>
      </c>
      <c r="I7563">
        <v>1</v>
      </c>
      <c r="J7563">
        <v>1</v>
      </c>
      <c r="K7563">
        <v>1</v>
      </c>
      <c r="L7563">
        <v>0</v>
      </c>
      <c r="M7563" t="s">
        <v>59</v>
      </c>
    </row>
    <row r="7564" spans="1:13" hidden="1" x14ac:dyDescent="0.15">
      <c r="A7564" t="s">
        <v>23672</v>
      </c>
      <c r="B7564" t="s">
        <v>23673</v>
      </c>
      <c r="C7564" t="s">
        <v>23674</v>
      </c>
      <c r="D7564" t="s">
        <v>23665</v>
      </c>
      <c r="E7564">
        <v>15</v>
      </c>
      <c r="F7564" t="str">
        <f>HYPERLINK("https://github.com/TeamNewPipe/NewPipe/issues/2940", "show")</f>
        <v>show</v>
      </c>
      <c r="G7564" t="str">
        <f>HYPERLINK("https://github.com/TeamNewPipe/NewPipe", "show")</f>
        <v>show</v>
      </c>
      <c r="H7564" t="str">
        <f>HYPERLINK("https://github.com/TeamNewPipe/NewPipe/releases", "show")</f>
        <v>show</v>
      </c>
      <c r="I7564">
        <v>1</v>
      </c>
      <c r="J7564">
        <v>1</v>
      </c>
      <c r="K7564">
        <v>1</v>
      </c>
      <c r="L7564">
        <v>0</v>
      </c>
      <c r="M7564" t="s">
        <v>59</v>
      </c>
    </row>
    <row r="7565" spans="1:13" hidden="1" x14ac:dyDescent="0.15">
      <c r="A7565" t="s">
        <v>23675</v>
      </c>
      <c r="B7565" t="s">
        <v>23676</v>
      </c>
      <c r="C7565" t="s">
        <v>23677</v>
      </c>
      <c r="D7565" t="s">
        <v>23678</v>
      </c>
      <c r="E7565">
        <v>51</v>
      </c>
      <c r="F7565" t="str">
        <f>HYPERLINK("https://github.com/nextcloud/android/issues/5126", "show")</f>
        <v>show</v>
      </c>
      <c r="G7565" t="str">
        <f>HYPERLINK("https://github.com/nextcloud/android", "show")</f>
        <v>show</v>
      </c>
      <c r="H7565" t="str">
        <f>HYPERLINK("https://github.com/nextcloud/android/releases", "show")</f>
        <v>show</v>
      </c>
      <c r="I7565">
        <v>0</v>
      </c>
      <c r="J7565">
        <v>0</v>
      </c>
      <c r="K7565">
        <v>1</v>
      </c>
      <c r="L7565">
        <v>0</v>
      </c>
      <c r="M7565" t="s">
        <v>122</v>
      </c>
    </row>
    <row r="7566" spans="1:13" hidden="1" x14ac:dyDescent="0.15">
      <c r="A7566" t="s">
        <v>23679</v>
      </c>
      <c r="B7566" t="s">
        <v>23680</v>
      </c>
      <c r="C7566" t="s">
        <v>23681</v>
      </c>
      <c r="D7566" t="s">
        <v>23682</v>
      </c>
      <c r="E7566">
        <v>278</v>
      </c>
      <c r="F7566" t="str">
        <f>HYPERLINK("https://github.com/ostrya/PresencePublisher/issues/21", "show")</f>
        <v>show</v>
      </c>
      <c r="G7566" t="str">
        <f>HYPERLINK("https://github.com/ostrya/PresencePublisher", "show")</f>
        <v>show</v>
      </c>
      <c r="H7566" t="str">
        <f>HYPERLINK("https://github.com/ostrya/PresencePublisher/releases", "show")</f>
        <v>show</v>
      </c>
      <c r="I7566">
        <v>1</v>
      </c>
      <c r="J7566">
        <v>0</v>
      </c>
      <c r="K7566">
        <v>0</v>
      </c>
      <c r="L7566">
        <v>0</v>
      </c>
      <c r="M7566" t="s">
        <v>17</v>
      </c>
    </row>
    <row r="7567" spans="1:13" hidden="1" x14ac:dyDescent="0.15">
      <c r="A7567" t="s">
        <v>23683</v>
      </c>
      <c r="B7567" t="s">
        <v>23684</v>
      </c>
      <c r="C7567" t="s">
        <v>23685</v>
      </c>
      <c r="D7567" t="s">
        <v>23682</v>
      </c>
      <c r="E7567">
        <v>1</v>
      </c>
      <c r="F7567" t="str">
        <f>HYPERLINK("https://github.com/stefan-niedermann/nextcloud-notes/issues/669", "show")</f>
        <v>show</v>
      </c>
      <c r="G7567" t="str">
        <f>HYPERLINK("https://github.com/stefan-niedermann/nextcloud-notes", "show")</f>
        <v>show</v>
      </c>
      <c r="H7567" t="str">
        <f>HYPERLINK("https://github.com/stefan-niedermann/nextcloud-notes/releases", "show")</f>
        <v>show</v>
      </c>
      <c r="I7567">
        <v>1</v>
      </c>
      <c r="J7567">
        <v>0</v>
      </c>
      <c r="K7567">
        <v>1</v>
      </c>
      <c r="L7567">
        <v>1</v>
      </c>
      <c r="M7567" t="s">
        <v>1259</v>
      </c>
    </row>
    <row r="7568" spans="1:13" hidden="1" x14ac:dyDescent="0.15">
      <c r="A7568" t="s">
        <v>23686</v>
      </c>
      <c r="B7568" t="s">
        <v>23687</v>
      </c>
      <c r="C7568" t="s">
        <v>23688</v>
      </c>
      <c r="D7568" t="s">
        <v>23682</v>
      </c>
      <c r="E7568">
        <v>0</v>
      </c>
      <c r="F7568" t="str">
        <f>HYPERLINK("https://github.com/stefan-niedermann/nextcloud-notes/issues/668", "show")</f>
        <v>show</v>
      </c>
      <c r="G7568" t="str">
        <f>HYPERLINK("https://github.com/stefan-niedermann/nextcloud-notes", "show")</f>
        <v>show</v>
      </c>
      <c r="H7568" t="str">
        <f>HYPERLINK("https://github.com/stefan-niedermann/nextcloud-notes/releases", "show")</f>
        <v>show</v>
      </c>
      <c r="I7568">
        <v>1</v>
      </c>
      <c r="J7568">
        <v>1</v>
      </c>
      <c r="K7568">
        <v>1</v>
      </c>
      <c r="L7568">
        <v>0</v>
      </c>
      <c r="M7568" t="s">
        <v>59</v>
      </c>
    </row>
    <row r="7569" spans="1:13" hidden="1" x14ac:dyDescent="0.15">
      <c r="A7569" t="s">
        <v>23689</v>
      </c>
      <c r="B7569" t="s">
        <v>23690</v>
      </c>
      <c r="C7569" t="s">
        <v>23691</v>
      </c>
      <c r="D7569" t="s">
        <v>23682</v>
      </c>
      <c r="E7569">
        <v>0</v>
      </c>
      <c r="F7569" t="str">
        <f>HYPERLINK("https://github.com/cgeo/cgeo/issues/8062", "show")</f>
        <v>show</v>
      </c>
      <c r="G7569" t="str">
        <f>HYPERLINK("https://github.com/cgeo/cgeo", "show")</f>
        <v>show</v>
      </c>
      <c r="H7569" t="str">
        <f>HYPERLINK("https://github.com/cgeo/cgeo/releases", "show")</f>
        <v>show</v>
      </c>
      <c r="I7569">
        <v>1</v>
      </c>
      <c r="J7569">
        <v>1</v>
      </c>
      <c r="K7569">
        <v>1</v>
      </c>
      <c r="L7569">
        <v>0</v>
      </c>
      <c r="M7569" t="s">
        <v>59</v>
      </c>
    </row>
    <row r="7570" spans="1:13" hidden="1" x14ac:dyDescent="0.15">
      <c r="A7570" t="s">
        <v>23692</v>
      </c>
      <c r="B7570" t="s">
        <v>23693</v>
      </c>
      <c r="C7570" t="s">
        <v>23694</v>
      </c>
      <c r="D7570" t="s">
        <v>23682</v>
      </c>
      <c r="E7570">
        <v>154</v>
      </c>
      <c r="F7570" t="str">
        <f>HYPERLINK("https://github.com/aws-amplify/amplify-android/issues/221", "show")</f>
        <v>show</v>
      </c>
      <c r="G7570" t="str">
        <f>HYPERLINK("https://github.com/aws-amplify/amplify-android", "show")</f>
        <v>show</v>
      </c>
      <c r="H7570" t="str">
        <f>HYPERLINK("https://github.com/aws-amplify/amplify-android/releases", "show")</f>
        <v>show</v>
      </c>
      <c r="I7570">
        <v>0</v>
      </c>
      <c r="J7570">
        <v>0</v>
      </c>
      <c r="K7570">
        <v>1</v>
      </c>
      <c r="L7570">
        <v>0</v>
      </c>
      <c r="M7570" t="s">
        <v>122</v>
      </c>
    </row>
    <row r="7571" spans="1:13" hidden="1" x14ac:dyDescent="0.15">
      <c r="A7571" t="s">
        <v>23695</v>
      </c>
      <c r="B7571" t="s">
        <v>23696</v>
      </c>
      <c r="C7571" t="s">
        <v>23697</v>
      </c>
      <c r="D7571" t="s">
        <v>23682</v>
      </c>
      <c r="E7571">
        <v>2</v>
      </c>
      <c r="F7571" t="str">
        <f>HYPERLINK("https://github.com/nextcloud/android/issues/5106", "show")</f>
        <v>show</v>
      </c>
      <c r="G7571" t="str">
        <f>HYPERLINK("https://github.com/nextcloud/android", "show")</f>
        <v>show</v>
      </c>
      <c r="H7571" t="str">
        <f>HYPERLINK("https://github.com/nextcloud/android/releases", "show")</f>
        <v>show</v>
      </c>
      <c r="I7571">
        <v>0</v>
      </c>
      <c r="J7571">
        <v>1</v>
      </c>
      <c r="K7571">
        <v>1</v>
      </c>
      <c r="L7571">
        <v>0</v>
      </c>
      <c r="M7571" t="s">
        <v>699</v>
      </c>
    </row>
    <row r="7572" spans="1:13" hidden="1" x14ac:dyDescent="0.15">
      <c r="A7572" t="s">
        <v>23698</v>
      </c>
      <c r="B7572" t="s">
        <v>23251</v>
      </c>
      <c r="C7572" t="s">
        <v>12185</v>
      </c>
      <c r="D7572" t="s">
        <v>23699</v>
      </c>
      <c r="E7572">
        <v>3</v>
      </c>
      <c r="F7572" t="str">
        <f>HYPERLINK("https://github.com/nextcloud/android/issues/5105", "show")</f>
        <v>show</v>
      </c>
      <c r="G7572" t="str">
        <f>HYPERLINK("https://github.com/nextcloud/android", "show")</f>
        <v>show</v>
      </c>
      <c r="H7572" t="str">
        <f>HYPERLINK("https://github.com/nextcloud/android/releases", "show")</f>
        <v>show</v>
      </c>
      <c r="I7572">
        <v>0</v>
      </c>
      <c r="J7572">
        <v>0</v>
      </c>
      <c r="K7572">
        <v>1</v>
      </c>
      <c r="L7572">
        <v>0</v>
      </c>
      <c r="M7572" t="s">
        <v>122</v>
      </c>
    </row>
    <row r="7573" spans="1:13" hidden="1" x14ac:dyDescent="0.15">
      <c r="A7573" t="s">
        <v>23700</v>
      </c>
      <c r="B7573" t="s">
        <v>23701</v>
      </c>
      <c r="C7573" t="s">
        <v>12185</v>
      </c>
      <c r="D7573" t="s">
        <v>23699</v>
      </c>
      <c r="E7573">
        <v>3</v>
      </c>
      <c r="F7573" t="str">
        <f>HYPERLINK("https://github.com/nextcloud/android/issues/5104", "show")</f>
        <v>show</v>
      </c>
      <c r="G7573" t="str">
        <f>HYPERLINK("https://github.com/nextcloud/android", "show")</f>
        <v>show</v>
      </c>
      <c r="H7573" t="str">
        <f>HYPERLINK("https://github.com/nextcloud/android/releases", "show")</f>
        <v>show</v>
      </c>
      <c r="I7573">
        <v>1</v>
      </c>
      <c r="J7573">
        <v>0</v>
      </c>
      <c r="K7573">
        <v>1</v>
      </c>
      <c r="L7573">
        <v>0</v>
      </c>
      <c r="M7573" t="s">
        <v>64</v>
      </c>
    </row>
    <row r="7574" spans="1:13" hidden="1" x14ac:dyDescent="0.15">
      <c r="A7574" t="s">
        <v>23702</v>
      </c>
      <c r="B7574" t="s">
        <v>23703</v>
      </c>
      <c r="C7574" t="s">
        <v>23704</v>
      </c>
      <c r="D7574" t="s">
        <v>23699</v>
      </c>
      <c r="E7574">
        <v>38</v>
      </c>
      <c r="F7574" t="str">
        <f>HYPERLINK("https://github.com/square/okhttp/issues/5706", "show")</f>
        <v>show</v>
      </c>
      <c r="G7574" t="str">
        <f>HYPERLINK("https://github.com/square/okhttp", "show")</f>
        <v>show</v>
      </c>
      <c r="H7574" t="str">
        <f>HYPERLINK("https://github.com/square/okhttp/releases", "show")</f>
        <v>show</v>
      </c>
      <c r="I7574">
        <v>1</v>
      </c>
      <c r="J7574">
        <v>0</v>
      </c>
      <c r="K7574">
        <v>1</v>
      </c>
      <c r="L7574">
        <v>0</v>
      </c>
      <c r="M7574" t="s">
        <v>64</v>
      </c>
    </row>
    <row r="7575" spans="1:13" hidden="1" x14ac:dyDescent="0.15">
      <c r="A7575" t="s">
        <v>23705</v>
      </c>
      <c r="B7575" t="s">
        <v>23706</v>
      </c>
      <c r="C7575" t="s">
        <v>23707</v>
      </c>
      <c r="D7575" t="s">
        <v>23699</v>
      </c>
      <c r="E7575">
        <v>1</v>
      </c>
      <c r="F7575" t="str">
        <f>HYPERLINK("https://github.com/Technion236272/2020a-Cue/issues/61", "show")</f>
        <v>show</v>
      </c>
      <c r="G7575" t="str">
        <f>HYPERLINK("https://github.com/Technion236272/2020a-Cue", "show")</f>
        <v>show</v>
      </c>
      <c r="H7575" t="str">
        <f>HYPERLINK("https://github.com/Technion236272/2020a-Cue/releases", "show")</f>
        <v>show</v>
      </c>
      <c r="I7575">
        <v>1</v>
      </c>
      <c r="J7575">
        <v>0</v>
      </c>
      <c r="K7575">
        <v>0</v>
      </c>
      <c r="L7575">
        <v>1</v>
      </c>
      <c r="M7575" t="s">
        <v>29</v>
      </c>
    </row>
    <row r="7576" spans="1:13" hidden="1" x14ac:dyDescent="0.15">
      <c r="A7576" t="s">
        <v>23708</v>
      </c>
      <c r="B7576" t="s">
        <v>23709</v>
      </c>
      <c r="C7576" t="s">
        <v>23710</v>
      </c>
      <c r="D7576" t="s">
        <v>23699</v>
      </c>
      <c r="E7576">
        <v>3</v>
      </c>
      <c r="F7576" t="str">
        <f>HYPERLINK("https://github.com/nextcloud/android/issues/5103", "show")</f>
        <v>show</v>
      </c>
      <c r="G7576" t="str">
        <f>HYPERLINK("https://github.com/nextcloud/android", "show")</f>
        <v>show</v>
      </c>
      <c r="H7576" t="str">
        <f>HYPERLINK("https://github.com/nextcloud/android/releases", "show")</f>
        <v>show</v>
      </c>
      <c r="I7576">
        <v>1</v>
      </c>
      <c r="J7576">
        <v>1</v>
      </c>
      <c r="K7576">
        <v>1</v>
      </c>
      <c r="L7576">
        <v>0</v>
      </c>
      <c r="M7576" t="s">
        <v>59</v>
      </c>
    </row>
    <row r="7577" spans="1:13" hidden="1" x14ac:dyDescent="0.15">
      <c r="A7577" t="s">
        <v>23711</v>
      </c>
      <c r="B7577" t="s">
        <v>23712</v>
      </c>
      <c r="C7577" t="s">
        <v>23713</v>
      </c>
      <c r="D7577" t="s">
        <v>23699</v>
      </c>
      <c r="E7577">
        <v>128</v>
      </c>
      <c r="F7577" t="str">
        <f>HYPERLINK("https://github.com/square/okhttp/issues/5705", "show")</f>
        <v>show</v>
      </c>
      <c r="G7577" t="str">
        <f>HYPERLINK("https://github.com/square/okhttp", "show")</f>
        <v>show</v>
      </c>
      <c r="H7577" t="str">
        <f>HYPERLINK("https://github.com/square/okhttp/releases", "show")</f>
        <v>show</v>
      </c>
      <c r="I7577">
        <v>1</v>
      </c>
      <c r="J7577">
        <v>0</v>
      </c>
      <c r="K7577">
        <v>0</v>
      </c>
      <c r="L7577">
        <v>0</v>
      </c>
      <c r="M7577" t="s">
        <v>17</v>
      </c>
    </row>
    <row r="7578" spans="1:13" x14ac:dyDescent="0.15">
      <c r="A7578" t="s">
        <v>23714</v>
      </c>
      <c r="B7578" t="s">
        <v>23715</v>
      </c>
      <c r="C7578" t="s">
        <v>23716</v>
      </c>
      <c r="D7578" t="s">
        <v>23699</v>
      </c>
      <c r="E7578">
        <v>8</v>
      </c>
      <c r="F7578" t="str">
        <f>HYPERLINK("https://github.com/nextcloud/android/issues/5100", "show")</f>
        <v>show</v>
      </c>
      <c r="G7578" t="str">
        <f>HYPERLINK("https://github.com/nextcloud/android", "show")</f>
        <v>show</v>
      </c>
      <c r="H7578" t="str">
        <f>HYPERLINK("https://github.com/nextcloud/android/releases", "show")</f>
        <v>show</v>
      </c>
      <c r="I7578">
        <v>0</v>
      </c>
      <c r="J7578">
        <v>1</v>
      </c>
      <c r="K7578">
        <v>0</v>
      </c>
      <c r="L7578">
        <v>0</v>
      </c>
      <c r="M7578" t="s">
        <v>139</v>
      </c>
    </row>
    <row r="7579" spans="1:13" hidden="1" x14ac:dyDescent="0.15">
      <c r="A7579" t="s">
        <v>23717</v>
      </c>
      <c r="B7579" t="s">
        <v>23718</v>
      </c>
      <c r="C7579" t="s">
        <v>23719</v>
      </c>
      <c r="D7579" t="s">
        <v>23720</v>
      </c>
      <c r="E7579">
        <v>90</v>
      </c>
      <c r="F7579" t="str">
        <f>HYPERLINK("https://github.com/wallabag/android-app/issues/896", "show")</f>
        <v>show</v>
      </c>
      <c r="G7579" t="str">
        <f>HYPERLINK("https://github.com/wallabag/android-app", "show")</f>
        <v>show</v>
      </c>
      <c r="H7579" t="str">
        <f>HYPERLINK("https://github.com/wallabag/android-app/releases", "show")</f>
        <v>show</v>
      </c>
      <c r="I7579">
        <v>1</v>
      </c>
      <c r="J7579">
        <v>0</v>
      </c>
      <c r="K7579">
        <v>0</v>
      </c>
      <c r="L7579">
        <v>0</v>
      </c>
      <c r="M7579" t="s">
        <v>17</v>
      </c>
    </row>
    <row r="7580" spans="1:13" x14ac:dyDescent="0.15">
      <c r="A7580" t="s">
        <v>23721</v>
      </c>
      <c r="B7580" t="s">
        <v>23722</v>
      </c>
      <c r="C7580" t="s">
        <v>23723</v>
      </c>
      <c r="D7580" t="s">
        <v>23720</v>
      </c>
      <c r="E7580">
        <v>0</v>
      </c>
      <c r="F7580" t="str">
        <f>HYPERLINK("https://github.com/cgeo/cgeo/issues/8059", "show")</f>
        <v>show</v>
      </c>
      <c r="G7580" t="str">
        <f>HYPERLINK("https://github.com/cgeo/cgeo", "show")</f>
        <v>show</v>
      </c>
      <c r="H7580" t="str">
        <f>HYPERLINK("https://github.com/cgeo/cgeo/releases", "show")</f>
        <v>show</v>
      </c>
      <c r="I7580">
        <v>0</v>
      </c>
      <c r="J7580">
        <v>1</v>
      </c>
      <c r="K7580">
        <v>0</v>
      </c>
      <c r="L7580">
        <v>0</v>
      </c>
      <c r="M7580" t="s">
        <v>139</v>
      </c>
    </row>
    <row r="7581" spans="1:13" hidden="1" x14ac:dyDescent="0.15">
      <c r="A7581" t="s">
        <v>23724</v>
      </c>
      <c r="B7581" t="s">
        <v>23725</v>
      </c>
      <c r="C7581" t="s">
        <v>23726</v>
      </c>
      <c r="D7581" t="s">
        <v>23720</v>
      </c>
      <c r="E7581">
        <v>4</v>
      </c>
      <c r="F7581" t="str">
        <f>HYPERLINK("https://github.com/nextcloud/android/issues/5095", "show")</f>
        <v>show</v>
      </c>
      <c r="G7581" t="str">
        <f>HYPERLINK("https://github.com/nextcloud/android", "show")</f>
        <v>show</v>
      </c>
      <c r="H7581" t="str">
        <f>HYPERLINK("https://github.com/nextcloud/android/releases", "show")</f>
        <v>show</v>
      </c>
      <c r="I7581">
        <v>1</v>
      </c>
      <c r="J7581">
        <v>1</v>
      </c>
      <c r="K7581">
        <v>1</v>
      </c>
      <c r="L7581">
        <v>0</v>
      </c>
      <c r="M7581" t="s">
        <v>59</v>
      </c>
    </row>
    <row r="7582" spans="1:13" hidden="1" x14ac:dyDescent="0.15">
      <c r="A7582" t="s">
        <v>23727</v>
      </c>
      <c r="B7582" t="s">
        <v>23728</v>
      </c>
      <c r="C7582" t="s">
        <v>23729</v>
      </c>
      <c r="D7582" t="s">
        <v>23720</v>
      </c>
      <c r="E7582">
        <v>0</v>
      </c>
      <c r="F7582" t="str">
        <f>HYPERLINK("https://github.com/stefan-niedermann/nextcloud-notes/issues/662", "show")</f>
        <v>show</v>
      </c>
      <c r="G7582" t="str">
        <f>HYPERLINK("https://github.com/stefan-niedermann/nextcloud-notes", "show")</f>
        <v>show</v>
      </c>
      <c r="H7582" t="str">
        <f>HYPERLINK("https://github.com/stefan-niedermann/nextcloud-notes/releases", "show")</f>
        <v>show</v>
      </c>
      <c r="I7582">
        <v>1</v>
      </c>
      <c r="J7582">
        <v>0</v>
      </c>
      <c r="K7582">
        <v>1</v>
      </c>
      <c r="L7582">
        <v>0</v>
      </c>
      <c r="M7582" t="s">
        <v>64</v>
      </c>
    </row>
    <row r="7583" spans="1:13" hidden="1" x14ac:dyDescent="0.15">
      <c r="A7583" t="s">
        <v>23730</v>
      </c>
      <c r="B7583" t="s">
        <v>23731</v>
      </c>
      <c r="C7583" t="s">
        <v>23732</v>
      </c>
      <c r="D7583" t="s">
        <v>23720</v>
      </c>
      <c r="E7583">
        <v>27</v>
      </c>
      <c r="F7583" t="str">
        <f>HYPERLINK("https://github.com/TeamNewPipe/NewPipe/issues/2922", "show")</f>
        <v>show</v>
      </c>
      <c r="G7583" t="str">
        <f>HYPERLINK("https://github.com/TeamNewPipe/NewPipe", "show")</f>
        <v>show</v>
      </c>
      <c r="H7583" t="str">
        <f>HYPERLINK("https://github.com/TeamNewPipe/NewPipe/releases", "show")</f>
        <v>show</v>
      </c>
      <c r="I7583">
        <v>0</v>
      </c>
      <c r="J7583">
        <v>0</v>
      </c>
      <c r="K7583">
        <v>0</v>
      </c>
      <c r="L7583">
        <v>1</v>
      </c>
      <c r="M7583" t="s">
        <v>581</v>
      </c>
    </row>
    <row r="7584" spans="1:13" hidden="1" x14ac:dyDescent="0.15">
      <c r="A7584" t="s">
        <v>23733</v>
      </c>
      <c r="B7584" t="s">
        <v>23734</v>
      </c>
      <c r="C7584" t="s">
        <v>23735</v>
      </c>
      <c r="D7584" t="s">
        <v>23736</v>
      </c>
      <c r="E7584">
        <v>42</v>
      </c>
      <c r="F7584" t="str">
        <f>HYPERLINK("https://github.com/nextcloud/android/issues/5091", "show")</f>
        <v>show</v>
      </c>
      <c r="G7584" t="str">
        <f>HYPERLINK("https://github.com/nextcloud/android", "show")</f>
        <v>show</v>
      </c>
      <c r="H7584" t="str">
        <f>HYPERLINK("https://github.com/nextcloud/android/releases", "show")</f>
        <v>show</v>
      </c>
      <c r="I7584">
        <v>0</v>
      </c>
      <c r="J7584">
        <v>0</v>
      </c>
      <c r="K7584">
        <v>1</v>
      </c>
      <c r="L7584">
        <v>0</v>
      </c>
      <c r="M7584" t="s">
        <v>122</v>
      </c>
    </row>
    <row r="7585" spans="1:13" hidden="1" x14ac:dyDescent="0.15">
      <c r="A7585" t="s">
        <v>23737</v>
      </c>
      <c r="B7585" t="s">
        <v>23738</v>
      </c>
      <c r="C7585" t="s">
        <v>23739</v>
      </c>
      <c r="D7585" t="s">
        <v>23736</v>
      </c>
      <c r="E7585">
        <v>88</v>
      </c>
      <c r="F7585" t="str">
        <f>HYPERLINK("https://github.com/ElderDrivers/EdXposed/issues/432", "show")</f>
        <v>show</v>
      </c>
      <c r="G7585" t="str">
        <f>HYPERLINK("https://github.com/ElderDrivers/EdXposed", "show")</f>
        <v>show</v>
      </c>
      <c r="H7585" t="str">
        <f>HYPERLINK("https://github.com/ElderDrivers/EdXposed/releases", "show")</f>
        <v>show</v>
      </c>
      <c r="I7585">
        <v>1</v>
      </c>
      <c r="J7585">
        <v>1</v>
      </c>
      <c r="K7585">
        <v>1</v>
      </c>
      <c r="L7585">
        <v>0</v>
      </c>
      <c r="M7585" t="s">
        <v>59</v>
      </c>
    </row>
    <row r="7586" spans="1:13" hidden="1" x14ac:dyDescent="0.15">
      <c r="A7586" t="s">
        <v>23740</v>
      </c>
      <c r="B7586" t="s">
        <v>23741</v>
      </c>
      <c r="C7586" t="s">
        <v>23742</v>
      </c>
      <c r="D7586" t="s">
        <v>23736</v>
      </c>
      <c r="E7586">
        <v>678</v>
      </c>
      <c r="F7586" t="str">
        <f>HYPERLINK("https://github.com/LawnchairLauncher/lawnchair/issues/1895", "show")</f>
        <v>show</v>
      </c>
      <c r="G7586" t="str">
        <f>HYPERLINK("https://github.com/LawnchairLauncher/lawnchair", "show")</f>
        <v>show</v>
      </c>
      <c r="H7586" t="str">
        <f>HYPERLINK("https://github.com/LawnchairLauncher/lawnchair/releases", "show")</f>
        <v>show</v>
      </c>
      <c r="I7586">
        <v>0</v>
      </c>
      <c r="J7586">
        <v>0</v>
      </c>
      <c r="K7586">
        <v>0</v>
      </c>
      <c r="L7586">
        <v>0</v>
      </c>
      <c r="M7586" t="s">
        <v>43</v>
      </c>
    </row>
    <row r="7587" spans="1:13" hidden="1" x14ac:dyDescent="0.15">
      <c r="A7587" t="s">
        <v>23743</v>
      </c>
      <c r="B7587" t="s">
        <v>23744</v>
      </c>
      <c r="C7587" t="s">
        <v>23745</v>
      </c>
      <c r="D7587" t="s">
        <v>23736</v>
      </c>
      <c r="E7587">
        <v>47</v>
      </c>
      <c r="F7587" t="str">
        <f>HYPERLINK("https://github.com/k9mail/k-9/issues/4423", "show")</f>
        <v>show</v>
      </c>
      <c r="G7587" t="str">
        <f>HYPERLINK("https://github.com/k9mail/k-9", "show")</f>
        <v>show</v>
      </c>
      <c r="H7587" t="str">
        <f>HYPERLINK("https://github.com/k9mail/k-9/releases", "show")</f>
        <v>show</v>
      </c>
      <c r="I7587">
        <v>1</v>
      </c>
      <c r="J7587">
        <v>0</v>
      </c>
      <c r="K7587">
        <v>0</v>
      </c>
      <c r="L7587">
        <v>0</v>
      </c>
      <c r="M7587" t="s">
        <v>17</v>
      </c>
    </row>
    <row r="7588" spans="1:13" hidden="1" x14ac:dyDescent="0.15">
      <c r="A7588" t="s">
        <v>23746</v>
      </c>
      <c r="B7588" t="s">
        <v>23747</v>
      </c>
      <c r="C7588" t="s">
        <v>23748</v>
      </c>
      <c r="D7588" t="s">
        <v>23749</v>
      </c>
      <c r="E7588">
        <v>1</v>
      </c>
      <c r="F7588" t="str">
        <f>HYPERLINK("https://github.com/UriahShaulMandel/BaldPhone/issues/181", "show")</f>
        <v>show</v>
      </c>
      <c r="G7588" t="str">
        <f>HYPERLINK("https://github.com/UriahShaulMandel/BaldPhone", "show")</f>
        <v>show</v>
      </c>
      <c r="H7588" t="str">
        <f>HYPERLINK("https://github.com/UriahShaulMandel/BaldPhone/releases", "show")</f>
        <v>show</v>
      </c>
      <c r="I7588">
        <v>1</v>
      </c>
      <c r="J7588">
        <v>0</v>
      </c>
      <c r="K7588">
        <v>0</v>
      </c>
      <c r="L7588">
        <v>0</v>
      </c>
      <c r="M7588" t="s">
        <v>17</v>
      </c>
    </row>
    <row r="7589" spans="1:13" hidden="1" x14ac:dyDescent="0.15">
      <c r="A7589" t="s">
        <v>23750</v>
      </c>
      <c r="B7589" t="s">
        <v>23751</v>
      </c>
      <c r="C7589" t="s">
        <v>23752</v>
      </c>
      <c r="D7589" t="s">
        <v>23749</v>
      </c>
      <c r="E7589">
        <v>5</v>
      </c>
      <c r="F7589" t="str">
        <f>HYPERLINK("https://github.com/MCMrARM/revolution-irc/issues/236", "show")</f>
        <v>show</v>
      </c>
      <c r="G7589" t="str">
        <f>HYPERLINK("https://github.com/MCMrARM/revolution-irc", "show")</f>
        <v>show</v>
      </c>
      <c r="H7589" t="str">
        <f>HYPERLINK("https://github.com/MCMrARM/revolution-irc/releases", "show")</f>
        <v>show</v>
      </c>
      <c r="I7589">
        <v>1</v>
      </c>
      <c r="J7589">
        <v>0</v>
      </c>
      <c r="K7589">
        <v>0</v>
      </c>
      <c r="L7589">
        <v>0</v>
      </c>
      <c r="M7589" t="s">
        <v>17</v>
      </c>
    </row>
    <row r="7590" spans="1:13" hidden="1" x14ac:dyDescent="0.15">
      <c r="A7590" t="s">
        <v>23753</v>
      </c>
      <c r="B7590" t="s">
        <v>23754</v>
      </c>
      <c r="C7590" t="s">
        <v>23755</v>
      </c>
      <c r="D7590" t="s">
        <v>23749</v>
      </c>
      <c r="E7590">
        <v>141</v>
      </c>
      <c r="F7590" t="str">
        <f>HYPERLINK("https://github.com/deltachat/deltachat-android/issues/1205", "show")</f>
        <v>show</v>
      </c>
      <c r="G7590" t="str">
        <f>HYPERLINK("https://github.com/deltachat/deltachat-android", "show")</f>
        <v>show</v>
      </c>
      <c r="H7590" t="str">
        <f>HYPERLINK("https://github.com/deltachat/deltachat-android/releases", "show")</f>
        <v>show</v>
      </c>
      <c r="I7590">
        <v>0</v>
      </c>
      <c r="J7590">
        <v>0</v>
      </c>
      <c r="K7590">
        <v>0</v>
      </c>
      <c r="L7590">
        <v>0</v>
      </c>
      <c r="M7590" t="s">
        <v>43</v>
      </c>
    </row>
    <row r="7591" spans="1:13" hidden="1" x14ac:dyDescent="0.15">
      <c r="A7591" t="s">
        <v>23756</v>
      </c>
      <c r="B7591" t="s">
        <v>23757</v>
      </c>
      <c r="C7591" t="s">
        <v>23758</v>
      </c>
      <c r="D7591" t="s">
        <v>23749</v>
      </c>
      <c r="E7591">
        <v>6</v>
      </c>
      <c r="F7591" t="str">
        <f>HYPERLINK("https://github.com/nextcloud/android/issues/5090", "show")</f>
        <v>show</v>
      </c>
      <c r="G7591" t="str">
        <f>HYPERLINK("https://github.com/nextcloud/android", "show")</f>
        <v>show</v>
      </c>
      <c r="H7591" t="str">
        <f>HYPERLINK("https://github.com/nextcloud/android/releases", "show")</f>
        <v>show</v>
      </c>
      <c r="I7591">
        <v>1</v>
      </c>
      <c r="J7591">
        <v>1</v>
      </c>
      <c r="K7591">
        <v>0</v>
      </c>
      <c r="L7591">
        <v>0</v>
      </c>
      <c r="M7591" t="s">
        <v>48</v>
      </c>
    </row>
    <row r="7592" spans="1:13" hidden="1" x14ac:dyDescent="0.15">
      <c r="A7592" t="s">
        <v>23759</v>
      </c>
      <c r="B7592" t="s">
        <v>23760</v>
      </c>
      <c r="C7592" t="s">
        <v>23761</v>
      </c>
      <c r="D7592" t="s">
        <v>23762</v>
      </c>
      <c r="E7592">
        <v>25</v>
      </c>
      <c r="F7592" t="str">
        <f>HYPERLINK("https://github.com/square/okhttp/issues/5682", "show")</f>
        <v>show</v>
      </c>
      <c r="G7592" t="str">
        <f>HYPERLINK("https://github.com/square/okhttp", "show")</f>
        <v>show</v>
      </c>
      <c r="H7592" t="str">
        <f>HYPERLINK("https://github.com/square/okhttp/releases", "show")</f>
        <v>show</v>
      </c>
      <c r="I7592">
        <v>1</v>
      </c>
      <c r="J7592">
        <v>0</v>
      </c>
      <c r="K7592">
        <v>0</v>
      </c>
      <c r="L7592">
        <v>0</v>
      </c>
      <c r="M7592" t="s">
        <v>17</v>
      </c>
    </row>
    <row r="7593" spans="1:13" hidden="1" x14ac:dyDescent="0.15">
      <c r="A7593" t="s">
        <v>23763</v>
      </c>
      <c r="B7593" t="s">
        <v>23764</v>
      </c>
      <c r="C7593" t="s">
        <v>23765</v>
      </c>
      <c r="D7593" t="s">
        <v>23762</v>
      </c>
      <c r="E7593">
        <v>0</v>
      </c>
      <c r="F7593" t="str">
        <f>HYPERLINK("https://github.com/ElderDrivers/EdXposed/issues/426", "show")</f>
        <v>show</v>
      </c>
      <c r="G7593" t="str">
        <f>HYPERLINK("https://github.com/ElderDrivers/EdXposed", "show")</f>
        <v>show</v>
      </c>
      <c r="H7593" t="str">
        <f>HYPERLINK("https://github.com/ElderDrivers/EdXposed/releases", "show")</f>
        <v>show</v>
      </c>
      <c r="I7593">
        <v>0</v>
      </c>
      <c r="J7593">
        <v>1</v>
      </c>
      <c r="K7593">
        <v>1</v>
      </c>
      <c r="L7593">
        <v>0</v>
      </c>
      <c r="M7593" t="s">
        <v>699</v>
      </c>
    </row>
    <row r="7594" spans="1:13" hidden="1" x14ac:dyDescent="0.15">
      <c r="A7594" t="s">
        <v>23766</v>
      </c>
      <c r="B7594" t="s">
        <v>23767</v>
      </c>
      <c r="C7594" t="s">
        <v>23768</v>
      </c>
      <c r="D7594" t="s">
        <v>23762</v>
      </c>
      <c r="E7594">
        <v>312</v>
      </c>
      <c r="F7594" t="str">
        <f>HYPERLINK("https://github.com/Intelehealth/Android-Mobile-Client/issues/781", "show")</f>
        <v>show</v>
      </c>
      <c r="G7594" t="str">
        <f>HYPERLINK("https://github.com/Intelehealth/Android-Mobile-Client", "show")</f>
        <v>show</v>
      </c>
      <c r="H7594" t="str">
        <f>HYPERLINK("https://github.com/Intelehealth/Android-Mobile-Client/releases", "show")</f>
        <v>show</v>
      </c>
      <c r="I7594">
        <v>0</v>
      </c>
      <c r="J7594">
        <v>0</v>
      </c>
      <c r="K7594">
        <v>1</v>
      </c>
      <c r="L7594">
        <v>0</v>
      </c>
      <c r="M7594" t="s">
        <v>122</v>
      </c>
    </row>
    <row r="7595" spans="1:13" hidden="1" x14ac:dyDescent="0.15">
      <c r="A7595" t="s">
        <v>23769</v>
      </c>
      <c r="B7595" t="s">
        <v>23770</v>
      </c>
      <c r="C7595" t="s">
        <v>23771</v>
      </c>
      <c r="D7595" t="s">
        <v>23772</v>
      </c>
      <c r="E7595">
        <v>20</v>
      </c>
      <c r="F7595" t="str">
        <f>HYPERLINK("https://github.com/Technion236272/2020a-QuickThumbs/issues/127", "show")</f>
        <v>show</v>
      </c>
      <c r="G7595" t="str">
        <f>HYPERLINK("https://github.com/Technion236272/2020a-QuickThumbs", "show")</f>
        <v>show</v>
      </c>
      <c r="H7595" t="str">
        <f>HYPERLINK("https://github.com/Technion236272/2020a-QuickThumbs/releases", "show")</f>
        <v>show</v>
      </c>
      <c r="I7595">
        <v>1</v>
      </c>
      <c r="J7595">
        <v>0</v>
      </c>
      <c r="K7595">
        <v>0</v>
      </c>
      <c r="L7595">
        <v>0</v>
      </c>
      <c r="M7595" t="s">
        <v>17</v>
      </c>
    </row>
    <row r="7596" spans="1:13" hidden="1" x14ac:dyDescent="0.15">
      <c r="A7596" t="s">
        <v>23773</v>
      </c>
      <c r="B7596" t="s">
        <v>23774</v>
      </c>
      <c r="C7596" t="s">
        <v>23775</v>
      </c>
      <c r="D7596" t="s">
        <v>23772</v>
      </c>
      <c r="E7596">
        <v>26</v>
      </c>
      <c r="F7596" t="str">
        <f>HYPERLINK("https://github.com/stefan-niedermann/nextcloud-notes/issues/652", "show")</f>
        <v>show</v>
      </c>
      <c r="G7596" t="str">
        <f>HYPERLINK("https://github.com/stefan-niedermann/nextcloud-notes", "show")</f>
        <v>show</v>
      </c>
      <c r="H7596" t="str">
        <f>HYPERLINK("https://github.com/stefan-niedermann/nextcloud-notes/releases", "show")</f>
        <v>show</v>
      </c>
      <c r="I7596">
        <v>1</v>
      </c>
      <c r="J7596">
        <v>0</v>
      </c>
      <c r="K7596">
        <v>1</v>
      </c>
      <c r="L7596">
        <v>0</v>
      </c>
      <c r="M7596" t="s">
        <v>64</v>
      </c>
    </row>
    <row r="7597" spans="1:13" hidden="1" x14ac:dyDescent="0.15">
      <c r="A7597" t="s">
        <v>23776</v>
      </c>
      <c r="B7597" t="s">
        <v>23777</v>
      </c>
      <c r="C7597" t="s">
        <v>23778</v>
      </c>
      <c r="D7597" t="s">
        <v>23779</v>
      </c>
      <c r="E7597">
        <v>9</v>
      </c>
      <c r="F7597" t="str">
        <f>HYPERLINK("https://github.com/nextcloud/android/issues/5083", "show")</f>
        <v>show</v>
      </c>
      <c r="G7597" t="str">
        <f>HYPERLINK("https://github.com/nextcloud/android", "show")</f>
        <v>show</v>
      </c>
      <c r="H7597" t="str">
        <f>HYPERLINK("https://github.com/nextcloud/android/releases", "show")</f>
        <v>show</v>
      </c>
      <c r="I7597">
        <v>0</v>
      </c>
      <c r="J7597">
        <v>0</v>
      </c>
      <c r="K7597">
        <v>1</v>
      </c>
      <c r="L7597">
        <v>0</v>
      </c>
      <c r="M7597" t="s">
        <v>122</v>
      </c>
    </row>
    <row r="7598" spans="1:13" hidden="1" x14ac:dyDescent="0.15">
      <c r="A7598" t="s">
        <v>23780</v>
      </c>
      <c r="B7598" t="s">
        <v>23781</v>
      </c>
      <c r="C7598" t="s">
        <v>23782</v>
      </c>
      <c r="D7598" t="s">
        <v>23783</v>
      </c>
      <c r="E7598">
        <v>0</v>
      </c>
      <c r="F7598" t="str">
        <f>HYPERLINK("https://github.com/ElderDrivers/EdXposed/issues/420", "show")</f>
        <v>show</v>
      </c>
      <c r="G7598" t="str">
        <f>HYPERLINK("https://github.com/ElderDrivers/EdXposed", "show")</f>
        <v>show</v>
      </c>
      <c r="H7598" t="str">
        <f>HYPERLINK("https://github.com/ElderDrivers/EdXposed/releases", "show")</f>
        <v>show</v>
      </c>
      <c r="I7598">
        <v>0</v>
      </c>
      <c r="J7598">
        <v>1</v>
      </c>
      <c r="K7598">
        <v>1</v>
      </c>
      <c r="L7598">
        <v>1</v>
      </c>
      <c r="M7598" t="s">
        <v>427</v>
      </c>
    </row>
    <row r="7599" spans="1:13" hidden="1" x14ac:dyDescent="0.15">
      <c r="A7599" t="s">
        <v>23784</v>
      </c>
      <c r="B7599" t="s">
        <v>23785</v>
      </c>
      <c r="C7599" t="s">
        <v>23786</v>
      </c>
      <c r="D7599" t="s">
        <v>23783</v>
      </c>
      <c r="E7599">
        <v>8</v>
      </c>
      <c r="F7599" t="str">
        <f>HYPERLINK("https://github.com/Technion236272/2020a-Cue/issues/48", "show")</f>
        <v>show</v>
      </c>
      <c r="G7599" t="str">
        <f>HYPERLINK("https://github.com/Technion236272/2020a-Cue", "show")</f>
        <v>show</v>
      </c>
      <c r="H7599" t="str">
        <f>HYPERLINK("https://github.com/Technion236272/2020a-Cue/releases", "show")</f>
        <v>show</v>
      </c>
      <c r="I7599">
        <v>1</v>
      </c>
      <c r="J7599">
        <v>0</v>
      </c>
      <c r="K7599">
        <v>0</v>
      </c>
      <c r="L7599">
        <v>0</v>
      </c>
      <c r="M7599" t="s">
        <v>17</v>
      </c>
    </row>
    <row r="7600" spans="1:13" hidden="1" x14ac:dyDescent="0.15">
      <c r="A7600" t="s">
        <v>23787</v>
      </c>
      <c r="B7600" t="s">
        <v>23788</v>
      </c>
      <c r="C7600" t="s">
        <v>23789</v>
      </c>
      <c r="D7600" t="s">
        <v>23783</v>
      </c>
      <c r="E7600">
        <v>4</v>
      </c>
      <c r="F7600" t="str">
        <f>HYPERLINK("https://github.com/ElderDrivers/EdXposed/issues/419", "show")</f>
        <v>show</v>
      </c>
      <c r="G7600" t="str">
        <f>HYPERLINK("https://github.com/ElderDrivers/EdXposed", "show")</f>
        <v>show</v>
      </c>
      <c r="H7600" t="str">
        <f>HYPERLINK("https://github.com/ElderDrivers/EdXposed/releases", "show")</f>
        <v>show</v>
      </c>
      <c r="I7600">
        <v>0</v>
      </c>
      <c r="J7600">
        <v>1</v>
      </c>
      <c r="K7600">
        <v>1</v>
      </c>
      <c r="L7600">
        <v>0</v>
      </c>
      <c r="M7600" t="s">
        <v>699</v>
      </c>
    </row>
    <row r="7601" spans="1:13" hidden="1" x14ac:dyDescent="0.15">
      <c r="A7601" t="s">
        <v>23790</v>
      </c>
      <c r="B7601" t="s">
        <v>23791</v>
      </c>
      <c r="C7601" t="s">
        <v>23792</v>
      </c>
      <c r="D7601" t="s">
        <v>23793</v>
      </c>
      <c r="E7601">
        <v>12</v>
      </c>
      <c r="F7601" t="str">
        <f>HYPERLINK("https://github.com/nextcloud/android/issues/5072", "show")</f>
        <v>show</v>
      </c>
      <c r="G7601" t="str">
        <f>HYPERLINK("https://github.com/nextcloud/android", "show")</f>
        <v>show</v>
      </c>
      <c r="H7601" t="str">
        <f>HYPERLINK("https://github.com/nextcloud/android/releases", "show")</f>
        <v>show</v>
      </c>
      <c r="I7601">
        <v>1</v>
      </c>
      <c r="J7601">
        <v>1</v>
      </c>
      <c r="K7601">
        <v>1</v>
      </c>
      <c r="L7601">
        <v>0</v>
      </c>
      <c r="M7601" t="s">
        <v>59</v>
      </c>
    </row>
    <row r="7602" spans="1:13" hidden="1" x14ac:dyDescent="0.15">
      <c r="A7602" t="s">
        <v>23794</v>
      </c>
      <c r="B7602" t="s">
        <v>23795</v>
      </c>
      <c r="C7602" t="s">
        <v>23796</v>
      </c>
      <c r="D7602" t="s">
        <v>23793</v>
      </c>
      <c r="E7602">
        <v>114</v>
      </c>
      <c r="F7602" t="str">
        <f>HYPERLINK("https://github.com/TeamNewPipe/NewPipe/issues/2903", "show")</f>
        <v>show</v>
      </c>
      <c r="G7602" t="str">
        <f>HYPERLINK("https://github.com/TeamNewPipe/NewPipe", "show")</f>
        <v>show</v>
      </c>
      <c r="H7602" t="str">
        <f>HYPERLINK("https://github.com/TeamNewPipe/NewPipe/releases", "show")</f>
        <v>show</v>
      </c>
      <c r="I7602">
        <v>0</v>
      </c>
      <c r="J7602">
        <v>0</v>
      </c>
      <c r="K7602">
        <v>1</v>
      </c>
      <c r="L7602">
        <v>0</v>
      </c>
      <c r="M7602" t="s">
        <v>122</v>
      </c>
    </row>
    <row r="7603" spans="1:13" hidden="1" x14ac:dyDescent="0.15">
      <c r="A7603" t="s">
        <v>23797</v>
      </c>
      <c r="B7603" t="s">
        <v>23798</v>
      </c>
      <c r="C7603" t="s">
        <v>23799</v>
      </c>
      <c r="D7603" t="s">
        <v>23793</v>
      </c>
      <c r="E7603">
        <v>160</v>
      </c>
      <c r="F7603" t="str">
        <f>HYPERLINK("https://github.com/nextcloud/android/issues/5071", "show")</f>
        <v>show</v>
      </c>
      <c r="G7603" t="str">
        <f>HYPERLINK("https://github.com/nextcloud/android", "show")</f>
        <v>show</v>
      </c>
      <c r="H7603" t="str">
        <f>HYPERLINK("https://github.com/nextcloud/android/releases", "show")</f>
        <v>show</v>
      </c>
      <c r="I7603">
        <v>1</v>
      </c>
      <c r="J7603">
        <v>1</v>
      </c>
      <c r="K7603">
        <v>1</v>
      </c>
      <c r="L7603">
        <v>0</v>
      </c>
      <c r="M7603" t="s">
        <v>59</v>
      </c>
    </row>
    <row r="7604" spans="1:13" hidden="1" x14ac:dyDescent="0.15">
      <c r="A7604" t="s">
        <v>23800</v>
      </c>
      <c r="B7604" t="s">
        <v>23801</v>
      </c>
      <c r="C7604" t="s">
        <v>23802</v>
      </c>
      <c r="D7604" t="s">
        <v>23793</v>
      </c>
      <c r="E7604">
        <v>130</v>
      </c>
      <c r="F7604" t="str">
        <f>HYPERLINK("https://github.com/TeamNewPipe/NewPipe/issues/2900", "show")</f>
        <v>show</v>
      </c>
      <c r="G7604" t="str">
        <f>HYPERLINK("https://github.com/TeamNewPipe/NewPipe", "show")</f>
        <v>show</v>
      </c>
      <c r="H7604" t="str">
        <f>HYPERLINK("https://github.com/TeamNewPipe/NewPipe/releases", "show")</f>
        <v>show</v>
      </c>
      <c r="I7604">
        <v>0</v>
      </c>
      <c r="J7604">
        <v>0</v>
      </c>
      <c r="K7604">
        <v>0</v>
      </c>
      <c r="L7604">
        <v>0</v>
      </c>
      <c r="M7604" t="s">
        <v>43</v>
      </c>
    </row>
    <row r="7605" spans="1:13" hidden="1" x14ac:dyDescent="0.15">
      <c r="A7605" t="s">
        <v>23803</v>
      </c>
      <c r="B7605" t="s">
        <v>23804</v>
      </c>
      <c r="C7605" t="s">
        <v>23805</v>
      </c>
      <c r="D7605" t="s">
        <v>23806</v>
      </c>
      <c r="E7605">
        <v>4</v>
      </c>
      <c r="F7605" t="str">
        <f>HYPERLINK("https://github.com/react-native-camera/react-native-camera/issues/2656", "show")</f>
        <v>show</v>
      </c>
      <c r="G7605" t="str">
        <f>HYPERLINK("https://github.com/react-native-camera/react-native-camera", "show")</f>
        <v>show</v>
      </c>
      <c r="H7605" t="str">
        <f>HYPERLINK("https://github.com/react-native-camera/react-native-camera/releases", "show")</f>
        <v>show</v>
      </c>
      <c r="I7605">
        <v>0</v>
      </c>
      <c r="J7605">
        <v>0</v>
      </c>
      <c r="K7605">
        <v>1</v>
      </c>
      <c r="L7605">
        <v>0</v>
      </c>
      <c r="M7605" t="s">
        <v>122</v>
      </c>
    </row>
    <row r="7606" spans="1:13" hidden="1" x14ac:dyDescent="0.15">
      <c r="A7606" t="s">
        <v>23807</v>
      </c>
      <c r="B7606" t="s">
        <v>23808</v>
      </c>
      <c r="C7606" t="s">
        <v>23809</v>
      </c>
      <c r="D7606" t="s">
        <v>23806</v>
      </c>
      <c r="E7606">
        <v>18</v>
      </c>
      <c r="F7606" t="str">
        <f>HYPERLINK("https://github.com/nextcloud/android/issues/5068", "show")</f>
        <v>show</v>
      </c>
      <c r="G7606" t="str">
        <f>HYPERLINK("https://github.com/nextcloud/android", "show")</f>
        <v>show</v>
      </c>
      <c r="H7606" t="str">
        <f>HYPERLINK("https://github.com/nextcloud/android/releases", "show")</f>
        <v>show</v>
      </c>
      <c r="I7606">
        <v>1</v>
      </c>
      <c r="J7606">
        <v>0</v>
      </c>
      <c r="K7606">
        <v>1</v>
      </c>
      <c r="L7606">
        <v>0</v>
      </c>
      <c r="M7606" t="s">
        <v>64</v>
      </c>
    </row>
    <row r="7607" spans="1:13" hidden="1" x14ac:dyDescent="0.15">
      <c r="A7607" t="s">
        <v>23810</v>
      </c>
      <c r="B7607" t="s">
        <v>23811</v>
      </c>
      <c r="C7607" t="s">
        <v>23812</v>
      </c>
      <c r="D7607" t="s">
        <v>23806</v>
      </c>
      <c r="E7607">
        <v>20</v>
      </c>
      <c r="F7607" t="str">
        <f>HYPERLINK("https://github.com/stefan-niedermann/nextcloud-notes/issues/642", "show")</f>
        <v>show</v>
      </c>
      <c r="G7607" t="str">
        <f>HYPERLINK("https://github.com/stefan-niedermann/nextcloud-notes", "show")</f>
        <v>show</v>
      </c>
      <c r="H7607" t="str">
        <f>HYPERLINK("https://github.com/stefan-niedermann/nextcloud-notes/releases", "show")</f>
        <v>show</v>
      </c>
      <c r="I7607">
        <v>1</v>
      </c>
      <c r="J7607">
        <v>0</v>
      </c>
      <c r="K7607">
        <v>1</v>
      </c>
      <c r="L7607">
        <v>0</v>
      </c>
      <c r="M7607" t="s">
        <v>64</v>
      </c>
    </row>
    <row r="7608" spans="1:13" hidden="1" x14ac:dyDescent="0.15">
      <c r="A7608" t="s">
        <v>23813</v>
      </c>
      <c r="B7608" t="s">
        <v>23814</v>
      </c>
      <c r="C7608" t="s">
        <v>23815</v>
      </c>
      <c r="D7608" t="s">
        <v>23816</v>
      </c>
      <c r="E7608">
        <v>43</v>
      </c>
      <c r="F7608" t="str">
        <f>HYPERLINK("https://github.com/nextcloud/android/issues/5067", "show")</f>
        <v>show</v>
      </c>
      <c r="G7608" t="str">
        <f>HYPERLINK("https://github.com/nextcloud/android", "show")</f>
        <v>show</v>
      </c>
      <c r="H7608" t="str">
        <f>HYPERLINK("https://github.com/nextcloud/android/releases", "show")</f>
        <v>show</v>
      </c>
      <c r="I7608">
        <v>1</v>
      </c>
      <c r="J7608">
        <v>1</v>
      </c>
      <c r="K7608">
        <v>1</v>
      </c>
      <c r="L7608">
        <v>0</v>
      </c>
      <c r="M7608" t="s">
        <v>59</v>
      </c>
    </row>
    <row r="7609" spans="1:13" hidden="1" x14ac:dyDescent="0.15">
      <c r="A7609" t="s">
        <v>23817</v>
      </c>
      <c r="B7609" t="s">
        <v>23818</v>
      </c>
      <c r="C7609" t="s">
        <v>23819</v>
      </c>
      <c r="D7609" t="s">
        <v>23816</v>
      </c>
      <c r="E7609">
        <v>33</v>
      </c>
      <c r="F7609" t="str">
        <f>HYPERLINK("https://github.com/segler-alex/RadioDroid/issues/641", "show")</f>
        <v>show</v>
      </c>
      <c r="G7609" t="str">
        <f>HYPERLINK("https://github.com/segler-alex/RadioDroid", "show")</f>
        <v>show</v>
      </c>
      <c r="H7609" t="str">
        <f>HYPERLINK("https://github.com/segler-alex/RadioDroid/releases", "show")</f>
        <v>show</v>
      </c>
      <c r="I7609">
        <v>1</v>
      </c>
      <c r="J7609">
        <v>0</v>
      </c>
      <c r="K7609">
        <v>0</v>
      </c>
      <c r="L7609">
        <v>0</v>
      </c>
      <c r="M7609" t="s">
        <v>17</v>
      </c>
    </row>
    <row r="7610" spans="1:13" hidden="1" x14ac:dyDescent="0.15">
      <c r="A7610" t="s">
        <v>23820</v>
      </c>
      <c r="B7610" t="s">
        <v>23821</v>
      </c>
      <c r="C7610" t="s">
        <v>23822</v>
      </c>
      <c r="D7610" t="s">
        <v>23823</v>
      </c>
      <c r="E7610">
        <v>15</v>
      </c>
      <c r="F7610" t="str">
        <f>HYPERLINK("https://github.com/libgdx/libgdx/issues/5870", "show")</f>
        <v>show</v>
      </c>
      <c r="G7610" t="str">
        <f>HYPERLINK("https://github.com/libgdx/libgdx", "show")</f>
        <v>show</v>
      </c>
      <c r="H7610" t="str">
        <f>HYPERLINK("https://github.com/libgdx/libgdx/releases", "show")</f>
        <v>show</v>
      </c>
      <c r="I7610">
        <v>1</v>
      </c>
      <c r="J7610">
        <v>0</v>
      </c>
      <c r="K7610">
        <v>1</v>
      </c>
      <c r="L7610">
        <v>0</v>
      </c>
      <c r="M7610" t="s">
        <v>64</v>
      </c>
    </row>
    <row r="7611" spans="1:13" hidden="1" x14ac:dyDescent="0.15">
      <c r="A7611" t="s">
        <v>23824</v>
      </c>
      <c r="B7611" t="s">
        <v>23825</v>
      </c>
      <c r="C7611" t="s">
        <v>23826</v>
      </c>
      <c r="D7611" t="s">
        <v>23827</v>
      </c>
      <c r="E7611">
        <v>30</v>
      </c>
      <c r="F7611" t="str">
        <f>HYPERLINK("https://github.com/nextcloud/android/issues/5063", "show")</f>
        <v>show</v>
      </c>
      <c r="G7611" t="str">
        <f>HYPERLINK("https://github.com/nextcloud/android", "show")</f>
        <v>show</v>
      </c>
      <c r="H7611" t="str">
        <f>HYPERLINK("https://github.com/nextcloud/android/releases", "show")</f>
        <v>show</v>
      </c>
      <c r="I7611">
        <v>0</v>
      </c>
      <c r="J7611">
        <v>0</v>
      </c>
      <c r="K7611">
        <v>1</v>
      </c>
      <c r="L7611">
        <v>0</v>
      </c>
      <c r="M7611" t="s">
        <v>122</v>
      </c>
    </row>
    <row r="7612" spans="1:13" hidden="1" x14ac:dyDescent="0.15">
      <c r="A7612" t="s">
        <v>23828</v>
      </c>
      <c r="B7612" t="s">
        <v>23829</v>
      </c>
      <c r="C7612" t="s">
        <v>23830</v>
      </c>
      <c r="D7612" t="s">
        <v>23831</v>
      </c>
      <c r="E7612">
        <v>57</v>
      </c>
      <c r="F7612" t="str">
        <f>HYPERLINK("https://github.com/nextcloud/android/issues/5059", "show")</f>
        <v>show</v>
      </c>
      <c r="G7612" t="str">
        <f>HYPERLINK("https://github.com/nextcloud/android", "show")</f>
        <v>show</v>
      </c>
      <c r="H7612" t="str">
        <f>HYPERLINK("https://github.com/nextcloud/android/releases", "show")</f>
        <v>show</v>
      </c>
      <c r="I7612">
        <v>0</v>
      </c>
      <c r="J7612">
        <v>1</v>
      </c>
      <c r="K7612">
        <v>1</v>
      </c>
      <c r="L7612">
        <v>0</v>
      </c>
      <c r="M7612" t="s">
        <v>699</v>
      </c>
    </row>
    <row r="7613" spans="1:13" hidden="1" x14ac:dyDescent="0.15">
      <c r="A7613" t="s">
        <v>23832</v>
      </c>
      <c r="B7613" t="s">
        <v>23833</v>
      </c>
      <c r="C7613" t="s">
        <v>23834</v>
      </c>
      <c r="D7613" t="s">
        <v>23831</v>
      </c>
      <c r="E7613">
        <v>121</v>
      </c>
      <c r="F7613" t="str">
        <f>HYPERLINK("https://github.com/nextcloud/android/issues/5058", "show")</f>
        <v>show</v>
      </c>
      <c r="G7613" t="str">
        <f>HYPERLINK("https://github.com/nextcloud/android", "show")</f>
        <v>show</v>
      </c>
      <c r="H7613" t="str">
        <f>HYPERLINK("https://github.com/nextcloud/android/releases", "show")</f>
        <v>show</v>
      </c>
      <c r="I7613">
        <v>1</v>
      </c>
      <c r="J7613">
        <v>1</v>
      </c>
      <c r="K7613">
        <v>0</v>
      </c>
      <c r="L7613">
        <v>0</v>
      </c>
      <c r="M7613" t="s">
        <v>48</v>
      </c>
    </row>
    <row r="7614" spans="1:13" hidden="1" x14ac:dyDescent="0.15">
      <c r="A7614" t="s">
        <v>23835</v>
      </c>
      <c r="B7614" t="s">
        <v>23836</v>
      </c>
      <c r="C7614" t="s">
        <v>23837</v>
      </c>
      <c r="D7614" t="s">
        <v>23831</v>
      </c>
      <c r="E7614">
        <v>214</v>
      </c>
      <c r="F7614" t="str">
        <f>HYPERLINK("https://github.com/AppsFlyerSDK/appsflyer-react-native-plugin/issues/134", "show")</f>
        <v>show</v>
      </c>
      <c r="G7614" t="str">
        <f>HYPERLINK("https://github.com/AppsFlyerSDK/appsflyer-react-native-plugin", "show")</f>
        <v>show</v>
      </c>
      <c r="H7614" t="str">
        <f>HYPERLINK("https://github.com/AppsFlyerSDK/appsflyer-react-native-plugin/releases", "show")</f>
        <v>show</v>
      </c>
      <c r="I7614">
        <v>0</v>
      </c>
      <c r="J7614">
        <v>0</v>
      </c>
      <c r="K7614">
        <v>0</v>
      </c>
      <c r="L7614">
        <v>0</v>
      </c>
      <c r="M7614" t="s">
        <v>43</v>
      </c>
    </row>
    <row r="7615" spans="1:13" hidden="1" x14ac:dyDescent="0.15">
      <c r="A7615" t="s">
        <v>23838</v>
      </c>
      <c r="B7615" t="s">
        <v>23839</v>
      </c>
      <c r="C7615" t="s">
        <v>12185</v>
      </c>
      <c r="D7615" t="s">
        <v>23840</v>
      </c>
      <c r="E7615">
        <v>42</v>
      </c>
      <c r="F7615" t="str">
        <f>HYPERLINK("https://github.com/nextcloud/android/issues/5052", "show")</f>
        <v>show</v>
      </c>
      <c r="G7615" t="str">
        <f>HYPERLINK("https://github.com/nextcloud/android", "show")</f>
        <v>show</v>
      </c>
      <c r="H7615" t="str">
        <f>HYPERLINK("https://github.com/nextcloud/android/releases", "show")</f>
        <v>show</v>
      </c>
      <c r="I7615">
        <v>1</v>
      </c>
      <c r="J7615">
        <v>0</v>
      </c>
      <c r="K7615">
        <v>1</v>
      </c>
      <c r="L7615">
        <v>0</v>
      </c>
      <c r="M7615" t="s">
        <v>64</v>
      </c>
    </row>
    <row r="7616" spans="1:13" hidden="1" x14ac:dyDescent="0.15">
      <c r="A7616" t="s">
        <v>23841</v>
      </c>
      <c r="B7616" t="s">
        <v>23842</v>
      </c>
      <c r="C7616" t="s">
        <v>23843</v>
      </c>
      <c r="D7616" t="s">
        <v>23844</v>
      </c>
      <c r="E7616">
        <v>198</v>
      </c>
      <c r="F7616" t="str">
        <f>HYPERLINK("https://github.com/square/reader-sdk-flutter-plugin/issues/42", "show")</f>
        <v>show</v>
      </c>
      <c r="G7616" t="str">
        <f>HYPERLINK("https://github.com/square/reader-sdk-flutter-plugin", "show")</f>
        <v>show</v>
      </c>
      <c r="H7616" t="str">
        <f>HYPERLINK("https://github.com/square/reader-sdk-flutter-plugin/releases", "show")</f>
        <v>show</v>
      </c>
      <c r="I7616">
        <v>1</v>
      </c>
      <c r="J7616">
        <v>0</v>
      </c>
      <c r="K7616">
        <v>0</v>
      </c>
      <c r="L7616">
        <v>0</v>
      </c>
      <c r="M7616" t="s">
        <v>17</v>
      </c>
    </row>
    <row r="7617" spans="1:13" hidden="1" x14ac:dyDescent="0.15">
      <c r="A7617" t="s">
        <v>23845</v>
      </c>
      <c r="B7617" t="s">
        <v>23846</v>
      </c>
      <c r="C7617" t="s">
        <v>23847</v>
      </c>
      <c r="D7617" t="s">
        <v>23844</v>
      </c>
      <c r="E7617">
        <v>43</v>
      </c>
      <c r="F7617" t="str">
        <f>HYPERLINK("https://github.com/nextcloud/android/issues/5051", "show")</f>
        <v>show</v>
      </c>
      <c r="G7617" t="str">
        <f>HYPERLINK("https://github.com/nextcloud/android", "show")</f>
        <v>show</v>
      </c>
      <c r="H7617" t="str">
        <f>HYPERLINK("https://github.com/nextcloud/android/releases", "show")</f>
        <v>show</v>
      </c>
      <c r="I7617">
        <v>1</v>
      </c>
      <c r="J7617">
        <v>0</v>
      </c>
      <c r="K7617">
        <v>1</v>
      </c>
      <c r="L7617">
        <v>0</v>
      </c>
      <c r="M7617" t="s">
        <v>64</v>
      </c>
    </row>
    <row r="7618" spans="1:13" x14ac:dyDescent="0.15">
      <c r="A7618" t="s">
        <v>23848</v>
      </c>
      <c r="B7618" t="s">
        <v>23849</v>
      </c>
      <c r="C7618" t="s">
        <v>22792</v>
      </c>
      <c r="D7618" t="s">
        <v>23844</v>
      </c>
      <c r="E7618">
        <v>1</v>
      </c>
      <c r="F7618" t="str">
        <f>HYPERLINK("https://github.com/nextcloud/android/issues/5050", "show")</f>
        <v>show</v>
      </c>
      <c r="G7618" t="str">
        <f>HYPERLINK("https://github.com/nextcloud/android", "show")</f>
        <v>show</v>
      </c>
      <c r="H7618" t="str">
        <f>HYPERLINK("https://github.com/nextcloud/android/releases", "show")</f>
        <v>show</v>
      </c>
      <c r="I7618">
        <v>0</v>
      </c>
      <c r="J7618">
        <v>1</v>
      </c>
      <c r="K7618">
        <v>0</v>
      </c>
      <c r="L7618">
        <v>0</v>
      </c>
      <c r="M7618" t="s">
        <v>139</v>
      </c>
    </row>
    <row r="7619" spans="1:13" hidden="1" x14ac:dyDescent="0.15">
      <c r="A7619" t="s">
        <v>23850</v>
      </c>
      <c r="B7619" t="s">
        <v>23851</v>
      </c>
      <c r="C7619" t="s">
        <v>23852</v>
      </c>
      <c r="D7619" t="s">
        <v>23853</v>
      </c>
      <c r="E7619">
        <v>105</v>
      </c>
      <c r="F7619" t="str">
        <f>HYPERLINK("https://github.com/aws-amplify/aws-sdk-android/issues/1387", "show")</f>
        <v>show</v>
      </c>
      <c r="G7619" t="str">
        <f>HYPERLINK("https://github.com/aws-amplify/aws-sdk-android", "show")</f>
        <v>show</v>
      </c>
      <c r="H7619" t="str">
        <f>HYPERLINK("https://github.com/aws-amplify/aws-sdk-android/releases", "show")</f>
        <v>show</v>
      </c>
      <c r="I7619">
        <v>0</v>
      </c>
      <c r="J7619">
        <v>0</v>
      </c>
      <c r="K7619">
        <v>1</v>
      </c>
      <c r="L7619">
        <v>0</v>
      </c>
      <c r="M7619" t="s">
        <v>122</v>
      </c>
    </row>
    <row r="7620" spans="1:13" hidden="1" x14ac:dyDescent="0.15">
      <c r="A7620" t="s">
        <v>23854</v>
      </c>
      <c r="B7620" t="s">
        <v>23855</v>
      </c>
      <c r="C7620" t="s">
        <v>23856</v>
      </c>
      <c r="D7620" t="s">
        <v>23853</v>
      </c>
      <c r="E7620">
        <v>311</v>
      </c>
      <c r="F7620" t="str">
        <f>HYPERLINK("https://github.com/TuyaInc/tuyasmart_home_android_sdk/issues/76", "show")</f>
        <v>show</v>
      </c>
      <c r="G7620" t="str">
        <f>HYPERLINK("https://github.com/TuyaInc/tuyasmart_home_android_sdk", "show")</f>
        <v>show</v>
      </c>
      <c r="H7620" t="str">
        <f>HYPERLINK("https://github.com/TuyaInc/tuyasmart_home_android_sdk/releases", "show")</f>
        <v>show</v>
      </c>
      <c r="I7620">
        <v>0</v>
      </c>
      <c r="J7620">
        <v>0</v>
      </c>
      <c r="K7620">
        <v>1</v>
      </c>
      <c r="L7620">
        <v>0</v>
      </c>
      <c r="M7620" t="s">
        <v>122</v>
      </c>
    </row>
    <row r="7621" spans="1:13" hidden="1" x14ac:dyDescent="0.15">
      <c r="A7621" t="s">
        <v>23857</v>
      </c>
      <c r="B7621" t="s">
        <v>23858</v>
      </c>
      <c r="C7621" t="s">
        <v>23859</v>
      </c>
      <c r="D7621" t="s">
        <v>23853</v>
      </c>
      <c r="E7621">
        <v>46</v>
      </c>
      <c r="F7621" t="str">
        <f>HYPERLINK("https://github.com/OpenTracksApp/OpenTracks/issues/107", "show")</f>
        <v>show</v>
      </c>
      <c r="G7621" t="str">
        <f>HYPERLINK("https://github.com/OpenTracksApp/OpenTracks", "show")</f>
        <v>show</v>
      </c>
      <c r="H7621" t="str">
        <f>HYPERLINK("https://github.com/OpenTracksApp/OpenTracks/releases", "show")</f>
        <v>show</v>
      </c>
      <c r="I7621">
        <v>1</v>
      </c>
      <c r="J7621">
        <v>0</v>
      </c>
      <c r="K7621">
        <v>1</v>
      </c>
      <c r="L7621">
        <v>0</v>
      </c>
      <c r="M7621" t="s">
        <v>64</v>
      </c>
    </row>
    <row r="7622" spans="1:13" hidden="1" x14ac:dyDescent="0.15">
      <c r="A7622" t="s">
        <v>23860</v>
      </c>
      <c r="B7622" t="s">
        <v>23861</v>
      </c>
      <c r="C7622" t="s">
        <v>23862</v>
      </c>
      <c r="D7622" t="s">
        <v>23863</v>
      </c>
      <c r="E7622">
        <v>332</v>
      </c>
      <c r="F7622" t="str">
        <f>HYPERLINK("https://github.com/NightscoutFoundation/xDrip/issues/1139", "show")</f>
        <v>show</v>
      </c>
      <c r="G7622" t="str">
        <f>HYPERLINK("https://github.com/NightscoutFoundation/xDrip", "show")</f>
        <v>show</v>
      </c>
      <c r="H7622" t="str">
        <f>HYPERLINK("https://github.com/NightscoutFoundation/xDrip/releases", "show")</f>
        <v>show</v>
      </c>
      <c r="I7622">
        <v>1</v>
      </c>
      <c r="J7622">
        <v>0</v>
      </c>
      <c r="K7622">
        <v>0</v>
      </c>
      <c r="L7622">
        <v>0</v>
      </c>
      <c r="M7622" t="s">
        <v>17</v>
      </c>
    </row>
    <row r="7623" spans="1:13" hidden="1" x14ac:dyDescent="0.15">
      <c r="A7623" t="s">
        <v>23864</v>
      </c>
      <c r="B7623" t="s">
        <v>23865</v>
      </c>
      <c r="C7623" t="s">
        <v>23866</v>
      </c>
      <c r="D7623" t="s">
        <v>23863</v>
      </c>
      <c r="E7623">
        <v>1</v>
      </c>
      <c r="F7623" t="str">
        <f>HYPERLINK("https://github.com/nextcloud/android/issues/5036", "show")</f>
        <v>show</v>
      </c>
      <c r="G7623" t="str">
        <f>HYPERLINK("https://github.com/nextcloud/android", "show")</f>
        <v>show</v>
      </c>
      <c r="H7623" t="str">
        <f>HYPERLINK("https://github.com/nextcloud/android/releases", "show")</f>
        <v>show</v>
      </c>
      <c r="I7623">
        <v>0</v>
      </c>
      <c r="J7623">
        <v>0</v>
      </c>
      <c r="K7623">
        <v>0</v>
      </c>
      <c r="L7623">
        <v>0</v>
      </c>
      <c r="M7623" t="s">
        <v>43</v>
      </c>
    </row>
    <row r="7624" spans="1:13" hidden="1" x14ac:dyDescent="0.15">
      <c r="A7624" t="s">
        <v>23867</v>
      </c>
      <c r="B7624" t="s">
        <v>23868</v>
      </c>
      <c r="C7624" t="s">
        <v>23869</v>
      </c>
      <c r="D7624" t="s">
        <v>23863</v>
      </c>
      <c r="E7624">
        <v>1</v>
      </c>
      <c r="F7624" t="str">
        <f>HYPERLINK("https://github.com/google/ExoPlayer/issues/6785", "show")</f>
        <v>show</v>
      </c>
      <c r="G7624" t="str">
        <f>HYPERLINK("https://github.com/google/ExoPlayer", "show")</f>
        <v>show</v>
      </c>
      <c r="H7624" t="str">
        <f>HYPERLINK("https://github.com/google/ExoPlayer/releases", "show")</f>
        <v>show</v>
      </c>
      <c r="I7624">
        <v>0</v>
      </c>
      <c r="J7624">
        <v>0</v>
      </c>
      <c r="K7624">
        <v>1</v>
      </c>
      <c r="L7624">
        <v>0</v>
      </c>
      <c r="M7624" t="s">
        <v>122</v>
      </c>
    </row>
    <row r="7625" spans="1:13" hidden="1" x14ac:dyDescent="0.15">
      <c r="A7625" t="s">
        <v>23870</v>
      </c>
      <c r="B7625" t="s">
        <v>23871</v>
      </c>
      <c r="C7625" t="s">
        <v>23872</v>
      </c>
      <c r="D7625" t="s">
        <v>23863</v>
      </c>
      <c r="E7625">
        <v>160</v>
      </c>
      <c r="F7625" t="str">
        <f>HYPERLINK("https://github.com/opensrp/opensrp-client-giz-malawi/issues/164", "show")</f>
        <v>show</v>
      </c>
      <c r="G7625" t="str">
        <f>HYPERLINK("https://github.com/opensrp/opensrp-client-giz-malawi", "show")</f>
        <v>show</v>
      </c>
      <c r="H7625" t="str">
        <f>HYPERLINK("https://github.com/opensrp/opensrp-client-giz-malawi/releases", "show")</f>
        <v>show</v>
      </c>
      <c r="I7625">
        <v>1</v>
      </c>
      <c r="J7625">
        <v>1</v>
      </c>
      <c r="K7625">
        <v>0</v>
      </c>
      <c r="L7625">
        <v>1</v>
      </c>
      <c r="M7625" t="s">
        <v>1894</v>
      </c>
    </row>
    <row r="7626" spans="1:13" x14ac:dyDescent="0.15">
      <c r="A7626" t="s">
        <v>23873</v>
      </c>
      <c r="B7626" t="s">
        <v>23874</v>
      </c>
      <c r="C7626" t="s">
        <v>23875</v>
      </c>
      <c r="D7626" t="s">
        <v>23876</v>
      </c>
      <c r="E7626">
        <v>20</v>
      </c>
      <c r="F7626" t="str">
        <f>HYPERLINK("https://github.com/ElderDrivers/EdXposed/issues/413", "show")</f>
        <v>show</v>
      </c>
      <c r="G7626" t="str">
        <f>HYPERLINK("https://github.com/ElderDrivers/EdXposed", "show")</f>
        <v>show</v>
      </c>
      <c r="H7626" t="str">
        <f>HYPERLINK("https://github.com/ElderDrivers/EdXposed/releases", "show")</f>
        <v>show</v>
      </c>
      <c r="I7626">
        <v>0</v>
      </c>
      <c r="J7626">
        <v>1</v>
      </c>
      <c r="K7626">
        <v>0</v>
      </c>
      <c r="L7626">
        <v>0</v>
      </c>
      <c r="M7626" t="s">
        <v>139</v>
      </c>
    </row>
    <row r="7627" spans="1:13" hidden="1" x14ac:dyDescent="0.15">
      <c r="A7627" t="s">
        <v>23877</v>
      </c>
      <c r="B7627" t="s">
        <v>23878</v>
      </c>
      <c r="C7627" t="s">
        <v>23879</v>
      </c>
      <c r="D7627" t="s">
        <v>23876</v>
      </c>
      <c r="E7627">
        <v>51</v>
      </c>
      <c r="F7627" t="str">
        <f>HYPERLINK("https://github.com/segler-alex/RadioDroid/issues/634", "show")</f>
        <v>show</v>
      </c>
      <c r="G7627" t="str">
        <f>HYPERLINK("https://github.com/segler-alex/RadioDroid", "show")</f>
        <v>show</v>
      </c>
      <c r="H7627" t="str">
        <f>HYPERLINK("https://github.com/segler-alex/RadioDroid/releases", "show")</f>
        <v>show</v>
      </c>
      <c r="I7627">
        <v>0</v>
      </c>
      <c r="J7627">
        <v>0</v>
      </c>
      <c r="K7627">
        <v>1</v>
      </c>
      <c r="L7627">
        <v>0</v>
      </c>
      <c r="M7627" t="s">
        <v>122</v>
      </c>
    </row>
    <row r="7628" spans="1:13" hidden="1" x14ac:dyDescent="0.15">
      <c r="A7628" t="s">
        <v>23880</v>
      </c>
      <c r="B7628" t="s">
        <v>23881</v>
      </c>
      <c r="C7628" t="s">
        <v>23882</v>
      </c>
      <c r="D7628" t="s">
        <v>23883</v>
      </c>
      <c r="E7628">
        <v>3</v>
      </c>
      <c r="F7628" t="str">
        <f>HYPERLINK("https://github.com/google/ExoPlayer/issues/6776", "show")</f>
        <v>show</v>
      </c>
      <c r="G7628" t="str">
        <f>HYPERLINK("https://github.com/google/ExoPlayer", "show")</f>
        <v>show</v>
      </c>
      <c r="H7628" t="str">
        <f>HYPERLINK("https://github.com/google/ExoPlayer/releases", "show")</f>
        <v>show</v>
      </c>
      <c r="I7628">
        <v>1</v>
      </c>
      <c r="J7628">
        <v>1</v>
      </c>
      <c r="K7628">
        <v>1</v>
      </c>
      <c r="L7628">
        <v>0</v>
      </c>
      <c r="M7628" t="s">
        <v>59</v>
      </c>
    </row>
    <row r="7629" spans="1:13" hidden="1" x14ac:dyDescent="0.15">
      <c r="A7629" t="s">
        <v>23884</v>
      </c>
      <c r="B7629" t="s">
        <v>23885</v>
      </c>
      <c r="C7629" t="s">
        <v>23886</v>
      </c>
      <c r="D7629" t="s">
        <v>23883</v>
      </c>
      <c r="E7629">
        <v>3</v>
      </c>
      <c r="F7629" t="str">
        <f>HYPERLINK("https://github.com/google/ExoPlayer/issues/6775", "show")</f>
        <v>show</v>
      </c>
      <c r="G7629" t="str">
        <f>HYPERLINK("https://github.com/google/ExoPlayer", "show")</f>
        <v>show</v>
      </c>
      <c r="H7629" t="str">
        <f>HYPERLINK("https://github.com/google/ExoPlayer/releases", "show")</f>
        <v>show</v>
      </c>
      <c r="I7629">
        <v>1</v>
      </c>
      <c r="J7629">
        <v>1</v>
      </c>
      <c r="K7629">
        <v>1</v>
      </c>
      <c r="L7629">
        <v>0</v>
      </c>
      <c r="M7629" t="s">
        <v>59</v>
      </c>
    </row>
    <row r="7630" spans="1:13" hidden="1" x14ac:dyDescent="0.15">
      <c r="A7630" t="s">
        <v>23887</v>
      </c>
      <c r="B7630" t="s">
        <v>23888</v>
      </c>
      <c r="C7630" t="s">
        <v>23889</v>
      </c>
      <c r="D7630" t="s">
        <v>23883</v>
      </c>
      <c r="E7630">
        <v>703</v>
      </c>
      <c r="F7630" t="str">
        <f>HYPERLINK("https://github.com/applivery/applivery-android-sdk/issues/52", "show")</f>
        <v>show</v>
      </c>
      <c r="G7630" t="str">
        <f>HYPERLINK("https://github.com/applivery/applivery-android-sdk", "show")</f>
        <v>show</v>
      </c>
      <c r="H7630" t="str">
        <f>HYPERLINK("https://github.com/applivery/applivery-android-sdk/releases", "show")</f>
        <v>show</v>
      </c>
      <c r="I7630">
        <v>1</v>
      </c>
      <c r="J7630">
        <v>0</v>
      </c>
      <c r="K7630">
        <v>0</v>
      </c>
      <c r="L7630">
        <v>0</v>
      </c>
      <c r="M7630" t="s">
        <v>17</v>
      </c>
    </row>
    <row r="7631" spans="1:13" x14ac:dyDescent="0.15">
      <c r="A7631" t="s">
        <v>23890</v>
      </c>
      <c r="B7631" t="s">
        <v>23891</v>
      </c>
      <c r="C7631" t="s">
        <v>23892</v>
      </c>
      <c r="D7631" t="s">
        <v>23893</v>
      </c>
      <c r="E7631">
        <v>700</v>
      </c>
      <c r="F7631" t="str">
        <f>HYPERLINK("https://github.com/nextcloud/android/issues/5016", "show")</f>
        <v>show</v>
      </c>
      <c r="G7631" t="str">
        <f>HYPERLINK("https://github.com/nextcloud/android", "show")</f>
        <v>show</v>
      </c>
      <c r="H7631" t="str">
        <f>HYPERLINK("https://github.com/nextcloud/android/releases", "show")</f>
        <v>show</v>
      </c>
      <c r="I7631">
        <v>0</v>
      </c>
      <c r="J7631">
        <v>1</v>
      </c>
      <c r="K7631">
        <v>0</v>
      </c>
      <c r="L7631">
        <v>0</v>
      </c>
      <c r="M7631" t="s">
        <v>139</v>
      </c>
    </row>
    <row r="7632" spans="1:13" hidden="1" x14ac:dyDescent="0.15">
      <c r="A7632" t="s">
        <v>23894</v>
      </c>
      <c r="B7632" t="s">
        <v>23895</v>
      </c>
      <c r="C7632" t="s">
        <v>23896</v>
      </c>
      <c r="D7632" t="s">
        <v>23893</v>
      </c>
      <c r="E7632">
        <v>0</v>
      </c>
      <c r="F7632" t="str">
        <f>HYPERLINK("https://github.com/square/okhttp/issues/5649", "show")</f>
        <v>show</v>
      </c>
      <c r="G7632" t="str">
        <f>HYPERLINK("https://github.com/square/okhttp", "show")</f>
        <v>show</v>
      </c>
      <c r="H7632" t="str">
        <f>HYPERLINK("https://github.com/square/okhttp/releases", "show")</f>
        <v>show</v>
      </c>
      <c r="I7632">
        <v>1</v>
      </c>
      <c r="J7632">
        <v>0</v>
      </c>
      <c r="K7632">
        <v>0</v>
      </c>
      <c r="L7632">
        <v>0</v>
      </c>
      <c r="M7632" t="s">
        <v>17</v>
      </c>
    </row>
    <row r="7633" spans="1:13" hidden="1" x14ac:dyDescent="0.15">
      <c r="A7633" t="s">
        <v>23897</v>
      </c>
      <c r="B7633" t="s">
        <v>23898</v>
      </c>
      <c r="C7633" t="s">
        <v>23899</v>
      </c>
      <c r="D7633" t="s">
        <v>23900</v>
      </c>
      <c r="E7633">
        <v>1</v>
      </c>
      <c r="F7633" t="str">
        <f>HYPERLINK("https://github.com/nextcloud/android/issues/5003", "show")</f>
        <v>show</v>
      </c>
      <c r="G7633" t="str">
        <f>HYPERLINK("https://github.com/nextcloud/android", "show")</f>
        <v>show</v>
      </c>
      <c r="H7633" t="str">
        <f>HYPERLINK("https://github.com/nextcloud/android/releases", "show")</f>
        <v>show</v>
      </c>
      <c r="I7633">
        <v>0</v>
      </c>
      <c r="J7633">
        <v>1</v>
      </c>
      <c r="K7633">
        <v>1</v>
      </c>
      <c r="L7633">
        <v>0</v>
      </c>
      <c r="M7633" t="s">
        <v>699</v>
      </c>
    </row>
    <row r="7634" spans="1:13" hidden="1" x14ac:dyDescent="0.15">
      <c r="A7634" t="s">
        <v>23901</v>
      </c>
      <c r="B7634" t="s">
        <v>23902</v>
      </c>
      <c r="C7634" t="s">
        <v>23903</v>
      </c>
      <c r="D7634" t="s">
        <v>23904</v>
      </c>
      <c r="E7634">
        <v>70</v>
      </c>
      <c r="F7634" t="str">
        <f>HYPERLINK("https://github.com/nextcloud/android/issues/5002", "show")</f>
        <v>show</v>
      </c>
      <c r="G7634" t="str">
        <f>HYPERLINK("https://github.com/nextcloud/android", "show")</f>
        <v>show</v>
      </c>
      <c r="H7634" t="str">
        <f>HYPERLINK("https://github.com/nextcloud/android/releases", "show")</f>
        <v>show</v>
      </c>
      <c r="I7634">
        <v>1</v>
      </c>
      <c r="J7634">
        <v>1</v>
      </c>
      <c r="K7634">
        <v>0</v>
      </c>
      <c r="L7634">
        <v>0</v>
      </c>
      <c r="M7634" t="s">
        <v>48</v>
      </c>
    </row>
    <row r="7635" spans="1:13" hidden="1" x14ac:dyDescent="0.15">
      <c r="A7635" t="s">
        <v>23905</v>
      </c>
      <c r="B7635" t="s">
        <v>23906</v>
      </c>
      <c r="C7635" t="s">
        <v>23907</v>
      </c>
      <c r="D7635" t="s">
        <v>23904</v>
      </c>
      <c r="E7635">
        <v>62</v>
      </c>
      <c r="F7635" t="str">
        <f>HYPERLINK("https://github.com/Neamar/KISS/issues/1312", "show")</f>
        <v>show</v>
      </c>
      <c r="G7635" t="str">
        <f>HYPERLINK("https://github.com/Neamar/KISS", "show")</f>
        <v>show</v>
      </c>
      <c r="H7635" t="str">
        <f>HYPERLINK("https://github.com/Neamar/KISS/releases", "show")</f>
        <v>show</v>
      </c>
      <c r="I7635">
        <v>1</v>
      </c>
      <c r="J7635">
        <v>0</v>
      </c>
      <c r="K7635">
        <v>0</v>
      </c>
      <c r="L7635">
        <v>1</v>
      </c>
      <c r="M7635" t="s">
        <v>29</v>
      </c>
    </row>
    <row r="7636" spans="1:13" hidden="1" x14ac:dyDescent="0.15">
      <c r="A7636" t="s">
        <v>23908</v>
      </c>
      <c r="B7636" t="s">
        <v>16147</v>
      </c>
      <c r="C7636" t="s">
        <v>23909</v>
      </c>
      <c r="D7636" t="s">
        <v>23904</v>
      </c>
      <c r="E7636">
        <v>4</v>
      </c>
      <c r="F7636" t="str">
        <f>HYPERLINK("https://github.com/ElderDrivers/EdXposed/issues/410", "show")</f>
        <v>show</v>
      </c>
      <c r="G7636" t="str">
        <f>HYPERLINK("https://github.com/ElderDrivers/EdXposed", "show")</f>
        <v>show</v>
      </c>
      <c r="H7636" t="str">
        <f>HYPERLINK("https://github.com/ElderDrivers/EdXposed/releases", "show")</f>
        <v>show</v>
      </c>
      <c r="I7636">
        <v>0</v>
      </c>
      <c r="J7636">
        <v>1</v>
      </c>
      <c r="K7636">
        <v>1</v>
      </c>
      <c r="L7636">
        <v>0</v>
      </c>
      <c r="M7636" t="s">
        <v>699</v>
      </c>
    </row>
    <row r="7637" spans="1:13" hidden="1" x14ac:dyDescent="0.15">
      <c r="A7637" t="s">
        <v>23910</v>
      </c>
      <c r="B7637" t="s">
        <v>23911</v>
      </c>
      <c r="C7637" t="s">
        <v>23912</v>
      </c>
      <c r="D7637" t="s">
        <v>23913</v>
      </c>
      <c r="E7637">
        <v>1</v>
      </c>
      <c r="F7637" t="str">
        <f>HYPERLINK("https://github.com/ostrya/PresencePublisher/issues/19", "show")</f>
        <v>show</v>
      </c>
      <c r="G7637" t="str">
        <f>HYPERLINK("https://github.com/ostrya/PresencePublisher", "show")</f>
        <v>show</v>
      </c>
      <c r="H7637" t="str">
        <f>HYPERLINK("https://github.com/ostrya/PresencePublisher/releases", "show")</f>
        <v>show</v>
      </c>
      <c r="I7637">
        <v>1</v>
      </c>
      <c r="J7637">
        <v>0</v>
      </c>
      <c r="K7637">
        <v>0</v>
      </c>
      <c r="L7637">
        <v>0</v>
      </c>
      <c r="M7637" t="s">
        <v>17</v>
      </c>
    </row>
    <row r="7638" spans="1:13" hidden="1" x14ac:dyDescent="0.15">
      <c r="A7638" t="s">
        <v>23914</v>
      </c>
      <c r="B7638" t="s">
        <v>23915</v>
      </c>
      <c r="C7638" t="s">
        <v>23916</v>
      </c>
      <c r="D7638" t="s">
        <v>23913</v>
      </c>
      <c r="E7638">
        <v>13</v>
      </c>
      <c r="F7638" t="str">
        <f>HYPERLINK("https://github.com/fossasia/open-event-organizer-android/issues/2001", "show")</f>
        <v>show</v>
      </c>
      <c r="G7638" t="str">
        <f>HYPERLINK("https://github.com/fossasia/open-event-organizer-android", "show")</f>
        <v>show</v>
      </c>
      <c r="H7638" t="str">
        <f>HYPERLINK("https://github.com/fossasia/open-event-organizer-android/releases", "show")</f>
        <v>show</v>
      </c>
      <c r="I7638">
        <v>1</v>
      </c>
      <c r="J7638">
        <v>1</v>
      </c>
      <c r="K7638">
        <v>1</v>
      </c>
      <c r="L7638">
        <v>0</v>
      </c>
      <c r="M7638" t="s">
        <v>59</v>
      </c>
    </row>
    <row r="7639" spans="1:13" hidden="1" x14ac:dyDescent="0.15">
      <c r="A7639" t="s">
        <v>23917</v>
      </c>
      <c r="B7639" t="s">
        <v>23918</v>
      </c>
      <c r="C7639" t="s">
        <v>23919</v>
      </c>
      <c r="D7639" t="s">
        <v>23913</v>
      </c>
      <c r="E7639">
        <v>6</v>
      </c>
      <c r="F7639" t="str">
        <f>HYPERLINK("https://github.com/nextcloud/android/issues/4999", "show")</f>
        <v>show</v>
      </c>
      <c r="G7639" t="str">
        <f>HYPERLINK("https://github.com/nextcloud/android", "show")</f>
        <v>show</v>
      </c>
      <c r="H7639" t="str">
        <f>HYPERLINK("https://github.com/nextcloud/android/releases", "show")</f>
        <v>show</v>
      </c>
      <c r="I7639">
        <v>1</v>
      </c>
      <c r="J7639">
        <v>0</v>
      </c>
      <c r="K7639">
        <v>0</v>
      </c>
      <c r="L7639">
        <v>0</v>
      </c>
      <c r="M7639" t="s">
        <v>17</v>
      </c>
    </row>
    <row r="7640" spans="1:13" hidden="1" x14ac:dyDescent="0.15">
      <c r="A7640" t="s">
        <v>23920</v>
      </c>
      <c r="B7640" t="s">
        <v>23921</v>
      </c>
      <c r="C7640" t="s">
        <v>12185</v>
      </c>
      <c r="D7640" t="s">
        <v>23913</v>
      </c>
      <c r="E7640">
        <v>287</v>
      </c>
      <c r="F7640" t="str">
        <f>HYPERLINK("https://github.com/nextcloud/android/issues/4996", "show")</f>
        <v>show</v>
      </c>
      <c r="G7640" t="str">
        <f>HYPERLINK("https://github.com/nextcloud/android", "show")</f>
        <v>show</v>
      </c>
      <c r="H7640" t="str">
        <f>HYPERLINK("https://github.com/nextcloud/android/releases", "show")</f>
        <v>show</v>
      </c>
      <c r="I7640">
        <v>1</v>
      </c>
      <c r="J7640">
        <v>0</v>
      </c>
      <c r="K7640">
        <v>1</v>
      </c>
      <c r="L7640">
        <v>0</v>
      </c>
      <c r="M7640" t="s">
        <v>64</v>
      </c>
    </row>
    <row r="7641" spans="1:13" hidden="1" x14ac:dyDescent="0.15">
      <c r="A7641" t="s">
        <v>23922</v>
      </c>
      <c r="B7641" t="s">
        <v>23923</v>
      </c>
      <c r="C7641" t="s">
        <v>23924</v>
      </c>
      <c r="D7641" t="s">
        <v>23913</v>
      </c>
      <c r="E7641">
        <v>0</v>
      </c>
      <c r="F7641" t="str">
        <f>HYPERLINK("https://github.com/opensrp/opensrp-client-immunization/issues/113", "show")</f>
        <v>show</v>
      </c>
      <c r="G7641" t="str">
        <f>HYPERLINK("https://github.com/opensrp/opensrp-client-immunization", "show")</f>
        <v>show</v>
      </c>
      <c r="H7641" t="str">
        <f>HYPERLINK("https://github.com/opensrp/opensrp-client-immunization/releases", "show")</f>
        <v>show</v>
      </c>
      <c r="I7641">
        <v>1</v>
      </c>
      <c r="J7641">
        <v>0</v>
      </c>
      <c r="K7641">
        <v>0</v>
      </c>
      <c r="L7641">
        <v>0</v>
      </c>
      <c r="M7641" t="s">
        <v>17</v>
      </c>
    </row>
    <row r="7642" spans="1:13" hidden="1" x14ac:dyDescent="0.15">
      <c r="A7642" t="s">
        <v>23925</v>
      </c>
      <c r="B7642" t="s">
        <v>23926</v>
      </c>
      <c r="C7642" t="s">
        <v>23927</v>
      </c>
      <c r="D7642" t="s">
        <v>23913</v>
      </c>
      <c r="E7642">
        <v>60</v>
      </c>
      <c r="F7642" t="str">
        <f>HYPERLINK("https://github.com/MartyrPher/SMAPI-Android-Installer/issues/39", "show")</f>
        <v>show</v>
      </c>
      <c r="G7642" t="str">
        <f>HYPERLINK("https://github.com/MartyrPher/SMAPI-Android-Installer", "show")</f>
        <v>show</v>
      </c>
      <c r="H7642" t="str">
        <f>HYPERLINK("https://github.com/MartyrPher/SMAPI-Android-Installer/releases", "show")</f>
        <v>show</v>
      </c>
      <c r="I7642">
        <v>1</v>
      </c>
      <c r="J7642">
        <v>0</v>
      </c>
      <c r="K7642">
        <v>0</v>
      </c>
      <c r="L7642">
        <v>0</v>
      </c>
      <c r="M7642" t="s">
        <v>17</v>
      </c>
    </row>
    <row r="7643" spans="1:13" hidden="1" x14ac:dyDescent="0.15">
      <c r="A7643" t="s">
        <v>23928</v>
      </c>
      <c r="B7643" t="s">
        <v>23929</v>
      </c>
      <c r="C7643" t="s">
        <v>23930</v>
      </c>
      <c r="D7643" t="s">
        <v>23931</v>
      </c>
      <c r="E7643">
        <v>0</v>
      </c>
      <c r="F7643" t="str">
        <f>HYPERLINK("https://github.com/ElderDrivers/EdXposed/issues/409", "show")</f>
        <v>show</v>
      </c>
      <c r="G7643" t="str">
        <f>HYPERLINK("https://github.com/ElderDrivers/EdXposed", "show")</f>
        <v>show</v>
      </c>
      <c r="H7643" t="str">
        <f>HYPERLINK("https://github.com/ElderDrivers/EdXposed/releases", "show")</f>
        <v>show</v>
      </c>
      <c r="I7643">
        <v>0</v>
      </c>
      <c r="J7643">
        <v>1</v>
      </c>
      <c r="K7643">
        <v>1</v>
      </c>
      <c r="L7643">
        <v>0</v>
      </c>
      <c r="M7643" t="s">
        <v>699</v>
      </c>
    </row>
    <row r="7644" spans="1:13" hidden="1" x14ac:dyDescent="0.15">
      <c r="A7644" t="s">
        <v>23932</v>
      </c>
      <c r="B7644" t="s">
        <v>23933</v>
      </c>
      <c r="C7644" t="s">
        <v>23934</v>
      </c>
      <c r="D7644" t="s">
        <v>23931</v>
      </c>
      <c r="E7644">
        <v>1</v>
      </c>
      <c r="F7644" t="str">
        <f>HYPERLINK("https://github.com/hzi-braunschweig/SORMAS-Project/issues/1419", "show")</f>
        <v>show</v>
      </c>
      <c r="G7644" t="str">
        <f>HYPERLINK("https://github.com/hzi-braunschweig/SORMAS-Project", "show")</f>
        <v>show</v>
      </c>
      <c r="H7644" t="str">
        <f>HYPERLINK("https://github.com/hzi-braunschweig/SORMAS-Project/releases", "show")</f>
        <v>show</v>
      </c>
      <c r="I7644">
        <v>0</v>
      </c>
      <c r="J7644">
        <v>0</v>
      </c>
      <c r="K7644">
        <v>0</v>
      </c>
      <c r="L7644">
        <v>1</v>
      </c>
      <c r="M7644" t="s">
        <v>581</v>
      </c>
    </row>
    <row r="7645" spans="1:13" hidden="1" x14ac:dyDescent="0.15">
      <c r="A7645" t="s">
        <v>23935</v>
      </c>
      <c r="B7645" t="s">
        <v>23936</v>
      </c>
      <c r="C7645" t="s">
        <v>23937</v>
      </c>
      <c r="D7645" t="s">
        <v>23931</v>
      </c>
      <c r="E7645">
        <v>0</v>
      </c>
      <c r="F7645" t="str">
        <f>HYPERLINK("https://github.com/niranjan-nagaraju/notification-center/issues/7", "show")</f>
        <v>show</v>
      </c>
      <c r="G7645" t="str">
        <f>HYPERLINK("https://github.com/niranjan-nagaraju/notification-center", "show")</f>
        <v>show</v>
      </c>
      <c r="H7645" t="str">
        <f>HYPERLINK("https://github.com/niranjan-nagaraju/notification-center/releases", "show")</f>
        <v>show</v>
      </c>
      <c r="I7645">
        <v>1</v>
      </c>
      <c r="J7645">
        <v>0</v>
      </c>
      <c r="K7645">
        <v>1</v>
      </c>
      <c r="L7645">
        <v>0</v>
      </c>
      <c r="M7645" t="s">
        <v>64</v>
      </c>
    </row>
    <row r="7646" spans="1:13" hidden="1" x14ac:dyDescent="0.15">
      <c r="A7646" t="s">
        <v>23938</v>
      </c>
      <c r="B7646" t="s">
        <v>23939</v>
      </c>
      <c r="C7646" t="s">
        <v>23940</v>
      </c>
      <c r="D7646" t="s">
        <v>23931</v>
      </c>
      <c r="E7646">
        <v>26</v>
      </c>
      <c r="F7646" t="str">
        <f>HYPERLINK("https://github.com/forrestguice/SuntimesWidget/issues/376", "show")</f>
        <v>show</v>
      </c>
      <c r="G7646" t="str">
        <f>HYPERLINK("https://github.com/forrestguice/SuntimesWidget", "show")</f>
        <v>show</v>
      </c>
      <c r="H7646" t="str">
        <f>HYPERLINK("https://github.com/forrestguice/SuntimesWidget/releases", "show")</f>
        <v>show</v>
      </c>
      <c r="I7646">
        <v>1</v>
      </c>
      <c r="J7646">
        <v>1</v>
      </c>
      <c r="K7646">
        <v>1</v>
      </c>
      <c r="L7646">
        <v>0</v>
      </c>
      <c r="M7646" t="s">
        <v>59</v>
      </c>
    </row>
    <row r="7647" spans="1:13" hidden="1" x14ac:dyDescent="0.15">
      <c r="A7647" t="s">
        <v>23941</v>
      </c>
      <c r="B7647" t="s">
        <v>23942</v>
      </c>
      <c r="D7647" t="s">
        <v>23931</v>
      </c>
      <c r="E7647">
        <v>16</v>
      </c>
      <c r="F7647" t="str">
        <f>HYPERLINK("https://github.com/isurunuwanthilaka/d2d-app-android/issues/39", "show")</f>
        <v>show</v>
      </c>
      <c r="G7647" t="str">
        <f>HYPERLINK("https://github.com/isurunuwanthilaka/d2d-app-android", "show")</f>
        <v>show</v>
      </c>
      <c r="H7647" t="str">
        <f>HYPERLINK("https://github.com/isurunuwanthilaka/d2d-app-android/releases", "show")</f>
        <v>show</v>
      </c>
      <c r="I7647">
        <v>0</v>
      </c>
      <c r="J7647">
        <v>0</v>
      </c>
      <c r="K7647">
        <v>0</v>
      </c>
      <c r="L7647">
        <v>0</v>
      </c>
      <c r="M7647" t="s">
        <v>43</v>
      </c>
    </row>
    <row r="7648" spans="1:13" hidden="1" x14ac:dyDescent="0.15">
      <c r="A7648" t="s">
        <v>23943</v>
      </c>
      <c r="B7648" t="s">
        <v>23944</v>
      </c>
      <c r="C7648" t="s">
        <v>23945</v>
      </c>
      <c r="D7648" t="s">
        <v>23931</v>
      </c>
      <c r="E7648">
        <v>5</v>
      </c>
      <c r="F7648" t="str">
        <f>HYPERLINK("https://github.com/bilde2910/Hauk/issues/100", "show")</f>
        <v>show</v>
      </c>
      <c r="G7648" t="str">
        <f>HYPERLINK("https://github.com/bilde2910/Hauk", "show")</f>
        <v>show</v>
      </c>
      <c r="H7648" t="str">
        <f>HYPERLINK("https://github.com/bilde2910/Hauk/releases", "show")</f>
        <v>show</v>
      </c>
      <c r="I7648">
        <v>0</v>
      </c>
      <c r="J7648">
        <v>0</v>
      </c>
      <c r="K7648">
        <v>1</v>
      </c>
      <c r="L7648">
        <v>0</v>
      </c>
      <c r="M7648" t="s">
        <v>122</v>
      </c>
    </row>
    <row r="7649" spans="1:13" hidden="1" x14ac:dyDescent="0.15">
      <c r="A7649" t="s">
        <v>23946</v>
      </c>
      <c r="B7649" t="s">
        <v>23947</v>
      </c>
      <c r="C7649" t="s">
        <v>23948</v>
      </c>
      <c r="D7649" t="s">
        <v>23931</v>
      </c>
      <c r="E7649">
        <v>0</v>
      </c>
      <c r="F7649" t="str">
        <f>HYPERLINK("https://github.com/deltachat/deltachat-android/issues/1158", "show")</f>
        <v>show</v>
      </c>
      <c r="G7649" t="str">
        <f>HYPERLINK("https://github.com/deltachat/deltachat-android", "show")</f>
        <v>show</v>
      </c>
      <c r="H7649" t="str">
        <f>HYPERLINK("https://github.com/deltachat/deltachat-android/releases", "show")</f>
        <v>show</v>
      </c>
      <c r="I7649">
        <v>1</v>
      </c>
      <c r="J7649">
        <v>0</v>
      </c>
      <c r="K7649">
        <v>0</v>
      </c>
      <c r="L7649">
        <v>0</v>
      </c>
      <c r="M7649" t="s">
        <v>17</v>
      </c>
    </row>
    <row r="7650" spans="1:13" hidden="1" x14ac:dyDescent="0.15">
      <c r="A7650" t="s">
        <v>23949</v>
      </c>
      <c r="B7650" t="s">
        <v>23950</v>
      </c>
      <c r="C7650" t="s">
        <v>23951</v>
      </c>
      <c r="D7650" t="s">
        <v>23931</v>
      </c>
      <c r="E7650">
        <v>5</v>
      </c>
      <c r="F7650" t="str">
        <f>HYPERLINK("https://github.com/k9mail/k-9/issues/4359", "show")</f>
        <v>show</v>
      </c>
      <c r="G7650" t="str">
        <f>HYPERLINK("https://github.com/k9mail/k-9", "show")</f>
        <v>show</v>
      </c>
      <c r="H7650" t="str">
        <f>HYPERLINK("https://github.com/k9mail/k-9/releases", "show")</f>
        <v>show</v>
      </c>
      <c r="I7650">
        <v>1</v>
      </c>
      <c r="J7650">
        <v>1</v>
      </c>
      <c r="K7650">
        <v>0</v>
      </c>
      <c r="L7650">
        <v>0</v>
      </c>
      <c r="M7650" t="s">
        <v>48</v>
      </c>
    </row>
    <row r="7651" spans="1:13" hidden="1" x14ac:dyDescent="0.15">
      <c r="A7651" t="s">
        <v>23952</v>
      </c>
      <c r="B7651" t="s">
        <v>23953</v>
      </c>
      <c r="C7651" t="s">
        <v>23954</v>
      </c>
      <c r="D7651" t="s">
        <v>23955</v>
      </c>
      <c r="E7651">
        <v>0</v>
      </c>
      <c r="F7651" t="str">
        <f>HYPERLINK("https://github.com/nextcloud/android/issues/4988", "show")</f>
        <v>show</v>
      </c>
      <c r="G7651" t="str">
        <f>HYPERLINK("https://github.com/nextcloud/android", "show")</f>
        <v>show</v>
      </c>
      <c r="H7651" t="str">
        <f>HYPERLINK("https://github.com/nextcloud/android/releases", "show")</f>
        <v>show</v>
      </c>
      <c r="I7651">
        <v>1</v>
      </c>
      <c r="J7651">
        <v>1</v>
      </c>
      <c r="K7651">
        <v>1</v>
      </c>
      <c r="L7651">
        <v>0</v>
      </c>
      <c r="M7651" t="s">
        <v>59</v>
      </c>
    </row>
    <row r="7652" spans="1:13" hidden="1" x14ac:dyDescent="0.15">
      <c r="A7652" t="s">
        <v>23956</v>
      </c>
      <c r="B7652" t="s">
        <v>23957</v>
      </c>
      <c r="C7652" t="s">
        <v>23958</v>
      </c>
      <c r="D7652" t="s">
        <v>23955</v>
      </c>
      <c r="E7652">
        <v>1</v>
      </c>
      <c r="F7652" t="str">
        <f>HYPERLINK("https://github.com/nextcloud/android/issues/4985", "show")</f>
        <v>show</v>
      </c>
      <c r="G7652" t="str">
        <f>HYPERLINK("https://github.com/nextcloud/android", "show")</f>
        <v>show</v>
      </c>
      <c r="H7652" t="str">
        <f>HYPERLINK("https://github.com/nextcloud/android/releases", "show")</f>
        <v>show</v>
      </c>
      <c r="I7652">
        <v>1</v>
      </c>
      <c r="J7652">
        <v>1</v>
      </c>
      <c r="K7652">
        <v>1</v>
      </c>
      <c r="L7652">
        <v>0</v>
      </c>
      <c r="M7652" t="s">
        <v>59</v>
      </c>
    </row>
    <row r="7653" spans="1:13" hidden="1" x14ac:dyDescent="0.15">
      <c r="A7653" t="s">
        <v>23959</v>
      </c>
      <c r="B7653" t="s">
        <v>23960</v>
      </c>
      <c r="C7653" t="s">
        <v>23961</v>
      </c>
      <c r="D7653" t="s">
        <v>23955</v>
      </c>
      <c r="E7653">
        <v>9</v>
      </c>
      <c r="F7653" t="str">
        <f>HYPERLINK("https://github.com/nextcloud/android/issues/4984", "show")</f>
        <v>show</v>
      </c>
      <c r="G7653" t="str">
        <f>HYPERLINK("https://github.com/nextcloud/android", "show")</f>
        <v>show</v>
      </c>
      <c r="H7653" t="str">
        <f>HYPERLINK("https://github.com/nextcloud/android/releases", "show")</f>
        <v>show</v>
      </c>
      <c r="I7653">
        <v>0</v>
      </c>
      <c r="J7653">
        <v>1</v>
      </c>
      <c r="K7653">
        <v>1</v>
      </c>
      <c r="L7653">
        <v>0</v>
      </c>
      <c r="M7653" t="s">
        <v>699</v>
      </c>
    </row>
    <row r="7654" spans="1:13" hidden="1" x14ac:dyDescent="0.15">
      <c r="A7654" t="s">
        <v>23962</v>
      </c>
      <c r="B7654" t="s">
        <v>23963</v>
      </c>
      <c r="C7654" t="s">
        <v>23964</v>
      </c>
      <c r="D7654" t="s">
        <v>23955</v>
      </c>
      <c r="E7654">
        <v>181</v>
      </c>
      <c r="F7654" t="str">
        <f>HYPERLINK("https://github.com/ankidroid/Anki-Android/issues/5655", "show")</f>
        <v>show</v>
      </c>
      <c r="G7654" t="str">
        <f>HYPERLINK("https://github.com/ankidroid/Anki-Android", "show")</f>
        <v>show</v>
      </c>
      <c r="H7654" t="str">
        <f>HYPERLINK("https://github.com/ankidroid/Anki-Android/releases", "show")</f>
        <v>show</v>
      </c>
      <c r="I7654">
        <v>1</v>
      </c>
      <c r="J7654">
        <v>1</v>
      </c>
      <c r="K7654">
        <v>1</v>
      </c>
      <c r="L7654">
        <v>0</v>
      </c>
      <c r="M7654" t="s">
        <v>59</v>
      </c>
    </row>
    <row r="7655" spans="1:13" hidden="1" x14ac:dyDescent="0.15">
      <c r="A7655" t="s">
        <v>23965</v>
      </c>
      <c r="B7655" t="s">
        <v>23966</v>
      </c>
      <c r="C7655" t="s">
        <v>23967</v>
      </c>
      <c r="D7655" t="s">
        <v>23955</v>
      </c>
      <c r="E7655">
        <v>104</v>
      </c>
      <c r="F7655" t="str">
        <f>HYPERLINK("https://github.com/nextcloud/android/issues/4981", "show")</f>
        <v>show</v>
      </c>
      <c r="G7655" t="str">
        <f>HYPERLINK("https://github.com/nextcloud/android", "show")</f>
        <v>show</v>
      </c>
      <c r="H7655" t="str">
        <f>HYPERLINK("https://github.com/nextcloud/android/releases", "show")</f>
        <v>show</v>
      </c>
      <c r="I7655">
        <v>1</v>
      </c>
      <c r="J7655">
        <v>0</v>
      </c>
      <c r="K7655">
        <v>0</v>
      </c>
      <c r="L7655">
        <v>0</v>
      </c>
      <c r="M7655" t="s">
        <v>17</v>
      </c>
    </row>
    <row r="7656" spans="1:13" hidden="1" x14ac:dyDescent="0.15">
      <c r="A7656" t="s">
        <v>23968</v>
      </c>
      <c r="B7656" t="s">
        <v>23969</v>
      </c>
      <c r="C7656" t="s">
        <v>23970</v>
      </c>
      <c r="D7656" t="s">
        <v>23971</v>
      </c>
      <c r="E7656">
        <v>87</v>
      </c>
      <c r="F7656" t="str">
        <f>HYPERLINK("https://github.com/Piwigo/Piwigo-Android/issues/213", "show")</f>
        <v>show</v>
      </c>
      <c r="G7656" t="str">
        <f>HYPERLINK("https://github.com/Piwigo/Piwigo-Android", "show")</f>
        <v>show</v>
      </c>
      <c r="H7656" t="str">
        <f>HYPERLINK("https://github.com/Piwigo/Piwigo-Android/releases", "show")</f>
        <v>show</v>
      </c>
      <c r="I7656">
        <v>1</v>
      </c>
      <c r="J7656">
        <v>0</v>
      </c>
      <c r="K7656">
        <v>1</v>
      </c>
      <c r="L7656">
        <v>0</v>
      </c>
      <c r="M7656" t="s">
        <v>64</v>
      </c>
    </row>
    <row r="7657" spans="1:13" hidden="1" x14ac:dyDescent="0.15">
      <c r="A7657" t="s">
        <v>23972</v>
      </c>
      <c r="B7657" t="s">
        <v>23973</v>
      </c>
      <c r="C7657" t="s">
        <v>23974</v>
      </c>
      <c r="D7657" t="s">
        <v>23971</v>
      </c>
      <c r="E7657">
        <v>0</v>
      </c>
      <c r="F7657" t="str">
        <f>HYPERLINK("https://github.com/nextcloud/android/issues/4972", "show")</f>
        <v>show</v>
      </c>
      <c r="G7657" t="str">
        <f>HYPERLINK("https://github.com/nextcloud/android", "show")</f>
        <v>show</v>
      </c>
      <c r="H7657" t="str">
        <f>HYPERLINK("https://github.com/nextcloud/android/releases", "show")</f>
        <v>show</v>
      </c>
      <c r="I7657">
        <v>1</v>
      </c>
      <c r="J7657">
        <v>1</v>
      </c>
      <c r="K7657">
        <v>1</v>
      </c>
      <c r="L7657">
        <v>0</v>
      </c>
      <c r="M7657" t="s">
        <v>59</v>
      </c>
    </row>
    <row r="7658" spans="1:13" hidden="1" x14ac:dyDescent="0.15">
      <c r="A7658" t="s">
        <v>23975</v>
      </c>
      <c r="B7658" t="s">
        <v>23976</v>
      </c>
      <c r="D7658" t="s">
        <v>23977</v>
      </c>
      <c r="E7658">
        <v>0</v>
      </c>
      <c r="F7658" t="str">
        <f>HYPERLINK("https://github.com/myxor/WhoRules/issues/11", "show")</f>
        <v>show</v>
      </c>
      <c r="G7658" t="str">
        <f>HYPERLINK("https://github.com/myxor/WhoRules", "show")</f>
        <v>show</v>
      </c>
      <c r="H7658" t="str">
        <f>HYPERLINK("https://github.com/myxor/WhoRules/releases", "show")</f>
        <v>show</v>
      </c>
      <c r="I7658">
        <v>1</v>
      </c>
      <c r="J7658">
        <v>0</v>
      </c>
      <c r="K7658">
        <v>0</v>
      </c>
      <c r="L7658">
        <v>0</v>
      </c>
      <c r="M7658" t="s">
        <v>17</v>
      </c>
    </row>
    <row r="7659" spans="1:13" hidden="1" x14ac:dyDescent="0.15">
      <c r="A7659" t="s">
        <v>23978</v>
      </c>
      <c r="B7659" t="s">
        <v>23979</v>
      </c>
      <c r="C7659" t="s">
        <v>23980</v>
      </c>
      <c r="D7659" t="s">
        <v>23977</v>
      </c>
      <c r="E7659">
        <v>136</v>
      </c>
      <c r="F7659" t="str">
        <f>HYPERLINK("https://github.com/fossasia/pslab-android/issues/2019", "show")</f>
        <v>show</v>
      </c>
      <c r="G7659" t="str">
        <f>HYPERLINK("https://github.com/fossasia/pslab-android", "show")</f>
        <v>show</v>
      </c>
      <c r="H7659" t="str">
        <f>HYPERLINK("https://github.com/fossasia/pslab-android/releases", "show")</f>
        <v>show</v>
      </c>
      <c r="I7659">
        <v>1</v>
      </c>
      <c r="J7659">
        <v>1</v>
      </c>
      <c r="K7659">
        <v>0</v>
      </c>
      <c r="L7659">
        <v>1</v>
      </c>
      <c r="M7659" t="s">
        <v>1894</v>
      </c>
    </row>
    <row r="7660" spans="1:13" hidden="1" x14ac:dyDescent="0.15">
      <c r="A7660" t="s">
        <v>23981</v>
      </c>
      <c r="B7660" t="s">
        <v>23982</v>
      </c>
      <c r="C7660" t="s">
        <v>23983</v>
      </c>
      <c r="D7660" t="s">
        <v>23977</v>
      </c>
      <c r="E7660">
        <v>307</v>
      </c>
      <c r="F7660" t="str">
        <f>HYPERLINK("https://github.com/commons-app/apps-android-commons/issues/3288", "show")</f>
        <v>show</v>
      </c>
      <c r="G7660" t="str">
        <f>HYPERLINK("https://github.com/commons-app/apps-android-commons", "show")</f>
        <v>show</v>
      </c>
      <c r="H7660" t="str">
        <f>HYPERLINK("https://github.com/commons-app/apps-android-commons/releases", "show")</f>
        <v>show</v>
      </c>
      <c r="I7660">
        <v>1</v>
      </c>
      <c r="J7660">
        <v>0</v>
      </c>
      <c r="K7660">
        <v>1</v>
      </c>
      <c r="L7660">
        <v>0</v>
      </c>
      <c r="M7660" t="s">
        <v>64</v>
      </c>
    </row>
    <row r="7661" spans="1:13" hidden="1" x14ac:dyDescent="0.15">
      <c r="A7661" t="s">
        <v>23984</v>
      </c>
      <c r="B7661" t="s">
        <v>7086</v>
      </c>
      <c r="C7661" t="s">
        <v>23985</v>
      </c>
      <c r="D7661" t="s">
        <v>23977</v>
      </c>
      <c r="E7661">
        <v>40</v>
      </c>
      <c r="F7661" t="str">
        <f>HYPERLINK("https://github.com/fossasia/pslab-android/issues/2017", "show")</f>
        <v>show</v>
      </c>
      <c r="G7661" t="str">
        <f>HYPERLINK("https://github.com/fossasia/pslab-android", "show")</f>
        <v>show</v>
      </c>
      <c r="H7661" t="str">
        <f>HYPERLINK("https://github.com/fossasia/pslab-android/releases", "show")</f>
        <v>show</v>
      </c>
      <c r="I7661">
        <v>1</v>
      </c>
      <c r="J7661">
        <v>0</v>
      </c>
      <c r="K7661">
        <v>0</v>
      </c>
      <c r="L7661">
        <v>1</v>
      </c>
      <c r="M7661" t="s">
        <v>29</v>
      </c>
    </row>
    <row r="7662" spans="1:13" hidden="1" x14ac:dyDescent="0.15">
      <c r="A7662" t="s">
        <v>23986</v>
      </c>
      <c r="B7662" t="s">
        <v>23987</v>
      </c>
      <c r="C7662" t="s">
        <v>23988</v>
      </c>
      <c r="D7662" t="s">
        <v>23977</v>
      </c>
      <c r="E7662">
        <v>0</v>
      </c>
      <c r="F7662" t="str">
        <f>HYPERLINK("https://github.com/google/ExoPlayer/issues/6738", "show")</f>
        <v>show</v>
      </c>
      <c r="G7662" t="str">
        <f>HYPERLINK("https://github.com/google/ExoPlayer", "show")</f>
        <v>show</v>
      </c>
      <c r="H7662" t="str">
        <f>HYPERLINK("https://github.com/google/ExoPlayer/releases", "show")</f>
        <v>show</v>
      </c>
      <c r="I7662">
        <v>1</v>
      </c>
      <c r="J7662">
        <v>0</v>
      </c>
      <c r="K7662">
        <v>1</v>
      </c>
      <c r="L7662">
        <v>0</v>
      </c>
      <c r="M7662" t="s">
        <v>64</v>
      </c>
    </row>
    <row r="7663" spans="1:13" hidden="1" x14ac:dyDescent="0.15">
      <c r="A7663" t="s">
        <v>23989</v>
      </c>
      <c r="B7663" t="s">
        <v>23990</v>
      </c>
      <c r="C7663" t="s">
        <v>23991</v>
      </c>
      <c r="D7663" t="s">
        <v>23977</v>
      </c>
      <c r="E7663">
        <v>2</v>
      </c>
      <c r="F7663" t="str">
        <f>HYPERLINK("https://github.com/nextcloud/android/issues/4968", "show")</f>
        <v>show</v>
      </c>
      <c r="G7663" t="str">
        <f>HYPERLINK("https://github.com/nextcloud/android", "show")</f>
        <v>show</v>
      </c>
      <c r="H7663" t="str">
        <f>HYPERLINK("https://github.com/nextcloud/android/releases", "show")</f>
        <v>show</v>
      </c>
      <c r="I7663">
        <v>1</v>
      </c>
      <c r="J7663">
        <v>0</v>
      </c>
      <c r="K7663">
        <v>1</v>
      </c>
      <c r="L7663">
        <v>0</v>
      </c>
      <c r="M7663" t="s">
        <v>64</v>
      </c>
    </row>
    <row r="7664" spans="1:13" hidden="1" x14ac:dyDescent="0.15">
      <c r="A7664" t="s">
        <v>23992</v>
      </c>
      <c r="B7664" t="s">
        <v>23993</v>
      </c>
      <c r="C7664" t="s">
        <v>23994</v>
      </c>
      <c r="D7664" t="s">
        <v>23995</v>
      </c>
      <c r="E7664">
        <v>0</v>
      </c>
      <c r="F7664" t="str">
        <f>HYPERLINK("https://github.com/nextcloud/android/issues/4967", "show")</f>
        <v>show</v>
      </c>
      <c r="G7664" t="str">
        <f>HYPERLINK("https://github.com/nextcloud/android", "show")</f>
        <v>show</v>
      </c>
      <c r="H7664" t="str">
        <f>HYPERLINK("https://github.com/nextcloud/android/releases", "show")</f>
        <v>show</v>
      </c>
      <c r="I7664">
        <v>1</v>
      </c>
      <c r="J7664">
        <v>1</v>
      </c>
      <c r="K7664">
        <v>0</v>
      </c>
      <c r="L7664">
        <v>0</v>
      </c>
      <c r="M7664" t="s">
        <v>48</v>
      </c>
    </row>
    <row r="7665" spans="1:13" hidden="1" x14ac:dyDescent="0.15">
      <c r="A7665" t="s">
        <v>23996</v>
      </c>
      <c r="B7665" t="s">
        <v>23997</v>
      </c>
      <c r="C7665" t="s">
        <v>23998</v>
      </c>
      <c r="D7665" t="s">
        <v>23995</v>
      </c>
      <c r="E7665">
        <v>25</v>
      </c>
      <c r="F7665" t="str">
        <f>HYPERLINK("https://github.com/usabilla/usabilla-u4a-react-native/issues/87", "show")</f>
        <v>show</v>
      </c>
      <c r="G7665" t="str">
        <f>HYPERLINK("https://github.com/usabilla/usabilla-u4a-react-native", "show")</f>
        <v>show</v>
      </c>
      <c r="H7665" t="str">
        <f>HYPERLINK("https://github.com/usabilla/usabilla-u4a-react-native/releases", "show")</f>
        <v>show</v>
      </c>
      <c r="I7665">
        <v>1</v>
      </c>
      <c r="J7665">
        <v>1</v>
      </c>
      <c r="K7665">
        <v>0</v>
      </c>
      <c r="L7665">
        <v>0</v>
      </c>
      <c r="M7665" t="s">
        <v>48</v>
      </c>
    </row>
    <row r="7666" spans="1:13" hidden="1" x14ac:dyDescent="0.15">
      <c r="A7666" t="s">
        <v>23999</v>
      </c>
      <c r="B7666" t="s">
        <v>24000</v>
      </c>
      <c r="C7666" t="s">
        <v>24001</v>
      </c>
      <c r="D7666" t="s">
        <v>23995</v>
      </c>
      <c r="E7666">
        <v>378</v>
      </c>
      <c r="F7666" t="str">
        <f>HYPERLINK("https://github.com/libgdx/libgdx/issues/5857", "show")</f>
        <v>show</v>
      </c>
      <c r="G7666" t="str">
        <f>HYPERLINK("https://github.com/libgdx/libgdx", "show")</f>
        <v>show</v>
      </c>
      <c r="H7666" t="str">
        <f>HYPERLINK("https://github.com/libgdx/libgdx/releases", "show")</f>
        <v>show</v>
      </c>
      <c r="I7666">
        <v>1</v>
      </c>
      <c r="J7666">
        <v>0</v>
      </c>
      <c r="K7666">
        <v>0</v>
      </c>
      <c r="L7666">
        <v>0</v>
      </c>
      <c r="M7666" t="s">
        <v>17</v>
      </c>
    </row>
    <row r="7667" spans="1:13" hidden="1" x14ac:dyDescent="0.15">
      <c r="A7667" t="s">
        <v>24002</v>
      </c>
      <c r="B7667" t="s">
        <v>24003</v>
      </c>
      <c r="D7667" t="s">
        <v>24004</v>
      </c>
      <c r="E7667">
        <v>1</v>
      </c>
      <c r="F7667" t="str">
        <f>HYPERLINK("https://github.com/AlphaWallet/alpha-wallet-android/issues/1020", "show")</f>
        <v>show</v>
      </c>
      <c r="G7667" t="str">
        <f>HYPERLINK("https://github.com/AlphaWallet/alpha-wallet-android", "show")</f>
        <v>show</v>
      </c>
      <c r="H7667" t="str">
        <f>HYPERLINK("https://github.com/AlphaWallet/alpha-wallet-android/releases", "show")</f>
        <v>show</v>
      </c>
      <c r="I7667">
        <v>1</v>
      </c>
      <c r="J7667">
        <v>0</v>
      </c>
      <c r="K7667">
        <v>1</v>
      </c>
      <c r="L7667">
        <v>0</v>
      </c>
      <c r="M7667" t="s">
        <v>64</v>
      </c>
    </row>
    <row r="7668" spans="1:13" hidden="1" x14ac:dyDescent="0.15">
      <c r="A7668" t="s">
        <v>24005</v>
      </c>
      <c r="B7668" t="s">
        <v>24006</v>
      </c>
      <c r="C7668" t="s">
        <v>24007</v>
      </c>
      <c r="D7668" t="s">
        <v>24008</v>
      </c>
      <c r="E7668">
        <v>0</v>
      </c>
      <c r="F7668" t="str">
        <f>HYPERLINK("https://github.com/nextcloud/android/issues/4955", "show")</f>
        <v>show</v>
      </c>
      <c r="G7668" t="str">
        <f>HYPERLINK("https://github.com/nextcloud/android", "show")</f>
        <v>show</v>
      </c>
      <c r="H7668" t="str">
        <f>HYPERLINK("https://github.com/nextcloud/android/releases", "show")</f>
        <v>show</v>
      </c>
      <c r="I7668">
        <v>1</v>
      </c>
      <c r="J7668">
        <v>1</v>
      </c>
      <c r="K7668">
        <v>1</v>
      </c>
      <c r="L7668">
        <v>0</v>
      </c>
      <c r="M7668" t="s">
        <v>59</v>
      </c>
    </row>
    <row r="7669" spans="1:13" hidden="1" x14ac:dyDescent="0.15">
      <c r="A7669" t="s">
        <v>24009</v>
      </c>
      <c r="B7669" t="s">
        <v>24010</v>
      </c>
      <c r="C7669" t="s">
        <v>24011</v>
      </c>
      <c r="D7669" t="s">
        <v>24012</v>
      </c>
      <c r="E7669">
        <v>39</v>
      </c>
      <c r="F7669" t="str">
        <f>HYPERLINK("https://github.com/nextcloud/android/issues/4951", "show")</f>
        <v>show</v>
      </c>
      <c r="G7669" t="str">
        <f>HYPERLINK("https://github.com/nextcloud/android", "show")</f>
        <v>show</v>
      </c>
      <c r="H7669" t="str">
        <f>HYPERLINK("https://github.com/nextcloud/android/releases", "show")</f>
        <v>show</v>
      </c>
      <c r="I7669">
        <v>0</v>
      </c>
      <c r="J7669">
        <v>0</v>
      </c>
      <c r="K7669">
        <v>1</v>
      </c>
      <c r="L7669">
        <v>0</v>
      </c>
      <c r="M7669" t="s">
        <v>122</v>
      </c>
    </row>
    <row r="7670" spans="1:13" x14ac:dyDescent="0.15">
      <c r="A7670" t="s">
        <v>24013</v>
      </c>
      <c r="B7670" t="s">
        <v>24014</v>
      </c>
      <c r="C7670" t="s">
        <v>24015</v>
      </c>
      <c r="D7670" t="s">
        <v>24012</v>
      </c>
      <c r="E7670">
        <v>0</v>
      </c>
      <c r="F7670" t="str">
        <f>HYPERLINK("https://github.com/andOTP/andOTP/issues/437", "show")</f>
        <v>show</v>
      </c>
      <c r="G7670" t="str">
        <f>HYPERLINK("https://github.com/andOTP/andOTP", "show")</f>
        <v>show</v>
      </c>
      <c r="H7670" t="str">
        <f>HYPERLINK("https://github.com/andOTP/andOTP/releases", "show")</f>
        <v>show</v>
      </c>
      <c r="I7670">
        <v>0</v>
      </c>
      <c r="J7670">
        <v>1</v>
      </c>
      <c r="K7670">
        <v>0</v>
      </c>
      <c r="L7670">
        <v>0</v>
      </c>
      <c r="M7670" t="s">
        <v>139</v>
      </c>
    </row>
    <row r="7671" spans="1:13" hidden="1" x14ac:dyDescent="0.15">
      <c r="A7671" t="s">
        <v>24016</v>
      </c>
      <c r="B7671" t="s">
        <v>24017</v>
      </c>
      <c r="C7671" t="s">
        <v>24018</v>
      </c>
      <c r="D7671" t="s">
        <v>24012</v>
      </c>
      <c r="E7671">
        <v>8</v>
      </c>
      <c r="F7671" t="str">
        <f>HYPERLINK("https://github.com/marksuth/indigenous-android/issues/264", "show")</f>
        <v>show</v>
      </c>
      <c r="G7671" t="str">
        <f>HYPERLINK("https://github.com/marksuth/indigenous-android", "show")</f>
        <v>show</v>
      </c>
      <c r="H7671" t="str">
        <f>HYPERLINK("https://github.com/marksuth/indigenous-android/releases", "show")</f>
        <v>show</v>
      </c>
      <c r="I7671">
        <v>1</v>
      </c>
      <c r="J7671">
        <v>0</v>
      </c>
      <c r="K7671">
        <v>0</v>
      </c>
      <c r="L7671">
        <v>0</v>
      </c>
      <c r="M7671" t="s">
        <v>17</v>
      </c>
    </row>
    <row r="7672" spans="1:13" hidden="1" x14ac:dyDescent="0.15">
      <c r="A7672" t="s">
        <v>24019</v>
      </c>
      <c r="B7672" t="s">
        <v>24020</v>
      </c>
      <c r="C7672" t="s">
        <v>24021</v>
      </c>
      <c r="D7672" t="s">
        <v>24012</v>
      </c>
      <c r="E7672">
        <v>0</v>
      </c>
      <c r="F7672" t="str">
        <f>HYPERLINK("https://github.com/tinode/tindroid/issues/67", "show")</f>
        <v>show</v>
      </c>
      <c r="G7672" t="str">
        <f>HYPERLINK("https://github.com/tinode/tindroid", "show")</f>
        <v>show</v>
      </c>
      <c r="H7672" t="str">
        <f>HYPERLINK("https://github.com/tinode/tindroid/releases", "show")</f>
        <v>show</v>
      </c>
      <c r="I7672">
        <v>0</v>
      </c>
      <c r="J7672">
        <v>0</v>
      </c>
      <c r="K7672">
        <v>0</v>
      </c>
      <c r="L7672">
        <v>0</v>
      </c>
      <c r="M7672" t="s">
        <v>43</v>
      </c>
    </row>
    <row r="7673" spans="1:13" hidden="1" x14ac:dyDescent="0.15">
      <c r="A7673" t="s">
        <v>24022</v>
      </c>
      <c r="B7673" t="s">
        <v>24023</v>
      </c>
      <c r="C7673" t="s">
        <v>24024</v>
      </c>
      <c r="D7673" t="s">
        <v>24012</v>
      </c>
      <c r="E7673">
        <v>572</v>
      </c>
      <c r="F7673" t="str">
        <f>HYPERLINK("https://github.com/k9mail/k-9/issues/4343", "show")</f>
        <v>show</v>
      </c>
      <c r="G7673" t="str">
        <f>HYPERLINK("https://github.com/k9mail/k-9", "show")</f>
        <v>show</v>
      </c>
      <c r="H7673" t="str">
        <f>HYPERLINK("https://github.com/k9mail/k-9/releases", "show")</f>
        <v>show</v>
      </c>
      <c r="I7673">
        <v>0</v>
      </c>
      <c r="J7673">
        <v>0</v>
      </c>
      <c r="K7673">
        <v>1</v>
      </c>
      <c r="L7673">
        <v>0</v>
      </c>
      <c r="M7673" t="s">
        <v>122</v>
      </c>
    </row>
    <row r="7674" spans="1:13" x14ac:dyDescent="0.15">
      <c r="A7674" t="s">
        <v>24025</v>
      </c>
      <c r="B7674" t="s">
        <v>24026</v>
      </c>
      <c r="C7674" t="s">
        <v>24027</v>
      </c>
      <c r="D7674" t="s">
        <v>24012</v>
      </c>
      <c r="E7674">
        <v>159</v>
      </c>
      <c r="F7674" t="str">
        <f>HYPERLINK("https://github.com/OpenArchive/Save-app-android/issues/173", "show")</f>
        <v>show</v>
      </c>
      <c r="G7674" t="str">
        <f>HYPERLINK("https://github.com/OpenArchive/Save-app-android", "show")</f>
        <v>show</v>
      </c>
      <c r="H7674" t="str">
        <f>HYPERLINK("https://github.com/OpenArchive/Save-app-android/releases", "show")</f>
        <v>show</v>
      </c>
      <c r="I7674">
        <v>0</v>
      </c>
      <c r="J7674">
        <v>1</v>
      </c>
      <c r="K7674">
        <v>0</v>
      </c>
      <c r="L7674">
        <v>0</v>
      </c>
      <c r="M7674" t="s">
        <v>139</v>
      </c>
    </row>
    <row r="7675" spans="1:13" hidden="1" x14ac:dyDescent="0.15">
      <c r="A7675" t="s">
        <v>24028</v>
      </c>
      <c r="B7675" t="s">
        <v>24029</v>
      </c>
      <c r="C7675" t="s">
        <v>24030</v>
      </c>
      <c r="D7675" t="s">
        <v>24031</v>
      </c>
      <c r="E7675">
        <v>61</v>
      </c>
      <c r="F7675" t="str">
        <f>HYPERLINK("https://github.com/nextcloud/android/issues/4943", "show")</f>
        <v>show</v>
      </c>
      <c r="G7675" t="str">
        <f>HYPERLINK("https://github.com/nextcloud/android", "show")</f>
        <v>show</v>
      </c>
      <c r="H7675" t="str">
        <f>HYPERLINK("https://github.com/nextcloud/android/releases", "show")</f>
        <v>show</v>
      </c>
      <c r="I7675">
        <v>0</v>
      </c>
      <c r="J7675">
        <v>1</v>
      </c>
      <c r="K7675">
        <v>1</v>
      </c>
      <c r="L7675">
        <v>0</v>
      </c>
      <c r="M7675" t="s">
        <v>699</v>
      </c>
    </row>
    <row r="7676" spans="1:13" hidden="1" x14ac:dyDescent="0.15">
      <c r="A7676" t="s">
        <v>24032</v>
      </c>
      <c r="B7676" t="s">
        <v>24033</v>
      </c>
      <c r="C7676" t="s">
        <v>24034</v>
      </c>
      <c r="D7676" t="s">
        <v>24031</v>
      </c>
      <c r="E7676">
        <v>16</v>
      </c>
      <c r="F7676" t="str">
        <f>HYPERLINK("https://github.com/nextcloud/android/issues/4942", "show")</f>
        <v>show</v>
      </c>
      <c r="G7676" t="str">
        <f>HYPERLINK("https://github.com/nextcloud/android", "show")</f>
        <v>show</v>
      </c>
      <c r="H7676" t="str">
        <f>HYPERLINK("https://github.com/nextcloud/android/releases", "show")</f>
        <v>show</v>
      </c>
      <c r="I7676">
        <v>0</v>
      </c>
      <c r="J7676">
        <v>0</v>
      </c>
      <c r="K7676">
        <v>1</v>
      </c>
      <c r="L7676">
        <v>0</v>
      </c>
      <c r="M7676" t="s">
        <v>122</v>
      </c>
    </row>
    <row r="7677" spans="1:13" hidden="1" x14ac:dyDescent="0.15">
      <c r="A7677" t="s">
        <v>24035</v>
      </c>
      <c r="B7677" t="s">
        <v>24036</v>
      </c>
      <c r="C7677" t="s">
        <v>24037</v>
      </c>
      <c r="D7677" t="s">
        <v>24031</v>
      </c>
      <c r="E7677">
        <v>19</v>
      </c>
      <c r="F7677" t="str">
        <f>HYPERLINK("https://github.com/alipay/SoloPi/issues/120", "show")</f>
        <v>show</v>
      </c>
      <c r="G7677" t="str">
        <f>HYPERLINK("https://github.com/alipay/SoloPi", "show")</f>
        <v>show</v>
      </c>
      <c r="H7677" t="str">
        <f>HYPERLINK("https://github.com/alipay/SoloPi/releases", "show")</f>
        <v>show</v>
      </c>
      <c r="I7677">
        <v>0</v>
      </c>
      <c r="J7677">
        <v>0</v>
      </c>
      <c r="K7677">
        <v>0</v>
      </c>
      <c r="L7677">
        <v>0</v>
      </c>
      <c r="M7677" t="s">
        <v>43</v>
      </c>
    </row>
    <row r="7678" spans="1:13" hidden="1" x14ac:dyDescent="0.15">
      <c r="A7678" t="s">
        <v>24038</v>
      </c>
      <c r="B7678" t="s">
        <v>24039</v>
      </c>
      <c r="C7678" t="s">
        <v>24040</v>
      </c>
      <c r="D7678" t="s">
        <v>24031</v>
      </c>
      <c r="E7678">
        <v>0</v>
      </c>
      <c r="F7678" t="str">
        <f>HYPERLINK("https://github.com/ElderDrivers/EdXposed/issues/402", "show")</f>
        <v>show</v>
      </c>
      <c r="G7678" t="str">
        <f>HYPERLINK("https://github.com/ElderDrivers/EdXposed", "show")</f>
        <v>show</v>
      </c>
      <c r="H7678" t="str">
        <f>HYPERLINK("https://github.com/ElderDrivers/EdXposed/releases", "show")</f>
        <v>show</v>
      </c>
      <c r="I7678">
        <v>0</v>
      </c>
      <c r="J7678">
        <v>0</v>
      </c>
      <c r="K7678">
        <v>1</v>
      </c>
      <c r="L7678">
        <v>0</v>
      </c>
      <c r="M7678" t="s">
        <v>122</v>
      </c>
    </row>
    <row r="7679" spans="1:13" hidden="1" x14ac:dyDescent="0.15">
      <c r="A7679" t="s">
        <v>24041</v>
      </c>
      <c r="B7679" t="s">
        <v>24042</v>
      </c>
      <c r="C7679" t="s">
        <v>24043</v>
      </c>
      <c r="D7679" t="s">
        <v>24031</v>
      </c>
      <c r="E7679">
        <v>6</v>
      </c>
      <c r="F7679" t="str">
        <f>HYPERLINK("https://github.com/k9mail/k-9/issues/4341", "show")</f>
        <v>show</v>
      </c>
      <c r="G7679" t="str">
        <f>HYPERLINK("https://github.com/k9mail/k-9", "show")</f>
        <v>show</v>
      </c>
      <c r="H7679" t="str">
        <f>HYPERLINK("https://github.com/k9mail/k-9/releases", "show")</f>
        <v>show</v>
      </c>
      <c r="I7679">
        <v>1</v>
      </c>
      <c r="J7679">
        <v>0</v>
      </c>
      <c r="K7679">
        <v>1</v>
      </c>
      <c r="L7679">
        <v>0</v>
      </c>
      <c r="M7679" t="s">
        <v>64</v>
      </c>
    </row>
    <row r="7680" spans="1:13" hidden="1" x14ac:dyDescent="0.15">
      <c r="A7680" t="s">
        <v>24044</v>
      </c>
      <c r="B7680" t="s">
        <v>24045</v>
      </c>
      <c r="C7680" t="s">
        <v>24046</v>
      </c>
      <c r="D7680" t="s">
        <v>24047</v>
      </c>
      <c r="E7680">
        <v>84</v>
      </c>
      <c r="F7680" t="str">
        <f>HYPERLINK("https://github.com/android/tv-samples/issues/13", "show")</f>
        <v>show</v>
      </c>
      <c r="G7680" t="str">
        <f>HYPERLINK("https://github.com/android/tv-samples", "show")</f>
        <v>show</v>
      </c>
      <c r="H7680" t="str">
        <f>HYPERLINK("https://github.com/android/tv-samples/releases", "show")</f>
        <v>show</v>
      </c>
      <c r="I7680">
        <v>0</v>
      </c>
      <c r="J7680">
        <v>0</v>
      </c>
      <c r="K7680">
        <v>1</v>
      </c>
      <c r="L7680">
        <v>0</v>
      </c>
      <c r="M7680" t="s">
        <v>122</v>
      </c>
    </row>
    <row r="7681" spans="1:13" hidden="1" x14ac:dyDescent="0.15">
      <c r="A7681" t="s">
        <v>24048</v>
      </c>
      <c r="B7681" t="s">
        <v>24049</v>
      </c>
      <c r="C7681" t="s">
        <v>24050</v>
      </c>
      <c r="D7681" t="s">
        <v>24047</v>
      </c>
      <c r="E7681">
        <v>1</v>
      </c>
      <c r="F7681" t="str">
        <f>HYPERLINK("https://github.com/nextcloud/android/issues/4931", "show")</f>
        <v>show</v>
      </c>
      <c r="G7681" t="str">
        <f>HYPERLINK("https://github.com/nextcloud/android", "show")</f>
        <v>show</v>
      </c>
      <c r="H7681" t="str">
        <f>HYPERLINK("https://github.com/nextcloud/android/releases", "show")</f>
        <v>show</v>
      </c>
      <c r="I7681">
        <v>1</v>
      </c>
      <c r="J7681">
        <v>1</v>
      </c>
      <c r="K7681">
        <v>1</v>
      </c>
      <c r="L7681">
        <v>0</v>
      </c>
      <c r="M7681" t="s">
        <v>59</v>
      </c>
    </row>
    <row r="7682" spans="1:13" hidden="1" x14ac:dyDescent="0.15">
      <c r="A7682" t="s">
        <v>24051</v>
      </c>
      <c r="B7682" t="s">
        <v>24052</v>
      </c>
      <c r="D7682" t="s">
        <v>24047</v>
      </c>
      <c r="E7682">
        <v>1</v>
      </c>
      <c r="F7682" t="str">
        <f>HYPERLINK("https://github.com/0us/IE303911-Klubbhuset/issues/168", "show")</f>
        <v>show</v>
      </c>
      <c r="G7682" t="str">
        <f>HYPERLINK("https://github.com/0us/IE303911-Klubbhuset", "show")</f>
        <v>show</v>
      </c>
      <c r="H7682" t="str">
        <f>HYPERLINK("https://github.com/0us/IE303911-Klubbhuset/releases", "show")</f>
        <v>show</v>
      </c>
      <c r="I7682">
        <v>1</v>
      </c>
      <c r="J7682">
        <v>0</v>
      </c>
      <c r="K7682">
        <v>0</v>
      </c>
      <c r="L7682">
        <v>0</v>
      </c>
      <c r="M7682" t="s">
        <v>17</v>
      </c>
    </row>
    <row r="7683" spans="1:13" hidden="1" x14ac:dyDescent="0.15">
      <c r="A7683" t="s">
        <v>24053</v>
      </c>
      <c r="B7683" t="s">
        <v>24054</v>
      </c>
      <c r="D7683" t="s">
        <v>24047</v>
      </c>
      <c r="E7683">
        <v>1</v>
      </c>
      <c r="F7683" t="str">
        <f>HYPERLINK("https://github.com/0us/IE303911-Klubbhuset/issues/167", "show")</f>
        <v>show</v>
      </c>
      <c r="G7683" t="str">
        <f>HYPERLINK("https://github.com/0us/IE303911-Klubbhuset", "show")</f>
        <v>show</v>
      </c>
      <c r="H7683" t="str">
        <f>HYPERLINK("https://github.com/0us/IE303911-Klubbhuset/releases", "show")</f>
        <v>show</v>
      </c>
      <c r="I7683">
        <v>0</v>
      </c>
      <c r="J7683">
        <v>0</v>
      </c>
      <c r="K7683">
        <v>0</v>
      </c>
      <c r="L7683">
        <v>0</v>
      </c>
      <c r="M7683" t="s">
        <v>43</v>
      </c>
    </row>
    <row r="7684" spans="1:13" hidden="1" x14ac:dyDescent="0.15">
      <c r="A7684" t="s">
        <v>24055</v>
      </c>
      <c r="B7684" t="s">
        <v>24056</v>
      </c>
      <c r="D7684" t="s">
        <v>24047</v>
      </c>
      <c r="E7684">
        <v>14</v>
      </c>
      <c r="F7684" t="str">
        <f>HYPERLINK("https://github.com/tchapgouv/tchap-android-legacy/issues/560", "show")</f>
        <v>show</v>
      </c>
      <c r="G7684" t="str">
        <f>HYPERLINK("https://github.com/tchapgouv/tchap-android-legacy", "show")</f>
        <v>show</v>
      </c>
      <c r="H7684" t="str">
        <f>HYPERLINK("https://github.com/tchapgouv/tchap-android-legacy/releases", "show")</f>
        <v>show</v>
      </c>
      <c r="I7684">
        <v>1</v>
      </c>
      <c r="J7684">
        <v>0</v>
      </c>
      <c r="K7684">
        <v>1</v>
      </c>
      <c r="L7684">
        <v>0</v>
      </c>
      <c r="M7684" t="s">
        <v>64</v>
      </c>
    </row>
    <row r="7685" spans="1:13" hidden="1" x14ac:dyDescent="0.15">
      <c r="A7685" t="s">
        <v>24057</v>
      </c>
      <c r="B7685" t="s">
        <v>24058</v>
      </c>
      <c r="C7685" t="s">
        <v>24059</v>
      </c>
      <c r="D7685" t="s">
        <v>24047</v>
      </c>
      <c r="E7685">
        <v>28</v>
      </c>
      <c r="F7685" t="str">
        <f>HYPERLINK("https://github.com/TeamNewPipe/NewPipe/issues/2838", "show")</f>
        <v>show</v>
      </c>
      <c r="G7685" t="str">
        <f>HYPERLINK("https://github.com/TeamNewPipe/NewPipe", "show")</f>
        <v>show</v>
      </c>
      <c r="H7685" t="str">
        <f>HYPERLINK("https://github.com/TeamNewPipe/NewPipe/releases", "show")</f>
        <v>show</v>
      </c>
      <c r="I7685">
        <v>0</v>
      </c>
      <c r="J7685">
        <v>0</v>
      </c>
      <c r="K7685">
        <v>0</v>
      </c>
      <c r="L7685">
        <v>0</v>
      </c>
      <c r="M7685" t="s">
        <v>43</v>
      </c>
    </row>
    <row r="7686" spans="1:13" hidden="1" x14ac:dyDescent="0.15">
      <c r="A7686" t="s">
        <v>24060</v>
      </c>
      <c r="B7686" t="s">
        <v>24061</v>
      </c>
      <c r="D7686" t="s">
        <v>24062</v>
      </c>
      <c r="E7686">
        <v>15</v>
      </c>
      <c r="F7686" t="str">
        <f>HYPERLINK("https://github.com/CMU-CREATE-Lab/preK-emotions-app/issues/96", "show")</f>
        <v>show</v>
      </c>
      <c r="G7686" t="str">
        <f>HYPERLINK("https://github.com/CMU-CREATE-Lab/preK-emotions-app", "show")</f>
        <v>show</v>
      </c>
      <c r="H7686" t="str">
        <f>HYPERLINK("https://github.com/CMU-CREATE-Lab/preK-emotions-app/releases", "show")</f>
        <v>show</v>
      </c>
      <c r="I7686">
        <v>0</v>
      </c>
      <c r="J7686">
        <v>0</v>
      </c>
      <c r="K7686">
        <v>0</v>
      </c>
      <c r="L7686">
        <v>0</v>
      </c>
      <c r="M7686" t="s">
        <v>43</v>
      </c>
    </row>
    <row r="7687" spans="1:13" hidden="1" x14ac:dyDescent="0.15">
      <c r="A7687" t="s">
        <v>24063</v>
      </c>
      <c r="B7687" t="s">
        <v>24064</v>
      </c>
      <c r="C7687" t="s">
        <v>24065</v>
      </c>
      <c r="D7687" t="s">
        <v>24062</v>
      </c>
      <c r="E7687">
        <v>1</v>
      </c>
      <c r="F7687" t="str">
        <f>HYPERLINK("https://github.com/nextcloud/android/issues/4914", "show")</f>
        <v>show</v>
      </c>
      <c r="G7687" t="str">
        <f>HYPERLINK("https://github.com/nextcloud/android", "show")</f>
        <v>show</v>
      </c>
      <c r="H7687" t="str">
        <f>HYPERLINK("https://github.com/nextcloud/android/releases", "show")</f>
        <v>show</v>
      </c>
      <c r="I7687">
        <v>1</v>
      </c>
      <c r="J7687">
        <v>0</v>
      </c>
      <c r="K7687">
        <v>1</v>
      </c>
      <c r="L7687">
        <v>0</v>
      </c>
      <c r="M7687" t="s">
        <v>64</v>
      </c>
    </row>
    <row r="7688" spans="1:13" hidden="1" x14ac:dyDescent="0.15">
      <c r="A7688" t="s">
        <v>24066</v>
      </c>
      <c r="B7688" t="s">
        <v>24067</v>
      </c>
      <c r="C7688" t="s">
        <v>12185</v>
      </c>
      <c r="D7688" t="s">
        <v>24062</v>
      </c>
      <c r="E7688">
        <v>42</v>
      </c>
      <c r="F7688" t="str">
        <f>HYPERLINK("https://github.com/nextcloud/android/issues/4913", "show")</f>
        <v>show</v>
      </c>
      <c r="G7688" t="str">
        <f>HYPERLINK("https://github.com/nextcloud/android", "show")</f>
        <v>show</v>
      </c>
      <c r="H7688" t="str">
        <f>HYPERLINK("https://github.com/nextcloud/android/releases", "show")</f>
        <v>show</v>
      </c>
      <c r="I7688">
        <v>1</v>
      </c>
      <c r="J7688">
        <v>0</v>
      </c>
      <c r="K7688">
        <v>1</v>
      </c>
      <c r="L7688">
        <v>0</v>
      </c>
      <c r="M7688" t="s">
        <v>64</v>
      </c>
    </row>
    <row r="7689" spans="1:13" hidden="1" x14ac:dyDescent="0.15">
      <c r="A7689" t="s">
        <v>24068</v>
      </c>
      <c r="B7689" t="s">
        <v>24069</v>
      </c>
      <c r="C7689" t="s">
        <v>24070</v>
      </c>
      <c r="D7689" t="s">
        <v>24062</v>
      </c>
      <c r="E7689">
        <v>0</v>
      </c>
      <c r="F7689" t="str">
        <f>HYPERLINK("https://github.com/0us/IE303911-Klubbhuset/issues/145", "show")</f>
        <v>show</v>
      </c>
      <c r="G7689" t="str">
        <f>HYPERLINK("https://github.com/0us/IE303911-Klubbhuset", "show")</f>
        <v>show</v>
      </c>
      <c r="H7689" t="str">
        <f>HYPERLINK("https://github.com/0us/IE303911-Klubbhuset/releases", "show")</f>
        <v>show</v>
      </c>
      <c r="I7689">
        <v>0</v>
      </c>
      <c r="J7689">
        <v>0</v>
      </c>
      <c r="K7689">
        <v>0</v>
      </c>
      <c r="L7689">
        <v>0</v>
      </c>
      <c r="M7689" t="s">
        <v>43</v>
      </c>
    </row>
    <row r="7690" spans="1:13" hidden="1" x14ac:dyDescent="0.15">
      <c r="A7690" t="s">
        <v>24071</v>
      </c>
      <c r="B7690" t="s">
        <v>24072</v>
      </c>
      <c r="C7690" t="s">
        <v>24073</v>
      </c>
      <c r="D7690" t="s">
        <v>24074</v>
      </c>
      <c r="E7690">
        <v>0</v>
      </c>
      <c r="F7690" t="str">
        <f>HYPERLINK("https://github.com/CordelleNeufeld/FitBrosApp/issues/85", "show")</f>
        <v>show</v>
      </c>
      <c r="G7690" t="str">
        <f>HYPERLINK("https://github.com/CordelleNeufeld/FitBrosApp", "show")</f>
        <v>show</v>
      </c>
      <c r="H7690" t="str">
        <f>HYPERLINK("https://github.com/CordelleNeufeld/FitBrosApp/releases", "show")</f>
        <v>show</v>
      </c>
      <c r="I7690">
        <v>1</v>
      </c>
      <c r="J7690">
        <v>0</v>
      </c>
      <c r="K7690">
        <v>0</v>
      </c>
      <c r="L7690">
        <v>0</v>
      </c>
      <c r="M7690" t="s">
        <v>17</v>
      </c>
    </row>
    <row r="7691" spans="1:13" hidden="1" x14ac:dyDescent="0.15">
      <c r="A7691" t="s">
        <v>24075</v>
      </c>
      <c r="B7691" t="s">
        <v>24076</v>
      </c>
      <c r="C7691" t="s">
        <v>24077</v>
      </c>
      <c r="D7691" t="s">
        <v>24078</v>
      </c>
      <c r="E7691">
        <v>2</v>
      </c>
      <c r="F7691" t="str">
        <f>HYPERLINK("https://github.com/nextcloud/android/issues/4905", "show")</f>
        <v>show</v>
      </c>
      <c r="G7691" t="str">
        <f>HYPERLINK("https://github.com/nextcloud/android", "show")</f>
        <v>show</v>
      </c>
      <c r="H7691" t="str">
        <f>HYPERLINK("https://github.com/nextcloud/android/releases", "show")</f>
        <v>show</v>
      </c>
      <c r="I7691">
        <v>1</v>
      </c>
      <c r="J7691">
        <v>0</v>
      </c>
      <c r="K7691">
        <v>1</v>
      </c>
      <c r="L7691">
        <v>0</v>
      </c>
      <c r="M7691" t="s">
        <v>64</v>
      </c>
    </row>
    <row r="7692" spans="1:13" hidden="1" x14ac:dyDescent="0.15">
      <c r="A7692" t="s">
        <v>24079</v>
      </c>
      <c r="B7692" t="s">
        <v>24080</v>
      </c>
      <c r="C7692" t="s">
        <v>24081</v>
      </c>
      <c r="D7692" t="s">
        <v>24082</v>
      </c>
      <c r="E7692">
        <v>1</v>
      </c>
      <c r="F7692" t="str">
        <f>HYPERLINK("https://github.com/wiglenet/wigle-wifi-wardriving/issues/383", "show")</f>
        <v>show</v>
      </c>
      <c r="G7692" t="str">
        <f>HYPERLINK("https://github.com/wiglenet/wigle-wifi-wardriving", "show")</f>
        <v>show</v>
      </c>
      <c r="H7692" t="str">
        <f>HYPERLINK("https://github.com/wiglenet/wigle-wifi-wardriving/releases", "show")</f>
        <v>show</v>
      </c>
      <c r="I7692">
        <v>0</v>
      </c>
      <c r="J7692">
        <v>0</v>
      </c>
      <c r="K7692">
        <v>0</v>
      </c>
      <c r="L7692">
        <v>0</v>
      </c>
      <c r="M7692" t="s">
        <v>43</v>
      </c>
    </row>
    <row r="7693" spans="1:13" hidden="1" x14ac:dyDescent="0.15">
      <c r="A7693" t="s">
        <v>24083</v>
      </c>
      <c r="B7693" t="s">
        <v>24084</v>
      </c>
      <c r="C7693" t="s">
        <v>24085</v>
      </c>
      <c r="D7693" t="s">
        <v>24082</v>
      </c>
      <c r="E7693">
        <v>259</v>
      </c>
      <c r="F7693" t="str">
        <f>HYPERLINK("https://github.com/commons-app/apps-android-commons/issues/3244", "show")</f>
        <v>show</v>
      </c>
      <c r="G7693" t="str">
        <f>HYPERLINK("https://github.com/commons-app/apps-android-commons", "show")</f>
        <v>show</v>
      </c>
      <c r="H7693" t="str">
        <f>HYPERLINK("https://github.com/commons-app/apps-android-commons/releases", "show")</f>
        <v>show</v>
      </c>
      <c r="I7693">
        <v>1</v>
      </c>
      <c r="J7693">
        <v>0</v>
      </c>
      <c r="K7693">
        <v>1</v>
      </c>
      <c r="L7693">
        <v>0</v>
      </c>
      <c r="M7693" t="s">
        <v>64</v>
      </c>
    </row>
    <row r="7694" spans="1:13" hidden="1" x14ac:dyDescent="0.15">
      <c r="A7694" t="s">
        <v>24086</v>
      </c>
      <c r="B7694" t="s">
        <v>24087</v>
      </c>
      <c r="C7694" t="s">
        <v>24088</v>
      </c>
      <c r="D7694" t="s">
        <v>24082</v>
      </c>
      <c r="E7694">
        <v>67</v>
      </c>
      <c r="F7694" t="str">
        <f>HYPERLINK("https://github.com/react-native-camera/react-native-camera/issues/2612", "show")</f>
        <v>show</v>
      </c>
      <c r="G7694" t="str">
        <f>HYPERLINK("https://github.com/react-native-camera/react-native-camera", "show")</f>
        <v>show</v>
      </c>
      <c r="H7694" t="str">
        <f>HYPERLINK("https://github.com/react-native-camera/react-native-camera/releases", "show")</f>
        <v>show</v>
      </c>
      <c r="I7694">
        <v>0</v>
      </c>
      <c r="J7694">
        <v>0</v>
      </c>
      <c r="K7694">
        <v>0</v>
      </c>
      <c r="L7694">
        <v>0</v>
      </c>
      <c r="M7694" t="s">
        <v>43</v>
      </c>
    </row>
    <row r="7695" spans="1:13" hidden="1" x14ac:dyDescent="0.15">
      <c r="A7695" t="s">
        <v>24089</v>
      </c>
      <c r="B7695" t="s">
        <v>24090</v>
      </c>
      <c r="C7695" t="s">
        <v>24091</v>
      </c>
      <c r="D7695" t="s">
        <v>24082</v>
      </c>
      <c r="E7695">
        <v>140</v>
      </c>
      <c r="F7695" t="str">
        <f>HYPERLINK("https://github.com/aws-amplify/aws-sdk-android/issues/1336", "show")</f>
        <v>show</v>
      </c>
      <c r="G7695" t="str">
        <f>HYPERLINK("https://github.com/aws-amplify/aws-sdk-android", "show")</f>
        <v>show</v>
      </c>
      <c r="H7695" t="str">
        <f>HYPERLINK("https://github.com/aws-amplify/aws-sdk-android/releases", "show")</f>
        <v>show</v>
      </c>
      <c r="I7695">
        <v>1</v>
      </c>
      <c r="J7695">
        <v>0</v>
      </c>
      <c r="K7695">
        <v>1</v>
      </c>
      <c r="L7695">
        <v>0</v>
      </c>
      <c r="M7695" t="s">
        <v>64</v>
      </c>
    </row>
    <row r="7696" spans="1:13" hidden="1" x14ac:dyDescent="0.15">
      <c r="A7696" t="s">
        <v>24092</v>
      </c>
      <c r="B7696" t="s">
        <v>24093</v>
      </c>
      <c r="C7696" t="s">
        <v>24094</v>
      </c>
      <c r="D7696" t="s">
        <v>24082</v>
      </c>
      <c r="E7696">
        <v>0</v>
      </c>
      <c r="F7696" t="str">
        <f>HYPERLINK("https://github.com/commons-app/apps-android-commons/issues/3237", "show")</f>
        <v>show</v>
      </c>
      <c r="G7696" t="str">
        <f>HYPERLINK("https://github.com/commons-app/apps-android-commons", "show")</f>
        <v>show</v>
      </c>
      <c r="H7696" t="str">
        <f>HYPERLINK("https://github.com/commons-app/apps-android-commons/releases", "show")</f>
        <v>show</v>
      </c>
      <c r="I7696">
        <v>1</v>
      </c>
      <c r="J7696">
        <v>1</v>
      </c>
      <c r="K7696">
        <v>1</v>
      </c>
      <c r="L7696">
        <v>0</v>
      </c>
      <c r="M7696" t="s">
        <v>59</v>
      </c>
    </row>
    <row r="7697" spans="1:13" x14ac:dyDescent="0.15">
      <c r="A7697" t="s">
        <v>24095</v>
      </c>
      <c r="B7697" t="s">
        <v>24096</v>
      </c>
      <c r="C7697" t="s">
        <v>24097</v>
      </c>
      <c r="D7697" t="s">
        <v>24098</v>
      </c>
      <c r="E7697">
        <v>1</v>
      </c>
      <c r="F7697" t="str">
        <f>HYPERLINK("https://github.com/eclipse/deeplearning4j-examples/issues/927", "show")</f>
        <v>show</v>
      </c>
      <c r="G7697" t="str">
        <f>HYPERLINK("https://github.com/eclipse/deeplearning4j-examples", "show")</f>
        <v>show</v>
      </c>
      <c r="H7697" t="str">
        <f>HYPERLINK("https://github.com/eclipse/deeplearning4j-examples/releases", "show")</f>
        <v>show</v>
      </c>
      <c r="I7697">
        <v>0</v>
      </c>
      <c r="J7697">
        <v>1</v>
      </c>
      <c r="K7697">
        <v>0</v>
      </c>
      <c r="L7697">
        <v>0</v>
      </c>
      <c r="M7697" t="s">
        <v>139</v>
      </c>
    </row>
    <row r="7698" spans="1:13" hidden="1" x14ac:dyDescent="0.15">
      <c r="A7698" t="s">
        <v>24099</v>
      </c>
      <c r="B7698" t="s">
        <v>24100</v>
      </c>
      <c r="C7698" t="s">
        <v>24101</v>
      </c>
      <c r="D7698" t="s">
        <v>24098</v>
      </c>
      <c r="E7698">
        <v>0</v>
      </c>
      <c r="F7698" t="str">
        <f>HYPERLINK("https://github.com/commons-app/apps-android-commons/issues/3228", "show")</f>
        <v>show</v>
      </c>
      <c r="G7698" t="str">
        <f>HYPERLINK("https://github.com/commons-app/apps-android-commons", "show")</f>
        <v>show</v>
      </c>
      <c r="H7698" t="str">
        <f>HYPERLINK("https://github.com/commons-app/apps-android-commons/releases", "show")</f>
        <v>show</v>
      </c>
      <c r="I7698">
        <v>1</v>
      </c>
      <c r="J7698">
        <v>0</v>
      </c>
      <c r="K7698">
        <v>1</v>
      </c>
      <c r="L7698">
        <v>0</v>
      </c>
      <c r="M7698" t="s">
        <v>64</v>
      </c>
    </row>
    <row r="7699" spans="1:13" hidden="1" x14ac:dyDescent="0.15">
      <c r="A7699" t="s">
        <v>24102</v>
      </c>
      <c r="B7699" t="s">
        <v>24103</v>
      </c>
      <c r="C7699" t="s">
        <v>24104</v>
      </c>
      <c r="D7699" t="s">
        <v>24098</v>
      </c>
      <c r="E7699">
        <v>4</v>
      </c>
      <c r="F7699" t="str">
        <f>HYPERLINK("https://github.com/k9mail/k-9/issues/4301", "show")</f>
        <v>show</v>
      </c>
      <c r="G7699" t="str">
        <f>HYPERLINK("https://github.com/k9mail/k-9", "show")</f>
        <v>show</v>
      </c>
      <c r="H7699" t="str">
        <f>HYPERLINK("https://github.com/k9mail/k-9/releases", "show")</f>
        <v>show</v>
      </c>
      <c r="I7699">
        <v>1</v>
      </c>
      <c r="J7699">
        <v>1</v>
      </c>
      <c r="K7699">
        <v>1</v>
      </c>
      <c r="L7699">
        <v>0</v>
      </c>
      <c r="M7699" t="s">
        <v>59</v>
      </c>
    </row>
    <row r="7700" spans="1:13" hidden="1" x14ac:dyDescent="0.15">
      <c r="A7700" t="s">
        <v>24105</v>
      </c>
      <c r="B7700" t="s">
        <v>24106</v>
      </c>
      <c r="C7700" t="s">
        <v>24107</v>
      </c>
      <c r="D7700" t="s">
        <v>24108</v>
      </c>
      <c r="E7700">
        <v>1</v>
      </c>
      <c r="F7700" t="str">
        <f>HYPERLINK("https://github.com/0us/IE303911-Klubbhuset/issues/115", "show")</f>
        <v>show</v>
      </c>
      <c r="G7700" t="str">
        <f>HYPERLINK("https://github.com/0us/IE303911-Klubbhuset", "show")</f>
        <v>show</v>
      </c>
      <c r="H7700" t="str">
        <f>HYPERLINK("https://github.com/0us/IE303911-Klubbhuset/releases", "show")</f>
        <v>show</v>
      </c>
      <c r="I7700">
        <v>1</v>
      </c>
      <c r="J7700">
        <v>0</v>
      </c>
      <c r="K7700">
        <v>0</v>
      </c>
      <c r="L7700">
        <v>0</v>
      </c>
      <c r="M7700" t="s">
        <v>17</v>
      </c>
    </row>
    <row r="7701" spans="1:13" hidden="1" x14ac:dyDescent="0.15">
      <c r="A7701" t="s">
        <v>24109</v>
      </c>
      <c r="B7701" t="s">
        <v>24110</v>
      </c>
      <c r="C7701" t="s">
        <v>24111</v>
      </c>
      <c r="D7701" t="s">
        <v>24108</v>
      </c>
      <c r="E7701">
        <v>0</v>
      </c>
      <c r="F7701" t="str">
        <f>HYPERLINK("https://github.com/MozillaReality/FirefoxReality/issues/2383", "show")</f>
        <v>show</v>
      </c>
      <c r="G7701" t="str">
        <f>HYPERLINK("https://github.com/MozillaReality/FirefoxReality", "show")</f>
        <v>show</v>
      </c>
      <c r="H7701" t="str">
        <f>HYPERLINK("https://github.com/MozillaReality/FirefoxReality/releases", "show")</f>
        <v>show</v>
      </c>
      <c r="I7701">
        <v>0</v>
      </c>
      <c r="J7701">
        <v>0</v>
      </c>
      <c r="K7701">
        <v>0</v>
      </c>
      <c r="L7701">
        <v>0</v>
      </c>
      <c r="M7701" t="s">
        <v>43</v>
      </c>
    </row>
    <row r="7702" spans="1:13" hidden="1" x14ac:dyDescent="0.15">
      <c r="A7702" t="s">
        <v>24112</v>
      </c>
      <c r="B7702" t="s">
        <v>24113</v>
      </c>
      <c r="C7702" t="s">
        <v>24114</v>
      </c>
      <c r="D7702" t="s">
        <v>24108</v>
      </c>
      <c r="E7702">
        <v>0</v>
      </c>
      <c r="F7702" t="str">
        <f>HYPERLINK("https://github.com/fieldsight/fieldsight-mobile/issues/495", "show")</f>
        <v>show</v>
      </c>
      <c r="G7702" t="str">
        <f>HYPERLINK("https://github.com/fieldsight/fieldsight-mobile", "show")</f>
        <v>show</v>
      </c>
      <c r="H7702" t="str">
        <f>HYPERLINK("https://github.com/fieldsight/fieldsight-mobile/releases", "show")</f>
        <v>show</v>
      </c>
      <c r="I7702">
        <v>1</v>
      </c>
      <c r="J7702">
        <v>1</v>
      </c>
      <c r="K7702">
        <v>0</v>
      </c>
      <c r="L7702">
        <v>0</v>
      </c>
      <c r="M7702" t="s">
        <v>48</v>
      </c>
    </row>
    <row r="7703" spans="1:13" hidden="1" x14ac:dyDescent="0.15">
      <c r="A7703" t="s">
        <v>24115</v>
      </c>
      <c r="B7703" t="s">
        <v>24116</v>
      </c>
      <c r="D7703" t="s">
        <v>24108</v>
      </c>
      <c r="E7703">
        <v>1</v>
      </c>
      <c r="F7703" t="str">
        <f>HYPERLINK("https://github.com/CMPUT301F19T19/legendary-fiesta/issues/84", "show")</f>
        <v>show</v>
      </c>
      <c r="G7703" t="str">
        <f>HYPERLINK("https://github.com/CMPUT301F19T19/legendary-fiesta", "show")</f>
        <v>show</v>
      </c>
      <c r="H7703" t="str">
        <f>HYPERLINK("https://github.com/CMPUT301F19T19/legendary-fiesta/releases", "show")</f>
        <v>show</v>
      </c>
      <c r="I7703">
        <v>0</v>
      </c>
      <c r="J7703">
        <v>0</v>
      </c>
      <c r="K7703">
        <v>0</v>
      </c>
      <c r="L7703">
        <v>0</v>
      </c>
      <c r="M7703" t="s">
        <v>43</v>
      </c>
    </row>
    <row r="7704" spans="1:13" hidden="1" x14ac:dyDescent="0.15">
      <c r="A7704" t="s">
        <v>24117</v>
      </c>
      <c r="B7704" t="s">
        <v>24118</v>
      </c>
      <c r="C7704" t="s">
        <v>24119</v>
      </c>
      <c r="D7704" t="s">
        <v>24108</v>
      </c>
      <c r="E7704">
        <v>5</v>
      </c>
      <c r="F7704" t="str">
        <f>HYPERLINK("https://github.com/inaturalist/react-native-inat-camera/issues/30", "show")</f>
        <v>show</v>
      </c>
      <c r="G7704" t="str">
        <f>HYPERLINK("https://github.com/inaturalist/react-native-inat-camera", "show")</f>
        <v>show</v>
      </c>
      <c r="H7704" t="str">
        <f>HYPERLINK("https://github.com/inaturalist/react-native-inat-camera/releases", "show")</f>
        <v>show</v>
      </c>
      <c r="I7704">
        <v>1</v>
      </c>
      <c r="J7704">
        <v>0</v>
      </c>
      <c r="K7704">
        <v>1</v>
      </c>
      <c r="L7704">
        <v>0</v>
      </c>
      <c r="M7704" t="s">
        <v>64</v>
      </c>
    </row>
    <row r="7705" spans="1:13" hidden="1" x14ac:dyDescent="0.15">
      <c r="A7705" t="s">
        <v>24120</v>
      </c>
      <c r="B7705" t="s">
        <v>24121</v>
      </c>
      <c r="C7705" t="s">
        <v>24122</v>
      </c>
      <c r="D7705" t="s">
        <v>24123</v>
      </c>
      <c r="E7705">
        <v>50</v>
      </c>
      <c r="F7705" t="str">
        <f>HYPERLINK("https://github.com/smartdevicelink/sdl_java_suite/issues/1237", "show")</f>
        <v>show</v>
      </c>
      <c r="G7705" t="str">
        <f>HYPERLINK("https://github.com/smartdevicelink/sdl_java_suite", "show")</f>
        <v>show</v>
      </c>
      <c r="H7705" t="str">
        <f>HYPERLINK("https://github.com/smartdevicelink/sdl_java_suite/releases", "show")</f>
        <v>show</v>
      </c>
      <c r="I7705">
        <v>1</v>
      </c>
      <c r="J7705">
        <v>1</v>
      </c>
      <c r="K7705">
        <v>0</v>
      </c>
      <c r="L7705">
        <v>0</v>
      </c>
      <c r="M7705" t="s">
        <v>48</v>
      </c>
    </row>
    <row r="7706" spans="1:13" hidden="1" x14ac:dyDescent="0.15">
      <c r="A7706" t="s">
        <v>24124</v>
      </c>
      <c r="B7706" t="s">
        <v>24125</v>
      </c>
      <c r="C7706" t="s">
        <v>24126</v>
      </c>
      <c r="D7706" t="s">
        <v>24123</v>
      </c>
      <c r="E7706">
        <v>23</v>
      </c>
      <c r="F7706" t="str">
        <f>HYPERLINK("https://github.com/opensrp/opensrp-client-giz-malawi/issues/153", "show")</f>
        <v>show</v>
      </c>
      <c r="G7706" t="str">
        <f>HYPERLINK("https://github.com/opensrp/opensrp-client-giz-malawi", "show")</f>
        <v>show</v>
      </c>
      <c r="H7706" t="str">
        <f>HYPERLINK("https://github.com/opensrp/opensrp-client-giz-malawi/releases", "show")</f>
        <v>show</v>
      </c>
      <c r="I7706">
        <v>1</v>
      </c>
      <c r="J7706">
        <v>0</v>
      </c>
      <c r="K7706">
        <v>0</v>
      </c>
      <c r="L7706">
        <v>0</v>
      </c>
      <c r="M7706" t="s">
        <v>17</v>
      </c>
    </row>
    <row r="7707" spans="1:13" hidden="1" x14ac:dyDescent="0.15">
      <c r="A7707" t="s">
        <v>24127</v>
      </c>
      <c r="B7707" t="s">
        <v>24128</v>
      </c>
      <c r="C7707" t="s">
        <v>24129</v>
      </c>
      <c r="D7707" t="s">
        <v>24130</v>
      </c>
      <c r="E7707">
        <v>7</v>
      </c>
      <c r="F7707" t="str">
        <f>HYPERLINK("https://github.com/nextcloud/android/issues/4888", "show")</f>
        <v>show</v>
      </c>
      <c r="G7707" t="str">
        <f>HYPERLINK("https://github.com/nextcloud/android", "show")</f>
        <v>show</v>
      </c>
      <c r="H7707" t="str">
        <f>HYPERLINK("https://github.com/nextcloud/android/releases", "show")</f>
        <v>show</v>
      </c>
      <c r="I7707">
        <v>1</v>
      </c>
      <c r="J7707">
        <v>1</v>
      </c>
      <c r="K7707">
        <v>0</v>
      </c>
      <c r="L7707">
        <v>0</v>
      </c>
      <c r="M7707" t="s">
        <v>48</v>
      </c>
    </row>
    <row r="7708" spans="1:13" hidden="1" x14ac:dyDescent="0.15">
      <c r="A7708" t="s">
        <v>24131</v>
      </c>
      <c r="B7708" t="s">
        <v>24132</v>
      </c>
      <c r="C7708" t="s">
        <v>24133</v>
      </c>
      <c r="D7708" t="s">
        <v>24130</v>
      </c>
      <c r="E7708">
        <v>1</v>
      </c>
      <c r="F7708" t="str">
        <f>HYPERLINK("https://github.com/deltachat/deltachat-android/issues/1128", "show")</f>
        <v>show</v>
      </c>
      <c r="G7708" t="str">
        <f>HYPERLINK("https://github.com/deltachat/deltachat-android", "show")</f>
        <v>show</v>
      </c>
      <c r="H7708" t="str">
        <f>HYPERLINK("https://github.com/deltachat/deltachat-android/releases", "show")</f>
        <v>show</v>
      </c>
      <c r="I7708">
        <v>1</v>
      </c>
      <c r="J7708">
        <v>0</v>
      </c>
      <c r="K7708">
        <v>0</v>
      </c>
      <c r="L7708">
        <v>0</v>
      </c>
      <c r="M7708" t="s">
        <v>17</v>
      </c>
    </row>
    <row r="7709" spans="1:13" hidden="1" x14ac:dyDescent="0.15">
      <c r="A7709" t="s">
        <v>24134</v>
      </c>
      <c r="B7709" t="s">
        <v>24135</v>
      </c>
      <c r="C7709" t="s">
        <v>24136</v>
      </c>
      <c r="D7709" t="s">
        <v>24130</v>
      </c>
      <c r="E7709">
        <v>0</v>
      </c>
      <c r="F7709" t="str">
        <f>HYPERLINK("https://github.com/TrackerControl/tracker-control-android/issues/10", "show")</f>
        <v>show</v>
      </c>
      <c r="G7709" t="str">
        <f>HYPERLINK("https://github.com/TrackerControl/tracker-control-android", "show")</f>
        <v>show</v>
      </c>
      <c r="H7709" t="str">
        <f>HYPERLINK("https://github.com/TrackerControl/tracker-control-android/releases", "show")</f>
        <v>show</v>
      </c>
      <c r="I7709">
        <v>0</v>
      </c>
      <c r="J7709">
        <v>0</v>
      </c>
      <c r="K7709">
        <v>1</v>
      </c>
      <c r="L7709">
        <v>0</v>
      </c>
      <c r="M7709" t="s">
        <v>122</v>
      </c>
    </row>
    <row r="7710" spans="1:13" hidden="1" x14ac:dyDescent="0.15">
      <c r="A7710" t="s">
        <v>24137</v>
      </c>
      <c r="B7710" t="s">
        <v>24138</v>
      </c>
      <c r="D7710" t="s">
        <v>24139</v>
      </c>
      <c r="E7710">
        <v>0</v>
      </c>
      <c r="F7710" t="str">
        <f>HYPERLINK("https://github.com/osmdroid/osmdroid/issues/1441", "show")</f>
        <v>show</v>
      </c>
      <c r="G7710" t="str">
        <f>HYPERLINK("https://github.com/osmdroid/osmdroid", "show")</f>
        <v>show</v>
      </c>
      <c r="H7710" t="str">
        <f>HYPERLINK("https://github.com/osmdroid/osmdroid/releases", "show")</f>
        <v>show</v>
      </c>
      <c r="I7710">
        <v>0</v>
      </c>
      <c r="J7710">
        <v>0</v>
      </c>
      <c r="K7710">
        <v>1</v>
      </c>
      <c r="L7710">
        <v>0</v>
      </c>
      <c r="M7710" t="s">
        <v>122</v>
      </c>
    </row>
    <row r="7711" spans="1:13" hidden="1" x14ac:dyDescent="0.15">
      <c r="A7711" t="s">
        <v>24140</v>
      </c>
      <c r="B7711" t="s">
        <v>24141</v>
      </c>
      <c r="C7711" t="s">
        <v>24142</v>
      </c>
      <c r="D7711" t="s">
        <v>24139</v>
      </c>
      <c r="E7711">
        <v>0</v>
      </c>
      <c r="F7711" t="str">
        <f>HYPERLINK("https://github.com/artyomd/Injector/issues/107", "show")</f>
        <v>show</v>
      </c>
      <c r="G7711" t="str">
        <f>HYPERLINK("https://github.com/artyomd/Injector", "show")</f>
        <v>show</v>
      </c>
      <c r="H7711" t="str">
        <f>HYPERLINK("https://github.com/artyomd/Injector/releases", "show")</f>
        <v>show</v>
      </c>
      <c r="I7711">
        <v>1</v>
      </c>
      <c r="J7711">
        <v>0</v>
      </c>
      <c r="K7711">
        <v>0</v>
      </c>
      <c r="L7711">
        <v>0</v>
      </c>
      <c r="M7711" t="s">
        <v>17</v>
      </c>
    </row>
    <row r="7712" spans="1:13" hidden="1" x14ac:dyDescent="0.15">
      <c r="A7712" t="s">
        <v>24143</v>
      </c>
      <c r="B7712" t="s">
        <v>24144</v>
      </c>
      <c r="C7712" t="s">
        <v>24145</v>
      </c>
      <c r="D7712" t="s">
        <v>24139</v>
      </c>
      <c r="E7712">
        <v>75</v>
      </c>
      <c r="F7712" t="str">
        <f>HYPERLINK("https://github.com/segler-alex/RadioDroid/issues/619", "show")</f>
        <v>show</v>
      </c>
      <c r="G7712" t="str">
        <f>HYPERLINK("https://github.com/segler-alex/RadioDroid", "show")</f>
        <v>show</v>
      </c>
      <c r="H7712" t="str">
        <f>HYPERLINK("https://github.com/segler-alex/RadioDroid/releases", "show")</f>
        <v>show</v>
      </c>
      <c r="I7712">
        <v>1</v>
      </c>
      <c r="J7712">
        <v>0</v>
      </c>
      <c r="K7712">
        <v>0</v>
      </c>
      <c r="L7712">
        <v>0</v>
      </c>
      <c r="M7712" t="s">
        <v>17</v>
      </c>
    </row>
    <row r="7713" spans="1:13" hidden="1" x14ac:dyDescent="0.15">
      <c r="A7713" t="s">
        <v>24146</v>
      </c>
      <c r="B7713" t="s">
        <v>24147</v>
      </c>
      <c r="C7713" t="s">
        <v>24148</v>
      </c>
      <c r="D7713" t="s">
        <v>24139</v>
      </c>
      <c r="E7713">
        <v>1</v>
      </c>
      <c r="F7713" t="str">
        <f>HYPERLINK("https://github.com/commons-app/apps-android-commons/issues/3217", "show")</f>
        <v>show</v>
      </c>
      <c r="G7713" t="str">
        <f>HYPERLINK("https://github.com/commons-app/apps-android-commons", "show")</f>
        <v>show</v>
      </c>
      <c r="H7713" t="str">
        <f>HYPERLINK("https://github.com/commons-app/apps-android-commons/releases", "show")</f>
        <v>show</v>
      </c>
      <c r="I7713">
        <v>0</v>
      </c>
      <c r="J7713">
        <v>1</v>
      </c>
      <c r="K7713">
        <v>1</v>
      </c>
      <c r="L7713">
        <v>0</v>
      </c>
      <c r="M7713" t="s">
        <v>699</v>
      </c>
    </row>
    <row r="7714" spans="1:13" hidden="1" x14ac:dyDescent="0.15">
      <c r="A7714" t="s">
        <v>24149</v>
      </c>
      <c r="B7714" t="s">
        <v>24150</v>
      </c>
      <c r="C7714" t="s">
        <v>24151</v>
      </c>
      <c r="D7714" t="s">
        <v>24152</v>
      </c>
      <c r="E7714">
        <v>10</v>
      </c>
      <c r="F7714" t="str">
        <f>HYPERLINK("https://github.com/nextcloud/android/issues/4877", "show")</f>
        <v>show</v>
      </c>
      <c r="G7714" t="str">
        <f>HYPERLINK("https://github.com/nextcloud/android", "show")</f>
        <v>show</v>
      </c>
      <c r="H7714" t="str">
        <f>HYPERLINK("https://github.com/nextcloud/android/releases", "show")</f>
        <v>show</v>
      </c>
      <c r="I7714">
        <v>0</v>
      </c>
      <c r="J7714">
        <v>1</v>
      </c>
      <c r="K7714">
        <v>1</v>
      </c>
      <c r="L7714">
        <v>0</v>
      </c>
      <c r="M7714" t="s">
        <v>699</v>
      </c>
    </row>
    <row r="7715" spans="1:13" hidden="1" x14ac:dyDescent="0.15">
      <c r="A7715" t="s">
        <v>24153</v>
      </c>
      <c r="B7715" t="s">
        <v>24154</v>
      </c>
      <c r="C7715" t="s">
        <v>24155</v>
      </c>
      <c r="D7715" t="s">
        <v>24152</v>
      </c>
      <c r="E7715">
        <v>21</v>
      </c>
      <c r="F7715" t="str">
        <f>HYPERLINK("https://github.com/Lindronics/flir_app/issues/2", "show")</f>
        <v>show</v>
      </c>
      <c r="G7715" t="str">
        <f>HYPERLINK("https://github.com/Lindronics/flir_app", "show")</f>
        <v>show</v>
      </c>
      <c r="H7715" t="str">
        <f>HYPERLINK("https://github.com/Lindronics/flir_app/releases", "show")</f>
        <v>show</v>
      </c>
      <c r="I7715">
        <v>0</v>
      </c>
      <c r="J7715">
        <v>0</v>
      </c>
      <c r="K7715">
        <v>0</v>
      </c>
      <c r="L7715">
        <v>0</v>
      </c>
      <c r="M7715" t="s">
        <v>43</v>
      </c>
    </row>
    <row r="7716" spans="1:13" hidden="1" x14ac:dyDescent="0.15">
      <c r="A7716" t="s">
        <v>24156</v>
      </c>
      <c r="B7716" t="s">
        <v>24157</v>
      </c>
      <c r="C7716" t="s">
        <v>24158</v>
      </c>
      <c r="D7716" t="s">
        <v>24152</v>
      </c>
      <c r="E7716">
        <v>43</v>
      </c>
      <c r="F7716" t="str">
        <f>HYPERLINK("https://github.com/react-native-svg/react-native-svg/issues/1201", "show")</f>
        <v>show</v>
      </c>
      <c r="G7716" t="str">
        <f>HYPERLINK("https://github.com/react-native-svg/react-native-svg", "show")</f>
        <v>show</v>
      </c>
      <c r="H7716" t="str">
        <f>HYPERLINK("https://github.com/react-native-svg/react-native-svg/releases", "show")</f>
        <v>show</v>
      </c>
      <c r="I7716">
        <v>1</v>
      </c>
      <c r="J7716">
        <v>0</v>
      </c>
      <c r="K7716">
        <v>0</v>
      </c>
      <c r="L7716">
        <v>0</v>
      </c>
      <c r="M7716" t="s">
        <v>17</v>
      </c>
    </row>
    <row r="7717" spans="1:13" hidden="1" x14ac:dyDescent="0.15">
      <c r="A7717" t="s">
        <v>24159</v>
      </c>
      <c r="B7717" t="s">
        <v>24160</v>
      </c>
      <c r="C7717" t="s">
        <v>24161</v>
      </c>
      <c r="D7717" t="s">
        <v>24152</v>
      </c>
      <c r="E7717">
        <v>0</v>
      </c>
      <c r="F7717" t="str">
        <f>HYPERLINK("https://github.com/nextcloud/android/issues/4875", "show")</f>
        <v>show</v>
      </c>
      <c r="G7717" t="str">
        <f>HYPERLINK("https://github.com/nextcloud/android", "show")</f>
        <v>show</v>
      </c>
      <c r="H7717" t="str">
        <f>HYPERLINK("https://github.com/nextcloud/android/releases", "show")</f>
        <v>show</v>
      </c>
      <c r="I7717">
        <v>1</v>
      </c>
      <c r="J7717">
        <v>0</v>
      </c>
      <c r="K7717">
        <v>1</v>
      </c>
      <c r="L7717">
        <v>0</v>
      </c>
      <c r="M7717" t="s">
        <v>64</v>
      </c>
    </row>
    <row r="7718" spans="1:13" hidden="1" x14ac:dyDescent="0.15">
      <c r="A7718" t="s">
        <v>24162</v>
      </c>
      <c r="B7718" t="s">
        <v>24163</v>
      </c>
      <c r="C7718" t="s">
        <v>24164</v>
      </c>
      <c r="D7718" t="s">
        <v>24152</v>
      </c>
      <c r="E7718">
        <v>145</v>
      </c>
      <c r="F7718" t="str">
        <f>HYPERLINK("https://github.com/nextcloud/android/issues/4874", "show")</f>
        <v>show</v>
      </c>
      <c r="G7718" t="str">
        <f>HYPERLINK("https://github.com/nextcloud/android", "show")</f>
        <v>show</v>
      </c>
      <c r="H7718" t="str">
        <f>HYPERLINK("https://github.com/nextcloud/android/releases", "show")</f>
        <v>show</v>
      </c>
      <c r="I7718">
        <v>1</v>
      </c>
      <c r="J7718">
        <v>0</v>
      </c>
      <c r="K7718">
        <v>1</v>
      </c>
      <c r="L7718">
        <v>0</v>
      </c>
      <c r="M7718" t="s">
        <v>64</v>
      </c>
    </row>
    <row r="7719" spans="1:13" hidden="1" x14ac:dyDescent="0.15">
      <c r="A7719" t="s">
        <v>24165</v>
      </c>
      <c r="B7719" t="s">
        <v>24166</v>
      </c>
      <c r="C7719" t="s">
        <v>24167</v>
      </c>
      <c r="D7719" t="s">
        <v>24168</v>
      </c>
      <c r="E7719">
        <v>1</v>
      </c>
      <c r="F7719" t="str">
        <f>HYPERLINK("https://github.com/opensrp/opensrp-client-reveal/issues/579", "show")</f>
        <v>show</v>
      </c>
      <c r="G7719" t="str">
        <f>HYPERLINK("https://github.com/opensrp/opensrp-client-reveal", "show")</f>
        <v>show</v>
      </c>
      <c r="H7719" t="str">
        <f>HYPERLINK("https://github.com/opensrp/opensrp-client-reveal/releases", "show")</f>
        <v>show</v>
      </c>
      <c r="I7719">
        <v>1</v>
      </c>
      <c r="J7719">
        <v>0</v>
      </c>
      <c r="K7719">
        <v>1</v>
      </c>
      <c r="L7719">
        <v>0</v>
      </c>
      <c r="M7719" t="s">
        <v>64</v>
      </c>
    </row>
    <row r="7720" spans="1:13" hidden="1" x14ac:dyDescent="0.15">
      <c r="A7720" t="s">
        <v>24169</v>
      </c>
      <c r="B7720" t="s">
        <v>24170</v>
      </c>
      <c r="C7720" t="s">
        <v>24171</v>
      </c>
      <c r="D7720" t="s">
        <v>24168</v>
      </c>
      <c r="E7720">
        <v>6</v>
      </c>
      <c r="F7720" t="str">
        <f>HYPERLINK("https://github.com/ethand91/mediasoup-android-sample/issues/3", "show")</f>
        <v>show</v>
      </c>
      <c r="G7720" t="str">
        <f>HYPERLINK("https://github.com/ethand91/mediasoup-android-sample", "show")</f>
        <v>show</v>
      </c>
      <c r="H7720" t="str">
        <f>HYPERLINK("https://github.com/ethand91/mediasoup-android-sample/releases", "show")</f>
        <v>show</v>
      </c>
      <c r="I7720">
        <v>1</v>
      </c>
      <c r="J7720">
        <v>0</v>
      </c>
      <c r="K7720">
        <v>1</v>
      </c>
      <c r="L7720">
        <v>0</v>
      </c>
      <c r="M7720" t="s">
        <v>64</v>
      </c>
    </row>
    <row r="7721" spans="1:13" hidden="1" x14ac:dyDescent="0.15">
      <c r="A7721" t="s">
        <v>24172</v>
      </c>
      <c r="B7721" t="s">
        <v>24173</v>
      </c>
      <c r="C7721" t="s">
        <v>24174</v>
      </c>
      <c r="D7721" t="s">
        <v>24168</v>
      </c>
      <c r="E7721">
        <v>4</v>
      </c>
      <c r="F7721" t="str">
        <f>HYPERLINK("https://github.com/dariuszseweryn/RxAndroidBle/issues/648", "show")</f>
        <v>show</v>
      </c>
      <c r="G7721" t="str">
        <f>HYPERLINK("https://github.com/dariuszseweryn/RxAndroidBle", "show")</f>
        <v>show</v>
      </c>
      <c r="H7721" t="str">
        <f>HYPERLINK("https://github.com/dariuszseweryn/RxAndroidBle/releases", "show")</f>
        <v>show</v>
      </c>
      <c r="I7721">
        <v>1</v>
      </c>
      <c r="J7721">
        <v>0</v>
      </c>
      <c r="K7721">
        <v>1</v>
      </c>
      <c r="L7721">
        <v>0</v>
      </c>
      <c r="M7721" t="s">
        <v>64</v>
      </c>
    </row>
    <row r="7722" spans="1:13" hidden="1" x14ac:dyDescent="0.15">
      <c r="A7722" t="s">
        <v>24175</v>
      </c>
      <c r="B7722" t="s">
        <v>24176</v>
      </c>
      <c r="C7722" t="s">
        <v>24177</v>
      </c>
      <c r="D7722" t="s">
        <v>24178</v>
      </c>
      <c r="E7722">
        <v>71</v>
      </c>
      <c r="F7722" t="str">
        <f>HYPERLINK("https://github.com/htl-anichstrasse/htl-catcher/issues/9", "show")</f>
        <v>show</v>
      </c>
      <c r="G7722" t="str">
        <f>HYPERLINK("https://github.com/htl-anichstrasse/htl-catcher", "show")</f>
        <v>show</v>
      </c>
      <c r="H7722" t="str">
        <f>HYPERLINK("https://github.com/htl-anichstrasse/htl-catcher/releases", "show")</f>
        <v>show</v>
      </c>
      <c r="I7722">
        <v>1</v>
      </c>
      <c r="J7722">
        <v>0</v>
      </c>
      <c r="K7722">
        <v>0</v>
      </c>
      <c r="L7722">
        <v>0</v>
      </c>
      <c r="M7722" t="s">
        <v>17</v>
      </c>
    </row>
    <row r="7723" spans="1:13" hidden="1" x14ac:dyDescent="0.15">
      <c r="A7723" t="s">
        <v>24179</v>
      </c>
      <c r="B7723" t="s">
        <v>24180</v>
      </c>
      <c r="C7723" t="s">
        <v>24181</v>
      </c>
      <c r="D7723" t="s">
        <v>24178</v>
      </c>
      <c r="E7723">
        <v>19</v>
      </c>
      <c r="F7723" t="str">
        <f>HYPERLINK("https://github.com/google/ExoPlayer/issues/6674", "show")</f>
        <v>show</v>
      </c>
      <c r="G7723" t="str">
        <f>HYPERLINK("https://github.com/google/ExoPlayer", "show")</f>
        <v>show</v>
      </c>
      <c r="H7723" t="str">
        <f>HYPERLINK("https://github.com/google/ExoPlayer/releases", "show")</f>
        <v>show</v>
      </c>
      <c r="I7723">
        <v>0</v>
      </c>
      <c r="J7723">
        <v>0</v>
      </c>
      <c r="K7723">
        <v>1</v>
      </c>
      <c r="L7723">
        <v>0</v>
      </c>
      <c r="M7723" t="s">
        <v>122</v>
      </c>
    </row>
    <row r="7724" spans="1:13" hidden="1" x14ac:dyDescent="0.15">
      <c r="A7724" t="s">
        <v>24182</v>
      </c>
      <c r="B7724" t="s">
        <v>24183</v>
      </c>
      <c r="C7724" t="s">
        <v>24184</v>
      </c>
      <c r="D7724" t="s">
        <v>24178</v>
      </c>
      <c r="E7724">
        <v>0</v>
      </c>
      <c r="F7724" t="str">
        <f>HYPERLINK("https://github.com/kongzue/Dialog/issues/77", "show")</f>
        <v>show</v>
      </c>
      <c r="G7724" t="str">
        <f>HYPERLINK("https://github.com/kongzue/Dialog", "show")</f>
        <v>show</v>
      </c>
      <c r="H7724" t="str">
        <f>HYPERLINK("https://github.com/kongzue/Dialog/releases", "show")</f>
        <v>show</v>
      </c>
      <c r="I7724">
        <v>0</v>
      </c>
      <c r="J7724">
        <v>0</v>
      </c>
      <c r="K7724">
        <v>0</v>
      </c>
      <c r="L7724">
        <v>0</v>
      </c>
      <c r="M7724" t="s">
        <v>43</v>
      </c>
    </row>
    <row r="7725" spans="1:13" hidden="1" x14ac:dyDescent="0.15">
      <c r="A7725" t="s">
        <v>24185</v>
      </c>
      <c r="B7725" t="s">
        <v>24186</v>
      </c>
      <c r="C7725" t="s">
        <v>24187</v>
      </c>
      <c r="D7725" t="s">
        <v>24188</v>
      </c>
      <c r="E7725">
        <v>15</v>
      </c>
      <c r="F7725" t="str">
        <f>HYPERLINK("https://github.com/opensrp/opensrp-client-chw/issues/1019", "show")</f>
        <v>show</v>
      </c>
      <c r="G7725" t="str">
        <f>HYPERLINK("https://github.com/opensrp/opensrp-client-chw", "show")</f>
        <v>show</v>
      </c>
      <c r="H7725" t="str">
        <f>HYPERLINK("https://github.com/opensrp/opensrp-client-chw/releases", "show")</f>
        <v>show</v>
      </c>
      <c r="I7725">
        <v>1</v>
      </c>
      <c r="J7725">
        <v>0</v>
      </c>
      <c r="K7725">
        <v>0</v>
      </c>
      <c r="L7725">
        <v>0</v>
      </c>
      <c r="M7725" t="s">
        <v>17</v>
      </c>
    </row>
    <row r="7726" spans="1:13" hidden="1" x14ac:dyDescent="0.15">
      <c r="A7726" t="s">
        <v>24189</v>
      </c>
      <c r="B7726" t="s">
        <v>24190</v>
      </c>
      <c r="C7726" t="s">
        <v>24191</v>
      </c>
      <c r="D7726" t="s">
        <v>24188</v>
      </c>
      <c r="E7726">
        <v>13</v>
      </c>
      <c r="F7726" t="str">
        <f>HYPERLINK("https://github.com/opensrp/opensrp-client-chw-anc/issues/369", "show")</f>
        <v>show</v>
      </c>
      <c r="G7726" t="str">
        <f>HYPERLINK("https://github.com/opensrp/opensrp-client-chw-anc", "show")</f>
        <v>show</v>
      </c>
      <c r="H7726" t="str">
        <f>HYPERLINK("https://github.com/opensrp/opensrp-client-chw-anc/releases", "show")</f>
        <v>show</v>
      </c>
      <c r="I7726">
        <v>1</v>
      </c>
      <c r="J7726">
        <v>0</v>
      </c>
      <c r="K7726">
        <v>0</v>
      </c>
      <c r="L7726">
        <v>0</v>
      </c>
      <c r="M7726" t="s">
        <v>17</v>
      </c>
    </row>
    <row r="7727" spans="1:13" hidden="1" x14ac:dyDescent="0.15">
      <c r="A7727" t="s">
        <v>24192</v>
      </c>
      <c r="B7727" t="s">
        <v>24193</v>
      </c>
      <c r="C7727" t="s">
        <v>24194</v>
      </c>
      <c r="D7727" t="s">
        <v>24188</v>
      </c>
      <c r="E7727">
        <v>18</v>
      </c>
      <c r="F7727" t="str">
        <f>HYPERLINK("https://github.com/geopaparazzi/geopaparazzi/issues/641", "show")</f>
        <v>show</v>
      </c>
      <c r="G7727" t="str">
        <f>HYPERLINK("https://github.com/geopaparazzi/geopaparazzi", "show")</f>
        <v>show</v>
      </c>
      <c r="H7727" t="str">
        <f>HYPERLINK("https://github.com/geopaparazzi/geopaparazzi/releases", "show")</f>
        <v>show</v>
      </c>
      <c r="I7727">
        <v>0</v>
      </c>
      <c r="J7727">
        <v>0</v>
      </c>
      <c r="K7727">
        <v>1</v>
      </c>
      <c r="L7727">
        <v>0</v>
      </c>
      <c r="M7727" t="s">
        <v>122</v>
      </c>
    </row>
    <row r="7728" spans="1:13" hidden="1" x14ac:dyDescent="0.15">
      <c r="A7728" t="s">
        <v>24195</v>
      </c>
      <c r="B7728" t="s">
        <v>24196</v>
      </c>
      <c r="C7728" t="s">
        <v>24197</v>
      </c>
      <c r="D7728" t="s">
        <v>24198</v>
      </c>
      <c r="E7728">
        <v>1</v>
      </c>
      <c r="F7728" t="str">
        <f>HYPERLINK("https://github.com/triniwiz/nativescript-image-cache-it/issues/62", "show")</f>
        <v>show</v>
      </c>
      <c r="G7728" t="str">
        <f>HYPERLINK("https://github.com/triniwiz/nativescript-image-cache-it", "show")</f>
        <v>show</v>
      </c>
      <c r="H7728" t="str">
        <f>HYPERLINK("https://github.com/triniwiz/nativescript-image-cache-it/releases", "show")</f>
        <v>show</v>
      </c>
      <c r="I7728">
        <v>0</v>
      </c>
      <c r="J7728">
        <v>0</v>
      </c>
      <c r="K7728">
        <v>0</v>
      </c>
      <c r="L7728">
        <v>0</v>
      </c>
      <c r="M7728" t="s">
        <v>43</v>
      </c>
    </row>
    <row r="7729" spans="1:13" hidden="1" x14ac:dyDescent="0.15">
      <c r="A7729" t="s">
        <v>24199</v>
      </c>
      <c r="B7729" t="s">
        <v>24200</v>
      </c>
      <c r="C7729" t="s">
        <v>24201</v>
      </c>
      <c r="D7729" t="s">
        <v>24198</v>
      </c>
      <c r="E7729">
        <v>2</v>
      </c>
      <c r="F7729" t="str">
        <f>HYPERLINK("https://github.com/nextcloud/android/issues/4842", "show")</f>
        <v>show</v>
      </c>
      <c r="G7729" t="str">
        <f>HYPERLINK("https://github.com/nextcloud/android", "show")</f>
        <v>show</v>
      </c>
      <c r="H7729" t="str">
        <f>HYPERLINK("https://github.com/nextcloud/android/releases", "show")</f>
        <v>show</v>
      </c>
      <c r="I7729">
        <v>1</v>
      </c>
      <c r="J7729">
        <v>1</v>
      </c>
      <c r="K7729">
        <v>1</v>
      </c>
      <c r="L7729">
        <v>0</v>
      </c>
      <c r="M7729" t="s">
        <v>59</v>
      </c>
    </row>
    <row r="7730" spans="1:13" hidden="1" x14ac:dyDescent="0.15">
      <c r="A7730" t="s">
        <v>24202</v>
      </c>
      <c r="B7730" t="s">
        <v>24203</v>
      </c>
      <c r="C7730" t="s">
        <v>24204</v>
      </c>
      <c r="D7730" t="s">
        <v>24198</v>
      </c>
      <c r="E7730">
        <v>357</v>
      </c>
      <c r="F7730" t="str">
        <f>HYPERLINK("https://github.com/Intelehealth/Android-Mobile-Client/issues/776", "show")</f>
        <v>show</v>
      </c>
      <c r="G7730" t="str">
        <f>HYPERLINK("https://github.com/Intelehealth/Android-Mobile-Client", "show")</f>
        <v>show</v>
      </c>
      <c r="H7730" t="str">
        <f>HYPERLINK("https://github.com/Intelehealth/Android-Mobile-Client/releases", "show")</f>
        <v>show</v>
      </c>
      <c r="I7730">
        <v>1</v>
      </c>
      <c r="J7730">
        <v>0</v>
      </c>
      <c r="K7730">
        <v>0</v>
      </c>
      <c r="L7730">
        <v>0</v>
      </c>
      <c r="M7730" t="s">
        <v>17</v>
      </c>
    </row>
    <row r="7731" spans="1:13" hidden="1" x14ac:dyDescent="0.15">
      <c r="A7731" t="s">
        <v>24205</v>
      </c>
      <c r="B7731" t="s">
        <v>24206</v>
      </c>
      <c r="C7731" t="s">
        <v>24207</v>
      </c>
      <c r="D7731" t="s">
        <v>24208</v>
      </c>
      <c r="E7731">
        <v>80</v>
      </c>
      <c r="F7731" t="str">
        <f>HYPERLINK("https://github.com/ionic-team/capacitor/issues/2186", "show")</f>
        <v>show</v>
      </c>
      <c r="G7731" t="str">
        <f>HYPERLINK("https://github.com/ionic-team/capacitor", "show")</f>
        <v>show</v>
      </c>
      <c r="H7731" t="str">
        <f>HYPERLINK("https://github.com/ionic-team/capacitor/releases", "show")</f>
        <v>show</v>
      </c>
      <c r="I7731">
        <v>1</v>
      </c>
      <c r="J7731">
        <v>0</v>
      </c>
      <c r="K7731">
        <v>1</v>
      </c>
      <c r="L7731">
        <v>0</v>
      </c>
      <c r="M7731" t="s">
        <v>64</v>
      </c>
    </row>
    <row r="7732" spans="1:13" hidden="1" x14ac:dyDescent="0.15">
      <c r="A7732" t="s">
        <v>24209</v>
      </c>
      <c r="B7732" t="s">
        <v>24210</v>
      </c>
      <c r="C7732" t="s">
        <v>24211</v>
      </c>
      <c r="D7732" t="s">
        <v>24208</v>
      </c>
      <c r="E7732">
        <v>1</v>
      </c>
      <c r="F7732" t="str">
        <f>HYPERLINK("https://github.com/square/okhttp/issues/5605", "show")</f>
        <v>show</v>
      </c>
      <c r="G7732" t="str">
        <f>HYPERLINK("https://github.com/square/okhttp", "show")</f>
        <v>show</v>
      </c>
      <c r="H7732" t="str">
        <f>HYPERLINK("https://github.com/square/okhttp/releases", "show")</f>
        <v>show</v>
      </c>
      <c r="I7732">
        <v>0</v>
      </c>
      <c r="J7732">
        <v>0</v>
      </c>
      <c r="K7732">
        <v>0</v>
      </c>
      <c r="L7732">
        <v>0</v>
      </c>
      <c r="M7732" t="s">
        <v>43</v>
      </c>
    </row>
    <row r="7733" spans="1:13" hidden="1" x14ac:dyDescent="0.15">
      <c r="A7733" t="s">
        <v>24212</v>
      </c>
      <c r="B7733" t="s">
        <v>24213</v>
      </c>
      <c r="C7733" t="s">
        <v>24214</v>
      </c>
      <c r="D7733" t="s">
        <v>24208</v>
      </c>
      <c r="E7733">
        <v>16</v>
      </c>
      <c r="F7733" t="str">
        <f>HYPERLINK("https://github.com/nextcloud/android/issues/4838", "show")</f>
        <v>show</v>
      </c>
      <c r="G7733" t="str">
        <f>HYPERLINK("https://github.com/nextcloud/android", "show")</f>
        <v>show</v>
      </c>
      <c r="H7733" t="str">
        <f>HYPERLINK("https://github.com/nextcloud/android/releases", "show")</f>
        <v>show</v>
      </c>
      <c r="I7733">
        <v>1</v>
      </c>
      <c r="J7733">
        <v>1</v>
      </c>
      <c r="K7733">
        <v>1</v>
      </c>
      <c r="L7733">
        <v>0</v>
      </c>
      <c r="M7733" t="s">
        <v>59</v>
      </c>
    </row>
    <row r="7734" spans="1:13" hidden="1" x14ac:dyDescent="0.15">
      <c r="A7734" t="s">
        <v>24215</v>
      </c>
      <c r="B7734" t="s">
        <v>24216</v>
      </c>
      <c r="C7734" t="s">
        <v>24217</v>
      </c>
      <c r="D7734" t="s">
        <v>24208</v>
      </c>
      <c r="E7734">
        <v>59</v>
      </c>
      <c r="F7734" t="str">
        <f>HYPERLINK("https://github.com/nextcloud/android/issues/4836", "show")</f>
        <v>show</v>
      </c>
      <c r="G7734" t="str">
        <f>HYPERLINK("https://github.com/nextcloud/android", "show")</f>
        <v>show</v>
      </c>
      <c r="H7734" t="str">
        <f>HYPERLINK("https://github.com/nextcloud/android/releases", "show")</f>
        <v>show</v>
      </c>
      <c r="I7734">
        <v>1</v>
      </c>
      <c r="J7734">
        <v>1</v>
      </c>
      <c r="K7734">
        <v>1</v>
      </c>
      <c r="L7734">
        <v>0</v>
      </c>
      <c r="M7734" t="s">
        <v>59</v>
      </c>
    </row>
    <row r="7735" spans="1:13" hidden="1" x14ac:dyDescent="0.15">
      <c r="A7735" t="s">
        <v>24218</v>
      </c>
      <c r="B7735" t="s">
        <v>24219</v>
      </c>
      <c r="D7735" t="s">
        <v>24220</v>
      </c>
      <c r="E7735">
        <v>2</v>
      </c>
      <c r="F7735" t="str">
        <f>HYPERLINK("https://github.com/compumovil1930/Ratatouille/issues/69", "show")</f>
        <v>show</v>
      </c>
      <c r="G7735" t="str">
        <f>HYPERLINK("https://github.com/compumovil1930/Ratatouille", "show")</f>
        <v>show</v>
      </c>
      <c r="H7735" t="str">
        <f>HYPERLINK("https://github.com/compumovil1930/Ratatouille/releases", "show")</f>
        <v>show</v>
      </c>
      <c r="I7735">
        <v>1</v>
      </c>
      <c r="J7735">
        <v>0</v>
      </c>
      <c r="K7735">
        <v>0</v>
      </c>
      <c r="L7735">
        <v>0</v>
      </c>
      <c r="M7735" t="s">
        <v>17</v>
      </c>
    </row>
    <row r="7736" spans="1:13" hidden="1" x14ac:dyDescent="0.15">
      <c r="A7736" t="s">
        <v>24221</v>
      </c>
      <c r="B7736" t="s">
        <v>24222</v>
      </c>
      <c r="C7736" t="s">
        <v>24223</v>
      </c>
      <c r="D7736" t="s">
        <v>24220</v>
      </c>
      <c r="E7736">
        <v>2</v>
      </c>
      <c r="F7736" t="str">
        <f>HYPERLINK("https://github.com/square/react-native-square-reader-sdk/issues/101", "show")</f>
        <v>show</v>
      </c>
      <c r="G7736" t="str">
        <f>HYPERLINK("https://github.com/square/react-native-square-reader-sdk", "show")</f>
        <v>show</v>
      </c>
      <c r="H7736" t="str">
        <f>HYPERLINK("https://github.com/square/react-native-square-reader-sdk/releases", "show")</f>
        <v>show</v>
      </c>
      <c r="I7736">
        <v>1</v>
      </c>
      <c r="J7736">
        <v>0</v>
      </c>
      <c r="K7736">
        <v>0</v>
      </c>
      <c r="L7736">
        <v>0</v>
      </c>
      <c r="M7736" t="s">
        <v>17</v>
      </c>
    </row>
    <row r="7737" spans="1:13" hidden="1" x14ac:dyDescent="0.15">
      <c r="A7737" t="s">
        <v>24224</v>
      </c>
      <c r="B7737" t="s">
        <v>24225</v>
      </c>
      <c r="C7737" t="s">
        <v>24226</v>
      </c>
      <c r="D7737" t="s">
        <v>24220</v>
      </c>
      <c r="E7737">
        <v>159</v>
      </c>
      <c r="F7737" t="str">
        <f>HYPERLINK("https://github.com/fossasia/pslab-android/issues/2008", "show")</f>
        <v>show</v>
      </c>
      <c r="G7737" t="str">
        <f>HYPERLINK("https://github.com/fossasia/pslab-android", "show")</f>
        <v>show</v>
      </c>
      <c r="H7737" t="str">
        <f>HYPERLINK("https://github.com/fossasia/pslab-android/releases", "show")</f>
        <v>show</v>
      </c>
      <c r="I7737">
        <v>1</v>
      </c>
      <c r="J7737">
        <v>1</v>
      </c>
      <c r="K7737">
        <v>1</v>
      </c>
      <c r="L7737">
        <v>0</v>
      </c>
      <c r="M7737" t="s">
        <v>59</v>
      </c>
    </row>
    <row r="7738" spans="1:13" hidden="1" x14ac:dyDescent="0.15">
      <c r="A7738" t="s">
        <v>24227</v>
      </c>
      <c r="B7738" t="s">
        <v>24228</v>
      </c>
      <c r="C7738" t="s">
        <v>24229</v>
      </c>
      <c r="D7738" t="s">
        <v>24230</v>
      </c>
      <c r="E7738">
        <v>81</v>
      </c>
      <c r="F7738" t="str">
        <f>HYPERLINK("https://github.com/material-components/material-components-android/issues/765", "show")</f>
        <v>show</v>
      </c>
      <c r="G7738" t="str">
        <f>HYPERLINK("https://github.com/material-components/material-components-android", "show")</f>
        <v>show</v>
      </c>
      <c r="H7738" t="str">
        <f>HYPERLINK("https://github.com/material-components/material-components-android/releases", "show")</f>
        <v>show</v>
      </c>
      <c r="I7738">
        <v>1</v>
      </c>
      <c r="J7738">
        <v>0</v>
      </c>
      <c r="K7738">
        <v>1</v>
      </c>
      <c r="L7738">
        <v>0</v>
      </c>
      <c r="M7738" t="s">
        <v>64</v>
      </c>
    </row>
    <row r="7739" spans="1:13" hidden="1" x14ac:dyDescent="0.15">
      <c r="A7739" t="s">
        <v>24231</v>
      </c>
      <c r="B7739" t="s">
        <v>24232</v>
      </c>
      <c r="C7739" t="s">
        <v>24233</v>
      </c>
      <c r="D7739" t="s">
        <v>24234</v>
      </c>
      <c r="E7739">
        <v>7</v>
      </c>
      <c r="F7739" t="str">
        <f>HYPERLINK("https://github.com/react-native-camera/react-native-camera/issues/2587", "show")</f>
        <v>show</v>
      </c>
      <c r="G7739" t="str">
        <f>HYPERLINK("https://github.com/react-native-camera/react-native-camera", "show")</f>
        <v>show</v>
      </c>
      <c r="H7739" t="str">
        <f>HYPERLINK("https://github.com/react-native-camera/react-native-camera/releases", "show")</f>
        <v>show</v>
      </c>
      <c r="I7739">
        <v>1</v>
      </c>
      <c r="J7739">
        <v>1</v>
      </c>
      <c r="K7739">
        <v>0</v>
      </c>
      <c r="L7739">
        <v>1</v>
      </c>
      <c r="M7739" t="s">
        <v>1894</v>
      </c>
    </row>
    <row r="7740" spans="1:13" hidden="1" x14ac:dyDescent="0.15">
      <c r="A7740" t="s">
        <v>24235</v>
      </c>
      <c r="B7740" t="s">
        <v>24236</v>
      </c>
      <c r="C7740" t="s">
        <v>24237</v>
      </c>
      <c r="D7740" t="s">
        <v>24234</v>
      </c>
      <c r="E7740">
        <v>8</v>
      </c>
      <c r="F7740" t="str">
        <f>HYPERLINK("https://github.com/classapp/react-native-video-helper/issues/16", "show")</f>
        <v>show</v>
      </c>
      <c r="G7740" t="str">
        <f>HYPERLINK("https://github.com/classapp/react-native-video-helper", "show")</f>
        <v>show</v>
      </c>
      <c r="H7740" t="str">
        <f>HYPERLINK("https://github.com/classapp/react-native-video-helper/releases", "show")</f>
        <v>show</v>
      </c>
      <c r="I7740">
        <v>1</v>
      </c>
      <c r="J7740">
        <v>0</v>
      </c>
      <c r="K7740">
        <v>0</v>
      </c>
      <c r="L7740">
        <v>0</v>
      </c>
      <c r="M7740" t="s">
        <v>17</v>
      </c>
    </row>
    <row r="7741" spans="1:13" hidden="1" x14ac:dyDescent="0.15">
      <c r="A7741" t="s">
        <v>24238</v>
      </c>
      <c r="B7741" t="s">
        <v>24239</v>
      </c>
      <c r="C7741" t="s">
        <v>24240</v>
      </c>
      <c r="D7741" t="s">
        <v>24241</v>
      </c>
      <c r="E7741">
        <v>11</v>
      </c>
      <c r="F7741" t="str">
        <f>HYPERLINK("https://github.com/commons-app/apps-android-commons/issues/3203", "show")</f>
        <v>show</v>
      </c>
      <c r="G7741" t="str">
        <f>HYPERLINK("https://github.com/commons-app/apps-android-commons", "show")</f>
        <v>show</v>
      </c>
      <c r="H7741" t="str">
        <f>HYPERLINK("https://github.com/commons-app/apps-android-commons/releases", "show")</f>
        <v>show</v>
      </c>
      <c r="I7741">
        <v>1</v>
      </c>
      <c r="J7741">
        <v>1</v>
      </c>
      <c r="K7741">
        <v>0</v>
      </c>
      <c r="L7741">
        <v>1</v>
      </c>
      <c r="M7741" t="s">
        <v>1894</v>
      </c>
    </row>
    <row r="7742" spans="1:13" hidden="1" x14ac:dyDescent="0.15">
      <c r="A7742" t="s">
        <v>24242</v>
      </c>
      <c r="B7742" t="s">
        <v>4257</v>
      </c>
      <c r="C7742" t="s">
        <v>24243</v>
      </c>
      <c r="D7742" t="s">
        <v>24241</v>
      </c>
      <c r="E7742">
        <v>6</v>
      </c>
      <c r="F7742" t="str">
        <f>HYPERLINK("https://github.com/renyuneyun/Easer/issues/290", "show")</f>
        <v>show</v>
      </c>
      <c r="G7742" t="str">
        <f>HYPERLINK("https://github.com/renyuneyun/Easer", "show")</f>
        <v>show</v>
      </c>
      <c r="H7742" t="str">
        <f>HYPERLINK("https://github.com/renyuneyun/Easer/releases", "show")</f>
        <v>show</v>
      </c>
      <c r="I7742">
        <v>1</v>
      </c>
      <c r="J7742">
        <v>1</v>
      </c>
      <c r="K7742">
        <v>1</v>
      </c>
      <c r="L7742">
        <v>0</v>
      </c>
      <c r="M7742" t="s">
        <v>59</v>
      </c>
    </row>
    <row r="7743" spans="1:13" hidden="1" x14ac:dyDescent="0.15">
      <c r="A7743" t="s">
        <v>24244</v>
      </c>
      <c r="B7743" t="s">
        <v>24245</v>
      </c>
      <c r="C7743" t="s">
        <v>24246</v>
      </c>
      <c r="D7743" t="s">
        <v>24247</v>
      </c>
      <c r="E7743">
        <v>15</v>
      </c>
      <c r="F7743" t="str">
        <f>HYPERLINK("https://github.com/CMPUT301F19T09/vibes/issues/102", "show")</f>
        <v>show</v>
      </c>
      <c r="G7743" t="str">
        <f>HYPERLINK("https://github.com/CMPUT301F19T09/vibes", "show")</f>
        <v>show</v>
      </c>
      <c r="H7743" t="str">
        <f>HYPERLINK("https://github.com/CMPUT301F19T09/vibes/releases", "show")</f>
        <v>show</v>
      </c>
      <c r="I7743">
        <v>1</v>
      </c>
      <c r="J7743">
        <v>0</v>
      </c>
      <c r="K7743">
        <v>1</v>
      </c>
      <c r="L7743">
        <v>0</v>
      </c>
      <c r="M7743" t="s">
        <v>64</v>
      </c>
    </row>
    <row r="7744" spans="1:13" hidden="1" x14ac:dyDescent="0.15">
      <c r="A7744" t="s">
        <v>24248</v>
      </c>
      <c r="B7744" t="s">
        <v>24249</v>
      </c>
      <c r="C7744" t="s">
        <v>24250</v>
      </c>
      <c r="D7744" t="s">
        <v>24247</v>
      </c>
      <c r="E7744">
        <v>18</v>
      </c>
      <c r="F7744" t="str">
        <f>HYPERLINK("https://github.com/OpenArchive/Save-app-android/issues/157", "show")</f>
        <v>show</v>
      </c>
      <c r="G7744" t="str">
        <f>HYPERLINK("https://github.com/OpenArchive/Save-app-android", "show")</f>
        <v>show</v>
      </c>
      <c r="H7744" t="str">
        <f>HYPERLINK("https://github.com/OpenArchive/Save-app-android/releases", "show")</f>
        <v>show</v>
      </c>
      <c r="I7744">
        <v>1</v>
      </c>
      <c r="J7744">
        <v>1</v>
      </c>
      <c r="K7744">
        <v>0</v>
      </c>
      <c r="L7744">
        <v>0</v>
      </c>
      <c r="M7744" t="s">
        <v>48</v>
      </c>
    </row>
    <row r="7745" spans="1:13" hidden="1" x14ac:dyDescent="0.15">
      <c r="A7745" t="s">
        <v>24251</v>
      </c>
      <c r="B7745" t="s">
        <v>24252</v>
      </c>
      <c r="C7745" t="s">
        <v>24253</v>
      </c>
      <c r="D7745" t="s">
        <v>24247</v>
      </c>
      <c r="E7745">
        <v>18</v>
      </c>
      <c r="F7745" t="str">
        <f>HYPERLINK("https://github.com/OpenArchive/Save-app-android/issues/153", "show")</f>
        <v>show</v>
      </c>
      <c r="G7745" t="str">
        <f>HYPERLINK("https://github.com/OpenArchive/Save-app-android", "show")</f>
        <v>show</v>
      </c>
      <c r="H7745" t="str">
        <f>HYPERLINK("https://github.com/OpenArchive/Save-app-android/releases", "show")</f>
        <v>show</v>
      </c>
      <c r="I7745">
        <v>1</v>
      </c>
      <c r="J7745">
        <v>1</v>
      </c>
      <c r="K7745">
        <v>0</v>
      </c>
      <c r="L7745">
        <v>0</v>
      </c>
      <c r="M7745" t="s">
        <v>48</v>
      </c>
    </row>
    <row r="7746" spans="1:13" hidden="1" x14ac:dyDescent="0.15">
      <c r="A7746" t="s">
        <v>24254</v>
      </c>
      <c r="B7746" t="s">
        <v>24255</v>
      </c>
      <c r="C7746" t="s">
        <v>24256</v>
      </c>
      <c r="D7746" t="s">
        <v>24247</v>
      </c>
      <c r="E7746">
        <v>8</v>
      </c>
      <c r="F7746" t="str">
        <f>HYPERLINK("https://github.com/k9mail/k-9/issues/4248", "show")</f>
        <v>show</v>
      </c>
      <c r="G7746" t="str">
        <f>HYPERLINK("https://github.com/k9mail/k-9", "show")</f>
        <v>show</v>
      </c>
      <c r="H7746" t="str">
        <f>HYPERLINK("https://github.com/k9mail/k-9/releases", "show")</f>
        <v>show</v>
      </c>
      <c r="I7746">
        <v>1</v>
      </c>
      <c r="J7746">
        <v>1</v>
      </c>
      <c r="K7746">
        <v>1</v>
      </c>
      <c r="L7746">
        <v>0</v>
      </c>
      <c r="M7746" t="s">
        <v>59</v>
      </c>
    </row>
    <row r="7747" spans="1:13" hidden="1" x14ac:dyDescent="0.15">
      <c r="A7747" t="s">
        <v>24257</v>
      </c>
      <c r="B7747" t="s">
        <v>24258</v>
      </c>
      <c r="C7747" t="s">
        <v>24259</v>
      </c>
      <c r="D7747" t="s">
        <v>24260</v>
      </c>
      <c r="E7747">
        <v>44</v>
      </c>
      <c r="F7747" t="str">
        <f>HYPERLINK("https://github.com/nextcloud/android/issues/4818", "show")</f>
        <v>show</v>
      </c>
      <c r="G7747" t="str">
        <f>HYPERLINK("https://github.com/nextcloud/android", "show")</f>
        <v>show</v>
      </c>
      <c r="H7747" t="str">
        <f>HYPERLINK("https://github.com/nextcloud/android/releases", "show")</f>
        <v>show</v>
      </c>
      <c r="I7747">
        <v>1</v>
      </c>
      <c r="J7747">
        <v>0</v>
      </c>
      <c r="K7747">
        <v>1</v>
      </c>
      <c r="L7747">
        <v>0</v>
      </c>
      <c r="M7747" t="s">
        <v>64</v>
      </c>
    </row>
    <row r="7748" spans="1:13" hidden="1" x14ac:dyDescent="0.15">
      <c r="A7748" t="s">
        <v>24261</v>
      </c>
      <c r="B7748" t="s">
        <v>24262</v>
      </c>
      <c r="C7748" t="s">
        <v>24263</v>
      </c>
      <c r="D7748" t="s">
        <v>24260</v>
      </c>
      <c r="E7748">
        <v>19</v>
      </c>
      <c r="F7748" t="str">
        <f>HYPERLINK("https://github.com/CordelleNeufeld/FitBrosApp/issues/28", "show")</f>
        <v>show</v>
      </c>
      <c r="G7748" t="str">
        <f>HYPERLINK("https://github.com/CordelleNeufeld/FitBrosApp", "show")</f>
        <v>show</v>
      </c>
      <c r="H7748" t="str">
        <f>HYPERLINK("https://github.com/CordelleNeufeld/FitBrosApp/releases", "show")</f>
        <v>show</v>
      </c>
      <c r="I7748">
        <v>1</v>
      </c>
      <c r="J7748">
        <v>0</v>
      </c>
      <c r="K7748">
        <v>0</v>
      </c>
      <c r="L7748">
        <v>0</v>
      </c>
      <c r="M7748" t="s">
        <v>17</v>
      </c>
    </row>
    <row r="7749" spans="1:13" hidden="1" x14ac:dyDescent="0.15">
      <c r="A7749" t="s">
        <v>24264</v>
      </c>
      <c r="B7749" t="s">
        <v>24265</v>
      </c>
      <c r="C7749" t="s">
        <v>24266</v>
      </c>
      <c r="D7749" t="s">
        <v>24260</v>
      </c>
      <c r="E7749">
        <v>35</v>
      </c>
      <c r="F7749" t="str">
        <f>HYPERLINK("https://github.com/applivery/applivery-android-sdk/issues/50", "show")</f>
        <v>show</v>
      </c>
      <c r="G7749" t="str">
        <f>HYPERLINK("https://github.com/applivery/applivery-android-sdk", "show")</f>
        <v>show</v>
      </c>
      <c r="H7749" t="str">
        <f>HYPERLINK("https://github.com/applivery/applivery-android-sdk/releases", "show")</f>
        <v>show</v>
      </c>
      <c r="I7749">
        <v>0</v>
      </c>
      <c r="J7749">
        <v>0</v>
      </c>
      <c r="K7749">
        <v>0</v>
      </c>
      <c r="L7749">
        <v>1</v>
      </c>
      <c r="M7749" t="s">
        <v>581</v>
      </c>
    </row>
    <row r="7750" spans="1:13" hidden="1" x14ac:dyDescent="0.15">
      <c r="A7750" t="s">
        <v>24267</v>
      </c>
      <c r="B7750" t="s">
        <v>24268</v>
      </c>
      <c r="C7750" t="s">
        <v>24269</v>
      </c>
      <c r="D7750" t="s">
        <v>24260</v>
      </c>
      <c r="E7750">
        <v>0</v>
      </c>
      <c r="F7750" t="str">
        <f>HYPERLINK("https://github.com/nextcloud/android/issues/4816", "show")</f>
        <v>show</v>
      </c>
      <c r="G7750" t="str">
        <f>HYPERLINK("https://github.com/nextcloud/android", "show")</f>
        <v>show</v>
      </c>
      <c r="H7750" t="str">
        <f>HYPERLINK("https://github.com/nextcloud/android/releases", "show")</f>
        <v>show</v>
      </c>
      <c r="I7750">
        <v>0</v>
      </c>
      <c r="J7750">
        <v>0</v>
      </c>
      <c r="K7750">
        <v>0</v>
      </c>
      <c r="L7750">
        <v>0</v>
      </c>
      <c r="M7750" t="s">
        <v>43</v>
      </c>
    </row>
    <row r="7751" spans="1:13" hidden="1" x14ac:dyDescent="0.15">
      <c r="A7751" t="s">
        <v>24270</v>
      </c>
      <c r="B7751" t="s">
        <v>24271</v>
      </c>
      <c r="C7751" t="s">
        <v>24272</v>
      </c>
      <c r="D7751" t="s">
        <v>24260</v>
      </c>
      <c r="E7751">
        <v>204</v>
      </c>
      <c r="F7751" t="str">
        <f>HYPERLINK("https://github.com/GoogleChrome/android-browser-helper/issues/38", "show")</f>
        <v>show</v>
      </c>
      <c r="G7751" t="str">
        <f>HYPERLINK("https://github.com/GoogleChrome/android-browser-helper", "show")</f>
        <v>show</v>
      </c>
      <c r="H7751" t="str">
        <f>HYPERLINK("https://github.com/GoogleChrome/android-browser-helper/releases", "show")</f>
        <v>show</v>
      </c>
      <c r="I7751">
        <v>1</v>
      </c>
      <c r="J7751">
        <v>0</v>
      </c>
      <c r="K7751">
        <v>1</v>
      </c>
      <c r="L7751">
        <v>0</v>
      </c>
      <c r="M7751" t="s">
        <v>64</v>
      </c>
    </row>
    <row r="7752" spans="1:13" hidden="1" x14ac:dyDescent="0.15">
      <c r="A7752" t="s">
        <v>24273</v>
      </c>
      <c r="B7752" t="s">
        <v>24274</v>
      </c>
      <c r="C7752" t="s">
        <v>24275</v>
      </c>
      <c r="D7752" t="s">
        <v>24276</v>
      </c>
      <c r="E7752">
        <v>16</v>
      </c>
      <c r="F7752" t="str">
        <f>HYPERLINK("https://github.com/nextcloud/android/issues/4812", "show")</f>
        <v>show</v>
      </c>
      <c r="G7752" t="str">
        <f>HYPERLINK("https://github.com/nextcloud/android", "show")</f>
        <v>show</v>
      </c>
      <c r="H7752" t="str">
        <f>HYPERLINK("https://github.com/nextcloud/android/releases", "show")</f>
        <v>show</v>
      </c>
      <c r="I7752">
        <v>1</v>
      </c>
      <c r="J7752">
        <v>0</v>
      </c>
      <c r="K7752">
        <v>1</v>
      </c>
      <c r="L7752">
        <v>0</v>
      </c>
      <c r="M7752" t="s">
        <v>64</v>
      </c>
    </row>
    <row r="7753" spans="1:13" hidden="1" x14ac:dyDescent="0.15">
      <c r="A7753" t="s">
        <v>24277</v>
      </c>
      <c r="B7753" t="s">
        <v>24278</v>
      </c>
      <c r="C7753" t="s">
        <v>24279</v>
      </c>
      <c r="D7753" t="s">
        <v>24276</v>
      </c>
      <c r="E7753">
        <v>23</v>
      </c>
      <c r="F7753" t="str">
        <f>HYPERLINK("https://github.com/nextcloud/android/issues/4811", "show")</f>
        <v>show</v>
      </c>
      <c r="G7753" t="str">
        <f>HYPERLINK("https://github.com/nextcloud/android", "show")</f>
        <v>show</v>
      </c>
      <c r="H7753" t="str">
        <f>HYPERLINK("https://github.com/nextcloud/android/releases", "show")</f>
        <v>show</v>
      </c>
      <c r="I7753">
        <v>0</v>
      </c>
      <c r="J7753">
        <v>1</v>
      </c>
      <c r="K7753">
        <v>1</v>
      </c>
      <c r="L7753">
        <v>0</v>
      </c>
      <c r="M7753" t="s">
        <v>699</v>
      </c>
    </row>
    <row r="7754" spans="1:13" hidden="1" x14ac:dyDescent="0.15">
      <c r="A7754" t="s">
        <v>24280</v>
      </c>
      <c r="B7754" t="s">
        <v>24281</v>
      </c>
      <c r="C7754" t="s">
        <v>24282</v>
      </c>
      <c r="D7754" t="s">
        <v>24283</v>
      </c>
      <c r="E7754">
        <v>10</v>
      </c>
      <c r="F7754" t="str">
        <f>HYPERLINK("https://github.com/galbertsson/EdgeLight/issues/6", "show")</f>
        <v>show</v>
      </c>
      <c r="G7754" t="str">
        <f>HYPERLINK("https://github.com/galbertsson/EdgeLight", "show")</f>
        <v>show</v>
      </c>
      <c r="H7754" t="str">
        <f>HYPERLINK("https://github.com/galbertsson/EdgeLight/releases", "show")</f>
        <v>show</v>
      </c>
      <c r="I7754">
        <v>0</v>
      </c>
      <c r="J7754">
        <v>0</v>
      </c>
      <c r="K7754">
        <v>0</v>
      </c>
      <c r="L7754">
        <v>0</v>
      </c>
      <c r="M7754" t="s">
        <v>43</v>
      </c>
    </row>
    <row r="7755" spans="1:13" hidden="1" x14ac:dyDescent="0.15">
      <c r="A7755" t="s">
        <v>24284</v>
      </c>
      <c r="B7755" t="s">
        <v>24285</v>
      </c>
      <c r="C7755" t="s">
        <v>24286</v>
      </c>
      <c r="D7755" t="s">
        <v>24283</v>
      </c>
      <c r="E7755">
        <v>86</v>
      </c>
      <c r="F7755" t="str">
        <f>HYPERLINK("https://github.com/react-native-share/react-native-share/issues/627", "show")</f>
        <v>show</v>
      </c>
      <c r="G7755" t="str">
        <f>HYPERLINK("https://github.com/react-native-share/react-native-share", "show")</f>
        <v>show</v>
      </c>
      <c r="H7755" t="str">
        <f>HYPERLINK("https://github.com/react-native-share/react-native-share/releases", "show")</f>
        <v>show</v>
      </c>
      <c r="I7755">
        <v>1</v>
      </c>
      <c r="J7755">
        <v>1</v>
      </c>
      <c r="K7755">
        <v>0</v>
      </c>
      <c r="L7755">
        <v>0</v>
      </c>
      <c r="M7755" t="s">
        <v>48</v>
      </c>
    </row>
    <row r="7756" spans="1:13" hidden="1" x14ac:dyDescent="0.15">
      <c r="A7756" t="s">
        <v>24287</v>
      </c>
      <c r="B7756" t="s">
        <v>4312</v>
      </c>
      <c r="C7756" t="s">
        <v>24288</v>
      </c>
      <c r="D7756" t="s">
        <v>24283</v>
      </c>
      <c r="E7756">
        <v>1</v>
      </c>
      <c r="F7756" t="str">
        <f>HYPERLINK("https://github.com/zhanghai/AndroidFastScroll/issues/4", "show")</f>
        <v>show</v>
      </c>
      <c r="G7756" t="str">
        <f>HYPERLINK("https://github.com/zhanghai/AndroidFastScroll", "show")</f>
        <v>show</v>
      </c>
      <c r="H7756" t="str">
        <f>HYPERLINK("https://github.com/zhanghai/AndroidFastScroll/releases", "show")</f>
        <v>show</v>
      </c>
      <c r="I7756">
        <v>0</v>
      </c>
      <c r="J7756">
        <v>0</v>
      </c>
      <c r="K7756">
        <v>1</v>
      </c>
      <c r="L7756">
        <v>0</v>
      </c>
      <c r="M7756" t="s">
        <v>122</v>
      </c>
    </row>
    <row r="7757" spans="1:13" hidden="1" x14ac:dyDescent="0.15">
      <c r="A7757" t="s">
        <v>24289</v>
      </c>
      <c r="B7757" t="s">
        <v>24290</v>
      </c>
      <c r="C7757" t="s">
        <v>24291</v>
      </c>
      <c r="D7757" t="s">
        <v>24292</v>
      </c>
      <c r="E7757">
        <v>5</v>
      </c>
      <c r="F7757" t="str">
        <f>HYPERLINK("https://github.com/CMPUT301F19T09/vibes/issues/61", "show")</f>
        <v>show</v>
      </c>
      <c r="G7757" t="str">
        <f>HYPERLINK("https://github.com/CMPUT301F19T09/vibes", "show")</f>
        <v>show</v>
      </c>
      <c r="H7757" t="str">
        <f>HYPERLINK("https://github.com/CMPUT301F19T09/vibes/releases", "show")</f>
        <v>show</v>
      </c>
      <c r="I7757">
        <v>1</v>
      </c>
      <c r="J7757">
        <v>0</v>
      </c>
      <c r="K7757">
        <v>0</v>
      </c>
      <c r="L7757">
        <v>0</v>
      </c>
      <c r="M7757" t="s">
        <v>17</v>
      </c>
    </row>
    <row r="7758" spans="1:13" hidden="1" x14ac:dyDescent="0.15">
      <c r="A7758" t="s">
        <v>24293</v>
      </c>
      <c r="B7758" t="s">
        <v>24294</v>
      </c>
      <c r="C7758" t="s">
        <v>24295</v>
      </c>
      <c r="D7758" t="s">
        <v>24292</v>
      </c>
      <c r="E7758">
        <v>5</v>
      </c>
      <c r="F7758" t="str">
        <f>HYPERLINK("https://github.com/CMPUT301F19T09/vibes/issues/60", "show")</f>
        <v>show</v>
      </c>
      <c r="G7758" t="str">
        <f>HYPERLINK("https://github.com/CMPUT301F19T09/vibes", "show")</f>
        <v>show</v>
      </c>
      <c r="H7758" t="str">
        <f>HYPERLINK("https://github.com/CMPUT301F19T09/vibes/releases", "show")</f>
        <v>show</v>
      </c>
      <c r="I7758">
        <v>1</v>
      </c>
      <c r="J7758">
        <v>0</v>
      </c>
      <c r="K7758">
        <v>0</v>
      </c>
      <c r="L7758">
        <v>0</v>
      </c>
      <c r="M7758" t="s">
        <v>17</v>
      </c>
    </row>
    <row r="7759" spans="1:13" hidden="1" x14ac:dyDescent="0.15">
      <c r="A7759" t="s">
        <v>24296</v>
      </c>
      <c r="B7759" t="s">
        <v>24297</v>
      </c>
      <c r="C7759" t="s">
        <v>24298</v>
      </c>
      <c r="D7759" t="s">
        <v>24292</v>
      </c>
      <c r="E7759">
        <v>18</v>
      </c>
      <c r="F7759" t="str">
        <f>HYPERLINK("https://github.com/CMPUT301F19T09/vibes/issues/59", "show")</f>
        <v>show</v>
      </c>
      <c r="G7759" t="str">
        <f>HYPERLINK("https://github.com/CMPUT301F19T09/vibes", "show")</f>
        <v>show</v>
      </c>
      <c r="H7759" t="str">
        <f>HYPERLINK("https://github.com/CMPUT301F19T09/vibes/releases", "show")</f>
        <v>show</v>
      </c>
      <c r="I7759">
        <v>1</v>
      </c>
      <c r="J7759">
        <v>0</v>
      </c>
      <c r="K7759">
        <v>0</v>
      </c>
      <c r="L7759">
        <v>0</v>
      </c>
      <c r="M7759" t="s">
        <v>17</v>
      </c>
    </row>
    <row r="7760" spans="1:13" hidden="1" x14ac:dyDescent="0.15">
      <c r="A7760" t="s">
        <v>24299</v>
      </c>
      <c r="B7760" t="s">
        <v>24300</v>
      </c>
      <c r="C7760" t="s">
        <v>24301</v>
      </c>
      <c r="D7760" t="s">
        <v>24292</v>
      </c>
      <c r="E7760">
        <v>1</v>
      </c>
      <c r="F7760" t="str">
        <f>HYPERLINK("https://github.com/iamraf/IEE-Apps/issues/1", "show")</f>
        <v>show</v>
      </c>
      <c r="G7760" t="str">
        <f>HYPERLINK("https://github.com/iamraf/IEE-Apps", "show")</f>
        <v>show</v>
      </c>
      <c r="H7760" t="str">
        <f>HYPERLINK("https://github.com/iamraf/IEE-Apps/releases", "show")</f>
        <v>show</v>
      </c>
      <c r="I7760">
        <v>0</v>
      </c>
      <c r="J7760">
        <v>0</v>
      </c>
      <c r="K7760">
        <v>0</v>
      </c>
      <c r="L7760">
        <v>0</v>
      </c>
      <c r="M7760" t="s">
        <v>43</v>
      </c>
    </row>
    <row r="7761" spans="1:13" hidden="1" x14ac:dyDescent="0.15">
      <c r="A7761" t="s">
        <v>24302</v>
      </c>
      <c r="B7761" t="s">
        <v>24303</v>
      </c>
      <c r="C7761" t="s">
        <v>24304</v>
      </c>
      <c r="D7761" t="s">
        <v>24292</v>
      </c>
      <c r="E7761">
        <v>42</v>
      </c>
      <c r="F7761" t="str">
        <f>HYPERLINK("https://github.com/nextcloud/android/issues/4805", "show")</f>
        <v>show</v>
      </c>
      <c r="G7761" t="str">
        <f>HYPERLINK("https://github.com/nextcloud/android", "show")</f>
        <v>show</v>
      </c>
      <c r="H7761" t="str">
        <f>HYPERLINK("https://github.com/nextcloud/android/releases", "show")</f>
        <v>show</v>
      </c>
      <c r="I7761">
        <v>1</v>
      </c>
      <c r="J7761">
        <v>1</v>
      </c>
      <c r="K7761">
        <v>1</v>
      </c>
      <c r="L7761">
        <v>0</v>
      </c>
      <c r="M7761" t="s">
        <v>59</v>
      </c>
    </row>
    <row r="7762" spans="1:13" hidden="1" x14ac:dyDescent="0.15">
      <c r="A7762" t="s">
        <v>24305</v>
      </c>
      <c r="B7762" t="s">
        <v>24306</v>
      </c>
      <c r="C7762" t="s">
        <v>24307</v>
      </c>
      <c r="D7762" t="s">
        <v>24292</v>
      </c>
      <c r="E7762">
        <v>66</v>
      </c>
      <c r="F7762" t="str">
        <f>HYPERLINK("https://github.com/GoogleChrome/android-browser-helper/issues/36", "show")</f>
        <v>show</v>
      </c>
      <c r="G7762" t="str">
        <f>HYPERLINK("https://github.com/GoogleChrome/android-browser-helper", "show")</f>
        <v>show</v>
      </c>
      <c r="H7762" t="str">
        <f>HYPERLINK("https://github.com/GoogleChrome/android-browser-helper/releases", "show")</f>
        <v>show</v>
      </c>
      <c r="I7762">
        <v>1</v>
      </c>
      <c r="J7762">
        <v>0</v>
      </c>
      <c r="K7762">
        <v>1</v>
      </c>
      <c r="L7762">
        <v>0</v>
      </c>
      <c r="M7762" t="s">
        <v>64</v>
      </c>
    </row>
    <row r="7763" spans="1:13" hidden="1" x14ac:dyDescent="0.15">
      <c r="A7763" t="s">
        <v>24308</v>
      </c>
      <c r="B7763" t="s">
        <v>24309</v>
      </c>
      <c r="C7763" t="s">
        <v>24310</v>
      </c>
      <c r="D7763" t="s">
        <v>24292</v>
      </c>
      <c r="E7763">
        <v>0</v>
      </c>
      <c r="F7763" t="str">
        <f>HYPERLINK("https://github.com/Catfriend1/syncthing-android/issues/538", "show")</f>
        <v>show</v>
      </c>
      <c r="G7763" t="str">
        <f>HYPERLINK("https://github.com/Catfriend1/syncthing-android", "show")</f>
        <v>show</v>
      </c>
      <c r="H7763" t="str">
        <f>HYPERLINK("https://github.com/Catfriend1/syncthing-android/releases", "show")</f>
        <v>show</v>
      </c>
      <c r="I7763">
        <v>1</v>
      </c>
      <c r="J7763">
        <v>0</v>
      </c>
      <c r="K7763">
        <v>1</v>
      </c>
      <c r="L7763">
        <v>0</v>
      </c>
      <c r="M7763" t="s">
        <v>64</v>
      </c>
    </row>
    <row r="7764" spans="1:13" hidden="1" x14ac:dyDescent="0.15">
      <c r="A7764" t="s">
        <v>24311</v>
      </c>
      <c r="B7764" t="s">
        <v>24312</v>
      </c>
      <c r="C7764" t="s">
        <v>24313</v>
      </c>
      <c r="D7764" t="s">
        <v>24292</v>
      </c>
      <c r="E7764">
        <v>0</v>
      </c>
      <c r="F7764" t="str">
        <f>HYPERLINK("https://github.com/Catfriend1/syncthing-android/issues/537", "show")</f>
        <v>show</v>
      </c>
      <c r="G7764" t="str">
        <f>HYPERLINK("https://github.com/Catfriend1/syncthing-android", "show")</f>
        <v>show</v>
      </c>
      <c r="H7764" t="str">
        <f>HYPERLINK("https://github.com/Catfriend1/syncthing-android/releases", "show")</f>
        <v>show</v>
      </c>
      <c r="I7764">
        <v>1</v>
      </c>
      <c r="J7764">
        <v>0</v>
      </c>
      <c r="K7764">
        <v>0</v>
      </c>
      <c r="L7764">
        <v>0</v>
      </c>
      <c r="M7764" t="s">
        <v>17</v>
      </c>
    </row>
    <row r="7765" spans="1:13" hidden="1" x14ac:dyDescent="0.15">
      <c r="A7765" t="s">
        <v>24314</v>
      </c>
      <c r="B7765" t="s">
        <v>24315</v>
      </c>
      <c r="C7765" t="s">
        <v>24316</v>
      </c>
      <c r="D7765" t="s">
        <v>24317</v>
      </c>
      <c r="E7765">
        <v>2</v>
      </c>
      <c r="F7765" t="str">
        <f>HYPERLINK("https://github.com/zhanghai/MaterialRatingBar/issues/63", "show")</f>
        <v>show</v>
      </c>
      <c r="G7765" t="str">
        <f>HYPERLINK("https://github.com/zhanghai/MaterialRatingBar", "show")</f>
        <v>show</v>
      </c>
      <c r="H7765" t="str">
        <f>HYPERLINK("https://github.com/zhanghai/MaterialRatingBar/releases", "show")</f>
        <v>show</v>
      </c>
      <c r="I7765">
        <v>1</v>
      </c>
      <c r="J7765">
        <v>0</v>
      </c>
      <c r="K7765">
        <v>1</v>
      </c>
      <c r="L7765">
        <v>0</v>
      </c>
      <c r="M7765" t="s">
        <v>64</v>
      </c>
    </row>
    <row r="7766" spans="1:13" hidden="1" x14ac:dyDescent="0.15">
      <c r="A7766" t="s">
        <v>24318</v>
      </c>
      <c r="B7766" t="s">
        <v>24319</v>
      </c>
      <c r="C7766" t="s">
        <v>24320</v>
      </c>
      <c r="D7766" t="s">
        <v>24317</v>
      </c>
      <c r="E7766">
        <v>7</v>
      </c>
      <c r="F7766" t="str">
        <f>HYPERLINK("https://github.com/aws-amplify/aws-sdk-android/issues/1298", "show")</f>
        <v>show</v>
      </c>
      <c r="G7766" t="str">
        <f>HYPERLINK("https://github.com/aws-amplify/aws-sdk-android", "show")</f>
        <v>show</v>
      </c>
      <c r="H7766" t="str">
        <f>HYPERLINK("https://github.com/aws-amplify/aws-sdk-android/releases", "show")</f>
        <v>show</v>
      </c>
      <c r="I7766">
        <v>0</v>
      </c>
      <c r="J7766">
        <v>0</v>
      </c>
      <c r="K7766">
        <v>1</v>
      </c>
      <c r="L7766">
        <v>0</v>
      </c>
      <c r="M7766" t="s">
        <v>122</v>
      </c>
    </row>
    <row r="7767" spans="1:13" hidden="1" x14ac:dyDescent="0.15">
      <c r="A7767" t="s">
        <v>24321</v>
      </c>
      <c r="B7767" t="s">
        <v>24322</v>
      </c>
      <c r="C7767" t="s">
        <v>24323</v>
      </c>
      <c r="D7767" t="s">
        <v>24317</v>
      </c>
      <c r="E7767">
        <v>55</v>
      </c>
      <c r="F7767" t="str">
        <f>HYPERLINK("https://github.com/square/okhttp/issues/5587", "show")</f>
        <v>show</v>
      </c>
      <c r="G7767" t="str">
        <f>HYPERLINK("https://github.com/square/okhttp", "show")</f>
        <v>show</v>
      </c>
      <c r="H7767" t="str">
        <f>HYPERLINK("https://github.com/square/okhttp/releases", "show")</f>
        <v>show</v>
      </c>
      <c r="I7767">
        <v>0</v>
      </c>
      <c r="J7767">
        <v>0</v>
      </c>
      <c r="K7767">
        <v>1</v>
      </c>
      <c r="L7767">
        <v>0</v>
      </c>
      <c r="M7767" t="s">
        <v>122</v>
      </c>
    </row>
    <row r="7768" spans="1:13" hidden="1" x14ac:dyDescent="0.15">
      <c r="A7768" t="s">
        <v>24324</v>
      </c>
      <c r="B7768" t="s">
        <v>24325</v>
      </c>
      <c r="C7768" t="s">
        <v>24326</v>
      </c>
      <c r="D7768" t="s">
        <v>24317</v>
      </c>
      <c r="E7768">
        <v>0</v>
      </c>
      <c r="F7768" t="str">
        <f>HYPERLINK("https://github.com/fieldsight/fieldsight-mobile/issues/472", "show")</f>
        <v>show</v>
      </c>
      <c r="G7768" t="str">
        <f>HYPERLINK("https://github.com/fieldsight/fieldsight-mobile", "show")</f>
        <v>show</v>
      </c>
      <c r="H7768" t="str">
        <f>HYPERLINK("https://github.com/fieldsight/fieldsight-mobile/releases", "show")</f>
        <v>show</v>
      </c>
      <c r="I7768">
        <v>0</v>
      </c>
      <c r="J7768">
        <v>0</v>
      </c>
      <c r="K7768">
        <v>1</v>
      </c>
      <c r="L7768">
        <v>0</v>
      </c>
      <c r="M7768" t="s">
        <v>122</v>
      </c>
    </row>
    <row r="7769" spans="1:13" hidden="1" x14ac:dyDescent="0.15">
      <c r="A7769" t="s">
        <v>24327</v>
      </c>
      <c r="B7769" t="s">
        <v>24328</v>
      </c>
      <c r="C7769" t="s">
        <v>24329</v>
      </c>
      <c r="D7769" t="s">
        <v>24330</v>
      </c>
      <c r="E7769">
        <v>0</v>
      </c>
      <c r="F7769" t="str">
        <f>HYPERLINK("https://github.com/marksuth/indigenous-android/issues/251", "show")</f>
        <v>show</v>
      </c>
      <c r="G7769" t="str">
        <f>HYPERLINK("https://github.com/marksuth/indigenous-android", "show")</f>
        <v>show</v>
      </c>
      <c r="H7769" t="str">
        <f>HYPERLINK("https://github.com/marksuth/indigenous-android/releases", "show")</f>
        <v>show</v>
      </c>
      <c r="I7769">
        <v>0</v>
      </c>
      <c r="J7769">
        <v>0</v>
      </c>
      <c r="K7769">
        <v>0</v>
      </c>
      <c r="L7769">
        <v>0</v>
      </c>
      <c r="M7769" t="s">
        <v>43</v>
      </c>
    </row>
    <row r="7770" spans="1:13" hidden="1" x14ac:dyDescent="0.15">
      <c r="A7770" t="s">
        <v>24331</v>
      </c>
      <c r="B7770" t="s">
        <v>24332</v>
      </c>
      <c r="D7770" t="s">
        <v>24330</v>
      </c>
      <c r="E7770">
        <v>203</v>
      </c>
      <c r="F7770" t="str">
        <f>HYPERLINK("https://github.com/tinashec/Rooms/issues/13", "show")</f>
        <v>show</v>
      </c>
      <c r="G7770" t="str">
        <f>HYPERLINK("https://github.com/tinashec/Rooms", "show")</f>
        <v>show</v>
      </c>
      <c r="H7770" t="str">
        <f>HYPERLINK("https://github.com/tinashec/Rooms/releases", "show")</f>
        <v>show</v>
      </c>
      <c r="I7770">
        <v>0</v>
      </c>
      <c r="J7770">
        <v>0</v>
      </c>
      <c r="K7770">
        <v>0</v>
      </c>
      <c r="L7770">
        <v>0</v>
      </c>
      <c r="M7770" t="s">
        <v>43</v>
      </c>
    </row>
    <row r="7771" spans="1:13" hidden="1" x14ac:dyDescent="0.15">
      <c r="A7771" t="s">
        <v>24333</v>
      </c>
      <c r="B7771" t="s">
        <v>24334</v>
      </c>
      <c r="C7771" t="s">
        <v>24335</v>
      </c>
      <c r="D7771" t="s">
        <v>24336</v>
      </c>
      <c r="E7771">
        <v>1</v>
      </c>
      <c r="F7771" t="str">
        <f>HYPERLINK("https://github.com/MozillaReality/FirefoxReality/issues/2144", "show")</f>
        <v>show</v>
      </c>
      <c r="G7771" t="str">
        <f>HYPERLINK("https://github.com/MozillaReality/FirefoxReality", "show")</f>
        <v>show</v>
      </c>
      <c r="H7771" t="str">
        <f>HYPERLINK("https://github.com/MozillaReality/FirefoxReality/releases", "show")</f>
        <v>show</v>
      </c>
      <c r="I7771">
        <v>0</v>
      </c>
      <c r="J7771">
        <v>0</v>
      </c>
      <c r="K7771">
        <v>0</v>
      </c>
      <c r="L7771">
        <v>0</v>
      </c>
      <c r="M7771" t="s">
        <v>43</v>
      </c>
    </row>
    <row r="7772" spans="1:13" hidden="1" x14ac:dyDescent="0.15">
      <c r="A7772" t="s">
        <v>24337</v>
      </c>
      <c r="B7772" t="s">
        <v>24338</v>
      </c>
      <c r="C7772" t="s">
        <v>24339</v>
      </c>
      <c r="D7772" t="s">
        <v>24336</v>
      </c>
      <c r="E7772">
        <v>11</v>
      </c>
      <c r="F7772" t="str">
        <f>HYPERLINK("https://github.com/fossasia/neurolab-android/issues/526", "show")</f>
        <v>show</v>
      </c>
      <c r="G7772" t="str">
        <f>HYPERLINK("https://github.com/fossasia/neurolab-android", "show")</f>
        <v>show</v>
      </c>
      <c r="H7772" t="str">
        <f>HYPERLINK("https://github.com/fossasia/neurolab-android/releases", "show")</f>
        <v>show</v>
      </c>
      <c r="I7772">
        <v>1</v>
      </c>
      <c r="J7772">
        <v>1</v>
      </c>
      <c r="K7772">
        <v>1</v>
      </c>
      <c r="L7772">
        <v>0</v>
      </c>
      <c r="M7772" t="s">
        <v>59</v>
      </c>
    </row>
    <row r="7773" spans="1:13" hidden="1" x14ac:dyDescent="0.15">
      <c r="A7773" t="s">
        <v>24340</v>
      </c>
      <c r="B7773" t="s">
        <v>24341</v>
      </c>
      <c r="C7773" t="s">
        <v>24342</v>
      </c>
      <c r="D7773" t="s">
        <v>24336</v>
      </c>
      <c r="E7773">
        <v>4</v>
      </c>
      <c r="F7773" t="str">
        <f>HYPERLINK("https://github.com/galbertsson/EdgeLight/issues/2", "show")</f>
        <v>show</v>
      </c>
      <c r="G7773" t="str">
        <f>HYPERLINK("https://github.com/galbertsson/EdgeLight", "show")</f>
        <v>show</v>
      </c>
      <c r="H7773" t="str">
        <f>HYPERLINK("https://github.com/galbertsson/EdgeLight/releases", "show")</f>
        <v>show</v>
      </c>
      <c r="I7773">
        <v>0</v>
      </c>
      <c r="J7773">
        <v>0</v>
      </c>
      <c r="K7773">
        <v>0</v>
      </c>
      <c r="L7773">
        <v>0</v>
      </c>
      <c r="M7773" t="s">
        <v>43</v>
      </c>
    </row>
    <row r="7774" spans="1:13" hidden="1" x14ac:dyDescent="0.15">
      <c r="A7774" t="s">
        <v>24343</v>
      </c>
      <c r="B7774" t="s">
        <v>24344</v>
      </c>
      <c r="C7774" t="s">
        <v>12185</v>
      </c>
      <c r="D7774" t="s">
        <v>24336</v>
      </c>
      <c r="E7774">
        <v>106</v>
      </c>
      <c r="F7774" t="str">
        <f>HYPERLINK("https://github.com/nextcloud/android/issues/4792", "show")</f>
        <v>show</v>
      </c>
      <c r="G7774" t="str">
        <f>HYPERLINK("https://github.com/nextcloud/android", "show")</f>
        <v>show</v>
      </c>
      <c r="H7774" t="str">
        <f>HYPERLINK("https://github.com/nextcloud/android/releases", "show")</f>
        <v>show</v>
      </c>
      <c r="I7774">
        <v>1</v>
      </c>
      <c r="J7774">
        <v>0</v>
      </c>
      <c r="K7774">
        <v>1</v>
      </c>
      <c r="L7774">
        <v>0</v>
      </c>
      <c r="M7774" t="s">
        <v>64</v>
      </c>
    </row>
    <row r="7775" spans="1:13" hidden="1" x14ac:dyDescent="0.15">
      <c r="A7775" t="s">
        <v>24345</v>
      </c>
      <c r="B7775" t="s">
        <v>24346</v>
      </c>
      <c r="D7775" t="s">
        <v>24347</v>
      </c>
      <c r="E7775">
        <v>3</v>
      </c>
      <c r="F7775" t="str">
        <f>HYPERLINK("https://github.com/Catfriend1/syncthing-android/issues/529", "show")</f>
        <v>show</v>
      </c>
      <c r="G7775" t="str">
        <f>HYPERLINK("https://github.com/Catfriend1/syncthing-android", "show")</f>
        <v>show</v>
      </c>
      <c r="H7775" t="str">
        <f>HYPERLINK("https://github.com/Catfriend1/syncthing-android/releases", "show")</f>
        <v>show</v>
      </c>
      <c r="I7775">
        <v>1</v>
      </c>
      <c r="J7775">
        <v>0</v>
      </c>
      <c r="K7775">
        <v>0</v>
      </c>
      <c r="L7775">
        <v>0</v>
      </c>
      <c r="M7775" t="s">
        <v>17</v>
      </c>
    </row>
    <row r="7776" spans="1:13" hidden="1" x14ac:dyDescent="0.15">
      <c r="A7776" t="s">
        <v>24348</v>
      </c>
      <c r="B7776" t="s">
        <v>24349</v>
      </c>
      <c r="C7776" t="s">
        <v>24350</v>
      </c>
      <c r="D7776" t="s">
        <v>24351</v>
      </c>
      <c r="E7776">
        <v>0</v>
      </c>
      <c r="F7776" t="str">
        <f>HYPERLINK("https://github.com/Piwigo/Piwigo-Android/issues/185", "show")</f>
        <v>show</v>
      </c>
      <c r="G7776" t="str">
        <f>HYPERLINK("https://github.com/Piwigo/Piwigo-Android", "show")</f>
        <v>show</v>
      </c>
      <c r="H7776" t="str">
        <f>HYPERLINK("https://github.com/Piwigo/Piwigo-Android/releases", "show")</f>
        <v>show</v>
      </c>
      <c r="I7776">
        <v>0</v>
      </c>
      <c r="J7776">
        <v>0</v>
      </c>
      <c r="K7776">
        <v>1</v>
      </c>
      <c r="L7776">
        <v>0</v>
      </c>
      <c r="M7776" t="s">
        <v>122</v>
      </c>
    </row>
    <row r="7777" spans="1:13" hidden="1" x14ac:dyDescent="0.15">
      <c r="A7777" t="s">
        <v>24352</v>
      </c>
      <c r="B7777" t="s">
        <v>24353</v>
      </c>
      <c r="C7777" t="s">
        <v>24354</v>
      </c>
      <c r="D7777" t="s">
        <v>24355</v>
      </c>
      <c r="E7777">
        <v>1</v>
      </c>
      <c r="F7777" t="str">
        <f>HYPERLINK("https://github.com/processing/processing-android/issues/575", "show")</f>
        <v>show</v>
      </c>
      <c r="G7777" t="str">
        <f>HYPERLINK("https://github.com/processing/processing-android", "show")</f>
        <v>show</v>
      </c>
      <c r="H7777" t="str">
        <f>HYPERLINK("https://github.com/processing/processing-android/releases", "show")</f>
        <v>show</v>
      </c>
      <c r="I7777">
        <v>0</v>
      </c>
      <c r="J7777">
        <v>0</v>
      </c>
      <c r="K7777">
        <v>0</v>
      </c>
      <c r="L7777">
        <v>0</v>
      </c>
      <c r="M7777" t="s">
        <v>43</v>
      </c>
    </row>
    <row r="7778" spans="1:13" hidden="1" x14ac:dyDescent="0.15">
      <c r="A7778" t="s">
        <v>24356</v>
      </c>
      <c r="B7778" t="s">
        <v>24357</v>
      </c>
      <c r="C7778" t="s">
        <v>24358</v>
      </c>
      <c r="D7778" t="s">
        <v>24355</v>
      </c>
      <c r="E7778">
        <v>165</v>
      </c>
      <c r="F7778" t="str">
        <f>HYPERLINK("https://github.com/aws-amplify/aws-sdk-android/issues/1289", "show")</f>
        <v>show</v>
      </c>
      <c r="G7778" t="str">
        <f>HYPERLINK("https://github.com/aws-amplify/aws-sdk-android", "show")</f>
        <v>show</v>
      </c>
      <c r="H7778" t="str">
        <f>HYPERLINK("https://github.com/aws-amplify/aws-sdk-android/releases", "show")</f>
        <v>show</v>
      </c>
      <c r="I7778">
        <v>1</v>
      </c>
      <c r="J7778">
        <v>0</v>
      </c>
      <c r="K7778">
        <v>1</v>
      </c>
      <c r="L7778">
        <v>0</v>
      </c>
      <c r="M7778" t="s">
        <v>64</v>
      </c>
    </row>
    <row r="7779" spans="1:13" hidden="1" x14ac:dyDescent="0.15">
      <c r="A7779" t="s">
        <v>24359</v>
      </c>
      <c r="B7779" t="s">
        <v>24360</v>
      </c>
      <c r="C7779" t="s">
        <v>24361</v>
      </c>
      <c r="D7779" t="s">
        <v>24355</v>
      </c>
      <c r="E7779">
        <v>1</v>
      </c>
      <c r="F7779" t="str">
        <f>HYPERLINK("https://github.com/processing/processing-android/issues/574", "show")</f>
        <v>show</v>
      </c>
      <c r="G7779" t="str">
        <f>HYPERLINK("https://github.com/processing/processing-android", "show")</f>
        <v>show</v>
      </c>
      <c r="H7779" t="str">
        <f>HYPERLINK("https://github.com/processing/processing-android/releases", "show")</f>
        <v>show</v>
      </c>
      <c r="I7779">
        <v>1</v>
      </c>
      <c r="J7779">
        <v>0</v>
      </c>
      <c r="K7779">
        <v>0</v>
      </c>
      <c r="L7779">
        <v>0</v>
      </c>
      <c r="M7779" t="s">
        <v>17</v>
      </c>
    </row>
    <row r="7780" spans="1:13" hidden="1" x14ac:dyDescent="0.15">
      <c r="A7780" t="s">
        <v>24362</v>
      </c>
      <c r="B7780" t="s">
        <v>24363</v>
      </c>
      <c r="C7780" t="s">
        <v>24364</v>
      </c>
      <c r="D7780" t="s">
        <v>24355</v>
      </c>
      <c r="E7780">
        <v>0</v>
      </c>
      <c r="F7780" t="str">
        <f>HYPERLINK("https://github.com/fieldsight/fieldsight-mobile/issues/442", "show")</f>
        <v>show</v>
      </c>
      <c r="G7780" t="str">
        <f>HYPERLINK("https://github.com/fieldsight/fieldsight-mobile", "show")</f>
        <v>show</v>
      </c>
      <c r="H7780" t="str">
        <f>HYPERLINK("https://github.com/fieldsight/fieldsight-mobile/releases", "show")</f>
        <v>show</v>
      </c>
      <c r="I7780">
        <v>1</v>
      </c>
      <c r="J7780">
        <v>0</v>
      </c>
      <c r="K7780">
        <v>0</v>
      </c>
      <c r="L7780">
        <v>0</v>
      </c>
      <c r="M7780" t="s">
        <v>17</v>
      </c>
    </row>
    <row r="7781" spans="1:13" hidden="1" x14ac:dyDescent="0.15">
      <c r="A7781" t="s">
        <v>24365</v>
      </c>
      <c r="B7781" t="s">
        <v>24366</v>
      </c>
      <c r="C7781" t="s">
        <v>24367</v>
      </c>
      <c r="D7781" t="s">
        <v>24355</v>
      </c>
      <c r="E7781">
        <v>13</v>
      </c>
      <c r="F7781" t="str">
        <f>HYPERLINK("https://github.com/SanojPunchihewa/f5n/issues/71", "show")</f>
        <v>show</v>
      </c>
      <c r="G7781" t="str">
        <f>HYPERLINK("https://github.com/SanojPunchihewa/f5n", "show")</f>
        <v>show</v>
      </c>
      <c r="H7781" t="str">
        <f>HYPERLINK("https://github.com/SanojPunchihewa/f5n/releases", "show")</f>
        <v>show</v>
      </c>
      <c r="I7781">
        <v>1</v>
      </c>
      <c r="J7781">
        <v>1</v>
      </c>
      <c r="K7781">
        <v>0</v>
      </c>
      <c r="L7781">
        <v>1</v>
      </c>
      <c r="M7781" t="s">
        <v>1894</v>
      </c>
    </row>
    <row r="7782" spans="1:13" hidden="1" x14ac:dyDescent="0.15">
      <c r="A7782" t="s">
        <v>24368</v>
      </c>
      <c r="B7782" t="s">
        <v>24369</v>
      </c>
      <c r="C7782" t="s">
        <v>24370</v>
      </c>
      <c r="D7782" t="s">
        <v>24371</v>
      </c>
      <c r="E7782">
        <v>1</v>
      </c>
      <c r="F7782" t="str">
        <f>HYPERLINK("https://github.com/onaio/rdt-standard/issues/212", "show")</f>
        <v>show</v>
      </c>
      <c r="G7782" t="str">
        <f>HYPERLINK("https://github.com/onaio/rdt-standard", "show")</f>
        <v>show</v>
      </c>
      <c r="H7782" t="str">
        <f>HYPERLINK("https://github.com/onaio/rdt-standard/releases", "show")</f>
        <v>show</v>
      </c>
      <c r="I7782">
        <v>1</v>
      </c>
      <c r="J7782">
        <v>0</v>
      </c>
      <c r="K7782">
        <v>0</v>
      </c>
      <c r="L7782">
        <v>0</v>
      </c>
      <c r="M7782" t="s">
        <v>17</v>
      </c>
    </row>
    <row r="7783" spans="1:13" hidden="1" x14ac:dyDescent="0.15">
      <c r="A7783" t="s">
        <v>24372</v>
      </c>
      <c r="B7783" t="s">
        <v>24373</v>
      </c>
      <c r="C7783" t="s">
        <v>24374</v>
      </c>
      <c r="D7783" t="s">
        <v>24371</v>
      </c>
      <c r="E7783">
        <v>1</v>
      </c>
      <c r="F7783" t="str">
        <f>HYPERLINK("https://github.com/onaio/rdt-standard/issues/211", "show")</f>
        <v>show</v>
      </c>
      <c r="G7783" t="str">
        <f>HYPERLINK("https://github.com/onaio/rdt-standard", "show")</f>
        <v>show</v>
      </c>
      <c r="H7783" t="str">
        <f>HYPERLINK("https://github.com/onaio/rdt-standard/releases", "show")</f>
        <v>show</v>
      </c>
      <c r="I7783">
        <v>1</v>
      </c>
      <c r="J7783">
        <v>0</v>
      </c>
      <c r="K7783">
        <v>0</v>
      </c>
      <c r="L7783">
        <v>0</v>
      </c>
      <c r="M7783" t="s">
        <v>17</v>
      </c>
    </row>
    <row r="7784" spans="1:13" hidden="1" x14ac:dyDescent="0.15">
      <c r="A7784" t="s">
        <v>24375</v>
      </c>
      <c r="B7784" t="s">
        <v>24376</v>
      </c>
      <c r="C7784" t="s">
        <v>24377</v>
      </c>
      <c r="D7784" t="s">
        <v>24371</v>
      </c>
      <c r="E7784">
        <v>0</v>
      </c>
      <c r="F7784" t="str">
        <f>HYPERLINK("https://github.com/andreynovikov/trekarta/issues/89", "show")</f>
        <v>show</v>
      </c>
      <c r="G7784" t="str">
        <f>HYPERLINK("https://github.com/andreynovikov/trekarta", "show")</f>
        <v>show</v>
      </c>
      <c r="H7784" t="str">
        <f>HYPERLINK("https://github.com/andreynovikov/trekarta/releases", "show")</f>
        <v>show</v>
      </c>
      <c r="I7784">
        <v>1</v>
      </c>
      <c r="J7784">
        <v>1</v>
      </c>
      <c r="K7784">
        <v>1</v>
      </c>
      <c r="L7784">
        <v>0</v>
      </c>
      <c r="M7784" t="s">
        <v>59</v>
      </c>
    </row>
    <row r="7785" spans="1:13" hidden="1" x14ac:dyDescent="0.15">
      <c r="A7785" t="s">
        <v>24378</v>
      </c>
      <c r="B7785" t="s">
        <v>24379</v>
      </c>
      <c r="C7785" t="s">
        <v>24380</v>
      </c>
      <c r="D7785" t="s">
        <v>24371</v>
      </c>
      <c r="E7785">
        <v>88</v>
      </c>
      <c r="F7785" t="str">
        <f>HYPERLINK("https://github.com/jellyfin/jellyfin-androidtv/issues/177", "show")</f>
        <v>show</v>
      </c>
      <c r="G7785" t="str">
        <f>HYPERLINK("https://github.com/jellyfin/jellyfin-androidtv", "show")</f>
        <v>show</v>
      </c>
      <c r="H7785" t="str">
        <f>HYPERLINK("https://github.com/jellyfin/jellyfin-androidtv/releases", "show")</f>
        <v>show</v>
      </c>
      <c r="I7785">
        <v>1</v>
      </c>
      <c r="J7785">
        <v>0</v>
      </c>
      <c r="K7785">
        <v>0</v>
      </c>
      <c r="L7785">
        <v>0</v>
      </c>
      <c r="M7785" t="s">
        <v>17</v>
      </c>
    </row>
    <row r="7786" spans="1:13" hidden="1" x14ac:dyDescent="0.15">
      <c r="A7786" t="s">
        <v>24381</v>
      </c>
      <c r="B7786" t="s">
        <v>24382</v>
      </c>
      <c r="C7786" t="s">
        <v>24383</v>
      </c>
      <c r="D7786" t="s">
        <v>24371</v>
      </c>
      <c r="E7786">
        <v>0</v>
      </c>
      <c r="F7786" t="str">
        <f>HYPERLINK("https://github.com/leancloud/java-unified-sdk/issues/78", "show")</f>
        <v>show</v>
      </c>
      <c r="G7786" t="str">
        <f>HYPERLINK("https://github.com/leancloud/java-unified-sdk", "show")</f>
        <v>show</v>
      </c>
      <c r="H7786" t="str">
        <f>HYPERLINK("https://github.com/leancloud/java-unified-sdk/releases", "show")</f>
        <v>show</v>
      </c>
      <c r="I7786">
        <v>0</v>
      </c>
      <c r="J7786">
        <v>0</v>
      </c>
      <c r="K7786">
        <v>1</v>
      </c>
      <c r="L7786">
        <v>0</v>
      </c>
      <c r="M7786" t="s">
        <v>122</v>
      </c>
    </row>
    <row r="7787" spans="1:13" hidden="1" x14ac:dyDescent="0.15">
      <c r="A7787" t="s">
        <v>24384</v>
      </c>
      <c r="B7787" t="s">
        <v>24385</v>
      </c>
      <c r="C7787" t="s">
        <v>24386</v>
      </c>
      <c r="D7787" t="s">
        <v>24387</v>
      </c>
      <c r="E7787">
        <v>2</v>
      </c>
      <c r="F7787" t="str">
        <f>HYPERLINK("https://github.com/wallabag/android-app/issues/863", "show")</f>
        <v>show</v>
      </c>
      <c r="G7787" t="str">
        <f>HYPERLINK("https://github.com/wallabag/android-app", "show")</f>
        <v>show</v>
      </c>
      <c r="H7787" t="str">
        <f>HYPERLINK("https://github.com/wallabag/android-app/releases", "show")</f>
        <v>show</v>
      </c>
      <c r="I7787">
        <v>1</v>
      </c>
      <c r="J7787">
        <v>0</v>
      </c>
      <c r="K7787">
        <v>0</v>
      </c>
      <c r="L7787">
        <v>0</v>
      </c>
      <c r="M7787" t="s">
        <v>17</v>
      </c>
    </row>
    <row r="7788" spans="1:13" hidden="1" x14ac:dyDescent="0.15">
      <c r="A7788" t="s">
        <v>24388</v>
      </c>
      <c r="B7788" t="s">
        <v>24389</v>
      </c>
      <c r="C7788" t="s">
        <v>24390</v>
      </c>
      <c r="D7788" t="s">
        <v>24391</v>
      </c>
      <c r="E7788">
        <v>2</v>
      </c>
      <c r="F7788" t="str">
        <f>HYPERLINK("https://github.com/react-native-share/react-native-share/issues/618", "show")</f>
        <v>show</v>
      </c>
      <c r="G7788" t="str">
        <f>HYPERLINK("https://github.com/react-native-share/react-native-share", "show")</f>
        <v>show</v>
      </c>
      <c r="H7788" t="str">
        <f>HYPERLINK("https://github.com/react-native-share/react-native-share/releases", "show")</f>
        <v>show</v>
      </c>
      <c r="I7788">
        <v>1</v>
      </c>
      <c r="J7788">
        <v>0</v>
      </c>
      <c r="K7788">
        <v>0</v>
      </c>
      <c r="L7788">
        <v>1</v>
      </c>
      <c r="M7788" t="s">
        <v>29</v>
      </c>
    </row>
    <row r="7789" spans="1:13" hidden="1" x14ac:dyDescent="0.15">
      <c r="A7789" t="s">
        <v>24392</v>
      </c>
      <c r="B7789" t="s">
        <v>24393</v>
      </c>
      <c r="D7789" t="s">
        <v>24391</v>
      </c>
      <c r="E7789">
        <v>0</v>
      </c>
      <c r="F7789" t="str">
        <f>HYPERLINK("https://github.com/avluis/Hentoid/issues/402", "show")</f>
        <v>show</v>
      </c>
      <c r="G7789" t="str">
        <f>HYPERLINK("https://github.com/avluis/Hentoid", "show")</f>
        <v>show</v>
      </c>
      <c r="H7789" t="str">
        <f>HYPERLINK("https://github.com/avluis/Hentoid/releases", "show")</f>
        <v>show</v>
      </c>
      <c r="I7789">
        <v>1</v>
      </c>
      <c r="J7789">
        <v>0</v>
      </c>
      <c r="K7789">
        <v>0</v>
      </c>
      <c r="L7789">
        <v>0</v>
      </c>
      <c r="M7789" t="s">
        <v>17</v>
      </c>
    </row>
    <row r="7790" spans="1:13" hidden="1" x14ac:dyDescent="0.15">
      <c r="A7790" t="s">
        <v>24394</v>
      </c>
      <c r="B7790" t="s">
        <v>24395</v>
      </c>
      <c r="C7790" t="s">
        <v>24396</v>
      </c>
      <c r="D7790" t="s">
        <v>24391</v>
      </c>
      <c r="E7790">
        <v>0</v>
      </c>
      <c r="F7790" t="str">
        <f>HYPERLINK("https://github.com/gini/gini-vision-lib-android/issues/256", "show")</f>
        <v>show</v>
      </c>
      <c r="G7790" t="str">
        <f>HYPERLINK("https://github.com/gini/gini-vision-lib-android", "show")</f>
        <v>show</v>
      </c>
      <c r="H7790" t="str">
        <f>HYPERLINK("https://github.com/gini/gini-vision-lib-android/releases", "show")</f>
        <v>show</v>
      </c>
      <c r="I7790">
        <v>1</v>
      </c>
      <c r="J7790">
        <v>0</v>
      </c>
      <c r="K7790">
        <v>0</v>
      </c>
      <c r="L7790">
        <v>0</v>
      </c>
      <c r="M7790" t="s">
        <v>17</v>
      </c>
    </row>
    <row r="7791" spans="1:13" hidden="1" x14ac:dyDescent="0.15">
      <c r="A7791" t="s">
        <v>24397</v>
      </c>
      <c r="B7791" t="s">
        <v>24398</v>
      </c>
      <c r="C7791" t="s">
        <v>24399</v>
      </c>
      <c r="D7791" t="s">
        <v>24391</v>
      </c>
      <c r="E7791">
        <v>0</v>
      </c>
      <c r="F7791" t="str">
        <f>HYPERLINK("https://github.com/nextcloud/android/issues/4745", "show")</f>
        <v>show</v>
      </c>
      <c r="G7791" t="str">
        <f>HYPERLINK("https://github.com/nextcloud/android", "show")</f>
        <v>show</v>
      </c>
      <c r="H7791" t="str">
        <f>HYPERLINK("https://github.com/nextcloud/android/releases", "show")</f>
        <v>show</v>
      </c>
      <c r="I7791">
        <v>1</v>
      </c>
      <c r="J7791">
        <v>1</v>
      </c>
      <c r="K7791">
        <v>0</v>
      </c>
      <c r="L7791">
        <v>0</v>
      </c>
      <c r="M7791" t="s">
        <v>48</v>
      </c>
    </row>
    <row r="7792" spans="1:13" hidden="1" x14ac:dyDescent="0.15">
      <c r="A7792" t="s">
        <v>24400</v>
      </c>
      <c r="B7792" t="s">
        <v>24401</v>
      </c>
      <c r="C7792" t="s">
        <v>24402</v>
      </c>
      <c r="D7792" t="s">
        <v>24403</v>
      </c>
      <c r="E7792">
        <v>5</v>
      </c>
      <c r="F7792" t="str">
        <f>HYPERLINK("https://github.com/SkyTubeTeam/SkyTube/issues/594", "show")</f>
        <v>show</v>
      </c>
      <c r="G7792" t="str">
        <f>HYPERLINK("https://github.com/SkyTubeTeam/SkyTube", "show")</f>
        <v>show</v>
      </c>
      <c r="H7792" t="str">
        <f>HYPERLINK("https://github.com/SkyTubeTeam/SkyTube/releases", "show")</f>
        <v>show</v>
      </c>
      <c r="I7792">
        <v>1</v>
      </c>
      <c r="J7792">
        <v>0</v>
      </c>
      <c r="K7792">
        <v>0</v>
      </c>
      <c r="L7792">
        <v>0</v>
      </c>
      <c r="M7792" t="s">
        <v>17</v>
      </c>
    </row>
    <row r="7793" spans="1:13" x14ac:dyDescent="0.15">
      <c r="A7793" t="s">
        <v>24404</v>
      </c>
      <c r="B7793" t="s">
        <v>16780</v>
      </c>
      <c r="C7793" t="s">
        <v>23994</v>
      </c>
      <c r="D7793" t="s">
        <v>24403</v>
      </c>
      <c r="E7793">
        <v>42</v>
      </c>
      <c r="F7793" t="str">
        <f>HYPERLINK("https://github.com/nextcloud/android/issues/4743", "show")</f>
        <v>show</v>
      </c>
      <c r="G7793" t="str">
        <f>HYPERLINK("https://github.com/nextcloud/android", "show")</f>
        <v>show</v>
      </c>
      <c r="H7793" t="str">
        <f>HYPERLINK("https://github.com/nextcloud/android/releases", "show")</f>
        <v>show</v>
      </c>
      <c r="I7793">
        <v>0</v>
      </c>
      <c r="J7793">
        <v>1</v>
      </c>
      <c r="K7793">
        <v>0</v>
      </c>
      <c r="L7793">
        <v>0</v>
      </c>
      <c r="M7793" t="s">
        <v>139</v>
      </c>
    </row>
    <row r="7794" spans="1:13" hidden="1" x14ac:dyDescent="0.15">
      <c r="A7794" t="s">
        <v>24405</v>
      </c>
      <c r="B7794" t="s">
        <v>24406</v>
      </c>
      <c r="C7794" t="s">
        <v>24407</v>
      </c>
      <c r="D7794" t="s">
        <v>24408</v>
      </c>
      <c r="E7794">
        <v>9</v>
      </c>
      <c r="F7794" t="str">
        <f>HYPERLINK("https://github.com/google/ExoPlayer/issues/6588", "show")</f>
        <v>show</v>
      </c>
      <c r="G7794" t="str">
        <f>HYPERLINK("https://github.com/google/ExoPlayer", "show")</f>
        <v>show</v>
      </c>
      <c r="H7794" t="str">
        <f>HYPERLINK("https://github.com/google/ExoPlayer/releases", "show")</f>
        <v>show</v>
      </c>
      <c r="I7794">
        <v>1</v>
      </c>
      <c r="J7794">
        <v>0</v>
      </c>
      <c r="K7794">
        <v>1</v>
      </c>
      <c r="L7794">
        <v>0</v>
      </c>
      <c r="M7794" t="s">
        <v>64</v>
      </c>
    </row>
    <row r="7795" spans="1:13" hidden="1" x14ac:dyDescent="0.15">
      <c r="A7795" t="s">
        <v>24409</v>
      </c>
      <c r="B7795" t="s">
        <v>24410</v>
      </c>
      <c r="C7795" t="s">
        <v>24411</v>
      </c>
      <c r="D7795" t="s">
        <v>24408</v>
      </c>
      <c r="E7795">
        <v>22</v>
      </c>
      <c r="F7795" t="str">
        <f>HYPERLINK("https://github.com/square/okhttp/issues/5575", "show")</f>
        <v>show</v>
      </c>
      <c r="G7795" t="str">
        <f>HYPERLINK("https://github.com/square/okhttp", "show")</f>
        <v>show</v>
      </c>
      <c r="H7795" t="str">
        <f>HYPERLINK("https://github.com/square/okhttp/releases", "show")</f>
        <v>show</v>
      </c>
      <c r="I7795">
        <v>1</v>
      </c>
      <c r="J7795">
        <v>0</v>
      </c>
      <c r="K7795">
        <v>0</v>
      </c>
      <c r="L7795">
        <v>0</v>
      </c>
      <c r="M7795" t="s">
        <v>17</v>
      </c>
    </row>
    <row r="7796" spans="1:13" hidden="1" x14ac:dyDescent="0.15">
      <c r="A7796" t="s">
        <v>24412</v>
      </c>
      <c r="B7796" t="s">
        <v>24413</v>
      </c>
      <c r="C7796" t="s">
        <v>24414</v>
      </c>
      <c r="D7796" t="s">
        <v>24408</v>
      </c>
      <c r="E7796">
        <v>8</v>
      </c>
      <c r="F7796" t="str">
        <f>HYPERLINK("https://github.com/ElderDrivers/EdXposed/issues/377", "show")</f>
        <v>show</v>
      </c>
      <c r="G7796" t="str">
        <f>HYPERLINK("https://github.com/ElderDrivers/EdXposed", "show")</f>
        <v>show</v>
      </c>
      <c r="H7796" t="str">
        <f>HYPERLINK("https://github.com/ElderDrivers/EdXposed/releases", "show")</f>
        <v>show</v>
      </c>
      <c r="I7796">
        <v>1</v>
      </c>
      <c r="J7796">
        <v>0</v>
      </c>
      <c r="K7796">
        <v>0</v>
      </c>
      <c r="L7796">
        <v>0</v>
      </c>
      <c r="M7796" t="s">
        <v>17</v>
      </c>
    </row>
    <row r="7797" spans="1:13" hidden="1" x14ac:dyDescent="0.15">
      <c r="A7797" t="s">
        <v>24415</v>
      </c>
      <c r="B7797" t="s">
        <v>24416</v>
      </c>
      <c r="C7797" t="s">
        <v>24417</v>
      </c>
      <c r="D7797" t="s">
        <v>24418</v>
      </c>
      <c r="E7797">
        <v>1</v>
      </c>
      <c r="F7797" t="str">
        <f>HYPERLINK("https://github.com/project-travel-mate/Travel-Mate/issues/779", "show")</f>
        <v>show</v>
      </c>
      <c r="G7797" t="str">
        <f>HYPERLINK("https://github.com/project-travel-mate/Travel-Mate", "show")</f>
        <v>show</v>
      </c>
      <c r="H7797" t="str">
        <f>HYPERLINK("https://github.com/project-travel-mate/Travel-Mate/releases", "show")</f>
        <v>show</v>
      </c>
      <c r="I7797">
        <v>1</v>
      </c>
      <c r="J7797">
        <v>0</v>
      </c>
      <c r="K7797">
        <v>1</v>
      </c>
      <c r="L7797">
        <v>0</v>
      </c>
      <c r="M7797" t="s">
        <v>64</v>
      </c>
    </row>
    <row r="7798" spans="1:13" hidden="1" x14ac:dyDescent="0.15">
      <c r="A7798" t="s">
        <v>24419</v>
      </c>
      <c r="B7798" t="s">
        <v>24420</v>
      </c>
      <c r="C7798" t="s">
        <v>24421</v>
      </c>
      <c r="D7798" t="s">
        <v>24418</v>
      </c>
      <c r="E7798">
        <v>0</v>
      </c>
      <c r="F7798" t="str">
        <f>HYPERLINK("https://github.com/marksuth/indigenous-android/issues/243", "show")</f>
        <v>show</v>
      </c>
      <c r="G7798" t="str">
        <f>HYPERLINK("https://github.com/marksuth/indigenous-android", "show")</f>
        <v>show</v>
      </c>
      <c r="H7798" t="str">
        <f>HYPERLINK("https://github.com/marksuth/indigenous-android/releases", "show")</f>
        <v>show</v>
      </c>
      <c r="I7798">
        <v>1</v>
      </c>
      <c r="J7798">
        <v>0</v>
      </c>
      <c r="K7798">
        <v>0</v>
      </c>
      <c r="L7798">
        <v>0</v>
      </c>
      <c r="M7798" t="s">
        <v>17</v>
      </c>
    </row>
    <row r="7799" spans="1:13" hidden="1" x14ac:dyDescent="0.15">
      <c r="A7799" t="s">
        <v>24422</v>
      </c>
      <c r="B7799" t="s">
        <v>24423</v>
      </c>
      <c r="C7799" t="s">
        <v>24424</v>
      </c>
      <c r="D7799" t="s">
        <v>24418</v>
      </c>
      <c r="E7799">
        <v>2</v>
      </c>
      <c r="F7799" t="str">
        <f>HYPERLINK("https://github.com/aws-amplify/aws-sdk-android/issues/1275", "show")</f>
        <v>show</v>
      </c>
      <c r="G7799" t="str">
        <f>HYPERLINK("https://github.com/aws-amplify/aws-sdk-android", "show")</f>
        <v>show</v>
      </c>
      <c r="H7799" t="str">
        <f>HYPERLINK("https://github.com/aws-amplify/aws-sdk-android/releases", "show")</f>
        <v>show</v>
      </c>
      <c r="I7799">
        <v>1</v>
      </c>
      <c r="J7799">
        <v>0</v>
      </c>
      <c r="K7799">
        <v>1</v>
      </c>
      <c r="L7799">
        <v>0</v>
      </c>
      <c r="M7799" t="s">
        <v>64</v>
      </c>
    </row>
    <row r="7800" spans="1:13" hidden="1" x14ac:dyDescent="0.15">
      <c r="A7800" t="s">
        <v>24425</v>
      </c>
      <c r="B7800" t="s">
        <v>24426</v>
      </c>
      <c r="C7800" t="s">
        <v>24427</v>
      </c>
      <c r="D7800" t="s">
        <v>24418</v>
      </c>
      <c r="E7800">
        <v>13</v>
      </c>
      <c r="F7800" t="str">
        <f>HYPERLINK("https://github.com/warmshowers/wsandroid/issues/342", "show")</f>
        <v>show</v>
      </c>
      <c r="G7800" t="str">
        <f>HYPERLINK("https://github.com/warmshowers/wsandroid", "show")</f>
        <v>show</v>
      </c>
      <c r="H7800" t="str">
        <f>HYPERLINK("https://github.com/warmshowers/wsandroid/releases", "show")</f>
        <v>show</v>
      </c>
      <c r="I7800">
        <v>1</v>
      </c>
      <c r="J7800">
        <v>1</v>
      </c>
      <c r="K7800">
        <v>0</v>
      </c>
      <c r="L7800">
        <v>0</v>
      </c>
      <c r="M7800" t="s">
        <v>48</v>
      </c>
    </row>
    <row r="7801" spans="1:13" hidden="1" x14ac:dyDescent="0.15">
      <c r="A7801" t="s">
        <v>24428</v>
      </c>
      <c r="B7801" t="s">
        <v>141</v>
      </c>
      <c r="C7801" t="s">
        <v>24429</v>
      </c>
      <c r="D7801" t="s">
        <v>24418</v>
      </c>
      <c r="E7801">
        <v>43</v>
      </c>
      <c r="F7801" t="str">
        <f>HYPERLINK("https://github.com/renyuneyun/Easer/issues/284", "show")</f>
        <v>show</v>
      </c>
      <c r="G7801" t="str">
        <f>HYPERLINK("https://github.com/renyuneyun/Easer", "show")</f>
        <v>show</v>
      </c>
      <c r="H7801" t="str">
        <f>HYPERLINK("https://github.com/renyuneyun/Easer/releases", "show")</f>
        <v>show</v>
      </c>
      <c r="I7801">
        <v>1</v>
      </c>
      <c r="J7801">
        <v>1</v>
      </c>
      <c r="K7801">
        <v>1</v>
      </c>
      <c r="L7801">
        <v>0</v>
      </c>
      <c r="M7801" t="s">
        <v>59</v>
      </c>
    </row>
    <row r="7802" spans="1:13" hidden="1" x14ac:dyDescent="0.15">
      <c r="A7802" t="s">
        <v>24430</v>
      </c>
      <c r="B7802" t="s">
        <v>24431</v>
      </c>
      <c r="C7802" t="s">
        <v>24432</v>
      </c>
      <c r="D7802" t="s">
        <v>24418</v>
      </c>
      <c r="E7802">
        <v>4</v>
      </c>
      <c r="F7802" t="str">
        <f>HYPERLINK("https://github.com/ElderDrivers/EdXposed/issues/376", "show")</f>
        <v>show</v>
      </c>
      <c r="G7802" t="str">
        <f>HYPERLINK("https://github.com/ElderDrivers/EdXposed", "show")</f>
        <v>show</v>
      </c>
      <c r="H7802" t="str">
        <f>HYPERLINK("https://github.com/ElderDrivers/EdXposed/releases", "show")</f>
        <v>show</v>
      </c>
      <c r="I7802">
        <v>0</v>
      </c>
      <c r="J7802">
        <v>0</v>
      </c>
      <c r="K7802">
        <v>0</v>
      </c>
      <c r="L7802">
        <v>0</v>
      </c>
      <c r="M7802" t="s">
        <v>43</v>
      </c>
    </row>
    <row r="7803" spans="1:13" hidden="1" x14ac:dyDescent="0.15">
      <c r="A7803" t="s">
        <v>24433</v>
      </c>
      <c r="B7803" t="s">
        <v>24434</v>
      </c>
      <c r="C7803" t="s">
        <v>24435</v>
      </c>
      <c r="D7803" t="s">
        <v>24436</v>
      </c>
      <c r="E7803">
        <v>173</v>
      </c>
      <c r="F7803" t="str">
        <f>HYPERLINK("https://github.com/nextcloud/android/issues/4732", "show")</f>
        <v>show</v>
      </c>
      <c r="G7803" t="str">
        <f>HYPERLINK("https://github.com/nextcloud/android", "show")</f>
        <v>show</v>
      </c>
      <c r="H7803" t="str">
        <f>HYPERLINK("https://github.com/nextcloud/android/releases", "show")</f>
        <v>show</v>
      </c>
      <c r="I7803">
        <v>1</v>
      </c>
      <c r="J7803">
        <v>1</v>
      </c>
      <c r="K7803">
        <v>1</v>
      </c>
      <c r="L7803">
        <v>0</v>
      </c>
      <c r="M7803" t="s">
        <v>59</v>
      </c>
    </row>
    <row r="7804" spans="1:13" hidden="1" x14ac:dyDescent="0.15">
      <c r="A7804" t="s">
        <v>24437</v>
      </c>
      <c r="B7804" t="s">
        <v>24438</v>
      </c>
      <c r="C7804" t="s">
        <v>24439</v>
      </c>
      <c r="D7804" t="s">
        <v>24436</v>
      </c>
      <c r="E7804">
        <v>55</v>
      </c>
      <c r="F7804" t="str">
        <f>HYPERLINK("https://github.com/opensrp/opensrp-client-giz-malawi/issues/137", "show")</f>
        <v>show</v>
      </c>
      <c r="G7804" t="str">
        <f>HYPERLINK("https://github.com/opensrp/opensrp-client-giz-malawi", "show")</f>
        <v>show</v>
      </c>
      <c r="H7804" t="str">
        <f>HYPERLINK("https://github.com/opensrp/opensrp-client-giz-malawi/releases", "show")</f>
        <v>show</v>
      </c>
      <c r="I7804">
        <v>1</v>
      </c>
      <c r="J7804">
        <v>1</v>
      </c>
      <c r="K7804">
        <v>0</v>
      </c>
      <c r="L7804">
        <v>0</v>
      </c>
      <c r="M7804" t="s">
        <v>48</v>
      </c>
    </row>
    <row r="7805" spans="1:13" hidden="1" x14ac:dyDescent="0.15">
      <c r="A7805" t="s">
        <v>24440</v>
      </c>
      <c r="B7805" t="s">
        <v>24441</v>
      </c>
      <c r="C7805" t="s">
        <v>24442</v>
      </c>
      <c r="D7805" t="s">
        <v>24443</v>
      </c>
      <c r="E7805">
        <v>0</v>
      </c>
      <c r="F7805" t="str">
        <f>HYPERLINK("https://github.com/joel0/TallyTSLUMD/issues/7", "show")</f>
        <v>show</v>
      </c>
      <c r="G7805" t="str">
        <f>HYPERLINK("https://github.com/joel0/TallyTSLUMD", "show")</f>
        <v>show</v>
      </c>
      <c r="H7805" t="str">
        <f>HYPERLINK("https://github.com/joel0/TallyTSLUMD/releases", "show")</f>
        <v>show</v>
      </c>
      <c r="I7805">
        <v>0</v>
      </c>
      <c r="J7805">
        <v>0</v>
      </c>
      <c r="K7805">
        <v>0</v>
      </c>
      <c r="L7805">
        <v>0</v>
      </c>
      <c r="M7805" t="s">
        <v>43</v>
      </c>
    </row>
    <row r="7806" spans="1:13" hidden="1" x14ac:dyDescent="0.15">
      <c r="A7806" t="s">
        <v>24444</v>
      </c>
      <c r="B7806" t="s">
        <v>24445</v>
      </c>
      <c r="C7806" t="s">
        <v>24446</v>
      </c>
      <c r="D7806" t="s">
        <v>24443</v>
      </c>
      <c r="E7806">
        <v>0</v>
      </c>
      <c r="F7806" t="str">
        <f>HYPERLINK("https://github.com/joel0/TallyTSLUMD/issues/6", "show")</f>
        <v>show</v>
      </c>
      <c r="G7806" t="str">
        <f>HYPERLINK("https://github.com/joel0/TallyTSLUMD", "show")</f>
        <v>show</v>
      </c>
      <c r="H7806" t="str">
        <f>HYPERLINK("https://github.com/joel0/TallyTSLUMD/releases", "show")</f>
        <v>show</v>
      </c>
      <c r="I7806">
        <v>0</v>
      </c>
      <c r="J7806">
        <v>0</v>
      </c>
      <c r="K7806">
        <v>1</v>
      </c>
      <c r="L7806">
        <v>0</v>
      </c>
      <c r="M7806" t="s">
        <v>122</v>
      </c>
    </row>
    <row r="7807" spans="1:13" hidden="1" x14ac:dyDescent="0.15">
      <c r="A7807" t="s">
        <v>24447</v>
      </c>
      <c r="B7807" t="s">
        <v>24448</v>
      </c>
      <c r="C7807" t="s">
        <v>24449</v>
      </c>
      <c r="D7807" t="s">
        <v>24450</v>
      </c>
      <c r="E7807">
        <v>99</v>
      </c>
      <c r="F7807" t="str">
        <f>HYPERLINK("https://github.com/segler-alex/RadioDroid/issues/580", "show")</f>
        <v>show</v>
      </c>
      <c r="G7807" t="str">
        <f>HYPERLINK("https://github.com/segler-alex/RadioDroid", "show")</f>
        <v>show</v>
      </c>
      <c r="H7807" t="str">
        <f>HYPERLINK("https://github.com/segler-alex/RadioDroid/releases", "show")</f>
        <v>show</v>
      </c>
      <c r="I7807">
        <v>1</v>
      </c>
      <c r="J7807">
        <v>0</v>
      </c>
      <c r="K7807">
        <v>1</v>
      </c>
      <c r="L7807">
        <v>0</v>
      </c>
      <c r="M7807" t="s">
        <v>64</v>
      </c>
    </row>
    <row r="7808" spans="1:13" hidden="1" x14ac:dyDescent="0.15">
      <c r="A7808" t="s">
        <v>24451</v>
      </c>
      <c r="B7808" t="s">
        <v>24452</v>
      </c>
      <c r="C7808" t="s">
        <v>24453</v>
      </c>
      <c r="D7808" t="s">
        <v>24454</v>
      </c>
      <c r="E7808">
        <v>400</v>
      </c>
      <c r="F7808" t="str">
        <f>HYPERLINK("https://github.com/ElderDrivers/EdXposed/issues/373", "show")</f>
        <v>show</v>
      </c>
      <c r="G7808" t="str">
        <f>HYPERLINK("https://github.com/ElderDrivers/EdXposed", "show")</f>
        <v>show</v>
      </c>
      <c r="H7808" t="str">
        <f>HYPERLINK("https://github.com/ElderDrivers/EdXposed/releases", "show")</f>
        <v>show</v>
      </c>
      <c r="I7808">
        <v>1</v>
      </c>
      <c r="J7808">
        <v>0</v>
      </c>
      <c r="K7808">
        <v>0</v>
      </c>
      <c r="L7808">
        <v>0</v>
      </c>
      <c r="M7808" t="s">
        <v>17</v>
      </c>
    </row>
    <row r="7809" spans="1:13" hidden="1" x14ac:dyDescent="0.15">
      <c r="A7809" t="s">
        <v>24455</v>
      </c>
      <c r="B7809" t="s">
        <v>24456</v>
      </c>
      <c r="C7809" t="s">
        <v>24457</v>
      </c>
      <c r="D7809" t="s">
        <v>24454</v>
      </c>
      <c r="E7809">
        <v>402</v>
      </c>
      <c r="F7809" t="str">
        <f>HYPERLINK("https://github.com/ElderDrivers/EdXposed/issues/372", "show")</f>
        <v>show</v>
      </c>
      <c r="G7809" t="str">
        <f>HYPERLINK("https://github.com/ElderDrivers/EdXposed", "show")</f>
        <v>show</v>
      </c>
      <c r="H7809" t="str">
        <f>HYPERLINK("https://github.com/ElderDrivers/EdXposed/releases", "show")</f>
        <v>show</v>
      </c>
      <c r="I7809">
        <v>0</v>
      </c>
      <c r="J7809">
        <v>0</v>
      </c>
      <c r="K7809">
        <v>0</v>
      </c>
      <c r="L7809">
        <v>0</v>
      </c>
      <c r="M7809" t="s">
        <v>43</v>
      </c>
    </row>
    <row r="7810" spans="1:13" hidden="1" x14ac:dyDescent="0.15">
      <c r="A7810" t="s">
        <v>24458</v>
      </c>
      <c r="B7810" t="s">
        <v>24459</v>
      </c>
      <c r="C7810" t="s">
        <v>24460</v>
      </c>
      <c r="D7810" t="s">
        <v>24461</v>
      </c>
      <c r="E7810">
        <v>11</v>
      </c>
      <c r="F7810" t="str">
        <f>HYPERLINK("https://github.com/OpenTracksApp/OpenTracks/issues/49", "show")</f>
        <v>show</v>
      </c>
      <c r="G7810" t="str">
        <f>HYPERLINK("https://github.com/OpenTracksApp/OpenTracks", "show")</f>
        <v>show</v>
      </c>
      <c r="H7810" t="str">
        <f>HYPERLINK("https://github.com/OpenTracksApp/OpenTracks/releases", "show")</f>
        <v>show</v>
      </c>
      <c r="I7810">
        <v>1</v>
      </c>
      <c r="J7810">
        <v>0</v>
      </c>
      <c r="K7810">
        <v>1</v>
      </c>
      <c r="L7810">
        <v>0</v>
      </c>
      <c r="M7810" t="s">
        <v>64</v>
      </c>
    </row>
    <row r="7811" spans="1:13" hidden="1" x14ac:dyDescent="0.15">
      <c r="A7811" t="s">
        <v>24462</v>
      </c>
      <c r="B7811" t="s">
        <v>24463</v>
      </c>
      <c r="C7811" t="s">
        <v>24464</v>
      </c>
      <c r="D7811" t="s">
        <v>24461</v>
      </c>
      <c r="E7811">
        <v>28</v>
      </c>
      <c r="F7811" t="str">
        <f>HYPERLINK("https://github.com/miguelpruivo/flutter_file_picker/issues/161", "show")</f>
        <v>show</v>
      </c>
      <c r="G7811" t="str">
        <f>HYPERLINK("https://github.com/miguelpruivo/flutter_file_picker", "show")</f>
        <v>show</v>
      </c>
      <c r="H7811" t="str">
        <f>HYPERLINK("https://github.com/miguelpruivo/flutter_file_picker/releases", "show")</f>
        <v>show</v>
      </c>
      <c r="I7811">
        <v>0</v>
      </c>
      <c r="J7811">
        <v>0</v>
      </c>
      <c r="K7811">
        <v>1</v>
      </c>
      <c r="L7811">
        <v>0</v>
      </c>
      <c r="M7811" t="s">
        <v>122</v>
      </c>
    </row>
    <row r="7812" spans="1:13" hidden="1" x14ac:dyDescent="0.15">
      <c r="A7812" t="s">
        <v>24465</v>
      </c>
      <c r="B7812" t="s">
        <v>24466</v>
      </c>
      <c r="C7812" t="s">
        <v>24467</v>
      </c>
      <c r="D7812" t="s">
        <v>24461</v>
      </c>
      <c r="E7812">
        <v>28</v>
      </c>
      <c r="F7812" t="str">
        <f>HYPERLINK("https://github.com/square/okhttp/issues/5562", "show")</f>
        <v>show</v>
      </c>
      <c r="G7812" t="str">
        <f>HYPERLINK("https://github.com/square/okhttp", "show")</f>
        <v>show</v>
      </c>
      <c r="H7812" t="str">
        <f>HYPERLINK("https://github.com/square/okhttp/releases", "show")</f>
        <v>show</v>
      </c>
      <c r="I7812">
        <v>1</v>
      </c>
      <c r="J7812">
        <v>0</v>
      </c>
      <c r="K7812">
        <v>0</v>
      </c>
      <c r="L7812">
        <v>0</v>
      </c>
      <c r="M7812" t="s">
        <v>17</v>
      </c>
    </row>
    <row r="7813" spans="1:13" hidden="1" x14ac:dyDescent="0.15">
      <c r="A7813" t="s">
        <v>24468</v>
      </c>
      <c r="B7813" t="s">
        <v>24469</v>
      </c>
      <c r="C7813" t="s">
        <v>24470</v>
      </c>
      <c r="D7813" t="s">
        <v>24471</v>
      </c>
      <c r="E7813">
        <v>123</v>
      </c>
      <c r="F7813" t="str">
        <f>HYPERLINK("https://github.com/bitstadium/HockeySDK-Android/issues/435", "show")</f>
        <v>show</v>
      </c>
      <c r="G7813" t="str">
        <f>HYPERLINK("https://github.com/bitstadium/HockeySDK-Android", "show")</f>
        <v>show</v>
      </c>
      <c r="H7813" t="str">
        <f>HYPERLINK("https://github.com/bitstadium/HockeySDK-Android/releases", "show")</f>
        <v>show</v>
      </c>
      <c r="I7813">
        <v>0</v>
      </c>
      <c r="J7813">
        <v>0</v>
      </c>
      <c r="K7813">
        <v>1</v>
      </c>
      <c r="L7813">
        <v>0</v>
      </c>
      <c r="M7813" t="s">
        <v>122</v>
      </c>
    </row>
    <row r="7814" spans="1:13" hidden="1" x14ac:dyDescent="0.15">
      <c r="A7814" t="s">
        <v>24472</v>
      </c>
      <c r="B7814" t="s">
        <v>24473</v>
      </c>
      <c r="D7814" t="s">
        <v>24471</v>
      </c>
      <c r="E7814">
        <v>9</v>
      </c>
      <c r="F7814" t="str">
        <f>HYPERLINK("https://github.com/Swati4star/Images-to-PDF/issues/827", "show")</f>
        <v>show</v>
      </c>
      <c r="G7814" t="str">
        <f>HYPERLINK("https://github.com/Swati4star/Images-to-PDF", "show")</f>
        <v>show</v>
      </c>
      <c r="H7814" t="str">
        <f>HYPERLINK("https://github.com/Swati4star/Images-to-PDF/releases", "show")</f>
        <v>show</v>
      </c>
      <c r="I7814">
        <v>0</v>
      </c>
      <c r="J7814">
        <v>0</v>
      </c>
      <c r="K7814">
        <v>1</v>
      </c>
      <c r="L7814">
        <v>0</v>
      </c>
      <c r="M7814" t="s">
        <v>122</v>
      </c>
    </row>
    <row r="7815" spans="1:13" hidden="1" x14ac:dyDescent="0.15">
      <c r="A7815" t="s">
        <v>24474</v>
      </c>
      <c r="B7815" t="s">
        <v>20577</v>
      </c>
      <c r="C7815" t="s">
        <v>24475</v>
      </c>
      <c r="D7815" t="s">
        <v>24476</v>
      </c>
      <c r="E7815">
        <v>42</v>
      </c>
      <c r="F7815" t="str">
        <f>HYPERLINK("https://github.com/nextcloud/android/issues/4704", "show")</f>
        <v>show</v>
      </c>
      <c r="G7815" t="str">
        <f>HYPERLINK("https://github.com/nextcloud/android", "show")</f>
        <v>show</v>
      </c>
      <c r="H7815" t="str">
        <f>HYPERLINK("https://github.com/nextcloud/android/releases", "show")</f>
        <v>show</v>
      </c>
      <c r="I7815">
        <v>0</v>
      </c>
      <c r="J7815">
        <v>1</v>
      </c>
      <c r="K7815">
        <v>1</v>
      </c>
      <c r="L7815">
        <v>0</v>
      </c>
      <c r="M7815" t="s">
        <v>699</v>
      </c>
    </row>
    <row r="7816" spans="1:13" hidden="1" x14ac:dyDescent="0.15">
      <c r="A7816" t="s">
        <v>24477</v>
      </c>
      <c r="B7816" t="s">
        <v>24478</v>
      </c>
      <c r="C7816" t="s">
        <v>24479</v>
      </c>
      <c r="D7816" t="s">
        <v>24476</v>
      </c>
      <c r="E7816">
        <v>17</v>
      </c>
      <c r="F7816" t="str">
        <f>HYPERLINK("https://github.com/inaturalist/iNaturalistAndroid/issues/722", "show")</f>
        <v>show</v>
      </c>
      <c r="G7816" t="str">
        <f>HYPERLINK("https://github.com/inaturalist/iNaturalistAndroid", "show")</f>
        <v>show</v>
      </c>
      <c r="H7816" t="str">
        <f>HYPERLINK("https://github.com/inaturalist/iNaturalistAndroid/releases", "show")</f>
        <v>show</v>
      </c>
      <c r="I7816">
        <v>1</v>
      </c>
      <c r="J7816">
        <v>1</v>
      </c>
      <c r="K7816">
        <v>0</v>
      </c>
      <c r="L7816">
        <v>0</v>
      </c>
      <c r="M7816" t="s">
        <v>48</v>
      </c>
    </row>
    <row r="7817" spans="1:13" hidden="1" x14ac:dyDescent="0.15">
      <c r="A7817" t="s">
        <v>24480</v>
      </c>
      <c r="B7817" t="s">
        <v>24481</v>
      </c>
      <c r="C7817" t="s">
        <v>24482</v>
      </c>
      <c r="D7817" t="s">
        <v>24476</v>
      </c>
      <c r="E7817">
        <v>6</v>
      </c>
      <c r="F7817" t="str">
        <f>HYPERLINK("https://github.com/svenmeier/coxswain/issues/93", "show")</f>
        <v>show</v>
      </c>
      <c r="G7817" t="str">
        <f>HYPERLINK("https://github.com/svenmeier/coxswain", "show")</f>
        <v>show</v>
      </c>
      <c r="H7817" t="str">
        <f>HYPERLINK("https://github.com/svenmeier/coxswain/releases", "show")</f>
        <v>show</v>
      </c>
      <c r="I7817">
        <v>1</v>
      </c>
      <c r="J7817">
        <v>0</v>
      </c>
      <c r="K7817">
        <v>0</v>
      </c>
      <c r="L7817">
        <v>0</v>
      </c>
      <c r="M7817" t="s">
        <v>17</v>
      </c>
    </row>
    <row r="7818" spans="1:13" hidden="1" x14ac:dyDescent="0.15">
      <c r="A7818" t="s">
        <v>24483</v>
      </c>
      <c r="B7818" t="s">
        <v>24484</v>
      </c>
      <c r="C7818" t="s">
        <v>24485</v>
      </c>
      <c r="D7818" t="s">
        <v>24476</v>
      </c>
      <c r="E7818">
        <v>5</v>
      </c>
      <c r="F7818" t="str">
        <f>HYPERLINK("https://github.com/MozillaReality/FirefoxReality/issues/2020", "show")</f>
        <v>show</v>
      </c>
      <c r="G7818" t="str">
        <f>HYPERLINK("https://github.com/MozillaReality/FirefoxReality", "show")</f>
        <v>show</v>
      </c>
      <c r="H7818" t="str">
        <f>HYPERLINK("https://github.com/MozillaReality/FirefoxReality/releases", "show")</f>
        <v>show</v>
      </c>
      <c r="I7818">
        <v>1</v>
      </c>
      <c r="J7818">
        <v>1</v>
      </c>
      <c r="K7818">
        <v>1</v>
      </c>
      <c r="L7818">
        <v>0</v>
      </c>
      <c r="M7818" t="s">
        <v>59</v>
      </c>
    </row>
    <row r="7819" spans="1:13" hidden="1" x14ac:dyDescent="0.15">
      <c r="A7819" t="s">
        <v>24486</v>
      </c>
      <c r="B7819" t="s">
        <v>24487</v>
      </c>
      <c r="C7819" t="s">
        <v>24488</v>
      </c>
      <c r="D7819" t="s">
        <v>24476</v>
      </c>
      <c r="E7819">
        <v>165</v>
      </c>
      <c r="F7819" t="str">
        <f>HYPERLINK("https://github.com/twilio/video-quickstart-android/issues/447", "show")</f>
        <v>show</v>
      </c>
      <c r="G7819" t="str">
        <f>HYPERLINK("https://github.com/twilio/video-quickstart-android", "show")</f>
        <v>show</v>
      </c>
      <c r="H7819" t="str">
        <f>HYPERLINK("https://github.com/twilio/video-quickstart-android/releases", "show")</f>
        <v>show</v>
      </c>
      <c r="I7819">
        <v>0</v>
      </c>
      <c r="J7819">
        <v>0</v>
      </c>
      <c r="K7819">
        <v>0</v>
      </c>
      <c r="L7819">
        <v>0</v>
      </c>
      <c r="M7819" t="s">
        <v>43</v>
      </c>
    </row>
    <row r="7820" spans="1:13" hidden="1" x14ac:dyDescent="0.15">
      <c r="A7820" t="s">
        <v>24489</v>
      </c>
      <c r="B7820" t="s">
        <v>24490</v>
      </c>
      <c r="C7820" t="s">
        <v>24491</v>
      </c>
      <c r="D7820" t="s">
        <v>24492</v>
      </c>
      <c r="E7820">
        <v>275</v>
      </c>
      <c r="F7820" t="str">
        <f>HYPERLINK("https://github.com/AChep/AcDisplay/issues/161", "show")</f>
        <v>show</v>
      </c>
      <c r="G7820" t="str">
        <f>HYPERLINK("https://github.com/AChep/AcDisplay", "show")</f>
        <v>show</v>
      </c>
      <c r="H7820" t="str">
        <f>HYPERLINK("https://github.com/AChep/AcDisplay/releases", "show")</f>
        <v>show</v>
      </c>
      <c r="I7820">
        <v>1</v>
      </c>
      <c r="J7820">
        <v>0</v>
      </c>
      <c r="K7820">
        <v>0</v>
      </c>
      <c r="L7820">
        <v>0</v>
      </c>
      <c r="M7820" t="s">
        <v>17</v>
      </c>
    </row>
    <row r="7821" spans="1:13" hidden="1" x14ac:dyDescent="0.15">
      <c r="A7821" t="s">
        <v>24493</v>
      </c>
      <c r="B7821" t="s">
        <v>24494</v>
      </c>
      <c r="C7821" t="s">
        <v>24495</v>
      </c>
      <c r="D7821" t="s">
        <v>24492</v>
      </c>
      <c r="E7821">
        <v>110</v>
      </c>
      <c r="F7821" t="str">
        <f>HYPERLINK("https://github.com/nextcloud/android/issues/4702", "show")</f>
        <v>show</v>
      </c>
      <c r="G7821" t="str">
        <f>HYPERLINK("https://github.com/nextcloud/android", "show")</f>
        <v>show</v>
      </c>
      <c r="H7821" t="str">
        <f>HYPERLINK("https://github.com/nextcloud/android/releases", "show")</f>
        <v>show</v>
      </c>
      <c r="I7821">
        <v>0</v>
      </c>
      <c r="J7821">
        <v>0</v>
      </c>
      <c r="K7821">
        <v>1</v>
      </c>
      <c r="L7821">
        <v>0</v>
      </c>
      <c r="M7821" t="s">
        <v>122</v>
      </c>
    </row>
    <row r="7822" spans="1:13" hidden="1" x14ac:dyDescent="0.15">
      <c r="A7822" t="s">
        <v>24496</v>
      </c>
      <c r="B7822" t="s">
        <v>24497</v>
      </c>
      <c r="C7822" t="s">
        <v>24498</v>
      </c>
      <c r="D7822" t="s">
        <v>24492</v>
      </c>
      <c r="E7822">
        <v>2</v>
      </c>
      <c r="F7822" t="str">
        <f>HYPERLINK("https://github.com/ukanth/afwall/issues/1025", "show")</f>
        <v>show</v>
      </c>
      <c r="G7822" t="str">
        <f>HYPERLINK("https://github.com/ukanth/afwall", "show")</f>
        <v>show</v>
      </c>
      <c r="H7822" t="str">
        <f>HYPERLINK("https://github.com/ukanth/afwall/releases", "show")</f>
        <v>show</v>
      </c>
      <c r="I7822">
        <v>1</v>
      </c>
      <c r="J7822">
        <v>0</v>
      </c>
      <c r="K7822">
        <v>0</v>
      </c>
      <c r="L7822">
        <v>0</v>
      </c>
      <c r="M7822" t="s">
        <v>17</v>
      </c>
    </row>
    <row r="7823" spans="1:13" hidden="1" x14ac:dyDescent="0.15">
      <c r="A7823" t="s">
        <v>24499</v>
      </c>
      <c r="B7823" t="s">
        <v>24500</v>
      </c>
      <c r="C7823" t="s">
        <v>24501</v>
      </c>
      <c r="D7823" t="s">
        <v>24492</v>
      </c>
      <c r="E7823">
        <v>85</v>
      </c>
      <c r="F7823" t="str">
        <f>HYPERLINK("https://github.com/react-native-camera/react-native-camera/issues/2549", "show")</f>
        <v>show</v>
      </c>
      <c r="G7823" t="str">
        <f>HYPERLINK("https://github.com/react-native-camera/react-native-camera", "show")</f>
        <v>show</v>
      </c>
      <c r="H7823" t="str">
        <f>HYPERLINK("https://github.com/react-native-camera/react-native-camera/releases", "show")</f>
        <v>show</v>
      </c>
      <c r="I7823">
        <v>1</v>
      </c>
      <c r="J7823">
        <v>1</v>
      </c>
      <c r="K7823">
        <v>0</v>
      </c>
      <c r="L7823">
        <v>0</v>
      </c>
      <c r="M7823" t="s">
        <v>48</v>
      </c>
    </row>
    <row r="7824" spans="1:13" hidden="1" x14ac:dyDescent="0.15">
      <c r="A7824" t="s">
        <v>24502</v>
      </c>
      <c r="B7824" t="s">
        <v>24503</v>
      </c>
      <c r="C7824" t="s">
        <v>24504</v>
      </c>
      <c r="D7824" t="s">
        <v>24492</v>
      </c>
      <c r="E7824">
        <v>20</v>
      </c>
      <c r="F7824" t="str">
        <f>HYPERLINK("https://github.com/microsoft/appcenter-sdk-android/issues/1282", "show")</f>
        <v>show</v>
      </c>
      <c r="G7824" t="str">
        <f>HYPERLINK("https://github.com/microsoft/appcenter-sdk-android", "show")</f>
        <v>show</v>
      </c>
      <c r="H7824" t="str">
        <f>HYPERLINK("https://github.com/microsoft/appcenter-sdk-android/releases", "show")</f>
        <v>show</v>
      </c>
      <c r="I7824">
        <v>1</v>
      </c>
      <c r="J7824">
        <v>1</v>
      </c>
      <c r="K7824">
        <v>1</v>
      </c>
      <c r="L7824">
        <v>0</v>
      </c>
      <c r="M7824" t="s">
        <v>59</v>
      </c>
    </row>
    <row r="7825" spans="1:13" hidden="1" x14ac:dyDescent="0.15">
      <c r="A7825" t="s">
        <v>24505</v>
      </c>
      <c r="B7825" t="s">
        <v>24506</v>
      </c>
      <c r="C7825" t="s">
        <v>24507</v>
      </c>
      <c r="D7825" t="s">
        <v>24492</v>
      </c>
      <c r="E7825">
        <v>0</v>
      </c>
      <c r="F7825" t="str">
        <f>HYPERLINK("https://github.com/balthazar/react-native-zeroconf/issues/103", "show")</f>
        <v>show</v>
      </c>
      <c r="G7825" t="str">
        <f>HYPERLINK("https://github.com/balthazar/react-native-zeroconf", "show")</f>
        <v>show</v>
      </c>
      <c r="H7825" t="str">
        <f>HYPERLINK("https://github.com/balthazar/react-native-zeroconf/releases", "show")</f>
        <v>show</v>
      </c>
      <c r="I7825">
        <v>1</v>
      </c>
      <c r="J7825">
        <v>0</v>
      </c>
      <c r="K7825">
        <v>0</v>
      </c>
      <c r="L7825">
        <v>0</v>
      </c>
      <c r="M7825" t="s">
        <v>17</v>
      </c>
    </row>
    <row r="7826" spans="1:13" hidden="1" x14ac:dyDescent="0.15">
      <c r="A7826" t="s">
        <v>24508</v>
      </c>
      <c r="B7826" t="s">
        <v>24509</v>
      </c>
      <c r="C7826" t="s">
        <v>24510</v>
      </c>
      <c r="D7826" t="s">
        <v>24492</v>
      </c>
      <c r="E7826">
        <v>32</v>
      </c>
      <c r="F7826" t="str">
        <f>HYPERLINK("https://github.com/square/okhttp/issues/5558", "show")</f>
        <v>show</v>
      </c>
      <c r="G7826" t="str">
        <f>HYPERLINK("https://github.com/square/okhttp", "show")</f>
        <v>show</v>
      </c>
      <c r="H7826" t="str">
        <f>HYPERLINK("https://github.com/square/okhttp/releases", "show")</f>
        <v>show</v>
      </c>
      <c r="I7826">
        <v>1</v>
      </c>
      <c r="J7826">
        <v>0</v>
      </c>
      <c r="K7826">
        <v>1</v>
      </c>
      <c r="L7826">
        <v>0</v>
      </c>
      <c r="M7826" t="s">
        <v>64</v>
      </c>
    </row>
    <row r="7827" spans="1:13" hidden="1" x14ac:dyDescent="0.15">
      <c r="A7827" t="s">
        <v>24511</v>
      </c>
      <c r="B7827" t="s">
        <v>24512</v>
      </c>
      <c r="C7827" t="s">
        <v>24513</v>
      </c>
      <c r="D7827" t="s">
        <v>24492</v>
      </c>
      <c r="E7827">
        <v>14</v>
      </c>
      <c r="F7827" t="str">
        <f>HYPERLINK("https://github.com/material-components/material-components-android/issues/685", "show")</f>
        <v>show</v>
      </c>
      <c r="G7827" t="str">
        <f>HYPERLINK("https://github.com/material-components/material-components-android", "show")</f>
        <v>show</v>
      </c>
      <c r="H7827" t="str">
        <f>HYPERLINK("https://github.com/material-components/material-components-android/releases", "show")</f>
        <v>show</v>
      </c>
      <c r="I7827">
        <v>1</v>
      </c>
      <c r="J7827">
        <v>0</v>
      </c>
      <c r="K7827">
        <v>0</v>
      </c>
      <c r="L7827">
        <v>0</v>
      </c>
      <c r="M7827" t="s">
        <v>17</v>
      </c>
    </row>
    <row r="7828" spans="1:13" hidden="1" x14ac:dyDescent="0.15">
      <c r="A7828" t="s">
        <v>24514</v>
      </c>
      <c r="B7828" t="s">
        <v>24515</v>
      </c>
      <c r="C7828" t="s">
        <v>24516</v>
      </c>
      <c r="D7828" t="s">
        <v>24517</v>
      </c>
      <c r="E7828">
        <v>146</v>
      </c>
      <c r="F7828" t="str">
        <f>HYPERLINK("https://github.com/ankidroid/Anki-Android/issues/5523", "show")</f>
        <v>show</v>
      </c>
      <c r="G7828" t="str">
        <f t="shared" ref="G7828:G7838" si="32">HYPERLINK("https://github.com/ankidroid/Anki-Android", "show")</f>
        <v>show</v>
      </c>
      <c r="H7828" t="str">
        <f t="shared" ref="H7828:H7838" si="33">HYPERLINK("https://github.com/ankidroid/Anki-Android/releases", "show")</f>
        <v>show</v>
      </c>
      <c r="I7828">
        <v>1</v>
      </c>
      <c r="J7828">
        <v>0</v>
      </c>
      <c r="K7828">
        <v>1</v>
      </c>
      <c r="L7828">
        <v>0</v>
      </c>
      <c r="M7828" t="s">
        <v>64</v>
      </c>
    </row>
    <row r="7829" spans="1:13" hidden="1" x14ac:dyDescent="0.15">
      <c r="A7829" t="s">
        <v>24518</v>
      </c>
      <c r="B7829" t="s">
        <v>24519</v>
      </c>
      <c r="C7829" t="s">
        <v>24520</v>
      </c>
      <c r="D7829" t="s">
        <v>24517</v>
      </c>
      <c r="E7829">
        <v>161</v>
      </c>
      <c r="F7829" t="str">
        <f>HYPERLINK("https://github.com/ankidroid/Anki-Android/issues/5521", "show")</f>
        <v>show</v>
      </c>
      <c r="G7829" t="str">
        <f t="shared" si="32"/>
        <v>show</v>
      </c>
      <c r="H7829" t="str">
        <f t="shared" si="33"/>
        <v>show</v>
      </c>
      <c r="I7829">
        <v>0</v>
      </c>
      <c r="J7829">
        <v>0</v>
      </c>
      <c r="K7829">
        <v>0</v>
      </c>
      <c r="L7829">
        <v>0</v>
      </c>
      <c r="M7829" t="s">
        <v>43</v>
      </c>
    </row>
    <row r="7830" spans="1:13" hidden="1" x14ac:dyDescent="0.15">
      <c r="A7830" t="s">
        <v>24521</v>
      </c>
      <c r="B7830" t="s">
        <v>24522</v>
      </c>
      <c r="C7830" t="s">
        <v>24523</v>
      </c>
      <c r="D7830" t="s">
        <v>24517</v>
      </c>
      <c r="E7830">
        <v>171</v>
      </c>
      <c r="F7830" t="str">
        <f>HYPERLINK("https://github.com/ankidroid/Anki-Android/issues/5518", "show")</f>
        <v>show</v>
      </c>
      <c r="G7830" t="str">
        <f t="shared" si="32"/>
        <v>show</v>
      </c>
      <c r="H7830" t="str">
        <f t="shared" si="33"/>
        <v>show</v>
      </c>
      <c r="I7830">
        <v>0</v>
      </c>
      <c r="J7830">
        <v>0</v>
      </c>
      <c r="K7830">
        <v>1</v>
      </c>
      <c r="L7830">
        <v>0</v>
      </c>
      <c r="M7830" t="s">
        <v>122</v>
      </c>
    </row>
    <row r="7831" spans="1:13" hidden="1" x14ac:dyDescent="0.15">
      <c r="A7831" t="s">
        <v>24524</v>
      </c>
      <c r="B7831" t="s">
        <v>24525</v>
      </c>
      <c r="C7831" t="s">
        <v>24526</v>
      </c>
      <c r="D7831" t="s">
        <v>24517</v>
      </c>
      <c r="E7831">
        <v>144</v>
      </c>
      <c r="F7831" t="str">
        <f>HYPERLINK("https://github.com/ankidroid/Anki-Android/issues/5516", "show")</f>
        <v>show</v>
      </c>
      <c r="G7831" t="str">
        <f t="shared" si="32"/>
        <v>show</v>
      </c>
      <c r="H7831" t="str">
        <f t="shared" si="33"/>
        <v>show</v>
      </c>
      <c r="I7831">
        <v>0</v>
      </c>
      <c r="J7831">
        <v>0</v>
      </c>
      <c r="K7831">
        <v>1</v>
      </c>
      <c r="L7831">
        <v>0</v>
      </c>
      <c r="M7831" t="s">
        <v>122</v>
      </c>
    </row>
    <row r="7832" spans="1:13" hidden="1" x14ac:dyDescent="0.15">
      <c r="A7832" t="s">
        <v>24527</v>
      </c>
      <c r="B7832" t="s">
        <v>24528</v>
      </c>
      <c r="C7832" t="s">
        <v>24529</v>
      </c>
      <c r="D7832" t="s">
        <v>24517</v>
      </c>
      <c r="E7832">
        <v>15</v>
      </c>
      <c r="F7832" t="str">
        <f>HYPERLINK("https://github.com/ankidroid/Anki-Android/issues/5515", "show")</f>
        <v>show</v>
      </c>
      <c r="G7832" t="str">
        <f t="shared" si="32"/>
        <v>show</v>
      </c>
      <c r="H7832" t="str">
        <f t="shared" si="33"/>
        <v>show</v>
      </c>
      <c r="I7832">
        <v>1</v>
      </c>
      <c r="J7832">
        <v>0</v>
      </c>
      <c r="K7832">
        <v>1</v>
      </c>
      <c r="L7832">
        <v>0</v>
      </c>
      <c r="M7832" t="s">
        <v>64</v>
      </c>
    </row>
    <row r="7833" spans="1:13" hidden="1" x14ac:dyDescent="0.15">
      <c r="A7833" t="s">
        <v>24530</v>
      </c>
      <c r="B7833" t="s">
        <v>24531</v>
      </c>
      <c r="D7833" t="s">
        <v>24517</v>
      </c>
      <c r="E7833">
        <v>159</v>
      </c>
      <c r="F7833" t="str">
        <f>HYPERLINK("https://github.com/ankidroid/Anki-Android/issues/5513", "show")</f>
        <v>show</v>
      </c>
      <c r="G7833" t="str">
        <f t="shared" si="32"/>
        <v>show</v>
      </c>
      <c r="H7833" t="str">
        <f t="shared" si="33"/>
        <v>show</v>
      </c>
      <c r="I7833">
        <v>0</v>
      </c>
      <c r="J7833">
        <v>0</v>
      </c>
      <c r="K7833">
        <v>1</v>
      </c>
      <c r="L7833">
        <v>0</v>
      </c>
      <c r="M7833" t="s">
        <v>122</v>
      </c>
    </row>
    <row r="7834" spans="1:13" hidden="1" x14ac:dyDescent="0.15">
      <c r="A7834" t="s">
        <v>24532</v>
      </c>
      <c r="B7834" t="s">
        <v>24533</v>
      </c>
      <c r="C7834" t="s">
        <v>24534</v>
      </c>
      <c r="D7834" t="s">
        <v>24517</v>
      </c>
      <c r="E7834">
        <v>155</v>
      </c>
      <c r="F7834" t="str">
        <f>HYPERLINK("https://github.com/ankidroid/Anki-Android/issues/5510", "show")</f>
        <v>show</v>
      </c>
      <c r="G7834" t="str">
        <f t="shared" si="32"/>
        <v>show</v>
      </c>
      <c r="H7834" t="str">
        <f t="shared" si="33"/>
        <v>show</v>
      </c>
      <c r="I7834">
        <v>1</v>
      </c>
      <c r="J7834">
        <v>0</v>
      </c>
      <c r="K7834">
        <v>1</v>
      </c>
      <c r="L7834">
        <v>0</v>
      </c>
      <c r="M7834" t="s">
        <v>64</v>
      </c>
    </row>
    <row r="7835" spans="1:13" hidden="1" x14ac:dyDescent="0.15">
      <c r="A7835" t="s">
        <v>24535</v>
      </c>
      <c r="B7835" t="s">
        <v>24536</v>
      </c>
      <c r="C7835" t="s">
        <v>4450</v>
      </c>
      <c r="D7835" t="s">
        <v>24517</v>
      </c>
      <c r="E7835">
        <v>124</v>
      </c>
      <c r="F7835" t="str">
        <f>HYPERLINK("https://github.com/ankidroid/Anki-Android/issues/5509", "show")</f>
        <v>show</v>
      </c>
      <c r="G7835" t="str">
        <f t="shared" si="32"/>
        <v>show</v>
      </c>
      <c r="H7835" t="str">
        <f t="shared" si="33"/>
        <v>show</v>
      </c>
      <c r="I7835">
        <v>0</v>
      </c>
      <c r="J7835">
        <v>0</v>
      </c>
      <c r="K7835">
        <v>1</v>
      </c>
      <c r="L7835">
        <v>0</v>
      </c>
      <c r="M7835" t="s">
        <v>122</v>
      </c>
    </row>
    <row r="7836" spans="1:13" hidden="1" x14ac:dyDescent="0.15">
      <c r="A7836" t="s">
        <v>24537</v>
      </c>
      <c r="B7836" t="s">
        <v>24538</v>
      </c>
      <c r="C7836" t="s">
        <v>24539</v>
      </c>
      <c r="D7836" t="s">
        <v>24517</v>
      </c>
      <c r="E7836">
        <v>143</v>
      </c>
      <c r="F7836" t="str">
        <f>HYPERLINK("https://github.com/ankidroid/Anki-Android/issues/5508", "show")</f>
        <v>show</v>
      </c>
      <c r="G7836" t="str">
        <f t="shared" si="32"/>
        <v>show</v>
      </c>
      <c r="H7836" t="str">
        <f t="shared" si="33"/>
        <v>show</v>
      </c>
      <c r="I7836">
        <v>1</v>
      </c>
      <c r="J7836">
        <v>0</v>
      </c>
      <c r="K7836">
        <v>1</v>
      </c>
      <c r="L7836">
        <v>0</v>
      </c>
      <c r="M7836" t="s">
        <v>64</v>
      </c>
    </row>
    <row r="7837" spans="1:13" hidden="1" x14ac:dyDescent="0.15">
      <c r="A7837" t="s">
        <v>24540</v>
      </c>
      <c r="B7837" t="s">
        <v>24541</v>
      </c>
      <c r="C7837" t="s">
        <v>24542</v>
      </c>
      <c r="D7837" t="s">
        <v>24517</v>
      </c>
      <c r="E7837">
        <v>143</v>
      </c>
      <c r="F7837" t="str">
        <f>HYPERLINK("https://github.com/ankidroid/Anki-Android/issues/5505", "show")</f>
        <v>show</v>
      </c>
      <c r="G7837" t="str">
        <f t="shared" si="32"/>
        <v>show</v>
      </c>
      <c r="H7837" t="str">
        <f t="shared" si="33"/>
        <v>show</v>
      </c>
      <c r="I7837">
        <v>1</v>
      </c>
      <c r="J7837">
        <v>0</v>
      </c>
      <c r="K7837">
        <v>1</v>
      </c>
      <c r="L7837">
        <v>0</v>
      </c>
      <c r="M7837" t="s">
        <v>64</v>
      </c>
    </row>
    <row r="7838" spans="1:13" hidden="1" x14ac:dyDescent="0.15">
      <c r="A7838" t="s">
        <v>24543</v>
      </c>
      <c r="B7838" t="s">
        <v>24544</v>
      </c>
      <c r="C7838" t="s">
        <v>24545</v>
      </c>
      <c r="D7838" t="s">
        <v>24517</v>
      </c>
      <c r="E7838">
        <v>123</v>
      </c>
      <c r="F7838" t="str">
        <f>HYPERLINK("https://github.com/ankidroid/Anki-Android/issues/5504", "show")</f>
        <v>show</v>
      </c>
      <c r="G7838" t="str">
        <f t="shared" si="32"/>
        <v>show</v>
      </c>
      <c r="H7838" t="str">
        <f t="shared" si="33"/>
        <v>show</v>
      </c>
      <c r="I7838">
        <v>1</v>
      </c>
      <c r="J7838">
        <v>0</v>
      </c>
      <c r="K7838">
        <v>1</v>
      </c>
      <c r="L7838">
        <v>0</v>
      </c>
      <c r="M7838" t="s">
        <v>64</v>
      </c>
    </row>
    <row r="7839" spans="1:13" hidden="1" x14ac:dyDescent="0.15">
      <c r="A7839" t="s">
        <v>24546</v>
      </c>
      <c r="B7839" t="s">
        <v>24547</v>
      </c>
      <c r="C7839" t="s">
        <v>24548</v>
      </c>
      <c r="D7839" t="s">
        <v>24517</v>
      </c>
      <c r="E7839">
        <v>3</v>
      </c>
      <c r="F7839" t="str">
        <f>HYPERLINK("https://github.com/nethesis/nethcti-app-android/issues/5", "show")</f>
        <v>show</v>
      </c>
      <c r="G7839" t="str">
        <f>HYPERLINK("https://github.com/nethesis/nethcti-app-android", "show")</f>
        <v>show</v>
      </c>
      <c r="H7839" t="str">
        <f>HYPERLINK("https://github.com/nethesis/nethcti-app-android/releases", "show")</f>
        <v>show</v>
      </c>
      <c r="I7839">
        <v>1</v>
      </c>
      <c r="J7839">
        <v>1</v>
      </c>
      <c r="K7839">
        <v>0</v>
      </c>
      <c r="L7839">
        <v>0</v>
      </c>
      <c r="M7839" t="s">
        <v>48</v>
      </c>
    </row>
    <row r="7840" spans="1:13" hidden="1" x14ac:dyDescent="0.15">
      <c r="A7840" t="s">
        <v>24549</v>
      </c>
      <c r="B7840" t="s">
        <v>24550</v>
      </c>
      <c r="D7840" t="s">
        <v>24517</v>
      </c>
      <c r="E7840">
        <v>5</v>
      </c>
      <c r="F7840" t="str">
        <f>HYPERLINK("https://github.com/ankidroid/Anki-Android/issues/5503", "show")</f>
        <v>show</v>
      </c>
      <c r="G7840" t="str">
        <f>HYPERLINK("https://github.com/ankidroid/Anki-Android", "show")</f>
        <v>show</v>
      </c>
      <c r="H7840" t="str">
        <f>HYPERLINK("https://github.com/ankidroid/Anki-Android/releases", "show")</f>
        <v>show</v>
      </c>
      <c r="I7840">
        <v>1</v>
      </c>
      <c r="J7840">
        <v>0</v>
      </c>
      <c r="K7840">
        <v>1</v>
      </c>
      <c r="L7840">
        <v>0</v>
      </c>
      <c r="M7840" t="s">
        <v>64</v>
      </c>
    </row>
    <row r="7841" spans="1:13" hidden="1" x14ac:dyDescent="0.15">
      <c r="A7841" t="s">
        <v>24551</v>
      </c>
      <c r="B7841" t="s">
        <v>24552</v>
      </c>
      <c r="C7841" t="s">
        <v>24553</v>
      </c>
      <c r="D7841" t="s">
        <v>24517</v>
      </c>
      <c r="E7841">
        <v>58</v>
      </c>
      <c r="F7841" t="str">
        <f>HYPERLINK("https://github.com/eclipse/keyple-java/issues/153", "show")</f>
        <v>show</v>
      </c>
      <c r="G7841" t="str">
        <f>HYPERLINK("https://github.com/eclipse/keyple-java", "show")</f>
        <v>show</v>
      </c>
      <c r="H7841" t="str">
        <f>HYPERLINK("https://github.com/eclipse/keyple-java/releases", "show")</f>
        <v>show</v>
      </c>
      <c r="I7841">
        <v>1</v>
      </c>
      <c r="J7841">
        <v>0</v>
      </c>
      <c r="K7841">
        <v>0</v>
      </c>
      <c r="L7841">
        <v>0</v>
      </c>
      <c r="M7841" t="s">
        <v>17</v>
      </c>
    </row>
    <row r="7842" spans="1:13" hidden="1" x14ac:dyDescent="0.15">
      <c r="A7842" t="s">
        <v>24554</v>
      </c>
      <c r="B7842" t="s">
        <v>24555</v>
      </c>
      <c r="C7842" t="s">
        <v>24556</v>
      </c>
      <c r="D7842" t="s">
        <v>24517</v>
      </c>
      <c r="E7842">
        <v>0</v>
      </c>
      <c r="F7842" t="str">
        <f>HYPERLINK("https://github.com/SanojPunchihewa/f5n/issues/32", "show")</f>
        <v>show</v>
      </c>
      <c r="G7842" t="str">
        <f>HYPERLINK("https://github.com/SanojPunchihewa/f5n", "show")</f>
        <v>show</v>
      </c>
      <c r="H7842" t="str">
        <f>HYPERLINK("https://github.com/SanojPunchihewa/f5n/releases", "show")</f>
        <v>show</v>
      </c>
      <c r="I7842">
        <v>1</v>
      </c>
      <c r="J7842">
        <v>0</v>
      </c>
      <c r="K7842">
        <v>0</v>
      </c>
      <c r="L7842">
        <v>0</v>
      </c>
      <c r="M7842" t="s">
        <v>17</v>
      </c>
    </row>
    <row r="7843" spans="1:13" hidden="1" x14ac:dyDescent="0.15">
      <c r="A7843" t="s">
        <v>24557</v>
      </c>
      <c r="B7843" t="s">
        <v>24558</v>
      </c>
      <c r="C7843" t="s">
        <v>24559</v>
      </c>
      <c r="D7843" t="s">
        <v>24560</v>
      </c>
      <c r="E7843">
        <v>87</v>
      </c>
      <c r="F7843" t="str">
        <f>HYPERLINK("https://github.com/nextcloud/android/issues/4680", "show")</f>
        <v>show</v>
      </c>
      <c r="G7843" t="str">
        <f>HYPERLINK("https://github.com/nextcloud/android", "show")</f>
        <v>show</v>
      </c>
      <c r="H7843" t="str">
        <f>HYPERLINK("https://github.com/nextcloud/android/releases", "show")</f>
        <v>show</v>
      </c>
      <c r="I7843">
        <v>1</v>
      </c>
      <c r="J7843">
        <v>0</v>
      </c>
      <c r="K7843">
        <v>1</v>
      </c>
      <c r="L7843">
        <v>0</v>
      </c>
      <c r="M7843" t="s">
        <v>64</v>
      </c>
    </row>
    <row r="7844" spans="1:13" hidden="1" x14ac:dyDescent="0.15">
      <c r="A7844" t="s">
        <v>24561</v>
      </c>
      <c r="B7844" t="s">
        <v>24562</v>
      </c>
      <c r="C7844" t="s">
        <v>24563</v>
      </c>
      <c r="D7844" t="s">
        <v>24560</v>
      </c>
      <c r="E7844">
        <v>6</v>
      </c>
      <c r="F7844" t="str">
        <f>HYPERLINK("https://github.com/oliexdev/openScale/issues/508", "show")</f>
        <v>show</v>
      </c>
      <c r="G7844" t="str">
        <f>HYPERLINK("https://github.com/oliexdev/openScale", "show")</f>
        <v>show</v>
      </c>
      <c r="H7844" t="str">
        <f>HYPERLINK("https://github.com/oliexdev/openScale/releases", "show")</f>
        <v>show</v>
      </c>
      <c r="I7844">
        <v>0</v>
      </c>
      <c r="J7844">
        <v>0</v>
      </c>
      <c r="K7844">
        <v>1</v>
      </c>
      <c r="L7844">
        <v>0</v>
      </c>
      <c r="M7844" t="s">
        <v>122</v>
      </c>
    </row>
    <row r="7845" spans="1:13" hidden="1" x14ac:dyDescent="0.15">
      <c r="A7845" t="s">
        <v>24564</v>
      </c>
      <c r="B7845" t="s">
        <v>24565</v>
      </c>
      <c r="C7845" t="s">
        <v>24566</v>
      </c>
      <c r="D7845" t="s">
        <v>24560</v>
      </c>
      <c r="E7845">
        <v>6</v>
      </c>
      <c r="F7845" t="str">
        <f>HYPERLINK("https://github.com/oliexdev/openScale/issues/507", "show")</f>
        <v>show</v>
      </c>
      <c r="G7845" t="str">
        <f>HYPERLINK("https://github.com/oliexdev/openScale", "show")</f>
        <v>show</v>
      </c>
      <c r="H7845" t="str">
        <f>HYPERLINK("https://github.com/oliexdev/openScale/releases", "show")</f>
        <v>show</v>
      </c>
      <c r="I7845">
        <v>1</v>
      </c>
      <c r="J7845">
        <v>1</v>
      </c>
      <c r="K7845">
        <v>1</v>
      </c>
      <c r="L7845">
        <v>0</v>
      </c>
      <c r="M7845" t="s">
        <v>59</v>
      </c>
    </row>
    <row r="7846" spans="1:13" hidden="1" x14ac:dyDescent="0.15">
      <c r="A7846" t="s">
        <v>24567</v>
      </c>
      <c r="B7846" t="s">
        <v>24568</v>
      </c>
      <c r="C7846" t="s">
        <v>24569</v>
      </c>
      <c r="D7846" t="s">
        <v>24570</v>
      </c>
      <c r="E7846">
        <v>29</v>
      </c>
      <c r="F7846" t="str">
        <f>HYPERLINK("https://github.com/EE461L-Our-Green-Routine/Our-Green-Routine/issues/16", "show")</f>
        <v>show</v>
      </c>
      <c r="G7846" t="str">
        <f>HYPERLINK("https://github.com/EE461L-Our-Green-Routine/Our-Green-Routine", "show")</f>
        <v>show</v>
      </c>
      <c r="H7846" t="str">
        <f>HYPERLINK("https://github.com/EE461L-Our-Green-Routine/Our-Green-Routine/releases", "show")</f>
        <v>show</v>
      </c>
      <c r="I7846">
        <v>1</v>
      </c>
      <c r="J7846">
        <v>0</v>
      </c>
      <c r="K7846">
        <v>0</v>
      </c>
      <c r="L7846">
        <v>0</v>
      </c>
      <c r="M7846" t="s">
        <v>17</v>
      </c>
    </row>
    <row r="7847" spans="1:13" hidden="1" x14ac:dyDescent="0.15">
      <c r="A7847" t="s">
        <v>24571</v>
      </c>
      <c r="B7847" t="s">
        <v>3180</v>
      </c>
      <c r="C7847" t="s">
        <v>12185</v>
      </c>
      <c r="D7847" t="s">
        <v>24570</v>
      </c>
      <c r="E7847">
        <v>31</v>
      </c>
      <c r="F7847" t="str">
        <f>HYPERLINK("https://github.com/nextcloud/android/issues/4674", "show")</f>
        <v>show</v>
      </c>
      <c r="G7847" t="str">
        <f>HYPERLINK("https://github.com/nextcloud/android", "show")</f>
        <v>show</v>
      </c>
      <c r="H7847" t="str">
        <f>HYPERLINK("https://github.com/nextcloud/android/releases", "show")</f>
        <v>show</v>
      </c>
      <c r="I7847">
        <v>0</v>
      </c>
      <c r="J7847">
        <v>0</v>
      </c>
      <c r="K7847">
        <v>1</v>
      </c>
      <c r="L7847">
        <v>0</v>
      </c>
      <c r="M7847" t="s">
        <v>122</v>
      </c>
    </row>
    <row r="7848" spans="1:13" hidden="1" x14ac:dyDescent="0.15">
      <c r="A7848" t="s">
        <v>24572</v>
      </c>
      <c r="B7848" t="s">
        <v>24573</v>
      </c>
      <c r="C7848" t="s">
        <v>24574</v>
      </c>
      <c r="D7848" t="s">
        <v>24570</v>
      </c>
      <c r="E7848">
        <v>88</v>
      </c>
      <c r="F7848" t="str">
        <f>HYPERLINK("https://github.com/nextcloud/android/issues/4671", "show")</f>
        <v>show</v>
      </c>
      <c r="G7848" t="str">
        <f>HYPERLINK("https://github.com/nextcloud/android", "show")</f>
        <v>show</v>
      </c>
      <c r="H7848" t="str">
        <f>HYPERLINK("https://github.com/nextcloud/android/releases", "show")</f>
        <v>show</v>
      </c>
      <c r="I7848">
        <v>1</v>
      </c>
      <c r="J7848">
        <v>1</v>
      </c>
      <c r="K7848">
        <v>1</v>
      </c>
      <c r="L7848">
        <v>0</v>
      </c>
      <c r="M7848" t="s">
        <v>59</v>
      </c>
    </row>
    <row r="7849" spans="1:13" hidden="1" x14ac:dyDescent="0.15">
      <c r="A7849" t="s">
        <v>24575</v>
      </c>
      <c r="B7849" t="s">
        <v>24576</v>
      </c>
      <c r="C7849" t="s">
        <v>24577</v>
      </c>
      <c r="D7849" t="s">
        <v>24578</v>
      </c>
      <c r="E7849">
        <v>762</v>
      </c>
      <c r="F7849" t="str">
        <f>HYPERLINK("https://github.com/LawnchairLauncher/lawnchair/issues/1775", "show")</f>
        <v>show</v>
      </c>
      <c r="G7849" t="str">
        <f>HYPERLINK("https://github.com/LawnchairLauncher/lawnchair", "show")</f>
        <v>show</v>
      </c>
      <c r="H7849" t="str">
        <f>HYPERLINK("https://github.com/LawnchairLauncher/lawnchair/releases", "show")</f>
        <v>show</v>
      </c>
      <c r="I7849">
        <v>1</v>
      </c>
      <c r="J7849">
        <v>1</v>
      </c>
      <c r="K7849">
        <v>0</v>
      </c>
      <c r="L7849">
        <v>0</v>
      </c>
      <c r="M7849" t="s">
        <v>48</v>
      </c>
    </row>
    <row r="7850" spans="1:13" hidden="1" x14ac:dyDescent="0.15">
      <c r="A7850" t="s">
        <v>24579</v>
      </c>
      <c r="B7850" t="s">
        <v>24580</v>
      </c>
      <c r="C7850" t="s">
        <v>24581</v>
      </c>
      <c r="D7850" t="s">
        <v>24578</v>
      </c>
      <c r="E7850">
        <v>127</v>
      </c>
      <c r="F7850" t="str">
        <f>HYPERLINK("https://github.com/nextcloud/android/issues/4667", "show")</f>
        <v>show</v>
      </c>
      <c r="G7850" t="str">
        <f>HYPERLINK("https://github.com/nextcloud/android", "show")</f>
        <v>show</v>
      </c>
      <c r="H7850" t="str">
        <f>HYPERLINK("https://github.com/nextcloud/android/releases", "show")</f>
        <v>show</v>
      </c>
      <c r="I7850">
        <v>1</v>
      </c>
      <c r="J7850">
        <v>1</v>
      </c>
      <c r="K7850">
        <v>0</v>
      </c>
      <c r="L7850">
        <v>0</v>
      </c>
      <c r="M7850" t="s">
        <v>48</v>
      </c>
    </row>
    <row r="7851" spans="1:13" hidden="1" x14ac:dyDescent="0.15">
      <c r="A7851" t="s">
        <v>24582</v>
      </c>
      <c r="B7851" t="s">
        <v>24583</v>
      </c>
      <c r="C7851" t="s">
        <v>24584</v>
      </c>
      <c r="D7851" t="s">
        <v>24578</v>
      </c>
      <c r="E7851">
        <v>74</v>
      </c>
      <c r="F7851" t="str">
        <f>HYPERLINK("https://github.com/nextcloud/android/issues/4666", "show")</f>
        <v>show</v>
      </c>
      <c r="G7851" t="str">
        <f>HYPERLINK("https://github.com/nextcloud/android", "show")</f>
        <v>show</v>
      </c>
      <c r="H7851" t="str">
        <f>HYPERLINK("https://github.com/nextcloud/android/releases", "show")</f>
        <v>show</v>
      </c>
      <c r="I7851">
        <v>1</v>
      </c>
      <c r="J7851">
        <v>0</v>
      </c>
      <c r="K7851">
        <v>0</v>
      </c>
      <c r="L7851">
        <v>0</v>
      </c>
      <c r="M7851" t="s">
        <v>17</v>
      </c>
    </row>
    <row r="7852" spans="1:13" hidden="1" x14ac:dyDescent="0.15">
      <c r="A7852" t="s">
        <v>24585</v>
      </c>
      <c r="B7852" t="s">
        <v>24586</v>
      </c>
      <c r="C7852" t="s">
        <v>24587</v>
      </c>
      <c r="D7852" t="s">
        <v>24578</v>
      </c>
      <c r="E7852">
        <v>69</v>
      </c>
      <c r="F7852" t="str">
        <f>HYPERLINK("https://github.com/stefan-niedermann/nextcloud-notes/issues/604", "show")</f>
        <v>show</v>
      </c>
      <c r="G7852" t="str">
        <f>HYPERLINK("https://github.com/stefan-niedermann/nextcloud-notes", "show")</f>
        <v>show</v>
      </c>
      <c r="H7852" t="str">
        <f>HYPERLINK("https://github.com/stefan-niedermann/nextcloud-notes/releases", "show")</f>
        <v>show</v>
      </c>
      <c r="I7852">
        <v>1</v>
      </c>
      <c r="J7852">
        <v>0</v>
      </c>
      <c r="K7852">
        <v>1</v>
      </c>
      <c r="L7852">
        <v>0</v>
      </c>
      <c r="M7852" t="s">
        <v>64</v>
      </c>
    </row>
    <row r="7853" spans="1:13" hidden="1" x14ac:dyDescent="0.15">
      <c r="A7853" t="s">
        <v>24588</v>
      </c>
      <c r="B7853" t="s">
        <v>24589</v>
      </c>
      <c r="C7853" t="s">
        <v>24590</v>
      </c>
      <c r="D7853" t="s">
        <v>24591</v>
      </c>
      <c r="E7853">
        <v>88</v>
      </c>
      <c r="F7853" t="str">
        <f>HYPERLINK("https://github.com/forrestguice/SuntimesWidget/issues/365", "show")</f>
        <v>show</v>
      </c>
      <c r="G7853" t="str">
        <f>HYPERLINK("https://github.com/forrestguice/SuntimesWidget", "show")</f>
        <v>show</v>
      </c>
      <c r="H7853" t="str">
        <f>HYPERLINK("https://github.com/forrestguice/SuntimesWidget/releases", "show")</f>
        <v>show</v>
      </c>
      <c r="I7853">
        <v>1</v>
      </c>
      <c r="J7853">
        <v>0</v>
      </c>
      <c r="K7853">
        <v>0</v>
      </c>
      <c r="L7853">
        <v>0</v>
      </c>
      <c r="M7853" t="s">
        <v>17</v>
      </c>
    </row>
    <row r="7854" spans="1:13" hidden="1" x14ac:dyDescent="0.15">
      <c r="A7854" t="s">
        <v>24592</v>
      </c>
      <c r="B7854" t="s">
        <v>24593</v>
      </c>
      <c r="C7854" t="s">
        <v>24594</v>
      </c>
      <c r="D7854" t="s">
        <v>24591</v>
      </c>
      <c r="E7854">
        <v>20</v>
      </c>
      <c r="F7854" t="str">
        <f>HYPERLINK("https://github.com/mukeshsolanki/country-picker-android/issues/84", "show")</f>
        <v>show</v>
      </c>
      <c r="G7854" t="str">
        <f>HYPERLINK("https://github.com/mukeshsolanki/country-picker-android", "show")</f>
        <v>show</v>
      </c>
      <c r="H7854" t="str">
        <f>HYPERLINK("https://github.com/mukeshsolanki/country-picker-android/releases", "show")</f>
        <v>show</v>
      </c>
      <c r="I7854">
        <v>1</v>
      </c>
      <c r="J7854">
        <v>1</v>
      </c>
      <c r="K7854">
        <v>1</v>
      </c>
      <c r="L7854">
        <v>0</v>
      </c>
      <c r="M7854" t="s">
        <v>59</v>
      </c>
    </row>
    <row r="7855" spans="1:13" hidden="1" x14ac:dyDescent="0.15">
      <c r="A7855" t="s">
        <v>24595</v>
      </c>
      <c r="B7855" t="s">
        <v>24596</v>
      </c>
      <c r="C7855" t="s">
        <v>24597</v>
      </c>
      <c r="D7855" t="s">
        <v>24591</v>
      </c>
      <c r="E7855">
        <v>42</v>
      </c>
      <c r="F7855" t="str">
        <f>HYPERLINK("https://github.com/nextcloud/android/issues/4662", "show")</f>
        <v>show</v>
      </c>
      <c r="G7855" t="str">
        <f>HYPERLINK("https://github.com/nextcloud/android", "show")</f>
        <v>show</v>
      </c>
      <c r="H7855" t="str">
        <f>HYPERLINK("https://github.com/nextcloud/android/releases", "show")</f>
        <v>show</v>
      </c>
      <c r="I7855">
        <v>1</v>
      </c>
      <c r="J7855">
        <v>0</v>
      </c>
      <c r="K7855">
        <v>1</v>
      </c>
      <c r="L7855">
        <v>0</v>
      </c>
      <c r="M7855" t="s">
        <v>64</v>
      </c>
    </row>
    <row r="7856" spans="1:13" hidden="1" x14ac:dyDescent="0.15">
      <c r="A7856" t="s">
        <v>24598</v>
      </c>
      <c r="B7856" t="s">
        <v>24599</v>
      </c>
      <c r="C7856" t="s">
        <v>24600</v>
      </c>
      <c r="D7856" t="s">
        <v>24591</v>
      </c>
      <c r="E7856">
        <v>46</v>
      </c>
      <c r="F7856" t="str">
        <f>HYPERLINK("https://github.com/nextcloud/android/issues/4661", "show")</f>
        <v>show</v>
      </c>
      <c r="G7856" t="str">
        <f>HYPERLINK("https://github.com/nextcloud/android", "show")</f>
        <v>show</v>
      </c>
      <c r="H7856" t="str">
        <f>HYPERLINK("https://github.com/nextcloud/android/releases", "show")</f>
        <v>show</v>
      </c>
      <c r="I7856">
        <v>0</v>
      </c>
      <c r="J7856">
        <v>0</v>
      </c>
      <c r="K7856">
        <v>1</v>
      </c>
      <c r="L7856">
        <v>0</v>
      </c>
      <c r="M7856" t="s">
        <v>122</v>
      </c>
    </row>
    <row r="7857" spans="1:13" hidden="1" x14ac:dyDescent="0.15">
      <c r="A7857" t="s">
        <v>24601</v>
      </c>
      <c r="B7857" t="s">
        <v>24602</v>
      </c>
      <c r="C7857" t="s">
        <v>24603</v>
      </c>
      <c r="D7857" t="s">
        <v>24591</v>
      </c>
      <c r="E7857">
        <v>86</v>
      </c>
      <c r="F7857" t="str">
        <f>HYPERLINK("https://github.com/nextcloud/android/issues/4660", "show")</f>
        <v>show</v>
      </c>
      <c r="G7857" t="str">
        <f>HYPERLINK("https://github.com/nextcloud/android", "show")</f>
        <v>show</v>
      </c>
      <c r="H7857" t="str">
        <f>HYPERLINK("https://github.com/nextcloud/android/releases", "show")</f>
        <v>show</v>
      </c>
      <c r="I7857">
        <v>1</v>
      </c>
      <c r="J7857">
        <v>1</v>
      </c>
      <c r="K7857">
        <v>1</v>
      </c>
      <c r="L7857">
        <v>0</v>
      </c>
      <c r="M7857" t="s">
        <v>59</v>
      </c>
    </row>
    <row r="7858" spans="1:13" hidden="1" x14ac:dyDescent="0.15">
      <c r="A7858" t="s">
        <v>24604</v>
      </c>
      <c r="B7858" t="s">
        <v>24605</v>
      </c>
      <c r="C7858" t="s">
        <v>24606</v>
      </c>
      <c r="D7858" t="s">
        <v>24591</v>
      </c>
      <c r="E7858">
        <v>0</v>
      </c>
      <c r="F7858" t="str">
        <f>HYPERLINK("https://github.com/JPGalovic/Daydreamer_COS30017_AD/issues/1", "show")</f>
        <v>show</v>
      </c>
      <c r="G7858" t="str">
        <f>HYPERLINK("https://github.com/JPGalovic/Daydreamer_COS30017_AD", "show")</f>
        <v>show</v>
      </c>
      <c r="H7858" t="str">
        <f>HYPERLINK("https://github.com/JPGalovic/Daydreamer_COS30017_AD/releases", "show")</f>
        <v>show</v>
      </c>
      <c r="I7858">
        <v>1</v>
      </c>
      <c r="J7858">
        <v>0</v>
      </c>
      <c r="K7858">
        <v>0</v>
      </c>
      <c r="L7858">
        <v>0</v>
      </c>
      <c r="M7858" t="s">
        <v>17</v>
      </c>
    </row>
    <row r="7859" spans="1:13" hidden="1" x14ac:dyDescent="0.15">
      <c r="A7859" t="s">
        <v>24607</v>
      </c>
      <c r="B7859" t="s">
        <v>24608</v>
      </c>
      <c r="C7859" t="s">
        <v>24609</v>
      </c>
      <c r="D7859" t="s">
        <v>24610</v>
      </c>
      <c r="E7859">
        <v>0</v>
      </c>
      <c r="F7859" t="str">
        <f>HYPERLINK("https://github.com/material-components/material-components-android/issues/668", "show")</f>
        <v>show</v>
      </c>
      <c r="G7859" t="str">
        <f>HYPERLINK("https://github.com/material-components/material-components-android", "show")</f>
        <v>show</v>
      </c>
      <c r="H7859" t="str">
        <f>HYPERLINK("https://github.com/material-components/material-components-android/releases", "show")</f>
        <v>show</v>
      </c>
      <c r="I7859">
        <v>1</v>
      </c>
      <c r="J7859">
        <v>1</v>
      </c>
      <c r="K7859">
        <v>0</v>
      </c>
      <c r="L7859">
        <v>0</v>
      </c>
      <c r="M7859" t="s">
        <v>48</v>
      </c>
    </row>
    <row r="7860" spans="1:13" hidden="1" x14ac:dyDescent="0.15">
      <c r="A7860" t="s">
        <v>24611</v>
      </c>
      <c r="B7860" t="s">
        <v>24612</v>
      </c>
      <c r="C7860" t="s">
        <v>24613</v>
      </c>
      <c r="D7860" t="s">
        <v>24614</v>
      </c>
      <c r="E7860">
        <v>1</v>
      </c>
      <c r="F7860" t="str">
        <f>HYPERLINK("https://github.com/harshsri2208/MEME/issues/1", "show")</f>
        <v>show</v>
      </c>
      <c r="G7860" t="str">
        <f>HYPERLINK("https://github.com/harshsri2208/MEME", "show")</f>
        <v>show</v>
      </c>
      <c r="H7860" t="str">
        <f>HYPERLINK("https://github.com/harshsri2208/MEME/releases", "show")</f>
        <v>show</v>
      </c>
      <c r="I7860">
        <v>1</v>
      </c>
      <c r="J7860">
        <v>0</v>
      </c>
      <c r="K7860">
        <v>0</v>
      </c>
      <c r="L7860">
        <v>0</v>
      </c>
      <c r="M7860" t="s">
        <v>17</v>
      </c>
    </row>
    <row r="7861" spans="1:13" hidden="1" x14ac:dyDescent="0.15">
      <c r="A7861" t="s">
        <v>24615</v>
      </c>
      <c r="B7861" t="s">
        <v>24616</v>
      </c>
      <c r="C7861" t="s">
        <v>24617</v>
      </c>
      <c r="D7861" t="s">
        <v>24614</v>
      </c>
      <c r="E7861">
        <v>0</v>
      </c>
      <c r="F7861" t="str">
        <f>HYPERLINK("https://github.com/nextcloud/android/issues/4634", "show")</f>
        <v>show</v>
      </c>
      <c r="G7861" t="str">
        <f>HYPERLINK("https://github.com/nextcloud/android", "show")</f>
        <v>show</v>
      </c>
      <c r="H7861" t="str">
        <f>HYPERLINK("https://github.com/nextcloud/android/releases", "show")</f>
        <v>show</v>
      </c>
      <c r="I7861">
        <v>0</v>
      </c>
      <c r="J7861">
        <v>0</v>
      </c>
      <c r="K7861">
        <v>1</v>
      </c>
      <c r="L7861">
        <v>0</v>
      </c>
      <c r="M7861" t="s">
        <v>122</v>
      </c>
    </row>
    <row r="7862" spans="1:13" hidden="1" x14ac:dyDescent="0.15">
      <c r="A7862" t="s">
        <v>24618</v>
      </c>
      <c r="B7862" t="s">
        <v>24619</v>
      </c>
      <c r="C7862" t="s">
        <v>24620</v>
      </c>
      <c r="D7862" t="s">
        <v>24621</v>
      </c>
      <c r="E7862">
        <v>123</v>
      </c>
      <c r="F7862" t="str">
        <f>HYPERLINK("https://github.com/nextcloud/android/issues/4628", "show")</f>
        <v>show</v>
      </c>
      <c r="G7862" t="str">
        <f>HYPERLINK("https://github.com/nextcloud/android", "show")</f>
        <v>show</v>
      </c>
      <c r="H7862" t="str">
        <f>HYPERLINK("https://github.com/nextcloud/android/releases", "show")</f>
        <v>show</v>
      </c>
      <c r="I7862">
        <v>1</v>
      </c>
      <c r="J7862">
        <v>1</v>
      </c>
      <c r="K7862">
        <v>1</v>
      </c>
      <c r="L7862">
        <v>0</v>
      </c>
      <c r="M7862" t="s">
        <v>59</v>
      </c>
    </row>
    <row r="7863" spans="1:13" hidden="1" x14ac:dyDescent="0.15">
      <c r="A7863" t="s">
        <v>24622</v>
      </c>
      <c r="B7863" t="s">
        <v>24623</v>
      </c>
      <c r="C7863" t="s">
        <v>24624</v>
      </c>
      <c r="D7863" t="s">
        <v>24621</v>
      </c>
      <c r="E7863">
        <v>80</v>
      </c>
      <c r="F7863" t="str">
        <f>HYPERLINK("https://github.com/react-native-camera/react-native-camera/issues/2525", "show")</f>
        <v>show</v>
      </c>
      <c r="G7863" t="str">
        <f>HYPERLINK("https://github.com/react-native-camera/react-native-camera", "show")</f>
        <v>show</v>
      </c>
      <c r="H7863" t="str">
        <f>HYPERLINK("https://github.com/react-native-camera/react-native-camera/releases", "show")</f>
        <v>show</v>
      </c>
      <c r="I7863">
        <v>1</v>
      </c>
      <c r="J7863">
        <v>1</v>
      </c>
      <c r="K7863">
        <v>1</v>
      </c>
      <c r="L7863">
        <v>0</v>
      </c>
      <c r="M7863" t="s">
        <v>59</v>
      </c>
    </row>
    <row r="7864" spans="1:13" hidden="1" x14ac:dyDescent="0.15">
      <c r="A7864" t="s">
        <v>24625</v>
      </c>
      <c r="B7864" t="s">
        <v>24626</v>
      </c>
      <c r="C7864" t="s">
        <v>24627</v>
      </c>
      <c r="D7864" t="s">
        <v>24621</v>
      </c>
      <c r="E7864">
        <v>3</v>
      </c>
      <c r="F7864" t="str">
        <f>HYPERLINK("https://github.com/smartdevicelink/sdl_java_suite/issues/1193", "show")</f>
        <v>show</v>
      </c>
      <c r="G7864" t="str">
        <f>HYPERLINK("https://github.com/smartdevicelink/sdl_java_suite", "show")</f>
        <v>show</v>
      </c>
      <c r="H7864" t="str">
        <f>HYPERLINK("https://github.com/smartdevicelink/sdl_java_suite/releases", "show")</f>
        <v>show</v>
      </c>
      <c r="I7864">
        <v>1</v>
      </c>
      <c r="J7864">
        <v>0</v>
      </c>
      <c r="K7864">
        <v>1</v>
      </c>
      <c r="L7864">
        <v>0</v>
      </c>
      <c r="M7864" t="s">
        <v>64</v>
      </c>
    </row>
    <row r="7865" spans="1:13" hidden="1" x14ac:dyDescent="0.15">
      <c r="A7865" t="s">
        <v>24628</v>
      </c>
      <c r="B7865" t="s">
        <v>24629</v>
      </c>
      <c r="C7865" t="s">
        <v>24630</v>
      </c>
      <c r="D7865" t="s">
        <v>24621</v>
      </c>
      <c r="E7865">
        <v>65</v>
      </c>
      <c r="F7865" t="str">
        <f>HYPERLINK("https://github.com/material-components/material-components-android/issues/661", "show")</f>
        <v>show</v>
      </c>
      <c r="G7865" t="str">
        <f>HYPERLINK("https://github.com/material-components/material-components-android", "show")</f>
        <v>show</v>
      </c>
      <c r="H7865" t="str">
        <f>HYPERLINK("https://github.com/material-components/material-components-android/releases", "show")</f>
        <v>show</v>
      </c>
      <c r="I7865">
        <v>1</v>
      </c>
      <c r="J7865">
        <v>0</v>
      </c>
      <c r="K7865">
        <v>0</v>
      </c>
      <c r="L7865">
        <v>0</v>
      </c>
      <c r="M7865" t="s">
        <v>17</v>
      </c>
    </row>
    <row r="7866" spans="1:13" hidden="1" x14ac:dyDescent="0.15">
      <c r="A7866" t="s">
        <v>24631</v>
      </c>
      <c r="B7866" t="s">
        <v>24632</v>
      </c>
      <c r="C7866" t="s">
        <v>24633</v>
      </c>
      <c r="D7866" t="s">
        <v>24621</v>
      </c>
      <c r="E7866">
        <v>146</v>
      </c>
      <c r="F7866" t="str">
        <f>HYPERLINK("https://github.com/TeamNewPipe/NewPipe/issues/2704", "show")</f>
        <v>show</v>
      </c>
      <c r="G7866" t="str">
        <f>HYPERLINK("https://github.com/TeamNewPipe/NewPipe", "show")</f>
        <v>show</v>
      </c>
      <c r="H7866" t="str">
        <f>HYPERLINK("https://github.com/TeamNewPipe/NewPipe/releases", "show")</f>
        <v>show</v>
      </c>
      <c r="I7866">
        <v>0</v>
      </c>
      <c r="J7866">
        <v>0</v>
      </c>
      <c r="K7866">
        <v>1</v>
      </c>
      <c r="L7866">
        <v>0</v>
      </c>
      <c r="M7866" t="s">
        <v>122</v>
      </c>
    </row>
    <row r="7867" spans="1:13" hidden="1" x14ac:dyDescent="0.15">
      <c r="A7867" t="s">
        <v>24634</v>
      </c>
      <c r="B7867" t="s">
        <v>24635</v>
      </c>
      <c r="C7867" t="s">
        <v>24636</v>
      </c>
      <c r="D7867" t="s">
        <v>24621</v>
      </c>
      <c r="E7867">
        <v>67</v>
      </c>
      <c r="F7867" t="str">
        <f>HYPERLINK("https://github.com/react-native-camera/react-native-camera/issues/2523", "show")</f>
        <v>show</v>
      </c>
      <c r="G7867" t="str">
        <f>HYPERLINK("https://github.com/react-native-camera/react-native-camera", "show")</f>
        <v>show</v>
      </c>
      <c r="H7867" t="str">
        <f>HYPERLINK("https://github.com/react-native-camera/react-native-camera/releases", "show")</f>
        <v>show</v>
      </c>
      <c r="I7867">
        <v>1</v>
      </c>
      <c r="J7867">
        <v>0</v>
      </c>
      <c r="K7867">
        <v>0</v>
      </c>
      <c r="L7867">
        <v>0</v>
      </c>
      <c r="M7867" t="s">
        <v>17</v>
      </c>
    </row>
    <row r="7868" spans="1:13" hidden="1" x14ac:dyDescent="0.15">
      <c r="A7868" t="s">
        <v>24637</v>
      </c>
      <c r="B7868" t="s">
        <v>24638</v>
      </c>
      <c r="C7868" t="s">
        <v>24639</v>
      </c>
      <c r="D7868" t="s">
        <v>24640</v>
      </c>
      <c r="E7868">
        <v>310</v>
      </c>
      <c r="F7868" t="str">
        <f>HYPERLINK("https://github.com/JakeWharton/dagger-reflect/issues/175", "show")</f>
        <v>show</v>
      </c>
      <c r="G7868" t="str">
        <f>HYPERLINK("https://github.com/JakeWharton/dagger-reflect", "show")</f>
        <v>show</v>
      </c>
      <c r="H7868" t="str">
        <f>HYPERLINK("https://github.com/JakeWharton/dagger-reflect/releases", "show")</f>
        <v>show</v>
      </c>
      <c r="I7868">
        <v>0</v>
      </c>
      <c r="J7868">
        <v>0</v>
      </c>
      <c r="K7868">
        <v>1</v>
      </c>
      <c r="L7868">
        <v>0</v>
      </c>
      <c r="M7868" t="s">
        <v>122</v>
      </c>
    </row>
    <row r="7869" spans="1:13" hidden="1" x14ac:dyDescent="0.15">
      <c r="A7869" t="s">
        <v>24641</v>
      </c>
      <c r="B7869" t="s">
        <v>24642</v>
      </c>
      <c r="C7869" t="s">
        <v>24643</v>
      </c>
      <c r="D7869" t="s">
        <v>24640</v>
      </c>
      <c r="E7869">
        <v>0</v>
      </c>
      <c r="F7869" t="str">
        <f>HYPERLINK("https://github.com/skynet-im/skynet-android/issues/8", "show")</f>
        <v>show</v>
      </c>
      <c r="G7869" t="str">
        <f>HYPERLINK("https://github.com/skynet-im/skynet-android", "show")</f>
        <v>show</v>
      </c>
      <c r="H7869" t="str">
        <f>HYPERLINK("https://github.com/skynet-im/skynet-android/releases", "show")</f>
        <v>show</v>
      </c>
      <c r="I7869">
        <v>0</v>
      </c>
      <c r="J7869">
        <v>0</v>
      </c>
      <c r="K7869">
        <v>0</v>
      </c>
      <c r="L7869">
        <v>0</v>
      </c>
      <c r="M7869" t="s">
        <v>43</v>
      </c>
    </row>
    <row r="7870" spans="1:13" hidden="1" x14ac:dyDescent="0.15">
      <c r="A7870" t="s">
        <v>24644</v>
      </c>
      <c r="B7870" t="s">
        <v>24645</v>
      </c>
      <c r="C7870" t="s">
        <v>24646</v>
      </c>
      <c r="D7870" t="s">
        <v>24640</v>
      </c>
      <c r="E7870">
        <v>0</v>
      </c>
      <c r="F7870" t="str">
        <f>HYPERLINK("https://github.com/getsentry/sentry-java/issues/773", "show")</f>
        <v>show</v>
      </c>
      <c r="G7870" t="str">
        <f>HYPERLINK("https://github.com/getsentry/sentry-java", "show")</f>
        <v>show</v>
      </c>
      <c r="H7870" t="str">
        <f>HYPERLINK("https://github.com/getsentry/sentry-java/releases", "show")</f>
        <v>show</v>
      </c>
      <c r="I7870">
        <v>1</v>
      </c>
      <c r="J7870">
        <v>0</v>
      </c>
      <c r="K7870">
        <v>1</v>
      </c>
      <c r="L7870">
        <v>0</v>
      </c>
      <c r="M7870" t="s">
        <v>64</v>
      </c>
    </row>
    <row r="7871" spans="1:13" hidden="1" x14ac:dyDescent="0.15">
      <c r="A7871" t="s">
        <v>24647</v>
      </c>
      <c r="B7871" t="s">
        <v>24648</v>
      </c>
      <c r="C7871" t="s">
        <v>24649</v>
      </c>
      <c r="D7871" t="s">
        <v>24640</v>
      </c>
      <c r="E7871">
        <v>0</v>
      </c>
      <c r="F7871" t="str">
        <f>HYPERLINK("https://github.com/nextcloud/android/issues/4618", "show")</f>
        <v>show</v>
      </c>
      <c r="G7871" t="str">
        <f>HYPERLINK("https://github.com/nextcloud/android", "show")</f>
        <v>show</v>
      </c>
      <c r="H7871" t="str">
        <f>HYPERLINK("https://github.com/nextcloud/android/releases", "show")</f>
        <v>show</v>
      </c>
      <c r="I7871">
        <v>1</v>
      </c>
      <c r="J7871">
        <v>1</v>
      </c>
      <c r="K7871">
        <v>1</v>
      </c>
      <c r="L7871">
        <v>0</v>
      </c>
      <c r="M7871" t="s">
        <v>59</v>
      </c>
    </row>
    <row r="7872" spans="1:13" hidden="1" x14ac:dyDescent="0.15">
      <c r="A7872" t="s">
        <v>24650</v>
      </c>
      <c r="B7872" t="s">
        <v>24651</v>
      </c>
      <c r="C7872" t="s">
        <v>24652</v>
      </c>
      <c r="D7872" t="s">
        <v>24640</v>
      </c>
      <c r="E7872">
        <v>1</v>
      </c>
      <c r="F7872" t="str">
        <f>HYPERLINK("https://github.com/jMonkeyEngine/jmonkeyengine/issues/1197", "show")</f>
        <v>show</v>
      </c>
      <c r="G7872" t="str">
        <f>HYPERLINK("https://github.com/jMonkeyEngine/jmonkeyengine", "show")</f>
        <v>show</v>
      </c>
      <c r="H7872" t="str">
        <f>HYPERLINK("https://github.com/jMonkeyEngine/jmonkeyengine/releases", "show")</f>
        <v>show</v>
      </c>
      <c r="I7872">
        <v>1</v>
      </c>
      <c r="J7872">
        <v>0</v>
      </c>
      <c r="K7872">
        <v>1</v>
      </c>
      <c r="L7872">
        <v>0</v>
      </c>
      <c r="M7872" t="s">
        <v>64</v>
      </c>
    </row>
    <row r="7873" spans="1:13" hidden="1" x14ac:dyDescent="0.15">
      <c r="A7873" t="s">
        <v>24653</v>
      </c>
      <c r="B7873" t="s">
        <v>24654</v>
      </c>
      <c r="C7873" t="s">
        <v>24655</v>
      </c>
      <c r="D7873" t="s">
        <v>24656</v>
      </c>
      <c r="E7873">
        <v>8</v>
      </c>
      <c r="F7873" t="str">
        <f>HYPERLINK("https://github.com/greenaddress/abcore/issues/98", "show")</f>
        <v>show</v>
      </c>
      <c r="G7873" t="str">
        <f>HYPERLINK("https://github.com/greenaddress/abcore", "show")</f>
        <v>show</v>
      </c>
      <c r="H7873" t="str">
        <f>HYPERLINK("https://github.com/greenaddress/abcore/releases", "show")</f>
        <v>show</v>
      </c>
      <c r="I7873">
        <v>1</v>
      </c>
      <c r="J7873">
        <v>0</v>
      </c>
      <c r="K7873">
        <v>0</v>
      </c>
      <c r="L7873">
        <v>0</v>
      </c>
      <c r="M7873" t="s">
        <v>17</v>
      </c>
    </row>
    <row r="7874" spans="1:13" hidden="1" x14ac:dyDescent="0.15">
      <c r="A7874" t="s">
        <v>24657</v>
      </c>
      <c r="B7874" t="s">
        <v>24658</v>
      </c>
      <c r="C7874" t="s">
        <v>24659</v>
      </c>
      <c r="D7874" t="s">
        <v>24656</v>
      </c>
      <c r="E7874">
        <v>134</v>
      </c>
      <c r="F7874" t="str">
        <f>HYPERLINK("https://github.com/nextcloud/android/issues/4615", "show")</f>
        <v>show</v>
      </c>
      <c r="G7874" t="str">
        <f>HYPERLINK("https://github.com/nextcloud/android", "show")</f>
        <v>show</v>
      </c>
      <c r="H7874" t="str">
        <f>HYPERLINK("https://github.com/nextcloud/android/releases", "show")</f>
        <v>show</v>
      </c>
      <c r="I7874">
        <v>1</v>
      </c>
      <c r="J7874">
        <v>1</v>
      </c>
      <c r="K7874">
        <v>1</v>
      </c>
      <c r="L7874">
        <v>0</v>
      </c>
      <c r="M7874" t="s">
        <v>59</v>
      </c>
    </row>
    <row r="7875" spans="1:13" hidden="1" x14ac:dyDescent="0.15">
      <c r="A7875" t="s">
        <v>24660</v>
      </c>
      <c r="B7875" t="s">
        <v>24661</v>
      </c>
      <c r="C7875" t="s">
        <v>24662</v>
      </c>
      <c r="D7875" t="s">
        <v>24656</v>
      </c>
      <c r="E7875">
        <v>20</v>
      </c>
      <c r="F7875" t="str">
        <f>HYPERLINK("https://github.com/nextcloud/android/issues/4614", "show")</f>
        <v>show</v>
      </c>
      <c r="G7875" t="str">
        <f>HYPERLINK("https://github.com/nextcloud/android", "show")</f>
        <v>show</v>
      </c>
      <c r="H7875" t="str">
        <f>HYPERLINK("https://github.com/nextcloud/android/releases", "show")</f>
        <v>show</v>
      </c>
      <c r="I7875">
        <v>1</v>
      </c>
      <c r="J7875">
        <v>1</v>
      </c>
      <c r="K7875">
        <v>1</v>
      </c>
      <c r="L7875">
        <v>0</v>
      </c>
      <c r="M7875" t="s">
        <v>59</v>
      </c>
    </row>
    <row r="7876" spans="1:13" hidden="1" x14ac:dyDescent="0.15">
      <c r="A7876" t="s">
        <v>24663</v>
      </c>
      <c r="B7876" t="s">
        <v>24664</v>
      </c>
      <c r="C7876" t="s">
        <v>24665</v>
      </c>
      <c r="D7876" t="s">
        <v>24656</v>
      </c>
      <c r="E7876">
        <v>127</v>
      </c>
      <c r="F7876" t="str">
        <f>HYPERLINK("https://github.com/Haptic-Apps/Slide/issues/3076", "show")</f>
        <v>show</v>
      </c>
      <c r="G7876" t="str">
        <f>HYPERLINK("https://github.com/Haptic-Apps/Slide", "show")</f>
        <v>show</v>
      </c>
      <c r="H7876" t="str">
        <f>HYPERLINK("https://github.com/Haptic-Apps/Slide/releases", "show")</f>
        <v>show</v>
      </c>
      <c r="I7876">
        <v>1</v>
      </c>
      <c r="J7876">
        <v>0</v>
      </c>
      <c r="K7876">
        <v>0</v>
      </c>
      <c r="L7876">
        <v>0</v>
      </c>
      <c r="M7876" t="s">
        <v>17</v>
      </c>
    </row>
    <row r="7877" spans="1:13" hidden="1" x14ac:dyDescent="0.15">
      <c r="A7877" t="s">
        <v>24666</v>
      </c>
      <c r="B7877" t="s">
        <v>24667</v>
      </c>
      <c r="D7877" t="s">
        <v>24656</v>
      </c>
      <c r="E7877">
        <v>1</v>
      </c>
      <c r="F7877" t="str">
        <f>HYPERLINK("https://github.com/project-travel-mate/Travel-Mate/issues/730", "show")</f>
        <v>show</v>
      </c>
      <c r="G7877" t="str">
        <f>HYPERLINK("https://github.com/project-travel-mate/Travel-Mate", "show")</f>
        <v>show</v>
      </c>
      <c r="H7877" t="str">
        <f>HYPERLINK("https://github.com/project-travel-mate/Travel-Mate/releases", "show")</f>
        <v>show</v>
      </c>
      <c r="I7877">
        <v>1</v>
      </c>
      <c r="J7877">
        <v>0</v>
      </c>
      <c r="K7877">
        <v>0</v>
      </c>
      <c r="L7877">
        <v>0</v>
      </c>
      <c r="M7877" t="s">
        <v>17</v>
      </c>
    </row>
    <row r="7878" spans="1:13" hidden="1" x14ac:dyDescent="0.15">
      <c r="A7878" t="s">
        <v>24668</v>
      </c>
      <c r="B7878" t="s">
        <v>24669</v>
      </c>
      <c r="C7878" t="s">
        <v>24670</v>
      </c>
      <c r="D7878" t="s">
        <v>24656</v>
      </c>
      <c r="E7878">
        <v>44</v>
      </c>
      <c r="F7878" t="str">
        <f>HYPERLINK("https://github.com/nextcloud/android/issues/4610", "show")</f>
        <v>show</v>
      </c>
      <c r="G7878" t="str">
        <f>HYPERLINK("https://github.com/nextcloud/android", "show")</f>
        <v>show</v>
      </c>
      <c r="H7878" t="str">
        <f>HYPERLINK("https://github.com/nextcloud/android/releases", "show")</f>
        <v>show</v>
      </c>
      <c r="I7878">
        <v>0</v>
      </c>
      <c r="J7878">
        <v>1</v>
      </c>
      <c r="K7878">
        <v>1</v>
      </c>
      <c r="L7878">
        <v>0</v>
      </c>
      <c r="M7878" t="s">
        <v>699</v>
      </c>
    </row>
    <row r="7879" spans="1:13" hidden="1" x14ac:dyDescent="0.15">
      <c r="A7879" t="s">
        <v>24671</v>
      </c>
      <c r="B7879" t="s">
        <v>24672</v>
      </c>
      <c r="C7879" t="s">
        <v>24673</v>
      </c>
      <c r="D7879" t="s">
        <v>24674</v>
      </c>
      <c r="E7879">
        <v>0</v>
      </c>
      <c r="F7879" t="str">
        <f>HYPERLINK("https://github.com/ZiiS/HueWidgets/issues/4", "show")</f>
        <v>show</v>
      </c>
      <c r="G7879" t="str">
        <f>HYPERLINK("https://github.com/ZiiS/HueWidgets", "show")</f>
        <v>show</v>
      </c>
      <c r="H7879" t="str">
        <f>HYPERLINK("https://github.com/ZiiS/HueWidgets/releases", "show")</f>
        <v>show</v>
      </c>
      <c r="I7879">
        <v>1</v>
      </c>
      <c r="J7879">
        <v>0</v>
      </c>
      <c r="K7879">
        <v>0</v>
      </c>
      <c r="L7879">
        <v>0</v>
      </c>
      <c r="M7879" t="s">
        <v>17</v>
      </c>
    </row>
    <row r="7880" spans="1:13" hidden="1" x14ac:dyDescent="0.15">
      <c r="A7880" t="s">
        <v>24675</v>
      </c>
      <c r="B7880" t="s">
        <v>24676</v>
      </c>
      <c r="C7880" t="s">
        <v>24677</v>
      </c>
      <c r="D7880" t="s">
        <v>24678</v>
      </c>
      <c r="E7880">
        <v>3</v>
      </c>
      <c r="F7880" t="str">
        <f>HYPERLINK("https://github.com/MozillaReality/FirefoxReality/issues/1918", "show")</f>
        <v>show</v>
      </c>
      <c r="G7880" t="str">
        <f>HYPERLINK("https://github.com/MozillaReality/FirefoxReality", "show")</f>
        <v>show</v>
      </c>
      <c r="H7880" t="str">
        <f>HYPERLINK("https://github.com/MozillaReality/FirefoxReality/releases", "show")</f>
        <v>show</v>
      </c>
      <c r="I7880">
        <v>0</v>
      </c>
      <c r="J7880">
        <v>0</v>
      </c>
      <c r="K7880">
        <v>0</v>
      </c>
      <c r="L7880">
        <v>0</v>
      </c>
      <c r="M7880" t="s">
        <v>43</v>
      </c>
    </row>
    <row r="7881" spans="1:13" hidden="1" x14ac:dyDescent="0.15">
      <c r="A7881" t="s">
        <v>24679</v>
      </c>
      <c r="B7881" t="s">
        <v>24680</v>
      </c>
      <c r="C7881" t="s">
        <v>24681</v>
      </c>
      <c r="D7881" t="s">
        <v>24678</v>
      </c>
      <c r="E7881">
        <v>396</v>
      </c>
      <c r="F7881" t="str">
        <f>HYPERLINK("https://github.com/bluelinelabs/Conductor/issues/567", "show")</f>
        <v>show</v>
      </c>
      <c r="G7881" t="str">
        <f>HYPERLINK("https://github.com/bluelinelabs/Conductor", "show")</f>
        <v>show</v>
      </c>
      <c r="H7881" t="str">
        <f>HYPERLINK("https://github.com/bluelinelabs/Conductor/releases", "show")</f>
        <v>show</v>
      </c>
      <c r="I7881">
        <v>1</v>
      </c>
      <c r="J7881">
        <v>0</v>
      </c>
      <c r="K7881">
        <v>1</v>
      </c>
      <c r="L7881">
        <v>0</v>
      </c>
      <c r="M7881" t="s">
        <v>64</v>
      </c>
    </row>
    <row r="7882" spans="1:13" hidden="1" x14ac:dyDescent="0.15">
      <c r="A7882" t="s">
        <v>24682</v>
      </c>
      <c r="B7882" t="s">
        <v>24683</v>
      </c>
      <c r="C7882" t="s">
        <v>24684</v>
      </c>
      <c r="D7882" t="s">
        <v>24678</v>
      </c>
      <c r="E7882">
        <v>196</v>
      </c>
      <c r="F7882" t="str">
        <f>HYPERLINK("https://github.com/moberwasserlechner/capacitor-oauth2/issues/55", "show")</f>
        <v>show</v>
      </c>
      <c r="G7882" t="str">
        <f>HYPERLINK("https://github.com/moberwasserlechner/capacitor-oauth2", "show")</f>
        <v>show</v>
      </c>
      <c r="H7882" t="str">
        <f>HYPERLINK("https://github.com/moberwasserlechner/capacitor-oauth2/releases", "show")</f>
        <v>show</v>
      </c>
      <c r="I7882">
        <v>1</v>
      </c>
      <c r="J7882">
        <v>0</v>
      </c>
      <c r="K7882">
        <v>1</v>
      </c>
      <c r="L7882">
        <v>0</v>
      </c>
      <c r="M7882" t="s">
        <v>64</v>
      </c>
    </row>
    <row r="7883" spans="1:13" hidden="1" x14ac:dyDescent="0.15">
      <c r="A7883" t="s">
        <v>24685</v>
      </c>
      <c r="B7883" t="s">
        <v>24686</v>
      </c>
      <c r="C7883" t="s">
        <v>24687</v>
      </c>
      <c r="D7883" t="s">
        <v>24688</v>
      </c>
      <c r="E7883">
        <v>67</v>
      </c>
      <c r="F7883" t="str">
        <f>HYPERLINK("https://github.com/opentok/opentok-react-native/issues/357", "show")</f>
        <v>show</v>
      </c>
      <c r="G7883" t="str">
        <f>HYPERLINK("https://github.com/opentok/opentok-react-native", "show")</f>
        <v>show</v>
      </c>
      <c r="H7883" t="str">
        <f>HYPERLINK("https://github.com/opentok/opentok-react-native/releases", "show")</f>
        <v>show</v>
      </c>
      <c r="I7883">
        <v>1</v>
      </c>
      <c r="J7883">
        <v>0</v>
      </c>
      <c r="K7883">
        <v>0</v>
      </c>
      <c r="L7883">
        <v>1</v>
      </c>
      <c r="M7883" t="s">
        <v>29</v>
      </c>
    </row>
    <row r="7884" spans="1:13" hidden="1" x14ac:dyDescent="0.15">
      <c r="A7884" t="s">
        <v>24689</v>
      </c>
      <c r="B7884" t="s">
        <v>24690</v>
      </c>
      <c r="C7884" t="s">
        <v>24691</v>
      </c>
      <c r="D7884" t="s">
        <v>24692</v>
      </c>
      <c r="E7884">
        <v>2</v>
      </c>
      <c r="F7884" t="str">
        <f>HYPERLINK("https://github.com/cgeo/cgeo/issues/7875", "show")</f>
        <v>show</v>
      </c>
      <c r="G7884" t="str">
        <f>HYPERLINK("https://github.com/cgeo/cgeo", "show")</f>
        <v>show</v>
      </c>
      <c r="H7884" t="str">
        <f>HYPERLINK("https://github.com/cgeo/cgeo/releases", "show")</f>
        <v>show</v>
      </c>
      <c r="I7884">
        <v>1</v>
      </c>
      <c r="J7884">
        <v>1</v>
      </c>
      <c r="K7884">
        <v>0</v>
      </c>
      <c r="L7884">
        <v>0</v>
      </c>
      <c r="M7884" t="s">
        <v>48</v>
      </c>
    </row>
    <row r="7885" spans="1:13" hidden="1" x14ac:dyDescent="0.15">
      <c r="A7885" t="s">
        <v>24693</v>
      </c>
      <c r="B7885" t="s">
        <v>24694</v>
      </c>
      <c r="C7885" t="s">
        <v>24695</v>
      </c>
      <c r="D7885" t="s">
        <v>24692</v>
      </c>
      <c r="E7885">
        <v>7</v>
      </c>
      <c r="F7885" t="str">
        <f>HYPERLINK("https://github.com/nextcloud/android/issues/4603", "show")</f>
        <v>show</v>
      </c>
      <c r="G7885" t="str">
        <f>HYPERLINK("https://github.com/nextcloud/android", "show")</f>
        <v>show</v>
      </c>
      <c r="H7885" t="str">
        <f>HYPERLINK("https://github.com/nextcloud/android/releases", "show")</f>
        <v>show</v>
      </c>
      <c r="I7885">
        <v>1</v>
      </c>
      <c r="J7885">
        <v>0</v>
      </c>
      <c r="K7885">
        <v>1</v>
      </c>
      <c r="L7885">
        <v>0</v>
      </c>
      <c r="M7885" t="s">
        <v>64</v>
      </c>
    </row>
    <row r="7886" spans="1:13" hidden="1" x14ac:dyDescent="0.15">
      <c r="A7886" t="s">
        <v>24696</v>
      </c>
      <c r="B7886" t="s">
        <v>24697</v>
      </c>
      <c r="C7886" t="s">
        <v>24698</v>
      </c>
      <c r="D7886" t="s">
        <v>24692</v>
      </c>
      <c r="E7886">
        <v>8</v>
      </c>
      <c r="F7886" t="str">
        <f>HYPERLINK("https://github.com/evernote/android-job/issues/591", "show")</f>
        <v>show</v>
      </c>
      <c r="G7886" t="str">
        <f>HYPERLINK("https://github.com/evernote/android-job", "show")</f>
        <v>show</v>
      </c>
      <c r="H7886" t="str">
        <f>HYPERLINK("https://github.com/evernote/android-job/releases", "show")</f>
        <v>show</v>
      </c>
      <c r="I7886">
        <v>1</v>
      </c>
      <c r="J7886">
        <v>0</v>
      </c>
      <c r="K7886">
        <v>0</v>
      </c>
      <c r="L7886">
        <v>0</v>
      </c>
      <c r="M7886" t="s">
        <v>17</v>
      </c>
    </row>
    <row r="7887" spans="1:13" hidden="1" x14ac:dyDescent="0.15">
      <c r="A7887" t="s">
        <v>24699</v>
      </c>
      <c r="B7887" t="s">
        <v>24700</v>
      </c>
      <c r="C7887" t="s">
        <v>24701</v>
      </c>
      <c r="D7887" t="s">
        <v>24692</v>
      </c>
      <c r="E7887">
        <v>0</v>
      </c>
      <c r="F7887" t="str">
        <f>HYPERLINK("https://github.com/Alfresco/activiti-android-app/issues/95", "show")</f>
        <v>show</v>
      </c>
      <c r="G7887" t="str">
        <f>HYPERLINK("https://github.com/Alfresco/activiti-android-app", "show")</f>
        <v>show</v>
      </c>
      <c r="H7887" t="str">
        <f>HYPERLINK("https://github.com/Alfresco/activiti-android-app/releases", "show")</f>
        <v>show</v>
      </c>
      <c r="I7887">
        <v>0</v>
      </c>
      <c r="J7887">
        <v>0</v>
      </c>
      <c r="K7887">
        <v>0</v>
      </c>
      <c r="L7887">
        <v>0</v>
      </c>
      <c r="M7887" t="s">
        <v>43</v>
      </c>
    </row>
    <row r="7888" spans="1:13" hidden="1" x14ac:dyDescent="0.15">
      <c r="A7888" t="s">
        <v>24702</v>
      </c>
      <c r="B7888" t="s">
        <v>24703</v>
      </c>
      <c r="C7888" t="s">
        <v>24704</v>
      </c>
      <c r="D7888" t="s">
        <v>24692</v>
      </c>
      <c r="E7888">
        <v>0</v>
      </c>
      <c r="F7888" t="str">
        <f>HYPERLINK("https://github.com/material-components/material-components-android/issues/645", "show")</f>
        <v>show</v>
      </c>
      <c r="G7888" t="str">
        <f>HYPERLINK("https://github.com/material-components/material-components-android", "show")</f>
        <v>show</v>
      </c>
      <c r="H7888" t="str">
        <f>HYPERLINK("https://github.com/material-components/material-components-android/releases", "show")</f>
        <v>show</v>
      </c>
      <c r="I7888">
        <v>1</v>
      </c>
      <c r="J7888">
        <v>0</v>
      </c>
      <c r="K7888">
        <v>0</v>
      </c>
      <c r="L7888">
        <v>0</v>
      </c>
      <c r="M7888" t="s">
        <v>17</v>
      </c>
    </row>
    <row r="7889" spans="1:13" hidden="1" x14ac:dyDescent="0.15">
      <c r="A7889" t="s">
        <v>24705</v>
      </c>
      <c r="B7889" t="s">
        <v>24706</v>
      </c>
      <c r="C7889" t="s">
        <v>24707</v>
      </c>
      <c r="D7889" t="s">
        <v>24708</v>
      </c>
      <c r="E7889">
        <v>8</v>
      </c>
      <c r="F7889" t="str">
        <f>HYPERLINK("https://github.com/nextcloud/android/issues/4585", "show")</f>
        <v>show</v>
      </c>
      <c r="G7889" t="str">
        <f>HYPERLINK("https://github.com/nextcloud/android", "show")</f>
        <v>show</v>
      </c>
      <c r="H7889" t="str">
        <f>HYPERLINK("https://github.com/nextcloud/android/releases", "show")</f>
        <v>show</v>
      </c>
      <c r="I7889">
        <v>1</v>
      </c>
      <c r="J7889">
        <v>1</v>
      </c>
      <c r="K7889">
        <v>0</v>
      </c>
      <c r="L7889">
        <v>0</v>
      </c>
      <c r="M7889" t="s">
        <v>48</v>
      </c>
    </row>
    <row r="7890" spans="1:13" hidden="1" x14ac:dyDescent="0.15">
      <c r="A7890" t="s">
        <v>24709</v>
      </c>
      <c r="B7890" t="s">
        <v>24710</v>
      </c>
      <c r="C7890" t="s">
        <v>24711</v>
      </c>
      <c r="D7890" t="s">
        <v>24708</v>
      </c>
      <c r="E7890">
        <v>11</v>
      </c>
      <c r="F7890" t="str">
        <f>HYPERLINK("https://github.com/fossasia/open-event-organizer-android/issues/1951", "show")</f>
        <v>show</v>
      </c>
      <c r="G7890" t="str">
        <f>HYPERLINK("https://github.com/fossasia/open-event-organizer-android", "show")</f>
        <v>show</v>
      </c>
      <c r="H7890" t="str">
        <f>HYPERLINK("https://github.com/fossasia/open-event-organizer-android/releases", "show")</f>
        <v>show</v>
      </c>
      <c r="I7890">
        <v>1</v>
      </c>
      <c r="J7890">
        <v>1</v>
      </c>
      <c r="K7890">
        <v>0</v>
      </c>
      <c r="L7890">
        <v>0</v>
      </c>
      <c r="M7890" t="s">
        <v>48</v>
      </c>
    </row>
    <row r="7891" spans="1:13" hidden="1" x14ac:dyDescent="0.15">
      <c r="A7891" t="s">
        <v>24712</v>
      </c>
      <c r="B7891" t="s">
        <v>24713</v>
      </c>
      <c r="C7891" t="s">
        <v>24714</v>
      </c>
      <c r="D7891" t="s">
        <v>24708</v>
      </c>
      <c r="E7891">
        <v>0</v>
      </c>
      <c r="F7891" t="str">
        <f>HYPERLINK("https://github.com/oliexdev/openScale/issues/498", "show")</f>
        <v>show</v>
      </c>
      <c r="G7891" t="str">
        <f>HYPERLINK("https://github.com/oliexdev/openScale", "show")</f>
        <v>show</v>
      </c>
      <c r="H7891" t="str">
        <f>HYPERLINK("https://github.com/oliexdev/openScale/releases", "show")</f>
        <v>show</v>
      </c>
      <c r="I7891">
        <v>1</v>
      </c>
      <c r="J7891">
        <v>0</v>
      </c>
      <c r="K7891">
        <v>1</v>
      </c>
      <c r="L7891">
        <v>0</v>
      </c>
      <c r="M7891" t="s">
        <v>64</v>
      </c>
    </row>
    <row r="7892" spans="1:13" hidden="1" x14ac:dyDescent="0.15">
      <c r="A7892" t="s">
        <v>24715</v>
      </c>
      <c r="B7892" t="s">
        <v>24716</v>
      </c>
      <c r="C7892" t="s">
        <v>24717</v>
      </c>
      <c r="D7892" t="s">
        <v>24718</v>
      </c>
      <c r="E7892">
        <v>45</v>
      </c>
      <c r="F7892" t="str">
        <f>HYPERLINK("https://github.com/nextcloud/android/issues/4581", "show")</f>
        <v>show</v>
      </c>
      <c r="G7892" t="str">
        <f>HYPERLINK("https://github.com/nextcloud/android", "show")</f>
        <v>show</v>
      </c>
      <c r="H7892" t="str">
        <f>HYPERLINK("https://github.com/nextcloud/android/releases", "show")</f>
        <v>show</v>
      </c>
      <c r="I7892">
        <v>1</v>
      </c>
      <c r="J7892">
        <v>1</v>
      </c>
      <c r="K7892">
        <v>0</v>
      </c>
      <c r="L7892">
        <v>0</v>
      </c>
      <c r="M7892" t="s">
        <v>48</v>
      </c>
    </row>
    <row r="7893" spans="1:13" hidden="1" x14ac:dyDescent="0.15">
      <c r="A7893" t="s">
        <v>24719</v>
      </c>
      <c r="B7893" t="s">
        <v>24720</v>
      </c>
      <c r="C7893" t="s">
        <v>24721</v>
      </c>
      <c r="D7893" t="s">
        <v>24718</v>
      </c>
      <c r="E7893">
        <v>8</v>
      </c>
      <c r="F7893" t="str">
        <f>HYPERLINK("https://github.com/aws-amplify/aws-sdk-android/issues/1226", "show")</f>
        <v>show</v>
      </c>
      <c r="G7893" t="str">
        <f>HYPERLINK("https://github.com/aws-amplify/aws-sdk-android", "show")</f>
        <v>show</v>
      </c>
      <c r="H7893" t="str">
        <f>HYPERLINK("https://github.com/aws-amplify/aws-sdk-android/releases", "show")</f>
        <v>show</v>
      </c>
      <c r="I7893">
        <v>1</v>
      </c>
      <c r="J7893">
        <v>0</v>
      </c>
      <c r="K7893">
        <v>1</v>
      </c>
      <c r="L7893">
        <v>0</v>
      </c>
      <c r="M7893" t="s">
        <v>64</v>
      </c>
    </row>
    <row r="7894" spans="1:13" hidden="1" x14ac:dyDescent="0.15">
      <c r="A7894" t="s">
        <v>24722</v>
      </c>
      <c r="B7894" t="s">
        <v>24723</v>
      </c>
      <c r="C7894" t="s">
        <v>24724</v>
      </c>
      <c r="D7894" t="s">
        <v>24718</v>
      </c>
      <c r="E7894">
        <v>42</v>
      </c>
      <c r="F7894" t="str">
        <f>HYPERLINK("https://github.com/nextcloud/android/issues/4579", "show")</f>
        <v>show</v>
      </c>
      <c r="G7894" t="str">
        <f>HYPERLINK("https://github.com/nextcloud/android", "show")</f>
        <v>show</v>
      </c>
      <c r="H7894" t="str">
        <f>HYPERLINK("https://github.com/nextcloud/android/releases", "show")</f>
        <v>show</v>
      </c>
      <c r="I7894">
        <v>0</v>
      </c>
      <c r="J7894">
        <v>1</v>
      </c>
      <c r="K7894">
        <v>1</v>
      </c>
      <c r="L7894">
        <v>0</v>
      </c>
      <c r="M7894" t="s">
        <v>699</v>
      </c>
    </row>
    <row r="7895" spans="1:13" hidden="1" x14ac:dyDescent="0.15">
      <c r="A7895" t="s">
        <v>24725</v>
      </c>
      <c r="B7895" t="s">
        <v>24726</v>
      </c>
      <c r="C7895" t="s">
        <v>24727</v>
      </c>
      <c r="D7895" t="s">
        <v>24718</v>
      </c>
      <c r="E7895">
        <v>9</v>
      </c>
      <c r="F7895" t="str">
        <f>HYPERLINK("https://github.com/nextcloud/android/issues/4578", "show")</f>
        <v>show</v>
      </c>
      <c r="G7895" t="str">
        <f>HYPERLINK("https://github.com/nextcloud/android", "show")</f>
        <v>show</v>
      </c>
      <c r="H7895" t="str">
        <f>HYPERLINK("https://github.com/nextcloud/android/releases", "show")</f>
        <v>show</v>
      </c>
      <c r="I7895">
        <v>0</v>
      </c>
      <c r="J7895">
        <v>0</v>
      </c>
      <c r="K7895">
        <v>1</v>
      </c>
      <c r="L7895">
        <v>0</v>
      </c>
      <c r="M7895" t="s">
        <v>122</v>
      </c>
    </row>
    <row r="7896" spans="1:13" hidden="1" x14ac:dyDescent="0.15">
      <c r="A7896" t="s">
        <v>24728</v>
      </c>
      <c r="B7896" t="s">
        <v>24729</v>
      </c>
      <c r="C7896" t="s">
        <v>24730</v>
      </c>
      <c r="D7896" t="s">
        <v>24731</v>
      </c>
      <c r="E7896">
        <v>1</v>
      </c>
      <c r="F7896" t="str">
        <f>HYPERLINK("https://github.com/osmdroid/osmdroid/issues/1407", "show")</f>
        <v>show</v>
      </c>
      <c r="G7896" t="str">
        <f>HYPERLINK("https://github.com/osmdroid/osmdroid", "show")</f>
        <v>show</v>
      </c>
      <c r="H7896" t="str">
        <f>HYPERLINK("https://github.com/osmdroid/osmdroid/releases", "show")</f>
        <v>show</v>
      </c>
      <c r="I7896">
        <v>1</v>
      </c>
      <c r="J7896">
        <v>0</v>
      </c>
      <c r="K7896">
        <v>1</v>
      </c>
      <c r="L7896">
        <v>0</v>
      </c>
      <c r="M7896" t="s">
        <v>64</v>
      </c>
    </row>
    <row r="7897" spans="1:13" hidden="1" x14ac:dyDescent="0.15">
      <c r="A7897" t="s">
        <v>24732</v>
      </c>
      <c r="B7897" t="s">
        <v>24733</v>
      </c>
      <c r="C7897" t="s">
        <v>24734</v>
      </c>
      <c r="D7897" t="s">
        <v>24731</v>
      </c>
      <c r="E7897">
        <v>1</v>
      </c>
      <c r="F7897" t="str">
        <f>HYPERLINK("https://github.com/SkyTubeTeam/SkyTube/issues/571", "show")</f>
        <v>show</v>
      </c>
      <c r="G7897" t="str">
        <f>HYPERLINK("https://github.com/SkyTubeTeam/SkyTube", "show")</f>
        <v>show</v>
      </c>
      <c r="H7897" t="str">
        <f>HYPERLINK("https://github.com/SkyTubeTeam/SkyTube/releases", "show")</f>
        <v>show</v>
      </c>
      <c r="I7897">
        <v>1</v>
      </c>
      <c r="J7897">
        <v>0</v>
      </c>
      <c r="K7897">
        <v>1</v>
      </c>
      <c r="L7897">
        <v>1</v>
      </c>
      <c r="M7897" t="s">
        <v>1259</v>
      </c>
    </row>
    <row r="7898" spans="1:13" hidden="1" x14ac:dyDescent="0.15">
      <c r="A7898" t="s">
        <v>24735</v>
      </c>
      <c r="B7898" t="s">
        <v>24736</v>
      </c>
      <c r="C7898" t="s">
        <v>12185</v>
      </c>
      <c r="D7898" t="s">
        <v>24737</v>
      </c>
      <c r="E7898">
        <v>12</v>
      </c>
      <c r="F7898" t="str">
        <f>HYPERLINK("https://github.com/nextcloud/android/issues/4574", "show")</f>
        <v>show</v>
      </c>
      <c r="G7898" t="str">
        <f>HYPERLINK("https://github.com/nextcloud/android", "show")</f>
        <v>show</v>
      </c>
      <c r="H7898" t="str">
        <f>HYPERLINK("https://github.com/nextcloud/android/releases", "show")</f>
        <v>show</v>
      </c>
      <c r="I7898">
        <v>0</v>
      </c>
      <c r="J7898">
        <v>0</v>
      </c>
      <c r="K7898">
        <v>1</v>
      </c>
      <c r="L7898">
        <v>0</v>
      </c>
      <c r="M7898" t="s">
        <v>122</v>
      </c>
    </row>
    <row r="7899" spans="1:13" hidden="1" x14ac:dyDescent="0.15">
      <c r="A7899" t="s">
        <v>24738</v>
      </c>
      <c r="B7899" t="s">
        <v>24739</v>
      </c>
      <c r="C7899" t="s">
        <v>24740</v>
      </c>
      <c r="D7899" t="s">
        <v>24737</v>
      </c>
      <c r="E7899">
        <v>12</v>
      </c>
      <c r="F7899" t="str">
        <f>HYPERLINK("https://github.com/SanojPunchihewa/f5n/issues/12", "show")</f>
        <v>show</v>
      </c>
      <c r="G7899" t="str">
        <f>HYPERLINK("https://github.com/SanojPunchihewa/f5n", "show")</f>
        <v>show</v>
      </c>
      <c r="H7899" t="str">
        <f>HYPERLINK("https://github.com/SanojPunchihewa/f5n/releases", "show")</f>
        <v>show</v>
      </c>
      <c r="I7899">
        <v>1</v>
      </c>
      <c r="J7899">
        <v>0</v>
      </c>
      <c r="K7899">
        <v>0</v>
      </c>
      <c r="L7899">
        <v>0</v>
      </c>
      <c r="M7899" t="s">
        <v>17</v>
      </c>
    </row>
    <row r="7900" spans="1:13" hidden="1" x14ac:dyDescent="0.15">
      <c r="A7900" t="s">
        <v>24741</v>
      </c>
      <c r="B7900" t="s">
        <v>24742</v>
      </c>
      <c r="C7900" t="s">
        <v>24743</v>
      </c>
      <c r="D7900" t="s">
        <v>24737</v>
      </c>
      <c r="E7900">
        <v>132</v>
      </c>
      <c r="F7900" t="str">
        <f>HYPERLINK("https://github.com/SecUSo/privacy-friendly-qr-scanner/issues/53", "show")</f>
        <v>show</v>
      </c>
      <c r="G7900" t="str">
        <f>HYPERLINK("https://github.com/SecUSo/privacy-friendly-qr-scanner", "show")</f>
        <v>show</v>
      </c>
      <c r="H7900" t="str">
        <f>HYPERLINK("https://github.com/SecUSo/privacy-friendly-qr-scanner/releases", "show")</f>
        <v>show</v>
      </c>
      <c r="I7900">
        <v>1</v>
      </c>
      <c r="J7900">
        <v>0</v>
      </c>
      <c r="K7900">
        <v>0</v>
      </c>
      <c r="L7900">
        <v>0</v>
      </c>
      <c r="M7900" t="s">
        <v>17</v>
      </c>
    </row>
    <row r="7901" spans="1:13" hidden="1" x14ac:dyDescent="0.15">
      <c r="A7901" t="s">
        <v>24744</v>
      </c>
      <c r="B7901" t="s">
        <v>24745</v>
      </c>
      <c r="C7901" t="s">
        <v>24746</v>
      </c>
      <c r="D7901" t="s">
        <v>24737</v>
      </c>
      <c r="E7901">
        <v>0</v>
      </c>
      <c r="F7901" t="str">
        <f>HYPERLINK("https://github.com/geosolutions-it/smb-android/issues/108", "show")</f>
        <v>show</v>
      </c>
      <c r="G7901" t="str">
        <f>HYPERLINK("https://github.com/geosolutions-it/smb-android", "show")</f>
        <v>show</v>
      </c>
      <c r="H7901" t="str">
        <f>HYPERLINK("https://github.com/geosolutions-it/smb-android/releases", "show")</f>
        <v>show</v>
      </c>
      <c r="I7901">
        <v>1</v>
      </c>
      <c r="J7901">
        <v>0</v>
      </c>
      <c r="K7901">
        <v>1</v>
      </c>
      <c r="L7901">
        <v>0</v>
      </c>
      <c r="M7901" t="s">
        <v>64</v>
      </c>
    </row>
    <row r="7902" spans="1:13" hidden="1" x14ac:dyDescent="0.15">
      <c r="A7902" t="s">
        <v>24747</v>
      </c>
      <c r="B7902" t="s">
        <v>24748</v>
      </c>
      <c r="C7902" t="s">
        <v>24749</v>
      </c>
      <c r="D7902" t="s">
        <v>24737</v>
      </c>
      <c r="E7902">
        <v>6</v>
      </c>
      <c r="F7902" t="str">
        <f>HYPERLINK("https://github.com/material-components/material-components-android/issues/632", "show")</f>
        <v>show</v>
      </c>
      <c r="G7902" t="str">
        <f>HYPERLINK("https://github.com/material-components/material-components-android", "show")</f>
        <v>show</v>
      </c>
      <c r="H7902" t="str">
        <f>HYPERLINK("https://github.com/material-components/material-components-android/releases", "show")</f>
        <v>show</v>
      </c>
      <c r="I7902">
        <v>1</v>
      </c>
      <c r="J7902">
        <v>0</v>
      </c>
      <c r="K7902">
        <v>0</v>
      </c>
      <c r="L7902">
        <v>0</v>
      </c>
      <c r="M7902" t="s">
        <v>17</v>
      </c>
    </row>
    <row r="7903" spans="1:13" hidden="1" x14ac:dyDescent="0.15">
      <c r="A7903" t="s">
        <v>24750</v>
      </c>
      <c r="B7903" t="s">
        <v>24751</v>
      </c>
      <c r="C7903" t="s">
        <v>24752</v>
      </c>
      <c r="D7903" t="s">
        <v>24753</v>
      </c>
      <c r="E7903">
        <v>0</v>
      </c>
      <c r="F7903" t="str">
        <f>HYPERLINK("https://github.com/material-components/material-components-android/issues/631", "show")</f>
        <v>show</v>
      </c>
      <c r="G7903" t="str">
        <f>HYPERLINK("https://github.com/material-components/material-components-android", "show")</f>
        <v>show</v>
      </c>
      <c r="H7903" t="str">
        <f>HYPERLINK("https://github.com/material-components/material-components-android/releases", "show")</f>
        <v>show</v>
      </c>
      <c r="I7903">
        <v>1</v>
      </c>
      <c r="J7903">
        <v>1</v>
      </c>
      <c r="K7903">
        <v>0</v>
      </c>
      <c r="L7903">
        <v>0</v>
      </c>
      <c r="M7903" t="s">
        <v>48</v>
      </c>
    </row>
    <row r="7904" spans="1:13" hidden="1" x14ac:dyDescent="0.15">
      <c r="A7904" t="s">
        <v>24754</v>
      </c>
      <c r="B7904" t="s">
        <v>24755</v>
      </c>
      <c r="C7904" t="s">
        <v>24756</v>
      </c>
      <c r="D7904" t="s">
        <v>24753</v>
      </c>
      <c r="E7904">
        <v>11</v>
      </c>
      <c r="F7904" t="str">
        <f>HYPERLINK("https://github.com/nextcloud/android/issues/4562", "show")</f>
        <v>show</v>
      </c>
      <c r="G7904" t="str">
        <f>HYPERLINK("https://github.com/nextcloud/android", "show")</f>
        <v>show</v>
      </c>
      <c r="H7904" t="str">
        <f>HYPERLINK("https://github.com/nextcloud/android/releases", "show")</f>
        <v>show</v>
      </c>
      <c r="I7904">
        <v>1</v>
      </c>
      <c r="J7904">
        <v>0</v>
      </c>
      <c r="K7904">
        <v>1</v>
      </c>
      <c r="L7904">
        <v>0</v>
      </c>
      <c r="M7904" t="s">
        <v>64</v>
      </c>
    </row>
    <row r="7905" spans="1:13" hidden="1" x14ac:dyDescent="0.15">
      <c r="A7905" t="s">
        <v>24757</v>
      </c>
      <c r="B7905" t="s">
        <v>24758</v>
      </c>
      <c r="C7905" t="s">
        <v>24759</v>
      </c>
      <c r="D7905" t="s">
        <v>24753</v>
      </c>
      <c r="E7905">
        <v>12</v>
      </c>
      <c r="F7905" t="str">
        <f>HYPERLINK("https://github.com/nextcloud/android/issues/4561", "show")</f>
        <v>show</v>
      </c>
      <c r="G7905" t="str">
        <f>HYPERLINK("https://github.com/nextcloud/android", "show")</f>
        <v>show</v>
      </c>
      <c r="H7905" t="str">
        <f>HYPERLINK("https://github.com/nextcloud/android/releases", "show")</f>
        <v>show</v>
      </c>
      <c r="I7905">
        <v>1</v>
      </c>
      <c r="J7905">
        <v>0</v>
      </c>
      <c r="K7905">
        <v>1</v>
      </c>
      <c r="L7905">
        <v>0</v>
      </c>
      <c r="M7905" t="s">
        <v>64</v>
      </c>
    </row>
    <row r="7906" spans="1:13" hidden="1" x14ac:dyDescent="0.15">
      <c r="A7906" t="s">
        <v>24760</v>
      </c>
      <c r="B7906" t="s">
        <v>24761</v>
      </c>
      <c r="C7906" t="s">
        <v>24762</v>
      </c>
      <c r="D7906" t="s">
        <v>24753</v>
      </c>
      <c r="E7906">
        <v>244</v>
      </c>
      <c r="F7906" t="str">
        <f>HYPERLINK("https://github.com/opensrp/opensrp-client-giz-malawi/issues/116", "show")</f>
        <v>show</v>
      </c>
      <c r="G7906" t="str">
        <f>HYPERLINK("https://github.com/opensrp/opensrp-client-giz-malawi", "show")</f>
        <v>show</v>
      </c>
      <c r="H7906" t="str">
        <f>HYPERLINK("https://github.com/opensrp/opensrp-client-giz-malawi/releases", "show")</f>
        <v>show</v>
      </c>
      <c r="I7906">
        <v>1</v>
      </c>
      <c r="J7906">
        <v>0</v>
      </c>
      <c r="K7906">
        <v>0</v>
      </c>
      <c r="L7906">
        <v>0</v>
      </c>
      <c r="M7906" t="s">
        <v>17</v>
      </c>
    </row>
    <row r="7907" spans="1:13" hidden="1" x14ac:dyDescent="0.15">
      <c r="A7907" t="s">
        <v>24763</v>
      </c>
      <c r="B7907" t="s">
        <v>24764</v>
      </c>
      <c r="C7907" t="s">
        <v>24765</v>
      </c>
      <c r="D7907" t="s">
        <v>24753</v>
      </c>
      <c r="E7907">
        <v>0</v>
      </c>
      <c r="F7907" t="str">
        <f>HYPERLINK("https://github.com/square/okhttp/issues/5497", "show")</f>
        <v>show</v>
      </c>
      <c r="G7907" t="str">
        <f>HYPERLINK("https://github.com/square/okhttp", "show")</f>
        <v>show</v>
      </c>
      <c r="H7907" t="str">
        <f>HYPERLINK("https://github.com/square/okhttp/releases", "show")</f>
        <v>show</v>
      </c>
      <c r="I7907">
        <v>0</v>
      </c>
      <c r="J7907">
        <v>0</v>
      </c>
      <c r="K7907">
        <v>0</v>
      </c>
      <c r="L7907">
        <v>1</v>
      </c>
      <c r="M7907" t="s">
        <v>581</v>
      </c>
    </row>
    <row r="7908" spans="1:13" hidden="1" x14ac:dyDescent="0.15">
      <c r="A7908" t="s">
        <v>24766</v>
      </c>
      <c r="B7908" t="s">
        <v>24767</v>
      </c>
      <c r="C7908" t="s">
        <v>24768</v>
      </c>
      <c r="D7908" t="s">
        <v>24753</v>
      </c>
      <c r="E7908">
        <v>201</v>
      </c>
      <c r="F7908" t="str">
        <f>HYPERLINK("https://github.com/nextcloud/android/issues/4556", "show")</f>
        <v>show</v>
      </c>
      <c r="G7908" t="str">
        <f>HYPERLINK("https://github.com/nextcloud/android", "show")</f>
        <v>show</v>
      </c>
      <c r="H7908" t="str">
        <f>HYPERLINK("https://github.com/nextcloud/android/releases", "show")</f>
        <v>show</v>
      </c>
      <c r="I7908">
        <v>1</v>
      </c>
      <c r="J7908">
        <v>1</v>
      </c>
      <c r="K7908">
        <v>1</v>
      </c>
      <c r="L7908">
        <v>0</v>
      </c>
      <c r="M7908" t="s">
        <v>59</v>
      </c>
    </row>
    <row r="7909" spans="1:13" hidden="1" x14ac:dyDescent="0.15">
      <c r="A7909" t="s">
        <v>24769</v>
      </c>
      <c r="B7909" t="s">
        <v>24770</v>
      </c>
      <c r="C7909" t="s">
        <v>24771</v>
      </c>
      <c r="D7909" t="s">
        <v>24772</v>
      </c>
      <c r="E7909">
        <v>0</v>
      </c>
      <c r="F7909" t="str">
        <f>HYPERLINK("https://github.com/ponewheel/android-ponewheel/issues/98", "show")</f>
        <v>show</v>
      </c>
      <c r="G7909" t="str">
        <f>HYPERLINK("https://github.com/ponewheel/android-ponewheel", "show")</f>
        <v>show</v>
      </c>
      <c r="H7909" t="str">
        <f>HYPERLINK("https://github.com/ponewheel/android-ponewheel/releases", "show")</f>
        <v>show</v>
      </c>
      <c r="I7909">
        <v>0</v>
      </c>
      <c r="J7909">
        <v>0</v>
      </c>
      <c r="K7909">
        <v>1</v>
      </c>
      <c r="L7909">
        <v>0</v>
      </c>
      <c r="M7909" t="s">
        <v>122</v>
      </c>
    </row>
    <row r="7910" spans="1:13" hidden="1" x14ac:dyDescent="0.15">
      <c r="A7910" t="s">
        <v>24773</v>
      </c>
      <c r="B7910" t="s">
        <v>24774</v>
      </c>
      <c r="C7910" t="s">
        <v>24775</v>
      </c>
      <c r="D7910" t="s">
        <v>24776</v>
      </c>
      <c r="E7910">
        <v>42</v>
      </c>
      <c r="F7910" t="str">
        <f>HYPERLINK("https://github.com/nextcloud/android/issues/4553", "show")</f>
        <v>show</v>
      </c>
      <c r="G7910" t="str">
        <f>HYPERLINK("https://github.com/nextcloud/android", "show")</f>
        <v>show</v>
      </c>
      <c r="H7910" t="str">
        <f>HYPERLINK("https://github.com/nextcloud/android/releases", "show")</f>
        <v>show</v>
      </c>
      <c r="I7910">
        <v>1</v>
      </c>
      <c r="J7910">
        <v>0</v>
      </c>
      <c r="K7910">
        <v>1</v>
      </c>
      <c r="L7910">
        <v>0</v>
      </c>
      <c r="M7910" t="s">
        <v>64</v>
      </c>
    </row>
    <row r="7911" spans="1:13" hidden="1" x14ac:dyDescent="0.15">
      <c r="A7911" t="s">
        <v>24777</v>
      </c>
      <c r="B7911" t="s">
        <v>24778</v>
      </c>
      <c r="C7911" t="s">
        <v>24779</v>
      </c>
      <c r="D7911" t="s">
        <v>24776</v>
      </c>
      <c r="E7911">
        <v>4</v>
      </c>
      <c r="F7911" t="str">
        <f>HYPERLINK("https://github.com/TeamNewPipe/NewPipe/issues/2663", "show")</f>
        <v>show</v>
      </c>
      <c r="G7911" t="str">
        <f>HYPERLINK("https://github.com/TeamNewPipe/NewPipe", "show")</f>
        <v>show</v>
      </c>
      <c r="H7911" t="str">
        <f>HYPERLINK("https://github.com/TeamNewPipe/NewPipe/releases", "show")</f>
        <v>show</v>
      </c>
      <c r="I7911">
        <v>1</v>
      </c>
      <c r="J7911">
        <v>1</v>
      </c>
      <c r="K7911">
        <v>1</v>
      </c>
      <c r="L7911">
        <v>0</v>
      </c>
      <c r="M7911" t="s">
        <v>59</v>
      </c>
    </row>
    <row r="7912" spans="1:13" hidden="1" x14ac:dyDescent="0.15">
      <c r="A7912" t="s">
        <v>24780</v>
      </c>
      <c r="B7912" t="s">
        <v>24781</v>
      </c>
      <c r="C7912" t="s">
        <v>24782</v>
      </c>
      <c r="D7912" t="s">
        <v>24776</v>
      </c>
      <c r="E7912">
        <v>167</v>
      </c>
      <c r="F7912" t="str">
        <f>HYPERLINK("https://github.com/defold/extension-iap/issues/3", "show")</f>
        <v>show</v>
      </c>
      <c r="G7912" t="str">
        <f>HYPERLINK("https://github.com/defold/extension-iap", "show")</f>
        <v>show</v>
      </c>
      <c r="H7912" t="str">
        <f>HYPERLINK("https://github.com/defold/extension-iap/releases", "show")</f>
        <v>show</v>
      </c>
      <c r="I7912">
        <v>1</v>
      </c>
      <c r="J7912">
        <v>0</v>
      </c>
      <c r="K7912">
        <v>1</v>
      </c>
      <c r="L7912">
        <v>0</v>
      </c>
      <c r="M7912" t="s">
        <v>64</v>
      </c>
    </row>
    <row r="7913" spans="1:13" hidden="1" x14ac:dyDescent="0.15">
      <c r="A7913" t="s">
        <v>24783</v>
      </c>
      <c r="B7913" t="s">
        <v>24784</v>
      </c>
      <c r="C7913" t="s">
        <v>12185</v>
      </c>
      <c r="D7913" t="s">
        <v>24776</v>
      </c>
      <c r="E7913">
        <v>8</v>
      </c>
      <c r="F7913" t="str">
        <f>HYPERLINK("https://github.com/nextcloud/android/issues/4549", "show")</f>
        <v>show</v>
      </c>
      <c r="G7913" t="str">
        <f>HYPERLINK("https://github.com/nextcloud/android", "show")</f>
        <v>show</v>
      </c>
      <c r="H7913" t="str">
        <f>HYPERLINK("https://github.com/nextcloud/android/releases", "show")</f>
        <v>show</v>
      </c>
      <c r="I7913">
        <v>0</v>
      </c>
      <c r="J7913">
        <v>0</v>
      </c>
      <c r="K7913">
        <v>0</v>
      </c>
      <c r="L7913">
        <v>0</v>
      </c>
      <c r="M7913" t="s">
        <v>43</v>
      </c>
    </row>
    <row r="7914" spans="1:13" x14ac:dyDescent="0.15">
      <c r="A7914" t="s">
        <v>24785</v>
      </c>
      <c r="B7914" t="s">
        <v>24786</v>
      </c>
      <c r="C7914" t="s">
        <v>24787</v>
      </c>
      <c r="D7914" t="s">
        <v>24788</v>
      </c>
      <c r="E7914">
        <v>2</v>
      </c>
      <c r="F7914" t="str">
        <f>HYPERLINK("https://github.com/Hack1nFzyz/Hack1nFzyz/issues/3", "show")</f>
        <v>show</v>
      </c>
      <c r="G7914" t="str">
        <f>HYPERLINK("https://github.com/Hack1nFzyz/Hack1nFzyz", "show")</f>
        <v>show</v>
      </c>
      <c r="H7914" t="str">
        <f>HYPERLINK("https://github.com/Hack1nFzyz/Hack1nFzyz/releases", "show")</f>
        <v>show</v>
      </c>
      <c r="I7914">
        <v>0</v>
      </c>
      <c r="J7914">
        <v>1</v>
      </c>
      <c r="K7914">
        <v>0</v>
      </c>
      <c r="L7914">
        <v>0</v>
      </c>
      <c r="M7914" t="s">
        <v>139</v>
      </c>
    </row>
    <row r="7915" spans="1:13" hidden="1" x14ac:dyDescent="0.15">
      <c r="A7915" t="s">
        <v>24789</v>
      </c>
      <c r="B7915" t="s">
        <v>24790</v>
      </c>
      <c r="C7915" t="s">
        <v>24791</v>
      </c>
      <c r="D7915" t="s">
        <v>24788</v>
      </c>
      <c r="E7915">
        <v>134</v>
      </c>
      <c r="F7915" t="str">
        <f>HYPERLINK("https://github.com/greenrobot/EventBus/issues/608", "show")</f>
        <v>show</v>
      </c>
      <c r="G7915" t="str">
        <f>HYPERLINK("https://github.com/greenrobot/EventBus", "show")</f>
        <v>show</v>
      </c>
      <c r="H7915" t="str">
        <f>HYPERLINK("https://github.com/greenrobot/EventBus/releases", "show")</f>
        <v>show</v>
      </c>
      <c r="I7915">
        <v>1</v>
      </c>
      <c r="J7915">
        <v>0</v>
      </c>
      <c r="K7915">
        <v>1</v>
      </c>
      <c r="L7915">
        <v>0</v>
      </c>
      <c r="M7915" t="s">
        <v>64</v>
      </c>
    </row>
    <row r="7916" spans="1:13" hidden="1" x14ac:dyDescent="0.15">
      <c r="A7916" t="s">
        <v>24792</v>
      </c>
      <c r="B7916" t="s">
        <v>24793</v>
      </c>
      <c r="C7916" t="s">
        <v>24794</v>
      </c>
      <c r="D7916" t="s">
        <v>24788</v>
      </c>
      <c r="E7916">
        <v>2</v>
      </c>
      <c r="F7916" t="str">
        <f>HYPERLINK("https://github.com/material-components/material-components-android/issues/620", "show")</f>
        <v>show</v>
      </c>
      <c r="G7916" t="str">
        <f>HYPERLINK("https://github.com/material-components/material-components-android", "show")</f>
        <v>show</v>
      </c>
      <c r="H7916" t="str">
        <f>HYPERLINK("https://github.com/material-components/material-components-android/releases", "show")</f>
        <v>show</v>
      </c>
      <c r="I7916">
        <v>1</v>
      </c>
      <c r="J7916">
        <v>0</v>
      </c>
      <c r="K7916">
        <v>0</v>
      </c>
      <c r="L7916">
        <v>0</v>
      </c>
      <c r="M7916" t="s">
        <v>17</v>
      </c>
    </row>
    <row r="7917" spans="1:13" hidden="1" x14ac:dyDescent="0.15">
      <c r="A7917" t="s">
        <v>24795</v>
      </c>
      <c r="B7917" t="s">
        <v>24796</v>
      </c>
      <c r="C7917" t="s">
        <v>24797</v>
      </c>
      <c r="D7917" t="s">
        <v>24788</v>
      </c>
      <c r="E7917">
        <v>29</v>
      </c>
      <c r="F7917" t="str">
        <f>HYPERLINK("https://github.com/privacyidea/privacyidea-authenticator/issues/76", "show")</f>
        <v>show</v>
      </c>
      <c r="G7917" t="str">
        <f>HYPERLINK("https://github.com/privacyidea/privacyidea-authenticator", "show")</f>
        <v>show</v>
      </c>
      <c r="H7917" t="str">
        <f>HYPERLINK("https://github.com/privacyidea/privacyidea-authenticator/releases", "show")</f>
        <v>show</v>
      </c>
      <c r="I7917">
        <v>1</v>
      </c>
      <c r="J7917">
        <v>0</v>
      </c>
      <c r="K7917">
        <v>0</v>
      </c>
      <c r="L7917">
        <v>0</v>
      </c>
      <c r="M7917" t="s">
        <v>17</v>
      </c>
    </row>
    <row r="7918" spans="1:13" hidden="1" x14ac:dyDescent="0.15">
      <c r="A7918" t="s">
        <v>24798</v>
      </c>
      <c r="B7918" t="s">
        <v>24799</v>
      </c>
      <c r="C7918" t="s">
        <v>24800</v>
      </c>
      <c r="D7918" t="s">
        <v>24788</v>
      </c>
      <c r="E7918">
        <v>4</v>
      </c>
      <c r="F7918" t="str">
        <f>HYPERLINK("https://github.com/material-components/material-components-android/issues/619", "show")</f>
        <v>show</v>
      </c>
      <c r="G7918" t="str">
        <f>HYPERLINK("https://github.com/material-components/material-components-android", "show")</f>
        <v>show</v>
      </c>
      <c r="H7918" t="str">
        <f>HYPERLINK("https://github.com/material-components/material-components-android/releases", "show")</f>
        <v>show</v>
      </c>
      <c r="I7918">
        <v>0</v>
      </c>
      <c r="J7918">
        <v>0</v>
      </c>
      <c r="K7918">
        <v>1</v>
      </c>
      <c r="L7918">
        <v>0</v>
      </c>
      <c r="M7918" t="s">
        <v>122</v>
      </c>
    </row>
    <row r="7919" spans="1:13" hidden="1" x14ac:dyDescent="0.15">
      <c r="A7919" t="s">
        <v>24801</v>
      </c>
      <c r="B7919" t="s">
        <v>24802</v>
      </c>
      <c r="C7919" t="s">
        <v>24803</v>
      </c>
      <c r="D7919" t="s">
        <v>24804</v>
      </c>
      <c r="E7919">
        <v>51</v>
      </c>
      <c r="F7919" t="str">
        <f>HYPERLINK("https://github.com/material-components/material-components-android/issues/618", "show")</f>
        <v>show</v>
      </c>
      <c r="G7919" t="str">
        <f>HYPERLINK("https://github.com/material-components/material-components-android", "show")</f>
        <v>show</v>
      </c>
      <c r="H7919" t="str">
        <f>HYPERLINK("https://github.com/material-components/material-components-android/releases", "show")</f>
        <v>show</v>
      </c>
      <c r="I7919">
        <v>0</v>
      </c>
      <c r="J7919">
        <v>0</v>
      </c>
      <c r="K7919">
        <v>1</v>
      </c>
      <c r="L7919">
        <v>0</v>
      </c>
      <c r="M7919" t="s">
        <v>122</v>
      </c>
    </row>
    <row r="7920" spans="1:13" hidden="1" x14ac:dyDescent="0.15">
      <c r="A7920" t="s">
        <v>24805</v>
      </c>
      <c r="B7920" t="s">
        <v>24806</v>
      </c>
      <c r="C7920" t="s">
        <v>24807</v>
      </c>
      <c r="D7920" t="s">
        <v>24808</v>
      </c>
      <c r="E7920">
        <v>11</v>
      </c>
      <c r="F7920" t="str">
        <f>HYPERLINK("https://github.com/material-components/material-components-android/issues/616", "show")</f>
        <v>show</v>
      </c>
      <c r="G7920" t="str">
        <f>HYPERLINK("https://github.com/material-components/material-components-android", "show")</f>
        <v>show</v>
      </c>
      <c r="H7920" t="str">
        <f>HYPERLINK("https://github.com/material-components/material-components-android/releases", "show")</f>
        <v>show</v>
      </c>
      <c r="I7920">
        <v>0</v>
      </c>
      <c r="J7920">
        <v>0</v>
      </c>
      <c r="K7920">
        <v>0</v>
      </c>
      <c r="L7920">
        <v>0</v>
      </c>
      <c r="M7920" t="s">
        <v>43</v>
      </c>
    </row>
    <row r="7921" spans="1:13" hidden="1" x14ac:dyDescent="0.15">
      <c r="A7921" t="s">
        <v>24809</v>
      </c>
      <c r="B7921" t="s">
        <v>24810</v>
      </c>
      <c r="D7921" t="s">
        <v>24808</v>
      </c>
      <c r="E7921">
        <v>0</v>
      </c>
      <c r="F7921" t="str">
        <f>HYPERLINK("https://github.com/shiftlyapp/Shiftly/issues/65", "show")</f>
        <v>show</v>
      </c>
      <c r="G7921" t="str">
        <f>HYPERLINK("https://github.com/shiftlyapp/Shiftly", "show")</f>
        <v>show</v>
      </c>
      <c r="H7921" t="str">
        <f>HYPERLINK("https://github.com/shiftlyapp/Shiftly/releases", "show")</f>
        <v>show</v>
      </c>
      <c r="I7921">
        <v>1</v>
      </c>
      <c r="J7921">
        <v>0</v>
      </c>
      <c r="K7921">
        <v>0</v>
      </c>
      <c r="L7921">
        <v>0</v>
      </c>
      <c r="M7921" t="s">
        <v>17</v>
      </c>
    </row>
    <row r="7922" spans="1:13" hidden="1" x14ac:dyDescent="0.15">
      <c r="A7922" t="s">
        <v>24811</v>
      </c>
      <c r="B7922" t="s">
        <v>24812</v>
      </c>
      <c r="C7922" t="s">
        <v>24813</v>
      </c>
      <c r="D7922" t="s">
        <v>24814</v>
      </c>
      <c r="E7922">
        <v>42</v>
      </c>
      <c r="F7922" t="str">
        <f>HYPERLINK("https://github.com/nextcloud/android/issues/4534", "show")</f>
        <v>show</v>
      </c>
      <c r="G7922" t="str">
        <f>HYPERLINK("https://github.com/nextcloud/android", "show")</f>
        <v>show</v>
      </c>
      <c r="H7922" t="str">
        <f>HYPERLINK("https://github.com/nextcloud/android/releases", "show")</f>
        <v>show</v>
      </c>
      <c r="I7922">
        <v>0</v>
      </c>
      <c r="J7922">
        <v>1</v>
      </c>
      <c r="K7922">
        <v>1</v>
      </c>
      <c r="L7922">
        <v>0</v>
      </c>
      <c r="M7922" t="s">
        <v>699</v>
      </c>
    </row>
    <row r="7923" spans="1:13" hidden="1" x14ac:dyDescent="0.15">
      <c r="A7923" t="s">
        <v>24815</v>
      </c>
      <c r="B7923" t="s">
        <v>24816</v>
      </c>
      <c r="C7923" t="s">
        <v>12185</v>
      </c>
      <c r="D7923" t="s">
        <v>24814</v>
      </c>
      <c r="E7923">
        <v>42</v>
      </c>
      <c r="F7923" t="str">
        <f>HYPERLINK("https://github.com/nextcloud/android/issues/4531", "show")</f>
        <v>show</v>
      </c>
      <c r="G7923" t="str">
        <f>HYPERLINK("https://github.com/nextcloud/android", "show")</f>
        <v>show</v>
      </c>
      <c r="H7923" t="str">
        <f>HYPERLINK("https://github.com/nextcloud/android/releases", "show")</f>
        <v>show</v>
      </c>
      <c r="I7923">
        <v>0</v>
      </c>
      <c r="J7923">
        <v>0</v>
      </c>
      <c r="K7923">
        <v>1</v>
      </c>
      <c r="L7923">
        <v>0</v>
      </c>
      <c r="M7923" t="s">
        <v>122</v>
      </c>
    </row>
    <row r="7924" spans="1:13" hidden="1" x14ac:dyDescent="0.15">
      <c r="A7924" t="s">
        <v>24817</v>
      </c>
      <c r="B7924" t="s">
        <v>14605</v>
      </c>
      <c r="C7924" t="s">
        <v>24818</v>
      </c>
      <c r="D7924" t="s">
        <v>24819</v>
      </c>
      <c r="E7924">
        <v>19</v>
      </c>
      <c r="F7924" t="str">
        <f>HYPERLINK("https://github.com/nextcloud/android/issues/4525", "show")</f>
        <v>show</v>
      </c>
      <c r="G7924" t="str">
        <f>HYPERLINK("https://github.com/nextcloud/android", "show")</f>
        <v>show</v>
      </c>
      <c r="H7924" t="str">
        <f>HYPERLINK("https://github.com/nextcloud/android/releases", "show")</f>
        <v>show</v>
      </c>
      <c r="I7924">
        <v>1</v>
      </c>
      <c r="J7924">
        <v>0</v>
      </c>
      <c r="K7924">
        <v>1</v>
      </c>
      <c r="L7924">
        <v>0</v>
      </c>
      <c r="M7924" t="s">
        <v>64</v>
      </c>
    </row>
    <row r="7925" spans="1:13" hidden="1" x14ac:dyDescent="0.15">
      <c r="A7925" t="s">
        <v>24820</v>
      </c>
      <c r="B7925" t="s">
        <v>24821</v>
      </c>
      <c r="C7925" t="s">
        <v>24822</v>
      </c>
      <c r="D7925" t="s">
        <v>24819</v>
      </c>
      <c r="E7925">
        <v>153</v>
      </c>
      <c r="F7925" t="str">
        <f>HYPERLINK("https://github.com/amplitude/Amplitude-Android/issues/201", "show")</f>
        <v>show</v>
      </c>
      <c r="G7925" t="str">
        <f>HYPERLINK("https://github.com/amplitude/Amplitude-Android", "show")</f>
        <v>show</v>
      </c>
      <c r="H7925" t="str">
        <f>HYPERLINK("https://github.com/amplitude/Amplitude-Android/releases", "show")</f>
        <v>show</v>
      </c>
      <c r="I7925">
        <v>0</v>
      </c>
      <c r="J7925">
        <v>0</v>
      </c>
      <c r="K7925">
        <v>1</v>
      </c>
      <c r="L7925">
        <v>0</v>
      </c>
      <c r="M7925" t="s">
        <v>122</v>
      </c>
    </row>
    <row r="7926" spans="1:13" hidden="1" x14ac:dyDescent="0.15">
      <c r="A7926" t="s">
        <v>24823</v>
      </c>
      <c r="B7926" t="s">
        <v>24824</v>
      </c>
      <c r="C7926" t="s">
        <v>24825</v>
      </c>
      <c r="D7926" t="s">
        <v>24819</v>
      </c>
      <c r="E7926">
        <v>33</v>
      </c>
      <c r="F7926" t="str">
        <f>HYPERLINK("https://github.com/privacyidea/privacyidea-authenticator/issues/75", "show")</f>
        <v>show</v>
      </c>
      <c r="G7926" t="str">
        <f>HYPERLINK("https://github.com/privacyidea/privacyidea-authenticator", "show")</f>
        <v>show</v>
      </c>
      <c r="H7926" t="str">
        <f>HYPERLINK("https://github.com/privacyidea/privacyidea-authenticator/releases", "show")</f>
        <v>show</v>
      </c>
      <c r="I7926">
        <v>1</v>
      </c>
      <c r="J7926">
        <v>0</v>
      </c>
      <c r="K7926">
        <v>0</v>
      </c>
      <c r="L7926">
        <v>0</v>
      </c>
      <c r="M7926" t="s">
        <v>17</v>
      </c>
    </row>
    <row r="7927" spans="1:13" hidden="1" x14ac:dyDescent="0.15">
      <c r="A7927" t="s">
        <v>24826</v>
      </c>
      <c r="B7927" t="s">
        <v>24827</v>
      </c>
      <c r="C7927" t="s">
        <v>24828</v>
      </c>
      <c r="D7927" t="s">
        <v>24819</v>
      </c>
      <c r="E7927">
        <v>59</v>
      </c>
      <c r="F7927" t="str">
        <f>HYPERLINK("https://github.com/nextcloud/android/issues/4524", "show")</f>
        <v>show</v>
      </c>
      <c r="G7927" t="str">
        <f>HYPERLINK("https://github.com/nextcloud/android", "show")</f>
        <v>show</v>
      </c>
      <c r="H7927" t="str">
        <f>HYPERLINK("https://github.com/nextcloud/android/releases", "show")</f>
        <v>show</v>
      </c>
      <c r="I7927">
        <v>1</v>
      </c>
      <c r="J7927">
        <v>0</v>
      </c>
      <c r="K7927">
        <v>1</v>
      </c>
      <c r="L7927">
        <v>0</v>
      </c>
      <c r="M7927" t="s">
        <v>64</v>
      </c>
    </row>
    <row r="7928" spans="1:13" hidden="1" x14ac:dyDescent="0.15">
      <c r="A7928" t="s">
        <v>24829</v>
      </c>
      <c r="B7928" t="s">
        <v>12078</v>
      </c>
      <c r="C7928" t="s">
        <v>24830</v>
      </c>
      <c r="D7928" t="s">
        <v>24831</v>
      </c>
      <c r="E7928">
        <v>20</v>
      </c>
      <c r="F7928" t="str">
        <f>HYPERLINK("https://github.com/nextcloud/android/issues/4521", "show")</f>
        <v>show</v>
      </c>
      <c r="G7928" t="str">
        <f>HYPERLINK("https://github.com/nextcloud/android", "show")</f>
        <v>show</v>
      </c>
      <c r="H7928" t="str">
        <f>HYPERLINK("https://github.com/nextcloud/android/releases", "show")</f>
        <v>show</v>
      </c>
      <c r="I7928">
        <v>0</v>
      </c>
      <c r="J7928">
        <v>0</v>
      </c>
      <c r="K7928">
        <v>1</v>
      </c>
      <c r="L7928">
        <v>0</v>
      </c>
      <c r="M7928" t="s">
        <v>122</v>
      </c>
    </row>
    <row r="7929" spans="1:13" hidden="1" x14ac:dyDescent="0.15">
      <c r="A7929" t="s">
        <v>24832</v>
      </c>
      <c r="B7929" t="s">
        <v>24833</v>
      </c>
      <c r="C7929" t="s">
        <v>24834</v>
      </c>
      <c r="D7929" t="s">
        <v>24831</v>
      </c>
      <c r="E7929">
        <v>48</v>
      </c>
      <c r="F7929" t="str">
        <f>HYPERLINK("https://github.com/nextcloud/android/issues/4520", "show")</f>
        <v>show</v>
      </c>
      <c r="G7929" t="str">
        <f>HYPERLINK("https://github.com/nextcloud/android", "show")</f>
        <v>show</v>
      </c>
      <c r="H7929" t="str">
        <f>HYPERLINK("https://github.com/nextcloud/android/releases", "show")</f>
        <v>show</v>
      </c>
      <c r="I7929">
        <v>1</v>
      </c>
      <c r="J7929">
        <v>0</v>
      </c>
      <c r="K7929">
        <v>1</v>
      </c>
      <c r="L7929">
        <v>0</v>
      </c>
      <c r="M7929" t="s">
        <v>64</v>
      </c>
    </row>
    <row r="7930" spans="1:13" hidden="1" x14ac:dyDescent="0.15">
      <c r="A7930" t="s">
        <v>24835</v>
      </c>
      <c r="B7930" t="s">
        <v>24836</v>
      </c>
      <c r="C7930" t="s">
        <v>12185</v>
      </c>
      <c r="D7930" t="s">
        <v>24831</v>
      </c>
      <c r="E7930">
        <v>48</v>
      </c>
      <c r="F7930" t="str">
        <f>HYPERLINK("https://github.com/nextcloud/android/issues/4519", "show")</f>
        <v>show</v>
      </c>
      <c r="G7930" t="str">
        <f>HYPERLINK("https://github.com/nextcloud/android", "show")</f>
        <v>show</v>
      </c>
      <c r="H7930" t="str">
        <f>HYPERLINK("https://github.com/nextcloud/android/releases", "show")</f>
        <v>show</v>
      </c>
      <c r="I7930">
        <v>1</v>
      </c>
      <c r="J7930">
        <v>0</v>
      </c>
      <c r="K7930">
        <v>1</v>
      </c>
      <c r="L7930">
        <v>0</v>
      </c>
      <c r="M7930" t="s">
        <v>64</v>
      </c>
    </row>
    <row r="7931" spans="1:13" hidden="1" x14ac:dyDescent="0.15">
      <c r="A7931" t="s">
        <v>24837</v>
      </c>
      <c r="B7931" t="s">
        <v>24838</v>
      </c>
      <c r="C7931" t="s">
        <v>24839</v>
      </c>
      <c r="D7931" t="s">
        <v>24831</v>
      </c>
      <c r="E7931">
        <v>50</v>
      </c>
      <c r="F7931" t="str">
        <f>HYPERLINK("https://github.com/innoveit/react-native-ble-manager/issues/553", "show")</f>
        <v>show</v>
      </c>
      <c r="G7931" t="str">
        <f>HYPERLINK("https://github.com/innoveit/react-native-ble-manager", "show")</f>
        <v>show</v>
      </c>
      <c r="H7931" t="str">
        <f>HYPERLINK("https://github.com/innoveit/react-native-ble-manager/releases", "show")</f>
        <v>show</v>
      </c>
      <c r="I7931">
        <v>0</v>
      </c>
      <c r="J7931">
        <v>1</v>
      </c>
      <c r="K7931">
        <v>1</v>
      </c>
      <c r="L7931">
        <v>0</v>
      </c>
      <c r="M7931" t="s">
        <v>699</v>
      </c>
    </row>
    <row r="7932" spans="1:13" hidden="1" x14ac:dyDescent="0.15">
      <c r="A7932" t="s">
        <v>24840</v>
      </c>
      <c r="B7932" t="s">
        <v>24841</v>
      </c>
      <c r="C7932" t="s">
        <v>24842</v>
      </c>
      <c r="D7932" t="s">
        <v>24831</v>
      </c>
      <c r="E7932">
        <v>0</v>
      </c>
      <c r="F7932" t="str">
        <f>HYPERLINK("https://github.com/oliexdev/openScale/issues/497", "show")</f>
        <v>show</v>
      </c>
      <c r="G7932" t="str">
        <f>HYPERLINK("https://github.com/oliexdev/openScale", "show")</f>
        <v>show</v>
      </c>
      <c r="H7932" t="str">
        <f>HYPERLINK("https://github.com/oliexdev/openScale/releases", "show")</f>
        <v>show</v>
      </c>
      <c r="I7932">
        <v>0</v>
      </c>
      <c r="J7932">
        <v>1</v>
      </c>
      <c r="K7932">
        <v>1</v>
      </c>
      <c r="L7932">
        <v>1</v>
      </c>
      <c r="M7932" t="s">
        <v>427</v>
      </c>
    </row>
    <row r="7933" spans="1:13" hidden="1" x14ac:dyDescent="0.15">
      <c r="A7933" t="s">
        <v>24843</v>
      </c>
      <c r="B7933" t="s">
        <v>24844</v>
      </c>
      <c r="C7933" t="s">
        <v>24845</v>
      </c>
      <c r="D7933" t="s">
        <v>24846</v>
      </c>
      <c r="E7933">
        <v>1</v>
      </c>
      <c r="F7933" t="str">
        <f>HYPERLINK("https://github.com/material-components/material-components-android/issues/608", "show")</f>
        <v>show</v>
      </c>
      <c r="G7933" t="str">
        <f>HYPERLINK("https://github.com/material-components/material-components-android", "show")</f>
        <v>show</v>
      </c>
      <c r="H7933" t="str">
        <f>HYPERLINK("https://github.com/material-components/material-components-android/releases", "show")</f>
        <v>show</v>
      </c>
      <c r="I7933">
        <v>1</v>
      </c>
      <c r="J7933">
        <v>1</v>
      </c>
      <c r="K7933">
        <v>0</v>
      </c>
      <c r="L7933">
        <v>0</v>
      </c>
      <c r="M7933" t="s">
        <v>48</v>
      </c>
    </row>
    <row r="7934" spans="1:13" hidden="1" x14ac:dyDescent="0.15">
      <c r="A7934" t="s">
        <v>24847</v>
      </c>
      <c r="B7934" t="s">
        <v>24848</v>
      </c>
      <c r="C7934" t="s">
        <v>24849</v>
      </c>
      <c r="D7934" t="s">
        <v>24846</v>
      </c>
      <c r="E7934">
        <v>244</v>
      </c>
      <c r="F7934" t="str">
        <f>HYPERLINK("https://github.com/AnaelMobilia/NextINpact-Unofficial/issues/250", "show")</f>
        <v>show</v>
      </c>
      <c r="G7934" t="str">
        <f>HYPERLINK("https://github.com/AnaelMobilia/NextINpact-Unofficial", "show")</f>
        <v>show</v>
      </c>
      <c r="H7934" t="str">
        <f>HYPERLINK("https://github.com/AnaelMobilia/NextINpact-Unofficial/releases", "show")</f>
        <v>show</v>
      </c>
      <c r="I7934">
        <v>0</v>
      </c>
      <c r="J7934">
        <v>0</v>
      </c>
      <c r="K7934">
        <v>0</v>
      </c>
      <c r="L7934">
        <v>0</v>
      </c>
      <c r="M7934" t="s">
        <v>43</v>
      </c>
    </row>
    <row r="7935" spans="1:13" hidden="1" x14ac:dyDescent="0.15">
      <c r="A7935" t="s">
        <v>24850</v>
      </c>
      <c r="B7935" t="s">
        <v>24851</v>
      </c>
      <c r="C7935" t="s">
        <v>24852</v>
      </c>
      <c r="D7935" t="s">
        <v>24846</v>
      </c>
      <c r="E7935">
        <v>85</v>
      </c>
      <c r="F7935" t="str">
        <f>HYPERLINK("https://github.com/raphw/byte-buddy/issues/732", "show")</f>
        <v>show</v>
      </c>
      <c r="G7935" t="str">
        <f>HYPERLINK("https://github.com/raphw/byte-buddy", "show")</f>
        <v>show</v>
      </c>
      <c r="H7935" t="str">
        <f>HYPERLINK("https://github.com/raphw/byte-buddy/releases", "show")</f>
        <v>show</v>
      </c>
      <c r="I7935">
        <v>1</v>
      </c>
      <c r="J7935">
        <v>0</v>
      </c>
      <c r="K7935">
        <v>0</v>
      </c>
      <c r="L7935">
        <v>0</v>
      </c>
      <c r="M7935" t="s">
        <v>17</v>
      </c>
    </row>
    <row r="7936" spans="1:13" hidden="1" x14ac:dyDescent="0.15">
      <c r="A7936" t="s">
        <v>24853</v>
      </c>
      <c r="B7936" t="s">
        <v>24854</v>
      </c>
      <c r="C7936" t="s">
        <v>24855</v>
      </c>
      <c r="D7936" t="s">
        <v>24846</v>
      </c>
      <c r="E7936">
        <v>0</v>
      </c>
      <c r="F7936" t="str">
        <f>HYPERLINK("https://github.com/material-components/material-components-android/issues/605", "show")</f>
        <v>show</v>
      </c>
      <c r="G7936" t="str">
        <f>HYPERLINK("https://github.com/material-components/material-components-android", "show")</f>
        <v>show</v>
      </c>
      <c r="H7936" t="str">
        <f>HYPERLINK("https://github.com/material-components/material-components-android/releases", "show")</f>
        <v>show</v>
      </c>
      <c r="I7936">
        <v>1</v>
      </c>
      <c r="J7936">
        <v>0</v>
      </c>
      <c r="K7936">
        <v>0</v>
      </c>
      <c r="L7936">
        <v>0</v>
      </c>
      <c r="M7936" t="s">
        <v>17</v>
      </c>
    </row>
    <row r="7937" spans="1:13" hidden="1" x14ac:dyDescent="0.15">
      <c r="A7937" t="s">
        <v>24856</v>
      </c>
      <c r="B7937" t="s">
        <v>24857</v>
      </c>
      <c r="C7937" t="s">
        <v>24858</v>
      </c>
      <c r="D7937" t="s">
        <v>24846</v>
      </c>
      <c r="E7937">
        <v>220</v>
      </c>
      <c r="F7937" t="str">
        <f>HYPERLINK("https://github.com/lfuelling/lrkFM/issues/38", "show")</f>
        <v>show</v>
      </c>
      <c r="G7937" t="str">
        <f>HYPERLINK("https://github.com/lfuelling/lrkFM", "show")</f>
        <v>show</v>
      </c>
      <c r="H7937" t="str">
        <f>HYPERLINK("https://github.com/lfuelling/lrkFM/releases", "show")</f>
        <v>show</v>
      </c>
      <c r="I7937">
        <v>1</v>
      </c>
      <c r="J7937">
        <v>0</v>
      </c>
      <c r="K7937">
        <v>0</v>
      </c>
      <c r="L7937">
        <v>0</v>
      </c>
      <c r="M7937" t="s">
        <v>17</v>
      </c>
    </row>
    <row r="7938" spans="1:13" hidden="1" x14ac:dyDescent="0.15">
      <c r="A7938" t="s">
        <v>24859</v>
      </c>
      <c r="B7938" t="s">
        <v>24860</v>
      </c>
      <c r="C7938" t="s">
        <v>24861</v>
      </c>
      <c r="D7938" t="s">
        <v>24862</v>
      </c>
      <c r="E7938">
        <v>23</v>
      </c>
      <c r="F7938" t="str">
        <f>HYPERLINK("https://github.com/nextcloud/android/issues/4517", "show")</f>
        <v>show</v>
      </c>
      <c r="G7938" t="str">
        <f>HYPERLINK("https://github.com/nextcloud/android", "show")</f>
        <v>show</v>
      </c>
      <c r="H7938" t="str">
        <f>HYPERLINK("https://github.com/nextcloud/android/releases", "show")</f>
        <v>show</v>
      </c>
      <c r="I7938">
        <v>0</v>
      </c>
      <c r="J7938">
        <v>1</v>
      </c>
      <c r="K7938">
        <v>1</v>
      </c>
      <c r="L7938">
        <v>0</v>
      </c>
      <c r="M7938" t="s">
        <v>699</v>
      </c>
    </row>
    <row r="7939" spans="1:13" x14ac:dyDescent="0.15">
      <c r="A7939" t="s">
        <v>24863</v>
      </c>
      <c r="B7939" t="s">
        <v>24864</v>
      </c>
      <c r="C7939" t="s">
        <v>24865</v>
      </c>
      <c r="D7939" t="s">
        <v>24862</v>
      </c>
      <c r="E7939">
        <v>0</v>
      </c>
      <c r="F7939" t="str">
        <f>HYPERLINK("https://github.com/MozillaReality/FirefoxReality/issues/1844", "show")</f>
        <v>show</v>
      </c>
      <c r="G7939" t="str">
        <f>HYPERLINK("https://github.com/MozillaReality/FirefoxReality", "show")</f>
        <v>show</v>
      </c>
      <c r="H7939" t="str">
        <f>HYPERLINK("https://github.com/MozillaReality/FirefoxReality/releases", "show")</f>
        <v>show</v>
      </c>
      <c r="I7939">
        <v>0</v>
      </c>
      <c r="J7939">
        <v>1</v>
      </c>
      <c r="K7939">
        <v>0</v>
      </c>
      <c r="L7939">
        <v>0</v>
      </c>
      <c r="M7939" t="s">
        <v>139</v>
      </c>
    </row>
    <row r="7940" spans="1:13" hidden="1" x14ac:dyDescent="0.15">
      <c r="A7940" t="s">
        <v>24866</v>
      </c>
      <c r="B7940" t="s">
        <v>24867</v>
      </c>
      <c r="C7940" t="s">
        <v>24868</v>
      </c>
      <c r="D7940" t="s">
        <v>24862</v>
      </c>
      <c r="E7940">
        <v>481</v>
      </c>
      <c r="F7940" t="str">
        <f>HYPERLINK("https://github.com/jellyfin/jellyfin-androidtv/issues/157", "show")</f>
        <v>show</v>
      </c>
      <c r="G7940" t="str">
        <f>HYPERLINK("https://github.com/jellyfin/jellyfin-androidtv", "show")</f>
        <v>show</v>
      </c>
      <c r="H7940" t="str">
        <f>HYPERLINK("https://github.com/jellyfin/jellyfin-androidtv/releases", "show")</f>
        <v>show</v>
      </c>
      <c r="I7940">
        <v>1</v>
      </c>
      <c r="J7940">
        <v>0</v>
      </c>
      <c r="K7940">
        <v>0</v>
      </c>
      <c r="L7940">
        <v>0</v>
      </c>
      <c r="M7940" t="s">
        <v>17</v>
      </c>
    </row>
    <row r="7941" spans="1:13" hidden="1" x14ac:dyDescent="0.15">
      <c r="A7941" t="s">
        <v>24869</v>
      </c>
      <c r="B7941" t="s">
        <v>24870</v>
      </c>
      <c r="C7941" t="s">
        <v>24871</v>
      </c>
      <c r="D7941" t="s">
        <v>24862</v>
      </c>
      <c r="E7941">
        <v>318</v>
      </c>
      <c r="F7941" t="str">
        <f>HYPERLINK("https://github.com/TeamNewPipe/NewPipe/issues/2634", "show")</f>
        <v>show</v>
      </c>
      <c r="G7941" t="str">
        <f>HYPERLINK("https://github.com/TeamNewPipe/NewPipe", "show")</f>
        <v>show</v>
      </c>
      <c r="H7941" t="str">
        <f>HYPERLINK("https://github.com/TeamNewPipe/NewPipe/releases", "show")</f>
        <v>show</v>
      </c>
      <c r="I7941">
        <v>1</v>
      </c>
      <c r="J7941">
        <v>0</v>
      </c>
      <c r="K7941">
        <v>1</v>
      </c>
      <c r="L7941">
        <v>0</v>
      </c>
      <c r="M7941" t="s">
        <v>64</v>
      </c>
    </row>
    <row r="7942" spans="1:13" hidden="1" x14ac:dyDescent="0.15">
      <c r="A7942" t="s">
        <v>24872</v>
      </c>
      <c r="B7942" t="s">
        <v>24873</v>
      </c>
      <c r="C7942" t="s">
        <v>24874</v>
      </c>
      <c r="D7942" t="s">
        <v>24862</v>
      </c>
      <c r="E7942">
        <v>33</v>
      </c>
      <c r="F7942" t="str">
        <f>HYPERLINK("https://github.com/react-native-svg/react-native-svg/issues/1108", "show")</f>
        <v>show</v>
      </c>
      <c r="G7942" t="str">
        <f>HYPERLINK("https://github.com/react-native-svg/react-native-svg", "show")</f>
        <v>show</v>
      </c>
      <c r="H7942" t="str">
        <f>HYPERLINK("https://github.com/react-native-svg/react-native-svg/releases", "show")</f>
        <v>show</v>
      </c>
      <c r="I7942">
        <v>0</v>
      </c>
      <c r="J7942">
        <v>0</v>
      </c>
      <c r="K7942">
        <v>0</v>
      </c>
      <c r="L7942">
        <v>1</v>
      </c>
      <c r="M7942" t="s">
        <v>581</v>
      </c>
    </row>
    <row r="7943" spans="1:13" hidden="1" x14ac:dyDescent="0.15">
      <c r="A7943" t="s">
        <v>24875</v>
      </c>
      <c r="B7943" t="s">
        <v>24876</v>
      </c>
      <c r="C7943" t="s">
        <v>24877</v>
      </c>
      <c r="D7943" t="s">
        <v>24878</v>
      </c>
      <c r="E7943">
        <v>39</v>
      </c>
      <c r="F7943" t="str">
        <f>HYPERLINK("https://github.com/nextcloud/android/issues/4512", "show")</f>
        <v>show</v>
      </c>
      <c r="G7943" t="str">
        <f>HYPERLINK("https://github.com/nextcloud/android", "show")</f>
        <v>show</v>
      </c>
      <c r="H7943" t="str">
        <f>HYPERLINK("https://github.com/nextcloud/android/releases", "show")</f>
        <v>show</v>
      </c>
      <c r="I7943">
        <v>1</v>
      </c>
      <c r="J7943">
        <v>0</v>
      </c>
      <c r="K7943">
        <v>1</v>
      </c>
      <c r="L7943">
        <v>0</v>
      </c>
      <c r="M7943" t="s">
        <v>64</v>
      </c>
    </row>
    <row r="7944" spans="1:13" hidden="1" x14ac:dyDescent="0.15">
      <c r="A7944" t="s">
        <v>24879</v>
      </c>
      <c r="B7944" t="s">
        <v>24880</v>
      </c>
      <c r="C7944" t="s">
        <v>24881</v>
      </c>
      <c r="D7944" t="s">
        <v>24882</v>
      </c>
      <c r="E7944">
        <v>71</v>
      </c>
      <c r="F7944" t="str">
        <f>HYPERLINK("https://github.com/nextcloud/android/issues/4508", "show")</f>
        <v>show</v>
      </c>
      <c r="G7944" t="str">
        <f>HYPERLINK("https://github.com/nextcloud/android", "show")</f>
        <v>show</v>
      </c>
      <c r="H7944" t="str">
        <f>HYPERLINK("https://github.com/nextcloud/android/releases", "show")</f>
        <v>show</v>
      </c>
      <c r="I7944">
        <v>1</v>
      </c>
      <c r="J7944">
        <v>1</v>
      </c>
      <c r="K7944">
        <v>1</v>
      </c>
      <c r="L7944">
        <v>0</v>
      </c>
      <c r="M7944" t="s">
        <v>59</v>
      </c>
    </row>
    <row r="7945" spans="1:13" hidden="1" x14ac:dyDescent="0.15">
      <c r="A7945" t="s">
        <v>24883</v>
      </c>
      <c r="B7945" t="s">
        <v>24884</v>
      </c>
      <c r="C7945" t="s">
        <v>24885</v>
      </c>
      <c r="D7945" t="s">
        <v>24882</v>
      </c>
      <c r="E7945">
        <v>18</v>
      </c>
      <c r="F7945" t="str">
        <f>HYPERLINK("https://github.com/nextcloud/android/issues/4503", "show")</f>
        <v>show</v>
      </c>
      <c r="G7945" t="str">
        <f>HYPERLINK("https://github.com/nextcloud/android", "show")</f>
        <v>show</v>
      </c>
      <c r="H7945" t="str">
        <f>HYPERLINK("https://github.com/nextcloud/android/releases", "show")</f>
        <v>show</v>
      </c>
      <c r="I7945">
        <v>1</v>
      </c>
      <c r="J7945">
        <v>1</v>
      </c>
      <c r="K7945">
        <v>0</v>
      </c>
      <c r="L7945">
        <v>0</v>
      </c>
      <c r="M7945" t="s">
        <v>48</v>
      </c>
    </row>
    <row r="7946" spans="1:13" hidden="1" x14ac:dyDescent="0.15">
      <c r="A7946" t="s">
        <v>24886</v>
      </c>
      <c r="B7946" t="s">
        <v>24887</v>
      </c>
      <c r="C7946" t="s">
        <v>24888</v>
      </c>
      <c r="D7946" t="s">
        <v>24882</v>
      </c>
      <c r="E7946">
        <v>3</v>
      </c>
      <c r="F7946" t="str">
        <f>HYPERLINK("https://github.com/fossasia/phimpme-android/issues/2868", "show")</f>
        <v>show</v>
      </c>
      <c r="G7946" t="str">
        <f>HYPERLINK("https://github.com/fossasia/phimpme-android", "show")</f>
        <v>show</v>
      </c>
      <c r="H7946" t="str">
        <f>HYPERLINK("https://github.com/fossasia/phimpme-android/releases", "show")</f>
        <v>show</v>
      </c>
      <c r="I7946">
        <v>1</v>
      </c>
      <c r="J7946">
        <v>1</v>
      </c>
      <c r="K7946">
        <v>1</v>
      </c>
      <c r="L7946">
        <v>0</v>
      </c>
      <c r="M7946" t="s">
        <v>59</v>
      </c>
    </row>
    <row r="7947" spans="1:13" hidden="1" x14ac:dyDescent="0.15">
      <c r="A7947" t="s">
        <v>24889</v>
      </c>
      <c r="B7947" t="s">
        <v>24890</v>
      </c>
      <c r="C7947" t="s">
        <v>24891</v>
      </c>
      <c r="D7947" t="s">
        <v>24892</v>
      </c>
      <c r="E7947">
        <v>12</v>
      </c>
      <c r="F7947" t="str">
        <f>HYPERLINK("https://github.com/cgeo/cgeo/issues/7841", "show")</f>
        <v>show</v>
      </c>
      <c r="G7947" t="str">
        <f>HYPERLINK("https://github.com/cgeo/cgeo", "show")</f>
        <v>show</v>
      </c>
      <c r="H7947" t="str">
        <f>HYPERLINK("https://github.com/cgeo/cgeo/releases", "show")</f>
        <v>show</v>
      </c>
      <c r="I7947">
        <v>1</v>
      </c>
      <c r="J7947">
        <v>0</v>
      </c>
      <c r="K7947">
        <v>0</v>
      </c>
      <c r="L7947">
        <v>0</v>
      </c>
      <c r="M7947" t="s">
        <v>17</v>
      </c>
    </row>
    <row r="7948" spans="1:13" hidden="1" x14ac:dyDescent="0.15">
      <c r="A7948" t="s">
        <v>24893</v>
      </c>
      <c r="B7948" t="s">
        <v>24894</v>
      </c>
      <c r="C7948" t="s">
        <v>24895</v>
      </c>
      <c r="D7948" t="s">
        <v>24892</v>
      </c>
      <c r="E7948">
        <v>40</v>
      </c>
      <c r="F7948" t="str">
        <f>HYPERLINK("https://github.com/raphw/byte-buddy/issues/723", "show")</f>
        <v>show</v>
      </c>
      <c r="G7948" t="str">
        <f>HYPERLINK("https://github.com/raphw/byte-buddy", "show")</f>
        <v>show</v>
      </c>
      <c r="H7948" t="str">
        <f>HYPERLINK("https://github.com/raphw/byte-buddy/releases", "show")</f>
        <v>show</v>
      </c>
      <c r="I7948">
        <v>1</v>
      </c>
      <c r="J7948">
        <v>0</v>
      </c>
      <c r="K7948">
        <v>0</v>
      </c>
      <c r="L7948">
        <v>0</v>
      </c>
      <c r="M7948" t="s">
        <v>17</v>
      </c>
    </row>
    <row r="7949" spans="1:13" hidden="1" x14ac:dyDescent="0.15">
      <c r="A7949" t="s">
        <v>24896</v>
      </c>
      <c r="B7949" t="s">
        <v>24897</v>
      </c>
      <c r="C7949" t="s">
        <v>24898</v>
      </c>
      <c r="D7949" t="s">
        <v>24892</v>
      </c>
      <c r="E7949">
        <v>135</v>
      </c>
      <c r="F7949" t="str">
        <f>HYPERLINK("https://github.com/fabienli/DokuwikiAndroid/issues/8", "show")</f>
        <v>show</v>
      </c>
      <c r="G7949" t="str">
        <f>HYPERLINK("https://github.com/fabienli/DokuwikiAndroid", "show")</f>
        <v>show</v>
      </c>
      <c r="H7949" t="str">
        <f>HYPERLINK("https://github.com/fabienli/DokuwikiAndroid/releases", "show")</f>
        <v>show</v>
      </c>
      <c r="I7949">
        <v>1</v>
      </c>
      <c r="J7949">
        <v>0</v>
      </c>
      <c r="K7949">
        <v>0</v>
      </c>
      <c r="L7949">
        <v>1</v>
      </c>
      <c r="M7949" t="s">
        <v>29</v>
      </c>
    </row>
    <row r="7950" spans="1:13" hidden="1" x14ac:dyDescent="0.15">
      <c r="A7950" t="s">
        <v>24899</v>
      </c>
      <c r="B7950" t="s">
        <v>24900</v>
      </c>
      <c r="C7950" t="s">
        <v>24901</v>
      </c>
      <c r="D7950" t="s">
        <v>24902</v>
      </c>
      <c r="E7950">
        <v>1</v>
      </c>
      <c r="F7950" t="str">
        <f>HYPERLINK("https://github.com/react-native-share/react-native-share/issues/583", "show")</f>
        <v>show</v>
      </c>
      <c r="G7950" t="str">
        <f>HYPERLINK("https://github.com/react-native-share/react-native-share", "show")</f>
        <v>show</v>
      </c>
      <c r="H7950" t="str">
        <f>HYPERLINK("https://github.com/react-native-share/react-native-share/releases", "show")</f>
        <v>show</v>
      </c>
      <c r="I7950">
        <v>1</v>
      </c>
      <c r="J7950">
        <v>1</v>
      </c>
      <c r="K7950">
        <v>0</v>
      </c>
      <c r="L7950">
        <v>0</v>
      </c>
      <c r="M7950" t="s">
        <v>48</v>
      </c>
    </row>
    <row r="7951" spans="1:13" hidden="1" x14ac:dyDescent="0.15">
      <c r="A7951" t="s">
        <v>24903</v>
      </c>
      <c r="B7951" t="s">
        <v>24904</v>
      </c>
      <c r="C7951" t="s">
        <v>24905</v>
      </c>
      <c r="D7951" t="s">
        <v>24902</v>
      </c>
      <c r="E7951">
        <v>13</v>
      </c>
      <c r="F7951" t="str">
        <f>HYPERLINK("https://github.com/applivery/applivery-android-sdk/issues/45", "show")</f>
        <v>show</v>
      </c>
      <c r="G7951" t="str">
        <f>HYPERLINK("https://github.com/applivery/applivery-android-sdk", "show")</f>
        <v>show</v>
      </c>
      <c r="H7951" t="str">
        <f>HYPERLINK("https://github.com/applivery/applivery-android-sdk/releases", "show")</f>
        <v>show</v>
      </c>
      <c r="I7951">
        <v>1</v>
      </c>
      <c r="J7951">
        <v>0</v>
      </c>
      <c r="K7951">
        <v>0</v>
      </c>
      <c r="L7951">
        <v>0</v>
      </c>
      <c r="M7951" t="s">
        <v>17</v>
      </c>
    </row>
    <row r="7952" spans="1:13" hidden="1" x14ac:dyDescent="0.15">
      <c r="A7952" t="s">
        <v>24906</v>
      </c>
      <c r="B7952" t="s">
        <v>24907</v>
      </c>
      <c r="C7952" t="s">
        <v>24908</v>
      </c>
      <c r="D7952" t="s">
        <v>24902</v>
      </c>
      <c r="E7952">
        <v>6</v>
      </c>
      <c r="F7952" t="str">
        <f>HYPERLINK("https://github.com/material-components/material-components-android/issues/590", "show")</f>
        <v>show</v>
      </c>
      <c r="G7952" t="str">
        <f>HYPERLINK("https://github.com/material-components/material-components-android", "show")</f>
        <v>show</v>
      </c>
      <c r="H7952" t="str">
        <f>HYPERLINK("https://github.com/material-components/material-components-android/releases", "show")</f>
        <v>show</v>
      </c>
      <c r="I7952">
        <v>0</v>
      </c>
      <c r="J7952">
        <v>0</v>
      </c>
      <c r="K7952">
        <v>0</v>
      </c>
      <c r="L7952">
        <v>0</v>
      </c>
      <c r="M7952" t="s">
        <v>43</v>
      </c>
    </row>
    <row r="7953" spans="1:13" hidden="1" x14ac:dyDescent="0.15">
      <c r="A7953" t="s">
        <v>24909</v>
      </c>
      <c r="B7953" t="s">
        <v>24910</v>
      </c>
      <c r="C7953" t="s">
        <v>24911</v>
      </c>
      <c r="D7953" t="s">
        <v>24902</v>
      </c>
      <c r="E7953">
        <v>249</v>
      </c>
      <c r="F7953" t="str">
        <f>HYPERLINK("https://github.com/google/ExoPlayer/issues/6425", "show")</f>
        <v>show</v>
      </c>
      <c r="G7953" t="str">
        <f>HYPERLINK("https://github.com/google/ExoPlayer", "show")</f>
        <v>show</v>
      </c>
      <c r="H7953" t="str">
        <f>HYPERLINK("https://github.com/google/ExoPlayer/releases", "show")</f>
        <v>show</v>
      </c>
      <c r="I7953">
        <v>1</v>
      </c>
      <c r="J7953">
        <v>0</v>
      </c>
      <c r="K7953">
        <v>1</v>
      </c>
      <c r="L7953">
        <v>0</v>
      </c>
      <c r="M7953" t="s">
        <v>64</v>
      </c>
    </row>
    <row r="7954" spans="1:13" hidden="1" x14ac:dyDescent="0.15">
      <c r="A7954" t="s">
        <v>24912</v>
      </c>
      <c r="B7954" t="s">
        <v>24913</v>
      </c>
      <c r="C7954" t="s">
        <v>24914</v>
      </c>
      <c r="D7954" t="s">
        <v>24915</v>
      </c>
      <c r="E7954">
        <v>134</v>
      </c>
      <c r="F7954" t="str">
        <f>HYPERLINK("https://github.com/square/react-native-square-reader-sdk/issues/86", "show")</f>
        <v>show</v>
      </c>
      <c r="G7954" t="str">
        <f>HYPERLINK("https://github.com/square/react-native-square-reader-sdk", "show")</f>
        <v>show</v>
      </c>
      <c r="H7954" t="str">
        <f>HYPERLINK("https://github.com/square/react-native-square-reader-sdk/releases", "show")</f>
        <v>show</v>
      </c>
      <c r="I7954">
        <v>1</v>
      </c>
      <c r="J7954">
        <v>0</v>
      </c>
      <c r="K7954">
        <v>1</v>
      </c>
      <c r="L7954">
        <v>0</v>
      </c>
      <c r="M7954" t="s">
        <v>64</v>
      </c>
    </row>
    <row r="7955" spans="1:13" hidden="1" x14ac:dyDescent="0.15">
      <c r="A7955" t="s">
        <v>24916</v>
      </c>
      <c r="B7955" t="s">
        <v>24917</v>
      </c>
      <c r="C7955" t="s">
        <v>24918</v>
      </c>
      <c r="D7955" t="s">
        <v>24915</v>
      </c>
      <c r="E7955">
        <v>1</v>
      </c>
      <c r="F7955" t="str">
        <f>HYPERLINK("https://github.com/voxeet/voxeet-uxkit-android/issues/4", "show")</f>
        <v>show</v>
      </c>
      <c r="G7955" t="str">
        <f>HYPERLINK("https://github.com/voxeet/voxeet-uxkit-android", "show")</f>
        <v>show</v>
      </c>
      <c r="H7955" t="str">
        <f>HYPERLINK("https://github.com/voxeet/voxeet-uxkit-android/releases", "show")</f>
        <v>show</v>
      </c>
      <c r="I7955">
        <v>1</v>
      </c>
      <c r="J7955">
        <v>0</v>
      </c>
      <c r="K7955">
        <v>0</v>
      </c>
      <c r="L7955">
        <v>0</v>
      </c>
      <c r="M7955" t="s">
        <v>17</v>
      </c>
    </row>
    <row r="7956" spans="1:13" hidden="1" x14ac:dyDescent="0.15">
      <c r="A7956" t="s">
        <v>24919</v>
      </c>
      <c r="B7956" t="s">
        <v>24920</v>
      </c>
      <c r="C7956" t="s">
        <v>24921</v>
      </c>
      <c r="D7956" t="s">
        <v>24915</v>
      </c>
      <c r="E7956">
        <v>0</v>
      </c>
      <c r="F7956" t="str">
        <f>HYPERLINK("https://github.com/Alfresco/activiti-android-app/issues/88", "show")</f>
        <v>show</v>
      </c>
      <c r="G7956" t="str">
        <f>HYPERLINK("https://github.com/Alfresco/activiti-android-app", "show")</f>
        <v>show</v>
      </c>
      <c r="H7956" t="str">
        <f>HYPERLINK("https://github.com/Alfresco/activiti-android-app/releases", "show")</f>
        <v>show</v>
      </c>
      <c r="I7956">
        <v>1</v>
      </c>
      <c r="J7956">
        <v>0</v>
      </c>
      <c r="K7956">
        <v>0</v>
      </c>
      <c r="L7956">
        <v>0</v>
      </c>
      <c r="M7956" t="s">
        <v>17</v>
      </c>
    </row>
    <row r="7957" spans="1:13" hidden="1" x14ac:dyDescent="0.15">
      <c r="A7957" t="s">
        <v>24922</v>
      </c>
      <c r="B7957" t="s">
        <v>24923</v>
      </c>
      <c r="C7957" t="s">
        <v>24924</v>
      </c>
      <c r="D7957" t="s">
        <v>24915</v>
      </c>
      <c r="E7957">
        <v>17</v>
      </c>
      <c r="F7957" t="str">
        <f>HYPERLINK("https://github.com/react-native-svg/react-native-svg/issues/1099", "show")</f>
        <v>show</v>
      </c>
      <c r="G7957" t="str">
        <f>HYPERLINK("https://github.com/react-native-svg/react-native-svg", "show")</f>
        <v>show</v>
      </c>
      <c r="H7957" t="str">
        <f>HYPERLINK("https://github.com/react-native-svg/react-native-svg/releases", "show")</f>
        <v>show</v>
      </c>
      <c r="I7957">
        <v>1</v>
      </c>
      <c r="J7957">
        <v>1</v>
      </c>
      <c r="K7957">
        <v>0</v>
      </c>
      <c r="L7957">
        <v>0</v>
      </c>
      <c r="M7957" t="s">
        <v>48</v>
      </c>
    </row>
    <row r="7958" spans="1:13" hidden="1" x14ac:dyDescent="0.15">
      <c r="A7958" t="s">
        <v>24925</v>
      </c>
      <c r="B7958" t="s">
        <v>24926</v>
      </c>
      <c r="C7958" t="s">
        <v>24927</v>
      </c>
      <c r="D7958" t="s">
        <v>24915</v>
      </c>
      <c r="E7958">
        <v>0</v>
      </c>
      <c r="F7958" t="str">
        <f>HYPERLINK("https://github.com/Alfresco/activiti-android-app/issues/85", "show")</f>
        <v>show</v>
      </c>
      <c r="G7958" t="str">
        <f>HYPERLINK("https://github.com/Alfresco/activiti-android-app", "show")</f>
        <v>show</v>
      </c>
      <c r="H7958" t="str">
        <f>HYPERLINK("https://github.com/Alfresco/activiti-android-app/releases", "show")</f>
        <v>show</v>
      </c>
      <c r="I7958">
        <v>0</v>
      </c>
      <c r="J7958">
        <v>0</v>
      </c>
      <c r="K7958">
        <v>0</v>
      </c>
      <c r="L7958">
        <v>0</v>
      </c>
      <c r="M7958" t="s">
        <v>43</v>
      </c>
    </row>
    <row r="7959" spans="1:13" hidden="1" x14ac:dyDescent="0.15">
      <c r="A7959" t="s">
        <v>24928</v>
      </c>
      <c r="B7959" t="s">
        <v>24929</v>
      </c>
      <c r="C7959" t="s">
        <v>24930</v>
      </c>
      <c r="D7959" t="s">
        <v>24915</v>
      </c>
      <c r="E7959">
        <v>490</v>
      </c>
      <c r="F7959" t="str">
        <f>HYPERLINK("https://github.com/react-native-camera/react-native-camera/issues/2479", "show")</f>
        <v>show</v>
      </c>
      <c r="G7959" t="str">
        <f>HYPERLINK("https://github.com/react-native-camera/react-native-camera", "show")</f>
        <v>show</v>
      </c>
      <c r="H7959" t="str">
        <f>HYPERLINK("https://github.com/react-native-camera/react-native-camera/releases", "show")</f>
        <v>show</v>
      </c>
      <c r="I7959">
        <v>0</v>
      </c>
      <c r="J7959">
        <v>1</v>
      </c>
      <c r="K7959">
        <v>1</v>
      </c>
      <c r="L7959">
        <v>0</v>
      </c>
      <c r="M7959" t="s">
        <v>699</v>
      </c>
    </row>
    <row r="7960" spans="1:13" hidden="1" x14ac:dyDescent="0.15">
      <c r="A7960" t="s">
        <v>24931</v>
      </c>
      <c r="B7960" t="s">
        <v>24932</v>
      </c>
      <c r="C7960" t="s">
        <v>24933</v>
      </c>
      <c r="D7960" t="s">
        <v>24934</v>
      </c>
      <c r="E7960">
        <v>0</v>
      </c>
      <c r="F7960" t="str">
        <f>HYPERLINK("https://github.com/Alfresco/activiti-android-app/issues/84", "show")</f>
        <v>show</v>
      </c>
      <c r="G7960" t="str">
        <f>HYPERLINK("https://github.com/Alfresco/activiti-android-app", "show")</f>
        <v>show</v>
      </c>
      <c r="H7960" t="str">
        <f>HYPERLINK("https://github.com/Alfresco/activiti-android-app/releases", "show")</f>
        <v>show</v>
      </c>
      <c r="I7960">
        <v>0</v>
      </c>
      <c r="J7960">
        <v>0</v>
      </c>
      <c r="K7960">
        <v>0</v>
      </c>
      <c r="L7960">
        <v>0</v>
      </c>
      <c r="M7960" t="s">
        <v>43</v>
      </c>
    </row>
    <row r="7961" spans="1:13" hidden="1" x14ac:dyDescent="0.15">
      <c r="A7961" t="s">
        <v>24935</v>
      </c>
      <c r="B7961" t="s">
        <v>24936</v>
      </c>
      <c r="C7961" t="s">
        <v>24937</v>
      </c>
      <c r="D7961" t="s">
        <v>24934</v>
      </c>
      <c r="E7961">
        <v>2</v>
      </c>
      <c r="F7961" t="str">
        <f>HYPERLINK("https://github.com/opensrp/opensrp-client-reveal/issues/431", "show")</f>
        <v>show</v>
      </c>
      <c r="G7961" t="str">
        <f>HYPERLINK("https://github.com/opensrp/opensrp-client-reveal", "show")</f>
        <v>show</v>
      </c>
      <c r="H7961" t="str">
        <f>HYPERLINK("https://github.com/opensrp/opensrp-client-reveal/releases", "show")</f>
        <v>show</v>
      </c>
      <c r="I7961">
        <v>1</v>
      </c>
      <c r="J7961">
        <v>1</v>
      </c>
      <c r="K7961">
        <v>0</v>
      </c>
      <c r="L7961">
        <v>0</v>
      </c>
      <c r="M7961" t="s">
        <v>48</v>
      </c>
    </row>
    <row r="7962" spans="1:13" hidden="1" x14ac:dyDescent="0.15">
      <c r="A7962" t="s">
        <v>24938</v>
      </c>
      <c r="B7962" t="s">
        <v>24939</v>
      </c>
      <c r="C7962" t="s">
        <v>24940</v>
      </c>
      <c r="D7962" t="s">
        <v>24941</v>
      </c>
      <c r="E7962">
        <v>248</v>
      </c>
      <c r="F7962" t="str">
        <f>HYPERLINK("https://github.com/SecUSo/privacy-friendly-food-tracker/issues/64", "show")</f>
        <v>show</v>
      </c>
      <c r="G7962" t="str">
        <f>HYPERLINK("https://github.com/SecUSo/privacy-friendly-food-tracker", "show")</f>
        <v>show</v>
      </c>
      <c r="H7962" t="str">
        <f>HYPERLINK("https://github.com/SecUSo/privacy-friendly-food-tracker/releases", "show")</f>
        <v>show</v>
      </c>
      <c r="I7962">
        <v>1</v>
      </c>
      <c r="J7962">
        <v>0</v>
      </c>
      <c r="K7962">
        <v>0</v>
      </c>
      <c r="L7962">
        <v>0</v>
      </c>
      <c r="M7962" t="s">
        <v>17</v>
      </c>
    </row>
    <row r="7963" spans="1:13" hidden="1" x14ac:dyDescent="0.15">
      <c r="A7963" t="s">
        <v>24942</v>
      </c>
      <c r="B7963" t="s">
        <v>24943</v>
      </c>
      <c r="C7963" t="s">
        <v>24944</v>
      </c>
      <c r="D7963" t="s">
        <v>24945</v>
      </c>
      <c r="E7963">
        <v>0</v>
      </c>
      <c r="F7963" t="str">
        <f>HYPERLINK("https://github.com/cgeo/cgeo/issues/7824", "show")</f>
        <v>show</v>
      </c>
      <c r="G7963" t="str">
        <f>HYPERLINK("https://github.com/cgeo/cgeo", "show")</f>
        <v>show</v>
      </c>
      <c r="H7963" t="str">
        <f>HYPERLINK("https://github.com/cgeo/cgeo/releases", "show")</f>
        <v>show</v>
      </c>
      <c r="I7963">
        <v>1</v>
      </c>
      <c r="J7963">
        <v>1</v>
      </c>
      <c r="K7963">
        <v>0</v>
      </c>
      <c r="L7963">
        <v>0</v>
      </c>
      <c r="M7963" t="s">
        <v>48</v>
      </c>
    </row>
    <row r="7964" spans="1:13" hidden="1" x14ac:dyDescent="0.15">
      <c r="A7964" t="s">
        <v>24946</v>
      </c>
      <c r="B7964" t="s">
        <v>24947</v>
      </c>
      <c r="C7964" t="s">
        <v>24948</v>
      </c>
      <c r="D7964" t="s">
        <v>24949</v>
      </c>
      <c r="E7964">
        <v>4</v>
      </c>
      <c r="F7964" t="str">
        <f>HYPERLINK("https://github.com/square/react-native-square-reader-sdk/issues/82", "show")</f>
        <v>show</v>
      </c>
      <c r="G7964" t="str">
        <f>HYPERLINK("https://github.com/square/react-native-square-reader-sdk", "show")</f>
        <v>show</v>
      </c>
      <c r="H7964" t="str">
        <f>HYPERLINK("https://github.com/square/react-native-square-reader-sdk/releases", "show")</f>
        <v>show</v>
      </c>
      <c r="I7964">
        <v>1</v>
      </c>
      <c r="J7964">
        <v>0</v>
      </c>
      <c r="K7964">
        <v>1</v>
      </c>
      <c r="L7964">
        <v>0</v>
      </c>
      <c r="M7964" t="s">
        <v>64</v>
      </c>
    </row>
    <row r="7965" spans="1:13" hidden="1" x14ac:dyDescent="0.15">
      <c r="A7965" t="s">
        <v>24950</v>
      </c>
      <c r="B7965" t="s">
        <v>24951</v>
      </c>
      <c r="C7965" t="s">
        <v>24952</v>
      </c>
      <c r="D7965" t="s">
        <v>24953</v>
      </c>
      <c r="E7965">
        <v>0</v>
      </c>
      <c r="F7965" t="str">
        <f>HYPERLINK("https://github.com/nextcloud/android/issues/4476", "show")</f>
        <v>show</v>
      </c>
      <c r="G7965" t="str">
        <f>HYPERLINK("https://github.com/nextcloud/android", "show")</f>
        <v>show</v>
      </c>
      <c r="H7965" t="str">
        <f>HYPERLINK("https://github.com/nextcloud/android/releases", "show")</f>
        <v>show</v>
      </c>
      <c r="I7965">
        <v>1</v>
      </c>
      <c r="J7965">
        <v>0</v>
      </c>
      <c r="K7965">
        <v>1</v>
      </c>
      <c r="L7965">
        <v>0</v>
      </c>
      <c r="M7965" t="s">
        <v>64</v>
      </c>
    </row>
    <row r="7966" spans="1:13" hidden="1" x14ac:dyDescent="0.15">
      <c r="A7966" t="s">
        <v>24954</v>
      </c>
      <c r="B7966" t="s">
        <v>24955</v>
      </c>
      <c r="C7966" t="s">
        <v>24956</v>
      </c>
      <c r="D7966" t="s">
        <v>24953</v>
      </c>
      <c r="E7966">
        <v>0</v>
      </c>
      <c r="F7966" t="str">
        <f>HYPERLINK("https://github.com/fossasia/neurolab-android/issues/458", "show")</f>
        <v>show</v>
      </c>
      <c r="G7966" t="str">
        <f>HYPERLINK("https://github.com/fossasia/neurolab-android", "show")</f>
        <v>show</v>
      </c>
      <c r="H7966" t="str">
        <f>HYPERLINK("https://github.com/fossasia/neurolab-android/releases", "show")</f>
        <v>show</v>
      </c>
      <c r="I7966">
        <v>0</v>
      </c>
      <c r="J7966">
        <v>0</v>
      </c>
      <c r="K7966">
        <v>0</v>
      </c>
      <c r="L7966">
        <v>0</v>
      </c>
      <c r="M7966" t="s">
        <v>43</v>
      </c>
    </row>
    <row r="7967" spans="1:13" hidden="1" x14ac:dyDescent="0.15">
      <c r="A7967" t="s">
        <v>24957</v>
      </c>
      <c r="B7967" t="s">
        <v>24958</v>
      </c>
      <c r="C7967" t="s">
        <v>24959</v>
      </c>
      <c r="D7967" t="s">
        <v>24953</v>
      </c>
      <c r="E7967">
        <v>0</v>
      </c>
      <c r="F7967" t="str">
        <f>HYPERLINK("https://github.com/fossasia/neurolab-android/issues/457", "show")</f>
        <v>show</v>
      </c>
      <c r="G7967" t="str">
        <f>HYPERLINK("https://github.com/fossasia/neurolab-android", "show")</f>
        <v>show</v>
      </c>
      <c r="H7967" t="str">
        <f>HYPERLINK("https://github.com/fossasia/neurolab-android/releases", "show")</f>
        <v>show</v>
      </c>
      <c r="I7967">
        <v>0</v>
      </c>
      <c r="J7967">
        <v>0</v>
      </c>
      <c r="K7967">
        <v>0</v>
      </c>
      <c r="L7967">
        <v>0</v>
      </c>
      <c r="M7967" t="s">
        <v>43</v>
      </c>
    </row>
    <row r="7968" spans="1:13" hidden="1" x14ac:dyDescent="0.15">
      <c r="A7968" t="s">
        <v>24960</v>
      </c>
      <c r="B7968" t="s">
        <v>24961</v>
      </c>
      <c r="C7968" t="s">
        <v>24962</v>
      </c>
      <c r="D7968" t="s">
        <v>24953</v>
      </c>
      <c r="E7968">
        <v>28</v>
      </c>
      <c r="F7968" t="str">
        <f>HYPERLINK("https://github.com/opensrp/opensrp-client-giz-malawi/issues/88", "show")</f>
        <v>show</v>
      </c>
      <c r="G7968" t="str">
        <f>HYPERLINK("https://github.com/opensrp/opensrp-client-giz-malawi", "show")</f>
        <v>show</v>
      </c>
      <c r="H7968" t="str">
        <f>HYPERLINK("https://github.com/opensrp/opensrp-client-giz-malawi/releases", "show")</f>
        <v>show</v>
      </c>
      <c r="I7968">
        <v>1</v>
      </c>
      <c r="J7968">
        <v>1</v>
      </c>
      <c r="K7968">
        <v>0</v>
      </c>
      <c r="L7968">
        <v>0</v>
      </c>
      <c r="M7968" t="s">
        <v>48</v>
      </c>
    </row>
    <row r="7969" spans="1:13" hidden="1" x14ac:dyDescent="0.15">
      <c r="A7969" t="s">
        <v>24963</v>
      </c>
      <c r="B7969" t="s">
        <v>24964</v>
      </c>
      <c r="C7969" t="s">
        <v>24965</v>
      </c>
      <c r="D7969" t="s">
        <v>24966</v>
      </c>
      <c r="E7969">
        <v>33</v>
      </c>
      <c r="F7969" t="str">
        <f>HYPERLINK("https://github.com/nextcloud/android/issues/4471", "show")</f>
        <v>show</v>
      </c>
      <c r="G7969" t="str">
        <f>HYPERLINK("https://github.com/nextcloud/android", "show")</f>
        <v>show</v>
      </c>
      <c r="H7969" t="str">
        <f>HYPERLINK("https://github.com/nextcloud/android/releases", "show")</f>
        <v>show</v>
      </c>
      <c r="I7969">
        <v>0</v>
      </c>
      <c r="J7969">
        <v>0</v>
      </c>
      <c r="K7969">
        <v>1</v>
      </c>
      <c r="L7969">
        <v>0</v>
      </c>
      <c r="M7969" t="s">
        <v>122</v>
      </c>
    </row>
    <row r="7970" spans="1:13" hidden="1" x14ac:dyDescent="0.15">
      <c r="A7970" t="s">
        <v>24967</v>
      </c>
      <c r="B7970" t="s">
        <v>24968</v>
      </c>
      <c r="C7970" t="s">
        <v>24969</v>
      </c>
      <c r="D7970" t="s">
        <v>24966</v>
      </c>
      <c r="E7970">
        <v>1</v>
      </c>
      <c r="F7970" t="str">
        <f>HYPERLINK("https://github.com/opensrp/opensrp-client-reveal/issues/423", "show")</f>
        <v>show</v>
      </c>
      <c r="G7970" t="str">
        <f>HYPERLINK("https://github.com/opensrp/opensrp-client-reveal", "show")</f>
        <v>show</v>
      </c>
      <c r="H7970" t="str">
        <f>HYPERLINK("https://github.com/opensrp/opensrp-client-reveal/releases", "show")</f>
        <v>show</v>
      </c>
      <c r="I7970">
        <v>1</v>
      </c>
      <c r="J7970">
        <v>0</v>
      </c>
      <c r="K7970">
        <v>0</v>
      </c>
      <c r="L7970">
        <v>0</v>
      </c>
      <c r="M7970" t="s">
        <v>17</v>
      </c>
    </row>
    <row r="7971" spans="1:13" hidden="1" x14ac:dyDescent="0.15">
      <c r="A7971" t="s">
        <v>24970</v>
      </c>
      <c r="B7971" t="s">
        <v>24971</v>
      </c>
      <c r="C7971" t="s">
        <v>24972</v>
      </c>
      <c r="D7971" t="s">
        <v>24966</v>
      </c>
      <c r="E7971">
        <v>159</v>
      </c>
      <c r="F7971" t="str">
        <f>HYPERLINK("https://github.com/JavaCafe01/PdfViewer/issues/41", "show")</f>
        <v>show</v>
      </c>
      <c r="G7971" t="str">
        <f>HYPERLINK("https://github.com/JavaCafe01/PdfViewer", "show")</f>
        <v>show</v>
      </c>
      <c r="H7971" t="str">
        <f>HYPERLINK("https://github.com/JavaCafe01/PdfViewer/releases", "show")</f>
        <v>show</v>
      </c>
      <c r="I7971">
        <v>1</v>
      </c>
      <c r="J7971">
        <v>0</v>
      </c>
      <c r="K7971">
        <v>0</v>
      </c>
      <c r="L7971">
        <v>0</v>
      </c>
      <c r="M7971" t="s">
        <v>17</v>
      </c>
    </row>
    <row r="7972" spans="1:13" hidden="1" x14ac:dyDescent="0.15">
      <c r="A7972" t="s">
        <v>24973</v>
      </c>
      <c r="B7972" t="s">
        <v>24974</v>
      </c>
      <c r="C7972" t="s">
        <v>24975</v>
      </c>
      <c r="D7972" t="s">
        <v>24966</v>
      </c>
      <c r="E7972">
        <v>0</v>
      </c>
      <c r="F7972" t="str">
        <f>HYPERLINK("https://github.com/niccokunzmann/mundraub-android/issues/293", "show")</f>
        <v>show</v>
      </c>
      <c r="G7972" t="str">
        <f>HYPERLINK("https://github.com/niccokunzmann/mundraub-android", "show")</f>
        <v>show</v>
      </c>
      <c r="H7972" t="str">
        <f>HYPERLINK("https://github.com/niccokunzmann/mundraub-android/releases", "show")</f>
        <v>show</v>
      </c>
      <c r="I7972">
        <v>0</v>
      </c>
      <c r="J7972">
        <v>0</v>
      </c>
      <c r="K7972">
        <v>0</v>
      </c>
      <c r="L7972">
        <v>0</v>
      </c>
      <c r="M7972" t="s">
        <v>43</v>
      </c>
    </row>
    <row r="7973" spans="1:13" x14ac:dyDescent="0.15">
      <c r="A7973" t="s">
        <v>24976</v>
      </c>
      <c r="B7973" t="s">
        <v>24977</v>
      </c>
      <c r="C7973" t="s">
        <v>24978</v>
      </c>
      <c r="D7973" t="s">
        <v>24966</v>
      </c>
      <c r="E7973">
        <v>0</v>
      </c>
      <c r="F7973" t="str">
        <f>HYPERLINK("https://github.com/ehwlfk2/Wegloo/issues/67", "show")</f>
        <v>show</v>
      </c>
      <c r="G7973" t="str">
        <f>HYPERLINK("https://github.com/ehwlfk2/Wegloo", "show")</f>
        <v>show</v>
      </c>
      <c r="H7973" t="str">
        <f>HYPERLINK("https://github.com/ehwlfk2/Wegloo/releases", "show")</f>
        <v>show</v>
      </c>
      <c r="I7973">
        <v>0</v>
      </c>
      <c r="J7973">
        <v>1</v>
      </c>
      <c r="K7973">
        <v>0</v>
      </c>
      <c r="L7973">
        <v>0</v>
      </c>
      <c r="M7973" t="s">
        <v>139</v>
      </c>
    </row>
    <row r="7974" spans="1:13" hidden="1" x14ac:dyDescent="0.15">
      <c r="A7974" t="s">
        <v>24979</v>
      </c>
      <c r="B7974" t="s">
        <v>24980</v>
      </c>
      <c r="C7974" t="s">
        <v>24981</v>
      </c>
      <c r="D7974" t="s">
        <v>24982</v>
      </c>
      <c r="E7974">
        <v>7</v>
      </c>
      <c r="F7974" t="str">
        <f>HYPERLINK("https://github.com/SkyTubeTeam/SkyTube/issues/548", "show")</f>
        <v>show</v>
      </c>
      <c r="G7974" t="str">
        <f>HYPERLINK("https://github.com/SkyTubeTeam/SkyTube", "show")</f>
        <v>show</v>
      </c>
      <c r="H7974" t="str">
        <f>HYPERLINK("https://github.com/SkyTubeTeam/SkyTube/releases", "show")</f>
        <v>show</v>
      </c>
      <c r="I7974">
        <v>1</v>
      </c>
      <c r="J7974">
        <v>0</v>
      </c>
      <c r="K7974">
        <v>0</v>
      </c>
      <c r="L7974">
        <v>0</v>
      </c>
      <c r="M7974" t="s">
        <v>17</v>
      </c>
    </row>
    <row r="7975" spans="1:13" hidden="1" x14ac:dyDescent="0.15">
      <c r="A7975" t="s">
        <v>24983</v>
      </c>
      <c r="B7975" t="s">
        <v>24984</v>
      </c>
      <c r="C7975" t="s">
        <v>24985</v>
      </c>
      <c r="D7975" t="s">
        <v>24982</v>
      </c>
      <c r="E7975">
        <v>37</v>
      </c>
      <c r="F7975" t="str">
        <f>HYPERLINK("https://github.com/material-components/material-components-android/issues/565", "show")</f>
        <v>show</v>
      </c>
      <c r="G7975" t="str">
        <f>HYPERLINK("https://github.com/material-components/material-components-android", "show")</f>
        <v>show</v>
      </c>
      <c r="H7975" t="str">
        <f>HYPERLINK("https://github.com/material-components/material-components-android/releases", "show")</f>
        <v>show</v>
      </c>
      <c r="I7975">
        <v>1</v>
      </c>
      <c r="J7975">
        <v>0</v>
      </c>
      <c r="K7975">
        <v>1</v>
      </c>
      <c r="L7975">
        <v>0</v>
      </c>
      <c r="M7975" t="s">
        <v>64</v>
      </c>
    </row>
    <row r="7976" spans="1:13" hidden="1" x14ac:dyDescent="0.15">
      <c r="A7976" t="s">
        <v>24986</v>
      </c>
      <c r="B7976" t="s">
        <v>24987</v>
      </c>
      <c r="C7976" t="s">
        <v>24988</v>
      </c>
      <c r="D7976" t="s">
        <v>24982</v>
      </c>
      <c r="E7976">
        <v>12</v>
      </c>
      <c r="F7976" t="str">
        <f>HYPERLINK("https://github.com/nextcloud/android-library/issues/336", "show")</f>
        <v>show</v>
      </c>
      <c r="G7976" t="str">
        <f>HYPERLINK("https://github.com/nextcloud/android-library", "show")</f>
        <v>show</v>
      </c>
      <c r="H7976" t="str">
        <f>HYPERLINK("https://github.com/nextcloud/android-library/releases", "show")</f>
        <v>show</v>
      </c>
      <c r="I7976">
        <v>1</v>
      </c>
      <c r="J7976">
        <v>0</v>
      </c>
      <c r="K7976">
        <v>1</v>
      </c>
      <c r="L7976">
        <v>0</v>
      </c>
      <c r="M7976" t="s">
        <v>64</v>
      </c>
    </row>
    <row r="7977" spans="1:13" hidden="1" x14ac:dyDescent="0.15">
      <c r="A7977" t="s">
        <v>24989</v>
      </c>
      <c r="B7977" t="s">
        <v>24990</v>
      </c>
      <c r="C7977" t="s">
        <v>24991</v>
      </c>
      <c r="D7977" t="s">
        <v>24982</v>
      </c>
      <c r="E7977">
        <v>17</v>
      </c>
      <c r="F7977" t="str">
        <f>HYPERLINK("https://github.com/Catfriend1/syncthing-android/issues/490", "show")</f>
        <v>show</v>
      </c>
      <c r="G7977" t="str">
        <f>HYPERLINK("https://github.com/Catfriend1/syncthing-android", "show")</f>
        <v>show</v>
      </c>
      <c r="H7977" t="str">
        <f>HYPERLINK("https://github.com/Catfriend1/syncthing-android/releases", "show")</f>
        <v>show</v>
      </c>
      <c r="I7977">
        <v>1</v>
      </c>
      <c r="J7977">
        <v>0</v>
      </c>
      <c r="K7977">
        <v>1</v>
      </c>
      <c r="L7977">
        <v>0</v>
      </c>
      <c r="M7977" t="s">
        <v>64</v>
      </c>
    </row>
    <row r="7978" spans="1:13" hidden="1" x14ac:dyDescent="0.15">
      <c r="A7978" t="s">
        <v>24992</v>
      </c>
      <c r="B7978" t="s">
        <v>24993</v>
      </c>
      <c r="C7978" t="s">
        <v>24994</v>
      </c>
      <c r="D7978" t="s">
        <v>24995</v>
      </c>
      <c r="E7978">
        <v>15</v>
      </c>
      <c r="F7978" t="str">
        <f>HYPERLINK("https://github.com/material-components/material-components-android/issues/561", "show")</f>
        <v>show</v>
      </c>
      <c r="G7978" t="str">
        <f>HYPERLINK("https://github.com/material-components/material-components-android", "show")</f>
        <v>show</v>
      </c>
      <c r="H7978" t="str">
        <f>HYPERLINK("https://github.com/material-components/material-components-android/releases", "show")</f>
        <v>show</v>
      </c>
      <c r="I7978">
        <v>1</v>
      </c>
      <c r="J7978">
        <v>0</v>
      </c>
      <c r="K7978">
        <v>1</v>
      </c>
      <c r="L7978">
        <v>0</v>
      </c>
      <c r="M7978" t="s">
        <v>64</v>
      </c>
    </row>
    <row r="7979" spans="1:13" hidden="1" x14ac:dyDescent="0.15">
      <c r="A7979" t="s">
        <v>24996</v>
      </c>
      <c r="B7979" t="s">
        <v>24997</v>
      </c>
      <c r="C7979" t="s">
        <v>24998</v>
      </c>
      <c r="D7979" t="s">
        <v>24995</v>
      </c>
      <c r="E7979">
        <v>23</v>
      </c>
      <c r="F7979" t="str">
        <f>HYPERLINK("https://github.com/CleverTap/clevertap-android-sdk/issues/33", "show")</f>
        <v>show</v>
      </c>
      <c r="G7979" t="str">
        <f>HYPERLINK("https://github.com/CleverTap/clevertap-android-sdk", "show")</f>
        <v>show</v>
      </c>
      <c r="H7979" t="str">
        <f>HYPERLINK("https://github.com/CleverTap/clevertap-android-sdk/releases", "show")</f>
        <v>show</v>
      </c>
      <c r="I7979">
        <v>0</v>
      </c>
      <c r="J7979">
        <v>0</v>
      </c>
      <c r="K7979">
        <v>1</v>
      </c>
      <c r="L7979">
        <v>0</v>
      </c>
      <c r="M7979" t="s">
        <v>122</v>
      </c>
    </row>
    <row r="7980" spans="1:13" hidden="1" x14ac:dyDescent="0.15">
      <c r="A7980" t="s">
        <v>24999</v>
      </c>
      <c r="B7980" t="s">
        <v>25000</v>
      </c>
      <c r="C7980" t="s">
        <v>25001</v>
      </c>
      <c r="D7980" t="s">
        <v>24995</v>
      </c>
      <c r="E7980">
        <v>2</v>
      </c>
      <c r="F7980" t="str">
        <f>HYPERLINK("https://github.com/niccokunzmann/mundraub-android/issues/289", "show")</f>
        <v>show</v>
      </c>
      <c r="G7980" t="str">
        <f>HYPERLINK("https://github.com/niccokunzmann/mundraub-android", "show")</f>
        <v>show</v>
      </c>
      <c r="H7980" t="str">
        <f>HYPERLINK("https://github.com/niccokunzmann/mundraub-android/releases", "show")</f>
        <v>show</v>
      </c>
      <c r="I7980">
        <v>0</v>
      </c>
      <c r="J7980">
        <v>0</v>
      </c>
      <c r="K7980">
        <v>0</v>
      </c>
      <c r="L7980">
        <v>0</v>
      </c>
      <c r="M7980" t="s">
        <v>43</v>
      </c>
    </row>
    <row r="7981" spans="1:13" hidden="1" x14ac:dyDescent="0.15">
      <c r="A7981" t="s">
        <v>25002</v>
      </c>
      <c r="B7981" t="s">
        <v>25003</v>
      </c>
      <c r="C7981" t="s">
        <v>25004</v>
      </c>
      <c r="D7981" t="s">
        <v>25005</v>
      </c>
      <c r="E7981">
        <v>41</v>
      </c>
      <c r="F7981" t="str">
        <f>HYPERLINK("https://github.com/plusonelabs/calendar-widget/issues/318", "show")</f>
        <v>show</v>
      </c>
      <c r="G7981" t="str">
        <f>HYPERLINK("https://github.com/plusonelabs/calendar-widget", "show")</f>
        <v>show</v>
      </c>
      <c r="H7981" t="str">
        <f>HYPERLINK("https://github.com/plusonelabs/calendar-widget/releases", "show")</f>
        <v>show</v>
      </c>
      <c r="I7981">
        <v>0</v>
      </c>
      <c r="J7981">
        <v>0</v>
      </c>
      <c r="K7981">
        <v>0</v>
      </c>
      <c r="L7981">
        <v>1</v>
      </c>
      <c r="M7981" t="s">
        <v>581</v>
      </c>
    </row>
    <row r="7982" spans="1:13" hidden="1" x14ac:dyDescent="0.15">
      <c r="A7982" t="s">
        <v>25006</v>
      </c>
      <c r="B7982" t="s">
        <v>25007</v>
      </c>
      <c r="C7982" t="s">
        <v>25008</v>
      </c>
      <c r="D7982" t="s">
        <v>25005</v>
      </c>
      <c r="E7982">
        <v>4</v>
      </c>
      <c r="F7982" t="str">
        <f>HYPERLINK("https://github.com/BoardiesITSolutions/FileDirectoryPicker/issues/3", "show")</f>
        <v>show</v>
      </c>
      <c r="G7982" t="str">
        <f>HYPERLINK("https://github.com/BoardiesITSolutions/FileDirectoryPicker", "show")</f>
        <v>show</v>
      </c>
      <c r="H7982" t="str">
        <f>HYPERLINK("https://github.com/BoardiesITSolutions/FileDirectoryPicker/releases", "show")</f>
        <v>show</v>
      </c>
      <c r="I7982">
        <v>1</v>
      </c>
      <c r="J7982">
        <v>0</v>
      </c>
      <c r="K7982">
        <v>1</v>
      </c>
      <c r="L7982">
        <v>0</v>
      </c>
      <c r="M7982" t="s">
        <v>64</v>
      </c>
    </row>
    <row r="7983" spans="1:13" hidden="1" x14ac:dyDescent="0.15">
      <c r="A7983" t="s">
        <v>25009</v>
      </c>
      <c r="B7983" t="s">
        <v>25010</v>
      </c>
      <c r="C7983" t="s">
        <v>25011</v>
      </c>
      <c r="D7983" t="s">
        <v>25005</v>
      </c>
      <c r="E7983">
        <v>686</v>
      </c>
      <c r="F7983" t="str">
        <f>HYPERLINK("https://github.com/guardianproject/proofmode/issues/64", "show")</f>
        <v>show</v>
      </c>
      <c r="G7983" t="str">
        <f>HYPERLINK("https://github.com/guardianproject/proofmode", "show")</f>
        <v>show</v>
      </c>
      <c r="H7983" t="str">
        <f>HYPERLINK("https://github.com/guardianproject/proofmode/releases", "show")</f>
        <v>show</v>
      </c>
      <c r="I7983">
        <v>1</v>
      </c>
      <c r="J7983">
        <v>0</v>
      </c>
      <c r="K7983">
        <v>1</v>
      </c>
      <c r="L7983">
        <v>0</v>
      </c>
      <c r="M7983" t="s">
        <v>64</v>
      </c>
    </row>
    <row r="7984" spans="1:13" hidden="1" x14ac:dyDescent="0.15">
      <c r="A7984" t="s">
        <v>25012</v>
      </c>
      <c r="B7984" t="s">
        <v>25013</v>
      </c>
      <c r="C7984" t="s">
        <v>25014</v>
      </c>
      <c r="D7984" t="s">
        <v>25015</v>
      </c>
      <c r="E7984">
        <v>3</v>
      </c>
      <c r="F7984" t="str">
        <f>HYPERLINK("https://github.com/material-components/material-components-android/issues/558", "show")</f>
        <v>show</v>
      </c>
      <c r="G7984" t="str">
        <f>HYPERLINK("https://github.com/material-components/material-components-android", "show")</f>
        <v>show</v>
      </c>
      <c r="H7984" t="str">
        <f>HYPERLINK("https://github.com/material-components/material-components-android/releases", "show")</f>
        <v>show</v>
      </c>
      <c r="I7984">
        <v>1</v>
      </c>
      <c r="J7984">
        <v>1</v>
      </c>
      <c r="K7984">
        <v>1</v>
      </c>
      <c r="L7984">
        <v>0</v>
      </c>
      <c r="M7984" t="s">
        <v>59</v>
      </c>
    </row>
    <row r="7985" spans="1:13" hidden="1" x14ac:dyDescent="0.15">
      <c r="A7985" t="s">
        <v>25016</v>
      </c>
      <c r="B7985" t="s">
        <v>25017</v>
      </c>
      <c r="C7985" t="s">
        <v>25018</v>
      </c>
      <c r="D7985" t="s">
        <v>25015</v>
      </c>
      <c r="E7985">
        <v>0</v>
      </c>
      <c r="F7985" t="str">
        <f>HYPERLINK("https://github.com/ThaChillera/CardScore/issues/21", "show")</f>
        <v>show</v>
      </c>
      <c r="G7985" t="str">
        <f>HYPERLINK("https://github.com/ThaChillera/CardScore", "show")</f>
        <v>show</v>
      </c>
      <c r="H7985" t="str">
        <f>HYPERLINK("https://github.com/ThaChillera/CardScore/releases", "show")</f>
        <v>show</v>
      </c>
      <c r="I7985">
        <v>1</v>
      </c>
      <c r="J7985">
        <v>0</v>
      </c>
      <c r="K7985">
        <v>0</v>
      </c>
      <c r="L7985">
        <v>0</v>
      </c>
      <c r="M7985" t="s">
        <v>17</v>
      </c>
    </row>
    <row r="7986" spans="1:13" hidden="1" x14ac:dyDescent="0.15">
      <c r="A7986" t="s">
        <v>25019</v>
      </c>
      <c r="B7986" t="s">
        <v>25020</v>
      </c>
      <c r="C7986" t="s">
        <v>736</v>
      </c>
      <c r="D7986" t="s">
        <v>25021</v>
      </c>
      <c r="E7986">
        <v>0</v>
      </c>
      <c r="F7986" t="str">
        <f>HYPERLINK("https://github.com/Catfriend1/syncthing-android/issues/477", "show")</f>
        <v>show</v>
      </c>
      <c r="G7986" t="str">
        <f>HYPERLINK("https://github.com/Catfriend1/syncthing-android", "show")</f>
        <v>show</v>
      </c>
      <c r="H7986" t="str">
        <f>HYPERLINK("https://github.com/Catfriend1/syncthing-android/releases", "show")</f>
        <v>show</v>
      </c>
      <c r="I7986">
        <v>1</v>
      </c>
      <c r="J7986">
        <v>0</v>
      </c>
      <c r="K7986">
        <v>1</v>
      </c>
      <c r="L7986">
        <v>0</v>
      </c>
      <c r="M7986" t="s">
        <v>64</v>
      </c>
    </row>
    <row r="7987" spans="1:13" hidden="1" x14ac:dyDescent="0.15">
      <c r="A7987" t="s">
        <v>25022</v>
      </c>
      <c r="B7987" t="s">
        <v>25023</v>
      </c>
      <c r="C7987" t="s">
        <v>25024</v>
      </c>
      <c r="D7987" t="s">
        <v>25021</v>
      </c>
      <c r="E7987">
        <v>0</v>
      </c>
      <c r="F7987" t="str">
        <f>HYPERLINK("https://github.com/fossasia/neurolab-android/issues/448", "show")</f>
        <v>show</v>
      </c>
      <c r="G7987" t="str">
        <f>HYPERLINK("https://github.com/fossasia/neurolab-android", "show")</f>
        <v>show</v>
      </c>
      <c r="H7987" t="str">
        <f>HYPERLINK("https://github.com/fossasia/neurolab-android/releases", "show")</f>
        <v>show</v>
      </c>
      <c r="I7987">
        <v>0</v>
      </c>
      <c r="J7987">
        <v>0</v>
      </c>
      <c r="K7987">
        <v>0</v>
      </c>
      <c r="L7987">
        <v>0</v>
      </c>
      <c r="M7987" t="s">
        <v>43</v>
      </c>
    </row>
    <row r="7988" spans="1:13" hidden="1" x14ac:dyDescent="0.15">
      <c r="A7988" t="s">
        <v>25025</v>
      </c>
      <c r="B7988" t="s">
        <v>25026</v>
      </c>
      <c r="C7988" t="s">
        <v>25027</v>
      </c>
      <c r="D7988" t="s">
        <v>25028</v>
      </c>
      <c r="E7988">
        <v>28</v>
      </c>
      <c r="F7988" t="str">
        <f>HYPERLINK("https://github.com/nextcloud/android/issues/4438", "show")</f>
        <v>show</v>
      </c>
      <c r="G7988" t="str">
        <f>HYPERLINK("https://github.com/nextcloud/android", "show")</f>
        <v>show</v>
      </c>
      <c r="H7988" t="str">
        <f>HYPERLINK("https://github.com/nextcloud/android/releases", "show")</f>
        <v>show</v>
      </c>
      <c r="I7988">
        <v>1</v>
      </c>
      <c r="J7988">
        <v>1</v>
      </c>
      <c r="K7988">
        <v>1</v>
      </c>
      <c r="L7988">
        <v>0</v>
      </c>
      <c r="M7988" t="s">
        <v>59</v>
      </c>
    </row>
    <row r="7989" spans="1:13" hidden="1" x14ac:dyDescent="0.15">
      <c r="A7989" t="s">
        <v>25029</v>
      </c>
      <c r="B7989" t="s">
        <v>25030</v>
      </c>
      <c r="C7989" t="s">
        <v>25031</v>
      </c>
      <c r="D7989" t="s">
        <v>25028</v>
      </c>
      <c r="E7989">
        <v>0</v>
      </c>
      <c r="F7989" t="str">
        <f>HYPERLINK("https://github.com/square/okhttp/issues/5402", "show")</f>
        <v>show</v>
      </c>
      <c r="G7989" t="str">
        <f>HYPERLINK("https://github.com/square/okhttp", "show")</f>
        <v>show</v>
      </c>
      <c r="H7989" t="str">
        <f>HYPERLINK("https://github.com/square/okhttp/releases", "show")</f>
        <v>show</v>
      </c>
      <c r="I7989">
        <v>1</v>
      </c>
      <c r="J7989">
        <v>0</v>
      </c>
      <c r="K7989">
        <v>0</v>
      </c>
      <c r="L7989">
        <v>1</v>
      </c>
      <c r="M7989" t="s">
        <v>29</v>
      </c>
    </row>
    <row r="7990" spans="1:13" hidden="1" x14ac:dyDescent="0.15">
      <c r="A7990" t="s">
        <v>25032</v>
      </c>
      <c r="B7990" t="s">
        <v>25033</v>
      </c>
      <c r="C7990" t="s">
        <v>25034</v>
      </c>
      <c r="D7990" t="s">
        <v>25028</v>
      </c>
      <c r="E7990">
        <v>0</v>
      </c>
      <c r="F7990" t="str">
        <f>HYPERLINK("https://github.com/square/okhttp/issues/5401", "show")</f>
        <v>show</v>
      </c>
      <c r="G7990" t="str">
        <f>HYPERLINK("https://github.com/square/okhttp", "show")</f>
        <v>show</v>
      </c>
      <c r="H7990" t="str">
        <f>HYPERLINK("https://github.com/square/okhttp/releases", "show")</f>
        <v>show</v>
      </c>
      <c r="I7990">
        <v>1</v>
      </c>
      <c r="J7990">
        <v>0</v>
      </c>
      <c r="K7990">
        <v>0</v>
      </c>
      <c r="L7990">
        <v>1</v>
      </c>
      <c r="M7990" t="s">
        <v>29</v>
      </c>
    </row>
    <row r="7991" spans="1:13" hidden="1" x14ac:dyDescent="0.15">
      <c r="A7991" t="s">
        <v>25035</v>
      </c>
      <c r="B7991" t="s">
        <v>25036</v>
      </c>
      <c r="C7991" t="s">
        <v>25037</v>
      </c>
      <c r="D7991" t="s">
        <v>25028</v>
      </c>
      <c r="E7991">
        <v>0</v>
      </c>
      <c r="F7991" t="str">
        <f>HYPERLINK("https://github.com/Alfresco/activiti-android-app/issues/80", "show")</f>
        <v>show</v>
      </c>
      <c r="G7991" t="str">
        <f>HYPERLINK("https://github.com/Alfresco/activiti-android-app", "show")</f>
        <v>show</v>
      </c>
      <c r="H7991" t="str">
        <f>HYPERLINK("https://github.com/Alfresco/activiti-android-app/releases", "show")</f>
        <v>show</v>
      </c>
      <c r="I7991">
        <v>0</v>
      </c>
      <c r="J7991">
        <v>0</v>
      </c>
      <c r="K7991">
        <v>0</v>
      </c>
      <c r="L7991">
        <v>0</v>
      </c>
      <c r="M7991" t="s">
        <v>43</v>
      </c>
    </row>
    <row r="7992" spans="1:13" hidden="1" x14ac:dyDescent="0.15">
      <c r="A7992" t="s">
        <v>25038</v>
      </c>
      <c r="B7992" t="s">
        <v>25039</v>
      </c>
      <c r="C7992" t="s">
        <v>25040</v>
      </c>
      <c r="D7992" t="s">
        <v>25041</v>
      </c>
      <c r="E7992">
        <v>69</v>
      </c>
      <c r="F7992" t="str">
        <f>HYPERLINK("https://github.com/material-components/material-components-android/issues/549", "show")</f>
        <v>show</v>
      </c>
      <c r="G7992" t="str">
        <f>HYPERLINK("https://github.com/material-components/material-components-android", "show")</f>
        <v>show</v>
      </c>
      <c r="H7992" t="str">
        <f>HYPERLINK("https://github.com/material-components/material-components-android/releases", "show")</f>
        <v>show</v>
      </c>
      <c r="I7992">
        <v>1</v>
      </c>
      <c r="J7992">
        <v>0</v>
      </c>
      <c r="K7992">
        <v>1</v>
      </c>
      <c r="L7992">
        <v>0</v>
      </c>
      <c r="M7992" t="s">
        <v>64</v>
      </c>
    </row>
    <row r="7993" spans="1:13" hidden="1" x14ac:dyDescent="0.15">
      <c r="A7993" t="s">
        <v>25042</v>
      </c>
      <c r="B7993" t="s">
        <v>25043</v>
      </c>
      <c r="C7993" t="s">
        <v>25044</v>
      </c>
      <c r="D7993" t="s">
        <v>25041</v>
      </c>
      <c r="E7993">
        <v>4</v>
      </c>
      <c r="F7993" t="str">
        <f>HYPERLINK("https://github.com/opensrp/opensrp-client-chw/issues/717", "show")</f>
        <v>show</v>
      </c>
      <c r="G7993" t="str">
        <f>HYPERLINK("https://github.com/opensrp/opensrp-client-chw", "show")</f>
        <v>show</v>
      </c>
      <c r="H7993" t="str">
        <f>HYPERLINK("https://github.com/opensrp/opensrp-client-chw/releases", "show")</f>
        <v>show</v>
      </c>
      <c r="I7993">
        <v>1</v>
      </c>
      <c r="J7993">
        <v>0</v>
      </c>
      <c r="K7993">
        <v>0</v>
      </c>
      <c r="L7993">
        <v>0</v>
      </c>
      <c r="M7993" t="s">
        <v>17</v>
      </c>
    </row>
    <row r="7994" spans="1:13" hidden="1" x14ac:dyDescent="0.15">
      <c r="A7994" t="s">
        <v>25045</v>
      </c>
      <c r="B7994" t="s">
        <v>25046</v>
      </c>
      <c r="C7994" t="s">
        <v>25047</v>
      </c>
      <c r="D7994" t="s">
        <v>25048</v>
      </c>
      <c r="E7994">
        <v>40</v>
      </c>
      <c r="F7994" t="str">
        <f>HYPERLINK("https://github.com/gggiovanny/dicas-auditorias-app/issues/3", "show")</f>
        <v>show</v>
      </c>
      <c r="G7994" t="str">
        <f>HYPERLINK("https://github.com/gggiovanny/dicas-auditorias-app", "show")</f>
        <v>show</v>
      </c>
      <c r="H7994" t="str">
        <f>HYPERLINK("https://github.com/gggiovanny/dicas-auditorias-app/releases", "show")</f>
        <v>show</v>
      </c>
      <c r="I7994">
        <v>0</v>
      </c>
      <c r="J7994">
        <v>0</v>
      </c>
      <c r="K7994">
        <v>0</v>
      </c>
      <c r="L7994">
        <v>0</v>
      </c>
      <c r="M7994" t="s">
        <v>43</v>
      </c>
    </row>
    <row r="7995" spans="1:13" hidden="1" x14ac:dyDescent="0.15">
      <c r="A7995" t="s">
        <v>25049</v>
      </c>
      <c r="B7995" t="s">
        <v>25050</v>
      </c>
      <c r="C7995" t="s">
        <v>25051</v>
      </c>
      <c r="D7995" t="s">
        <v>25048</v>
      </c>
      <c r="E7995">
        <v>0</v>
      </c>
      <c r="F7995" t="str">
        <f>HYPERLINK("https://github.com/gggiovanny/dicas-auditorias-app/issues/1", "show")</f>
        <v>show</v>
      </c>
      <c r="G7995" t="str">
        <f>HYPERLINK("https://github.com/gggiovanny/dicas-auditorias-app", "show")</f>
        <v>show</v>
      </c>
      <c r="H7995" t="str">
        <f>HYPERLINK("https://github.com/gggiovanny/dicas-auditorias-app/releases", "show")</f>
        <v>show</v>
      </c>
      <c r="I7995">
        <v>0</v>
      </c>
      <c r="J7995">
        <v>0</v>
      </c>
      <c r="K7995">
        <v>0</v>
      </c>
      <c r="L7995">
        <v>0</v>
      </c>
      <c r="M7995" t="s">
        <v>43</v>
      </c>
    </row>
    <row r="7996" spans="1:13" hidden="1" x14ac:dyDescent="0.15">
      <c r="A7996" t="s">
        <v>25052</v>
      </c>
      <c r="B7996" t="s">
        <v>25053</v>
      </c>
      <c r="C7996" t="s">
        <v>25054</v>
      </c>
      <c r="D7996" t="s">
        <v>25048</v>
      </c>
      <c r="E7996">
        <v>42</v>
      </c>
      <c r="F7996" t="str">
        <f>HYPERLINK("https://github.com/nextcloud/android/issues/4433", "show")</f>
        <v>show</v>
      </c>
      <c r="G7996" t="str">
        <f>HYPERLINK("https://github.com/nextcloud/android", "show")</f>
        <v>show</v>
      </c>
      <c r="H7996" t="str">
        <f>HYPERLINK("https://github.com/nextcloud/android/releases", "show")</f>
        <v>show</v>
      </c>
      <c r="I7996">
        <v>0</v>
      </c>
      <c r="J7996">
        <v>0</v>
      </c>
      <c r="K7996">
        <v>0</v>
      </c>
      <c r="L7996">
        <v>0</v>
      </c>
      <c r="M7996" t="s">
        <v>43</v>
      </c>
    </row>
    <row r="7997" spans="1:13" hidden="1" x14ac:dyDescent="0.15">
      <c r="A7997" t="s">
        <v>25055</v>
      </c>
      <c r="B7997" t="s">
        <v>25056</v>
      </c>
      <c r="C7997" t="s">
        <v>25057</v>
      </c>
      <c r="D7997" t="s">
        <v>25048</v>
      </c>
      <c r="E7997">
        <v>0</v>
      </c>
      <c r="F7997" t="str">
        <f>HYPERLINK("https://github.com/material-components/material-components-android/issues/542", "show")</f>
        <v>show</v>
      </c>
      <c r="G7997" t="str">
        <f>HYPERLINK("https://github.com/material-components/material-components-android", "show")</f>
        <v>show</v>
      </c>
      <c r="H7997" t="str">
        <f>HYPERLINK("https://github.com/material-components/material-components-android/releases", "show")</f>
        <v>show</v>
      </c>
      <c r="I7997">
        <v>1</v>
      </c>
      <c r="J7997">
        <v>0</v>
      </c>
      <c r="K7997">
        <v>1</v>
      </c>
      <c r="L7997">
        <v>0</v>
      </c>
      <c r="M7997" t="s">
        <v>64</v>
      </c>
    </row>
    <row r="7998" spans="1:13" x14ac:dyDescent="0.15">
      <c r="A7998" t="s">
        <v>25058</v>
      </c>
      <c r="B7998" t="s">
        <v>25059</v>
      </c>
      <c r="C7998" t="s">
        <v>25060</v>
      </c>
      <c r="D7998" t="s">
        <v>25048</v>
      </c>
      <c r="E7998">
        <v>16</v>
      </c>
      <c r="F7998" t="str">
        <f>HYPERLINK("https://github.com/nextcloud/android/issues/4431", "show")</f>
        <v>show</v>
      </c>
      <c r="G7998" t="str">
        <f>HYPERLINK("https://github.com/nextcloud/android", "show")</f>
        <v>show</v>
      </c>
      <c r="H7998" t="str">
        <f>HYPERLINK("https://github.com/nextcloud/android/releases", "show")</f>
        <v>show</v>
      </c>
      <c r="I7998">
        <v>0</v>
      </c>
      <c r="J7998">
        <v>1</v>
      </c>
      <c r="K7998">
        <v>0</v>
      </c>
      <c r="L7998">
        <v>0</v>
      </c>
      <c r="M7998" t="s">
        <v>139</v>
      </c>
    </row>
    <row r="7999" spans="1:13" hidden="1" x14ac:dyDescent="0.15">
      <c r="A7999" t="s">
        <v>25061</v>
      </c>
      <c r="B7999" t="s">
        <v>25062</v>
      </c>
      <c r="C7999" t="s">
        <v>25063</v>
      </c>
      <c r="D7999" t="s">
        <v>25048</v>
      </c>
      <c r="E7999">
        <v>31</v>
      </c>
      <c r="F7999" t="str">
        <f>HYPERLINK("https://github.com/danielR2001/flutter_exoplayer/issues/5", "show")</f>
        <v>show</v>
      </c>
      <c r="G7999" t="str">
        <f>HYPERLINK("https://github.com/danielR2001/flutter_exoplayer", "show")</f>
        <v>show</v>
      </c>
      <c r="H7999" t="str">
        <f>HYPERLINK("https://github.com/danielR2001/flutter_exoplayer/releases", "show")</f>
        <v>show</v>
      </c>
      <c r="I7999">
        <v>1</v>
      </c>
      <c r="J7999">
        <v>0</v>
      </c>
      <c r="K7999">
        <v>0</v>
      </c>
      <c r="L7999">
        <v>0</v>
      </c>
      <c r="M7999" t="s">
        <v>17</v>
      </c>
    </row>
    <row r="8000" spans="1:13" hidden="1" x14ac:dyDescent="0.15">
      <c r="A8000" t="s">
        <v>25064</v>
      </c>
      <c r="B8000" t="s">
        <v>25065</v>
      </c>
      <c r="C8000" t="s">
        <v>25066</v>
      </c>
      <c r="D8000" t="s">
        <v>25048</v>
      </c>
      <c r="E8000">
        <v>41</v>
      </c>
      <c r="F8000" t="str">
        <f>HYPERLINK("https://github.com/inaturalist/iNaturalistAndroid/issues/700", "show")</f>
        <v>show</v>
      </c>
      <c r="G8000" t="str">
        <f>HYPERLINK("https://github.com/inaturalist/iNaturalistAndroid", "show")</f>
        <v>show</v>
      </c>
      <c r="H8000" t="str">
        <f>HYPERLINK("https://github.com/inaturalist/iNaturalistAndroid/releases", "show")</f>
        <v>show</v>
      </c>
      <c r="I8000">
        <v>0</v>
      </c>
      <c r="J8000">
        <v>0</v>
      </c>
      <c r="K8000">
        <v>1</v>
      </c>
      <c r="L8000">
        <v>0</v>
      </c>
      <c r="M8000" t="s">
        <v>122</v>
      </c>
    </row>
    <row r="8001" spans="1:13" hidden="1" x14ac:dyDescent="0.15">
      <c r="A8001" t="s">
        <v>25067</v>
      </c>
      <c r="B8001" t="s">
        <v>25068</v>
      </c>
      <c r="C8001" t="s">
        <v>25069</v>
      </c>
      <c r="D8001" t="s">
        <v>25048</v>
      </c>
      <c r="E8001">
        <v>42</v>
      </c>
      <c r="F8001" t="str">
        <f>HYPERLINK("https://github.com/inaturalist/iNaturalistAndroid/issues/699", "show")</f>
        <v>show</v>
      </c>
      <c r="G8001" t="str">
        <f>HYPERLINK("https://github.com/inaturalist/iNaturalistAndroid", "show")</f>
        <v>show</v>
      </c>
      <c r="H8001" t="str">
        <f>HYPERLINK("https://github.com/inaturalist/iNaturalistAndroid/releases", "show")</f>
        <v>show</v>
      </c>
      <c r="I8001">
        <v>0</v>
      </c>
      <c r="J8001">
        <v>0</v>
      </c>
      <c r="K8001">
        <v>1</v>
      </c>
      <c r="L8001">
        <v>0</v>
      </c>
      <c r="M8001" t="s">
        <v>122</v>
      </c>
    </row>
    <row r="8002" spans="1:13" hidden="1" x14ac:dyDescent="0.15">
      <c r="A8002" t="s">
        <v>25070</v>
      </c>
      <c r="B8002" t="s">
        <v>25071</v>
      </c>
      <c r="D8002" t="s">
        <v>25072</v>
      </c>
      <c r="E8002">
        <v>0</v>
      </c>
      <c r="F8002" t="str">
        <f>HYPERLINK("https://github.com/shiftlyapp/Shiftly/issues/51", "show")</f>
        <v>show</v>
      </c>
      <c r="G8002" t="str">
        <f>HYPERLINK("https://github.com/shiftlyapp/Shiftly", "show")</f>
        <v>show</v>
      </c>
      <c r="H8002" t="str">
        <f>HYPERLINK("https://github.com/shiftlyapp/Shiftly/releases", "show")</f>
        <v>show</v>
      </c>
      <c r="I8002">
        <v>0</v>
      </c>
      <c r="J8002">
        <v>0</v>
      </c>
      <c r="K8002">
        <v>0</v>
      </c>
      <c r="L8002">
        <v>0</v>
      </c>
      <c r="M8002" t="s">
        <v>43</v>
      </c>
    </row>
    <row r="8003" spans="1:13" hidden="1" x14ac:dyDescent="0.15">
      <c r="A8003" t="s">
        <v>25073</v>
      </c>
      <c r="B8003" t="s">
        <v>25074</v>
      </c>
      <c r="C8003" t="s">
        <v>25075</v>
      </c>
      <c r="D8003" t="s">
        <v>25076</v>
      </c>
      <c r="E8003">
        <v>4</v>
      </c>
      <c r="F8003" t="str">
        <f>HYPERLINK("https://github.com/wdullaer/MaterialDateTimePicker/issues/609", "show")</f>
        <v>show</v>
      </c>
      <c r="G8003" t="str">
        <f>HYPERLINK("https://github.com/wdullaer/MaterialDateTimePicker", "show")</f>
        <v>show</v>
      </c>
      <c r="H8003" t="str">
        <f>HYPERLINK("https://github.com/wdullaer/MaterialDateTimePicker/releases", "show")</f>
        <v>show</v>
      </c>
      <c r="I8003">
        <v>1</v>
      </c>
      <c r="J8003">
        <v>0</v>
      </c>
      <c r="K8003">
        <v>1</v>
      </c>
      <c r="L8003">
        <v>0</v>
      </c>
      <c r="M8003" t="s">
        <v>64</v>
      </c>
    </row>
    <row r="8004" spans="1:13" hidden="1" x14ac:dyDescent="0.15">
      <c r="A8004" t="s">
        <v>25077</v>
      </c>
      <c r="B8004" t="s">
        <v>25078</v>
      </c>
      <c r="C8004" t="s">
        <v>25079</v>
      </c>
      <c r="D8004" t="s">
        <v>25076</v>
      </c>
      <c r="E8004">
        <v>49</v>
      </c>
      <c r="F8004" t="str">
        <f>HYPERLINK("https://github.com/MozillaReality/FirefoxReality/issues/1658", "show")</f>
        <v>show</v>
      </c>
      <c r="G8004" t="str">
        <f>HYPERLINK("https://github.com/MozillaReality/FirefoxReality", "show")</f>
        <v>show</v>
      </c>
      <c r="H8004" t="str">
        <f>HYPERLINK("https://github.com/MozillaReality/FirefoxReality/releases", "show")</f>
        <v>show</v>
      </c>
      <c r="I8004">
        <v>1</v>
      </c>
      <c r="J8004">
        <v>1</v>
      </c>
      <c r="K8004">
        <v>0</v>
      </c>
      <c r="L8004">
        <v>0</v>
      </c>
      <c r="M8004" t="s">
        <v>48</v>
      </c>
    </row>
    <row r="8005" spans="1:13" hidden="1" x14ac:dyDescent="0.15">
      <c r="A8005" t="s">
        <v>25080</v>
      </c>
      <c r="B8005" t="s">
        <v>25081</v>
      </c>
      <c r="C8005" t="s">
        <v>25082</v>
      </c>
      <c r="D8005" t="s">
        <v>25076</v>
      </c>
      <c r="E8005">
        <v>6</v>
      </c>
      <c r="F8005" t="str">
        <f>HYPERLINK("https://github.com/opensrp/opensrp-client-chw/issues/671", "show")</f>
        <v>show</v>
      </c>
      <c r="G8005" t="str">
        <f>HYPERLINK("https://github.com/opensrp/opensrp-client-chw", "show")</f>
        <v>show</v>
      </c>
      <c r="H8005" t="str">
        <f>HYPERLINK("https://github.com/opensrp/opensrp-client-chw/releases", "show")</f>
        <v>show</v>
      </c>
      <c r="I8005">
        <v>1</v>
      </c>
      <c r="J8005">
        <v>0</v>
      </c>
      <c r="K8005">
        <v>0</v>
      </c>
      <c r="L8005">
        <v>0</v>
      </c>
      <c r="M8005" t="s">
        <v>17</v>
      </c>
    </row>
    <row r="8006" spans="1:13" hidden="1" x14ac:dyDescent="0.15">
      <c r="A8006" t="s">
        <v>25083</v>
      </c>
      <c r="B8006" t="s">
        <v>25084</v>
      </c>
      <c r="C8006" t="s">
        <v>25085</v>
      </c>
      <c r="D8006" t="s">
        <v>25076</v>
      </c>
      <c r="E8006">
        <v>6</v>
      </c>
      <c r="F8006" t="str">
        <f>HYPERLINK("https://github.com/opensrp/opensrp-client-chw/issues/670", "show")</f>
        <v>show</v>
      </c>
      <c r="G8006" t="str">
        <f>HYPERLINK("https://github.com/opensrp/opensrp-client-chw", "show")</f>
        <v>show</v>
      </c>
      <c r="H8006" t="str">
        <f>HYPERLINK("https://github.com/opensrp/opensrp-client-chw/releases", "show")</f>
        <v>show</v>
      </c>
      <c r="I8006">
        <v>1</v>
      </c>
      <c r="J8006">
        <v>0</v>
      </c>
      <c r="K8006">
        <v>0</v>
      </c>
      <c r="L8006">
        <v>0</v>
      </c>
      <c r="M8006" t="s">
        <v>17</v>
      </c>
    </row>
    <row r="8007" spans="1:13" hidden="1" x14ac:dyDescent="0.15">
      <c r="A8007" t="s">
        <v>25086</v>
      </c>
      <c r="B8007" t="s">
        <v>25087</v>
      </c>
      <c r="C8007" t="s">
        <v>25088</v>
      </c>
      <c r="D8007" t="s">
        <v>25076</v>
      </c>
      <c r="E8007">
        <v>1</v>
      </c>
      <c r="F8007" t="str">
        <f>HYPERLINK("https://github.com/opensrp/opensrp-client-chw/issues/668", "show")</f>
        <v>show</v>
      </c>
      <c r="G8007" t="str">
        <f>HYPERLINK("https://github.com/opensrp/opensrp-client-chw", "show")</f>
        <v>show</v>
      </c>
      <c r="H8007" t="str">
        <f>HYPERLINK("https://github.com/opensrp/opensrp-client-chw/releases", "show")</f>
        <v>show</v>
      </c>
      <c r="I8007">
        <v>1</v>
      </c>
      <c r="J8007">
        <v>0</v>
      </c>
      <c r="K8007">
        <v>0</v>
      </c>
      <c r="L8007">
        <v>0</v>
      </c>
      <c r="M8007" t="s">
        <v>17</v>
      </c>
    </row>
    <row r="8008" spans="1:13" hidden="1" x14ac:dyDescent="0.15">
      <c r="A8008" t="s">
        <v>25089</v>
      </c>
      <c r="B8008" t="s">
        <v>25087</v>
      </c>
      <c r="C8008" t="s">
        <v>25088</v>
      </c>
      <c r="D8008" t="s">
        <v>25076</v>
      </c>
      <c r="E8008">
        <v>0</v>
      </c>
      <c r="F8008" t="str">
        <f>HYPERLINK("https://github.com/opensrp/opensrp-client-chw-anc/issues/243", "show")</f>
        <v>show</v>
      </c>
      <c r="G8008" t="str">
        <f>HYPERLINK("https://github.com/opensrp/opensrp-client-chw-anc", "show")</f>
        <v>show</v>
      </c>
      <c r="H8008" t="str">
        <f>HYPERLINK("https://github.com/opensrp/opensrp-client-chw-anc/releases", "show")</f>
        <v>show</v>
      </c>
      <c r="I8008">
        <v>1</v>
      </c>
      <c r="J8008">
        <v>0</v>
      </c>
      <c r="K8008">
        <v>0</v>
      </c>
      <c r="L8008">
        <v>0</v>
      </c>
      <c r="M8008" t="s">
        <v>17</v>
      </c>
    </row>
    <row r="8009" spans="1:13" hidden="1" x14ac:dyDescent="0.15">
      <c r="A8009" t="s">
        <v>25090</v>
      </c>
      <c r="B8009" t="s">
        <v>25091</v>
      </c>
      <c r="C8009" t="s">
        <v>25091</v>
      </c>
      <c r="D8009" t="s">
        <v>25076</v>
      </c>
      <c r="E8009">
        <v>49</v>
      </c>
      <c r="F8009" t="str">
        <f>HYPERLINK("https://github.com/open-webrtc-toolkit/owt-client-android/issues/141", "show")</f>
        <v>show</v>
      </c>
      <c r="G8009" t="str">
        <f>HYPERLINK("https://github.com/open-webrtc-toolkit/owt-client-android", "show")</f>
        <v>show</v>
      </c>
      <c r="H8009" t="str">
        <f>HYPERLINK("https://github.com/open-webrtc-toolkit/owt-client-android/releases", "show")</f>
        <v>show</v>
      </c>
      <c r="I8009">
        <v>1</v>
      </c>
      <c r="J8009">
        <v>0</v>
      </c>
      <c r="K8009">
        <v>0</v>
      </c>
      <c r="L8009">
        <v>0</v>
      </c>
      <c r="M8009" t="s">
        <v>17</v>
      </c>
    </row>
    <row r="8010" spans="1:13" hidden="1" x14ac:dyDescent="0.15">
      <c r="A8010" t="s">
        <v>25092</v>
      </c>
      <c r="B8010" t="s">
        <v>25093</v>
      </c>
      <c r="C8010" t="s">
        <v>25094</v>
      </c>
      <c r="D8010" t="s">
        <v>25076</v>
      </c>
      <c r="E8010">
        <v>5</v>
      </c>
      <c r="F8010" t="str">
        <f>HYPERLINK("https://github.com/AlphaWallet/alpha-wallet-android/issues/832", "show")</f>
        <v>show</v>
      </c>
      <c r="G8010" t="str">
        <f>HYPERLINK("https://github.com/AlphaWallet/alpha-wallet-android", "show")</f>
        <v>show</v>
      </c>
      <c r="H8010" t="str">
        <f>HYPERLINK("https://github.com/AlphaWallet/alpha-wallet-android/releases", "show")</f>
        <v>show</v>
      </c>
      <c r="I8010">
        <v>0</v>
      </c>
      <c r="J8010">
        <v>0</v>
      </c>
      <c r="K8010">
        <v>0</v>
      </c>
      <c r="L8010">
        <v>0</v>
      </c>
      <c r="M8010" t="s">
        <v>43</v>
      </c>
    </row>
    <row r="8011" spans="1:13" hidden="1" x14ac:dyDescent="0.15">
      <c r="A8011" t="s">
        <v>25095</v>
      </c>
      <c r="B8011" t="s">
        <v>25096</v>
      </c>
      <c r="C8011" t="s">
        <v>25097</v>
      </c>
      <c r="D8011" t="s">
        <v>25098</v>
      </c>
      <c r="E8011">
        <v>18</v>
      </c>
      <c r="F8011" t="str">
        <f>HYPERLINK("https://github.com/Swati4star/Images-to-PDF/issues/789", "show")</f>
        <v>show</v>
      </c>
      <c r="G8011" t="str">
        <f>HYPERLINK("https://github.com/Swati4star/Images-to-PDF", "show")</f>
        <v>show</v>
      </c>
      <c r="H8011" t="str">
        <f>HYPERLINK("https://github.com/Swati4star/Images-to-PDF/releases", "show")</f>
        <v>show</v>
      </c>
      <c r="I8011">
        <v>1</v>
      </c>
      <c r="J8011">
        <v>1</v>
      </c>
      <c r="K8011">
        <v>0</v>
      </c>
      <c r="L8011">
        <v>0</v>
      </c>
      <c r="M8011" t="s">
        <v>48</v>
      </c>
    </row>
    <row r="8012" spans="1:13" hidden="1" x14ac:dyDescent="0.15">
      <c r="A8012" t="s">
        <v>25099</v>
      </c>
      <c r="B8012" t="s">
        <v>25100</v>
      </c>
      <c r="C8012" t="s">
        <v>25101</v>
      </c>
      <c r="D8012" t="s">
        <v>25098</v>
      </c>
      <c r="E8012">
        <v>72</v>
      </c>
      <c r="F8012" t="str">
        <f>HYPERLINK("https://github.com/nextcloud/android/issues/4414", "show")</f>
        <v>show</v>
      </c>
      <c r="G8012" t="str">
        <f>HYPERLINK("https://github.com/nextcloud/android", "show")</f>
        <v>show</v>
      </c>
      <c r="H8012" t="str">
        <f>HYPERLINK("https://github.com/nextcloud/android/releases", "show")</f>
        <v>show</v>
      </c>
      <c r="I8012">
        <v>1</v>
      </c>
      <c r="J8012">
        <v>0</v>
      </c>
      <c r="K8012">
        <v>1</v>
      </c>
      <c r="L8012">
        <v>0</v>
      </c>
      <c r="M8012" t="s">
        <v>64</v>
      </c>
    </row>
    <row r="8013" spans="1:13" hidden="1" x14ac:dyDescent="0.15">
      <c r="A8013" t="s">
        <v>25102</v>
      </c>
      <c r="B8013" t="s">
        <v>25103</v>
      </c>
      <c r="C8013" t="s">
        <v>25104</v>
      </c>
      <c r="D8013" t="s">
        <v>25105</v>
      </c>
      <c r="E8013">
        <v>1</v>
      </c>
      <c r="F8013" t="str">
        <f>HYPERLINK("https://github.com/nextcloud/android/issues/4413", "show")</f>
        <v>show</v>
      </c>
      <c r="G8013" t="str">
        <f>HYPERLINK("https://github.com/nextcloud/android", "show")</f>
        <v>show</v>
      </c>
      <c r="H8013" t="str">
        <f>HYPERLINK("https://github.com/nextcloud/android/releases", "show")</f>
        <v>show</v>
      </c>
      <c r="I8013">
        <v>1</v>
      </c>
      <c r="J8013">
        <v>1</v>
      </c>
      <c r="K8013">
        <v>1</v>
      </c>
      <c r="L8013">
        <v>0</v>
      </c>
      <c r="M8013" t="s">
        <v>59</v>
      </c>
    </row>
    <row r="8014" spans="1:13" hidden="1" x14ac:dyDescent="0.15">
      <c r="A8014" t="s">
        <v>25106</v>
      </c>
      <c r="B8014" t="s">
        <v>4312</v>
      </c>
      <c r="C8014" t="s">
        <v>12185</v>
      </c>
      <c r="D8014" t="s">
        <v>25105</v>
      </c>
      <c r="E8014">
        <v>0</v>
      </c>
      <c r="F8014" t="str">
        <f>HYPERLINK("https://github.com/nextcloud/android/issues/4407", "show")</f>
        <v>show</v>
      </c>
      <c r="G8014" t="str">
        <f>HYPERLINK("https://github.com/nextcloud/android", "show")</f>
        <v>show</v>
      </c>
      <c r="H8014" t="str">
        <f>HYPERLINK("https://github.com/nextcloud/android/releases", "show")</f>
        <v>show</v>
      </c>
      <c r="I8014">
        <v>0</v>
      </c>
      <c r="J8014">
        <v>0</v>
      </c>
      <c r="K8014">
        <v>1</v>
      </c>
      <c r="L8014">
        <v>0</v>
      </c>
      <c r="M8014" t="s">
        <v>122</v>
      </c>
    </row>
    <row r="8015" spans="1:13" hidden="1" x14ac:dyDescent="0.15">
      <c r="A8015" t="s">
        <v>25107</v>
      </c>
      <c r="B8015" t="s">
        <v>25108</v>
      </c>
      <c r="C8015" t="s">
        <v>12185</v>
      </c>
      <c r="D8015" t="s">
        <v>25109</v>
      </c>
      <c r="E8015">
        <v>1</v>
      </c>
      <c r="F8015" t="str">
        <f>HYPERLINK("https://github.com/nextcloud/android/issues/4405", "show")</f>
        <v>show</v>
      </c>
      <c r="G8015" t="str">
        <f>HYPERLINK("https://github.com/nextcloud/android", "show")</f>
        <v>show</v>
      </c>
      <c r="H8015" t="str">
        <f>HYPERLINK("https://github.com/nextcloud/android/releases", "show")</f>
        <v>show</v>
      </c>
      <c r="I8015">
        <v>1</v>
      </c>
      <c r="J8015">
        <v>0</v>
      </c>
      <c r="K8015">
        <v>1</v>
      </c>
      <c r="L8015">
        <v>0</v>
      </c>
      <c r="M8015" t="s">
        <v>64</v>
      </c>
    </row>
    <row r="8016" spans="1:13" hidden="1" x14ac:dyDescent="0.15">
      <c r="A8016" t="s">
        <v>25110</v>
      </c>
      <c r="B8016" t="s">
        <v>25111</v>
      </c>
      <c r="C8016" t="s">
        <v>25112</v>
      </c>
      <c r="D8016" t="s">
        <v>25109</v>
      </c>
      <c r="E8016">
        <v>4</v>
      </c>
      <c r="F8016" t="str">
        <f>HYPERLINK("https://github.com/opensrp/opensrp-client-reveal/issues/378", "show")</f>
        <v>show</v>
      </c>
      <c r="G8016" t="str">
        <f>HYPERLINK("https://github.com/opensrp/opensrp-client-reveal", "show")</f>
        <v>show</v>
      </c>
      <c r="H8016" t="str">
        <f>HYPERLINK("https://github.com/opensrp/opensrp-client-reveal/releases", "show")</f>
        <v>show</v>
      </c>
      <c r="I8016">
        <v>0</v>
      </c>
      <c r="J8016">
        <v>0</v>
      </c>
      <c r="K8016">
        <v>0</v>
      </c>
      <c r="L8016">
        <v>0</v>
      </c>
      <c r="M8016" t="s">
        <v>43</v>
      </c>
    </row>
    <row r="8017" spans="1:13" hidden="1" x14ac:dyDescent="0.15">
      <c r="A8017" t="s">
        <v>25113</v>
      </c>
      <c r="B8017" t="s">
        <v>25114</v>
      </c>
      <c r="C8017" t="s">
        <v>25115</v>
      </c>
      <c r="D8017" t="s">
        <v>25109</v>
      </c>
      <c r="E8017">
        <v>4</v>
      </c>
      <c r="F8017" t="str">
        <f>HYPERLINK("https://github.com/freshollie/UsbGps4Droid/issues/16", "show")</f>
        <v>show</v>
      </c>
      <c r="G8017" t="str">
        <f>HYPERLINK("https://github.com/freshollie/UsbGps4Droid", "show")</f>
        <v>show</v>
      </c>
      <c r="H8017" t="str">
        <f>HYPERLINK("https://github.com/freshollie/UsbGps4Droid/releases", "show")</f>
        <v>show</v>
      </c>
      <c r="I8017">
        <v>1</v>
      </c>
      <c r="J8017">
        <v>0</v>
      </c>
      <c r="K8017">
        <v>1</v>
      </c>
      <c r="L8017">
        <v>0</v>
      </c>
      <c r="M8017" t="s">
        <v>64</v>
      </c>
    </row>
    <row r="8018" spans="1:13" hidden="1" x14ac:dyDescent="0.15">
      <c r="A8018" t="s">
        <v>25116</v>
      </c>
      <c r="B8018" t="s">
        <v>25117</v>
      </c>
      <c r="C8018" t="s">
        <v>25118</v>
      </c>
      <c r="D8018" t="s">
        <v>25109</v>
      </c>
      <c r="E8018">
        <v>3</v>
      </c>
      <c r="F8018" t="str">
        <f>HYPERLINK("https://github.com/Omega-R/OmegaRecyclerView/issues/140", "show")</f>
        <v>show</v>
      </c>
      <c r="G8018" t="str">
        <f>HYPERLINK("https://github.com/Omega-R/OmegaRecyclerView", "show")</f>
        <v>show</v>
      </c>
      <c r="H8018" t="str">
        <f>HYPERLINK("https://github.com/Omega-R/OmegaRecyclerView/releases", "show")</f>
        <v>show</v>
      </c>
      <c r="I8018">
        <v>1</v>
      </c>
      <c r="J8018">
        <v>0</v>
      </c>
      <c r="K8018">
        <v>1</v>
      </c>
      <c r="L8018">
        <v>0</v>
      </c>
      <c r="M8018" t="s">
        <v>64</v>
      </c>
    </row>
    <row r="8019" spans="1:13" hidden="1" x14ac:dyDescent="0.15">
      <c r="A8019" t="s">
        <v>25119</v>
      </c>
      <c r="B8019" t="s">
        <v>25120</v>
      </c>
      <c r="C8019" t="s">
        <v>25121</v>
      </c>
      <c r="D8019" t="s">
        <v>25109</v>
      </c>
      <c r="E8019">
        <v>55</v>
      </c>
      <c r="F8019" t="str">
        <f>HYPERLINK("https://github.com/nextcloud/android/issues/4399", "show")</f>
        <v>show</v>
      </c>
      <c r="G8019" t="str">
        <f>HYPERLINK("https://github.com/nextcloud/android", "show")</f>
        <v>show</v>
      </c>
      <c r="H8019" t="str">
        <f>HYPERLINK("https://github.com/nextcloud/android/releases", "show")</f>
        <v>show</v>
      </c>
      <c r="I8019">
        <v>1</v>
      </c>
      <c r="J8019">
        <v>0</v>
      </c>
      <c r="K8019">
        <v>1</v>
      </c>
      <c r="L8019">
        <v>0</v>
      </c>
      <c r="M8019" t="s">
        <v>64</v>
      </c>
    </row>
    <row r="8020" spans="1:13" hidden="1" x14ac:dyDescent="0.15">
      <c r="A8020" t="s">
        <v>25122</v>
      </c>
      <c r="B8020" t="s">
        <v>25123</v>
      </c>
      <c r="D8020" t="s">
        <v>25109</v>
      </c>
      <c r="E8020">
        <v>109</v>
      </c>
      <c r="F8020" t="str">
        <f>HYPERLINK("https://github.com/TuyaInc/tuyasmart_home_android_sdk/issues/61", "show")</f>
        <v>show</v>
      </c>
      <c r="G8020" t="str">
        <f>HYPERLINK("https://github.com/TuyaInc/tuyasmart_home_android_sdk", "show")</f>
        <v>show</v>
      </c>
      <c r="H8020" t="str">
        <f>HYPERLINK("https://github.com/TuyaInc/tuyasmart_home_android_sdk/releases", "show")</f>
        <v>show</v>
      </c>
      <c r="I8020">
        <v>0</v>
      </c>
      <c r="J8020">
        <v>0</v>
      </c>
      <c r="K8020">
        <v>0</v>
      </c>
      <c r="L8020">
        <v>0</v>
      </c>
      <c r="M8020" t="s">
        <v>43</v>
      </c>
    </row>
    <row r="8021" spans="1:13" hidden="1" x14ac:dyDescent="0.15">
      <c r="A8021" t="s">
        <v>25124</v>
      </c>
      <c r="B8021" t="s">
        <v>25125</v>
      </c>
      <c r="C8021" t="s">
        <v>25126</v>
      </c>
      <c r="D8021" t="s">
        <v>25109</v>
      </c>
      <c r="E8021">
        <v>305</v>
      </c>
      <c r="F8021" t="str">
        <f>HYPERLINK("https://github.com/commons-app/apps-android-commons/issues/3140", "show")</f>
        <v>show</v>
      </c>
      <c r="G8021" t="str">
        <f>HYPERLINK("https://github.com/commons-app/apps-android-commons", "show")</f>
        <v>show</v>
      </c>
      <c r="H8021" t="str">
        <f>HYPERLINK("https://github.com/commons-app/apps-android-commons/releases", "show")</f>
        <v>show</v>
      </c>
      <c r="I8021">
        <v>1</v>
      </c>
      <c r="J8021">
        <v>0</v>
      </c>
      <c r="K8021">
        <v>1</v>
      </c>
      <c r="L8021">
        <v>0</v>
      </c>
      <c r="M8021" t="s">
        <v>64</v>
      </c>
    </row>
    <row r="8022" spans="1:13" hidden="1" x14ac:dyDescent="0.15">
      <c r="A8022" t="s">
        <v>25127</v>
      </c>
      <c r="B8022" t="s">
        <v>25128</v>
      </c>
      <c r="C8022" t="s">
        <v>25129</v>
      </c>
      <c r="D8022" t="s">
        <v>25130</v>
      </c>
      <c r="E8022">
        <v>1</v>
      </c>
      <c r="F8022" t="str">
        <f>HYPERLINK("https://github.com/wiglenet/wigle-wifi-wardriving/issues/366", "show")</f>
        <v>show</v>
      </c>
      <c r="G8022" t="str">
        <f>HYPERLINK("https://github.com/wiglenet/wigle-wifi-wardriving", "show")</f>
        <v>show</v>
      </c>
      <c r="H8022" t="str">
        <f>HYPERLINK("https://github.com/wiglenet/wigle-wifi-wardriving/releases", "show")</f>
        <v>show</v>
      </c>
      <c r="I8022">
        <v>1</v>
      </c>
      <c r="J8022">
        <v>0</v>
      </c>
      <c r="K8022">
        <v>0</v>
      </c>
      <c r="L8022">
        <v>0</v>
      </c>
      <c r="M8022" t="s">
        <v>17</v>
      </c>
    </row>
    <row r="8023" spans="1:13" hidden="1" x14ac:dyDescent="0.15">
      <c r="A8023" t="s">
        <v>25131</v>
      </c>
      <c r="B8023" t="s">
        <v>25132</v>
      </c>
      <c r="C8023" t="s">
        <v>25133</v>
      </c>
      <c r="D8023" t="s">
        <v>25130</v>
      </c>
      <c r="E8023">
        <v>857</v>
      </c>
      <c r="F8023" t="str">
        <f>HYPERLINK("https://github.com/cgeo/cgeo/issues/7804", "show")</f>
        <v>show</v>
      </c>
      <c r="G8023" t="str">
        <f>HYPERLINK("https://github.com/cgeo/cgeo", "show")</f>
        <v>show</v>
      </c>
      <c r="H8023" t="str">
        <f>HYPERLINK("https://github.com/cgeo/cgeo/releases", "show")</f>
        <v>show</v>
      </c>
      <c r="I8023">
        <v>1</v>
      </c>
      <c r="J8023">
        <v>1</v>
      </c>
      <c r="K8023">
        <v>1</v>
      </c>
      <c r="L8023">
        <v>0</v>
      </c>
      <c r="M8023" t="s">
        <v>59</v>
      </c>
    </row>
    <row r="8024" spans="1:13" x14ac:dyDescent="0.15">
      <c r="A8024" t="s">
        <v>25134</v>
      </c>
      <c r="B8024" t="s">
        <v>25135</v>
      </c>
      <c r="C8024" t="s">
        <v>25136</v>
      </c>
      <c r="D8024" t="s">
        <v>25130</v>
      </c>
      <c r="E8024">
        <v>0</v>
      </c>
      <c r="F8024" t="str">
        <f>HYPERLINK("https://github.com/cgeo/cgeo/issues/7800", "show")</f>
        <v>show</v>
      </c>
      <c r="G8024" t="str">
        <f>HYPERLINK("https://github.com/cgeo/cgeo", "show")</f>
        <v>show</v>
      </c>
      <c r="H8024" t="str">
        <f>HYPERLINK("https://github.com/cgeo/cgeo/releases", "show")</f>
        <v>show</v>
      </c>
      <c r="I8024">
        <v>0</v>
      </c>
      <c r="J8024">
        <v>1</v>
      </c>
      <c r="K8024">
        <v>0</v>
      </c>
      <c r="L8024">
        <v>0</v>
      </c>
      <c r="M8024" t="s">
        <v>139</v>
      </c>
    </row>
    <row r="8025" spans="1:13" hidden="1" x14ac:dyDescent="0.15">
      <c r="A8025" t="s">
        <v>25137</v>
      </c>
      <c r="B8025" t="s">
        <v>25138</v>
      </c>
      <c r="C8025" t="s">
        <v>25139</v>
      </c>
      <c r="D8025" t="s">
        <v>25130</v>
      </c>
      <c r="E8025">
        <v>2</v>
      </c>
      <c r="F8025" t="str">
        <f>HYPERLINK("https://github.com/cgeo/cgeo/issues/7799", "show")</f>
        <v>show</v>
      </c>
      <c r="G8025" t="str">
        <f>HYPERLINK("https://github.com/cgeo/cgeo", "show")</f>
        <v>show</v>
      </c>
      <c r="H8025" t="str">
        <f>HYPERLINK("https://github.com/cgeo/cgeo/releases", "show")</f>
        <v>show</v>
      </c>
      <c r="I8025">
        <v>1</v>
      </c>
      <c r="J8025">
        <v>1</v>
      </c>
      <c r="K8025">
        <v>0</v>
      </c>
      <c r="L8025">
        <v>1</v>
      </c>
      <c r="M8025" t="s">
        <v>1894</v>
      </c>
    </row>
    <row r="8026" spans="1:13" hidden="1" x14ac:dyDescent="0.15">
      <c r="A8026" t="s">
        <v>25140</v>
      </c>
      <c r="B8026" t="s">
        <v>25141</v>
      </c>
      <c r="C8026" t="s">
        <v>25142</v>
      </c>
      <c r="D8026" t="s">
        <v>25130</v>
      </c>
      <c r="E8026">
        <v>407</v>
      </c>
      <c r="F8026" t="str">
        <f>HYPERLINK("https://github.com/innoveit/react-native-ble-manager/issues/542", "show")</f>
        <v>show</v>
      </c>
      <c r="G8026" t="str">
        <f>HYPERLINK("https://github.com/innoveit/react-native-ble-manager", "show")</f>
        <v>show</v>
      </c>
      <c r="H8026" t="str">
        <f>HYPERLINK("https://github.com/innoveit/react-native-ble-manager/releases", "show")</f>
        <v>show</v>
      </c>
      <c r="I8026">
        <v>1</v>
      </c>
      <c r="J8026">
        <v>0</v>
      </c>
      <c r="K8026">
        <v>0</v>
      </c>
      <c r="L8026">
        <v>0</v>
      </c>
      <c r="M8026" t="s">
        <v>17</v>
      </c>
    </row>
    <row r="8027" spans="1:13" hidden="1" x14ac:dyDescent="0.15">
      <c r="A8027" t="s">
        <v>25143</v>
      </c>
      <c r="B8027" t="s">
        <v>25144</v>
      </c>
      <c r="C8027" t="s">
        <v>25145</v>
      </c>
      <c r="D8027" t="s">
        <v>25130</v>
      </c>
      <c r="E8027">
        <v>0</v>
      </c>
      <c r="F8027" t="str">
        <f>HYPERLINK("https://github.com/nextcloud/android/issues/4369", "show")</f>
        <v>show</v>
      </c>
      <c r="G8027" t="str">
        <f>HYPERLINK("https://github.com/nextcloud/android", "show")</f>
        <v>show</v>
      </c>
      <c r="H8027" t="str">
        <f>HYPERLINK("https://github.com/nextcloud/android/releases", "show")</f>
        <v>show</v>
      </c>
      <c r="I8027">
        <v>1</v>
      </c>
      <c r="J8027">
        <v>0</v>
      </c>
      <c r="K8027">
        <v>1</v>
      </c>
      <c r="L8027">
        <v>0</v>
      </c>
      <c r="M8027" t="s">
        <v>64</v>
      </c>
    </row>
    <row r="8028" spans="1:13" hidden="1" x14ac:dyDescent="0.15">
      <c r="A8028" t="s">
        <v>25146</v>
      </c>
      <c r="B8028" t="s">
        <v>25147</v>
      </c>
      <c r="C8028" t="s">
        <v>25148</v>
      </c>
      <c r="D8028" t="s">
        <v>25130</v>
      </c>
      <c r="E8028">
        <v>6</v>
      </c>
      <c r="F8028" t="str">
        <f>HYPERLINK("https://github.com/MozillaReality/FirefoxReality/issues/1627", "show")</f>
        <v>show</v>
      </c>
      <c r="G8028" t="str">
        <f>HYPERLINK("https://github.com/MozillaReality/FirefoxReality", "show")</f>
        <v>show</v>
      </c>
      <c r="H8028" t="str">
        <f>HYPERLINK("https://github.com/MozillaReality/FirefoxReality/releases", "show")</f>
        <v>show</v>
      </c>
      <c r="I8028">
        <v>1</v>
      </c>
      <c r="J8028">
        <v>1</v>
      </c>
      <c r="K8028">
        <v>0</v>
      </c>
      <c r="L8028">
        <v>0</v>
      </c>
      <c r="M8028" t="s">
        <v>48</v>
      </c>
    </row>
    <row r="8029" spans="1:13" hidden="1" x14ac:dyDescent="0.15">
      <c r="A8029" t="s">
        <v>25149</v>
      </c>
      <c r="B8029" t="s">
        <v>25150</v>
      </c>
      <c r="C8029" t="s">
        <v>25151</v>
      </c>
      <c r="D8029" t="s">
        <v>25152</v>
      </c>
      <c r="E8029">
        <v>427</v>
      </c>
      <c r="F8029" t="str">
        <f>HYPERLINK("https://github.com/defold/extension-push/issues/4", "show")</f>
        <v>show</v>
      </c>
      <c r="G8029" t="str">
        <f>HYPERLINK("https://github.com/defold/extension-push", "show")</f>
        <v>show</v>
      </c>
      <c r="H8029" t="str">
        <f>HYPERLINK("https://github.com/defold/extension-push/releases", "show")</f>
        <v>show</v>
      </c>
      <c r="I8029">
        <v>0</v>
      </c>
      <c r="J8029">
        <v>0</v>
      </c>
      <c r="K8029">
        <v>1</v>
      </c>
      <c r="L8029">
        <v>0</v>
      </c>
      <c r="M8029" t="s">
        <v>122</v>
      </c>
    </row>
    <row r="8030" spans="1:13" hidden="1" x14ac:dyDescent="0.15">
      <c r="A8030" t="s">
        <v>25153</v>
      </c>
      <c r="B8030" t="s">
        <v>25154</v>
      </c>
      <c r="C8030" t="s">
        <v>25155</v>
      </c>
      <c r="D8030" t="s">
        <v>25156</v>
      </c>
      <c r="E8030">
        <v>0</v>
      </c>
      <c r="F8030" t="str">
        <f>HYPERLINK("https://github.com/Alfresco/activiti-android-app/issues/77", "show")</f>
        <v>show</v>
      </c>
      <c r="G8030" t="str">
        <f>HYPERLINK("https://github.com/Alfresco/activiti-android-app", "show")</f>
        <v>show</v>
      </c>
      <c r="H8030" t="str">
        <f>HYPERLINK("https://github.com/Alfresco/activiti-android-app/releases", "show")</f>
        <v>show</v>
      </c>
      <c r="I8030">
        <v>1</v>
      </c>
      <c r="J8030">
        <v>0</v>
      </c>
      <c r="K8030">
        <v>0</v>
      </c>
      <c r="L8030">
        <v>0</v>
      </c>
      <c r="M8030" t="s">
        <v>17</v>
      </c>
    </row>
    <row r="8031" spans="1:13" hidden="1" x14ac:dyDescent="0.15">
      <c r="A8031" t="s">
        <v>25157</v>
      </c>
      <c r="B8031" t="s">
        <v>25158</v>
      </c>
      <c r="C8031" t="s">
        <v>25159</v>
      </c>
      <c r="D8031" t="s">
        <v>25156</v>
      </c>
      <c r="E8031">
        <v>241</v>
      </c>
      <c r="F8031" t="str">
        <f>HYPERLINK("https://github.com/moberwasserlechner/capacitor-oauth2/issues/52", "show")</f>
        <v>show</v>
      </c>
      <c r="G8031" t="str">
        <f>HYPERLINK("https://github.com/moberwasserlechner/capacitor-oauth2", "show")</f>
        <v>show</v>
      </c>
      <c r="H8031" t="str">
        <f>HYPERLINK("https://github.com/moberwasserlechner/capacitor-oauth2/releases", "show")</f>
        <v>show</v>
      </c>
      <c r="I8031">
        <v>1</v>
      </c>
      <c r="J8031">
        <v>0</v>
      </c>
      <c r="K8031">
        <v>0</v>
      </c>
      <c r="L8031">
        <v>0</v>
      </c>
      <c r="M8031" t="s">
        <v>17</v>
      </c>
    </row>
    <row r="8032" spans="1:13" hidden="1" x14ac:dyDescent="0.15">
      <c r="A8032" t="s">
        <v>25160</v>
      </c>
      <c r="B8032" t="s">
        <v>25161</v>
      </c>
      <c r="C8032" t="s">
        <v>25162</v>
      </c>
      <c r="D8032" t="s">
        <v>25156</v>
      </c>
      <c r="E8032">
        <v>13</v>
      </c>
      <c r="F8032" t="str">
        <f>HYPERLINK("https://github.com/opensrp/opensrp-client-chw/issues/634", "show")</f>
        <v>show</v>
      </c>
      <c r="G8032" t="str">
        <f>HYPERLINK("https://github.com/opensrp/opensrp-client-chw", "show")</f>
        <v>show</v>
      </c>
      <c r="H8032" t="str">
        <f>HYPERLINK("https://github.com/opensrp/opensrp-client-chw/releases", "show")</f>
        <v>show</v>
      </c>
      <c r="I8032">
        <v>1</v>
      </c>
      <c r="J8032">
        <v>1</v>
      </c>
      <c r="K8032">
        <v>0</v>
      </c>
      <c r="L8032">
        <v>0</v>
      </c>
      <c r="M8032" t="s">
        <v>48</v>
      </c>
    </row>
    <row r="8033" spans="1:13" hidden="1" x14ac:dyDescent="0.15">
      <c r="A8033" t="s">
        <v>25163</v>
      </c>
      <c r="B8033" t="s">
        <v>25164</v>
      </c>
      <c r="C8033" t="s">
        <v>25165</v>
      </c>
      <c r="D8033" t="s">
        <v>25156</v>
      </c>
      <c r="E8033">
        <v>73</v>
      </c>
      <c r="F8033" t="str">
        <f>HYPERLINK("https://github.com/nextcloud/android/issues/4353", "show")</f>
        <v>show</v>
      </c>
      <c r="G8033" t="str">
        <f>HYPERLINK("https://github.com/nextcloud/android", "show")</f>
        <v>show</v>
      </c>
      <c r="H8033" t="str">
        <f>HYPERLINK("https://github.com/nextcloud/android/releases", "show")</f>
        <v>show</v>
      </c>
      <c r="I8033">
        <v>1</v>
      </c>
      <c r="J8033">
        <v>0</v>
      </c>
      <c r="K8033">
        <v>0</v>
      </c>
      <c r="L8033">
        <v>0</v>
      </c>
      <c r="M8033" t="s">
        <v>17</v>
      </c>
    </row>
    <row r="8034" spans="1:13" hidden="1" x14ac:dyDescent="0.15">
      <c r="A8034" t="s">
        <v>25166</v>
      </c>
      <c r="B8034" t="s">
        <v>25167</v>
      </c>
      <c r="C8034" t="s">
        <v>25168</v>
      </c>
      <c r="D8034" t="s">
        <v>25156</v>
      </c>
      <c r="E8034">
        <v>482</v>
      </c>
      <c r="F8034" t="str">
        <f>HYPERLINK("https://github.com/sqlcipher/android-database-sqlcipher/issues/469", "show")</f>
        <v>show</v>
      </c>
      <c r="G8034" t="str">
        <f>HYPERLINK("https://github.com/sqlcipher/android-database-sqlcipher", "show")</f>
        <v>show</v>
      </c>
      <c r="H8034" t="str">
        <f>HYPERLINK("https://github.com/sqlcipher/android-database-sqlcipher/releases", "show")</f>
        <v>show</v>
      </c>
      <c r="I8034">
        <v>1</v>
      </c>
      <c r="J8034">
        <v>0</v>
      </c>
      <c r="K8034">
        <v>0</v>
      </c>
      <c r="L8034">
        <v>0</v>
      </c>
      <c r="M8034" t="s">
        <v>17</v>
      </c>
    </row>
    <row r="8035" spans="1:13" hidden="1" x14ac:dyDescent="0.15">
      <c r="A8035" t="s">
        <v>25169</v>
      </c>
      <c r="B8035" t="s">
        <v>25170</v>
      </c>
      <c r="C8035" t="s">
        <v>25171</v>
      </c>
      <c r="D8035" t="s">
        <v>25172</v>
      </c>
      <c r="E8035">
        <v>177</v>
      </c>
      <c r="F8035" t="str">
        <f>HYPERLINK("https://github.com/TeamNewPipe/NewPipe/issues/2543", "show")</f>
        <v>show</v>
      </c>
      <c r="G8035" t="str">
        <f>HYPERLINK("https://github.com/TeamNewPipe/NewPipe", "show")</f>
        <v>show</v>
      </c>
      <c r="H8035" t="str">
        <f>HYPERLINK("https://github.com/TeamNewPipe/NewPipe/releases", "show")</f>
        <v>show</v>
      </c>
      <c r="I8035">
        <v>1</v>
      </c>
      <c r="J8035">
        <v>0</v>
      </c>
      <c r="K8035">
        <v>0</v>
      </c>
      <c r="L8035">
        <v>0</v>
      </c>
      <c r="M8035" t="s">
        <v>17</v>
      </c>
    </row>
    <row r="8036" spans="1:13" hidden="1" x14ac:dyDescent="0.15">
      <c r="A8036" t="s">
        <v>25173</v>
      </c>
      <c r="B8036" t="s">
        <v>25174</v>
      </c>
      <c r="C8036" t="s">
        <v>25175</v>
      </c>
      <c r="D8036" t="s">
        <v>25172</v>
      </c>
      <c r="E8036">
        <v>67</v>
      </c>
      <c r="F8036" t="str">
        <f>HYPERLINK("https://github.com/opensrp/opensrp-client-core/issues/308", "show")</f>
        <v>show</v>
      </c>
      <c r="G8036" t="str">
        <f>HYPERLINK("https://github.com/opensrp/opensrp-client-core", "show")</f>
        <v>show</v>
      </c>
      <c r="H8036" t="str">
        <f>HYPERLINK("https://github.com/opensrp/opensrp-client-core/releases", "show")</f>
        <v>show</v>
      </c>
      <c r="I8036">
        <v>1</v>
      </c>
      <c r="J8036">
        <v>1</v>
      </c>
      <c r="K8036">
        <v>0</v>
      </c>
      <c r="L8036">
        <v>0</v>
      </c>
      <c r="M8036" t="s">
        <v>48</v>
      </c>
    </row>
    <row r="8037" spans="1:13" hidden="1" x14ac:dyDescent="0.15">
      <c r="A8037" t="s">
        <v>25176</v>
      </c>
      <c r="B8037" t="s">
        <v>25177</v>
      </c>
      <c r="C8037" t="s">
        <v>25178</v>
      </c>
      <c r="D8037" t="s">
        <v>25172</v>
      </c>
      <c r="E8037">
        <v>1</v>
      </c>
      <c r="F8037" t="str">
        <f>HYPERLINK("https://github.com/MozillaReality/FirefoxReality/issues/1597", "show")</f>
        <v>show</v>
      </c>
      <c r="G8037" t="str">
        <f>HYPERLINK("https://github.com/MozillaReality/FirefoxReality", "show")</f>
        <v>show</v>
      </c>
      <c r="H8037" t="str">
        <f>HYPERLINK("https://github.com/MozillaReality/FirefoxReality/releases", "show")</f>
        <v>show</v>
      </c>
      <c r="I8037">
        <v>1</v>
      </c>
      <c r="J8037">
        <v>1</v>
      </c>
      <c r="K8037">
        <v>0</v>
      </c>
      <c r="L8037">
        <v>0</v>
      </c>
      <c r="M8037" t="s">
        <v>48</v>
      </c>
    </row>
    <row r="8038" spans="1:13" hidden="1" x14ac:dyDescent="0.15">
      <c r="A8038" t="s">
        <v>25179</v>
      </c>
      <c r="B8038" t="s">
        <v>25180</v>
      </c>
      <c r="C8038" t="s">
        <v>25181</v>
      </c>
      <c r="D8038" t="s">
        <v>25172</v>
      </c>
      <c r="E8038">
        <v>13</v>
      </c>
      <c r="F8038" t="str">
        <f>HYPERLINK("https://github.com/opensrp/opensrp-client-chw/issues/629", "show")</f>
        <v>show</v>
      </c>
      <c r="G8038" t="str">
        <f>HYPERLINK("https://github.com/opensrp/opensrp-client-chw", "show")</f>
        <v>show</v>
      </c>
      <c r="H8038" t="str">
        <f>HYPERLINK("https://github.com/opensrp/opensrp-client-chw/releases", "show")</f>
        <v>show</v>
      </c>
      <c r="I8038">
        <v>1</v>
      </c>
      <c r="J8038">
        <v>1</v>
      </c>
      <c r="K8038">
        <v>0</v>
      </c>
      <c r="L8038">
        <v>0</v>
      </c>
      <c r="M8038" t="s">
        <v>48</v>
      </c>
    </row>
    <row r="8039" spans="1:13" hidden="1" x14ac:dyDescent="0.15">
      <c r="A8039" t="s">
        <v>25182</v>
      </c>
      <c r="B8039" t="s">
        <v>25183</v>
      </c>
      <c r="C8039" t="s">
        <v>25184</v>
      </c>
      <c r="D8039" t="s">
        <v>25172</v>
      </c>
      <c r="E8039">
        <v>13</v>
      </c>
      <c r="F8039" t="str">
        <f>HYPERLINK("https://github.com/opensrp/opensrp-client-chw/issues/628", "show")</f>
        <v>show</v>
      </c>
      <c r="G8039" t="str">
        <f>HYPERLINK("https://github.com/opensrp/opensrp-client-chw", "show")</f>
        <v>show</v>
      </c>
      <c r="H8039" t="str">
        <f>HYPERLINK("https://github.com/opensrp/opensrp-client-chw/releases", "show")</f>
        <v>show</v>
      </c>
      <c r="I8039">
        <v>1</v>
      </c>
      <c r="J8039">
        <v>1</v>
      </c>
      <c r="K8039">
        <v>0</v>
      </c>
      <c r="L8039">
        <v>0</v>
      </c>
      <c r="M8039" t="s">
        <v>48</v>
      </c>
    </row>
    <row r="8040" spans="1:13" hidden="1" x14ac:dyDescent="0.15">
      <c r="A8040" t="s">
        <v>25185</v>
      </c>
      <c r="B8040" t="s">
        <v>25186</v>
      </c>
      <c r="C8040" t="s">
        <v>25187</v>
      </c>
      <c r="D8040" t="s">
        <v>25172</v>
      </c>
      <c r="E8040">
        <v>13</v>
      </c>
      <c r="F8040" t="str">
        <f>HYPERLINK("https://github.com/opensrp/opensrp-client-chw/issues/627", "show")</f>
        <v>show</v>
      </c>
      <c r="G8040" t="str">
        <f>HYPERLINK("https://github.com/opensrp/opensrp-client-chw", "show")</f>
        <v>show</v>
      </c>
      <c r="H8040" t="str">
        <f>HYPERLINK("https://github.com/opensrp/opensrp-client-chw/releases", "show")</f>
        <v>show</v>
      </c>
      <c r="I8040">
        <v>1</v>
      </c>
      <c r="J8040">
        <v>1</v>
      </c>
      <c r="K8040">
        <v>0</v>
      </c>
      <c r="L8040">
        <v>0</v>
      </c>
      <c r="M8040" t="s">
        <v>48</v>
      </c>
    </row>
    <row r="8041" spans="1:13" hidden="1" x14ac:dyDescent="0.15">
      <c r="A8041" t="s">
        <v>25188</v>
      </c>
      <c r="B8041" t="s">
        <v>25189</v>
      </c>
      <c r="D8041" t="s">
        <v>25172</v>
      </c>
      <c r="E8041">
        <v>3</v>
      </c>
      <c r="F8041" t="str">
        <f>HYPERLINK("https://github.com/fieldsight/fieldsight-mobile/issues/347", "show")</f>
        <v>show</v>
      </c>
      <c r="G8041" t="str">
        <f>HYPERLINK("https://github.com/fieldsight/fieldsight-mobile", "show")</f>
        <v>show</v>
      </c>
      <c r="H8041" t="str">
        <f>HYPERLINK("https://github.com/fieldsight/fieldsight-mobile/releases", "show")</f>
        <v>show</v>
      </c>
      <c r="I8041">
        <v>1</v>
      </c>
      <c r="J8041">
        <v>0</v>
      </c>
      <c r="K8041">
        <v>0</v>
      </c>
      <c r="L8041">
        <v>0</v>
      </c>
      <c r="M8041" t="s">
        <v>17</v>
      </c>
    </row>
    <row r="8042" spans="1:13" hidden="1" x14ac:dyDescent="0.15">
      <c r="A8042" t="s">
        <v>25190</v>
      </c>
      <c r="B8042" t="s">
        <v>25191</v>
      </c>
      <c r="C8042" t="s">
        <v>25192</v>
      </c>
      <c r="D8042" t="s">
        <v>25172</v>
      </c>
      <c r="E8042">
        <v>50</v>
      </c>
      <c r="F8042" t="str">
        <f>HYPERLINK("https://github.com/connectbot/connectbot/issues/710", "show")</f>
        <v>show</v>
      </c>
      <c r="G8042" t="str">
        <f>HYPERLINK("https://github.com/connectbot/connectbot", "show")</f>
        <v>show</v>
      </c>
      <c r="H8042" t="str">
        <f>HYPERLINK("https://github.com/connectbot/connectbot/releases", "show")</f>
        <v>show</v>
      </c>
      <c r="I8042">
        <v>1</v>
      </c>
      <c r="J8042">
        <v>1</v>
      </c>
      <c r="K8042">
        <v>1</v>
      </c>
      <c r="L8042">
        <v>0</v>
      </c>
      <c r="M8042" t="s">
        <v>59</v>
      </c>
    </row>
    <row r="8043" spans="1:13" hidden="1" x14ac:dyDescent="0.15">
      <c r="A8043" t="s">
        <v>25193</v>
      </c>
      <c r="B8043" t="s">
        <v>25194</v>
      </c>
      <c r="C8043" t="s">
        <v>25195</v>
      </c>
      <c r="D8043" t="s">
        <v>25196</v>
      </c>
      <c r="E8043">
        <v>274</v>
      </c>
      <c r="F8043" t="str">
        <f>HYPERLINK("https://github.com/google/ExoPlayer/issues/6308", "show")</f>
        <v>show</v>
      </c>
      <c r="G8043" t="str">
        <f>HYPERLINK("https://github.com/google/ExoPlayer", "show")</f>
        <v>show</v>
      </c>
      <c r="H8043" t="str">
        <f>HYPERLINK("https://github.com/google/ExoPlayer/releases", "show")</f>
        <v>show</v>
      </c>
      <c r="I8043">
        <v>0</v>
      </c>
      <c r="J8043">
        <v>0</v>
      </c>
      <c r="K8043">
        <v>1</v>
      </c>
      <c r="L8043">
        <v>0</v>
      </c>
      <c r="M8043" t="s">
        <v>122</v>
      </c>
    </row>
    <row r="8044" spans="1:13" hidden="1" x14ac:dyDescent="0.15">
      <c r="A8044" t="s">
        <v>25197</v>
      </c>
      <c r="B8044" t="s">
        <v>25198</v>
      </c>
      <c r="C8044" t="s">
        <v>25199</v>
      </c>
      <c r="D8044" t="s">
        <v>25196</v>
      </c>
      <c r="E8044">
        <v>1</v>
      </c>
      <c r="F8044" t="str">
        <f>HYPERLINK("https://github.com/AlphaWallet/alpha-wallet-android/issues/814", "show")</f>
        <v>show</v>
      </c>
      <c r="G8044" t="str">
        <f>HYPERLINK("https://github.com/AlphaWallet/alpha-wallet-android", "show")</f>
        <v>show</v>
      </c>
      <c r="H8044" t="str">
        <f>HYPERLINK("https://github.com/AlphaWallet/alpha-wallet-android/releases", "show")</f>
        <v>show</v>
      </c>
      <c r="I8044">
        <v>1</v>
      </c>
      <c r="J8044">
        <v>0</v>
      </c>
      <c r="K8044">
        <v>0</v>
      </c>
      <c r="L8044">
        <v>0</v>
      </c>
      <c r="M8044" t="s">
        <v>17</v>
      </c>
    </row>
    <row r="8045" spans="1:13" hidden="1" x14ac:dyDescent="0.15">
      <c r="A8045" t="s">
        <v>25200</v>
      </c>
      <c r="B8045" t="s">
        <v>25201</v>
      </c>
      <c r="C8045" t="s">
        <v>25202</v>
      </c>
      <c r="D8045" t="s">
        <v>25203</v>
      </c>
      <c r="E8045">
        <v>15</v>
      </c>
      <c r="F8045" t="str">
        <f>HYPERLINK("https://github.com/forrestguice/SuntimesWidget/issues/353", "show")</f>
        <v>show</v>
      </c>
      <c r="G8045" t="str">
        <f>HYPERLINK("https://github.com/forrestguice/SuntimesWidget", "show")</f>
        <v>show</v>
      </c>
      <c r="H8045" t="str">
        <f>HYPERLINK("https://github.com/forrestguice/SuntimesWidget/releases", "show")</f>
        <v>show</v>
      </c>
      <c r="I8045">
        <v>0</v>
      </c>
      <c r="J8045">
        <v>0</v>
      </c>
      <c r="K8045">
        <v>1</v>
      </c>
      <c r="L8045">
        <v>0</v>
      </c>
      <c r="M8045" t="s">
        <v>122</v>
      </c>
    </row>
    <row r="8046" spans="1:13" hidden="1" x14ac:dyDescent="0.15">
      <c r="A8046" t="s">
        <v>25204</v>
      </c>
      <c r="B8046" t="s">
        <v>25205</v>
      </c>
      <c r="C8046" t="s">
        <v>25206</v>
      </c>
      <c r="D8046" t="s">
        <v>25203</v>
      </c>
      <c r="E8046">
        <v>98</v>
      </c>
      <c r="F8046" t="str">
        <f>HYPERLINK("https://github.com/react-native-webrtc/react-native-callkeep/issues/82", "show")</f>
        <v>show</v>
      </c>
      <c r="G8046" t="str">
        <f>HYPERLINK("https://github.com/react-native-webrtc/react-native-callkeep", "show")</f>
        <v>show</v>
      </c>
      <c r="H8046" t="str">
        <f>HYPERLINK("https://github.com/react-native-webrtc/react-native-callkeep/releases", "show")</f>
        <v>show</v>
      </c>
      <c r="I8046">
        <v>0</v>
      </c>
      <c r="J8046">
        <v>0</v>
      </c>
      <c r="K8046">
        <v>0</v>
      </c>
      <c r="L8046">
        <v>0</v>
      </c>
      <c r="M8046" t="s">
        <v>43</v>
      </c>
    </row>
    <row r="8047" spans="1:13" hidden="1" x14ac:dyDescent="0.15">
      <c r="A8047" t="s">
        <v>25207</v>
      </c>
      <c r="B8047" t="s">
        <v>25208</v>
      </c>
      <c r="C8047" t="s">
        <v>25209</v>
      </c>
      <c r="D8047" t="s">
        <v>25203</v>
      </c>
      <c r="E8047">
        <v>21</v>
      </c>
      <c r="F8047" t="str">
        <f>HYPERLINK("https://github.com/UweTrottmann/SeriesGuide/issues/662", "show")</f>
        <v>show</v>
      </c>
      <c r="G8047" t="str">
        <f>HYPERLINK("https://github.com/UweTrottmann/SeriesGuide", "show")</f>
        <v>show</v>
      </c>
      <c r="H8047" t="str">
        <f>HYPERLINK("https://github.com/UweTrottmann/SeriesGuide/releases", "show")</f>
        <v>show</v>
      </c>
      <c r="I8047">
        <v>1</v>
      </c>
      <c r="J8047">
        <v>0</v>
      </c>
      <c r="K8047">
        <v>0</v>
      </c>
      <c r="L8047">
        <v>0</v>
      </c>
      <c r="M8047" t="s">
        <v>17</v>
      </c>
    </row>
    <row r="8048" spans="1:13" hidden="1" x14ac:dyDescent="0.15">
      <c r="A8048" t="s">
        <v>25210</v>
      </c>
      <c r="B8048" t="s">
        <v>25211</v>
      </c>
      <c r="C8048" t="s">
        <v>25212</v>
      </c>
      <c r="D8048" t="s">
        <v>25213</v>
      </c>
      <c r="E8048">
        <v>16</v>
      </c>
      <c r="F8048" t="str">
        <f>HYPERLINK("https://github.com/k9mail/k-9/issues/4160", "show")</f>
        <v>show</v>
      </c>
      <c r="G8048" t="str">
        <f>HYPERLINK("https://github.com/k9mail/k-9", "show")</f>
        <v>show</v>
      </c>
      <c r="H8048" t="str">
        <f>HYPERLINK("https://github.com/k9mail/k-9/releases", "show")</f>
        <v>show</v>
      </c>
      <c r="I8048">
        <v>1</v>
      </c>
      <c r="J8048">
        <v>0</v>
      </c>
      <c r="K8048">
        <v>1</v>
      </c>
      <c r="L8048">
        <v>0</v>
      </c>
      <c r="M8048" t="s">
        <v>64</v>
      </c>
    </row>
    <row r="8049" spans="1:13" hidden="1" x14ac:dyDescent="0.15">
      <c r="A8049" t="s">
        <v>25214</v>
      </c>
      <c r="B8049" t="s">
        <v>25215</v>
      </c>
      <c r="C8049" t="s">
        <v>25216</v>
      </c>
      <c r="D8049" t="s">
        <v>25217</v>
      </c>
      <c r="E8049">
        <v>130</v>
      </c>
      <c r="F8049" t="str">
        <f>HYPERLINK("https://github.com/deltachat/deltachat-android/issues/1023", "show")</f>
        <v>show</v>
      </c>
      <c r="G8049" t="str">
        <f>HYPERLINK("https://github.com/deltachat/deltachat-android", "show")</f>
        <v>show</v>
      </c>
      <c r="H8049" t="str">
        <f>HYPERLINK("https://github.com/deltachat/deltachat-android/releases", "show")</f>
        <v>show</v>
      </c>
      <c r="I8049">
        <v>1</v>
      </c>
      <c r="J8049">
        <v>0</v>
      </c>
      <c r="K8049">
        <v>0</v>
      </c>
      <c r="L8049">
        <v>0</v>
      </c>
      <c r="M8049" t="s">
        <v>17</v>
      </c>
    </row>
    <row r="8050" spans="1:13" hidden="1" x14ac:dyDescent="0.15">
      <c r="A8050" t="s">
        <v>25218</v>
      </c>
      <c r="B8050" t="s">
        <v>25219</v>
      </c>
      <c r="C8050" t="s">
        <v>25220</v>
      </c>
      <c r="D8050" t="s">
        <v>25217</v>
      </c>
      <c r="E8050">
        <v>0</v>
      </c>
      <c r="F8050" t="str">
        <f>HYPERLINK("https://github.com/niccokunzmann/mundraub-android/issues/264", "show")</f>
        <v>show</v>
      </c>
      <c r="G8050" t="str">
        <f>HYPERLINK("https://github.com/niccokunzmann/mundraub-android", "show")</f>
        <v>show</v>
      </c>
      <c r="H8050" t="str">
        <f>HYPERLINK("https://github.com/niccokunzmann/mundraub-android/releases", "show")</f>
        <v>show</v>
      </c>
      <c r="I8050">
        <v>0</v>
      </c>
      <c r="J8050">
        <v>0</v>
      </c>
      <c r="K8050">
        <v>0</v>
      </c>
      <c r="L8050">
        <v>0</v>
      </c>
      <c r="M8050" t="s">
        <v>43</v>
      </c>
    </row>
    <row r="8051" spans="1:13" hidden="1" x14ac:dyDescent="0.15">
      <c r="A8051" t="s">
        <v>25221</v>
      </c>
      <c r="B8051" t="s">
        <v>25222</v>
      </c>
      <c r="C8051" t="s">
        <v>25223</v>
      </c>
      <c r="D8051" t="s">
        <v>25217</v>
      </c>
      <c r="E8051">
        <v>1</v>
      </c>
      <c r="F8051" t="str">
        <f>HYPERLINK("https://github.com/zeroc-ice/ice-demos/issues/71", "show")</f>
        <v>show</v>
      </c>
      <c r="G8051" t="str">
        <f>HYPERLINK("https://github.com/zeroc-ice/ice-demos", "show")</f>
        <v>show</v>
      </c>
      <c r="H8051" t="str">
        <f>HYPERLINK("https://github.com/zeroc-ice/ice-demos/releases", "show")</f>
        <v>show</v>
      </c>
      <c r="I8051">
        <v>0</v>
      </c>
      <c r="J8051">
        <v>0</v>
      </c>
      <c r="K8051">
        <v>0</v>
      </c>
      <c r="L8051">
        <v>0</v>
      </c>
      <c r="M8051" t="s">
        <v>43</v>
      </c>
    </row>
    <row r="8052" spans="1:13" hidden="1" x14ac:dyDescent="0.15">
      <c r="A8052" t="s">
        <v>25224</v>
      </c>
      <c r="B8052" t="s">
        <v>25225</v>
      </c>
      <c r="C8052" t="s">
        <v>25226</v>
      </c>
      <c r="D8052" t="s">
        <v>25217</v>
      </c>
      <c r="E8052">
        <v>0</v>
      </c>
      <c r="F8052" t="str">
        <f>HYPERLINK("https://github.com/niccokunzmann/mundraub-android/issues/263", "show")</f>
        <v>show</v>
      </c>
      <c r="G8052" t="str">
        <f>HYPERLINK("https://github.com/niccokunzmann/mundraub-android", "show")</f>
        <v>show</v>
      </c>
      <c r="H8052" t="str">
        <f>HYPERLINK("https://github.com/niccokunzmann/mundraub-android/releases", "show")</f>
        <v>show</v>
      </c>
      <c r="I8052">
        <v>0</v>
      </c>
      <c r="J8052">
        <v>0</v>
      </c>
      <c r="K8052">
        <v>0</v>
      </c>
      <c r="L8052">
        <v>0</v>
      </c>
      <c r="M8052" t="s">
        <v>43</v>
      </c>
    </row>
    <row r="8053" spans="1:13" hidden="1" x14ac:dyDescent="0.15">
      <c r="A8053" t="s">
        <v>25227</v>
      </c>
      <c r="B8053" t="s">
        <v>25228</v>
      </c>
      <c r="D8053" t="s">
        <v>25229</v>
      </c>
      <c r="E8053">
        <v>6</v>
      </c>
      <c r="F8053" t="str">
        <f>HYPERLINK("https://github.com/MozillaReality/FirefoxReality/issues/1566", "show")</f>
        <v>show</v>
      </c>
      <c r="G8053" t="str">
        <f>HYPERLINK("https://github.com/MozillaReality/FirefoxReality", "show")</f>
        <v>show</v>
      </c>
      <c r="H8053" t="str">
        <f>HYPERLINK("https://github.com/MozillaReality/FirefoxReality/releases", "show")</f>
        <v>show</v>
      </c>
      <c r="I8053">
        <v>0</v>
      </c>
      <c r="J8053">
        <v>0</v>
      </c>
      <c r="K8053">
        <v>0</v>
      </c>
      <c r="L8053">
        <v>0</v>
      </c>
      <c r="M8053" t="s">
        <v>43</v>
      </c>
    </row>
    <row r="8054" spans="1:13" hidden="1" x14ac:dyDescent="0.15">
      <c r="A8054" t="s">
        <v>25230</v>
      </c>
      <c r="B8054" t="s">
        <v>25231</v>
      </c>
      <c r="C8054" t="s">
        <v>25232</v>
      </c>
      <c r="D8054" t="s">
        <v>25229</v>
      </c>
      <c r="E8054">
        <v>155</v>
      </c>
      <c r="F8054" t="str">
        <f>HYPERLINK("https://github.com/twilio/video-quickstart-android/issues/431", "show")</f>
        <v>show</v>
      </c>
      <c r="G8054" t="str">
        <f>HYPERLINK("https://github.com/twilio/video-quickstart-android", "show")</f>
        <v>show</v>
      </c>
      <c r="H8054" t="str">
        <f>HYPERLINK("https://github.com/twilio/video-quickstart-android/releases", "show")</f>
        <v>show</v>
      </c>
      <c r="I8054">
        <v>1</v>
      </c>
      <c r="J8054">
        <v>1</v>
      </c>
      <c r="K8054">
        <v>1</v>
      </c>
      <c r="L8054">
        <v>0</v>
      </c>
      <c r="M8054" t="s">
        <v>59</v>
      </c>
    </row>
    <row r="8055" spans="1:13" hidden="1" x14ac:dyDescent="0.15">
      <c r="A8055" t="s">
        <v>25233</v>
      </c>
      <c r="B8055" t="s">
        <v>25234</v>
      </c>
      <c r="C8055" t="s">
        <v>25235</v>
      </c>
      <c r="D8055" t="s">
        <v>25229</v>
      </c>
      <c r="E8055">
        <v>0</v>
      </c>
      <c r="F8055" t="str">
        <f>HYPERLINK("https://github.com/mauron85/react-native-background-geolocation/issues/409", "show")</f>
        <v>show</v>
      </c>
      <c r="G8055" t="str">
        <f>HYPERLINK("https://github.com/mauron85/react-native-background-geolocation", "show")</f>
        <v>show</v>
      </c>
      <c r="H8055" t="str">
        <f>HYPERLINK("https://github.com/mauron85/react-native-background-geolocation/releases", "show")</f>
        <v>show</v>
      </c>
      <c r="I8055">
        <v>1</v>
      </c>
      <c r="J8055">
        <v>0</v>
      </c>
      <c r="K8055">
        <v>1</v>
      </c>
      <c r="L8055">
        <v>0</v>
      </c>
      <c r="M8055" t="s">
        <v>64</v>
      </c>
    </row>
    <row r="8056" spans="1:13" hidden="1" x14ac:dyDescent="0.15">
      <c r="A8056" t="s">
        <v>25236</v>
      </c>
      <c r="B8056" t="s">
        <v>25237</v>
      </c>
      <c r="C8056" t="s">
        <v>25238</v>
      </c>
      <c r="D8056" t="s">
        <v>25239</v>
      </c>
      <c r="E8056">
        <v>16</v>
      </c>
      <c r="F8056" t="str">
        <f>HYPERLINK("https://github.com/Haptic-Apps/Slide/issues/3050", "show")</f>
        <v>show</v>
      </c>
      <c r="G8056" t="str">
        <f>HYPERLINK("https://github.com/Haptic-Apps/Slide", "show")</f>
        <v>show</v>
      </c>
      <c r="H8056" t="str">
        <f>HYPERLINK("https://github.com/Haptic-Apps/Slide/releases", "show")</f>
        <v>show</v>
      </c>
      <c r="I8056">
        <v>1</v>
      </c>
      <c r="J8056">
        <v>0</v>
      </c>
      <c r="K8056">
        <v>0</v>
      </c>
      <c r="L8056">
        <v>0</v>
      </c>
      <c r="M8056" t="s">
        <v>17</v>
      </c>
    </row>
    <row r="8057" spans="1:13" hidden="1" x14ac:dyDescent="0.15">
      <c r="A8057" t="s">
        <v>25240</v>
      </c>
      <c r="B8057" t="s">
        <v>25241</v>
      </c>
      <c r="C8057" t="s">
        <v>25242</v>
      </c>
      <c r="D8057" t="s">
        <v>25239</v>
      </c>
      <c r="E8057">
        <v>21</v>
      </c>
      <c r="F8057" t="str">
        <f>HYPERLINK("https://github.com/renyuneyun/Easer/issues/242", "show")</f>
        <v>show</v>
      </c>
      <c r="G8057" t="str">
        <f>HYPERLINK("https://github.com/renyuneyun/Easer", "show")</f>
        <v>show</v>
      </c>
      <c r="H8057" t="str">
        <f>HYPERLINK("https://github.com/renyuneyun/Easer/releases", "show")</f>
        <v>show</v>
      </c>
      <c r="I8057">
        <v>1</v>
      </c>
      <c r="J8057">
        <v>0</v>
      </c>
      <c r="K8057">
        <v>1</v>
      </c>
      <c r="L8057">
        <v>0</v>
      </c>
      <c r="M8057" t="s">
        <v>64</v>
      </c>
    </row>
    <row r="8058" spans="1:13" hidden="1" x14ac:dyDescent="0.15">
      <c r="A8058" t="s">
        <v>25243</v>
      </c>
      <c r="B8058" t="s">
        <v>25244</v>
      </c>
      <c r="C8058" t="s">
        <v>25245</v>
      </c>
      <c r="D8058" t="s">
        <v>25246</v>
      </c>
      <c r="E8058">
        <v>79</v>
      </c>
      <c r="F8058" t="str">
        <f>HYPERLINK("https://github.com/Swati4star/Images-to-PDF/issues/784", "show")</f>
        <v>show</v>
      </c>
      <c r="G8058" t="str">
        <f>HYPERLINK("https://github.com/Swati4star/Images-to-PDF", "show")</f>
        <v>show</v>
      </c>
      <c r="H8058" t="str">
        <f>HYPERLINK("https://github.com/Swati4star/Images-to-PDF/releases", "show")</f>
        <v>show</v>
      </c>
      <c r="I8058">
        <v>1</v>
      </c>
      <c r="J8058">
        <v>0</v>
      </c>
      <c r="K8058">
        <v>1</v>
      </c>
      <c r="L8058">
        <v>0</v>
      </c>
      <c r="M8058" t="s">
        <v>64</v>
      </c>
    </row>
    <row r="8059" spans="1:13" hidden="1" x14ac:dyDescent="0.15">
      <c r="A8059" t="s">
        <v>25247</v>
      </c>
      <c r="B8059" t="s">
        <v>25248</v>
      </c>
      <c r="C8059" t="s">
        <v>25249</v>
      </c>
      <c r="D8059" t="s">
        <v>25250</v>
      </c>
      <c r="E8059">
        <v>189</v>
      </c>
      <c r="F8059" t="str">
        <f>HYPERLINK("https://github.com/Neamar/KISS/issues/1253", "show")</f>
        <v>show</v>
      </c>
      <c r="G8059" t="str">
        <f>HYPERLINK("https://github.com/Neamar/KISS", "show")</f>
        <v>show</v>
      </c>
      <c r="H8059" t="str">
        <f>HYPERLINK("https://github.com/Neamar/KISS/releases", "show")</f>
        <v>show</v>
      </c>
      <c r="I8059">
        <v>1</v>
      </c>
      <c r="J8059">
        <v>1</v>
      </c>
      <c r="K8059">
        <v>1</v>
      </c>
      <c r="L8059">
        <v>0</v>
      </c>
      <c r="M8059" t="s">
        <v>59</v>
      </c>
    </row>
    <row r="8060" spans="1:13" hidden="1" x14ac:dyDescent="0.15">
      <c r="A8060" t="s">
        <v>25251</v>
      </c>
      <c r="B8060" t="s">
        <v>25252</v>
      </c>
      <c r="C8060" t="s">
        <v>13289</v>
      </c>
      <c r="D8060" t="s">
        <v>25250</v>
      </c>
      <c r="E8060">
        <v>47</v>
      </c>
      <c r="F8060" t="str">
        <f>HYPERLINK("https://github.com/nextcloud/android/issues/4305", "show")</f>
        <v>show</v>
      </c>
      <c r="G8060" t="str">
        <f>HYPERLINK("https://github.com/nextcloud/android", "show")</f>
        <v>show</v>
      </c>
      <c r="H8060" t="str">
        <f>HYPERLINK("https://github.com/nextcloud/android/releases", "show")</f>
        <v>show</v>
      </c>
      <c r="I8060">
        <v>1</v>
      </c>
      <c r="J8060">
        <v>0</v>
      </c>
      <c r="K8060">
        <v>1</v>
      </c>
      <c r="L8060">
        <v>0</v>
      </c>
      <c r="M8060" t="s">
        <v>64</v>
      </c>
    </row>
    <row r="8061" spans="1:13" x14ac:dyDescent="0.15">
      <c r="A8061" t="s">
        <v>25253</v>
      </c>
      <c r="B8061" t="s">
        <v>25254</v>
      </c>
      <c r="C8061" t="s">
        <v>25255</v>
      </c>
      <c r="D8061" t="s">
        <v>25256</v>
      </c>
      <c r="E8061">
        <v>8</v>
      </c>
      <c r="F8061" t="str">
        <f>HYPERLINK("https://github.com/MozillaReality/FirefoxReality/issues/1545", "show")</f>
        <v>show</v>
      </c>
      <c r="G8061" t="str">
        <f>HYPERLINK("https://github.com/MozillaReality/FirefoxReality", "show")</f>
        <v>show</v>
      </c>
      <c r="H8061" t="str">
        <f>HYPERLINK("https://github.com/MozillaReality/FirefoxReality/releases", "show")</f>
        <v>show</v>
      </c>
      <c r="I8061">
        <v>0</v>
      </c>
      <c r="J8061">
        <v>1</v>
      </c>
      <c r="K8061">
        <v>0</v>
      </c>
      <c r="L8061">
        <v>0</v>
      </c>
      <c r="M8061" t="s">
        <v>139</v>
      </c>
    </row>
    <row r="8062" spans="1:13" hidden="1" x14ac:dyDescent="0.15">
      <c r="A8062" t="s">
        <v>25257</v>
      </c>
      <c r="B8062" t="s">
        <v>25258</v>
      </c>
      <c r="C8062" t="s">
        <v>25259</v>
      </c>
      <c r="D8062" t="s">
        <v>25256</v>
      </c>
      <c r="E8062">
        <v>1</v>
      </c>
      <c r="F8062" t="str">
        <f>HYPERLINK("https://github.com/zeroc-ice/ice-demos/issues/69", "show")</f>
        <v>show</v>
      </c>
      <c r="G8062" t="str">
        <f>HYPERLINK("https://github.com/zeroc-ice/ice-demos", "show")</f>
        <v>show</v>
      </c>
      <c r="H8062" t="str">
        <f>HYPERLINK("https://github.com/zeroc-ice/ice-demos/releases", "show")</f>
        <v>show</v>
      </c>
      <c r="I8062">
        <v>1</v>
      </c>
      <c r="J8062">
        <v>0</v>
      </c>
      <c r="K8062">
        <v>1</v>
      </c>
      <c r="L8062">
        <v>0</v>
      </c>
      <c r="M8062" t="s">
        <v>64</v>
      </c>
    </row>
    <row r="8063" spans="1:13" hidden="1" x14ac:dyDescent="0.15">
      <c r="A8063" t="s">
        <v>25260</v>
      </c>
      <c r="B8063" t="s">
        <v>25261</v>
      </c>
      <c r="C8063" t="s">
        <v>25262</v>
      </c>
      <c r="D8063" t="s">
        <v>25256</v>
      </c>
      <c r="E8063">
        <v>160</v>
      </c>
      <c r="F8063" t="str">
        <f>HYPERLINK("https://github.com/twilio/video-quickstart-android/issues/430", "show")</f>
        <v>show</v>
      </c>
      <c r="G8063" t="str">
        <f>HYPERLINK("https://github.com/twilio/video-quickstart-android", "show")</f>
        <v>show</v>
      </c>
      <c r="H8063" t="str">
        <f>HYPERLINK("https://github.com/twilio/video-quickstart-android/releases", "show")</f>
        <v>show</v>
      </c>
      <c r="I8063">
        <v>1</v>
      </c>
      <c r="J8063">
        <v>0</v>
      </c>
      <c r="K8063">
        <v>1</v>
      </c>
      <c r="L8063">
        <v>0</v>
      </c>
      <c r="M8063" t="s">
        <v>64</v>
      </c>
    </row>
    <row r="8064" spans="1:13" hidden="1" x14ac:dyDescent="0.15">
      <c r="A8064" t="s">
        <v>25263</v>
      </c>
      <c r="B8064" t="s">
        <v>25264</v>
      </c>
      <c r="C8064" t="s">
        <v>25265</v>
      </c>
      <c r="D8064" t="s">
        <v>25266</v>
      </c>
      <c r="E8064">
        <v>0</v>
      </c>
      <c r="F8064" t="str">
        <f>HYPERLINK("https://github.com/wiglenet/wigle-wifi-wardriving/issues/358", "show")</f>
        <v>show</v>
      </c>
      <c r="G8064" t="str">
        <f>HYPERLINK("https://github.com/wiglenet/wigle-wifi-wardriving", "show")</f>
        <v>show</v>
      </c>
      <c r="H8064" t="str">
        <f>HYPERLINK("https://github.com/wiglenet/wigle-wifi-wardriving/releases", "show")</f>
        <v>show</v>
      </c>
      <c r="I8064">
        <v>1</v>
      </c>
      <c r="J8064">
        <v>0</v>
      </c>
      <c r="K8064">
        <v>0</v>
      </c>
      <c r="L8064">
        <v>0</v>
      </c>
      <c r="M8064" t="s">
        <v>17</v>
      </c>
    </row>
    <row r="8065" spans="1:13" hidden="1" x14ac:dyDescent="0.15">
      <c r="A8065" t="s">
        <v>25267</v>
      </c>
      <c r="B8065" t="s">
        <v>25268</v>
      </c>
      <c r="C8065" t="s">
        <v>25269</v>
      </c>
      <c r="D8065" t="s">
        <v>25266</v>
      </c>
      <c r="E8065">
        <v>12</v>
      </c>
      <c r="F8065" t="str">
        <f>HYPERLINK("https://github.com/pazaan/600SeriesAndroidUploader/issues/254", "show")</f>
        <v>show</v>
      </c>
      <c r="G8065" t="str">
        <f>HYPERLINK("https://github.com/pazaan/600SeriesAndroidUploader", "show")</f>
        <v>show</v>
      </c>
      <c r="H8065" t="str">
        <f>HYPERLINK("https://github.com/pazaan/600SeriesAndroidUploader/releases", "show")</f>
        <v>show</v>
      </c>
      <c r="I8065">
        <v>1</v>
      </c>
      <c r="J8065">
        <v>1</v>
      </c>
      <c r="K8065">
        <v>0</v>
      </c>
      <c r="L8065">
        <v>0</v>
      </c>
      <c r="M8065" t="s">
        <v>48</v>
      </c>
    </row>
    <row r="8066" spans="1:13" hidden="1" x14ac:dyDescent="0.15">
      <c r="A8066" t="s">
        <v>25270</v>
      </c>
      <c r="B8066" t="s">
        <v>25271</v>
      </c>
      <c r="C8066" t="s">
        <v>25272</v>
      </c>
      <c r="D8066" t="s">
        <v>25266</v>
      </c>
      <c r="E8066">
        <v>29</v>
      </c>
      <c r="F8066" t="str">
        <f>HYPERLINK("https://github.com/opentok/opentok-react-native/issues/324", "show")</f>
        <v>show</v>
      </c>
      <c r="G8066" t="str">
        <f>HYPERLINK("https://github.com/opentok/opentok-react-native", "show")</f>
        <v>show</v>
      </c>
      <c r="H8066" t="str">
        <f>HYPERLINK("https://github.com/opentok/opentok-react-native/releases", "show")</f>
        <v>show</v>
      </c>
      <c r="I8066">
        <v>1</v>
      </c>
      <c r="J8066">
        <v>1</v>
      </c>
      <c r="K8066">
        <v>0</v>
      </c>
      <c r="L8066">
        <v>1</v>
      </c>
      <c r="M8066" t="s">
        <v>1894</v>
      </c>
    </row>
    <row r="8067" spans="1:13" hidden="1" x14ac:dyDescent="0.15">
      <c r="A8067" t="s">
        <v>25273</v>
      </c>
      <c r="B8067" t="s">
        <v>25274</v>
      </c>
      <c r="C8067" t="s">
        <v>25275</v>
      </c>
      <c r="D8067" t="s">
        <v>25266</v>
      </c>
      <c r="E8067">
        <v>0</v>
      </c>
      <c r="F8067" t="str">
        <f>HYPERLINK("https://github.com/square/okhttp/issues/5331", "show")</f>
        <v>show</v>
      </c>
      <c r="G8067" t="str">
        <f>HYPERLINK("https://github.com/square/okhttp", "show")</f>
        <v>show</v>
      </c>
      <c r="H8067" t="str">
        <f>HYPERLINK("https://github.com/square/okhttp/releases", "show")</f>
        <v>show</v>
      </c>
      <c r="I8067">
        <v>1</v>
      </c>
      <c r="J8067">
        <v>0</v>
      </c>
      <c r="K8067">
        <v>1</v>
      </c>
      <c r="L8067">
        <v>0</v>
      </c>
      <c r="M8067" t="s">
        <v>64</v>
      </c>
    </row>
    <row r="8068" spans="1:13" hidden="1" x14ac:dyDescent="0.15">
      <c r="A8068" t="s">
        <v>25276</v>
      </c>
      <c r="B8068" t="s">
        <v>25277</v>
      </c>
      <c r="C8068" t="s">
        <v>25278</v>
      </c>
      <c r="D8068" t="s">
        <v>25279</v>
      </c>
      <c r="E8068">
        <v>1</v>
      </c>
      <c r="F8068" t="str">
        <f>HYPERLINK("https://github.com/RoverPlatform/rover-android/issues/419", "show")</f>
        <v>show</v>
      </c>
      <c r="G8068" t="str">
        <f>HYPERLINK("https://github.com/RoverPlatform/rover-android", "show")</f>
        <v>show</v>
      </c>
      <c r="H8068" t="str">
        <f>HYPERLINK("https://github.com/RoverPlatform/rover-android/releases", "show")</f>
        <v>show</v>
      </c>
      <c r="I8068">
        <v>1</v>
      </c>
      <c r="J8068">
        <v>0</v>
      </c>
      <c r="K8068">
        <v>0</v>
      </c>
      <c r="L8068">
        <v>0</v>
      </c>
      <c r="M8068" t="s">
        <v>17</v>
      </c>
    </row>
    <row r="8069" spans="1:13" hidden="1" x14ac:dyDescent="0.15">
      <c r="A8069" t="s">
        <v>25280</v>
      </c>
      <c r="B8069" t="s">
        <v>25281</v>
      </c>
      <c r="C8069" t="s">
        <v>25282</v>
      </c>
      <c r="D8069" t="s">
        <v>25279</v>
      </c>
      <c r="E8069">
        <v>0</v>
      </c>
      <c r="F8069" t="str">
        <f>HYPERLINK("https://github.com/niccokunzmann/mundraub-android/issues/255", "show")</f>
        <v>show</v>
      </c>
      <c r="G8069" t="str">
        <f>HYPERLINK("https://github.com/niccokunzmann/mundraub-android", "show")</f>
        <v>show</v>
      </c>
      <c r="H8069" t="str">
        <f>HYPERLINK("https://github.com/niccokunzmann/mundraub-android/releases", "show")</f>
        <v>show</v>
      </c>
      <c r="I8069">
        <v>0</v>
      </c>
      <c r="J8069">
        <v>0</v>
      </c>
      <c r="K8069">
        <v>0</v>
      </c>
      <c r="L8069">
        <v>0</v>
      </c>
      <c r="M8069" t="s">
        <v>43</v>
      </c>
    </row>
    <row r="8070" spans="1:13" hidden="1" x14ac:dyDescent="0.15">
      <c r="A8070" t="s">
        <v>25283</v>
      </c>
      <c r="B8070" t="s">
        <v>25284</v>
      </c>
      <c r="C8070" t="s">
        <v>25285</v>
      </c>
      <c r="D8070" t="s">
        <v>25279</v>
      </c>
      <c r="E8070">
        <v>0</v>
      </c>
      <c r="F8070" t="str">
        <f>HYPERLINK("https://github.com/niccokunzmann/mundraub-android/issues/253", "show")</f>
        <v>show</v>
      </c>
      <c r="G8070" t="str">
        <f>HYPERLINK("https://github.com/niccokunzmann/mundraub-android", "show")</f>
        <v>show</v>
      </c>
      <c r="H8070" t="str">
        <f>HYPERLINK("https://github.com/niccokunzmann/mundraub-android/releases", "show")</f>
        <v>show</v>
      </c>
      <c r="I8070">
        <v>0</v>
      </c>
      <c r="J8070">
        <v>0</v>
      </c>
      <c r="K8070">
        <v>0</v>
      </c>
      <c r="L8070">
        <v>0</v>
      </c>
      <c r="M8070" t="s">
        <v>43</v>
      </c>
    </row>
    <row r="8071" spans="1:13" hidden="1" x14ac:dyDescent="0.15">
      <c r="A8071" t="s">
        <v>25286</v>
      </c>
      <c r="B8071" t="s">
        <v>25287</v>
      </c>
      <c r="C8071" t="s">
        <v>25288</v>
      </c>
      <c r="D8071" t="s">
        <v>25279</v>
      </c>
      <c r="E8071">
        <v>0</v>
      </c>
      <c r="F8071" t="str">
        <f>HYPERLINK("https://github.com/niccokunzmann/mundraub-android/issues/250", "show")</f>
        <v>show</v>
      </c>
      <c r="G8071" t="str">
        <f>HYPERLINK("https://github.com/niccokunzmann/mundraub-android", "show")</f>
        <v>show</v>
      </c>
      <c r="H8071" t="str">
        <f>HYPERLINK("https://github.com/niccokunzmann/mundraub-android/releases", "show")</f>
        <v>show</v>
      </c>
      <c r="I8071">
        <v>0</v>
      </c>
      <c r="J8071">
        <v>0</v>
      </c>
      <c r="K8071">
        <v>0</v>
      </c>
      <c r="L8071">
        <v>0</v>
      </c>
      <c r="M8071" t="s">
        <v>43</v>
      </c>
    </row>
    <row r="8072" spans="1:13" hidden="1" x14ac:dyDescent="0.15">
      <c r="A8072" t="s">
        <v>25289</v>
      </c>
      <c r="B8072" t="s">
        <v>25290</v>
      </c>
      <c r="C8072" t="s">
        <v>25291</v>
      </c>
      <c r="D8072" t="s">
        <v>25292</v>
      </c>
      <c r="E8072">
        <v>98</v>
      </c>
      <c r="F8072" t="str">
        <f>HYPERLINK("https://github.com/aws-amplify/aws-sdk-android/issues/1115", "show")</f>
        <v>show</v>
      </c>
      <c r="G8072" t="str">
        <f>HYPERLINK("https://github.com/aws-amplify/aws-sdk-android", "show")</f>
        <v>show</v>
      </c>
      <c r="H8072" t="str">
        <f>HYPERLINK("https://github.com/aws-amplify/aws-sdk-android/releases", "show")</f>
        <v>show</v>
      </c>
      <c r="I8072">
        <v>1</v>
      </c>
      <c r="J8072">
        <v>0</v>
      </c>
      <c r="K8072">
        <v>1</v>
      </c>
      <c r="L8072">
        <v>0</v>
      </c>
      <c r="M8072" t="s">
        <v>64</v>
      </c>
    </row>
    <row r="8073" spans="1:13" hidden="1" x14ac:dyDescent="0.15">
      <c r="A8073" t="s">
        <v>25293</v>
      </c>
      <c r="B8073" t="s">
        <v>25294</v>
      </c>
      <c r="C8073" t="s">
        <v>25295</v>
      </c>
      <c r="D8073" t="s">
        <v>25292</v>
      </c>
      <c r="E8073">
        <v>1</v>
      </c>
      <c r="F8073" t="str">
        <f>HYPERLINK("https://github.com/MozillaReality/FirefoxReality/issues/1505", "show")</f>
        <v>show</v>
      </c>
      <c r="G8073" t="str">
        <f>HYPERLINK("https://github.com/MozillaReality/FirefoxReality", "show")</f>
        <v>show</v>
      </c>
      <c r="H8073" t="str">
        <f>HYPERLINK("https://github.com/MozillaReality/FirefoxReality/releases", "show")</f>
        <v>show</v>
      </c>
      <c r="I8073">
        <v>1</v>
      </c>
      <c r="J8073">
        <v>1</v>
      </c>
      <c r="K8073">
        <v>0</v>
      </c>
      <c r="L8073">
        <v>0</v>
      </c>
      <c r="M8073" t="s">
        <v>48</v>
      </c>
    </row>
    <row r="8074" spans="1:13" hidden="1" x14ac:dyDescent="0.15">
      <c r="A8074" t="s">
        <v>25296</v>
      </c>
      <c r="B8074" t="s">
        <v>25297</v>
      </c>
      <c r="C8074" t="s">
        <v>25298</v>
      </c>
      <c r="D8074" t="s">
        <v>25292</v>
      </c>
      <c r="E8074">
        <v>373</v>
      </c>
      <c r="F8074" t="str">
        <f>HYPERLINK("https://github.com/TeamNewPipe/NewPipe/issues/2493", "show")</f>
        <v>show</v>
      </c>
      <c r="G8074" t="str">
        <f>HYPERLINK("https://github.com/TeamNewPipe/NewPipe", "show")</f>
        <v>show</v>
      </c>
      <c r="H8074" t="str">
        <f>HYPERLINK("https://github.com/TeamNewPipe/NewPipe/releases", "show")</f>
        <v>show</v>
      </c>
      <c r="I8074">
        <v>1</v>
      </c>
      <c r="J8074">
        <v>0</v>
      </c>
      <c r="K8074">
        <v>0</v>
      </c>
      <c r="L8074">
        <v>0</v>
      </c>
      <c r="M8074" t="s">
        <v>17</v>
      </c>
    </row>
    <row r="8075" spans="1:13" hidden="1" x14ac:dyDescent="0.15">
      <c r="A8075" t="s">
        <v>25299</v>
      </c>
      <c r="B8075" t="s">
        <v>25300</v>
      </c>
      <c r="C8075" t="s">
        <v>25301</v>
      </c>
      <c r="D8075" t="s">
        <v>25292</v>
      </c>
      <c r="E8075">
        <v>8</v>
      </c>
      <c r="F8075" t="str">
        <f>HYPERLINK("https://github.com/opensrp/opensrp-client-chw/issues/581", "show")</f>
        <v>show</v>
      </c>
      <c r="G8075" t="str">
        <f>HYPERLINK("https://github.com/opensrp/opensrp-client-chw", "show")</f>
        <v>show</v>
      </c>
      <c r="H8075" t="str">
        <f>HYPERLINK("https://github.com/opensrp/opensrp-client-chw/releases", "show")</f>
        <v>show</v>
      </c>
      <c r="I8075">
        <v>0</v>
      </c>
      <c r="J8075">
        <v>0</v>
      </c>
      <c r="K8075">
        <v>0</v>
      </c>
      <c r="L8075">
        <v>0</v>
      </c>
      <c r="M8075" t="s">
        <v>43</v>
      </c>
    </row>
    <row r="8076" spans="1:13" hidden="1" x14ac:dyDescent="0.15">
      <c r="A8076" t="s">
        <v>25302</v>
      </c>
      <c r="B8076" t="s">
        <v>25303</v>
      </c>
      <c r="C8076" t="s">
        <v>25304</v>
      </c>
      <c r="D8076" t="s">
        <v>25292</v>
      </c>
      <c r="E8076">
        <v>0</v>
      </c>
      <c r="F8076" t="str">
        <f>HYPERLINK("https://github.com/MozillaReality/FirefoxReality/issues/1495", "show")</f>
        <v>show</v>
      </c>
      <c r="G8076" t="str">
        <f>HYPERLINK("https://github.com/MozillaReality/FirefoxReality", "show")</f>
        <v>show</v>
      </c>
      <c r="H8076" t="str">
        <f>HYPERLINK("https://github.com/MozillaReality/FirefoxReality/releases", "show")</f>
        <v>show</v>
      </c>
      <c r="I8076">
        <v>1</v>
      </c>
      <c r="J8076">
        <v>0</v>
      </c>
      <c r="K8076">
        <v>0</v>
      </c>
      <c r="L8076">
        <v>1</v>
      </c>
      <c r="M8076" t="s">
        <v>29</v>
      </c>
    </row>
    <row r="8077" spans="1:13" hidden="1" x14ac:dyDescent="0.15">
      <c r="A8077" t="s">
        <v>25305</v>
      </c>
      <c r="B8077" t="s">
        <v>25306</v>
      </c>
      <c r="C8077" t="s">
        <v>25307</v>
      </c>
      <c r="D8077" t="s">
        <v>25292</v>
      </c>
      <c r="E8077">
        <v>5</v>
      </c>
      <c r="F8077" t="str">
        <f>HYPERLINK("https://github.com/forcedotcom/SalesforceMobileSDK-Android/issues/1958", "show")</f>
        <v>show</v>
      </c>
      <c r="G8077" t="str">
        <f>HYPERLINK("https://github.com/forcedotcom/SalesforceMobileSDK-Android", "show")</f>
        <v>show</v>
      </c>
      <c r="H8077" t="str">
        <f>HYPERLINK("https://github.com/forcedotcom/SalesforceMobileSDK-Android/releases", "show")</f>
        <v>show</v>
      </c>
      <c r="I8077">
        <v>1</v>
      </c>
      <c r="J8077">
        <v>1</v>
      </c>
      <c r="K8077">
        <v>0</v>
      </c>
      <c r="L8077">
        <v>0</v>
      </c>
      <c r="M8077" t="s">
        <v>48</v>
      </c>
    </row>
    <row r="8078" spans="1:13" hidden="1" x14ac:dyDescent="0.15">
      <c r="A8078" t="s">
        <v>25308</v>
      </c>
      <c r="B8078" t="s">
        <v>25309</v>
      </c>
      <c r="C8078" t="s">
        <v>25310</v>
      </c>
      <c r="D8078" t="s">
        <v>25311</v>
      </c>
      <c r="E8078">
        <v>1</v>
      </c>
      <c r="F8078" t="str">
        <f>HYPERLINK("https://github.com/getodk/collect/issues/3281", "show")</f>
        <v>show</v>
      </c>
      <c r="G8078" t="str">
        <f>HYPERLINK("https://github.com/getodk/collect", "show")</f>
        <v>show</v>
      </c>
      <c r="H8078" t="str">
        <f>HYPERLINK("https://github.com/getodk/collect/releases", "show")</f>
        <v>show</v>
      </c>
      <c r="I8078">
        <v>1</v>
      </c>
      <c r="J8078">
        <v>0</v>
      </c>
      <c r="K8078">
        <v>0</v>
      </c>
      <c r="L8078">
        <v>0</v>
      </c>
      <c r="M8078" t="s">
        <v>17</v>
      </c>
    </row>
    <row r="8079" spans="1:13" hidden="1" x14ac:dyDescent="0.15">
      <c r="A8079" t="s">
        <v>25312</v>
      </c>
      <c r="B8079" t="s">
        <v>25313</v>
      </c>
      <c r="C8079" t="s">
        <v>25314</v>
      </c>
      <c r="D8079" t="s">
        <v>25311</v>
      </c>
      <c r="E8079">
        <v>3</v>
      </c>
      <c r="F8079" t="str">
        <f>HYPERLINK("https://github.com/MozillaReality/FirefoxReality/issues/1492", "show")</f>
        <v>show</v>
      </c>
      <c r="G8079" t="str">
        <f>HYPERLINK("https://github.com/MozillaReality/FirefoxReality", "show")</f>
        <v>show</v>
      </c>
      <c r="H8079" t="str">
        <f>HYPERLINK("https://github.com/MozillaReality/FirefoxReality/releases", "show")</f>
        <v>show</v>
      </c>
      <c r="I8079">
        <v>1</v>
      </c>
      <c r="J8079">
        <v>1</v>
      </c>
      <c r="K8079">
        <v>0</v>
      </c>
      <c r="L8079">
        <v>0</v>
      </c>
      <c r="M8079" t="s">
        <v>48</v>
      </c>
    </row>
    <row r="8080" spans="1:13" hidden="1" x14ac:dyDescent="0.15">
      <c r="A8080" t="s">
        <v>25315</v>
      </c>
      <c r="B8080" t="s">
        <v>25316</v>
      </c>
      <c r="C8080" t="s">
        <v>25317</v>
      </c>
      <c r="D8080" t="s">
        <v>25311</v>
      </c>
      <c r="E8080">
        <v>35</v>
      </c>
      <c r="F8080" t="str">
        <f>HYPERLINK("https://github.com/aws-amplify/aws-sdk-android/issues/1109", "show")</f>
        <v>show</v>
      </c>
      <c r="G8080" t="str">
        <f>HYPERLINK("https://github.com/aws-amplify/aws-sdk-android", "show")</f>
        <v>show</v>
      </c>
      <c r="H8080" t="str">
        <f>HYPERLINK("https://github.com/aws-amplify/aws-sdk-android/releases", "show")</f>
        <v>show</v>
      </c>
      <c r="I8080">
        <v>0</v>
      </c>
      <c r="J8080">
        <v>0</v>
      </c>
      <c r="K8080">
        <v>1</v>
      </c>
      <c r="L8080">
        <v>1</v>
      </c>
      <c r="M8080" t="s">
        <v>351</v>
      </c>
    </row>
    <row r="8081" spans="1:13" hidden="1" x14ac:dyDescent="0.15">
      <c r="A8081" t="s">
        <v>25318</v>
      </c>
      <c r="B8081" t="s">
        <v>25319</v>
      </c>
      <c r="C8081" t="s">
        <v>25320</v>
      </c>
      <c r="D8081" t="s">
        <v>25311</v>
      </c>
      <c r="E8081">
        <v>35</v>
      </c>
      <c r="F8081" t="str">
        <f>HYPERLINK("https://github.com/aws-amplify/aws-sdk-android/issues/1108", "show")</f>
        <v>show</v>
      </c>
      <c r="G8081" t="str">
        <f>HYPERLINK("https://github.com/aws-amplify/aws-sdk-android", "show")</f>
        <v>show</v>
      </c>
      <c r="H8081" t="str">
        <f>HYPERLINK("https://github.com/aws-amplify/aws-sdk-android/releases", "show")</f>
        <v>show</v>
      </c>
      <c r="I8081">
        <v>0</v>
      </c>
      <c r="J8081">
        <v>0</v>
      </c>
      <c r="K8081">
        <v>1</v>
      </c>
      <c r="L8081">
        <v>1</v>
      </c>
      <c r="M8081" t="s">
        <v>351</v>
      </c>
    </row>
    <row r="8082" spans="1:13" hidden="1" x14ac:dyDescent="0.15">
      <c r="A8082" t="s">
        <v>25321</v>
      </c>
      <c r="B8082" t="s">
        <v>25322</v>
      </c>
      <c r="C8082" t="s">
        <v>25323</v>
      </c>
      <c r="D8082" t="s">
        <v>25324</v>
      </c>
      <c r="E8082">
        <v>0</v>
      </c>
      <c r="F8082" t="str">
        <f>HYPERLINK("https://github.com/domoticz/domoticz-android/issues/540", "show")</f>
        <v>show</v>
      </c>
      <c r="G8082" t="str">
        <f>HYPERLINK("https://github.com/domoticz/domoticz-android", "show")</f>
        <v>show</v>
      </c>
      <c r="H8082" t="str">
        <f>HYPERLINK("https://github.com/domoticz/domoticz-android/releases", "show")</f>
        <v>show</v>
      </c>
      <c r="I8082">
        <v>0</v>
      </c>
      <c r="J8082">
        <v>0</v>
      </c>
      <c r="K8082">
        <v>0</v>
      </c>
      <c r="L8082">
        <v>0</v>
      </c>
      <c r="M8082" t="s">
        <v>43</v>
      </c>
    </row>
    <row r="8083" spans="1:13" hidden="1" x14ac:dyDescent="0.15">
      <c r="A8083" t="s">
        <v>25325</v>
      </c>
      <c r="B8083" t="s">
        <v>25326</v>
      </c>
      <c r="C8083" t="s">
        <v>25327</v>
      </c>
      <c r="D8083" t="s">
        <v>25324</v>
      </c>
      <c r="E8083">
        <v>4</v>
      </c>
      <c r="F8083" t="str">
        <f>HYPERLINK("https://github.com/opensrp/opensrp-client-chw-anc/issues/193", "show")</f>
        <v>show</v>
      </c>
      <c r="G8083" t="str">
        <f>HYPERLINK("https://github.com/opensrp/opensrp-client-chw-anc", "show")</f>
        <v>show</v>
      </c>
      <c r="H8083" t="str">
        <f>HYPERLINK("https://github.com/opensrp/opensrp-client-chw-anc/releases", "show")</f>
        <v>show</v>
      </c>
      <c r="I8083">
        <v>0</v>
      </c>
      <c r="J8083">
        <v>0</v>
      </c>
      <c r="K8083">
        <v>0</v>
      </c>
      <c r="L8083">
        <v>0</v>
      </c>
      <c r="M8083" t="s">
        <v>43</v>
      </c>
    </row>
    <row r="8084" spans="1:13" hidden="1" x14ac:dyDescent="0.15">
      <c r="A8084" t="s">
        <v>25328</v>
      </c>
      <c r="B8084" t="s">
        <v>25329</v>
      </c>
      <c r="C8084" t="s">
        <v>25330</v>
      </c>
      <c r="D8084" t="s">
        <v>25324</v>
      </c>
      <c r="E8084">
        <v>16</v>
      </c>
      <c r="F8084" t="str">
        <f>HYPERLINK("https://github.com/TeamNewPipe/NewPipe/issues/2484", "show")</f>
        <v>show</v>
      </c>
      <c r="G8084" t="str">
        <f>HYPERLINK("https://github.com/TeamNewPipe/NewPipe", "show")</f>
        <v>show</v>
      </c>
      <c r="H8084" t="str">
        <f>HYPERLINK("https://github.com/TeamNewPipe/NewPipe/releases", "show")</f>
        <v>show</v>
      </c>
      <c r="I8084">
        <v>1</v>
      </c>
      <c r="J8084">
        <v>0</v>
      </c>
      <c r="K8084">
        <v>0</v>
      </c>
      <c r="L8084">
        <v>0</v>
      </c>
      <c r="M8084" t="s">
        <v>17</v>
      </c>
    </row>
    <row r="8085" spans="1:13" hidden="1" x14ac:dyDescent="0.15">
      <c r="A8085" t="s">
        <v>25331</v>
      </c>
      <c r="B8085" t="s">
        <v>25332</v>
      </c>
      <c r="C8085" t="s">
        <v>25333</v>
      </c>
      <c r="D8085" t="s">
        <v>25324</v>
      </c>
      <c r="E8085">
        <v>14</v>
      </c>
      <c r="F8085" t="str">
        <f>HYPERLINK("https://github.com/opensrp/opensrp-client-chw-anc/issues/190", "show")</f>
        <v>show</v>
      </c>
      <c r="G8085" t="str">
        <f>HYPERLINK("https://github.com/opensrp/opensrp-client-chw-anc", "show")</f>
        <v>show</v>
      </c>
      <c r="H8085" t="str">
        <f>HYPERLINK("https://github.com/opensrp/opensrp-client-chw-anc/releases", "show")</f>
        <v>show</v>
      </c>
      <c r="I8085">
        <v>1</v>
      </c>
      <c r="J8085">
        <v>1</v>
      </c>
      <c r="K8085">
        <v>0</v>
      </c>
      <c r="L8085">
        <v>0</v>
      </c>
      <c r="M8085" t="s">
        <v>48</v>
      </c>
    </row>
    <row r="8086" spans="1:13" hidden="1" x14ac:dyDescent="0.15">
      <c r="A8086" t="s">
        <v>25334</v>
      </c>
      <c r="B8086" t="s">
        <v>25335</v>
      </c>
      <c r="D8086" t="s">
        <v>25324</v>
      </c>
      <c r="E8086">
        <v>0</v>
      </c>
      <c r="F8086" t="str">
        <f>HYPERLINK("https://github.com/ejsfbu/penny/issues/132", "show")</f>
        <v>show</v>
      </c>
      <c r="G8086" t="str">
        <f>HYPERLINK("https://github.com/ejsfbu/penny", "show")</f>
        <v>show</v>
      </c>
      <c r="H8086" t="str">
        <f>HYPERLINK("https://github.com/ejsfbu/penny/releases", "show")</f>
        <v>show</v>
      </c>
      <c r="I8086">
        <v>1</v>
      </c>
      <c r="J8086">
        <v>0</v>
      </c>
      <c r="K8086">
        <v>0</v>
      </c>
      <c r="L8086">
        <v>0</v>
      </c>
      <c r="M8086" t="s">
        <v>17</v>
      </c>
    </row>
    <row r="8087" spans="1:13" hidden="1" x14ac:dyDescent="0.15">
      <c r="A8087" t="s">
        <v>25336</v>
      </c>
      <c r="B8087" t="s">
        <v>25337</v>
      </c>
      <c r="D8087" t="s">
        <v>25338</v>
      </c>
      <c r="E8087">
        <v>1</v>
      </c>
      <c r="F8087" t="str">
        <f>HYPERLINK("https://github.com/ejsfbu/penny/issues/131", "show")</f>
        <v>show</v>
      </c>
      <c r="G8087" t="str">
        <f>HYPERLINK("https://github.com/ejsfbu/penny", "show")</f>
        <v>show</v>
      </c>
      <c r="H8087" t="str">
        <f>HYPERLINK("https://github.com/ejsfbu/penny/releases", "show")</f>
        <v>show</v>
      </c>
      <c r="I8087">
        <v>1</v>
      </c>
      <c r="J8087">
        <v>0</v>
      </c>
      <c r="K8087">
        <v>0</v>
      </c>
      <c r="L8087">
        <v>0</v>
      </c>
      <c r="M8087" t="s">
        <v>17</v>
      </c>
    </row>
    <row r="8088" spans="1:13" hidden="1" x14ac:dyDescent="0.15">
      <c r="A8088" t="s">
        <v>25339</v>
      </c>
      <c r="B8088" t="s">
        <v>25340</v>
      </c>
      <c r="D8088" t="s">
        <v>25338</v>
      </c>
      <c r="E8088">
        <v>97</v>
      </c>
      <c r="F8088" t="str">
        <f>HYPERLINK("https://github.com/Crazy-Marvin/Morse/issues/9", "show")</f>
        <v>show</v>
      </c>
      <c r="G8088" t="str">
        <f>HYPERLINK("https://github.com/Crazy-Marvin/Morse", "show")</f>
        <v>show</v>
      </c>
      <c r="H8088" t="str">
        <f>HYPERLINK("https://github.com/Crazy-Marvin/Morse/releases", "show")</f>
        <v>show</v>
      </c>
      <c r="I8088">
        <v>1</v>
      </c>
      <c r="J8088">
        <v>0</v>
      </c>
      <c r="K8088">
        <v>0</v>
      </c>
      <c r="L8088">
        <v>0</v>
      </c>
      <c r="M8088" t="s">
        <v>17</v>
      </c>
    </row>
    <row r="8089" spans="1:13" hidden="1" x14ac:dyDescent="0.15">
      <c r="A8089" t="s">
        <v>25341</v>
      </c>
      <c r="B8089" t="s">
        <v>25342</v>
      </c>
      <c r="C8089" t="s">
        <v>25343</v>
      </c>
      <c r="D8089" t="s">
        <v>25338</v>
      </c>
      <c r="E8089">
        <v>12</v>
      </c>
      <c r="F8089" t="str">
        <f>HYPERLINK("https://github.com/awslabs/aws-mobile-appsync-sdk-android/issues/208", "show")</f>
        <v>show</v>
      </c>
      <c r="G8089" t="str">
        <f>HYPERLINK("https://github.com/awslabs/aws-mobile-appsync-sdk-android", "show")</f>
        <v>show</v>
      </c>
      <c r="H8089" t="str">
        <f>HYPERLINK("https://github.com/awslabs/aws-mobile-appsync-sdk-android/releases", "show")</f>
        <v>show</v>
      </c>
      <c r="I8089">
        <v>0</v>
      </c>
      <c r="J8089">
        <v>0</v>
      </c>
      <c r="K8089">
        <v>1</v>
      </c>
      <c r="L8089">
        <v>0</v>
      </c>
      <c r="M8089" t="s">
        <v>122</v>
      </c>
    </row>
    <row r="8090" spans="1:13" hidden="1" x14ac:dyDescent="0.15">
      <c r="A8090" t="s">
        <v>25344</v>
      </c>
      <c r="B8090" t="s">
        <v>25345</v>
      </c>
      <c r="C8090" t="s">
        <v>25346</v>
      </c>
      <c r="D8090" t="s">
        <v>25347</v>
      </c>
      <c r="E8090">
        <v>2</v>
      </c>
      <c r="F8090" t="str">
        <f>HYPERLINK("https://github.com/niccokunzmann/mundraub-android/issues/236", "show")</f>
        <v>show</v>
      </c>
      <c r="G8090" t="str">
        <f>HYPERLINK("https://github.com/niccokunzmann/mundraub-android", "show")</f>
        <v>show</v>
      </c>
      <c r="H8090" t="str">
        <f>HYPERLINK("https://github.com/niccokunzmann/mundraub-android/releases", "show")</f>
        <v>show</v>
      </c>
      <c r="I8090">
        <v>0</v>
      </c>
      <c r="J8090">
        <v>0</v>
      </c>
      <c r="K8090">
        <v>0</v>
      </c>
      <c r="L8090">
        <v>0</v>
      </c>
      <c r="M8090" t="s">
        <v>43</v>
      </c>
    </row>
    <row r="8091" spans="1:13" x14ac:dyDescent="0.15">
      <c r="A8091" t="s">
        <v>25348</v>
      </c>
      <c r="B8091" t="s">
        <v>25349</v>
      </c>
      <c r="C8091" t="s">
        <v>25350</v>
      </c>
      <c r="D8091" t="s">
        <v>25347</v>
      </c>
      <c r="E8091">
        <v>47</v>
      </c>
      <c r="F8091" t="str">
        <f>HYPERLINK("https://github.com/fossasia/phimpme-android/issues/2845", "show")</f>
        <v>show</v>
      </c>
      <c r="G8091" t="str">
        <f>HYPERLINK("https://github.com/fossasia/phimpme-android", "show")</f>
        <v>show</v>
      </c>
      <c r="H8091" t="str">
        <f>HYPERLINK("https://github.com/fossasia/phimpme-android/releases", "show")</f>
        <v>show</v>
      </c>
      <c r="I8091">
        <v>0</v>
      </c>
      <c r="J8091">
        <v>1</v>
      </c>
      <c r="K8091">
        <v>0</v>
      </c>
      <c r="L8091">
        <v>0</v>
      </c>
      <c r="M8091" t="s">
        <v>139</v>
      </c>
    </row>
    <row r="8092" spans="1:13" hidden="1" x14ac:dyDescent="0.15">
      <c r="A8092" t="s">
        <v>25351</v>
      </c>
      <c r="B8092" t="s">
        <v>25352</v>
      </c>
      <c r="C8092" t="s">
        <v>25353</v>
      </c>
      <c r="D8092" t="s">
        <v>25347</v>
      </c>
      <c r="E8092">
        <v>169</v>
      </c>
      <c r="F8092" t="str">
        <f>HYPERLINK("https://github.com/twilio/video-quickstart-android/issues/424", "show")</f>
        <v>show</v>
      </c>
      <c r="G8092" t="str">
        <f>HYPERLINK("https://github.com/twilio/video-quickstart-android", "show")</f>
        <v>show</v>
      </c>
      <c r="H8092" t="str">
        <f>HYPERLINK("https://github.com/twilio/video-quickstart-android/releases", "show")</f>
        <v>show</v>
      </c>
      <c r="I8092">
        <v>0</v>
      </c>
      <c r="J8092">
        <v>0</v>
      </c>
      <c r="K8092">
        <v>1</v>
      </c>
      <c r="L8092">
        <v>0</v>
      </c>
      <c r="M8092" t="s">
        <v>122</v>
      </c>
    </row>
    <row r="8093" spans="1:13" hidden="1" x14ac:dyDescent="0.15">
      <c r="A8093" t="s">
        <v>25354</v>
      </c>
      <c r="B8093" t="s">
        <v>25355</v>
      </c>
      <c r="C8093" t="s">
        <v>25356</v>
      </c>
      <c r="D8093" t="s">
        <v>25347</v>
      </c>
      <c r="E8093">
        <v>0</v>
      </c>
      <c r="F8093" t="str">
        <f>HYPERLINK("https://github.com/gsantner/markor/issues/639", "show")</f>
        <v>show</v>
      </c>
      <c r="G8093" t="str">
        <f>HYPERLINK("https://github.com/gsantner/markor", "show")</f>
        <v>show</v>
      </c>
      <c r="H8093" t="str">
        <f>HYPERLINK("https://github.com/gsantner/markor/releases", "show")</f>
        <v>show</v>
      </c>
      <c r="I8093">
        <v>0</v>
      </c>
      <c r="J8093">
        <v>0</v>
      </c>
      <c r="K8093">
        <v>0</v>
      </c>
      <c r="L8093">
        <v>0</v>
      </c>
      <c r="M8093" t="s">
        <v>43</v>
      </c>
    </row>
    <row r="8094" spans="1:13" hidden="1" x14ac:dyDescent="0.15">
      <c r="A8094" t="s">
        <v>25357</v>
      </c>
      <c r="B8094" t="s">
        <v>25358</v>
      </c>
      <c r="D8094" t="s">
        <v>25347</v>
      </c>
      <c r="E8094">
        <v>22</v>
      </c>
      <c r="F8094" t="str">
        <f>HYPERLINK("https://github.com/shiftlyapp/Shiftly/issues/45", "show")</f>
        <v>show</v>
      </c>
      <c r="G8094" t="str">
        <f>HYPERLINK("https://github.com/shiftlyapp/Shiftly", "show")</f>
        <v>show</v>
      </c>
      <c r="H8094" t="str">
        <f>HYPERLINK("https://github.com/shiftlyapp/Shiftly/releases", "show")</f>
        <v>show</v>
      </c>
      <c r="I8094">
        <v>1</v>
      </c>
      <c r="J8094">
        <v>0</v>
      </c>
      <c r="K8094">
        <v>0</v>
      </c>
      <c r="L8094">
        <v>0</v>
      </c>
      <c r="M8094" t="s">
        <v>17</v>
      </c>
    </row>
    <row r="8095" spans="1:13" hidden="1" x14ac:dyDescent="0.15">
      <c r="A8095" t="s">
        <v>25359</v>
      </c>
      <c r="B8095" t="s">
        <v>25360</v>
      </c>
      <c r="C8095" t="s">
        <v>25361</v>
      </c>
      <c r="D8095" t="s">
        <v>25362</v>
      </c>
      <c r="E8095">
        <v>5</v>
      </c>
      <c r="F8095" t="str">
        <f>HYPERLINK("https://github.com/ttdyce/NHentai-NHViewer/issues/8", "show")</f>
        <v>show</v>
      </c>
      <c r="G8095" t="str">
        <f>HYPERLINK("https://github.com/ttdyce/NHentai-NHViewer", "show")</f>
        <v>show</v>
      </c>
      <c r="H8095" t="str">
        <f>HYPERLINK("https://github.com/ttdyce/NHentai-NHViewer/releases", "show")</f>
        <v>show</v>
      </c>
      <c r="I8095">
        <v>0</v>
      </c>
      <c r="J8095">
        <v>1</v>
      </c>
      <c r="K8095">
        <v>1</v>
      </c>
      <c r="L8095">
        <v>1</v>
      </c>
      <c r="M8095" t="s">
        <v>427</v>
      </c>
    </row>
    <row r="8096" spans="1:13" hidden="1" x14ac:dyDescent="0.15">
      <c r="A8096" t="s">
        <v>25363</v>
      </c>
      <c r="B8096" t="s">
        <v>25364</v>
      </c>
      <c r="C8096" t="s">
        <v>25365</v>
      </c>
      <c r="D8096" t="s">
        <v>25366</v>
      </c>
      <c r="E8096">
        <v>11</v>
      </c>
      <c r="F8096" t="str">
        <f>HYPERLINK("https://github.com/cgeo/cgeo/issues/7752", "show")</f>
        <v>show</v>
      </c>
      <c r="G8096" t="str">
        <f>HYPERLINK("https://github.com/cgeo/cgeo", "show")</f>
        <v>show</v>
      </c>
      <c r="H8096" t="str">
        <f>HYPERLINK("https://github.com/cgeo/cgeo/releases", "show")</f>
        <v>show</v>
      </c>
      <c r="I8096">
        <v>1</v>
      </c>
      <c r="J8096">
        <v>0</v>
      </c>
      <c r="K8096">
        <v>0</v>
      </c>
      <c r="L8096">
        <v>0</v>
      </c>
      <c r="M8096" t="s">
        <v>17</v>
      </c>
    </row>
    <row r="8097" spans="1:13" hidden="1" x14ac:dyDescent="0.15">
      <c r="A8097" t="s">
        <v>25367</v>
      </c>
      <c r="B8097" t="s">
        <v>25368</v>
      </c>
      <c r="C8097" t="s">
        <v>25369</v>
      </c>
      <c r="D8097" t="s">
        <v>25370</v>
      </c>
      <c r="E8097">
        <v>1</v>
      </c>
      <c r="F8097" t="str">
        <f>HYPERLINK("https://github.com/ttdyce/NHentai-NHViewer/issues/7", "show")</f>
        <v>show</v>
      </c>
      <c r="G8097" t="str">
        <f>HYPERLINK("https://github.com/ttdyce/NHentai-NHViewer", "show")</f>
        <v>show</v>
      </c>
      <c r="H8097" t="str">
        <f>HYPERLINK("https://github.com/ttdyce/NHentai-NHViewer/releases", "show")</f>
        <v>show</v>
      </c>
      <c r="I8097">
        <v>0</v>
      </c>
      <c r="J8097">
        <v>1</v>
      </c>
      <c r="K8097">
        <v>1</v>
      </c>
      <c r="L8097">
        <v>1</v>
      </c>
      <c r="M8097" t="s">
        <v>427</v>
      </c>
    </row>
    <row r="8098" spans="1:13" hidden="1" x14ac:dyDescent="0.15">
      <c r="A8098" t="s">
        <v>25371</v>
      </c>
      <c r="B8098" t="s">
        <v>25372</v>
      </c>
      <c r="C8098" t="s">
        <v>25373</v>
      </c>
      <c r="D8098" t="s">
        <v>25370</v>
      </c>
      <c r="E8098">
        <v>0</v>
      </c>
      <c r="F8098" t="str">
        <f>HYPERLINK("https://github.com/ejsfbu/penny/issues/85", "show")</f>
        <v>show</v>
      </c>
      <c r="G8098" t="str">
        <f>HYPERLINK("https://github.com/ejsfbu/penny", "show")</f>
        <v>show</v>
      </c>
      <c r="H8098" t="str">
        <f>HYPERLINK("https://github.com/ejsfbu/penny/releases", "show")</f>
        <v>show</v>
      </c>
      <c r="I8098">
        <v>0</v>
      </c>
      <c r="J8098">
        <v>0</v>
      </c>
      <c r="K8098">
        <v>0</v>
      </c>
      <c r="L8098">
        <v>0</v>
      </c>
      <c r="M8098" t="s">
        <v>43</v>
      </c>
    </row>
    <row r="8099" spans="1:13" hidden="1" x14ac:dyDescent="0.15">
      <c r="A8099" t="s">
        <v>25374</v>
      </c>
      <c r="B8099" t="s">
        <v>25375</v>
      </c>
      <c r="C8099" t="s">
        <v>25376</v>
      </c>
      <c r="D8099" t="s">
        <v>25377</v>
      </c>
      <c r="E8099">
        <v>27</v>
      </c>
      <c r="F8099" t="str">
        <f>HYPERLINK("https://github.com/aws-amplify/aws-sdk-android/issues/1092", "show")</f>
        <v>show</v>
      </c>
      <c r="G8099" t="str">
        <f>HYPERLINK("https://github.com/aws-amplify/aws-sdk-android", "show")</f>
        <v>show</v>
      </c>
      <c r="H8099" t="str">
        <f>HYPERLINK("https://github.com/aws-amplify/aws-sdk-android/releases", "show")</f>
        <v>show</v>
      </c>
      <c r="I8099">
        <v>0</v>
      </c>
      <c r="J8099">
        <v>0</v>
      </c>
      <c r="K8099">
        <v>0</v>
      </c>
      <c r="L8099">
        <v>0</v>
      </c>
      <c r="M8099" t="s">
        <v>43</v>
      </c>
    </row>
    <row r="8100" spans="1:13" hidden="1" x14ac:dyDescent="0.15">
      <c r="A8100" t="s">
        <v>25378</v>
      </c>
      <c r="B8100" t="s">
        <v>25379</v>
      </c>
      <c r="C8100" t="s">
        <v>504</v>
      </c>
      <c r="D8100" t="s">
        <v>25377</v>
      </c>
      <c r="E8100">
        <v>0</v>
      </c>
      <c r="F8100" t="str">
        <f>HYPERLINK("https://github.com/itachi1706/SingBuses/issues/178", "show")</f>
        <v>show</v>
      </c>
      <c r="G8100" t="str">
        <f>HYPERLINK("https://github.com/itachi1706/SingBuses", "show")</f>
        <v>show</v>
      </c>
      <c r="H8100" t="str">
        <f>HYPERLINK("https://github.com/itachi1706/SingBuses/releases", "show")</f>
        <v>show</v>
      </c>
      <c r="I8100">
        <v>1</v>
      </c>
      <c r="J8100">
        <v>0</v>
      </c>
      <c r="K8100">
        <v>0</v>
      </c>
      <c r="L8100">
        <v>0</v>
      </c>
      <c r="M8100" t="s">
        <v>17</v>
      </c>
    </row>
    <row r="8101" spans="1:13" hidden="1" x14ac:dyDescent="0.15">
      <c r="A8101" t="s">
        <v>25380</v>
      </c>
      <c r="B8101" t="s">
        <v>25381</v>
      </c>
      <c r="D8101" t="s">
        <v>25377</v>
      </c>
      <c r="E8101">
        <v>10</v>
      </c>
      <c r="F8101" t="str">
        <f>HYPERLINK("https://github.com/erxes/erxes-android-sdk/issues/12", "show")</f>
        <v>show</v>
      </c>
      <c r="G8101" t="str">
        <f>HYPERLINK("https://github.com/erxes/erxes-android-sdk", "show")</f>
        <v>show</v>
      </c>
      <c r="H8101" t="str">
        <f>HYPERLINK("https://github.com/erxes/erxes-android-sdk/releases", "show")</f>
        <v>show</v>
      </c>
      <c r="I8101">
        <v>0</v>
      </c>
      <c r="J8101">
        <v>0</v>
      </c>
      <c r="K8101">
        <v>0</v>
      </c>
      <c r="L8101">
        <v>0</v>
      </c>
      <c r="M8101" t="s">
        <v>43</v>
      </c>
    </row>
    <row r="8102" spans="1:13" hidden="1" x14ac:dyDescent="0.15">
      <c r="A8102" t="s">
        <v>25382</v>
      </c>
      <c r="B8102" t="s">
        <v>25383</v>
      </c>
      <c r="C8102" t="s">
        <v>25384</v>
      </c>
      <c r="D8102" t="s">
        <v>25377</v>
      </c>
      <c r="E8102">
        <v>36</v>
      </c>
      <c r="F8102" t="str">
        <f>HYPERLINK("https://github.com/miguelpruivo/flutter_file_picker/issues/115", "show")</f>
        <v>show</v>
      </c>
      <c r="G8102" t="str">
        <f>HYPERLINK("https://github.com/miguelpruivo/flutter_file_picker", "show")</f>
        <v>show</v>
      </c>
      <c r="H8102" t="str">
        <f>HYPERLINK("https://github.com/miguelpruivo/flutter_file_picker/releases", "show")</f>
        <v>show</v>
      </c>
      <c r="I8102">
        <v>1</v>
      </c>
      <c r="J8102">
        <v>0</v>
      </c>
      <c r="K8102">
        <v>1</v>
      </c>
      <c r="L8102">
        <v>0</v>
      </c>
      <c r="M8102" t="s">
        <v>64</v>
      </c>
    </row>
    <row r="8103" spans="1:13" hidden="1" x14ac:dyDescent="0.15">
      <c r="A8103" t="s">
        <v>25385</v>
      </c>
      <c r="B8103" t="s">
        <v>25386</v>
      </c>
      <c r="C8103" t="s">
        <v>25387</v>
      </c>
      <c r="D8103" t="s">
        <v>25388</v>
      </c>
      <c r="E8103">
        <v>8</v>
      </c>
      <c r="F8103" t="str">
        <f>HYPERLINK("https://github.com/MozillaReality/FirefoxReality/issues/1459", "show")</f>
        <v>show</v>
      </c>
      <c r="G8103" t="str">
        <f>HYPERLINK("https://github.com/MozillaReality/FirefoxReality", "show")</f>
        <v>show</v>
      </c>
      <c r="H8103" t="str">
        <f>HYPERLINK("https://github.com/MozillaReality/FirefoxReality/releases", "show")</f>
        <v>show</v>
      </c>
      <c r="I8103">
        <v>1</v>
      </c>
      <c r="J8103">
        <v>0</v>
      </c>
      <c r="K8103">
        <v>0</v>
      </c>
      <c r="L8103">
        <v>0</v>
      </c>
      <c r="M8103" t="s">
        <v>17</v>
      </c>
    </row>
    <row r="8104" spans="1:13" hidden="1" x14ac:dyDescent="0.15">
      <c r="A8104" t="s">
        <v>25389</v>
      </c>
      <c r="B8104" t="s">
        <v>25390</v>
      </c>
      <c r="C8104" t="s">
        <v>25391</v>
      </c>
      <c r="D8104" t="s">
        <v>25388</v>
      </c>
      <c r="E8104">
        <v>0</v>
      </c>
      <c r="F8104" t="str">
        <f>HYPERLINK("https://github.com/avluis/Hentoid/issues/342", "show")</f>
        <v>show</v>
      </c>
      <c r="G8104" t="str">
        <f>HYPERLINK("https://github.com/avluis/Hentoid", "show")</f>
        <v>show</v>
      </c>
      <c r="H8104" t="str">
        <f>HYPERLINK("https://github.com/avluis/Hentoid/releases", "show")</f>
        <v>show</v>
      </c>
      <c r="I8104">
        <v>1</v>
      </c>
      <c r="J8104">
        <v>0</v>
      </c>
      <c r="K8104">
        <v>0</v>
      </c>
      <c r="L8104">
        <v>0</v>
      </c>
      <c r="M8104" t="s">
        <v>17</v>
      </c>
    </row>
    <row r="8105" spans="1:13" hidden="1" x14ac:dyDescent="0.15">
      <c r="A8105" t="s">
        <v>25392</v>
      </c>
      <c r="B8105" t="s">
        <v>25393</v>
      </c>
      <c r="C8105" t="s">
        <v>25394</v>
      </c>
      <c r="D8105" t="s">
        <v>25388</v>
      </c>
      <c r="E8105">
        <v>0</v>
      </c>
      <c r="F8105" t="str">
        <f>HYPERLINK("https://github.com/square/okhttp/issues/5303", "show")</f>
        <v>show</v>
      </c>
      <c r="G8105" t="str">
        <f>HYPERLINK("https://github.com/square/okhttp", "show")</f>
        <v>show</v>
      </c>
      <c r="H8105" t="str">
        <f>HYPERLINK("https://github.com/square/okhttp/releases", "show")</f>
        <v>show</v>
      </c>
      <c r="I8105">
        <v>0</v>
      </c>
      <c r="J8105">
        <v>0</v>
      </c>
      <c r="K8105">
        <v>1</v>
      </c>
      <c r="L8105">
        <v>0</v>
      </c>
      <c r="M8105" t="s">
        <v>122</v>
      </c>
    </row>
    <row r="8106" spans="1:13" hidden="1" x14ac:dyDescent="0.15">
      <c r="A8106" t="s">
        <v>25395</v>
      </c>
      <c r="B8106" t="s">
        <v>25396</v>
      </c>
      <c r="C8106" t="s">
        <v>25397</v>
      </c>
      <c r="D8106" t="s">
        <v>25398</v>
      </c>
      <c r="E8106">
        <v>0</v>
      </c>
      <c r="F8106" t="str">
        <f>HYPERLINK("https://github.com/dimagi/commcare-android/issues/2127", "show")</f>
        <v>show</v>
      </c>
      <c r="G8106" t="str">
        <f>HYPERLINK("https://github.com/dimagi/commcare-android", "show")</f>
        <v>show</v>
      </c>
      <c r="H8106" t="str">
        <f>HYPERLINK("https://github.com/dimagi/commcare-android/releases", "show")</f>
        <v>show</v>
      </c>
      <c r="I8106">
        <v>0</v>
      </c>
      <c r="J8106">
        <v>0</v>
      </c>
      <c r="K8106">
        <v>0</v>
      </c>
      <c r="L8106">
        <v>0</v>
      </c>
      <c r="M8106" t="s">
        <v>43</v>
      </c>
    </row>
    <row r="8107" spans="1:13" hidden="1" x14ac:dyDescent="0.15">
      <c r="A8107" t="s">
        <v>25399</v>
      </c>
      <c r="B8107" t="s">
        <v>25400</v>
      </c>
      <c r="C8107" t="s">
        <v>25401</v>
      </c>
      <c r="D8107" t="s">
        <v>25398</v>
      </c>
      <c r="E8107">
        <v>44</v>
      </c>
      <c r="F8107" t="str">
        <f>HYPERLINK("https://github.com/DigitalCampus/oppia-mobile-android/issues/854", "show")</f>
        <v>show</v>
      </c>
      <c r="G8107" t="str">
        <f>HYPERLINK("https://github.com/DigitalCampus/oppia-mobile-android", "show")</f>
        <v>show</v>
      </c>
      <c r="H8107" t="str">
        <f>HYPERLINK("https://github.com/DigitalCampus/oppia-mobile-android/releases", "show")</f>
        <v>show</v>
      </c>
      <c r="I8107">
        <v>1</v>
      </c>
      <c r="J8107">
        <v>0</v>
      </c>
      <c r="K8107">
        <v>1</v>
      </c>
      <c r="L8107">
        <v>0</v>
      </c>
      <c r="M8107" t="s">
        <v>64</v>
      </c>
    </row>
    <row r="8108" spans="1:13" hidden="1" x14ac:dyDescent="0.15">
      <c r="A8108" t="s">
        <v>25402</v>
      </c>
      <c r="B8108" t="s">
        <v>25403</v>
      </c>
      <c r="C8108" t="s">
        <v>25404</v>
      </c>
      <c r="D8108" t="s">
        <v>25405</v>
      </c>
      <c r="E8108">
        <v>41</v>
      </c>
      <c r="F8108" t="str">
        <f>HYPERLINK("https://github.com/opentok/opentok-react-native/issues/315", "show")</f>
        <v>show</v>
      </c>
      <c r="G8108" t="str">
        <f>HYPERLINK("https://github.com/opentok/opentok-react-native", "show")</f>
        <v>show</v>
      </c>
      <c r="H8108" t="str">
        <f>HYPERLINK("https://github.com/opentok/opentok-react-native/releases", "show")</f>
        <v>show</v>
      </c>
      <c r="I8108">
        <v>1</v>
      </c>
      <c r="J8108">
        <v>0</v>
      </c>
      <c r="K8108">
        <v>0</v>
      </c>
      <c r="L8108">
        <v>1</v>
      </c>
      <c r="M8108" t="s">
        <v>29</v>
      </c>
    </row>
    <row r="8109" spans="1:13" hidden="1" x14ac:dyDescent="0.15">
      <c r="A8109" t="s">
        <v>25406</v>
      </c>
      <c r="B8109" t="s">
        <v>25407</v>
      </c>
      <c r="C8109" t="s">
        <v>25408</v>
      </c>
      <c r="D8109" t="s">
        <v>25405</v>
      </c>
      <c r="E8109">
        <v>82</v>
      </c>
      <c r="F8109" t="str">
        <f>HYPERLINK("https://github.com/k9mail/k-9/issues/4121", "show")</f>
        <v>show</v>
      </c>
      <c r="G8109" t="str">
        <f>HYPERLINK("https://github.com/k9mail/k-9", "show")</f>
        <v>show</v>
      </c>
      <c r="H8109" t="str">
        <f>HYPERLINK("https://github.com/k9mail/k-9/releases", "show")</f>
        <v>show</v>
      </c>
      <c r="I8109">
        <v>1</v>
      </c>
      <c r="J8109">
        <v>0</v>
      </c>
      <c r="K8109">
        <v>1</v>
      </c>
      <c r="L8109">
        <v>0</v>
      </c>
      <c r="M8109" t="s">
        <v>64</v>
      </c>
    </row>
    <row r="8110" spans="1:13" hidden="1" x14ac:dyDescent="0.15">
      <c r="A8110" t="s">
        <v>25409</v>
      </c>
      <c r="B8110" t="s">
        <v>25410</v>
      </c>
      <c r="C8110" t="s">
        <v>25411</v>
      </c>
      <c r="D8110" t="s">
        <v>25412</v>
      </c>
      <c r="E8110">
        <v>71</v>
      </c>
      <c r="F8110" t="str">
        <f>HYPERLINK("https://github.com/material-components/material-components-android/issues/460", "show")</f>
        <v>show</v>
      </c>
      <c r="G8110" t="str">
        <f>HYPERLINK("https://github.com/material-components/material-components-android", "show")</f>
        <v>show</v>
      </c>
      <c r="H8110" t="str">
        <f>HYPERLINK("https://github.com/material-components/material-components-android/releases", "show")</f>
        <v>show</v>
      </c>
      <c r="I8110">
        <v>1</v>
      </c>
      <c r="J8110">
        <v>0</v>
      </c>
      <c r="K8110">
        <v>0</v>
      </c>
      <c r="L8110">
        <v>0</v>
      </c>
      <c r="M8110" t="s">
        <v>17</v>
      </c>
    </row>
    <row r="8111" spans="1:13" hidden="1" x14ac:dyDescent="0.15">
      <c r="A8111" t="s">
        <v>25413</v>
      </c>
      <c r="B8111" t="s">
        <v>25414</v>
      </c>
      <c r="C8111" t="s">
        <v>25415</v>
      </c>
      <c r="D8111" t="s">
        <v>25416</v>
      </c>
      <c r="E8111">
        <v>1</v>
      </c>
      <c r="F8111" t="str">
        <f>HYPERLINK("https://github.com/GrapheneOS/PdfViewer/issues/42", "show")</f>
        <v>show</v>
      </c>
      <c r="G8111" t="str">
        <f>HYPERLINK("https://github.com/GrapheneOS/PdfViewer", "show")</f>
        <v>show</v>
      </c>
      <c r="H8111" t="str">
        <f>HYPERLINK("https://github.com/GrapheneOS/PdfViewer/releases", "show")</f>
        <v>show</v>
      </c>
      <c r="I8111">
        <v>1</v>
      </c>
      <c r="J8111">
        <v>1</v>
      </c>
      <c r="K8111">
        <v>1</v>
      </c>
      <c r="L8111">
        <v>0</v>
      </c>
      <c r="M8111" t="s">
        <v>59</v>
      </c>
    </row>
    <row r="8112" spans="1:13" hidden="1" x14ac:dyDescent="0.15">
      <c r="A8112" t="s">
        <v>25417</v>
      </c>
      <c r="B8112" t="s">
        <v>25418</v>
      </c>
      <c r="C8112" t="s">
        <v>25419</v>
      </c>
      <c r="D8112" t="s">
        <v>25416</v>
      </c>
      <c r="E8112">
        <v>77</v>
      </c>
      <c r="F8112" t="str">
        <f>HYPERLINK("https://github.com/skynet-im/skynet-android/issues/4", "show")</f>
        <v>show</v>
      </c>
      <c r="G8112" t="str">
        <f>HYPERLINK("https://github.com/skynet-im/skynet-android", "show")</f>
        <v>show</v>
      </c>
      <c r="H8112" t="str">
        <f>HYPERLINK("https://github.com/skynet-im/skynet-android/releases", "show")</f>
        <v>show</v>
      </c>
      <c r="I8112">
        <v>1</v>
      </c>
      <c r="J8112">
        <v>1</v>
      </c>
      <c r="K8112">
        <v>1</v>
      </c>
      <c r="L8112">
        <v>0</v>
      </c>
      <c r="M8112" t="s">
        <v>59</v>
      </c>
    </row>
    <row r="8113" spans="1:13" hidden="1" x14ac:dyDescent="0.15">
      <c r="A8113" t="s">
        <v>25420</v>
      </c>
      <c r="B8113" t="s">
        <v>25421</v>
      </c>
      <c r="C8113" t="s">
        <v>25422</v>
      </c>
      <c r="D8113" t="s">
        <v>25416</v>
      </c>
      <c r="E8113">
        <v>1</v>
      </c>
      <c r="F8113" t="str">
        <f>HYPERLINK("https://github.com/material-components/material-components-android/issues/455", "show")</f>
        <v>show</v>
      </c>
      <c r="G8113" t="str">
        <f>HYPERLINK("https://github.com/material-components/material-components-android", "show")</f>
        <v>show</v>
      </c>
      <c r="H8113" t="str">
        <f>HYPERLINK("https://github.com/material-components/material-components-android/releases", "show")</f>
        <v>show</v>
      </c>
      <c r="I8113">
        <v>1</v>
      </c>
      <c r="J8113">
        <v>0</v>
      </c>
      <c r="K8113">
        <v>0</v>
      </c>
      <c r="L8113">
        <v>0</v>
      </c>
      <c r="M8113" t="s">
        <v>17</v>
      </c>
    </row>
    <row r="8114" spans="1:13" hidden="1" x14ac:dyDescent="0.15">
      <c r="A8114" t="s">
        <v>25423</v>
      </c>
      <c r="B8114" t="s">
        <v>25424</v>
      </c>
      <c r="C8114" t="s">
        <v>25425</v>
      </c>
      <c r="D8114" t="s">
        <v>25426</v>
      </c>
      <c r="E8114">
        <v>75</v>
      </c>
      <c r="F8114" t="str">
        <f>HYPERLINK("https://github.com/MozillaReality/FirefoxReality/issues/1435", "show")</f>
        <v>show</v>
      </c>
      <c r="G8114" t="str">
        <f>HYPERLINK("https://github.com/MozillaReality/FirefoxReality", "show")</f>
        <v>show</v>
      </c>
      <c r="H8114" t="str">
        <f>HYPERLINK("https://github.com/MozillaReality/FirefoxReality/releases", "show")</f>
        <v>show</v>
      </c>
      <c r="I8114">
        <v>1</v>
      </c>
      <c r="J8114">
        <v>1</v>
      </c>
      <c r="K8114">
        <v>0</v>
      </c>
      <c r="L8114">
        <v>0</v>
      </c>
      <c r="M8114" t="s">
        <v>48</v>
      </c>
    </row>
    <row r="8115" spans="1:13" hidden="1" x14ac:dyDescent="0.15">
      <c r="A8115" t="s">
        <v>25427</v>
      </c>
      <c r="B8115" t="s">
        <v>25428</v>
      </c>
      <c r="C8115" t="s">
        <v>25429</v>
      </c>
      <c r="D8115" t="s">
        <v>25426</v>
      </c>
      <c r="E8115">
        <v>3</v>
      </c>
      <c r="F8115" t="str">
        <f>HYPERLINK("https://github.com/ttdyce/NHentai-NHViewer/issues/3", "show")</f>
        <v>show</v>
      </c>
      <c r="G8115" t="str">
        <f>HYPERLINK("https://github.com/ttdyce/NHentai-NHViewer", "show")</f>
        <v>show</v>
      </c>
      <c r="H8115" t="str">
        <f>HYPERLINK("https://github.com/ttdyce/NHentai-NHViewer/releases", "show")</f>
        <v>show</v>
      </c>
      <c r="I8115">
        <v>1</v>
      </c>
      <c r="J8115">
        <v>1</v>
      </c>
      <c r="K8115">
        <v>1</v>
      </c>
      <c r="L8115">
        <v>0</v>
      </c>
      <c r="M8115" t="s">
        <v>59</v>
      </c>
    </row>
    <row r="8116" spans="1:13" hidden="1" x14ac:dyDescent="0.15">
      <c r="A8116" t="s">
        <v>25430</v>
      </c>
      <c r="B8116" t="s">
        <v>25431</v>
      </c>
      <c r="C8116" t="s">
        <v>25432</v>
      </c>
      <c r="D8116" t="s">
        <v>25426</v>
      </c>
      <c r="E8116">
        <v>0</v>
      </c>
      <c r="F8116" t="str">
        <f>HYPERLINK("https://github.com/fossasia/open-event-organizer-android/issues/1821", "show")</f>
        <v>show</v>
      </c>
      <c r="G8116" t="str">
        <f>HYPERLINK("https://github.com/fossasia/open-event-organizer-android", "show")</f>
        <v>show</v>
      </c>
      <c r="H8116" t="str">
        <f>HYPERLINK("https://github.com/fossasia/open-event-organizer-android/releases", "show")</f>
        <v>show</v>
      </c>
      <c r="I8116">
        <v>1</v>
      </c>
      <c r="J8116">
        <v>1</v>
      </c>
      <c r="K8116">
        <v>1</v>
      </c>
      <c r="L8116">
        <v>0</v>
      </c>
      <c r="M8116" t="s">
        <v>59</v>
      </c>
    </row>
    <row r="8117" spans="1:13" hidden="1" x14ac:dyDescent="0.15">
      <c r="A8117" t="s">
        <v>25433</v>
      </c>
      <c r="B8117" t="s">
        <v>25434</v>
      </c>
      <c r="C8117" t="s">
        <v>25435</v>
      </c>
      <c r="D8117" t="s">
        <v>25436</v>
      </c>
      <c r="E8117">
        <v>13</v>
      </c>
      <c r="F8117" t="str">
        <f>HYPERLINK("https://github.com/material-components/material-components-android/issues/452", "show")</f>
        <v>show</v>
      </c>
      <c r="G8117" t="str">
        <f>HYPERLINK("https://github.com/material-components/material-components-android", "show")</f>
        <v>show</v>
      </c>
      <c r="H8117" t="str">
        <f>HYPERLINK("https://github.com/material-components/material-components-android/releases", "show")</f>
        <v>show</v>
      </c>
      <c r="I8117">
        <v>1</v>
      </c>
      <c r="J8117">
        <v>0</v>
      </c>
      <c r="K8117">
        <v>1</v>
      </c>
      <c r="L8117">
        <v>0</v>
      </c>
      <c r="M8117" t="s">
        <v>64</v>
      </c>
    </row>
    <row r="8118" spans="1:13" hidden="1" x14ac:dyDescent="0.15">
      <c r="A8118" t="s">
        <v>25437</v>
      </c>
      <c r="B8118" t="s">
        <v>25438</v>
      </c>
      <c r="C8118" t="s">
        <v>25439</v>
      </c>
      <c r="D8118" t="s">
        <v>25440</v>
      </c>
      <c r="E8118">
        <v>2</v>
      </c>
      <c r="F8118" t="str">
        <f>HYPERLINK("https://github.com/fossasia/neurolab-android/issues/366", "show")</f>
        <v>show</v>
      </c>
      <c r="G8118" t="str">
        <f>HYPERLINK("https://github.com/fossasia/neurolab-android", "show")</f>
        <v>show</v>
      </c>
      <c r="H8118" t="str">
        <f>HYPERLINK("https://github.com/fossasia/neurolab-android/releases", "show")</f>
        <v>show</v>
      </c>
      <c r="I8118">
        <v>1</v>
      </c>
      <c r="J8118">
        <v>1</v>
      </c>
      <c r="K8118">
        <v>0</v>
      </c>
      <c r="L8118">
        <v>0</v>
      </c>
      <c r="M8118" t="s">
        <v>48</v>
      </c>
    </row>
    <row r="8119" spans="1:13" hidden="1" x14ac:dyDescent="0.15">
      <c r="A8119" t="s">
        <v>25441</v>
      </c>
      <c r="B8119" t="s">
        <v>25442</v>
      </c>
      <c r="C8119" t="s">
        <v>25443</v>
      </c>
      <c r="D8119" t="s">
        <v>25440</v>
      </c>
      <c r="E8119">
        <v>837</v>
      </c>
      <c r="F8119" t="str">
        <f>HYPERLINK("https://github.com/LawnchairLauncher/lawnchair/issues/1659", "show")</f>
        <v>show</v>
      </c>
      <c r="G8119" t="str">
        <f>HYPERLINK("https://github.com/LawnchairLauncher/lawnchair", "show")</f>
        <v>show</v>
      </c>
      <c r="H8119" t="str">
        <f>HYPERLINK("https://github.com/LawnchairLauncher/lawnchair/releases", "show")</f>
        <v>show</v>
      </c>
      <c r="I8119">
        <v>0</v>
      </c>
      <c r="J8119">
        <v>1</v>
      </c>
      <c r="K8119">
        <v>0</v>
      </c>
      <c r="L8119">
        <v>1</v>
      </c>
      <c r="M8119" t="s">
        <v>1732</v>
      </c>
    </row>
    <row r="8120" spans="1:13" hidden="1" x14ac:dyDescent="0.15">
      <c r="A8120" t="s">
        <v>25444</v>
      </c>
      <c r="B8120" t="s">
        <v>25445</v>
      </c>
      <c r="C8120" t="s">
        <v>25446</v>
      </c>
      <c r="D8120" t="s">
        <v>25440</v>
      </c>
      <c r="E8120">
        <v>92</v>
      </c>
      <c r="F8120" t="str">
        <f>HYPERLINK("https://github.com/awslabs/aws-mobile-appsync-sdk-android/issues/202", "show")</f>
        <v>show</v>
      </c>
      <c r="G8120" t="str">
        <f>HYPERLINK("https://github.com/awslabs/aws-mobile-appsync-sdk-android", "show")</f>
        <v>show</v>
      </c>
      <c r="H8120" t="str">
        <f>HYPERLINK("https://github.com/awslabs/aws-mobile-appsync-sdk-android/releases", "show")</f>
        <v>show</v>
      </c>
      <c r="I8120">
        <v>0</v>
      </c>
      <c r="J8120">
        <v>0</v>
      </c>
      <c r="K8120">
        <v>0</v>
      </c>
      <c r="L8120">
        <v>0</v>
      </c>
      <c r="M8120" t="s">
        <v>43</v>
      </c>
    </row>
    <row r="8121" spans="1:13" hidden="1" x14ac:dyDescent="0.15">
      <c r="A8121" t="s">
        <v>25447</v>
      </c>
      <c r="B8121" t="s">
        <v>25448</v>
      </c>
      <c r="C8121" t="s">
        <v>25449</v>
      </c>
      <c r="D8121" t="s">
        <v>25450</v>
      </c>
      <c r="E8121">
        <v>838</v>
      </c>
      <c r="F8121" t="str">
        <f>HYPERLINK("https://github.com/LawnchairLauncher/lawnchair/issues/1658", "show")</f>
        <v>show</v>
      </c>
      <c r="G8121" t="str">
        <f>HYPERLINK("https://github.com/LawnchairLauncher/lawnchair", "show")</f>
        <v>show</v>
      </c>
      <c r="H8121" t="str">
        <f>HYPERLINK("https://github.com/LawnchairLauncher/lawnchair/releases", "show")</f>
        <v>show</v>
      </c>
      <c r="I8121">
        <v>0</v>
      </c>
      <c r="J8121">
        <v>1</v>
      </c>
      <c r="K8121">
        <v>0</v>
      </c>
      <c r="L8121">
        <v>1</v>
      </c>
      <c r="M8121" t="s">
        <v>1732</v>
      </c>
    </row>
    <row r="8122" spans="1:13" hidden="1" x14ac:dyDescent="0.15">
      <c r="A8122" t="s">
        <v>25451</v>
      </c>
      <c r="B8122" t="s">
        <v>25452</v>
      </c>
      <c r="C8122" t="s">
        <v>25453</v>
      </c>
      <c r="D8122" t="s">
        <v>25454</v>
      </c>
      <c r="E8122">
        <v>1</v>
      </c>
      <c r="F8122" t="str">
        <f>HYPERLINK("https://github.com/Catfriend1/syncthing-android/issues/445", "show")</f>
        <v>show</v>
      </c>
      <c r="G8122" t="str">
        <f>HYPERLINK("https://github.com/Catfriend1/syncthing-android", "show")</f>
        <v>show</v>
      </c>
      <c r="H8122" t="str">
        <f>HYPERLINK("https://github.com/Catfriend1/syncthing-android/releases", "show")</f>
        <v>show</v>
      </c>
      <c r="I8122">
        <v>0</v>
      </c>
      <c r="J8122">
        <v>0</v>
      </c>
      <c r="K8122">
        <v>1</v>
      </c>
      <c r="L8122">
        <v>0</v>
      </c>
      <c r="M8122" t="s">
        <v>122</v>
      </c>
    </row>
    <row r="8123" spans="1:13" hidden="1" x14ac:dyDescent="0.15">
      <c r="A8123" t="s">
        <v>25455</v>
      </c>
      <c r="B8123" t="s">
        <v>25456</v>
      </c>
      <c r="C8123" t="s">
        <v>25457</v>
      </c>
      <c r="D8123" t="s">
        <v>25454</v>
      </c>
      <c r="E8123">
        <v>47</v>
      </c>
      <c r="F8123" t="str">
        <f>HYPERLINK("https://github.com/miguelpruivo/flutter_file_picker/issues/107", "show")</f>
        <v>show</v>
      </c>
      <c r="G8123" t="str">
        <f>HYPERLINK("https://github.com/miguelpruivo/flutter_file_picker", "show")</f>
        <v>show</v>
      </c>
      <c r="H8123" t="str">
        <f>HYPERLINK("https://github.com/miguelpruivo/flutter_file_picker/releases", "show")</f>
        <v>show</v>
      </c>
      <c r="I8123">
        <v>0</v>
      </c>
      <c r="J8123">
        <v>0</v>
      </c>
      <c r="K8123">
        <v>1</v>
      </c>
      <c r="L8123">
        <v>0</v>
      </c>
      <c r="M8123" t="s">
        <v>122</v>
      </c>
    </row>
    <row r="8124" spans="1:13" x14ac:dyDescent="0.15">
      <c r="A8124" t="s">
        <v>25458</v>
      </c>
      <c r="B8124" t="s">
        <v>25459</v>
      </c>
      <c r="C8124" t="s">
        <v>25460</v>
      </c>
      <c r="D8124" t="s">
        <v>25461</v>
      </c>
      <c r="E8124">
        <v>131</v>
      </c>
      <c r="F8124" t="str">
        <f>HYPERLINK("https://github.com/nextcloud/android/issues/4229", "show")</f>
        <v>show</v>
      </c>
      <c r="G8124" t="str">
        <f>HYPERLINK("https://github.com/nextcloud/android", "show")</f>
        <v>show</v>
      </c>
      <c r="H8124" t="str">
        <f>HYPERLINK("https://github.com/nextcloud/android/releases", "show")</f>
        <v>show</v>
      </c>
      <c r="I8124">
        <v>0</v>
      </c>
      <c r="J8124">
        <v>1</v>
      </c>
      <c r="K8124">
        <v>0</v>
      </c>
      <c r="L8124">
        <v>0</v>
      </c>
      <c r="M8124" t="s">
        <v>139</v>
      </c>
    </row>
    <row r="8125" spans="1:13" hidden="1" x14ac:dyDescent="0.15">
      <c r="A8125" t="s">
        <v>25462</v>
      </c>
      <c r="B8125" t="s">
        <v>25463</v>
      </c>
      <c r="C8125" t="s">
        <v>25464</v>
      </c>
      <c r="D8125" t="s">
        <v>25461</v>
      </c>
      <c r="E8125">
        <v>1</v>
      </c>
      <c r="F8125" t="str">
        <f>HYPERLINK("https://github.com/fossasia/pslab-android/issues/1872", "show")</f>
        <v>show</v>
      </c>
      <c r="G8125" t="str">
        <f>HYPERLINK("https://github.com/fossasia/pslab-android", "show")</f>
        <v>show</v>
      </c>
      <c r="H8125" t="str">
        <f>HYPERLINK("https://github.com/fossasia/pslab-android/releases", "show")</f>
        <v>show</v>
      </c>
      <c r="I8125">
        <v>1</v>
      </c>
      <c r="J8125">
        <v>0</v>
      </c>
      <c r="K8125">
        <v>1</v>
      </c>
      <c r="L8125">
        <v>0</v>
      </c>
      <c r="M8125" t="s">
        <v>64</v>
      </c>
    </row>
    <row r="8126" spans="1:13" hidden="1" x14ac:dyDescent="0.15">
      <c r="A8126" t="s">
        <v>25465</v>
      </c>
      <c r="B8126" t="s">
        <v>25466</v>
      </c>
      <c r="C8126" t="s">
        <v>25467</v>
      </c>
      <c r="D8126" t="s">
        <v>25461</v>
      </c>
      <c r="E8126">
        <v>59</v>
      </c>
      <c r="F8126" t="str">
        <f>HYPERLINK("https://github.com/nextcloud/android/issues/4227", "show")</f>
        <v>show</v>
      </c>
      <c r="G8126" t="str">
        <f>HYPERLINK("https://github.com/nextcloud/android", "show")</f>
        <v>show</v>
      </c>
      <c r="H8126" t="str">
        <f>HYPERLINK("https://github.com/nextcloud/android/releases", "show")</f>
        <v>show</v>
      </c>
      <c r="I8126">
        <v>1</v>
      </c>
      <c r="J8126">
        <v>1</v>
      </c>
      <c r="K8126">
        <v>0</v>
      </c>
      <c r="L8126">
        <v>0</v>
      </c>
      <c r="M8126" t="s">
        <v>48</v>
      </c>
    </row>
    <row r="8127" spans="1:13" hidden="1" x14ac:dyDescent="0.15">
      <c r="A8127" t="s">
        <v>25468</v>
      </c>
      <c r="B8127" t="s">
        <v>25469</v>
      </c>
      <c r="C8127" t="s">
        <v>25470</v>
      </c>
      <c r="D8127" t="s">
        <v>25471</v>
      </c>
      <c r="E8127">
        <v>96</v>
      </c>
      <c r="F8127" t="str">
        <f>HYPERLINK("https://github.com/fennifith/Alarmio/issues/61", "show")</f>
        <v>show</v>
      </c>
      <c r="G8127" t="str">
        <f>HYPERLINK("https://github.com/fennifith/Alarmio", "show")</f>
        <v>show</v>
      </c>
      <c r="H8127" t="str">
        <f>HYPERLINK("https://github.com/fennifith/Alarmio/releases", "show")</f>
        <v>show</v>
      </c>
      <c r="I8127">
        <v>1</v>
      </c>
      <c r="J8127">
        <v>1</v>
      </c>
      <c r="K8127">
        <v>0</v>
      </c>
      <c r="L8127">
        <v>0</v>
      </c>
      <c r="M8127" t="s">
        <v>48</v>
      </c>
    </row>
    <row r="8128" spans="1:13" hidden="1" x14ac:dyDescent="0.15">
      <c r="A8128" t="s">
        <v>25472</v>
      </c>
      <c r="B8128" t="s">
        <v>25473</v>
      </c>
      <c r="C8128" t="s">
        <v>25474</v>
      </c>
      <c r="D8128" t="s">
        <v>25471</v>
      </c>
      <c r="E8128">
        <v>4</v>
      </c>
      <c r="F8128" t="str">
        <f>HYPERLINK("https://github.com/MozillaReality/FirefoxReality/issues/1392", "show")</f>
        <v>show</v>
      </c>
      <c r="G8128" t="str">
        <f>HYPERLINK("https://github.com/MozillaReality/FirefoxReality", "show")</f>
        <v>show</v>
      </c>
      <c r="H8128" t="str">
        <f>HYPERLINK("https://github.com/MozillaReality/FirefoxReality/releases", "show")</f>
        <v>show</v>
      </c>
      <c r="I8128">
        <v>1</v>
      </c>
      <c r="J8128">
        <v>1</v>
      </c>
      <c r="K8128">
        <v>0</v>
      </c>
      <c r="L8128">
        <v>0</v>
      </c>
      <c r="M8128" t="s">
        <v>48</v>
      </c>
    </row>
    <row r="8129" spans="1:13" hidden="1" x14ac:dyDescent="0.15">
      <c r="A8129" t="s">
        <v>25475</v>
      </c>
      <c r="B8129" t="s">
        <v>25476</v>
      </c>
      <c r="C8129" t="s">
        <v>25477</v>
      </c>
      <c r="D8129" t="s">
        <v>25471</v>
      </c>
      <c r="E8129">
        <v>0</v>
      </c>
      <c r="F8129" t="str">
        <f>HYPERLINK("https://github.com/square/okhttp/issues/5286", "show")</f>
        <v>show</v>
      </c>
      <c r="G8129" t="str">
        <f>HYPERLINK("https://github.com/square/okhttp", "show")</f>
        <v>show</v>
      </c>
      <c r="H8129" t="str">
        <f>HYPERLINK("https://github.com/square/okhttp/releases", "show")</f>
        <v>show</v>
      </c>
      <c r="I8129">
        <v>1</v>
      </c>
      <c r="J8129">
        <v>0</v>
      </c>
      <c r="K8129">
        <v>1</v>
      </c>
      <c r="L8129">
        <v>0</v>
      </c>
      <c r="M8129" t="s">
        <v>64</v>
      </c>
    </row>
    <row r="8130" spans="1:13" hidden="1" x14ac:dyDescent="0.15">
      <c r="A8130" t="s">
        <v>25478</v>
      </c>
      <c r="B8130" t="s">
        <v>25479</v>
      </c>
      <c r="C8130" t="s">
        <v>25480</v>
      </c>
      <c r="D8130" t="s">
        <v>25471</v>
      </c>
      <c r="E8130">
        <v>42</v>
      </c>
      <c r="F8130" t="str">
        <f>HYPERLINK("https://github.com/nextcloud/android/issues/4222", "show")</f>
        <v>show</v>
      </c>
      <c r="G8130" t="str">
        <f>HYPERLINK("https://github.com/nextcloud/android", "show")</f>
        <v>show</v>
      </c>
      <c r="H8130" t="str">
        <f>HYPERLINK("https://github.com/nextcloud/android/releases", "show")</f>
        <v>show</v>
      </c>
      <c r="I8130">
        <v>1</v>
      </c>
      <c r="J8130">
        <v>1</v>
      </c>
      <c r="K8130">
        <v>0</v>
      </c>
      <c r="L8130">
        <v>0</v>
      </c>
      <c r="M8130" t="s">
        <v>48</v>
      </c>
    </row>
    <row r="8131" spans="1:13" hidden="1" x14ac:dyDescent="0.15">
      <c r="A8131" t="s">
        <v>25481</v>
      </c>
      <c r="B8131" t="s">
        <v>25482</v>
      </c>
      <c r="C8131" t="s">
        <v>25483</v>
      </c>
      <c r="D8131" t="s">
        <v>25484</v>
      </c>
      <c r="E8131">
        <v>0</v>
      </c>
      <c r="F8131" t="str">
        <f>HYPERLINK("https://github.com/square/okhttp/issues/5281", "show")</f>
        <v>show</v>
      </c>
      <c r="G8131" t="str">
        <f>HYPERLINK("https://github.com/square/okhttp", "show")</f>
        <v>show</v>
      </c>
      <c r="H8131" t="str">
        <f>HYPERLINK("https://github.com/square/okhttp/releases", "show")</f>
        <v>show</v>
      </c>
      <c r="I8131">
        <v>0</v>
      </c>
      <c r="J8131">
        <v>0</v>
      </c>
      <c r="K8131">
        <v>0</v>
      </c>
      <c r="L8131">
        <v>0</v>
      </c>
      <c r="M8131" t="s">
        <v>43</v>
      </c>
    </row>
    <row r="8132" spans="1:13" hidden="1" x14ac:dyDescent="0.15">
      <c r="A8132" t="s">
        <v>25485</v>
      </c>
      <c r="B8132" t="s">
        <v>25486</v>
      </c>
      <c r="C8132" t="s">
        <v>25487</v>
      </c>
      <c r="D8132" t="s">
        <v>25484</v>
      </c>
      <c r="E8132">
        <v>5</v>
      </c>
      <c r="F8132" t="str">
        <f>HYPERLINK("https://github.com/square/okhttp/issues/5280", "show")</f>
        <v>show</v>
      </c>
      <c r="G8132" t="str">
        <f>HYPERLINK("https://github.com/square/okhttp", "show")</f>
        <v>show</v>
      </c>
      <c r="H8132" t="str">
        <f>HYPERLINK("https://github.com/square/okhttp/releases", "show")</f>
        <v>show</v>
      </c>
      <c r="I8132">
        <v>0</v>
      </c>
      <c r="J8132">
        <v>0</v>
      </c>
      <c r="K8132">
        <v>1</v>
      </c>
      <c r="L8132">
        <v>0</v>
      </c>
      <c r="M8132" t="s">
        <v>122</v>
      </c>
    </row>
    <row r="8133" spans="1:13" hidden="1" x14ac:dyDescent="0.15">
      <c r="A8133" t="s">
        <v>25488</v>
      </c>
      <c r="B8133" t="s">
        <v>25489</v>
      </c>
      <c r="C8133" t="s">
        <v>25490</v>
      </c>
      <c r="D8133" t="s">
        <v>25484</v>
      </c>
      <c r="E8133">
        <v>1</v>
      </c>
      <c r="F8133" t="str">
        <f>HYPERLINK("https://github.com/fossasia/pslab-android/issues/1858", "show")</f>
        <v>show</v>
      </c>
      <c r="G8133" t="str">
        <f>HYPERLINK("https://github.com/fossasia/pslab-android", "show")</f>
        <v>show</v>
      </c>
      <c r="H8133" t="str">
        <f>HYPERLINK("https://github.com/fossasia/pslab-android/releases", "show")</f>
        <v>show</v>
      </c>
      <c r="I8133">
        <v>0</v>
      </c>
      <c r="J8133">
        <v>0</v>
      </c>
      <c r="K8133">
        <v>0</v>
      </c>
      <c r="L8133">
        <v>1</v>
      </c>
      <c r="M8133" t="s">
        <v>581</v>
      </c>
    </row>
    <row r="8134" spans="1:13" hidden="1" x14ac:dyDescent="0.15">
      <c r="A8134" t="s">
        <v>25491</v>
      </c>
      <c r="B8134" t="s">
        <v>25492</v>
      </c>
      <c r="C8134" t="s">
        <v>25493</v>
      </c>
      <c r="D8134" t="s">
        <v>25484</v>
      </c>
      <c r="E8134">
        <v>27</v>
      </c>
      <c r="F8134" t="str">
        <f>HYPERLINK("https://github.com/getsentry/sentry-java/issues/736", "show")</f>
        <v>show</v>
      </c>
      <c r="G8134" t="str">
        <f>HYPERLINK("https://github.com/getsentry/sentry-java", "show")</f>
        <v>show</v>
      </c>
      <c r="H8134" t="str">
        <f>HYPERLINK("https://github.com/getsentry/sentry-java/releases", "show")</f>
        <v>show</v>
      </c>
      <c r="I8134">
        <v>1</v>
      </c>
      <c r="J8134">
        <v>0</v>
      </c>
      <c r="K8134">
        <v>0</v>
      </c>
      <c r="L8134">
        <v>0</v>
      </c>
      <c r="M8134" t="s">
        <v>17</v>
      </c>
    </row>
    <row r="8135" spans="1:13" hidden="1" x14ac:dyDescent="0.15">
      <c r="A8135" t="s">
        <v>25494</v>
      </c>
      <c r="B8135" t="s">
        <v>25495</v>
      </c>
      <c r="C8135" t="s">
        <v>25496</v>
      </c>
      <c r="D8135" t="s">
        <v>25497</v>
      </c>
      <c r="E8135">
        <v>844</v>
      </c>
      <c r="F8135" t="str">
        <f>HYPERLINK("https://github.com/LawnchairLauncher/lawnchair/issues/1646", "show")</f>
        <v>show</v>
      </c>
      <c r="G8135" t="str">
        <f>HYPERLINK("https://github.com/LawnchairLauncher/lawnchair", "show")</f>
        <v>show</v>
      </c>
      <c r="H8135" t="str">
        <f>HYPERLINK("https://github.com/LawnchairLauncher/lawnchair/releases", "show")</f>
        <v>show</v>
      </c>
      <c r="I8135">
        <v>0</v>
      </c>
      <c r="J8135">
        <v>1</v>
      </c>
      <c r="K8135">
        <v>1</v>
      </c>
      <c r="L8135">
        <v>0</v>
      </c>
      <c r="M8135" t="s">
        <v>699</v>
      </c>
    </row>
    <row r="8136" spans="1:13" hidden="1" x14ac:dyDescent="0.15">
      <c r="A8136" t="s">
        <v>25498</v>
      </c>
      <c r="B8136" t="s">
        <v>25499</v>
      </c>
      <c r="C8136" t="s">
        <v>25500</v>
      </c>
      <c r="D8136" t="s">
        <v>25501</v>
      </c>
      <c r="E8136">
        <v>27</v>
      </c>
      <c r="F8136" t="str">
        <f>HYPERLINK("https://github.com/nextcloud/android/issues/4213", "show")</f>
        <v>show</v>
      </c>
      <c r="G8136" t="str">
        <f>HYPERLINK("https://github.com/nextcloud/android", "show")</f>
        <v>show</v>
      </c>
      <c r="H8136" t="str">
        <f>HYPERLINK("https://github.com/nextcloud/android/releases", "show")</f>
        <v>show</v>
      </c>
      <c r="I8136">
        <v>1</v>
      </c>
      <c r="J8136">
        <v>1</v>
      </c>
      <c r="K8136">
        <v>1</v>
      </c>
      <c r="L8136">
        <v>0</v>
      </c>
      <c r="M8136" t="s">
        <v>59</v>
      </c>
    </row>
    <row r="8137" spans="1:13" hidden="1" x14ac:dyDescent="0.15">
      <c r="A8137" t="s">
        <v>25502</v>
      </c>
      <c r="B8137" t="s">
        <v>25503</v>
      </c>
      <c r="C8137" t="s">
        <v>25504</v>
      </c>
      <c r="D8137" t="s">
        <v>25501</v>
      </c>
      <c r="E8137">
        <v>3</v>
      </c>
      <c r="F8137" t="str">
        <f>HYPERLINK("https://github.com/ttdyce/NHentai-NHViewer/issues/2", "show")</f>
        <v>show</v>
      </c>
      <c r="G8137" t="str">
        <f>HYPERLINK("https://github.com/ttdyce/NHentai-NHViewer", "show")</f>
        <v>show</v>
      </c>
      <c r="H8137" t="str">
        <f>HYPERLINK("https://github.com/ttdyce/NHentai-NHViewer/releases", "show")</f>
        <v>show</v>
      </c>
      <c r="I8137">
        <v>1</v>
      </c>
      <c r="J8137">
        <v>1</v>
      </c>
      <c r="K8137">
        <v>1</v>
      </c>
      <c r="L8137">
        <v>0</v>
      </c>
      <c r="M8137" t="s">
        <v>59</v>
      </c>
    </row>
    <row r="8138" spans="1:13" hidden="1" x14ac:dyDescent="0.15">
      <c r="A8138" t="s">
        <v>25505</v>
      </c>
      <c r="B8138" t="s">
        <v>25506</v>
      </c>
      <c r="C8138" t="s">
        <v>25507</v>
      </c>
      <c r="D8138" t="s">
        <v>25508</v>
      </c>
      <c r="E8138">
        <v>8</v>
      </c>
      <c r="F8138" t="str">
        <f>HYPERLINK("https://github.com/amfoss/TempleApp/issues/74", "show")</f>
        <v>show</v>
      </c>
      <c r="G8138" t="str">
        <f>HYPERLINK("https://github.com/amfoss/TempleApp", "show")</f>
        <v>show</v>
      </c>
      <c r="H8138" t="str">
        <f>HYPERLINK("https://github.com/amfoss/TempleApp/releases", "show")</f>
        <v>show</v>
      </c>
      <c r="I8138">
        <v>1</v>
      </c>
      <c r="J8138">
        <v>1</v>
      </c>
      <c r="K8138">
        <v>0</v>
      </c>
      <c r="L8138">
        <v>0</v>
      </c>
      <c r="M8138" t="s">
        <v>48</v>
      </c>
    </row>
    <row r="8139" spans="1:13" hidden="1" x14ac:dyDescent="0.15">
      <c r="A8139" t="s">
        <v>25509</v>
      </c>
      <c r="B8139" t="s">
        <v>25510</v>
      </c>
      <c r="C8139" t="s">
        <v>25511</v>
      </c>
      <c r="D8139" t="s">
        <v>25508</v>
      </c>
      <c r="E8139">
        <v>2</v>
      </c>
      <c r="F8139" t="str">
        <f>HYPERLINK("https://github.com/projectbuendia/client/issues/388", "show")</f>
        <v>show</v>
      </c>
      <c r="G8139" t="str">
        <f>HYPERLINK("https://github.com/projectbuendia/client", "show")</f>
        <v>show</v>
      </c>
      <c r="H8139" t="str">
        <f>HYPERLINK("https://github.com/projectbuendia/client/releases", "show")</f>
        <v>show</v>
      </c>
      <c r="I8139">
        <v>1</v>
      </c>
      <c r="J8139">
        <v>1</v>
      </c>
      <c r="K8139">
        <v>0</v>
      </c>
      <c r="L8139">
        <v>1</v>
      </c>
      <c r="M8139" t="s">
        <v>1894</v>
      </c>
    </row>
    <row r="8140" spans="1:13" hidden="1" x14ac:dyDescent="0.15">
      <c r="A8140" t="s">
        <v>25512</v>
      </c>
      <c r="B8140" t="s">
        <v>25513</v>
      </c>
      <c r="C8140" t="s">
        <v>25514</v>
      </c>
      <c r="D8140" t="s">
        <v>25508</v>
      </c>
      <c r="E8140">
        <v>0</v>
      </c>
      <c r="F8140" t="str">
        <f>HYPERLINK("https://github.com/ZeevoX/MyHome/issues/11", "show")</f>
        <v>show</v>
      </c>
      <c r="G8140" t="str">
        <f>HYPERLINK("https://github.com/ZeevoX/MyHome", "show")</f>
        <v>show</v>
      </c>
      <c r="H8140" t="str">
        <f>HYPERLINK("https://github.com/ZeevoX/MyHome/releases", "show")</f>
        <v>show</v>
      </c>
      <c r="I8140">
        <v>1</v>
      </c>
      <c r="J8140">
        <v>0</v>
      </c>
      <c r="K8140">
        <v>1</v>
      </c>
      <c r="L8140">
        <v>1</v>
      </c>
      <c r="M8140" t="s">
        <v>1259</v>
      </c>
    </row>
    <row r="8141" spans="1:13" hidden="1" x14ac:dyDescent="0.15">
      <c r="A8141" t="s">
        <v>25515</v>
      </c>
      <c r="B8141" t="s">
        <v>25516</v>
      </c>
      <c r="C8141" t="s">
        <v>25517</v>
      </c>
      <c r="D8141" t="s">
        <v>25508</v>
      </c>
      <c r="E8141">
        <v>846</v>
      </c>
      <c r="F8141" t="str">
        <f>HYPERLINK("https://github.com/LawnchairLauncher/lawnchair/issues/1636", "show")</f>
        <v>show</v>
      </c>
      <c r="G8141" t="str">
        <f>HYPERLINK("https://github.com/LawnchairLauncher/lawnchair", "show")</f>
        <v>show</v>
      </c>
      <c r="H8141" t="str">
        <f>HYPERLINK("https://github.com/LawnchairLauncher/lawnchair/releases", "show")</f>
        <v>show</v>
      </c>
      <c r="I8141">
        <v>1</v>
      </c>
      <c r="J8141">
        <v>1</v>
      </c>
      <c r="K8141">
        <v>0</v>
      </c>
      <c r="L8141">
        <v>0</v>
      </c>
      <c r="M8141" t="s">
        <v>48</v>
      </c>
    </row>
    <row r="8142" spans="1:13" x14ac:dyDescent="0.15">
      <c r="A8142" t="s">
        <v>25518</v>
      </c>
      <c r="B8142" t="s">
        <v>25519</v>
      </c>
      <c r="C8142" t="s">
        <v>25520</v>
      </c>
      <c r="D8142" t="s">
        <v>25521</v>
      </c>
      <c r="E8142">
        <v>312</v>
      </c>
      <c r="F8142" t="str">
        <f>HYPERLINK("https://github.com/SecUSo/privacy-friendly-food-tracker/issues/55", "show")</f>
        <v>show</v>
      </c>
      <c r="G8142" t="str">
        <f>HYPERLINK("https://github.com/SecUSo/privacy-friendly-food-tracker", "show")</f>
        <v>show</v>
      </c>
      <c r="H8142" t="str">
        <f>HYPERLINK("https://github.com/SecUSo/privacy-friendly-food-tracker/releases", "show")</f>
        <v>show</v>
      </c>
      <c r="I8142">
        <v>0</v>
      </c>
      <c r="J8142">
        <v>1</v>
      </c>
      <c r="K8142">
        <v>0</v>
      </c>
      <c r="L8142">
        <v>0</v>
      </c>
      <c r="M8142" t="s">
        <v>139</v>
      </c>
    </row>
    <row r="8143" spans="1:13" hidden="1" x14ac:dyDescent="0.15">
      <c r="A8143" t="s">
        <v>25522</v>
      </c>
      <c r="B8143" t="s">
        <v>25523</v>
      </c>
      <c r="C8143" t="s">
        <v>25524</v>
      </c>
      <c r="D8143" t="s">
        <v>25521</v>
      </c>
      <c r="E8143">
        <v>1</v>
      </c>
      <c r="F8143" t="str">
        <f>HYPERLINK("https://github.com/applicaster-plugins/ParentLockScreenPlugin-Android/issues/2", "show")</f>
        <v>show</v>
      </c>
      <c r="G8143" t="str">
        <f>HYPERLINK("https://github.com/applicaster-plugins/ParentLockScreenPlugin-Android", "show")</f>
        <v>show</v>
      </c>
      <c r="H8143" t="str">
        <f>HYPERLINK("https://github.com/applicaster-plugins/ParentLockScreenPlugin-Android/releases", "show")</f>
        <v>show</v>
      </c>
      <c r="I8143">
        <v>0</v>
      </c>
      <c r="J8143">
        <v>0</v>
      </c>
      <c r="K8143">
        <v>0</v>
      </c>
      <c r="L8143">
        <v>0</v>
      </c>
      <c r="M8143" t="s">
        <v>43</v>
      </c>
    </row>
    <row r="8144" spans="1:13" hidden="1" x14ac:dyDescent="0.15">
      <c r="A8144" t="s">
        <v>25525</v>
      </c>
      <c r="B8144" t="s">
        <v>25526</v>
      </c>
      <c r="C8144" t="s">
        <v>25527</v>
      </c>
      <c r="D8144" t="s">
        <v>25521</v>
      </c>
      <c r="E8144">
        <v>87</v>
      </c>
      <c r="F8144" t="str">
        <f>HYPERLINK("https://github.com/project-travel-mate/Travel-Mate/issues/691", "show")</f>
        <v>show</v>
      </c>
      <c r="G8144" t="str">
        <f>HYPERLINK("https://github.com/project-travel-mate/Travel-Mate", "show")</f>
        <v>show</v>
      </c>
      <c r="H8144" t="str">
        <f>HYPERLINK("https://github.com/project-travel-mate/Travel-Mate/releases", "show")</f>
        <v>show</v>
      </c>
      <c r="I8144">
        <v>0</v>
      </c>
      <c r="J8144">
        <v>0</v>
      </c>
      <c r="K8144">
        <v>0</v>
      </c>
      <c r="L8144">
        <v>0</v>
      </c>
      <c r="M8144" t="s">
        <v>43</v>
      </c>
    </row>
    <row r="8145" spans="1:13" hidden="1" x14ac:dyDescent="0.15">
      <c r="A8145" t="s">
        <v>25528</v>
      </c>
      <c r="B8145" t="s">
        <v>25529</v>
      </c>
      <c r="C8145" t="s">
        <v>25530</v>
      </c>
      <c r="D8145" t="s">
        <v>25521</v>
      </c>
      <c r="E8145">
        <v>0</v>
      </c>
      <c r="F8145" t="str">
        <f>HYPERLINK("https://github.com/mgks/Android-SmartWebView/issues/92", "show")</f>
        <v>show</v>
      </c>
      <c r="G8145" t="str">
        <f>HYPERLINK("https://github.com/mgks/Android-SmartWebView", "show")</f>
        <v>show</v>
      </c>
      <c r="H8145" t="str">
        <f>HYPERLINK("https://github.com/mgks/Android-SmartWebView/releases", "show")</f>
        <v>show</v>
      </c>
      <c r="I8145">
        <v>1</v>
      </c>
      <c r="J8145">
        <v>1</v>
      </c>
      <c r="K8145">
        <v>0</v>
      </c>
      <c r="L8145">
        <v>0</v>
      </c>
      <c r="M8145" t="s">
        <v>48</v>
      </c>
    </row>
    <row r="8146" spans="1:13" hidden="1" x14ac:dyDescent="0.15">
      <c r="A8146" t="s">
        <v>25531</v>
      </c>
      <c r="B8146" t="s">
        <v>25532</v>
      </c>
      <c r="C8146" t="s">
        <v>25533</v>
      </c>
      <c r="D8146" t="s">
        <v>25521</v>
      </c>
      <c r="E8146">
        <v>312</v>
      </c>
      <c r="F8146" t="str">
        <f>HYPERLINK("https://github.com/SecUSo/privacy-friendly-food-tracker/issues/54", "show")</f>
        <v>show</v>
      </c>
      <c r="G8146" t="str">
        <f>HYPERLINK("https://github.com/SecUSo/privacy-friendly-food-tracker", "show")</f>
        <v>show</v>
      </c>
      <c r="H8146" t="str">
        <f>HYPERLINK("https://github.com/SecUSo/privacy-friendly-food-tracker/releases", "show")</f>
        <v>show</v>
      </c>
      <c r="I8146">
        <v>0</v>
      </c>
      <c r="J8146">
        <v>0</v>
      </c>
      <c r="K8146">
        <v>1</v>
      </c>
      <c r="L8146">
        <v>0</v>
      </c>
      <c r="M8146" t="s">
        <v>122</v>
      </c>
    </row>
    <row r="8147" spans="1:13" hidden="1" x14ac:dyDescent="0.15">
      <c r="A8147" t="s">
        <v>25534</v>
      </c>
      <c r="B8147" t="s">
        <v>25535</v>
      </c>
      <c r="D8147" t="s">
        <v>25536</v>
      </c>
      <c r="E8147">
        <v>1</v>
      </c>
      <c r="F8147" t="str">
        <f>HYPERLINK("https://github.com/avluis/Hentoid/issues/309", "show")</f>
        <v>show</v>
      </c>
      <c r="G8147" t="str">
        <f>HYPERLINK("https://github.com/avluis/Hentoid", "show")</f>
        <v>show</v>
      </c>
      <c r="H8147" t="str">
        <f>HYPERLINK("https://github.com/avluis/Hentoid/releases", "show")</f>
        <v>show</v>
      </c>
      <c r="I8147">
        <v>1</v>
      </c>
      <c r="J8147">
        <v>0</v>
      </c>
      <c r="K8147">
        <v>0</v>
      </c>
      <c r="L8147">
        <v>0</v>
      </c>
      <c r="M8147" t="s">
        <v>17</v>
      </c>
    </row>
    <row r="8148" spans="1:13" hidden="1" x14ac:dyDescent="0.15">
      <c r="A8148" t="s">
        <v>25537</v>
      </c>
      <c r="B8148" t="s">
        <v>25538</v>
      </c>
      <c r="C8148" t="s">
        <v>25539</v>
      </c>
      <c r="D8148" t="s">
        <v>25536</v>
      </c>
      <c r="E8148">
        <v>6</v>
      </c>
      <c r="F8148" t="str">
        <f>HYPERLINK("https://github.com/deltachat/deltachat-android/issues/996", "show")</f>
        <v>show</v>
      </c>
      <c r="G8148" t="str">
        <f>HYPERLINK("https://github.com/deltachat/deltachat-android", "show")</f>
        <v>show</v>
      </c>
      <c r="H8148" t="str">
        <f>HYPERLINK("https://github.com/deltachat/deltachat-android/releases", "show")</f>
        <v>show</v>
      </c>
      <c r="I8148">
        <v>0</v>
      </c>
      <c r="J8148">
        <v>0</v>
      </c>
      <c r="K8148">
        <v>0</v>
      </c>
      <c r="L8148">
        <v>0</v>
      </c>
      <c r="M8148" t="s">
        <v>43</v>
      </c>
    </row>
    <row r="8149" spans="1:13" hidden="1" x14ac:dyDescent="0.15">
      <c r="A8149" t="s">
        <v>25540</v>
      </c>
      <c r="B8149" t="s">
        <v>25541</v>
      </c>
      <c r="C8149" t="s">
        <v>25542</v>
      </c>
      <c r="D8149" t="s">
        <v>25536</v>
      </c>
      <c r="E8149">
        <v>396</v>
      </c>
      <c r="F8149" t="str">
        <f>HYPERLINK("https://github.com/nextcloud/android/issues/4205", "show")</f>
        <v>show</v>
      </c>
      <c r="G8149" t="str">
        <f>HYPERLINK("https://github.com/nextcloud/android", "show")</f>
        <v>show</v>
      </c>
      <c r="H8149" t="str">
        <f>HYPERLINK("https://github.com/nextcloud/android/releases", "show")</f>
        <v>show</v>
      </c>
      <c r="I8149">
        <v>1</v>
      </c>
      <c r="J8149">
        <v>1</v>
      </c>
      <c r="K8149">
        <v>0</v>
      </c>
      <c r="L8149">
        <v>0</v>
      </c>
      <c r="M8149" t="s">
        <v>48</v>
      </c>
    </row>
    <row r="8150" spans="1:13" hidden="1" x14ac:dyDescent="0.15">
      <c r="A8150" t="s">
        <v>25543</v>
      </c>
      <c r="B8150" t="s">
        <v>25544</v>
      </c>
      <c r="C8150" t="s">
        <v>25545</v>
      </c>
      <c r="D8150" t="s">
        <v>25546</v>
      </c>
      <c r="E8150">
        <v>4</v>
      </c>
      <c r="F8150" t="str">
        <f>HYPERLINK("https://github.com/opensrp/opensrp-client-reveal/issues/289", "show")</f>
        <v>show</v>
      </c>
      <c r="G8150" t="str">
        <f>HYPERLINK("https://github.com/opensrp/opensrp-client-reveal", "show")</f>
        <v>show</v>
      </c>
      <c r="H8150" t="str">
        <f>HYPERLINK("https://github.com/opensrp/opensrp-client-reveal/releases", "show")</f>
        <v>show</v>
      </c>
      <c r="I8150">
        <v>1</v>
      </c>
      <c r="J8150">
        <v>0</v>
      </c>
      <c r="K8150">
        <v>0</v>
      </c>
      <c r="L8150">
        <v>0</v>
      </c>
      <c r="M8150" t="s">
        <v>17</v>
      </c>
    </row>
    <row r="8151" spans="1:13" hidden="1" x14ac:dyDescent="0.15">
      <c r="A8151" t="s">
        <v>25547</v>
      </c>
      <c r="B8151" t="s">
        <v>25548</v>
      </c>
      <c r="C8151" t="s">
        <v>25549</v>
      </c>
      <c r="D8151" t="s">
        <v>25546</v>
      </c>
      <c r="E8151">
        <v>849</v>
      </c>
      <c r="F8151" t="str">
        <f>HYPERLINK("https://github.com/LawnchairLauncher/lawnchair/issues/1632", "show")</f>
        <v>show</v>
      </c>
      <c r="G8151" t="str">
        <f>HYPERLINK("https://github.com/LawnchairLauncher/lawnchair", "show")</f>
        <v>show</v>
      </c>
      <c r="H8151" t="str">
        <f>HYPERLINK("https://github.com/LawnchairLauncher/lawnchair/releases", "show")</f>
        <v>show</v>
      </c>
      <c r="I8151">
        <v>1</v>
      </c>
      <c r="J8151">
        <v>1</v>
      </c>
      <c r="K8151">
        <v>0</v>
      </c>
      <c r="L8151">
        <v>0</v>
      </c>
      <c r="M8151" t="s">
        <v>48</v>
      </c>
    </row>
    <row r="8152" spans="1:13" hidden="1" x14ac:dyDescent="0.15">
      <c r="A8152" t="s">
        <v>25550</v>
      </c>
      <c r="B8152" t="s">
        <v>25551</v>
      </c>
      <c r="C8152" t="s">
        <v>25552</v>
      </c>
      <c r="D8152" t="s">
        <v>25546</v>
      </c>
      <c r="E8152">
        <v>849</v>
      </c>
      <c r="F8152" t="str">
        <f>HYPERLINK("https://github.com/LawnchairLauncher/lawnchair/issues/1630", "show")</f>
        <v>show</v>
      </c>
      <c r="G8152" t="str">
        <f>HYPERLINK("https://github.com/LawnchairLauncher/lawnchair", "show")</f>
        <v>show</v>
      </c>
      <c r="H8152" t="str">
        <f>HYPERLINK("https://github.com/LawnchairLauncher/lawnchair/releases", "show")</f>
        <v>show</v>
      </c>
      <c r="I8152">
        <v>1</v>
      </c>
      <c r="J8152">
        <v>1</v>
      </c>
      <c r="K8152">
        <v>0</v>
      </c>
      <c r="L8152">
        <v>0</v>
      </c>
      <c r="M8152" t="s">
        <v>48</v>
      </c>
    </row>
    <row r="8153" spans="1:13" hidden="1" x14ac:dyDescent="0.15">
      <c r="A8153" t="s">
        <v>25553</v>
      </c>
      <c r="B8153" t="s">
        <v>25554</v>
      </c>
      <c r="C8153" t="s">
        <v>25555</v>
      </c>
      <c r="D8153" t="s">
        <v>25546</v>
      </c>
      <c r="E8153">
        <v>4</v>
      </c>
      <c r="F8153" t="str">
        <f>HYPERLINK("https://github.com/LawnchairLauncher/lawnchair/issues/1629", "show")</f>
        <v>show</v>
      </c>
      <c r="G8153" t="str">
        <f>HYPERLINK("https://github.com/LawnchairLauncher/lawnchair", "show")</f>
        <v>show</v>
      </c>
      <c r="H8153" t="str">
        <f>HYPERLINK("https://github.com/LawnchairLauncher/lawnchair/releases", "show")</f>
        <v>show</v>
      </c>
      <c r="I8153">
        <v>1</v>
      </c>
      <c r="J8153">
        <v>1</v>
      </c>
      <c r="K8153">
        <v>0</v>
      </c>
      <c r="L8153">
        <v>1</v>
      </c>
      <c r="M8153" t="s">
        <v>1894</v>
      </c>
    </row>
    <row r="8154" spans="1:13" hidden="1" x14ac:dyDescent="0.15">
      <c r="A8154" t="s">
        <v>25556</v>
      </c>
      <c r="B8154" t="s">
        <v>25557</v>
      </c>
      <c r="C8154" t="s">
        <v>25558</v>
      </c>
      <c r="D8154" t="s">
        <v>25546</v>
      </c>
      <c r="E8154">
        <v>108</v>
      </c>
      <c r="F8154" t="str">
        <f>HYPERLINK("https://github.com/opentok/opentok-react-native/issues/308", "show")</f>
        <v>show</v>
      </c>
      <c r="G8154" t="str">
        <f>HYPERLINK("https://github.com/opentok/opentok-react-native", "show")</f>
        <v>show</v>
      </c>
      <c r="H8154" t="str">
        <f>HYPERLINK("https://github.com/opentok/opentok-react-native/releases", "show")</f>
        <v>show</v>
      </c>
      <c r="I8154">
        <v>1</v>
      </c>
      <c r="J8154">
        <v>0</v>
      </c>
      <c r="K8154">
        <v>0</v>
      </c>
      <c r="L8154">
        <v>0</v>
      </c>
      <c r="M8154" t="s">
        <v>17</v>
      </c>
    </row>
    <row r="8155" spans="1:13" hidden="1" x14ac:dyDescent="0.15">
      <c r="A8155" t="s">
        <v>25559</v>
      </c>
      <c r="B8155" t="s">
        <v>25560</v>
      </c>
      <c r="C8155" t="s">
        <v>25561</v>
      </c>
      <c r="D8155" t="s">
        <v>25546</v>
      </c>
      <c r="E8155">
        <v>209</v>
      </c>
      <c r="F8155" t="str">
        <f>HYPERLINK("https://github.com/microg/GmsCore/issues/869", "show")</f>
        <v>show</v>
      </c>
      <c r="G8155" t="str">
        <f>HYPERLINK("https://github.com/microg/GmsCore", "show")</f>
        <v>show</v>
      </c>
      <c r="H8155" t="str">
        <f>HYPERLINK("https://github.com/microg/GmsCore/releases", "show")</f>
        <v>show</v>
      </c>
      <c r="I8155">
        <v>1</v>
      </c>
      <c r="J8155">
        <v>0</v>
      </c>
      <c r="K8155">
        <v>1</v>
      </c>
      <c r="L8155">
        <v>0</v>
      </c>
      <c r="M8155" t="s">
        <v>64</v>
      </c>
    </row>
    <row r="8156" spans="1:13" hidden="1" x14ac:dyDescent="0.15">
      <c r="A8156" t="s">
        <v>25562</v>
      </c>
      <c r="B8156" t="s">
        <v>25563</v>
      </c>
      <c r="C8156" t="s">
        <v>25564</v>
      </c>
      <c r="D8156" t="s">
        <v>25565</v>
      </c>
      <c r="E8156">
        <v>21</v>
      </c>
      <c r="F8156" t="str">
        <f>HYPERLINK("https://github.com/react-native-art/art/issues/19", "show")</f>
        <v>show</v>
      </c>
      <c r="G8156" t="str">
        <f>HYPERLINK("https://github.com/react-native-art/art", "show")</f>
        <v>show</v>
      </c>
      <c r="H8156" t="str">
        <f>HYPERLINK("https://github.com/react-native-art/art/releases", "show")</f>
        <v>show</v>
      </c>
      <c r="I8156">
        <v>0</v>
      </c>
      <c r="J8156">
        <v>0</v>
      </c>
      <c r="K8156">
        <v>0</v>
      </c>
      <c r="L8156">
        <v>1</v>
      </c>
      <c r="M8156" t="s">
        <v>581</v>
      </c>
    </row>
    <row r="8157" spans="1:13" hidden="1" x14ac:dyDescent="0.15">
      <c r="A8157" t="s">
        <v>25566</v>
      </c>
      <c r="B8157" t="s">
        <v>25567</v>
      </c>
      <c r="C8157" t="s">
        <v>25568</v>
      </c>
      <c r="D8157" t="s">
        <v>25565</v>
      </c>
      <c r="E8157">
        <v>785</v>
      </c>
      <c r="F8157" t="str">
        <f>HYPERLINK("https://github.com/LawnchairLauncher/lawnchair/issues/1626", "show")</f>
        <v>show</v>
      </c>
      <c r="G8157" t="str">
        <f>HYPERLINK("https://github.com/LawnchairLauncher/lawnchair", "show")</f>
        <v>show</v>
      </c>
      <c r="H8157" t="str">
        <f>HYPERLINK("https://github.com/LawnchairLauncher/lawnchair/releases", "show")</f>
        <v>show</v>
      </c>
      <c r="I8157">
        <v>0</v>
      </c>
      <c r="J8157">
        <v>0</v>
      </c>
      <c r="K8157">
        <v>0</v>
      </c>
      <c r="L8157">
        <v>0</v>
      </c>
      <c r="M8157" t="s">
        <v>43</v>
      </c>
    </row>
    <row r="8158" spans="1:13" hidden="1" x14ac:dyDescent="0.15">
      <c r="A8158" t="s">
        <v>25569</v>
      </c>
      <c r="B8158" t="s">
        <v>25570</v>
      </c>
      <c r="C8158" t="s">
        <v>25571</v>
      </c>
      <c r="D8158" t="s">
        <v>25565</v>
      </c>
      <c r="E8158">
        <v>10</v>
      </c>
      <c r="F8158" t="str">
        <f>HYPERLINK("https://github.com/vanniktech/Emoji/issues/369", "show")</f>
        <v>show</v>
      </c>
      <c r="G8158" t="str">
        <f>HYPERLINK("https://github.com/vanniktech/Emoji", "show")</f>
        <v>show</v>
      </c>
      <c r="H8158" t="str">
        <f>HYPERLINK("https://github.com/vanniktech/Emoji/releases", "show")</f>
        <v>show</v>
      </c>
      <c r="I8158">
        <v>0</v>
      </c>
      <c r="J8158">
        <v>0</v>
      </c>
      <c r="K8158">
        <v>0</v>
      </c>
      <c r="L8158">
        <v>0</v>
      </c>
      <c r="M8158" t="s">
        <v>43</v>
      </c>
    </row>
    <row r="8159" spans="1:13" hidden="1" x14ac:dyDescent="0.15">
      <c r="A8159" t="s">
        <v>25572</v>
      </c>
      <c r="B8159" t="s">
        <v>25573</v>
      </c>
      <c r="C8159" t="s">
        <v>25574</v>
      </c>
      <c r="D8159" t="s">
        <v>25565</v>
      </c>
      <c r="E8159">
        <v>1</v>
      </c>
      <c r="F8159" t="str">
        <f>HYPERLINK("https://github.com/opensrp/opensrp-client-reveal/issues/279", "show")</f>
        <v>show</v>
      </c>
      <c r="G8159" t="str">
        <f>HYPERLINK("https://github.com/opensrp/opensrp-client-reveal", "show")</f>
        <v>show</v>
      </c>
      <c r="H8159" t="str">
        <f>HYPERLINK("https://github.com/opensrp/opensrp-client-reveal/releases", "show")</f>
        <v>show</v>
      </c>
      <c r="I8159">
        <v>1</v>
      </c>
      <c r="J8159">
        <v>0</v>
      </c>
      <c r="K8159">
        <v>0</v>
      </c>
      <c r="L8159">
        <v>0</v>
      </c>
      <c r="M8159" t="s">
        <v>17</v>
      </c>
    </row>
    <row r="8160" spans="1:13" hidden="1" x14ac:dyDescent="0.15">
      <c r="A8160" t="s">
        <v>25575</v>
      </c>
      <c r="B8160" t="s">
        <v>25576</v>
      </c>
      <c r="C8160" t="s">
        <v>25577</v>
      </c>
      <c r="D8160" t="s">
        <v>25578</v>
      </c>
      <c r="E8160">
        <v>5</v>
      </c>
      <c r="F8160" t="str">
        <f>HYPERLINK("https://github.com/mozilla-mobile/firefox-echo-show/issues/287", "show")</f>
        <v>show</v>
      </c>
      <c r="G8160" t="str">
        <f>HYPERLINK("https://github.com/mozilla-mobile/firefox-echo-show", "show")</f>
        <v>show</v>
      </c>
      <c r="H8160" t="str">
        <f>HYPERLINK("https://github.com/mozilla-mobile/firefox-echo-show/releases", "show")</f>
        <v>show</v>
      </c>
      <c r="I8160">
        <v>1</v>
      </c>
      <c r="J8160">
        <v>0</v>
      </c>
      <c r="K8160">
        <v>1</v>
      </c>
      <c r="L8160">
        <v>0</v>
      </c>
      <c r="M8160" t="s">
        <v>64</v>
      </c>
    </row>
    <row r="8161" spans="1:13" hidden="1" x14ac:dyDescent="0.15">
      <c r="A8161" t="s">
        <v>25579</v>
      </c>
      <c r="B8161" t="s">
        <v>25580</v>
      </c>
      <c r="C8161" t="s">
        <v>25581</v>
      </c>
      <c r="D8161" t="s">
        <v>25578</v>
      </c>
      <c r="E8161">
        <v>3</v>
      </c>
      <c r="F8161" t="str">
        <f>HYPERLINK("https://github.com/LawnchairLauncher/lawnchair/issues/1623", "show")</f>
        <v>show</v>
      </c>
      <c r="G8161" t="str">
        <f>HYPERLINK("https://github.com/LawnchairLauncher/lawnchair", "show")</f>
        <v>show</v>
      </c>
      <c r="H8161" t="str">
        <f>HYPERLINK("https://github.com/LawnchairLauncher/lawnchair/releases", "show")</f>
        <v>show</v>
      </c>
      <c r="I8161">
        <v>1</v>
      </c>
      <c r="J8161">
        <v>1</v>
      </c>
      <c r="K8161">
        <v>1</v>
      </c>
      <c r="L8161">
        <v>0</v>
      </c>
      <c r="M8161" t="s">
        <v>59</v>
      </c>
    </row>
    <row r="8162" spans="1:13" hidden="1" x14ac:dyDescent="0.15">
      <c r="A8162" t="s">
        <v>25582</v>
      </c>
      <c r="B8162" t="s">
        <v>25583</v>
      </c>
      <c r="C8162" t="s">
        <v>25584</v>
      </c>
      <c r="D8162" t="s">
        <v>25578</v>
      </c>
      <c r="E8162">
        <v>0</v>
      </c>
      <c r="F8162" t="str">
        <f>HYPERLINK("https://github.com/TeamNewPipe/NewPipe/issues/2442", "show")</f>
        <v>show</v>
      </c>
      <c r="G8162" t="str">
        <f>HYPERLINK("https://github.com/TeamNewPipe/NewPipe", "show")</f>
        <v>show</v>
      </c>
      <c r="H8162" t="str">
        <f>HYPERLINK("https://github.com/TeamNewPipe/NewPipe/releases", "show")</f>
        <v>show</v>
      </c>
      <c r="I8162">
        <v>1</v>
      </c>
      <c r="J8162">
        <v>0</v>
      </c>
      <c r="K8162">
        <v>1</v>
      </c>
      <c r="L8162">
        <v>0</v>
      </c>
      <c r="M8162" t="s">
        <v>64</v>
      </c>
    </row>
    <row r="8163" spans="1:13" hidden="1" x14ac:dyDescent="0.15">
      <c r="A8163" t="s">
        <v>25585</v>
      </c>
      <c r="B8163" t="s">
        <v>25586</v>
      </c>
      <c r="C8163" t="s">
        <v>25587</v>
      </c>
      <c r="D8163" t="s">
        <v>25578</v>
      </c>
      <c r="E8163">
        <v>8</v>
      </c>
      <c r="F8163" t="str">
        <f>HYPERLINK("https://github.com/PSPDFKit/react-native/issues/244", "show")</f>
        <v>show</v>
      </c>
      <c r="G8163" t="str">
        <f>HYPERLINK("https://github.com/PSPDFKit/react-native", "show")</f>
        <v>show</v>
      </c>
      <c r="H8163" t="str">
        <f>HYPERLINK("https://github.com/PSPDFKit/react-native/releases", "show")</f>
        <v>show</v>
      </c>
      <c r="I8163">
        <v>1</v>
      </c>
      <c r="J8163">
        <v>0</v>
      </c>
      <c r="K8163">
        <v>0</v>
      </c>
      <c r="L8163">
        <v>0</v>
      </c>
      <c r="M8163" t="s">
        <v>17</v>
      </c>
    </row>
    <row r="8164" spans="1:13" hidden="1" x14ac:dyDescent="0.15">
      <c r="A8164" t="s">
        <v>25588</v>
      </c>
      <c r="B8164" t="s">
        <v>25589</v>
      </c>
      <c r="C8164" t="s">
        <v>25590</v>
      </c>
      <c r="D8164" t="s">
        <v>25578</v>
      </c>
      <c r="E8164">
        <v>13</v>
      </c>
      <c r="F8164" t="str">
        <f>HYPERLINK("https://github.com/miguelpruivo/flutter_file_picker/issues/104", "show")</f>
        <v>show</v>
      </c>
      <c r="G8164" t="str">
        <f>HYPERLINK("https://github.com/miguelpruivo/flutter_file_picker", "show")</f>
        <v>show</v>
      </c>
      <c r="H8164" t="str">
        <f>HYPERLINK("https://github.com/miguelpruivo/flutter_file_picker/releases", "show")</f>
        <v>show</v>
      </c>
      <c r="I8164">
        <v>1</v>
      </c>
      <c r="J8164">
        <v>0</v>
      </c>
      <c r="K8164">
        <v>1</v>
      </c>
      <c r="L8164">
        <v>0</v>
      </c>
      <c r="M8164" t="s">
        <v>64</v>
      </c>
    </row>
    <row r="8165" spans="1:13" hidden="1" x14ac:dyDescent="0.15">
      <c r="A8165" t="s">
        <v>25591</v>
      </c>
      <c r="B8165" t="s">
        <v>25592</v>
      </c>
      <c r="C8165" t="s">
        <v>25593</v>
      </c>
      <c r="D8165" t="s">
        <v>25594</v>
      </c>
      <c r="E8165">
        <v>77</v>
      </c>
      <c r="F8165" t="str">
        <f>HYPERLINK("https://github.com/nextcloud/android/issues/4197", "show")</f>
        <v>show</v>
      </c>
      <c r="G8165" t="str">
        <f>HYPERLINK("https://github.com/nextcloud/android", "show")</f>
        <v>show</v>
      </c>
      <c r="H8165" t="str">
        <f>HYPERLINK("https://github.com/nextcloud/android/releases", "show")</f>
        <v>show</v>
      </c>
      <c r="I8165">
        <v>1</v>
      </c>
      <c r="J8165">
        <v>1</v>
      </c>
      <c r="K8165">
        <v>0</v>
      </c>
      <c r="L8165">
        <v>0</v>
      </c>
      <c r="M8165" t="s">
        <v>48</v>
      </c>
    </row>
    <row r="8166" spans="1:13" hidden="1" x14ac:dyDescent="0.15">
      <c r="A8166" t="s">
        <v>25595</v>
      </c>
      <c r="B8166" t="s">
        <v>25596</v>
      </c>
      <c r="C8166" t="s">
        <v>25597</v>
      </c>
      <c r="D8166" t="s">
        <v>25594</v>
      </c>
      <c r="E8166">
        <v>5</v>
      </c>
      <c r="F8166" t="str">
        <f>HYPERLINK("https://github.com/brodeurlv/fastnfitness/issues/76", "show")</f>
        <v>show</v>
      </c>
      <c r="G8166" t="str">
        <f>HYPERLINK("https://github.com/brodeurlv/fastnfitness", "show")</f>
        <v>show</v>
      </c>
      <c r="H8166" t="str">
        <f>HYPERLINK("https://github.com/brodeurlv/fastnfitness/releases", "show")</f>
        <v>show</v>
      </c>
      <c r="I8166">
        <v>0</v>
      </c>
      <c r="J8166">
        <v>0</v>
      </c>
      <c r="K8166">
        <v>0</v>
      </c>
      <c r="L8166">
        <v>0</v>
      </c>
      <c r="M8166" t="s">
        <v>43</v>
      </c>
    </row>
    <row r="8167" spans="1:13" x14ac:dyDescent="0.15">
      <c r="A8167" t="s">
        <v>25598</v>
      </c>
      <c r="B8167" t="s">
        <v>25599</v>
      </c>
      <c r="C8167" t="s">
        <v>25600</v>
      </c>
      <c r="D8167" t="s">
        <v>25594</v>
      </c>
      <c r="E8167">
        <v>95</v>
      </c>
      <c r="F8167" t="str">
        <f>HYPERLINK("https://github.com/react-native-camera/react-native-camera/issues/2350", "show")</f>
        <v>show</v>
      </c>
      <c r="G8167" t="str">
        <f>HYPERLINK("https://github.com/react-native-camera/react-native-camera", "show")</f>
        <v>show</v>
      </c>
      <c r="H8167" t="str">
        <f>HYPERLINK("https://github.com/react-native-camera/react-native-camera/releases", "show")</f>
        <v>show</v>
      </c>
      <c r="I8167">
        <v>0</v>
      </c>
      <c r="J8167">
        <v>1</v>
      </c>
      <c r="K8167">
        <v>0</v>
      </c>
      <c r="L8167">
        <v>0</v>
      </c>
      <c r="M8167" t="s">
        <v>139</v>
      </c>
    </row>
    <row r="8168" spans="1:13" hidden="1" x14ac:dyDescent="0.15">
      <c r="A8168" t="s">
        <v>25601</v>
      </c>
      <c r="B8168" t="s">
        <v>25602</v>
      </c>
      <c r="C8168" t="s">
        <v>25603</v>
      </c>
      <c r="D8168" t="s">
        <v>25604</v>
      </c>
      <c r="E8168">
        <v>100</v>
      </c>
      <c r="F8168" t="str">
        <f>HYPERLINK("https://github.com/inaturalist/iNaturalistAndroid/issues/671", "show")</f>
        <v>show</v>
      </c>
      <c r="G8168" t="str">
        <f>HYPERLINK("https://github.com/inaturalist/iNaturalistAndroid", "show")</f>
        <v>show</v>
      </c>
      <c r="H8168" t="str">
        <f>HYPERLINK("https://github.com/inaturalist/iNaturalistAndroid/releases", "show")</f>
        <v>show</v>
      </c>
      <c r="I8168">
        <v>0</v>
      </c>
      <c r="J8168">
        <v>0</v>
      </c>
      <c r="K8168">
        <v>1</v>
      </c>
      <c r="L8168">
        <v>0</v>
      </c>
      <c r="M8168" t="s">
        <v>122</v>
      </c>
    </row>
    <row r="8169" spans="1:13" hidden="1" x14ac:dyDescent="0.15">
      <c r="A8169" t="s">
        <v>25605</v>
      </c>
      <c r="B8169" t="s">
        <v>25606</v>
      </c>
      <c r="C8169" t="s">
        <v>25607</v>
      </c>
      <c r="D8169" t="s">
        <v>25604</v>
      </c>
      <c r="E8169">
        <v>9</v>
      </c>
      <c r="F8169" t="str">
        <f>HYPERLINK("https://github.com/7LPdWcaW/GrowTracker-Android/issues/97", "show")</f>
        <v>show</v>
      </c>
      <c r="G8169" t="str">
        <f>HYPERLINK("https://github.com/7LPdWcaW/GrowTracker-Android", "show")</f>
        <v>show</v>
      </c>
      <c r="H8169" t="str">
        <f>HYPERLINK("https://github.com/7LPdWcaW/GrowTracker-Android/releases", "show")</f>
        <v>show</v>
      </c>
      <c r="I8169">
        <v>0</v>
      </c>
      <c r="J8169">
        <v>1</v>
      </c>
      <c r="K8169">
        <v>1</v>
      </c>
      <c r="L8169">
        <v>0</v>
      </c>
      <c r="M8169" t="s">
        <v>699</v>
      </c>
    </row>
    <row r="8170" spans="1:13" x14ac:dyDescent="0.15">
      <c r="A8170" t="s">
        <v>25608</v>
      </c>
      <c r="B8170" t="s">
        <v>25609</v>
      </c>
      <c r="C8170" t="s">
        <v>25610</v>
      </c>
      <c r="D8170" t="s">
        <v>25604</v>
      </c>
      <c r="E8170">
        <v>10</v>
      </c>
      <c r="F8170" t="str">
        <f>HYPERLINK("https://github.com/konradrenner/kolabnotes-android/issues/198", "show")</f>
        <v>show</v>
      </c>
      <c r="G8170" t="str">
        <f>HYPERLINK("https://github.com/konradrenner/kolabnotes-android", "show")</f>
        <v>show</v>
      </c>
      <c r="H8170" t="str">
        <f>HYPERLINK("https://github.com/konradrenner/kolabnotes-android/releases", "show")</f>
        <v>show</v>
      </c>
      <c r="I8170">
        <v>0</v>
      </c>
      <c r="J8170">
        <v>1</v>
      </c>
      <c r="K8170">
        <v>0</v>
      </c>
      <c r="L8170">
        <v>0</v>
      </c>
      <c r="M8170" t="s">
        <v>139</v>
      </c>
    </row>
    <row r="8171" spans="1:13" hidden="1" x14ac:dyDescent="0.15">
      <c r="A8171" t="s">
        <v>25611</v>
      </c>
      <c r="B8171" t="s">
        <v>25612</v>
      </c>
      <c r="C8171" t="s">
        <v>25613</v>
      </c>
      <c r="D8171" t="s">
        <v>25604</v>
      </c>
      <c r="E8171">
        <v>788</v>
      </c>
      <c r="F8171" t="str">
        <f>HYPERLINK("https://github.com/LawnchairLauncher/lawnchair/issues/1614", "show")</f>
        <v>show</v>
      </c>
      <c r="G8171" t="str">
        <f>HYPERLINK("https://github.com/LawnchairLauncher/lawnchair", "show")</f>
        <v>show</v>
      </c>
      <c r="H8171" t="str">
        <f>HYPERLINK("https://github.com/LawnchairLauncher/lawnchair/releases", "show")</f>
        <v>show</v>
      </c>
      <c r="I8171">
        <v>1</v>
      </c>
      <c r="J8171">
        <v>0</v>
      </c>
      <c r="K8171">
        <v>0</v>
      </c>
      <c r="L8171">
        <v>0</v>
      </c>
      <c r="M8171" t="s">
        <v>17</v>
      </c>
    </row>
    <row r="8172" spans="1:13" hidden="1" x14ac:dyDescent="0.15">
      <c r="A8172" t="s">
        <v>25614</v>
      </c>
      <c r="B8172" t="s">
        <v>25615</v>
      </c>
      <c r="C8172" t="s">
        <v>25616</v>
      </c>
      <c r="D8172" t="s">
        <v>25617</v>
      </c>
      <c r="E8172">
        <v>14</v>
      </c>
      <c r="F8172" t="str">
        <f>HYPERLINK("https://github.com/the3soundcrafties/SoundboardCrafter/issues/94", "show")</f>
        <v>show</v>
      </c>
      <c r="G8172" t="str">
        <f>HYPERLINK("https://github.com/the3soundcrafties/SoundboardCrafter", "show")</f>
        <v>show</v>
      </c>
      <c r="H8172" t="str">
        <f>HYPERLINK("https://github.com/the3soundcrafties/SoundboardCrafter/releases", "show")</f>
        <v>show</v>
      </c>
      <c r="I8172">
        <v>1</v>
      </c>
      <c r="J8172">
        <v>0</v>
      </c>
      <c r="K8172">
        <v>0</v>
      </c>
      <c r="L8172">
        <v>0</v>
      </c>
      <c r="M8172" t="s">
        <v>17</v>
      </c>
    </row>
    <row r="8173" spans="1:13" hidden="1" x14ac:dyDescent="0.15">
      <c r="A8173" t="s">
        <v>25618</v>
      </c>
      <c r="B8173" t="s">
        <v>25619</v>
      </c>
      <c r="C8173" t="s">
        <v>25620</v>
      </c>
      <c r="D8173" t="s">
        <v>25617</v>
      </c>
      <c r="E8173">
        <v>0</v>
      </c>
      <c r="F8173" t="str">
        <f>HYPERLINK("https://github.com/ankidroid/Anki-Android/issues/5354", "show")</f>
        <v>show</v>
      </c>
      <c r="G8173" t="str">
        <f>HYPERLINK("https://github.com/ankidroid/Anki-Android", "show")</f>
        <v>show</v>
      </c>
      <c r="H8173" t="str">
        <f>HYPERLINK("https://github.com/ankidroid/Anki-Android/releases", "show")</f>
        <v>show</v>
      </c>
      <c r="I8173">
        <v>1</v>
      </c>
      <c r="J8173">
        <v>1</v>
      </c>
      <c r="K8173">
        <v>1</v>
      </c>
      <c r="L8173">
        <v>0</v>
      </c>
      <c r="M8173" t="s">
        <v>59</v>
      </c>
    </row>
    <row r="8174" spans="1:13" hidden="1" x14ac:dyDescent="0.15">
      <c r="A8174" t="s">
        <v>25621</v>
      </c>
      <c r="B8174" t="s">
        <v>25622</v>
      </c>
      <c r="C8174" t="s">
        <v>25623</v>
      </c>
      <c r="D8174" t="s">
        <v>25624</v>
      </c>
      <c r="E8174">
        <v>3</v>
      </c>
      <c r="F8174" t="str">
        <f>HYPERLINK("https://github.com/projectbuendia/client/issues/366", "show")</f>
        <v>show</v>
      </c>
      <c r="G8174" t="str">
        <f>HYPERLINK("https://github.com/projectbuendia/client", "show")</f>
        <v>show</v>
      </c>
      <c r="H8174" t="str">
        <f>HYPERLINK("https://github.com/projectbuendia/client/releases", "show")</f>
        <v>show</v>
      </c>
      <c r="I8174">
        <v>1</v>
      </c>
      <c r="J8174">
        <v>0</v>
      </c>
      <c r="K8174">
        <v>0</v>
      </c>
      <c r="L8174">
        <v>0</v>
      </c>
      <c r="M8174" t="s">
        <v>17</v>
      </c>
    </row>
    <row r="8175" spans="1:13" hidden="1" x14ac:dyDescent="0.15">
      <c r="A8175" t="s">
        <v>25625</v>
      </c>
      <c r="B8175" t="s">
        <v>25626</v>
      </c>
      <c r="C8175" t="s">
        <v>25627</v>
      </c>
      <c r="D8175" t="s">
        <v>25624</v>
      </c>
      <c r="E8175">
        <v>0</v>
      </c>
      <c r="F8175" t="str">
        <f>HYPERLINK("https://github.com/launchdarkly/android-client-sdk/issues/80", "show")</f>
        <v>show</v>
      </c>
      <c r="G8175" t="str">
        <f>HYPERLINK("https://github.com/launchdarkly/android-client-sdk", "show")</f>
        <v>show</v>
      </c>
      <c r="H8175" t="str">
        <f>HYPERLINK("https://github.com/launchdarkly/android-client-sdk/releases", "show")</f>
        <v>show</v>
      </c>
      <c r="I8175">
        <v>1</v>
      </c>
      <c r="J8175">
        <v>0</v>
      </c>
      <c r="K8175">
        <v>0</v>
      </c>
      <c r="L8175">
        <v>0</v>
      </c>
      <c r="M8175" t="s">
        <v>17</v>
      </c>
    </row>
    <row r="8176" spans="1:13" hidden="1" x14ac:dyDescent="0.15">
      <c r="A8176" t="s">
        <v>25628</v>
      </c>
      <c r="B8176" t="s">
        <v>25629</v>
      </c>
      <c r="C8176" t="s">
        <v>25630</v>
      </c>
      <c r="D8176" t="s">
        <v>25624</v>
      </c>
      <c r="E8176">
        <v>24</v>
      </c>
      <c r="F8176" t="str">
        <f>HYPERLINK("https://github.com/google/ExoPlayer/issues/6107", "show")</f>
        <v>show</v>
      </c>
      <c r="G8176" t="str">
        <f>HYPERLINK("https://github.com/google/ExoPlayer", "show")</f>
        <v>show</v>
      </c>
      <c r="H8176" t="str">
        <f>HYPERLINK("https://github.com/google/ExoPlayer/releases", "show")</f>
        <v>show</v>
      </c>
      <c r="I8176">
        <v>0</v>
      </c>
      <c r="J8176">
        <v>0</v>
      </c>
      <c r="K8176">
        <v>1</v>
      </c>
      <c r="L8176">
        <v>0</v>
      </c>
      <c r="M8176" t="s">
        <v>122</v>
      </c>
    </row>
    <row r="8177" spans="1:13" hidden="1" x14ac:dyDescent="0.15">
      <c r="A8177" t="s">
        <v>25631</v>
      </c>
      <c r="B8177" t="s">
        <v>25632</v>
      </c>
      <c r="C8177" t="s">
        <v>25633</v>
      </c>
      <c r="D8177" t="s">
        <v>25624</v>
      </c>
      <c r="E8177">
        <v>109</v>
      </c>
      <c r="F8177" t="str">
        <f>HYPERLINK("https://github.com/ponewheel/android-ponewheel/issues/90", "show")</f>
        <v>show</v>
      </c>
      <c r="G8177" t="str">
        <f>HYPERLINK("https://github.com/ponewheel/android-ponewheel", "show")</f>
        <v>show</v>
      </c>
      <c r="H8177" t="str">
        <f>HYPERLINK("https://github.com/ponewheel/android-ponewheel/releases", "show")</f>
        <v>show</v>
      </c>
      <c r="I8177">
        <v>1</v>
      </c>
      <c r="J8177">
        <v>1</v>
      </c>
      <c r="K8177">
        <v>0</v>
      </c>
      <c r="L8177">
        <v>0</v>
      </c>
      <c r="M8177" t="s">
        <v>48</v>
      </c>
    </row>
    <row r="8178" spans="1:13" hidden="1" x14ac:dyDescent="0.15">
      <c r="A8178" t="s">
        <v>25634</v>
      </c>
      <c r="B8178" t="s">
        <v>25635</v>
      </c>
      <c r="C8178" t="s">
        <v>25636</v>
      </c>
      <c r="D8178" t="s">
        <v>25637</v>
      </c>
      <c r="E8178">
        <v>6</v>
      </c>
      <c r="F8178" t="str">
        <f>HYPERLINK("https://github.com/square/okhttp/issues/5246", "show")</f>
        <v>show</v>
      </c>
      <c r="G8178" t="str">
        <f>HYPERLINK("https://github.com/square/okhttp", "show")</f>
        <v>show</v>
      </c>
      <c r="H8178" t="str">
        <f>HYPERLINK("https://github.com/square/okhttp/releases", "show")</f>
        <v>show</v>
      </c>
      <c r="I8178">
        <v>0</v>
      </c>
      <c r="J8178">
        <v>0</v>
      </c>
      <c r="K8178">
        <v>0</v>
      </c>
      <c r="L8178">
        <v>0</v>
      </c>
      <c r="M8178" t="s">
        <v>43</v>
      </c>
    </row>
    <row r="8179" spans="1:13" hidden="1" x14ac:dyDescent="0.15">
      <c r="A8179" t="s">
        <v>25638</v>
      </c>
      <c r="B8179" t="s">
        <v>25639</v>
      </c>
      <c r="C8179" t="s">
        <v>25640</v>
      </c>
      <c r="D8179" t="s">
        <v>25637</v>
      </c>
      <c r="E8179">
        <v>13</v>
      </c>
      <c r="F8179" t="str">
        <f>HYPERLINK("https://github.com/7LPdWcaW/GrowTracker-Android/issues/94", "show")</f>
        <v>show</v>
      </c>
      <c r="G8179" t="str">
        <f>HYPERLINK("https://github.com/7LPdWcaW/GrowTracker-Android", "show")</f>
        <v>show</v>
      </c>
      <c r="H8179" t="str">
        <f>HYPERLINK("https://github.com/7LPdWcaW/GrowTracker-Android/releases", "show")</f>
        <v>show</v>
      </c>
      <c r="I8179">
        <v>1</v>
      </c>
      <c r="J8179">
        <v>1</v>
      </c>
      <c r="K8179">
        <v>1</v>
      </c>
      <c r="L8179">
        <v>0</v>
      </c>
      <c r="M8179" t="s">
        <v>59</v>
      </c>
    </row>
    <row r="8180" spans="1:13" hidden="1" x14ac:dyDescent="0.15">
      <c r="A8180" t="s">
        <v>25641</v>
      </c>
      <c r="B8180" t="s">
        <v>25642</v>
      </c>
      <c r="C8180" t="s">
        <v>25643</v>
      </c>
      <c r="D8180" t="s">
        <v>25637</v>
      </c>
      <c r="E8180">
        <v>13</v>
      </c>
      <c r="F8180" t="str">
        <f>HYPERLINK("https://github.com/7LPdWcaW/GrowTracker-Android/issues/93", "show")</f>
        <v>show</v>
      </c>
      <c r="G8180" t="str">
        <f>HYPERLINK("https://github.com/7LPdWcaW/GrowTracker-Android", "show")</f>
        <v>show</v>
      </c>
      <c r="H8180" t="str">
        <f>HYPERLINK("https://github.com/7LPdWcaW/GrowTracker-Android/releases", "show")</f>
        <v>show</v>
      </c>
      <c r="I8180">
        <v>1</v>
      </c>
      <c r="J8180">
        <v>1</v>
      </c>
      <c r="K8180">
        <v>1</v>
      </c>
      <c r="L8180">
        <v>0</v>
      </c>
      <c r="M8180" t="s">
        <v>59</v>
      </c>
    </row>
    <row r="8181" spans="1:13" hidden="1" x14ac:dyDescent="0.15">
      <c r="A8181" t="s">
        <v>25644</v>
      </c>
      <c r="B8181" t="s">
        <v>25645</v>
      </c>
      <c r="C8181" t="s">
        <v>25646</v>
      </c>
      <c r="D8181" t="s">
        <v>25637</v>
      </c>
      <c r="E8181">
        <v>22</v>
      </c>
      <c r="F8181" t="str">
        <f>HYPERLINK("https://github.com/7LPdWcaW/GrowTracker-Android/issues/90", "show")</f>
        <v>show</v>
      </c>
      <c r="G8181" t="str">
        <f>HYPERLINK("https://github.com/7LPdWcaW/GrowTracker-Android", "show")</f>
        <v>show</v>
      </c>
      <c r="H8181" t="str">
        <f>HYPERLINK("https://github.com/7LPdWcaW/GrowTracker-Android/releases", "show")</f>
        <v>show</v>
      </c>
      <c r="I8181">
        <v>1</v>
      </c>
      <c r="J8181">
        <v>1</v>
      </c>
      <c r="K8181">
        <v>1</v>
      </c>
      <c r="L8181">
        <v>0</v>
      </c>
      <c r="M8181" t="s">
        <v>59</v>
      </c>
    </row>
    <row r="8182" spans="1:13" hidden="1" x14ac:dyDescent="0.15">
      <c r="A8182" t="s">
        <v>25647</v>
      </c>
      <c r="B8182" t="s">
        <v>25648</v>
      </c>
      <c r="C8182" t="s">
        <v>25649</v>
      </c>
      <c r="D8182" t="s">
        <v>25637</v>
      </c>
      <c r="E8182">
        <v>13</v>
      </c>
      <c r="F8182" t="str">
        <f>HYPERLINK("https://github.com/7LPdWcaW/GrowTracker-Android/issues/89", "show")</f>
        <v>show</v>
      </c>
      <c r="G8182" t="str">
        <f>HYPERLINK("https://github.com/7LPdWcaW/GrowTracker-Android", "show")</f>
        <v>show</v>
      </c>
      <c r="H8182" t="str">
        <f>HYPERLINK("https://github.com/7LPdWcaW/GrowTracker-Android/releases", "show")</f>
        <v>show</v>
      </c>
      <c r="I8182">
        <v>1</v>
      </c>
      <c r="J8182">
        <v>1</v>
      </c>
      <c r="K8182">
        <v>1</v>
      </c>
      <c r="L8182">
        <v>0</v>
      </c>
      <c r="M8182" t="s">
        <v>59</v>
      </c>
    </row>
    <row r="8183" spans="1:13" hidden="1" x14ac:dyDescent="0.15">
      <c r="A8183" t="s">
        <v>25650</v>
      </c>
      <c r="B8183" t="s">
        <v>25651</v>
      </c>
      <c r="C8183" t="s">
        <v>25652</v>
      </c>
      <c r="D8183" t="s">
        <v>25653</v>
      </c>
      <c r="E8183">
        <v>1</v>
      </c>
      <c r="F8183" t="str">
        <f>HYPERLINK("https://github.com/projectbuendia/client/issues/351", "show")</f>
        <v>show</v>
      </c>
      <c r="G8183" t="str">
        <f>HYPERLINK("https://github.com/projectbuendia/client", "show")</f>
        <v>show</v>
      </c>
      <c r="H8183" t="str">
        <f>HYPERLINK("https://github.com/projectbuendia/client/releases", "show")</f>
        <v>show</v>
      </c>
      <c r="I8183">
        <v>1</v>
      </c>
      <c r="J8183">
        <v>0</v>
      </c>
      <c r="K8183">
        <v>1</v>
      </c>
      <c r="L8183">
        <v>0</v>
      </c>
      <c r="M8183" t="s">
        <v>64</v>
      </c>
    </row>
    <row r="8184" spans="1:13" hidden="1" x14ac:dyDescent="0.15">
      <c r="A8184" t="s">
        <v>25654</v>
      </c>
      <c r="B8184" t="s">
        <v>25655</v>
      </c>
      <c r="C8184" t="s">
        <v>25656</v>
      </c>
      <c r="D8184" t="s">
        <v>25653</v>
      </c>
      <c r="E8184">
        <v>14</v>
      </c>
      <c r="F8184" t="str">
        <f>HYPERLINK("https://github.com/7LPdWcaW/GrowTracker-Android/issues/88", "show")</f>
        <v>show</v>
      </c>
      <c r="G8184" t="str">
        <f>HYPERLINK("https://github.com/7LPdWcaW/GrowTracker-Android", "show")</f>
        <v>show</v>
      </c>
      <c r="H8184" t="str">
        <f>HYPERLINK("https://github.com/7LPdWcaW/GrowTracker-Android/releases", "show")</f>
        <v>show</v>
      </c>
      <c r="I8184">
        <v>1</v>
      </c>
      <c r="J8184">
        <v>1</v>
      </c>
      <c r="K8184">
        <v>1</v>
      </c>
      <c r="L8184">
        <v>1</v>
      </c>
      <c r="M8184" t="s">
        <v>2875</v>
      </c>
    </row>
    <row r="8185" spans="1:13" hidden="1" x14ac:dyDescent="0.15">
      <c r="A8185" t="s">
        <v>25657</v>
      </c>
      <c r="B8185" t="s">
        <v>25658</v>
      </c>
      <c r="C8185" t="s">
        <v>25659</v>
      </c>
      <c r="D8185" t="s">
        <v>25653</v>
      </c>
      <c r="E8185">
        <v>14</v>
      </c>
      <c r="F8185" t="str">
        <f>HYPERLINK("https://github.com/7LPdWcaW/GrowTracker-Android/issues/87", "show")</f>
        <v>show</v>
      </c>
      <c r="G8185" t="str">
        <f>HYPERLINK("https://github.com/7LPdWcaW/GrowTracker-Android", "show")</f>
        <v>show</v>
      </c>
      <c r="H8185" t="str">
        <f>HYPERLINK("https://github.com/7LPdWcaW/GrowTracker-Android/releases", "show")</f>
        <v>show</v>
      </c>
      <c r="I8185">
        <v>1</v>
      </c>
      <c r="J8185">
        <v>1</v>
      </c>
      <c r="K8185">
        <v>1</v>
      </c>
      <c r="L8185">
        <v>1</v>
      </c>
      <c r="M8185" t="s">
        <v>2875</v>
      </c>
    </row>
    <row r="8186" spans="1:13" hidden="1" x14ac:dyDescent="0.15">
      <c r="A8186" t="s">
        <v>25660</v>
      </c>
      <c r="B8186" t="s">
        <v>25661</v>
      </c>
      <c r="C8186" t="s">
        <v>25662</v>
      </c>
      <c r="D8186" t="s">
        <v>25653</v>
      </c>
      <c r="E8186">
        <v>14</v>
      </c>
      <c r="F8186" t="str">
        <f>HYPERLINK("https://github.com/7LPdWcaW/GrowTracker-Android/issues/86", "show")</f>
        <v>show</v>
      </c>
      <c r="G8186" t="str">
        <f>HYPERLINK("https://github.com/7LPdWcaW/GrowTracker-Android", "show")</f>
        <v>show</v>
      </c>
      <c r="H8186" t="str">
        <f>HYPERLINK("https://github.com/7LPdWcaW/GrowTracker-Android/releases", "show")</f>
        <v>show</v>
      </c>
      <c r="I8186">
        <v>1</v>
      </c>
      <c r="J8186">
        <v>1</v>
      </c>
      <c r="K8186">
        <v>0</v>
      </c>
      <c r="L8186">
        <v>0</v>
      </c>
      <c r="M8186" t="s">
        <v>48</v>
      </c>
    </row>
    <row r="8187" spans="1:13" hidden="1" x14ac:dyDescent="0.15">
      <c r="A8187" t="s">
        <v>25663</v>
      </c>
      <c r="B8187" t="s">
        <v>25664</v>
      </c>
      <c r="C8187" t="s">
        <v>25665</v>
      </c>
      <c r="D8187" t="s">
        <v>25653</v>
      </c>
      <c r="E8187">
        <v>3</v>
      </c>
      <c r="F8187" t="str">
        <f>HYPERLINK("https://github.com/ongakken/Caffeinator/issues/51", "show")</f>
        <v>show</v>
      </c>
      <c r="G8187" t="str">
        <f>HYPERLINK("https://github.com/ongakken/Caffeinator", "show")</f>
        <v>show</v>
      </c>
      <c r="H8187" t="str">
        <f>HYPERLINK("https://github.com/ongakken/Caffeinator/releases", "show")</f>
        <v>show</v>
      </c>
      <c r="I8187">
        <v>1</v>
      </c>
      <c r="J8187">
        <v>0</v>
      </c>
      <c r="K8187">
        <v>0</v>
      </c>
      <c r="L8187">
        <v>0</v>
      </c>
      <c r="M8187" t="s">
        <v>17</v>
      </c>
    </row>
    <row r="8188" spans="1:13" hidden="1" x14ac:dyDescent="0.15">
      <c r="A8188" t="s">
        <v>25666</v>
      </c>
      <c r="B8188" t="s">
        <v>25667</v>
      </c>
      <c r="C8188" t="s">
        <v>25668</v>
      </c>
      <c r="D8188" t="s">
        <v>25653</v>
      </c>
      <c r="E8188">
        <v>218</v>
      </c>
      <c r="F8188" t="str">
        <f>HYPERLINK("https://github.com/StringCare/AndroidLibrary/issues/58", "show")</f>
        <v>show</v>
      </c>
      <c r="G8188" t="str">
        <f>HYPERLINK("https://github.com/StringCare/AndroidLibrary", "show")</f>
        <v>show</v>
      </c>
      <c r="H8188" t="str">
        <f>HYPERLINK("https://github.com/StringCare/AndroidLibrary/releases", "show")</f>
        <v>show</v>
      </c>
      <c r="I8188">
        <v>1</v>
      </c>
      <c r="J8188">
        <v>0</v>
      </c>
      <c r="K8188">
        <v>0</v>
      </c>
      <c r="L8188">
        <v>0</v>
      </c>
      <c r="M8188" t="s">
        <v>17</v>
      </c>
    </row>
    <row r="8189" spans="1:13" x14ac:dyDescent="0.15">
      <c r="A8189" t="s">
        <v>25669</v>
      </c>
      <c r="B8189" t="s">
        <v>25670</v>
      </c>
      <c r="C8189" t="s">
        <v>25671</v>
      </c>
      <c r="D8189" t="s">
        <v>25653</v>
      </c>
      <c r="E8189">
        <v>1</v>
      </c>
      <c r="F8189" t="str">
        <f>HYPERLINK("https://github.com/LawnchairLauncher/lawnchair/issues/1607", "show")</f>
        <v>show</v>
      </c>
      <c r="G8189" t="str">
        <f>HYPERLINK("https://github.com/LawnchairLauncher/lawnchair", "show")</f>
        <v>show</v>
      </c>
      <c r="H8189" t="str">
        <f>HYPERLINK("https://github.com/LawnchairLauncher/lawnchair/releases", "show")</f>
        <v>show</v>
      </c>
      <c r="I8189">
        <v>0</v>
      </c>
      <c r="J8189">
        <v>1</v>
      </c>
      <c r="K8189">
        <v>0</v>
      </c>
      <c r="L8189">
        <v>0</v>
      </c>
      <c r="M8189" t="s">
        <v>139</v>
      </c>
    </row>
    <row r="8190" spans="1:13" x14ac:dyDescent="0.15">
      <c r="A8190" t="s">
        <v>25672</v>
      </c>
      <c r="B8190" t="s">
        <v>25673</v>
      </c>
      <c r="C8190" t="s">
        <v>25674</v>
      </c>
      <c r="D8190" t="s">
        <v>25675</v>
      </c>
      <c r="E8190">
        <v>301</v>
      </c>
      <c r="F8190" t="str">
        <f>HYPERLINK("https://github.com/ElderDrivers/EdXposed/issues/310", "show")</f>
        <v>show</v>
      </c>
      <c r="G8190" t="str">
        <f>HYPERLINK("https://github.com/ElderDrivers/EdXposed", "show")</f>
        <v>show</v>
      </c>
      <c r="H8190" t="str">
        <f>HYPERLINK("https://github.com/ElderDrivers/EdXposed/releases", "show")</f>
        <v>show</v>
      </c>
      <c r="I8190">
        <v>0</v>
      </c>
      <c r="J8190">
        <v>1</v>
      </c>
      <c r="K8190">
        <v>0</v>
      </c>
      <c r="L8190">
        <v>0</v>
      </c>
      <c r="M8190" t="s">
        <v>139</v>
      </c>
    </row>
    <row r="8191" spans="1:13" x14ac:dyDescent="0.15">
      <c r="A8191" t="s">
        <v>25676</v>
      </c>
      <c r="B8191" t="s">
        <v>25677</v>
      </c>
      <c r="C8191" t="s">
        <v>25678</v>
      </c>
      <c r="D8191" t="s">
        <v>25675</v>
      </c>
      <c r="E8191">
        <v>0</v>
      </c>
      <c r="F8191" t="str">
        <f>HYPERLINK("https://github.com/nextcloud/android/issues/4176", "show")</f>
        <v>show</v>
      </c>
      <c r="G8191" t="str">
        <f>HYPERLINK("https://github.com/nextcloud/android", "show")</f>
        <v>show</v>
      </c>
      <c r="H8191" t="str">
        <f>HYPERLINK("https://github.com/nextcloud/android/releases", "show")</f>
        <v>show</v>
      </c>
      <c r="I8191">
        <v>0</v>
      </c>
      <c r="J8191">
        <v>1</v>
      </c>
      <c r="K8191">
        <v>0</v>
      </c>
      <c r="L8191">
        <v>0</v>
      </c>
      <c r="M8191" t="s">
        <v>139</v>
      </c>
    </row>
    <row r="8192" spans="1:13" hidden="1" x14ac:dyDescent="0.15">
      <c r="A8192" t="s">
        <v>25679</v>
      </c>
      <c r="B8192" t="s">
        <v>25680</v>
      </c>
      <c r="C8192" t="s">
        <v>25681</v>
      </c>
      <c r="D8192" t="s">
        <v>25675</v>
      </c>
      <c r="E8192">
        <v>31</v>
      </c>
      <c r="F8192" t="str">
        <f>HYPERLINK("https://github.com/Haptic-Apps/Slide/issues/3028", "show")</f>
        <v>show</v>
      </c>
      <c r="G8192" t="str">
        <f>HYPERLINK("https://github.com/Haptic-Apps/Slide", "show")</f>
        <v>show</v>
      </c>
      <c r="H8192" t="str">
        <f>HYPERLINK("https://github.com/Haptic-Apps/Slide/releases", "show")</f>
        <v>show</v>
      </c>
      <c r="I8192">
        <v>0</v>
      </c>
      <c r="J8192">
        <v>0</v>
      </c>
      <c r="K8192">
        <v>0</v>
      </c>
      <c r="L8192">
        <v>0</v>
      </c>
      <c r="M8192" t="s">
        <v>43</v>
      </c>
    </row>
    <row r="8193" spans="1:13" hidden="1" x14ac:dyDescent="0.15">
      <c r="A8193" t="s">
        <v>25682</v>
      </c>
      <c r="B8193" t="s">
        <v>25683</v>
      </c>
      <c r="C8193" t="s">
        <v>25684</v>
      </c>
      <c r="D8193" t="s">
        <v>25675</v>
      </c>
      <c r="E8193">
        <v>4</v>
      </c>
      <c r="F8193" t="str">
        <f>HYPERLINK("https://github.com/fossasia/pslab-android/issues/1829", "show")</f>
        <v>show</v>
      </c>
      <c r="G8193" t="str">
        <f>HYPERLINK("https://github.com/fossasia/pslab-android", "show")</f>
        <v>show</v>
      </c>
      <c r="H8193" t="str">
        <f>HYPERLINK("https://github.com/fossasia/pslab-android/releases", "show")</f>
        <v>show</v>
      </c>
      <c r="I8193">
        <v>1</v>
      </c>
      <c r="J8193">
        <v>1</v>
      </c>
      <c r="K8193">
        <v>1</v>
      </c>
      <c r="L8193">
        <v>0</v>
      </c>
      <c r="M8193" t="s">
        <v>59</v>
      </c>
    </row>
    <row r="8194" spans="1:13" hidden="1" x14ac:dyDescent="0.15">
      <c r="A8194" t="s">
        <v>25685</v>
      </c>
      <c r="B8194" t="s">
        <v>25686</v>
      </c>
      <c r="C8194" t="s">
        <v>25687</v>
      </c>
      <c r="D8194" t="s">
        <v>25688</v>
      </c>
      <c r="E8194">
        <v>46</v>
      </c>
      <c r="F8194" t="str">
        <f>HYPERLINK("https://github.com/inaturalist/react-native-inat-camera/issues/21", "show")</f>
        <v>show</v>
      </c>
      <c r="G8194" t="str">
        <f>HYPERLINK("https://github.com/inaturalist/react-native-inat-camera", "show")</f>
        <v>show</v>
      </c>
      <c r="H8194" t="str">
        <f>HYPERLINK("https://github.com/inaturalist/react-native-inat-camera/releases", "show")</f>
        <v>show</v>
      </c>
      <c r="I8194">
        <v>0</v>
      </c>
      <c r="J8194">
        <v>0</v>
      </c>
      <c r="K8194">
        <v>1</v>
      </c>
      <c r="L8194">
        <v>0</v>
      </c>
      <c r="M8194" t="s">
        <v>122</v>
      </c>
    </row>
    <row r="8195" spans="1:13" x14ac:dyDescent="0.15">
      <c r="A8195" t="s">
        <v>25689</v>
      </c>
      <c r="B8195" t="s">
        <v>25690</v>
      </c>
      <c r="C8195" t="s">
        <v>25691</v>
      </c>
      <c r="D8195" t="s">
        <v>25688</v>
      </c>
      <c r="E8195">
        <v>2</v>
      </c>
      <c r="F8195" t="str">
        <f>HYPERLINK("https://github.com/7LPdWcaW/GrowTracker-Android/issues/85", "show")</f>
        <v>show</v>
      </c>
      <c r="G8195" t="str">
        <f>HYPERLINK("https://github.com/7LPdWcaW/GrowTracker-Android", "show")</f>
        <v>show</v>
      </c>
      <c r="H8195" t="str">
        <f>HYPERLINK("https://github.com/7LPdWcaW/GrowTracker-Android/releases", "show")</f>
        <v>show</v>
      </c>
      <c r="I8195">
        <v>0</v>
      </c>
      <c r="J8195">
        <v>1</v>
      </c>
      <c r="K8195">
        <v>0</v>
      </c>
      <c r="L8195">
        <v>0</v>
      </c>
      <c r="M8195" t="s">
        <v>139</v>
      </c>
    </row>
    <row r="8196" spans="1:13" hidden="1" x14ac:dyDescent="0.15">
      <c r="A8196" t="s">
        <v>25692</v>
      </c>
      <c r="B8196" t="s">
        <v>25693</v>
      </c>
      <c r="C8196" t="s">
        <v>25694</v>
      </c>
      <c r="D8196" t="s">
        <v>25688</v>
      </c>
      <c r="E8196">
        <v>14</v>
      </c>
      <c r="F8196" t="str">
        <f>HYPERLINK("https://github.com/nextcloud/android/issues/4172", "show")</f>
        <v>show</v>
      </c>
      <c r="G8196" t="str">
        <f>HYPERLINK("https://github.com/nextcloud/android", "show")</f>
        <v>show</v>
      </c>
      <c r="H8196" t="str">
        <f>HYPERLINK("https://github.com/nextcloud/android/releases", "show")</f>
        <v>show</v>
      </c>
      <c r="I8196">
        <v>1</v>
      </c>
      <c r="J8196">
        <v>1</v>
      </c>
      <c r="K8196">
        <v>0</v>
      </c>
      <c r="L8196">
        <v>0</v>
      </c>
      <c r="M8196" t="s">
        <v>48</v>
      </c>
    </row>
    <row r="8197" spans="1:13" hidden="1" x14ac:dyDescent="0.15">
      <c r="A8197" t="s">
        <v>25695</v>
      </c>
      <c r="B8197" t="s">
        <v>25696</v>
      </c>
      <c r="C8197" t="s">
        <v>25697</v>
      </c>
      <c r="D8197" t="s">
        <v>25688</v>
      </c>
      <c r="E8197">
        <v>1</v>
      </c>
      <c r="F8197" t="str">
        <f>HYPERLINK("https://github.com/abuch99/SWD/issues/27", "show")</f>
        <v>show</v>
      </c>
      <c r="G8197" t="str">
        <f>HYPERLINK("https://github.com/abuch99/SWD", "show")</f>
        <v>show</v>
      </c>
      <c r="H8197" t="str">
        <f>HYPERLINK("https://github.com/abuch99/SWD/releases", "show")</f>
        <v>show</v>
      </c>
      <c r="I8197">
        <v>0</v>
      </c>
      <c r="J8197">
        <v>0</v>
      </c>
      <c r="K8197">
        <v>0</v>
      </c>
      <c r="L8197">
        <v>0</v>
      </c>
      <c r="M8197" t="s">
        <v>43</v>
      </c>
    </row>
    <row r="8198" spans="1:13" hidden="1" x14ac:dyDescent="0.15">
      <c r="A8198" t="s">
        <v>25698</v>
      </c>
      <c r="B8198" t="s">
        <v>25699</v>
      </c>
      <c r="C8198" t="s">
        <v>504</v>
      </c>
      <c r="D8198" t="s">
        <v>25700</v>
      </c>
      <c r="E8198">
        <v>33</v>
      </c>
      <c r="F8198" t="str">
        <f>HYPERLINK("https://github.com/itachi1706/SingBuses/issues/172", "show")</f>
        <v>show</v>
      </c>
      <c r="G8198" t="str">
        <f>HYPERLINK("https://github.com/itachi1706/SingBuses", "show")</f>
        <v>show</v>
      </c>
      <c r="H8198" t="str">
        <f>HYPERLINK("https://github.com/itachi1706/SingBuses/releases", "show")</f>
        <v>show</v>
      </c>
      <c r="I8198">
        <v>1</v>
      </c>
      <c r="J8198">
        <v>0</v>
      </c>
      <c r="K8198">
        <v>0</v>
      </c>
      <c r="L8198">
        <v>0</v>
      </c>
      <c r="M8198" t="s">
        <v>17</v>
      </c>
    </row>
    <row r="8199" spans="1:13" hidden="1" x14ac:dyDescent="0.15">
      <c r="A8199" t="s">
        <v>25701</v>
      </c>
      <c r="B8199" t="s">
        <v>25702</v>
      </c>
      <c r="C8199" t="s">
        <v>25703</v>
      </c>
      <c r="D8199" t="s">
        <v>25704</v>
      </c>
      <c r="E8199">
        <v>208</v>
      </c>
      <c r="F8199" t="str">
        <f>HYPERLINK("https://github.com/ElderDrivers/EdXposed/issues/305", "show")</f>
        <v>show</v>
      </c>
      <c r="G8199" t="str">
        <f>HYPERLINK("https://github.com/ElderDrivers/EdXposed", "show")</f>
        <v>show</v>
      </c>
      <c r="H8199" t="str">
        <f>HYPERLINK("https://github.com/ElderDrivers/EdXposed/releases", "show")</f>
        <v>show</v>
      </c>
      <c r="I8199">
        <v>0</v>
      </c>
      <c r="J8199">
        <v>0</v>
      </c>
      <c r="K8199">
        <v>0</v>
      </c>
      <c r="L8199">
        <v>0</v>
      </c>
      <c r="M8199" t="s">
        <v>43</v>
      </c>
    </row>
    <row r="8200" spans="1:13" hidden="1" x14ac:dyDescent="0.15">
      <c r="A8200" t="s">
        <v>25705</v>
      </c>
      <c r="B8200" t="s">
        <v>25706</v>
      </c>
      <c r="C8200" t="s">
        <v>25707</v>
      </c>
      <c r="D8200" t="s">
        <v>25704</v>
      </c>
      <c r="E8200">
        <v>1</v>
      </c>
      <c r="F8200" t="str">
        <f>HYPERLINK("https://github.com/bravelocation/yeltzland-android/issues/42", "show")</f>
        <v>show</v>
      </c>
      <c r="G8200" t="str">
        <f>HYPERLINK("https://github.com/bravelocation/yeltzland-android", "show")</f>
        <v>show</v>
      </c>
      <c r="H8200" t="str">
        <f>HYPERLINK("https://github.com/bravelocation/yeltzland-android/releases", "show")</f>
        <v>show</v>
      </c>
      <c r="I8200">
        <v>1</v>
      </c>
      <c r="J8200">
        <v>0</v>
      </c>
      <c r="K8200">
        <v>0</v>
      </c>
      <c r="L8200">
        <v>0</v>
      </c>
      <c r="M8200" t="s">
        <v>17</v>
      </c>
    </row>
    <row r="8201" spans="1:13" hidden="1" x14ac:dyDescent="0.15">
      <c r="A8201" t="s">
        <v>25708</v>
      </c>
      <c r="B8201" t="s">
        <v>23270</v>
      </c>
      <c r="C8201" t="s">
        <v>25709</v>
      </c>
      <c r="D8201" t="s">
        <v>25710</v>
      </c>
      <c r="E8201">
        <v>11</v>
      </c>
      <c r="F8201" t="str">
        <f>HYPERLINK("https://github.com/nextcloud/android/issues/4168", "show")</f>
        <v>show</v>
      </c>
      <c r="G8201" t="str">
        <f>HYPERLINK("https://github.com/nextcloud/android", "show")</f>
        <v>show</v>
      </c>
      <c r="H8201" t="str">
        <f>HYPERLINK("https://github.com/nextcloud/android/releases", "show")</f>
        <v>show</v>
      </c>
      <c r="I8201">
        <v>1</v>
      </c>
      <c r="J8201">
        <v>1</v>
      </c>
      <c r="K8201">
        <v>1</v>
      </c>
      <c r="L8201">
        <v>0</v>
      </c>
      <c r="M8201" t="s">
        <v>59</v>
      </c>
    </row>
    <row r="8202" spans="1:13" hidden="1" x14ac:dyDescent="0.15">
      <c r="A8202" t="s">
        <v>25711</v>
      </c>
      <c r="B8202" t="s">
        <v>25712</v>
      </c>
      <c r="C8202" t="s">
        <v>25713</v>
      </c>
      <c r="D8202" t="s">
        <v>25710</v>
      </c>
      <c r="E8202">
        <v>5</v>
      </c>
      <c r="F8202" t="str">
        <f>HYPERLINK("https://github.com/fossasia/pslab-android/issues/1815", "show")</f>
        <v>show</v>
      </c>
      <c r="G8202" t="str">
        <f>HYPERLINK("https://github.com/fossasia/pslab-android", "show")</f>
        <v>show</v>
      </c>
      <c r="H8202" t="str">
        <f>HYPERLINK("https://github.com/fossasia/pslab-android/releases", "show")</f>
        <v>show</v>
      </c>
      <c r="I8202">
        <v>1</v>
      </c>
      <c r="J8202">
        <v>1</v>
      </c>
      <c r="K8202">
        <v>1</v>
      </c>
      <c r="L8202">
        <v>0</v>
      </c>
      <c r="M8202" t="s">
        <v>59</v>
      </c>
    </row>
    <row r="8203" spans="1:13" hidden="1" x14ac:dyDescent="0.15">
      <c r="A8203" t="s">
        <v>25714</v>
      </c>
      <c r="B8203" t="s">
        <v>25715</v>
      </c>
      <c r="C8203" t="s">
        <v>25716</v>
      </c>
      <c r="D8203" t="s">
        <v>25710</v>
      </c>
      <c r="E8203">
        <v>4</v>
      </c>
      <c r="F8203" t="str">
        <f>HYPERLINK("https://github.com/telenordigital/connect-android-sdk/issues/178", "show")</f>
        <v>show</v>
      </c>
      <c r="G8203" t="str">
        <f>HYPERLINK("https://github.com/telenordigital/connect-android-sdk", "show")</f>
        <v>show</v>
      </c>
      <c r="H8203" t="str">
        <f>HYPERLINK("https://github.com/telenordigital/connect-android-sdk/releases", "show")</f>
        <v>show</v>
      </c>
      <c r="I8203">
        <v>1</v>
      </c>
      <c r="J8203">
        <v>0</v>
      </c>
      <c r="K8203">
        <v>0</v>
      </c>
      <c r="L8203">
        <v>0</v>
      </c>
      <c r="M8203" t="s">
        <v>17</v>
      </c>
    </row>
    <row r="8204" spans="1:13" hidden="1" x14ac:dyDescent="0.15">
      <c r="A8204" t="s">
        <v>25717</v>
      </c>
      <c r="B8204" t="s">
        <v>25718</v>
      </c>
      <c r="C8204" t="s">
        <v>25719</v>
      </c>
      <c r="D8204" t="s">
        <v>25720</v>
      </c>
      <c r="E8204">
        <v>1</v>
      </c>
      <c r="F8204" t="str">
        <f>HYPERLINK("https://github.com/projectbuendia/client/issues/319", "show")</f>
        <v>show</v>
      </c>
      <c r="G8204" t="str">
        <f>HYPERLINK("https://github.com/projectbuendia/client", "show")</f>
        <v>show</v>
      </c>
      <c r="H8204" t="str">
        <f>HYPERLINK("https://github.com/projectbuendia/client/releases", "show")</f>
        <v>show</v>
      </c>
      <c r="I8204">
        <v>1</v>
      </c>
      <c r="J8204">
        <v>1</v>
      </c>
      <c r="K8204">
        <v>0</v>
      </c>
      <c r="L8204">
        <v>0</v>
      </c>
      <c r="M8204" t="s">
        <v>48</v>
      </c>
    </row>
    <row r="8205" spans="1:13" hidden="1" x14ac:dyDescent="0.15">
      <c r="A8205" t="s">
        <v>25721</v>
      </c>
      <c r="B8205" t="s">
        <v>25722</v>
      </c>
      <c r="C8205" t="s">
        <v>25723</v>
      </c>
      <c r="D8205" t="s">
        <v>25720</v>
      </c>
      <c r="E8205">
        <v>42</v>
      </c>
      <c r="F8205" t="str">
        <f>HYPERLINK("https://github.com/SkyTubeTeam/SkyTube/issues/446", "show")</f>
        <v>show</v>
      </c>
      <c r="G8205" t="str">
        <f>HYPERLINK("https://github.com/SkyTubeTeam/SkyTube", "show")</f>
        <v>show</v>
      </c>
      <c r="H8205" t="str">
        <f>HYPERLINK("https://github.com/SkyTubeTeam/SkyTube/releases", "show")</f>
        <v>show</v>
      </c>
      <c r="I8205">
        <v>1</v>
      </c>
      <c r="J8205">
        <v>1</v>
      </c>
      <c r="K8205">
        <v>0</v>
      </c>
      <c r="L8205">
        <v>0</v>
      </c>
      <c r="M8205" t="s">
        <v>48</v>
      </c>
    </row>
    <row r="8206" spans="1:13" hidden="1" x14ac:dyDescent="0.15">
      <c r="A8206" t="s">
        <v>25724</v>
      </c>
      <c r="B8206" t="s">
        <v>25725</v>
      </c>
      <c r="D8206" t="s">
        <v>25720</v>
      </c>
      <c r="E8206">
        <v>1</v>
      </c>
      <c r="F8206" t="str">
        <f>HYPERLINK("https://github.com/mjferstl/AppSolution/issues/1", "show")</f>
        <v>show</v>
      </c>
      <c r="G8206" t="str">
        <f>HYPERLINK("https://github.com/mjferstl/AppSolution", "show")</f>
        <v>show</v>
      </c>
      <c r="H8206" t="str">
        <f>HYPERLINK("https://github.com/mjferstl/AppSolution/releases", "show")</f>
        <v>show</v>
      </c>
      <c r="I8206">
        <v>1</v>
      </c>
      <c r="J8206">
        <v>0</v>
      </c>
      <c r="K8206">
        <v>0</v>
      </c>
      <c r="L8206">
        <v>0</v>
      </c>
      <c r="M8206" t="s">
        <v>17</v>
      </c>
    </row>
    <row r="8207" spans="1:13" hidden="1" x14ac:dyDescent="0.15">
      <c r="A8207" t="s">
        <v>25726</v>
      </c>
      <c r="B8207" t="s">
        <v>25727</v>
      </c>
      <c r="C8207" t="s">
        <v>25728</v>
      </c>
      <c r="D8207" t="s">
        <v>25729</v>
      </c>
      <c r="E8207">
        <v>2</v>
      </c>
      <c r="F8207" t="str">
        <f>HYPERLINK("https://github.com/projectbuendia/client/issues/310", "show")</f>
        <v>show</v>
      </c>
      <c r="G8207" t="str">
        <f>HYPERLINK("https://github.com/projectbuendia/client", "show")</f>
        <v>show</v>
      </c>
      <c r="H8207" t="str">
        <f>HYPERLINK("https://github.com/projectbuendia/client/releases", "show")</f>
        <v>show</v>
      </c>
      <c r="I8207">
        <v>1</v>
      </c>
      <c r="J8207">
        <v>0</v>
      </c>
      <c r="K8207">
        <v>0</v>
      </c>
      <c r="L8207">
        <v>0</v>
      </c>
      <c r="M8207" t="s">
        <v>17</v>
      </c>
    </row>
    <row r="8208" spans="1:13" hidden="1" x14ac:dyDescent="0.15">
      <c r="A8208" t="s">
        <v>25730</v>
      </c>
      <c r="B8208" t="s">
        <v>25731</v>
      </c>
      <c r="C8208" t="s">
        <v>25732</v>
      </c>
      <c r="D8208" t="s">
        <v>25729</v>
      </c>
      <c r="E8208">
        <v>1</v>
      </c>
      <c r="F8208" t="str">
        <f>HYPERLINK("https://github.com/projectbuendia/client/issues/305", "show")</f>
        <v>show</v>
      </c>
      <c r="G8208" t="str">
        <f>HYPERLINK("https://github.com/projectbuendia/client", "show")</f>
        <v>show</v>
      </c>
      <c r="H8208" t="str">
        <f>HYPERLINK("https://github.com/projectbuendia/client/releases", "show")</f>
        <v>show</v>
      </c>
      <c r="I8208">
        <v>1</v>
      </c>
      <c r="J8208">
        <v>0</v>
      </c>
      <c r="K8208">
        <v>0</v>
      </c>
      <c r="L8208">
        <v>0</v>
      </c>
      <c r="M8208" t="s">
        <v>17</v>
      </c>
    </row>
    <row r="8209" spans="1:13" hidden="1" x14ac:dyDescent="0.15">
      <c r="A8209" t="s">
        <v>25733</v>
      </c>
      <c r="B8209" t="s">
        <v>25734</v>
      </c>
      <c r="C8209" t="s">
        <v>25735</v>
      </c>
      <c r="D8209" t="s">
        <v>25729</v>
      </c>
      <c r="E8209">
        <v>1</v>
      </c>
      <c r="F8209" t="str">
        <f>HYPERLINK("https://github.com/getsentry/sentry-java/issues/728", "show")</f>
        <v>show</v>
      </c>
      <c r="G8209" t="str">
        <f>HYPERLINK("https://github.com/getsentry/sentry-java", "show")</f>
        <v>show</v>
      </c>
      <c r="H8209" t="str">
        <f>HYPERLINK("https://github.com/getsentry/sentry-java/releases", "show")</f>
        <v>show</v>
      </c>
      <c r="I8209">
        <v>1</v>
      </c>
      <c r="J8209">
        <v>0</v>
      </c>
      <c r="K8209">
        <v>0</v>
      </c>
      <c r="L8209">
        <v>0</v>
      </c>
      <c r="M8209" t="s">
        <v>17</v>
      </c>
    </row>
    <row r="8210" spans="1:13" hidden="1" x14ac:dyDescent="0.15">
      <c r="A8210" t="s">
        <v>25736</v>
      </c>
      <c r="B8210" t="s">
        <v>25737</v>
      </c>
      <c r="C8210" t="s">
        <v>25738</v>
      </c>
      <c r="D8210" t="s">
        <v>25739</v>
      </c>
      <c r="E8210">
        <v>33</v>
      </c>
      <c r="F8210" t="str">
        <f>HYPERLINK("https://github.com/renyuneyun/Easer/issues/228", "show")</f>
        <v>show</v>
      </c>
      <c r="G8210" t="str">
        <f>HYPERLINK("https://github.com/renyuneyun/Easer", "show")</f>
        <v>show</v>
      </c>
      <c r="H8210" t="str">
        <f>HYPERLINK("https://github.com/renyuneyun/Easer/releases", "show")</f>
        <v>show</v>
      </c>
      <c r="I8210">
        <v>1</v>
      </c>
      <c r="J8210">
        <v>1</v>
      </c>
      <c r="K8210">
        <v>0</v>
      </c>
      <c r="L8210">
        <v>0</v>
      </c>
      <c r="M8210" t="s">
        <v>48</v>
      </c>
    </row>
    <row r="8211" spans="1:13" hidden="1" x14ac:dyDescent="0.15">
      <c r="A8211" t="s">
        <v>25740</v>
      </c>
      <c r="B8211" t="s">
        <v>25741</v>
      </c>
      <c r="C8211" t="s">
        <v>25742</v>
      </c>
      <c r="D8211" t="s">
        <v>25739</v>
      </c>
      <c r="E8211">
        <v>6</v>
      </c>
      <c r="F8211" t="str">
        <f>HYPERLINK("https://github.com/miguelpruivo/flutter_file_picker/issues/97", "show")</f>
        <v>show</v>
      </c>
      <c r="G8211" t="str">
        <f>HYPERLINK("https://github.com/miguelpruivo/flutter_file_picker", "show")</f>
        <v>show</v>
      </c>
      <c r="H8211" t="str">
        <f>HYPERLINK("https://github.com/miguelpruivo/flutter_file_picker/releases", "show")</f>
        <v>show</v>
      </c>
      <c r="I8211">
        <v>1</v>
      </c>
      <c r="J8211">
        <v>0</v>
      </c>
      <c r="K8211">
        <v>1</v>
      </c>
      <c r="L8211">
        <v>0</v>
      </c>
      <c r="M8211" t="s">
        <v>64</v>
      </c>
    </row>
    <row r="8212" spans="1:13" hidden="1" x14ac:dyDescent="0.15">
      <c r="A8212" t="s">
        <v>25743</v>
      </c>
      <c r="B8212" t="s">
        <v>25744</v>
      </c>
      <c r="C8212" t="s">
        <v>25745</v>
      </c>
      <c r="D8212" t="s">
        <v>25739</v>
      </c>
      <c r="E8212">
        <v>28</v>
      </c>
      <c r="F8212" t="str">
        <f>HYPERLINK("https://github.com/square/okhttp/issues/5198", "show")</f>
        <v>show</v>
      </c>
      <c r="G8212" t="str">
        <f>HYPERLINK("https://github.com/square/okhttp", "show")</f>
        <v>show</v>
      </c>
      <c r="H8212" t="str">
        <f>HYPERLINK("https://github.com/square/okhttp/releases", "show")</f>
        <v>show</v>
      </c>
      <c r="I8212">
        <v>0</v>
      </c>
      <c r="J8212">
        <v>0</v>
      </c>
      <c r="K8212">
        <v>0</v>
      </c>
      <c r="L8212">
        <v>0</v>
      </c>
      <c r="M8212" t="s">
        <v>43</v>
      </c>
    </row>
    <row r="8213" spans="1:13" hidden="1" x14ac:dyDescent="0.15">
      <c r="A8213" t="s">
        <v>25746</v>
      </c>
      <c r="B8213" t="s">
        <v>25747</v>
      </c>
      <c r="C8213" t="s">
        <v>504</v>
      </c>
      <c r="D8213" t="s">
        <v>25739</v>
      </c>
      <c r="E8213">
        <v>0</v>
      </c>
      <c r="F8213" t="str">
        <f>HYPERLINK("https://github.com/itachi1706/SingBuses/issues/170", "show")</f>
        <v>show</v>
      </c>
      <c r="G8213" t="str">
        <f>HYPERLINK("https://github.com/itachi1706/SingBuses", "show")</f>
        <v>show</v>
      </c>
      <c r="H8213" t="str">
        <f>HYPERLINK("https://github.com/itachi1706/SingBuses/releases", "show")</f>
        <v>show</v>
      </c>
      <c r="I8213">
        <v>1</v>
      </c>
      <c r="J8213">
        <v>0</v>
      </c>
      <c r="K8213">
        <v>0</v>
      </c>
      <c r="L8213">
        <v>0</v>
      </c>
      <c r="M8213" t="s">
        <v>17</v>
      </c>
    </row>
    <row r="8214" spans="1:13" hidden="1" x14ac:dyDescent="0.15">
      <c r="A8214" t="s">
        <v>25748</v>
      </c>
      <c r="B8214" t="s">
        <v>25749</v>
      </c>
      <c r="D8214" t="s">
        <v>25739</v>
      </c>
      <c r="E8214">
        <v>2</v>
      </c>
      <c r="F8214" t="str">
        <f>HYPERLINK("https://github.com/TSO68/ProjetCCI/issues/2", "show")</f>
        <v>show</v>
      </c>
      <c r="G8214" t="str">
        <f>HYPERLINK("https://github.com/TSO68/ProjetCCI", "show")</f>
        <v>show</v>
      </c>
      <c r="H8214" t="str">
        <f>HYPERLINK("https://github.com/TSO68/ProjetCCI/releases", "show")</f>
        <v>show</v>
      </c>
      <c r="I8214">
        <v>1</v>
      </c>
      <c r="J8214">
        <v>0</v>
      </c>
      <c r="K8214">
        <v>1</v>
      </c>
      <c r="L8214">
        <v>0</v>
      </c>
      <c r="M8214" t="s">
        <v>64</v>
      </c>
    </row>
    <row r="8215" spans="1:13" hidden="1" x14ac:dyDescent="0.15">
      <c r="A8215" t="s">
        <v>25750</v>
      </c>
      <c r="B8215" t="s">
        <v>25751</v>
      </c>
      <c r="C8215" t="s">
        <v>25752</v>
      </c>
      <c r="D8215" t="s">
        <v>25739</v>
      </c>
      <c r="E8215">
        <v>37</v>
      </c>
      <c r="F8215" t="str">
        <f>HYPERLINK("https://github.com/bitstadium/HockeySDK-Android/issues/429", "show")</f>
        <v>show</v>
      </c>
      <c r="G8215" t="str">
        <f>HYPERLINK("https://github.com/bitstadium/HockeySDK-Android", "show")</f>
        <v>show</v>
      </c>
      <c r="H8215" t="str">
        <f>HYPERLINK("https://github.com/bitstadium/HockeySDK-Android/releases", "show")</f>
        <v>show</v>
      </c>
      <c r="I8215">
        <v>1</v>
      </c>
      <c r="J8215">
        <v>0</v>
      </c>
      <c r="K8215">
        <v>1</v>
      </c>
      <c r="L8215">
        <v>0</v>
      </c>
      <c r="M8215" t="s">
        <v>64</v>
      </c>
    </row>
    <row r="8216" spans="1:13" hidden="1" x14ac:dyDescent="0.15">
      <c r="A8216" t="s">
        <v>25753</v>
      </c>
      <c r="B8216" t="s">
        <v>25754</v>
      </c>
      <c r="C8216" t="s">
        <v>25755</v>
      </c>
      <c r="D8216" t="s">
        <v>25739</v>
      </c>
      <c r="E8216">
        <v>69</v>
      </c>
      <c r="F8216" t="str">
        <f>HYPERLINK("https://github.com/tinode/tindroid/issues/39", "show")</f>
        <v>show</v>
      </c>
      <c r="G8216" t="str">
        <f>HYPERLINK("https://github.com/tinode/tindroid", "show")</f>
        <v>show</v>
      </c>
      <c r="H8216" t="str">
        <f>HYPERLINK("https://github.com/tinode/tindroid/releases", "show")</f>
        <v>show</v>
      </c>
      <c r="I8216">
        <v>0</v>
      </c>
      <c r="J8216">
        <v>1</v>
      </c>
      <c r="K8216">
        <v>1</v>
      </c>
      <c r="L8216">
        <v>0</v>
      </c>
      <c r="M8216" t="s">
        <v>699</v>
      </c>
    </row>
    <row r="8217" spans="1:13" hidden="1" x14ac:dyDescent="0.15">
      <c r="A8217" t="s">
        <v>25756</v>
      </c>
      <c r="B8217" t="s">
        <v>25757</v>
      </c>
      <c r="C8217" t="s">
        <v>25758</v>
      </c>
      <c r="D8217" t="s">
        <v>25739</v>
      </c>
      <c r="E8217">
        <v>0</v>
      </c>
      <c r="F8217" t="str">
        <f>HYPERLINK("https://github.com/jMonkeyEngine/jmonkeyengine/issues/1126", "show")</f>
        <v>show</v>
      </c>
      <c r="G8217" t="str">
        <f>HYPERLINK("https://github.com/jMonkeyEngine/jmonkeyengine", "show")</f>
        <v>show</v>
      </c>
      <c r="H8217" t="str">
        <f>HYPERLINK("https://github.com/jMonkeyEngine/jmonkeyengine/releases", "show")</f>
        <v>show</v>
      </c>
      <c r="I8217">
        <v>1</v>
      </c>
      <c r="J8217">
        <v>0</v>
      </c>
      <c r="K8217">
        <v>0</v>
      </c>
      <c r="L8217">
        <v>0</v>
      </c>
      <c r="M8217" t="s">
        <v>17</v>
      </c>
    </row>
    <row r="8218" spans="1:13" hidden="1" x14ac:dyDescent="0.15">
      <c r="A8218" t="s">
        <v>25759</v>
      </c>
      <c r="B8218" t="s">
        <v>25760</v>
      </c>
      <c r="C8218" t="s">
        <v>25761</v>
      </c>
      <c r="D8218" t="s">
        <v>25762</v>
      </c>
      <c r="E8218">
        <v>315</v>
      </c>
      <c r="F8218" t="str">
        <f>HYPERLINK("https://github.com/TeamNewPipe/NewPipe/issues/2406", "show")</f>
        <v>show</v>
      </c>
      <c r="G8218" t="str">
        <f>HYPERLINK("https://github.com/TeamNewPipe/NewPipe", "show")</f>
        <v>show</v>
      </c>
      <c r="H8218" t="str">
        <f>HYPERLINK("https://github.com/TeamNewPipe/NewPipe/releases", "show")</f>
        <v>show</v>
      </c>
      <c r="I8218">
        <v>1</v>
      </c>
      <c r="J8218">
        <v>1</v>
      </c>
      <c r="K8218">
        <v>0</v>
      </c>
      <c r="L8218">
        <v>1</v>
      </c>
      <c r="M8218" t="s">
        <v>1894</v>
      </c>
    </row>
    <row r="8219" spans="1:13" hidden="1" x14ac:dyDescent="0.15">
      <c r="A8219" t="s">
        <v>25763</v>
      </c>
      <c r="B8219" t="s">
        <v>25764</v>
      </c>
      <c r="C8219" t="s">
        <v>25765</v>
      </c>
      <c r="D8219" t="s">
        <v>25766</v>
      </c>
      <c r="E8219">
        <v>0</v>
      </c>
      <c r="F8219" t="str">
        <f>HYPERLINK("https://github.com/kontalk/androidclient/issues/1262", "show")</f>
        <v>show</v>
      </c>
      <c r="G8219" t="str">
        <f>HYPERLINK("https://github.com/kontalk/androidclient", "show")</f>
        <v>show</v>
      </c>
      <c r="H8219" t="str">
        <f>HYPERLINK("https://github.com/kontalk/androidclient/releases", "show")</f>
        <v>show</v>
      </c>
      <c r="I8219">
        <v>1</v>
      </c>
      <c r="J8219">
        <v>0</v>
      </c>
      <c r="K8219">
        <v>0</v>
      </c>
      <c r="L8219">
        <v>0</v>
      </c>
      <c r="M8219" t="s">
        <v>17</v>
      </c>
    </row>
    <row r="8220" spans="1:13" hidden="1" x14ac:dyDescent="0.15">
      <c r="A8220" t="s">
        <v>25767</v>
      </c>
      <c r="B8220" t="s">
        <v>25768</v>
      </c>
      <c r="C8220" t="s">
        <v>25769</v>
      </c>
      <c r="D8220" t="s">
        <v>25770</v>
      </c>
      <c r="E8220">
        <v>32</v>
      </c>
      <c r="F8220" t="str">
        <f>HYPERLINK("https://github.com/libgdx/gdx-pay/issues/198", "show")</f>
        <v>show</v>
      </c>
      <c r="G8220" t="str">
        <f>HYPERLINK("https://github.com/libgdx/gdx-pay", "show")</f>
        <v>show</v>
      </c>
      <c r="H8220" t="str">
        <f>HYPERLINK("https://github.com/libgdx/gdx-pay/releases", "show")</f>
        <v>show</v>
      </c>
      <c r="I8220">
        <v>1</v>
      </c>
      <c r="J8220">
        <v>0</v>
      </c>
      <c r="K8220">
        <v>0</v>
      </c>
      <c r="L8220">
        <v>0</v>
      </c>
      <c r="M8220" t="s">
        <v>17</v>
      </c>
    </row>
    <row r="8221" spans="1:13" hidden="1" x14ac:dyDescent="0.15">
      <c r="A8221" t="s">
        <v>25771</v>
      </c>
      <c r="B8221" t="s">
        <v>25772</v>
      </c>
      <c r="C8221" t="s">
        <v>25773</v>
      </c>
      <c r="D8221" t="s">
        <v>25774</v>
      </c>
      <c r="E8221">
        <v>6</v>
      </c>
      <c r="F8221" t="str">
        <f>HYPERLINK("https://github.com/nextcloud/android/issues/4150", "show")</f>
        <v>show</v>
      </c>
      <c r="G8221" t="str">
        <f>HYPERLINK("https://github.com/nextcloud/android", "show")</f>
        <v>show</v>
      </c>
      <c r="H8221" t="str">
        <f>HYPERLINK("https://github.com/nextcloud/android/releases", "show")</f>
        <v>show</v>
      </c>
      <c r="I8221">
        <v>1</v>
      </c>
      <c r="J8221">
        <v>0</v>
      </c>
      <c r="K8221">
        <v>1</v>
      </c>
      <c r="L8221">
        <v>0</v>
      </c>
      <c r="M8221" t="s">
        <v>64</v>
      </c>
    </row>
    <row r="8222" spans="1:13" hidden="1" x14ac:dyDescent="0.15">
      <c r="A8222" t="s">
        <v>25775</v>
      </c>
      <c r="B8222" t="s">
        <v>25776</v>
      </c>
      <c r="C8222" t="s">
        <v>25777</v>
      </c>
      <c r="D8222" t="s">
        <v>25778</v>
      </c>
      <c r="E8222">
        <v>295</v>
      </c>
      <c r="F8222" t="str">
        <f>HYPERLINK("https://github.com/aws-amplify/aws-sdk-android/issues/1018", "show")</f>
        <v>show</v>
      </c>
      <c r="G8222" t="str">
        <f>HYPERLINK("https://github.com/aws-amplify/aws-sdk-android", "show")</f>
        <v>show</v>
      </c>
      <c r="H8222" t="str">
        <f>HYPERLINK("https://github.com/aws-amplify/aws-sdk-android/releases", "show")</f>
        <v>show</v>
      </c>
      <c r="I8222">
        <v>1</v>
      </c>
      <c r="J8222">
        <v>0</v>
      </c>
      <c r="K8222">
        <v>1</v>
      </c>
      <c r="L8222">
        <v>0</v>
      </c>
      <c r="M8222" t="s">
        <v>64</v>
      </c>
    </row>
    <row r="8223" spans="1:13" hidden="1" x14ac:dyDescent="0.15">
      <c r="A8223" t="s">
        <v>25779</v>
      </c>
      <c r="B8223" t="s">
        <v>25780</v>
      </c>
      <c r="C8223" t="s">
        <v>25781</v>
      </c>
      <c r="D8223" t="s">
        <v>25778</v>
      </c>
      <c r="E8223">
        <v>80</v>
      </c>
      <c r="F8223" t="str">
        <f>HYPERLINK("https://github.com/fabienli/DokuwikiAndroid/issues/2", "show")</f>
        <v>show</v>
      </c>
      <c r="G8223" t="str">
        <f>HYPERLINK("https://github.com/fabienli/DokuwikiAndroid", "show")</f>
        <v>show</v>
      </c>
      <c r="H8223" t="str">
        <f>HYPERLINK("https://github.com/fabienli/DokuwikiAndroid/releases", "show")</f>
        <v>show</v>
      </c>
      <c r="I8223">
        <v>1</v>
      </c>
      <c r="J8223">
        <v>0</v>
      </c>
      <c r="K8223">
        <v>0</v>
      </c>
      <c r="L8223">
        <v>0</v>
      </c>
      <c r="M8223" t="s">
        <v>17</v>
      </c>
    </row>
    <row r="8224" spans="1:13" hidden="1" x14ac:dyDescent="0.15">
      <c r="A8224" t="s">
        <v>25782</v>
      </c>
      <c r="B8224" t="s">
        <v>25783</v>
      </c>
      <c r="C8224" t="s">
        <v>25784</v>
      </c>
      <c r="D8224" t="s">
        <v>25778</v>
      </c>
      <c r="E8224">
        <v>12</v>
      </c>
      <c r="F8224" t="str">
        <f>HYPERLINK("https://github.com/telenordigital/connect-android-sdk/issues/177", "show")</f>
        <v>show</v>
      </c>
      <c r="G8224" t="str">
        <f>HYPERLINK("https://github.com/telenordigital/connect-android-sdk", "show")</f>
        <v>show</v>
      </c>
      <c r="H8224" t="str">
        <f>HYPERLINK("https://github.com/telenordigital/connect-android-sdk/releases", "show")</f>
        <v>show</v>
      </c>
      <c r="I8224">
        <v>0</v>
      </c>
      <c r="J8224">
        <v>0</v>
      </c>
      <c r="K8224">
        <v>0</v>
      </c>
      <c r="L8224">
        <v>0</v>
      </c>
      <c r="M8224" t="s">
        <v>43</v>
      </c>
    </row>
    <row r="8225" spans="1:13" hidden="1" x14ac:dyDescent="0.15">
      <c r="A8225" t="s">
        <v>25785</v>
      </c>
      <c r="B8225" t="s">
        <v>25786</v>
      </c>
      <c r="C8225" t="s">
        <v>25787</v>
      </c>
      <c r="D8225" t="s">
        <v>25788</v>
      </c>
      <c r="E8225">
        <v>31</v>
      </c>
      <c r="F8225" t="str">
        <f>HYPERLINK("https://github.com/iyegoroff/react-native-image-filter-kit/issues/18", "show")</f>
        <v>show</v>
      </c>
      <c r="G8225" t="str">
        <f>HYPERLINK("https://github.com/iyegoroff/react-native-image-filter-kit", "show")</f>
        <v>show</v>
      </c>
      <c r="H8225" t="str">
        <f>HYPERLINK("https://github.com/iyegoroff/react-native-image-filter-kit/releases", "show")</f>
        <v>show</v>
      </c>
      <c r="I8225">
        <v>1</v>
      </c>
      <c r="J8225">
        <v>0</v>
      </c>
      <c r="K8225">
        <v>0</v>
      </c>
      <c r="L8225">
        <v>0</v>
      </c>
      <c r="M8225" t="s">
        <v>17</v>
      </c>
    </row>
    <row r="8226" spans="1:13" hidden="1" x14ac:dyDescent="0.15">
      <c r="A8226" t="s">
        <v>25789</v>
      </c>
      <c r="B8226" t="s">
        <v>25790</v>
      </c>
      <c r="C8226" t="s">
        <v>25791</v>
      </c>
      <c r="D8226" t="s">
        <v>25788</v>
      </c>
      <c r="E8226">
        <v>0</v>
      </c>
      <c r="F8226" t="str">
        <f>HYPERLINK("https://github.com/MozillaReality/FirefoxReality/issues/1315", "show")</f>
        <v>show</v>
      </c>
      <c r="G8226" t="str">
        <f>HYPERLINK("https://github.com/MozillaReality/FirefoxReality", "show")</f>
        <v>show</v>
      </c>
      <c r="H8226" t="str">
        <f>HYPERLINK("https://github.com/MozillaReality/FirefoxReality/releases", "show")</f>
        <v>show</v>
      </c>
      <c r="I8226">
        <v>0</v>
      </c>
      <c r="J8226">
        <v>0</v>
      </c>
      <c r="K8226">
        <v>0</v>
      </c>
      <c r="L8226">
        <v>0</v>
      </c>
      <c r="M8226" t="s">
        <v>43</v>
      </c>
    </row>
    <row r="8227" spans="1:13" hidden="1" x14ac:dyDescent="0.15">
      <c r="A8227" t="s">
        <v>25792</v>
      </c>
      <c r="B8227" t="s">
        <v>25793</v>
      </c>
      <c r="C8227" t="s">
        <v>25794</v>
      </c>
      <c r="D8227" t="s">
        <v>25788</v>
      </c>
      <c r="E8227">
        <v>6</v>
      </c>
      <c r="F8227" t="str">
        <f>HYPERLINK("https://github.com/nikita36078/J2ME-Loader/issues/535", "show")</f>
        <v>show</v>
      </c>
      <c r="G8227" t="str">
        <f>HYPERLINK("https://github.com/nikita36078/J2ME-Loader", "show")</f>
        <v>show</v>
      </c>
      <c r="H8227" t="str">
        <f>HYPERLINK("https://github.com/nikita36078/J2ME-Loader/releases", "show")</f>
        <v>show</v>
      </c>
      <c r="I8227">
        <v>1</v>
      </c>
      <c r="J8227">
        <v>0</v>
      </c>
      <c r="K8227">
        <v>0</v>
      </c>
      <c r="L8227">
        <v>1</v>
      </c>
      <c r="M8227" t="s">
        <v>29</v>
      </c>
    </row>
    <row r="8228" spans="1:13" hidden="1" x14ac:dyDescent="0.15">
      <c r="A8228" t="s">
        <v>25795</v>
      </c>
      <c r="B8228" t="s">
        <v>25796</v>
      </c>
      <c r="C8228" t="s">
        <v>25797</v>
      </c>
      <c r="D8228" t="s">
        <v>25788</v>
      </c>
      <c r="E8228">
        <v>67</v>
      </c>
      <c r="F8228" t="str">
        <f>HYPERLINK("https://github.com/react-native-share/react-native-share/issues/522", "show")</f>
        <v>show</v>
      </c>
      <c r="G8228" t="str">
        <f>HYPERLINK("https://github.com/react-native-share/react-native-share", "show")</f>
        <v>show</v>
      </c>
      <c r="H8228" t="str">
        <f>HYPERLINK("https://github.com/react-native-share/react-native-share/releases", "show")</f>
        <v>show</v>
      </c>
      <c r="I8228">
        <v>1</v>
      </c>
      <c r="J8228">
        <v>1</v>
      </c>
      <c r="K8228">
        <v>1</v>
      </c>
      <c r="L8228">
        <v>0</v>
      </c>
      <c r="M8228" t="s">
        <v>59</v>
      </c>
    </row>
    <row r="8229" spans="1:13" hidden="1" x14ac:dyDescent="0.15">
      <c r="A8229" t="s">
        <v>25798</v>
      </c>
      <c r="B8229" t="s">
        <v>25799</v>
      </c>
      <c r="C8229" t="s">
        <v>25800</v>
      </c>
      <c r="D8229" t="s">
        <v>25788</v>
      </c>
      <c r="E8229">
        <v>0</v>
      </c>
      <c r="F8229" t="str">
        <f>HYPERLINK("https://github.com/sw19-tug/morning11/issues/61", "show")</f>
        <v>show</v>
      </c>
      <c r="G8229" t="str">
        <f>HYPERLINK("https://github.com/sw19-tug/morning11", "show")</f>
        <v>show</v>
      </c>
      <c r="H8229" t="str">
        <f>HYPERLINK("https://github.com/sw19-tug/morning11/releases", "show")</f>
        <v>show</v>
      </c>
      <c r="I8229">
        <v>1</v>
      </c>
      <c r="J8229">
        <v>0</v>
      </c>
      <c r="K8229">
        <v>0</v>
      </c>
      <c r="L8229">
        <v>1</v>
      </c>
      <c r="M8229" t="s">
        <v>29</v>
      </c>
    </row>
    <row r="8230" spans="1:13" hidden="1" x14ac:dyDescent="0.15">
      <c r="A8230" t="s">
        <v>25801</v>
      </c>
      <c r="B8230" t="s">
        <v>25802</v>
      </c>
      <c r="C8230" t="s">
        <v>25803</v>
      </c>
      <c r="D8230" t="s">
        <v>25788</v>
      </c>
      <c r="E8230">
        <v>7</v>
      </c>
      <c r="F8230" t="str">
        <f>HYPERLINK("https://github.com/LawnchairLauncher/lawnchair/issues/1584", "show")</f>
        <v>show</v>
      </c>
      <c r="G8230" t="str">
        <f>HYPERLINK("https://github.com/LawnchairLauncher/lawnchair", "show")</f>
        <v>show</v>
      </c>
      <c r="H8230" t="str">
        <f>HYPERLINK("https://github.com/LawnchairLauncher/lawnchair/releases", "show")</f>
        <v>show</v>
      </c>
      <c r="I8230">
        <v>1</v>
      </c>
      <c r="J8230">
        <v>0</v>
      </c>
      <c r="K8230">
        <v>0</v>
      </c>
      <c r="L8230">
        <v>0</v>
      </c>
      <c r="M8230" t="s">
        <v>17</v>
      </c>
    </row>
    <row r="8231" spans="1:13" hidden="1" x14ac:dyDescent="0.15">
      <c r="A8231" t="s">
        <v>25804</v>
      </c>
      <c r="B8231" t="s">
        <v>25805</v>
      </c>
      <c r="C8231" t="s">
        <v>25806</v>
      </c>
      <c r="D8231" t="s">
        <v>25807</v>
      </c>
      <c r="E8231">
        <v>1</v>
      </c>
      <c r="F8231" t="str">
        <f>HYPERLINK("https://github.com/AEFeinstein/mtg-familiar/issues/469", "show")</f>
        <v>show</v>
      </c>
      <c r="G8231" t="str">
        <f>HYPERLINK("https://github.com/AEFeinstein/mtg-familiar", "show")</f>
        <v>show</v>
      </c>
      <c r="H8231" t="str">
        <f>HYPERLINK("https://github.com/AEFeinstein/mtg-familiar/releases", "show")</f>
        <v>show</v>
      </c>
      <c r="I8231">
        <v>1</v>
      </c>
      <c r="J8231">
        <v>0</v>
      </c>
      <c r="K8231">
        <v>0</v>
      </c>
      <c r="L8231">
        <v>0</v>
      </c>
      <c r="M8231" t="s">
        <v>17</v>
      </c>
    </row>
    <row r="8232" spans="1:13" hidden="1" x14ac:dyDescent="0.15">
      <c r="A8232" t="s">
        <v>25808</v>
      </c>
      <c r="B8232" t="s">
        <v>25809</v>
      </c>
      <c r="C8232" t="s">
        <v>25810</v>
      </c>
      <c r="D8232" t="s">
        <v>25807</v>
      </c>
      <c r="E8232">
        <v>0</v>
      </c>
      <c r="F8232" t="str">
        <f>HYPERLINK("https://github.com/Hitchwiki/MyHitchhikingSpots-for-Android/issues/77", "show")</f>
        <v>show</v>
      </c>
      <c r="G8232" t="str">
        <f>HYPERLINK("https://github.com/Hitchwiki/MyHitchhikingSpots-for-Android", "show")</f>
        <v>show</v>
      </c>
      <c r="H8232" t="str">
        <f>HYPERLINK("https://github.com/Hitchwiki/MyHitchhikingSpots-for-Android/releases", "show")</f>
        <v>show</v>
      </c>
      <c r="I8232">
        <v>1</v>
      </c>
      <c r="J8232">
        <v>0</v>
      </c>
      <c r="K8232">
        <v>1</v>
      </c>
      <c r="L8232">
        <v>0</v>
      </c>
      <c r="M8232" t="s">
        <v>64</v>
      </c>
    </row>
    <row r="8233" spans="1:13" hidden="1" x14ac:dyDescent="0.15">
      <c r="A8233" t="s">
        <v>25811</v>
      </c>
      <c r="B8233" t="s">
        <v>25812</v>
      </c>
      <c r="C8233" t="s">
        <v>25813</v>
      </c>
      <c r="D8233" t="s">
        <v>25814</v>
      </c>
      <c r="E8233">
        <v>3</v>
      </c>
      <c r="F8233" t="str">
        <f>HYPERLINK("https://github.com/ThomasGaubert/zephyr/issues/58", "show")</f>
        <v>show</v>
      </c>
      <c r="G8233" t="str">
        <f>HYPERLINK("https://github.com/ThomasGaubert/zephyr", "show")</f>
        <v>show</v>
      </c>
      <c r="H8233" t="str">
        <f>HYPERLINK("https://github.com/ThomasGaubert/zephyr/releases", "show")</f>
        <v>show</v>
      </c>
      <c r="I8233">
        <v>1</v>
      </c>
      <c r="J8233">
        <v>0</v>
      </c>
      <c r="K8233">
        <v>0</v>
      </c>
      <c r="L8233">
        <v>0</v>
      </c>
      <c r="M8233" t="s">
        <v>17</v>
      </c>
    </row>
    <row r="8234" spans="1:13" hidden="1" x14ac:dyDescent="0.15">
      <c r="A8234" t="s">
        <v>25815</v>
      </c>
      <c r="B8234" t="s">
        <v>25816</v>
      </c>
      <c r="C8234" t="s">
        <v>25817</v>
      </c>
      <c r="D8234" t="s">
        <v>25814</v>
      </c>
      <c r="E8234">
        <v>4</v>
      </c>
      <c r="F8234" t="str">
        <f>HYPERLINK("https://github.com/fossasia/pslab-android/issues/1783", "show")</f>
        <v>show</v>
      </c>
      <c r="G8234" t="str">
        <f>HYPERLINK("https://github.com/fossasia/pslab-android", "show")</f>
        <v>show</v>
      </c>
      <c r="H8234" t="str">
        <f>HYPERLINK("https://github.com/fossasia/pslab-android/releases", "show")</f>
        <v>show</v>
      </c>
      <c r="I8234">
        <v>1</v>
      </c>
      <c r="J8234">
        <v>0</v>
      </c>
      <c r="K8234">
        <v>0</v>
      </c>
      <c r="L8234">
        <v>0</v>
      </c>
      <c r="M8234" t="s">
        <v>17</v>
      </c>
    </row>
    <row r="8235" spans="1:13" hidden="1" x14ac:dyDescent="0.15">
      <c r="A8235" t="s">
        <v>25818</v>
      </c>
      <c r="B8235" t="s">
        <v>25819</v>
      </c>
      <c r="C8235" t="s">
        <v>25820</v>
      </c>
      <c r="D8235" t="s">
        <v>25821</v>
      </c>
      <c r="E8235">
        <v>0</v>
      </c>
      <c r="F8235" t="str">
        <f>HYPERLINK("https://github.com/wiglenet/wigle-wifi-wardriving/issues/346", "show")</f>
        <v>show</v>
      </c>
      <c r="G8235" t="str">
        <f>HYPERLINK("https://github.com/wiglenet/wigle-wifi-wardriving", "show")</f>
        <v>show</v>
      </c>
      <c r="H8235" t="str">
        <f>HYPERLINK("https://github.com/wiglenet/wigle-wifi-wardriving/releases", "show")</f>
        <v>show</v>
      </c>
      <c r="I8235">
        <v>0</v>
      </c>
      <c r="J8235">
        <v>0</v>
      </c>
      <c r="K8235">
        <v>0</v>
      </c>
      <c r="L8235">
        <v>0</v>
      </c>
      <c r="M8235" t="s">
        <v>43</v>
      </c>
    </row>
    <row r="8236" spans="1:13" hidden="1" x14ac:dyDescent="0.15">
      <c r="A8236" t="s">
        <v>25822</v>
      </c>
      <c r="B8236" t="s">
        <v>25823</v>
      </c>
      <c r="C8236" t="s">
        <v>25824</v>
      </c>
      <c r="D8236" t="s">
        <v>25821</v>
      </c>
      <c r="E8236">
        <v>3</v>
      </c>
      <c r="F8236" t="str">
        <f>HYPERLINK("https://github.com/cgeo/cgeo/issues/7668", "show")</f>
        <v>show</v>
      </c>
      <c r="G8236" t="str">
        <f>HYPERLINK("https://github.com/cgeo/cgeo", "show")</f>
        <v>show</v>
      </c>
      <c r="H8236" t="str">
        <f>HYPERLINK("https://github.com/cgeo/cgeo/releases", "show")</f>
        <v>show</v>
      </c>
      <c r="I8236">
        <v>0</v>
      </c>
      <c r="J8236">
        <v>0</v>
      </c>
      <c r="K8236">
        <v>1</v>
      </c>
      <c r="L8236">
        <v>1</v>
      </c>
      <c r="M8236" t="s">
        <v>351</v>
      </c>
    </row>
    <row r="8237" spans="1:13" hidden="1" x14ac:dyDescent="0.15">
      <c r="A8237" t="s">
        <v>25825</v>
      </c>
      <c r="B8237" t="s">
        <v>25826</v>
      </c>
      <c r="C8237" t="s">
        <v>25827</v>
      </c>
      <c r="D8237" t="s">
        <v>25828</v>
      </c>
      <c r="E8237">
        <v>131</v>
      </c>
      <c r="F8237" t="str">
        <f>HYPERLINK("https://github.com/fennifith/Alarmio/issues/47", "show")</f>
        <v>show</v>
      </c>
      <c r="G8237" t="str">
        <f>HYPERLINK("https://github.com/fennifith/Alarmio", "show")</f>
        <v>show</v>
      </c>
      <c r="H8237" t="str">
        <f>HYPERLINK("https://github.com/fennifith/Alarmio/releases", "show")</f>
        <v>show</v>
      </c>
      <c r="I8237">
        <v>1</v>
      </c>
      <c r="J8237">
        <v>1</v>
      </c>
      <c r="K8237">
        <v>1</v>
      </c>
      <c r="L8237">
        <v>1</v>
      </c>
      <c r="M8237" t="s">
        <v>2875</v>
      </c>
    </row>
    <row r="8238" spans="1:13" hidden="1" x14ac:dyDescent="0.15">
      <c r="A8238" t="s">
        <v>25829</v>
      </c>
      <c r="B8238" t="s">
        <v>25830</v>
      </c>
      <c r="C8238" t="s">
        <v>25831</v>
      </c>
      <c r="D8238" t="s">
        <v>25828</v>
      </c>
      <c r="E8238">
        <v>12</v>
      </c>
      <c r="F8238" t="str">
        <f>HYPERLINK("https://github.com/nextcloud/android/issues/4129", "show")</f>
        <v>show</v>
      </c>
      <c r="G8238" t="str">
        <f>HYPERLINK("https://github.com/nextcloud/android", "show")</f>
        <v>show</v>
      </c>
      <c r="H8238" t="str">
        <f>HYPERLINK("https://github.com/nextcloud/android/releases", "show")</f>
        <v>show</v>
      </c>
      <c r="I8238">
        <v>1</v>
      </c>
      <c r="J8238">
        <v>1</v>
      </c>
      <c r="K8238">
        <v>0</v>
      </c>
      <c r="L8238">
        <v>0</v>
      </c>
      <c r="M8238" t="s">
        <v>48</v>
      </c>
    </row>
    <row r="8239" spans="1:13" hidden="1" x14ac:dyDescent="0.15">
      <c r="A8239" t="s">
        <v>25832</v>
      </c>
      <c r="B8239" t="s">
        <v>25833</v>
      </c>
      <c r="C8239" t="s">
        <v>25834</v>
      </c>
      <c r="D8239" t="s">
        <v>25828</v>
      </c>
      <c r="E8239">
        <v>0</v>
      </c>
      <c r="F8239" t="str">
        <f>HYPERLINK("https://github.com/fossasia/pslab-android/issues/1779", "show")</f>
        <v>show</v>
      </c>
      <c r="G8239" t="str">
        <f>HYPERLINK("https://github.com/fossasia/pslab-android", "show")</f>
        <v>show</v>
      </c>
      <c r="H8239" t="str">
        <f>HYPERLINK("https://github.com/fossasia/pslab-android/releases", "show")</f>
        <v>show</v>
      </c>
      <c r="I8239">
        <v>0</v>
      </c>
      <c r="J8239">
        <v>1</v>
      </c>
      <c r="K8239">
        <v>1</v>
      </c>
      <c r="L8239">
        <v>0</v>
      </c>
      <c r="M8239" t="s">
        <v>699</v>
      </c>
    </row>
    <row r="8240" spans="1:13" hidden="1" x14ac:dyDescent="0.15">
      <c r="A8240" t="s">
        <v>25835</v>
      </c>
      <c r="B8240" t="s">
        <v>25836</v>
      </c>
      <c r="C8240" t="s">
        <v>25837</v>
      </c>
      <c r="D8240" t="s">
        <v>25838</v>
      </c>
      <c r="E8240">
        <v>2</v>
      </c>
      <c r="F8240" t="str">
        <f>HYPERLINK("https://github.com/oliexdev/openScale/issues/470", "show")</f>
        <v>show</v>
      </c>
      <c r="G8240" t="str">
        <f>HYPERLINK("https://github.com/oliexdev/openScale", "show")</f>
        <v>show</v>
      </c>
      <c r="H8240" t="str">
        <f>HYPERLINK("https://github.com/oliexdev/openScale/releases", "show")</f>
        <v>show</v>
      </c>
      <c r="I8240">
        <v>1</v>
      </c>
      <c r="J8240">
        <v>0</v>
      </c>
      <c r="K8240">
        <v>1</v>
      </c>
      <c r="L8240">
        <v>0</v>
      </c>
      <c r="M8240" t="s">
        <v>64</v>
      </c>
    </row>
    <row r="8241" spans="1:13" x14ac:dyDescent="0.15">
      <c r="A8241" t="s">
        <v>25839</v>
      </c>
      <c r="B8241" t="s">
        <v>25840</v>
      </c>
      <c r="C8241" t="s">
        <v>25841</v>
      </c>
      <c r="D8241" t="s">
        <v>25838</v>
      </c>
      <c r="E8241">
        <v>102</v>
      </c>
      <c r="F8241" t="str">
        <f>HYPERLINK("https://github.com/andOTP/andOTP/issues/356", "show")</f>
        <v>show</v>
      </c>
      <c r="G8241" t="str">
        <f>HYPERLINK("https://github.com/andOTP/andOTP", "show")</f>
        <v>show</v>
      </c>
      <c r="H8241" t="str">
        <f>HYPERLINK("https://github.com/andOTP/andOTP/releases", "show")</f>
        <v>show</v>
      </c>
      <c r="I8241">
        <v>0</v>
      </c>
      <c r="J8241">
        <v>1</v>
      </c>
      <c r="K8241">
        <v>0</v>
      </c>
      <c r="L8241">
        <v>0</v>
      </c>
      <c r="M8241" t="s">
        <v>139</v>
      </c>
    </row>
    <row r="8242" spans="1:13" hidden="1" x14ac:dyDescent="0.15">
      <c r="A8242" t="s">
        <v>25842</v>
      </c>
      <c r="B8242" t="s">
        <v>25843</v>
      </c>
      <c r="C8242" t="s">
        <v>25844</v>
      </c>
      <c r="D8242" t="s">
        <v>25838</v>
      </c>
      <c r="E8242">
        <v>14</v>
      </c>
      <c r="F8242" t="str">
        <f>HYPERLINK("https://github.com/nextcloud/android/issues/4121", "show")</f>
        <v>show</v>
      </c>
      <c r="G8242" t="str">
        <f>HYPERLINK("https://github.com/nextcloud/android", "show")</f>
        <v>show</v>
      </c>
      <c r="H8242" t="str">
        <f>HYPERLINK("https://github.com/nextcloud/android/releases", "show")</f>
        <v>show</v>
      </c>
      <c r="I8242">
        <v>1</v>
      </c>
      <c r="J8242">
        <v>0</v>
      </c>
      <c r="K8242">
        <v>0</v>
      </c>
      <c r="L8242">
        <v>0</v>
      </c>
      <c r="M8242" t="s">
        <v>17</v>
      </c>
    </row>
    <row r="8243" spans="1:13" hidden="1" x14ac:dyDescent="0.15">
      <c r="A8243" t="s">
        <v>25845</v>
      </c>
      <c r="B8243" t="s">
        <v>25846</v>
      </c>
      <c r="D8243" t="s">
        <v>25838</v>
      </c>
      <c r="E8243">
        <v>0</v>
      </c>
      <c r="F8243" t="str">
        <f>HYPERLINK("https://github.com/SecUSo/privacy-friendly-food-tracker/issues/53", "show")</f>
        <v>show</v>
      </c>
      <c r="G8243" t="str">
        <f>HYPERLINK("https://github.com/SecUSo/privacy-friendly-food-tracker", "show")</f>
        <v>show</v>
      </c>
      <c r="H8243" t="str">
        <f>HYPERLINK("https://github.com/SecUSo/privacy-friendly-food-tracker/releases", "show")</f>
        <v>show</v>
      </c>
      <c r="I8243">
        <v>0</v>
      </c>
      <c r="J8243">
        <v>0</v>
      </c>
      <c r="K8243">
        <v>1</v>
      </c>
      <c r="L8243">
        <v>0</v>
      </c>
      <c r="M8243" t="s">
        <v>122</v>
      </c>
    </row>
    <row r="8244" spans="1:13" hidden="1" x14ac:dyDescent="0.15">
      <c r="A8244" t="s">
        <v>25847</v>
      </c>
      <c r="B8244" t="s">
        <v>25848</v>
      </c>
      <c r="C8244" t="s">
        <v>25849</v>
      </c>
      <c r="D8244" t="s">
        <v>25850</v>
      </c>
      <c r="E8244">
        <v>107</v>
      </c>
      <c r="F8244" t="str">
        <f>HYPERLINK("https://github.com/react-native-share/react-native-share/issues/517", "show")</f>
        <v>show</v>
      </c>
      <c r="G8244" t="str">
        <f>HYPERLINK("https://github.com/react-native-share/react-native-share", "show")</f>
        <v>show</v>
      </c>
      <c r="H8244" t="str">
        <f>HYPERLINK("https://github.com/react-native-share/react-native-share/releases", "show")</f>
        <v>show</v>
      </c>
      <c r="I8244">
        <v>1</v>
      </c>
      <c r="J8244">
        <v>0</v>
      </c>
      <c r="K8244">
        <v>1</v>
      </c>
      <c r="L8244">
        <v>0</v>
      </c>
      <c r="M8244" t="s">
        <v>64</v>
      </c>
    </row>
    <row r="8245" spans="1:13" hidden="1" x14ac:dyDescent="0.15">
      <c r="A8245" t="s">
        <v>25851</v>
      </c>
      <c r="B8245" t="s">
        <v>25852</v>
      </c>
      <c r="C8245" t="s">
        <v>25853</v>
      </c>
      <c r="D8245" t="s">
        <v>25850</v>
      </c>
      <c r="E8245">
        <v>7</v>
      </c>
      <c r="F8245" t="str">
        <f>HYPERLINK("https://github.com/sw19-tug/afternoon04/issues/84", "show")</f>
        <v>show</v>
      </c>
      <c r="G8245" t="str">
        <f>HYPERLINK("https://github.com/sw19-tug/afternoon04", "show")</f>
        <v>show</v>
      </c>
      <c r="H8245" t="str">
        <f>HYPERLINK("https://github.com/sw19-tug/afternoon04/releases", "show")</f>
        <v>show</v>
      </c>
      <c r="I8245">
        <v>1</v>
      </c>
      <c r="J8245">
        <v>0</v>
      </c>
      <c r="K8245">
        <v>0</v>
      </c>
      <c r="L8245">
        <v>0</v>
      </c>
      <c r="M8245" t="s">
        <v>17</v>
      </c>
    </row>
    <row r="8246" spans="1:13" hidden="1" x14ac:dyDescent="0.15">
      <c r="A8246" t="s">
        <v>25854</v>
      </c>
      <c r="B8246" t="s">
        <v>25855</v>
      </c>
      <c r="C8246" t="s">
        <v>25856</v>
      </c>
      <c r="D8246" t="s">
        <v>25850</v>
      </c>
      <c r="E8246">
        <v>565</v>
      </c>
      <c r="F8246" t="str">
        <f>HYPERLINK("https://github.com/JavaCafe01/PdfViewer/issues/27", "show")</f>
        <v>show</v>
      </c>
      <c r="G8246" t="str">
        <f>HYPERLINK("https://github.com/JavaCafe01/PdfViewer", "show")</f>
        <v>show</v>
      </c>
      <c r="H8246" t="str">
        <f>HYPERLINK("https://github.com/JavaCafe01/PdfViewer/releases", "show")</f>
        <v>show</v>
      </c>
      <c r="I8246">
        <v>1</v>
      </c>
      <c r="J8246">
        <v>0</v>
      </c>
      <c r="K8246">
        <v>0</v>
      </c>
      <c r="L8246">
        <v>0</v>
      </c>
      <c r="M8246" t="s">
        <v>17</v>
      </c>
    </row>
    <row r="8247" spans="1:13" hidden="1" x14ac:dyDescent="0.15">
      <c r="A8247" t="s">
        <v>25857</v>
      </c>
      <c r="B8247" t="s">
        <v>25858</v>
      </c>
      <c r="C8247" t="s">
        <v>25859</v>
      </c>
      <c r="D8247" t="s">
        <v>25850</v>
      </c>
      <c r="E8247">
        <v>0</v>
      </c>
      <c r="F8247" t="str">
        <f>HYPERLINK("https://github.com/mapbox/mapbox-events-android/issues/406", "show")</f>
        <v>show</v>
      </c>
      <c r="G8247" t="str">
        <f>HYPERLINK("https://github.com/mapbox/mapbox-events-android", "show")</f>
        <v>show</v>
      </c>
      <c r="H8247" t="str">
        <f>HYPERLINK("https://github.com/mapbox/mapbox-events-android/releases", "show")</f>
        <v>show</v>
      </c>
      <c r="I8247">
        <v>1</v>
      </c>
      <c r="J8247">
        <v>0</v>
      </c>
      <c r="K8247">
        <v>0</v>
      </c>
      <c r="L8247">
        <v>0</v>
      </c>
      <c r="M8247" t="s">
        <v>17</v>
      </c>
    </row>
    <row r="8248" spans="1:13" hidden="1" x14ac:dyDescent="0.15">
      <c r="A8248" t="s">
        <v>25860</v>
      </c>
      <c r="B8248" t="s">
        <v>25861</v>
      </c>
      <c r="C8248" t="s">
        <v>25862</v>
      </c>
      <c r="D8248" t="s">
        <v>25863</v>
      </c>
      <c r="E8248">
        <v>9</v>
      </c>
      <c r="F8248" t="str">
        <f>HYPERLINK("https://github.com/andyrozman/RileyLinkAAPS/issues/131", "show")</f>
        <v>show</v>
      </c>
      <c r="G8248" t="str">
        <f>HYPERLINK("https://github.com/andyrozman/RileyLinkAAPS", "show")</f>
        <v>show</v>
      </c>
      <c r="H8248" t="str">
        <f>HYPERLINK("https://github.com/andyrozman/RileyLinkAAPS/releases", "show")</f>
        <v>show</v>
      </c>
      <c r="I8248">
        <v>1</v>
      </c>
      <c r="J8248">
        <v>0</v>
      </c>
      <c r="K8248">
        <v>0</v>
      </c>
      <c r="L8248">
        <v>0</v>
      </c>
      <c r="M8248" t="s">
        <v>17</v>
      </c>
    </row>
    <row r="8249" spans="1:13" x14ac:dyDescent="0.15">
      <c r="A8249" t="s">
        <v>25864</v>
      </c>
      <c r="B8249" t="s">
        <v>16147</v>
      </c>
      <c r="C8249" t="s">
        <v>25865</v>
      </c>
      <c r="D8249" t="s">
        <v>25863</v>
      </c>
      <c r="E8249">
        <v>10</v>
      </c>
      <c r="F8249" t="str">
        <f>HYPERLINK("https://github.com/ElderDrivers/EdXposed/issues/280", "show")</f>
        <v>show</v>
      </c>
      <c r="G8249" t="str">
        <f>HYPERLINK("https://github.com/ElderDrivers/EdXposed", "show")</f>
        <v>show</v>
      </c>
      <c r="H8249" t="str">
        <f>HYPERLINK("https://github.com/ElderDrivers/EdXposed/releases", "show")</f>
        <v>show</v>
      </c>
      <c r="I8249">
        <v>0</v>
      </c>
      <c r="J8249">
        <v>1</v>
      </c>
      <c r="K8249">
        <v>0</v>
      </c>
      <c r="L8249">
        <v>0</v>
      </c>
      <c r="M8249" t="s">
        <v>139</v>
      </c>
    </row>
    <row r="8250" spans="1:13" hidden="1" x14ac:dyDescent="0.15">
      <c r="A8250" t="s">
        <v>25866</v>
      </c>
      <c r="B8250" t="s">
        <v>25867</v>
      </c>
      <c r="C8250" t="s">
        <v>25868</v>
      </c>
      <c r="D8250" t="s">
        <v>25863</v>
      </c>
      <c r="E8250">
        <v>16</v>
      </c>
      <c r="F8250" t="str">
        <f>HYPERLINK("https://github.com/launchdarkly/android-client-sdk/issues/76", "show")</f>
        <v>show</v>
      </c>
      <c r="G8250" t="str">
        <f>HYPERLINK("https://github.com/launchdarkly/android-client-sdk", "show")</f>
        <v>show</v>
      </c>
      <c r="H8250" t="str">
        <f>HYPERLINK("https://github.com/launchdarkly/android-client-sdk/releases", "show")</f>
        <v>show</v>
      </c>
      <c r="I8250">
        <v>1</v>
      </c>
      <c r="J8250">
        <v>0</v>
      </c>
      <c r="K8250">
        <v>1</v>
      </c>
      <c r="L8250">
        <v>0</v>
      </c>
      <c r="M8250" t="s">
        <v>64</v>
      </c>
    </row>
    <row r="8251" spans="1:13" hidden="1" x14ac:dyDescent="0.15">
      <c r="A8251" t="s">
        <v>25869</v>
      </c>
      <c r="B8251" t="s">
        <v>25870</v>
      </c>
      <c r="C8251" t="s">
        <v>25871</v>
      </c>
      <c r="D8251" t="s">
        <v>25872</v>
      </c>
      <c r="E8251">
        <v>17</v>
      </c>
      <c r="F8251" t="str">
        <f>HYPERLINK("https://github.com/ElderDrivers/EdXposed/issues/276", "show")</f>
        <v>show</v>
      </c>
      <c r="G8251" t="str">
        <f>HYPERLINK("https://github.com/ElderDrivers/EdXposed", "show")</f>
        <v>show</v>
      </c>
      <c r="H8251" t="str">
        <f>HYPERLINK("https://github.com/ElderDrivers/EdXposed/releases", "show")</f>
        <v>show</v>
      </c>
      <c r="I8251">
        <v>1</v>
      </c>
      <c r="J8251">
        <v>0</v>
      </c>
      <c r="K8251">
        <v>0</v>
      </c>
      <c r="L8251">
        <v>0</v>
      </c>
      <c r="M8251" t="s">
        <v>17</v>
      </c>
    </row>
    <row r="8252" spans="1:13" hidden="1" x14ac:dyDescent="0.15">
      <c r="A8252" t="s">
        <v>25873</v>
      </c>
      <c r="B8252" t="s">
        <v>25874</v>
      </c>
      <c r="C8252" t="s">
        <v>25875</v>
      </c>
      <c r="D8252" t="s">
        <v>25872</v>
      </c>
      <c r="E8252">
        <v>46</v>
      </c>
      <c r="F8252" t="str">
        <f>HYPERLINK("https://github.com/GreatApo/GreatFit/issues/48", "show")</f>
        <v>show</v>
      </c>
      <c r="G8252" t="str">
        <f>HYPERLINK("https://github.com/GreatApo/GreatFit", "show")</f>
        <v>show</v>
      </c>
      <c r="H8252" t="str">
        <f>HYPERLINK("https://github.com/GreatApo/GreatFit/releases", "show")</f>
        <v>show</v>
      </c>
      <c r="I8252">
        <v>0</v>
      </c>
      <c r="J8252">
        <v>0</v>
      </c>
      <c r="K8252">
        <v>0</v>
      </c>
      <c r="L8252">
        <v>1</v>
      </c>
      <c r="M8252" t="s">
        <v>581</v>
      </c>
    </row>
    <row r="8253" spans="1:13" hidden="1" x14ac:dyDescent="0.15">
      <c r="A8253" t="s">
        <v>25876</v>
      </c>
      <c r="B8253" t="s">
        <v>25877</v>
      </c>
      <c r="C8253" t="s">
        <v>25878</v>
      </c>
      <c r="D8253" t="s">
        <v>25872</v>
      </c>
      <c r="E8253">
        <v>0</v>
      </c>
      <c r="F8253" t="str">
        <f>HYPERLINK("https://github.com/react-native-share/react-native-share/issues/515", "show")</f>
        <v>show</v>
      </c>
      <c r="G8253" t="str">
        <f>HYPERLINK("https://github.com/react-native-share/react-native-share", "show")</f>
        <v>show</v>
      </c>
      <c r="H8253" t="str">
        <f>HYPERLINK("https://github.com/react-native-share/react-native-share/releases", "show")</f>
        <v>show</v>
      </c>
      <c r="I8253">
        <v>0</v>
      </c>
      <c r="J8253">
        <v>0</v>
      </c>
      <c r="K8253">
        <v>0</v>
      </c>
      <c r="L8253">
        <v>0</v>
      </c>
      <c r="M8253" t="s">
        <v>43</v>
      </c>
    </row>
    <row r="8254" spans="1:13" hidden="1" x14ac:dyDescent="0.15">
      <c r="A8254" t="s">
        <v>25879</v>
      </c>
      <c r="B8254" t="s">
        <v>25880</v>
      </c>
      <c r="C8254" t="s">
        <v>25881</v>
      </c>
      <c r="D8254" t="s">
        <v>25872</v>
      </c>
      <c r="E8254">
        <v>94</v>
      </c>
      <c r="F8254" t="str">
        <f>HYPERLINK("https://github.com/0x5ECF4ULT/PanicTrigger/issues/25", "show")</f>
        <v>show</v>
      </c>
      <c r="G8254" t="str">
        <f>HYPERLINK("https://github.com/0x5ECF4ULT/PanicTrigger", "show")</f>
        <v>show</v>
      </c>
      <c r="H8254" t="str">
        <f>HYPERLINK("https://github.com/0x5ECF4ULT/PanicTrigger/releases", "show")</f>
        <v>show</v>
      </c>
      <c r="I8254">
        <v>0</v>
      </c>
      <c r="J8254">
        <v>1</v>
      </c>
      <c r="K8254">
        <v>1</v>
      </c>
      <c r="L8254">
        <v>0</v>
      </c>
      <c r="M8254" t="s">
        <v>699</v>
      </c>
    </row>
    <row r="8255" spans="1:13" hidden="1" x14ac:dyDescent="0.15">
      <c r="A8255" t="s">
        <v>25882</v>
      </c>
      <c r="B8255" t="s">
        <v>25883</v>
      </c>
      <c r="C8255" t="s">
        <v>25884</v>
      </c>
      <c r="D8255" t="s">
        <v>25872</v>
      </c>
      <c r="E8255">
        <v>26</v>
      </c>
      <c r="F8255" t="str">
        <f>HYPERLINK("https://github.com/JavaCafe01/PdfViewer/issues/26", "show")</f>
        <v>show</v>
      </c>
      <c r="G8255" t="str">
        <f>HYPERLINK("https://github.com/JavaCafe01/PdfViewer", "show")</f>
        <v>show</v>
      </c>
      <c r="H8255" t="str">
        <f>HYPERLINK("https://github.com/JavaCafe01/PdfViewer/releases", "show")</f>
        <v>show</v>
      </c>
      <c r="I8255">
        <v>1</v>
      </c>
      <c r="J8255">
        <v>1</v>
      </c>
      <c r="K8255">
        <v>1</v>
      </c>
      <c r="L8255">
        <v>0</v>
      </c>
      <c r="M8255" t="s">
        <v>59</v>
      </c>
    </row>
    <row r="8256" spans="1:13" hidden="1" x14ac:dyDescent="0.15">
      <c r="A8256" t="s">
        <v>25885</v>
      </c>
      <c r="B8256" t="s">
        <v>25886</v>
      </c>
      <c r="D8256" t="s">
        <v>25887</v>
      </c>
      <c r="E8256">
        <v>17</v>
      </c>
      <c r="F8256" t="str">
        <f>HYPERLINK("https://github.com/andyrozman/RileyLinkAAPS/issues/130", "show")</f>
        <v>show</v>
      </c>
      <c r="G8256" t="str">
        <f>HYPERLINK("https://github.com/andyrozman/RileyLinkAAPS", "show")</f>
        <v>show</v>
      </c>
      <c r="H8256" t="str">
        <f>HYPERLINK("https://github.com/andyrozman/RileyLinkAAPS/releases", "show")</f>
        <v>show</v>
      </c>
      <c r="I8256">
        <v>1</v>
      </c>
      <c r="J8256">
        <v>0</v>
      </c>
      <c r="K8256">
        <v>0</v>
      </c>
      <c r="L8256">
        <v>0</v>
      </c>
      <c r="M8256" t="s">
        <v>17</v>
      </c>
    </row>
    <row r="8257" spans="1:13" hidden="1" x14ac:dyDescent="0.15">
      <c r="A8257" t="s">
        <v>25888</v>
      </c>
      <c r="B8257" t="s">
        <v>25889</v>
      </c>
      <c r="D8257" t="s">
        <v>25887</v>
      </c>
      <c r="E8257">
        <v>11</v>
      </c>
      <c r="F8257" t="str">
        <f>HYPERLINK("https://github.com/andyrozman/RileyLinkAAPS/issues/129", "show")</f>
        <v>show</v>
      </c>
      <c r="G8257" t="str">
        <f>HYPERLINK("https://github.com/andyrozman/RileyLinkAAPS", "show")</f>
        <v>show</v>
      </c>
      <c r="H8257" t="str">
        <f>HYPERLINK("https://github.com/andyrozman/RileyLinkAAPS/releases", "show")</f>
        <v>show</v>
      </c>
      <c r="I8257">
        <v>1</v>
      </c>
      <c r="J8257">
        <v>0</v>
      </c>
      <c r="K8257">
        <v>0</v>
      </c>
      <c r="L8257">
        <v>0</v>
      </c>
      <c r="M8257" t="s">
        <v>17</v>
      </c>
    </row>
    <row r="8258" spans="1:13" hidden="1" x14ac:dyDescent="0.15">
      <c r="A8258" t="s">
        <v>25890</v>
      </c>
      <c r="B8258" t="s">
        <v>25891</v>
      </c>
      <c r="C8258" t="s">
        <v>25892</v>
      </c>
      <c r="D8258" t="s">
        <v>25893</v>
      </c>
      <c r="E8258">
        <v>2</v>
      </c>
      <c r="F8258" t="str">
        <f>HYPERLINK("https://github.com/nextcloud/android/issues/4107", "show")</f>
        <v>show</v>
      </c>
      <c r="G8258" t="str">
        <f>HYPERLINK("https://github.com/nextcloud/android", "show")</f>
        <v>show</v>
      </c>
      <c r="H8258" t="str">
        <f>HYPERLINK("https://github.com/nextcloud/android/releases", "show")</f>
        <v>show</v>
      </c>
      <c r="I8258">
        <v>0</v>
      </c>
      <c r="J8258">
        <v>0</v>
      </c>
      <c r="K8258">
        <v>0</v>
      </c>
      <c r="L8258">
        <v>0</v>
      </c>
      <c r="M8258" t="s">
        <v>43</v>
      </c>
    </row>
    <row r="8259" spans="1:13" hidden="1" x14ac:dyDescent="0.15">
      <c r="A8259" t="s">
        <v>25894</v>
      </c>
      <c r="B8259" t="s">
        <v>25895</v>
      </c>
      <c r="C8259" t="s">
        <v>25896</v>
      </c>
      <c r="D8259" t="s">
        <v>25897</v>
      </c>
      <c r="E8259">
        <v>0</v>
      </c>
      <c r="F8259" t="str">
        <f>HYPERLINK("https://github.com/Alfresco/activiti-android-app/issues/63", "show")</f>
        <v>show</v>
      </c>
      <c r="G8259" t="str">
        <f>HYPERLINK("https://github.com/Alfresco/activiti-android-app", "show")</f>
        <v>show</v>
      </c>
      <c r="H8259" t="str">
        <f>HYPERLINK("https://github.com/Alfresco/activiti-android-app/releases", "show")</f>
        <v>show</v>
      </c>
      <c r="I8259">
        <v>1</v>
      </c>
      <c r="J8259">
        <v>0</v>
      </c>
      <c r="K8259">
        <v>0</v>
      </c>
      <c r="L8259">
        <v>0</v>
      </c>
      <c r="M8259" t="s">
        <v>17</v>
      </c>
    </row>
    <row r="8260" spans="1:13" hidden="1" x14ac:dyDescent="0.15">
      <c r="A8260" t="s">
        <v>25898</v>
      </c>
      <c r="B8260" t="s">
        <v>25899</v>
      </c>
      <c r="C8260" t="s">
        <v>25900</v>
      </c>
      <c r="D8260" t="s">
        <v>25897</v>
      </c>
      <c r="E8260">
        <v>1</v>
      </c>
      <c r="F8260" t="str">
        <f>HYPERLINK("https://github.com/fossasia/pslab-android/issues/1759", "show")</f>
        <v>show</v>
      </c>
      <c r="G8260" t="str">
        <f>HYPERLINK("https://github.com/fossasia/pslab-android", "show")</f>
        <v>show</v>
      </c>
      <c r="H8260" t="str">
        <f>HYPERLINK("https://github.com/fossasia/pslab-android/releases", "show")</f>
        <v>show</v>
      </c>
      <c r="I8260">
        <v>1</v>
      </c>
      <c r="J8260">
        <v>1</v>
      </c>
      <c r="K8260">
        <v>1</v>
      </c>
      <c r="L8260">
        <v>1</v>
      </c>
      <c r="M8260" t="s">
        <v>2875</v>
      </c>
    </row>
    <row r="8261" spans="1:13" hidden="1" x14ac:dyDescent="0.15">
      <c r="A8261" t="s">
        <v>25901</v>
      </c>
      <c r="B8261" t="s">
        <v>25902</v>
      </c>
      <c r="C8261" t="s">
        <v>25903</v>
      </c>
      <c r="D8261" t="s">
        <v>25897</v>
      </c>
      <c r="E8261">
        <v>15</v>
      </c>
      <c r="F8261" t="str">
        <f>HYPERLINK("https://github.com/MozillaReality/FirefoxReality/issues/1282", "show")</f>
        <v>show</v>
      </c>
      <c r="G8261" t="str">
        <f>HYPERLINK("https://github.com/MozillaReality/FirefoxReality", "show")</f>
        <v>show</v>
      </c>
      <c r="H8261" t="str">
        <f>HYPERLINK("https://github.com/MozillaReality/FirefoxReality/releases", "show")</f>
        <v>show</v>
      </c>
      <c r="I8261">
        <v>1</v>
      </c>
      <c r="J8261">
        <v>1</v>
      </c>
      <c r="K8261">
        <v>0</v>
      </c>
      <c r="L8261">
        <v>0</v>
      </c>
      <c r="M8261" t="s">
        <v>48</v>
      </c>
    </row>
    <row r="8262" spans="1:13" hidden="1" x14ac:dyDescent="0.15">
      <c r="A8262" t="s">
        <v>25904</v>
      </c>
      <c r="B8262" t="s">
        <v>25905</v>
      </c>
      <c r="C8262" t="s">
        <v>25906</v>
      </c>
      <c r="D8262" t="s">
        <v>25897</v>
      </c>
      <c r="E8262">
        <v>15</v>
      </c>
      <c r="F8262" t="str">
        <f>HYPERLINK("https://github.com/MozillaReality/FirefoxReality/issues/1281", "show")</f>
        <v>show</v>
      </c>
      <c r="G8262" t="str">
        <f>HYPERLINK("https://github.com/MozillaReality/FirefoxReality", "show")</f>
        <v>show</v>
      </c>
      <c r="H8262" t="str">
        <f>HYPERLINK("https://github.com/MozillaReality/FirefoxReality/releases", "show")</f>
        <v>show</v>
      </c>
      <c r="I8262">
        <v>1</v>
      </c>
      <c r="J8262">
        <v>1</v>
      </c>
      <c r="K8262">
        <v>0</v>
      </c>
      <c r="L8262">
        <v>0</v>
      </c>
      <c r="M8262" t="s">
        <v>48</v>
      </c>
    </row>
    <row r="8263" spans="1:13" hidden="1" x14ac:dyDescent="0.15">
      <c r="A8263" t="s">
        <v>25907</v>
      </c>
      <c r="B8263" t="s">
        <v>25908</v>
      </c>
      <c r="C8263" t="s">
        <v>25909</v>
      </c>
      <c r="D8263" t="s">
        <v>25897</v>
      </c>
      <c r="E8263">
        <v>0</v>
      </c>
      <c r="F8263" t="str">
        <f>HYPERLINK("https://github.com/MozillaReality/FirefoxReality/issues/1280", "show")</f>
        <v>show</v>
      </c>
      <c r="G8263" t="str">
        <f>HYPERLINK("https://github.com/MozillaReality/FirefoxReality", "show")</f>
        <v>show</v>
      </c>
      <c r="H8263" t="str">
        <f>HYPERLINK("https://github.com/MozillaReality/FirefoxReality/releases", "show")</f>
        <v>show</v>
      </c>
      <c r="I8263">
        <v>1</v>
      </c>
      <c r="J8263">
        <v>0</v>
      </c>
      <c r="K8263">
        <v>0</v>
      </c>
      <c r="L8263">
        <v>0</v>
      </c>
      <c r="M8263" t="s">
        <v>17</v>
      </c>
    </row>
    <row r="8264" spans="1:13" hidden="1" x14ac:dyDescent="0.15">
      <c r="A8264" t="s">
        <v>25910</v>
      </c>
      <c r="B8264" t="s">
        <v>25911</v>
      </c>
      <c r="C8264" t="s">
        <v>25912</v>
      </c>
      <c r="D8264" t="s">
        <v>25913</v>
      </c>
      <c r="E8264">
        <v>0</v>
      </c>
      <c r="F8264" t="str">
        <f>HYPERLINK("https://github.com/google/ExoPlayer/issues/5971", "show")</f>
        <v>show</v>
      </c>
      <c r="G8264" t="str">
        <f>HYPERLINK("https://github.com/google/ExoPlayer", "show")</f>
        <v>show</v>
      </c>
      <c r="H8264" t="str">
        <f>HYPERLINK("https://github.com/google/ExoPlayer/releases", "show")</f>
        <v>show</v>
      </c>
      <c r="I8264">
        <v>0</v>
      </c>
      <c r="J8264">
        <v>1</v>
      </c>
      <c r="K8264">
        <v>1</v>
      </c>
      <c r="L8264">
        <v>0</v>
      </c>
      <c r="M8264" t="s">
        <v>699</v>
      </c>
    </row>
    <row r="8265" spans="1:13" hidden="1" x14ac:dyDescent="0.15">
      <c r="A8265" t="s">
        <v>25914</v>
      </c>
      <c r="B8265" t="s">
        <v>25915</v>
      </c>
      <c r="C8265" t="s">
        <v>25916</v>
      </c>
      <c r="D8265" t="s">
        <v>25917</v>
      </c>
      <c r="E8265">
        <v>7</v>
      </c>
      <c r="F8265" t="str">
        <f>HYPERLINK("https://github.com/deltachat/deltachat-android/issues/938", "show")</f>
        <v>show</v>
      </c>
      <c r="G8265" t="str">
        <f>HYPERLINK("https://github.com/deltachat/deltachat-android", "show")</f>
        <v>show</v>
      </c>
      <c r="H8265" t="str">
        <f>HYPERLINK("https://github.com/deltachat/deltachat-android/releases", "show")</f>
        <v>show</v>
      </c>
      <c r="I8265">
        <v>0</v>
      </c>
      <c r="J8265">
        <v>0</v>
      </c>
      <c r="K8265">
        <v>0</v>
      </c>
      <c r="L8265">
        <v>0</v>
      </c>
      <c r="M8265" t="s">
        <v>43</v>
      </c>
    </row>
    <row r="8266" spans="1:13" hidden="1" x14ac:dyDescent="0.15">
      <c r="A8266" t="s">
        <v>25918</v>
      </c>
      <c r="B8266" t="s">
        <v>25919</v>
      </c>
      <c r="C8266" t="s">
        <v>25920</v>
      </c>
      <c r="D8266" t="s">
        <v>25921</v>
      </c>
      <c r="E8266">
        <v>1</v>
      </c>
      <c r="F8266" t="str">
        <f>HYPERLINK("https://github.com/bp713/GPIG-Team-A/issues/30", "show")</f>
        <v>show</v>
      </c>
      <c r="G8266" t="str">
        <f>HYPERLINK("https://github.com/bp713/GPIG-Team-A", "show")</f>
        <v>show</v>
      </c>
      <c r="H8266" t="str">
        <f>HYPERLINK("https://github.com/bp713/GPIG-Team-A/releases", "show")</f>
        <v>show</v>
      </c>
      <c r="I8266">
        <v>0</v>
      </c>
      <c r="J8266">
        <v>0</v>
      </c>
      <c r="K8266">
        <v>1</v>
      </c>
      <c r="L8266">
        <v>0</v>
      </c>
      <c r="M8266" t="s">
        <v>122</v>
      </c>
    </row>
    <row r="8267" spans="1:13" hidden="1" x14ac:dyDescent="0.15">
      <c r="A8267" t="s">
        <v>25922</v>
      </c>
      <c r="B8267" t="s">
        <v>25923</v>
      </c>
      <c r="C8267" t="s">
        <v>25924</v>
      </c>
      <c r="D8267" t="s">
        <v>25921</v>
      </c>
      <c r="E8267">
        <v>1</v>
      </c>
      <c r="F8267" t="str">
        <f>HYPERLINK("https://github.com/miguelpruivo/flutter_file_picker/issues/86", "show")</f>
        <v>show</v>
      </c>
      <c r="G8267" t="str">
        <f>HYPERLINK("https://github.com/miguelpruivo/flutter_file_picker", "show")</f>
        <v>show</v>
      </c>
      <c r="H8267" t="str">
        <f>HYPERLINK("https://github.com/miguelpruivo/flutter_file_picker/releases", "show")</f>
        <v>show</v>
      </c>
      <c r="I8267">
        <v>1</v>
      </c>
      <c r="J8267">
        <v>0</v>
      </c>
      <c r="K8267">
        <v>0</v>
      </c>
      <c r="L8267">
        <v>1</v>
      </c>
      <c r="M8267" t="s">
        <v>29</v>
      </c>
    </row>
    <row r="8268" spans="1:13" hidden="1" x14ac:dyDescent="0.15">
      <c r="A8268" t="s">
        <v>25925</v>
      </c>
      <c r="B8268" t="s">
        <v>25926</v>
      </c>
      <c r="C8268" t="s">
        <v>25927</v>
      </c>
      <c r="D8268" t="s">
        <v>25921</v>
      </c>
      <c r="E8268">
        <v>12</v>
      </c>
      <c r="F8268" t="str">
        <f>HYPERLINK("https://github.com/fossasia/open-event-organizer-android/issues/1676", "show")</f>
        <v>show</v>
      </c>
      <c r="G8268" t="str">
        <f>HYPERLINK("https://github.com/fossasia/open-event-organizer-android", "show")</f>
        <v>show</v>
      </c>
      <c r="H8268" t="str">
        <f>HYPERLINK("https://github.com/fossasia/open-event-organizer-android/releases", "show")</f>
        <v>show</v>
      </c>
      <c r="I8268">
        <v>1</v>
      </c>
      <c r="J8268">
        <v>0</v>
      </c>
      <c r="K8268">
        <v>1</v>
      </c>
      <c r="L8268">
        <v>0</v>
      </c>
      <c r="M8268" t="s">
        <v>64</v>
      </c>
    </row>
    <row r="8269" spans="1:13" hidden="1" x14ac:dyDescent="0.15">
      <c r="A8269" t="s">
        <v>25928</v>
      </c>
      <c r="B8269" t="s">
        <v>25929</v>
      </c>
      <c r="C8269" t="s">
        <v>25930</v>
      </c>
      <c r="D8269" t="s">
        <v>25921</v>
      </c>
      <c r="E8269">
        <v>8</v>
      </c>
      <c r="F8269" t="str">
        <f>HYPERLINK("https://github.com/k3b/ToGoZip/issues/20", "show")</f>
        <v>show</v>
      </c>
      <c r="G8269" t="str">
        <f>HYPERLINK("https://github.com/k3b/ToGoZip", "show")</f>
        <v>show</v>
      </c>
      <c r="H8269" t="str">
        <f>HYPERLINK("https://github.com/k3b/ToGoZip/releases", "show")</f>
        <v>show</v>
      </c>
      <c r="I8269">
        <v>1</v>
      </c>
      <c r="J8269">
        <v>1</v>
      </c>
      <c r="K8269">
        <v>0</v>
      </c>
      <c r="L8269">
        <v>0</v>
      </c>
      <c r="M8269" t="s">
        <v>48</v>
      </c>
    </row>
    <row r="8270" spans="1:13" hidden="1" x14ac:dyDescent="0.15">
      <c r="A8270" t="s">
        <v>25931</v>
      </c>
      <c r="B8270" t="s">
        <v>25932</v>
      </c>
      <c r="C8270" t="s">
        <v>25933</v>
      </c>
      <c r="D8270" t="s">
        <v>25921</v>
      </c>
      <c r="E8270">
        <v>0</v>
      </c>
      <c r="F8270" t="str">
        <f>HYPERLINK("https://github.com/fossasia/open-event-organizer-android/issues/1674", "show")</f>
        <v>show</v>
      </c>
      <c r="G8270" t="str">
        <f>HYPERLINK("https://github.com/fossasia/open-event-organizer-android", "show")</f>
        <v>show</v>
      </c>
      <c r="H8270" t="str">
        <f>HYPERLINK("https://github.com/fossasia/open-event-organizer-android/releases", "show")</f>
        <v>show</v>
      </c>
      <c r="I8270">
        <v>1</v>
      </c>
      <c r="J8270">
        <v>0</v>
      </c>
      <c r="K8270">
        <v>1</v>
      </c>
      <c r="L8270">
        <v>0</v>
      </c>
      <c r="M8270" t="s">
        <v>64</v>
      </c>
    </row>
    <row r="8271" spans="1:13" hidden="1" x14ac:dyDescent="0.15">
      <c r="A8271" t="s">
        <v>25934</v>
      </c>
      <c r="B8271" t="s">
        <v>25935</v>
      </c>
      <c r="C8271" t="s">
        <v>25936</v>
      </c>
      <c r="D8271" t="s">
        <v>25921</v>
      </c>
      <c r="E8271">
        <v>1</v>
      </c>
      <c r="F8271" t="str">
        <f>HYPERLINK("https://github.com/Swati4star/Images-to-PDF/issues/771", "show")</f>
        <v>show</v>
      </c>
      <c r="G8271" t="str">
        <f>HYPERLINK("https://github.com/Swati4star/Images-to-PDF", "show")</f>
        <v>show</v>
      </c>
      <c r="H8271" t="str">
        <f>HYPERLINK("https://github.com/Swati4star/Images-to-PDF/releases", "show")</f>
        <v>show</v>
      </c>
      <c r="I8271">
        <v>1</v>
      </c>
      <c r="J8271">
        <v>0</v>
      </c>
      <c r="K8271">
        <v>1</v>
      </c>
      <c r="L8271">
        <v>0</v>
      </c>
      <c r="M8271" t="s">
        <v>64</v>
      </c>
    </row>
    <row r="8272" spans="1:13" hidden="1" x14ac:dyDescent="0.15">
      <c r="A8272" t="s">
        <v>25937</v>
      </c>
      <c r="B8272" t="s">
        <v>25938</v>
      </c>
      <c r="C8272" t="s">
        <v>25939</v>
      </c>
      <c r="D8272" t="s">
        <v>25940</v>
      </c>
      <c r="E8272">
        <v>23</v>
      </c>
      <c r="F8272" t="str">
        <f>HYPERLINK("https://github.com/andyrozman/RileyLinkAAPS/issues/127", "show")</f>
        <v>show</v>
      </c>
      <c r="G8272" t="str">
        <f>HYPERLINK("https://github.com/andyrozman/RileyLinkAAPS", "show")</f>
        <v>show</v>
      </c>
      <c r="H8272" t="str">
        <f>HYPERLINK("https://github.com/andyrozman/RileyLinkAAPS/releases", "show")</f>
        <v>show</v>
      </c>
      <c r="I8272">
        <v>1</v>
      </c>
      <c r="J8272">
        <v>0</v>
      </c>
      <c r="K8272">
        <v>0</v>
      </c>
      <c r="L8272">
        <v>0</v>
      </c>
      <c r="M8272" t="s">
        <v>17</v>
      </c>
    </row>
    <row r="8273" spans="1:13" hidden="1" x14ac:dyDescent="0.15">
      <c r="A8273" t="s">
        <v>25941</v>
      </c>
      <c r="B8273" t="s">
        <v>25942</v>
      </c>
      <c r="C8273" t="s">
        <v>25943</v>
      </c>
      <c r="D8273" t="s">
        <v>25940</v>
      </c>
      <c r="E8273">
        <v>8</v>
      </c>
      <c r="F8273" t="str">
        <f>HYPERLINK("https://github.com/fossasia/open-event-organizer-android/issues/1671", "show")</f>
        <v>show</v>
      </c>
      <c r="G8273" t="str">
        <f>HYPERLINK("https://github.com/fossasia/open-event-organizer-android", "show")</f>
        <v>show</v>
      </c>
      <c r="H8273" t="str">
        <f>HYPERLINK("https://github.com/fossasia/open-event-organizer-android/releases", "show")</f>
        <v>show</v>
      </c>
      <c r="I8273">
        <v>1</v>
      </c>
      <c r="J8273">
        <v>0</v>
      </c>
      <c r="K8273">
        <v>1</v>
      </c>
      <c r="L8273">
        <v>0</v>
      </c>
      <c r="M8273" t="s">
        <v>64</v>
      </c>
    </row>
    <row r="8274" spans="1:13" hidden="1" x14ac:dyDescent="0.15">
      <c r="A8274" t="s">
        <v>25944</v>
      </c>
      <c r="B8274" t="s">
        <v>25945</v>
      </c>
      <c r="C8274" t="s">
        <v>25946</v>
      </c>
      <c r="D8274" t="s">
        <v>25947</v>
      </c>
      <c r="E8274">
        <v>825</v>
      </c>
      <c r="F8274" t="str">
        <f>HYPERLINK("https://github.com/LawnchairLauncher/lawnchair/issues/1568", "show")</f>
        <v>show</v>
      </c>
      <c r="G8274" t="str">
        <f>HYPERLINK("https://github.com/LawnchairLauncher/lawnchair", "show")</f>
        <v>show</v>
      </c>
      <c r="H8274" t="str">
        <f>HYPERLINK("https://github.com/LawnchairLauncher/lawnchair/releases", "show")</f>
        <v>show</v>
      </c>
      <c r="I8274">
        <v>0</v>
      </c>
      <c r="J8274">
        <v>1</v>
      </c>
      <c r="K8274">
        <v>0</v>
      </c>
      <c r="L8274">
        <v>1</v>
      </c>
      <c r="M8274" t="s">
        <v>1732</v>
      </c>
    </row>
    <row r="8275" spans="1:13" hidden="1" x14ac:dyDescent="0.15">
      <c r="A8275" t="s">
        <v>25948</v>
      </c>
      <c r="B8275" t="s">
        <v>25949</v>
      </c>
      <c r="C8275" t="s">
        <v>25950</v>
      </c>
      <c r="D8275" t="s">
        <v>25951</v>
      </c>
      <c r="E8275">
        <v>11</v>
      </c>
      <c r="F8275" t="str">
        <f>HYPERLINK("https://github.com/MozillaReality/FirefoxReality/issues/1267", "show")</f>
        <v>show</v>
      </c>
      <c r="G8275" t="str">
        <f>HYPERLINK("https://github.com/MozillaReality/FirefoxReality", "show")</f>
        <v>show</v>
      </c>
      <c r="H8275" t="str">
        <f>HYPERLINK("https://github.com/MozillaReality/FirefoxReality/releases", "show")</f>
        <v>show</v>
      </c>
      <c r="I8275">
        <v>1</v>
      </c>
      <c r="J8275">
        <v>0</v>
      </c>
      <c r="K8275">
        <v>0</v>
      </c>
      <c r="L8275">
        <v>0</v>
      </c>
      <c r="M8275" t="s">
        <v>17</v>
      </c>
    </row>
    <row r="8276" spans="1:13" hidden="1" x14ac:dyDescent="0.15">
      <c r="A8276" t="s">
        <v>25952</v>
      </c>
      <c r="B8276" t="s">
        <v>25953</v>
      </c>
      <c r="C8276" t="s">
        <v>25954</v>
      </c>
      <c r="D8276" t="s">
        <v>25951</v>
      </c>
      <c r="E8276">
        <v>0</v>
      </c>
      <c r="F8276" t="str">
        <f>HYPERLINK("https://github.com/ongakken/Caffeinator/issues/18", "show")</f>
        <v>show</v>
      </c>
      <c r="G8276" t="str">
        <f>HYPERLINK("https://github.com/ongakken/Caffeinator", "show")</f>
        <v>show</v>
      </c>
      <c r="H8276" t="str">
        <f>HYPERLINK("https://github.com/ongakken/Caffeinator/releases", "show")</f>
        <v>show</v>
      </c>
      <c r="I8276">
        <v>1</v>
      </c>
      <c r="J8276">
        <v>0</v>
      </c>
      <c r="K8276">
        <v>0</v>
      </c>
      <c r="L8276">
        <v>0</v>
      </c>
      <c r="M8276" t="s">
        <v>17</v>
      </c>
    </row>
    <row r="8277" spans="1:13" hidden="1" x14ac:dyDescent="0.15">
      <c r="A8277" t="s">
        <v>25955</v>
      </c>
      <c r="B8277" t="s">
        <v>25956</v>
      </c>
      <c r="C8277" t="s">
        <v>25957</v>
      </c>
      <c r="D8277" t="s">
        <v>25958</v>
      </c>
      <c r="E8277">
        <v>97</v>
      </c>
      <c r="F8277" t="str">
        <f>HYPERLINK("https://github.com/KeepSafe/Cashier/issues/35", "show")</f>
        <v>show</v>
      </c>
      <c r="G8277" t="str">
        <f>HYPERLINK("https://github.com/KeepSafe/Cashier", "show")</f>
        <v>show</v>
      </c>
      <c r="H8277" t="str">
        <f>HYPERLINK("https://github.com/KeepSafe/Cashier/releases", "show")</f>
        <v>show</v>
      </c>
      <c r="I8277">
        <v>0</v>
      </c>
      <c r="J8277">
        <v>0</v>
      </c>
      <c r="K8277">
        <v>0</v>
      </c>
      <c r="L8277">
        <v>0</v>
      </c>
      <c r="M8277" t="s">
        <v>43</v>
      </c>
    </row>
    <row r="8278" spans="1:13" hidden="1" x14ac:dyDescent="0.15">
      <c r="A8278" t="s">
        <v>25959</v>
      </c>
      <c r="B8278" t="s">
        <v>25960</v>
      </c>
      <c r="C8278" t="s">
        <v>25961</v>
      </c>
      <c r="D8278" t="s">
        <v>25958</v>
      </c>
      <c r="E8278">
        <v>0</v>
      </c>
      <c r="F8278" t="str">
        <f>HYPERLINK("https://github.com/fossasia/neurolab-android/issues/245", "show")</f>
        <v>show</v>
      </c>
      <c r="G8278" t="str">
        <f>HYPERLINK("https://github.com/fossasia/neurolab-android", "show")</f>
        <v>show</v>
      </c>
      <c r="H8278" t="str">
        <f>HYPERLINK("https://github.com/fossasia/neurolab-android/releases", "show")</f>
        <v>show</v>
      </c>
      <c r="I8278">
        <v>1</v>
      </c>
      <c r="J8278">
        <v>0</v>
      </c>
      <c r="K8278">
        <v>0</v>
      </c>
      <c r="L8278">
        <v>0</v>
      </c>
      <c r="M8278" t="s">
        <v>17</v>
      </c>
    </row>
    <row r="8279" spans="1:13" x14ac:dyDescent="0.15">
      <c r="A8279" t="s">
        <v>25962</v>
      </c>
      <c r="B8279" t="s">
        <v>25963</v>
      </c>
      <c r="C8279" t="s">
        <v>25964</v>
      </c>
      <c r="D8279" t="s">
        <v>25958</v>
      </c>
      <c r="E8279">
        <v>7</v>
      </c>
      <c r="F8279" t="str">
        <f>HYPERLINK("https://github.com/nextcloud/talk-android/issues/548", "show")</f>
        <v>show</v>
      </c>
      <c r="G8279" t="str">
        <f>HYPERLINK("https://github.com/nextcloud/talk-android", "show")</f>
        <v>show</v>
      </c>
      <c r="H8279" t="str">
        <f>HYPERLINK("https://github.com/nextcloud/talk-android/releases", "show")</f>
        <v>show</v>
      </c>
      <c r="I8279">
        <v>0</v>
      </c>
      <c r="J8279">
        <v>1</v>
      </c>
      <c r="K8279">
        <v>0</v>
      </c>
      <c r="L8279">
        <v>0</v>
      </c>
      <c r="M8279" t="s">
        <v>139</v>
      </c>
    </row>
    <row r="8280" spans="1:13" hidden="1" x14ac:dyDescent="0.15">
      <c r="A8280" t="s">
        <v>25965</v>
      </c>
      <c r="B8280" t="s">
        <v>25966</v>
      </c>
      <c r="C8280" t="s">
        <v>25967</v>
      </c>
      <c r="D8280" t="s">
        <v>25958</v>
      </c>
      <c r="E8280">
        <v>58</v>
      </c>
      <c r="F8280" t="str">
        <f>HYPERLINK("https://github.com/TeamNewPipe/NewPipe/issues/2360", "show")</f>
        <v>show</v>
      </c>
      <c r="G8280" t="str">
        <f>HYPERLINK("https://github.com/TeamNewPipe/NewPipe", "show")</f>
        <v>show</v>
      </c>
      <c r="H8280" t="str">
        <f>HYPERLINK("https://github.com/TeamNewPipe/NewPipe/releases", "show")</f>
        <v>show</v>
      </c>
      <c r="I8280">
        <v>1</v>
      </c>
      <c r="J8280">
        <v>0</v>
      </c>
      <c r="K8280">
        <v>0</v>
      </c>
      <c r="L8280">
        <v>0</v>
      </c>
      <c r="M8280" t="s">
        <v>17</v>
      </c>
    </row>
    <row r="8281" spans="1:13" hidden="1" x14ac:dyDescent="0.15">
      <c r="A8281" t="s">
        <v>25968</v>
      </c>
      <c r="B8281" t="s">
        <v>25969</v>
      </c>
      <c r="C8281" t="s">
        <v>25970</v>
      </c>
      <c r="D8281" t="s">
        <v>25971</v>
      </c>
      <c r="E8281">
        <v>321</v>
      </c>
      <c r="F8281" t="str">
        <f>HYPERLINK("https://github.com/NordicSemiconductor/Android-nRF-Blinky/issues/24", "show")</f>
        <v>show</v>
      </c>
      <c r="G8281" t="str">
        <f>HYPERLINK("https://github.com/NordicSemiconductor/Android-nRF-Blinky", "show")</f>
        <v>show</v>
      </c>
      <c r="H8281" t="str">
        <f>HYPERLINK("https://github.com/NordicSemiconductor/Android-nRF-Blinky/releases", "show")</f>
        <v>show</v>
      </c>
      <c r="I8281">
        <v>1</v>
      </c>
      <c r="J8281">
        <v>1</v>
      </c>
      <c r="K8281">
        <v>1</v>
      </c>
      <c r="L8281">
        <v>0</v>
      </c>
      <c r="M8281" t="s">
        <v>59</v>
      </c>
    </row>
    <row r="8282" spans="1:13" hidden="1" x14ac:dyDescent="0.15">
      <c r="A8282" t="s">
        <v>25972</v>
      </c>
      <c r="B8282" t="s">
        <v>25973</v>
      </c>
      <c r="C8282" t="s">
        <v>25974</v>
      </c>
      <c r="D8282" t="s">
        <v>25975</v>
      </c>
      <c r="E8282">
        <v>0</v>
      </c>
      <c r="F8282" t="str">
        <f>HYPERLINK("https://github.com/gauravjot/android-noad-music-player/issues/1", "show")</f>
        <v>show</v>
      </c>
      <c r="G8282" t="str">
        <f>HYPERLINK("https://github.com/gauravjot/android-noad-music-player", "show")</f>
        <v>show</v>
      </c>
      <c r="H8282" t="str">
        <f>HYPERLINK("https://github.com/gauravjot/android-noad-music-player/releases", "show")</f>
        <v>show</v>
      </c>
      <c r="I8282">
        <v>1</v>
      </c>
      <c r="J8282">
        <v>1</v>
      </c>
      <c r="K8282">
        <v>1</v>
      </c>
      <c r="L8282">
        <v>0</v>
      </c>
      <c r="M8282" t="s">
        <v>59</v>
      </c>
    </row>
    <row r="8283" spans="1:13" hidden="1" x14ac:dyDescent="0.15">
      <c r="A8283" t="s">
        <v>25976</v>
      </c>
      <c r="B8283" t="s">
        <v>25977</v>
      </c>
      <c r="C8283" t="s">
        <v>25978</v>
      </c>
      <c r="D8283" t="s">
        <v>25975</v>
      </c>
      <c r="E8283">
        <v>17</v>
      </c>
      <c r="F8283" t="str">
        <f>HYPERLINK("https://github.com/fossasia/pslab-android/issues/1736", "show")</f>
        <v>show</v>
      </c>
      <c r="G8283" t="str">
        <f>HYPERLINK("https://github.com/fossasia/pslab-android", "show")</f>
        <v>show</v>
      </c>
      <c r="H8283" t="str">
        <f>HYPERLINK("https://github.com/fossasia/pslab-android/releases", "show")</f>
        <v>show</v>
      </c>
      <c r="I8283">
        <v>1</v>
      </c>
      <c r="J8283">
        <v>0</v>
      </c>
      <c r="K8283">
        <v>1</v>
      </c>
      <c r="L8283">
        <v>0</v>
      </c>
      <c r="M8283" t="s">
        <v>64</v>
      </c>
    </row>
    <row r="8284" spans="1:13" hidden="1" x14ac:dyDescent="0.15">
      <c r="A8284" t="s">
        <v>25979</v>
      </c>
      <c r="B8284" t="s">
        <v>25980</v>
      </c>
      <c r="C8284" t="s">
        <v>25981</v>
      </c>
      <c r="D8284" t="s">
        <v>25975</v>
      </c>
      <c r="E8284">
        <v>1</v>
      </c>
      <c r="F8284" t="str">
        <f>HYPERLINK("https://github.com/novoda/no-player/issues/242", "show")</f>
        <v>show</v>
      </c>
      <c r="G8284" t="str">
        <f>HYPERLINK("https://github.com/novoda/no-player", "show")</f>
        <v>show</v>
      </c>
      <c r="H8284" t="str">
        <f>HYPERLINK("https://github.com/novoda/no-player/releases", "show")</f>
        <v>show</v>
      </c>
      <c r="I8284">
        <v>1</v>
      </c>
      <c r="J8284">
        <v>0</v>
      </c>
      <c r="K8284">
        <v>0</v>
      </c>
      <c r="L8284">
        <v>0</v>
      </c>
      <c r="M8284" t="s">
        <v>17</v>
      </c>
    </row>
    <row r="8285" spans="1:13" hidden="1" x14ac:dyDescent="0.15">
      <c r="A8285" t="s">
        <v>25982</v>
      </c>
      <c r="B8285" t="s">
        <v>25983</v>
      </c>
      <c r="C8285" t="s">
        <v>25984</v>
      </c>
      <c r="D8285" t="s">
        <v>25975</v>
      </c>
      <c r="E8285">
        <v>1</v>
      </c>
      <c r="F8285" t="str">
        <f>HYPERLINK("https://github.com/TechnionYP5779/team1-Social-Geha/issues/83", "show")</f>
        <v>show</v>
      </c>
      <c r="G8285" t="str">
        <f>HYPERLINK("https://github.com/TechnionYP5779/team1-Social-Geha", "show")</f>
        <v>show</v>
      </c>
      <c r="H8285" t="str">
        <f>HYPERLINK("https://github.com/TechnionYP5779/team1-Social-Geha/releases", "show")</f>
        <v>show</v>
      </c>
      <c r="I8285">
        <v>0</v>
      </c>
      <c r="J8285">
        <v>0</v>
      </c>
      <c r="K8285">
        <v>0</v>
      </c>
      <c r="L8285">
        <v>0</v>
      </c>
      <c r="M8285" t="s">
        <v>43</v>
      </c>
    </row>
    <row r="8286" spans="1:13" hidden="1" x14ac:dyDescent="0.15">
      <c r="A8286" t="s">
        <v>25985</v>
      </c>
      <c r="B8286" t="s">
        <v>25986</v>
      </c>
      <c r="C8286" t="s">
        <v>25987</v>
      </c>
      <c r="D8286" t="s">
        <v>25975</v>
      </c>
      <c r="E8286">
        <v>36</v>
      </c>
      <c r="F8286" t="str">
        <f>HYPERLINK("https://github.com/aws-amplify/aws-sdk-android/issues/972", "show")</f>
        <v>show</v>
      </c>
      <c r="G8286" t="str">
        <f>HYPERLINK("https://github.com/aws-amplify/aws-sdk-android", "show")</f>
        <v>show</v>
      </c>
      <c r="H8286" t="str">
        <f>HYPERLINK("https://github.com/aws-amplify/aws-sdk-android/releases", "show")</f>
        <v>show</v>
      </c>
      <c r="I8286">
        <v>0</v>
      </c>
      <c r="J8286">
        <v>0</v>
      </c>
      <c r="K8286">
        <v>1</v>
      </c>
      <c r="L8286">
        <v>0</v>
      </c>
      <c r="M8286" t="s">
        <v>122</v>
      </c>
    </row>
    <row r="8287" spans="1:13" hidden="1" x14ac:dyDescent="0.15">
      <c r="A8287" t="s">
        <v>25988</v>
      </c>
      <c r="B8287" t="s">
        <v>25989</v>
      </c>
      <c r="C8287" t="s">
        <v>25990</v>
      </c>
      <c r="D8287" t="s">
        <v>25991</v>
      </c>
      <c r="E8287">
        <v>0</v>
      </c>
      <c r="F8287" t="str">
        <f>HYPERLINK("https://github.com/bp713/GPIG-Team-A/issues/5", "show")</f>
        <v>show</v>
      </c>
      <c r="G8287" t="str">
        <f>HYPERLINK("https://github.com/bp713/GPIG-Team-A", "show")</f>
        <v>show</v>
      </c>
      <c r="H8287" t="str">
        <f>HYPERLINK("https://github.com/bp713/GPIG-Team-A/releases", "show")</f>
        <v>show</v>
      </c>
      <c r="I8287">
        <v>1</v>
      </c>
      <c r="J8287">
        <v>0</v>
      </c>
      <c r="K8287">
        <v>0</v>
      </c>
      <c r="L8287">
        <v>0</v>
      </c>
      <c r="M8287" t="s">
        <v>17</v>
      </c>
    </row>
    <row r="8288" spans="1:13" hidden="1" x14ac:dyDescent="0.15">
      <c r="A8288" t="s">
        <v>25992</v>
      </c>
      <c r="B8288" t="s">
        <v>25993</v>
      </c>
      <c r="C8288" t="s">
        <v>25994</v>
      </c>
      <c r="D8288" t="s">
        <v>25991</v>
      </c>
      <c r="E8288">
        <v>0</v>
      </c>
      <c r="F8288" t="str">
        <f>HYPERLINK("https://github.com/bp713/GPIG-Team-A/issues/4", "show")</f>
        <v>show</v>
      </c>
      <c r="G8288" t="str">
        <f>HYPERLINK("https://github.com/bp713/GPIG-Team-A", "show")</f>
        <v>show</v>
      </c>
      <c r="H8288" t="str">
        <f>HYPERLINK("https://github.com/bp713/GPIG-Team-A/releases", "show")</f>
        <v>show</v>
      </c>
      <c r="I8288">
        <v>1</v>
      </c>
      <c r="J8288">
        <v>0</v>
      </c>
      <c r="K8288">
        <v>0</v>
      </c>
      <c r="L8288">
        <v>0</v>
      </c>
      <c r="M8288" t="s">
        <v>17</v>
      </c>
    </row>
    <row r="8289" spans="1:13" hidden="1" x14ac:dyDescent="0.15">
      <c r="A8289" t="s">
        <v>25995</v>
      </c>
      <c r="B8289" t="s">
        <v>25996</v>
      </c>
      <c r="C8289" t="s">
        <v>25997</v>
      </c>
      <c r="D8289" t="s">
        <v>25991</v>
      </c>
      <c r="E8289">
        <v>93</v>
      </c>
      <c r="F8289" t="str">
        <f>HYPERLINK("https://github.com/lisawray/groupie/issues/257", "show")</f>
        <v>show</v>
      </c>
      <c r="G8289" t="str">
        <f>HYPERLINK("https://github.com/lisawray/groupie", "show")</f>
        <v>show</v>
      </c>
      <c r="H8289" t="str">
        <f>HYPERLINK("https://github.com/lisawray/groupie/releases", "show")</f>
        <v>show</v>
      </c>
      <c r="I8289">
        <v>1</v>
      </c>
      <c r="J8289">
        <v>0</v>
      </c>
      <c r="K8289">
        <v>0</v>
      </c>
      <c r="L8289">
        <v>0</v>
      </c>
      <c r="M8289" t="s">
        <v>17</v>
      </c>
    </row>
    <row r="8290" spans="1:13" hidden="1" x14ac:dyDescent="0.15">
      <c r="A8290" t="s">
        <v>25998</v>
      </c>
      <c r="B8290" t="s">
        <v>25999</v>
      </c>
      <c r="C8290" t="s">
        <v>26000</v>
      </c>
      <c r="D8290" t="s">
        <v>25991</v>
      </c>
      <c r="E8290">
        <v>12</v>
      </c>
      <c r="F8290" t="str">
        <f>HYPERLINK("https://github.com/vvvt/android-speaker-identification/issues/2", "show")</f>
        <v>show</v>
      </c>
      <c r="G8290" t="str">
        <f>HYPERLINK("https://github.com/vvvt/android-speaker-identification", "show")</f>
        <v>show</v>
      </c>
      <c r="H8290" t="str">
        <f>HYPERLINK("https://github.com/vvvt/android-speaker-identification/releases", "show")</f>
        <v>show</v>
      </c>
      <c r="I8290">
        <v>1</v>
      </c>
      <c r="J8290">
        <v>0</v>
      </c>
      <c r="K8290">
        <v>0</v>
      </c>
      <c r="L8290">
        <v>0</v>
      </c>
      <c r="M8290" t="s">
        <v>17</v>
      </c>
    </row>
    <row r="8291" spans="1:13" hidden="1" x14ac:dyDescent="0.15">
      <c r="A8291" t="s">
        <v>26001</v>
      </c>
      <c r="B8291" t="s">
        <v>26002</v>
      </c>
      <c r="C8291" t="s">
        <v>23994</v>
      </c>
      <c r="D8291" t="s">
        <v>25991</v>
      </c>
      <c r="E8291">
        <v>51</v>
      </c>
      <c r="F8291" t="str">
        <f>HYPERLINK("https://github.com/nextcloud/android/issues/4054", "show")</f>
        <v>show</v>
      </c>
      <c r="G8291" t="str">
        <f>HYPERLINK("https://github.com/nextcloud/android", "show")</f>
        <v>show</v>
      </c>
      <c r="H8291" t="str">
        <f>HYPERLINK("https://github.com/nextcloud/android/releases", "show")</f>
        <v>show</v>
      </c>
      <c r="I8291">
        <v>1</v>
      </c>
      <c r="J8291">
        <v>1</v>
      </c>
      <c r="K8291">
        <v>0</v>
      </c>
      <c r="L8291">
        <v>0</v>
      </c>
      <c r="M8291" t="s">
        <v>48</v>
      </c>
    </row>
    <row r="8292" spans="1:13" hidden="1" x14ac:dyDescent="0.15">
      <c r="A8292" t="s">
        <v>26003</v>
      </c>
      <c r="B8292" t="s">
        <v>26004</v>
      </c>
      <c r="C8292" t="s">
        <v>26005</v>
      </c>
      <c r="D8292" t="s">
        <v>26006</v>
      </c>
      <c r="E8292">
        <v>1</v>
      </c>
      <c r="F8292" t="str">
        <f>HYPERLINK("https://github.com/bp713/GPIG-Team-A/issues/2", "show")</f>
        <v>show</v>
      </c>
      <c r="G8292" t="str">
        <f>HYPERLINK("https://github.com/bp713/GPIG-Team-A", "show")</f>
        <v>show</v>
      </c>
      <c r="H8292" t="str">
        <f>HYPERLINK("https://github.com/bp713/GPIG-Team-A/releases", "show")</f>
        <v>show</v>
      </c>
      <c r="I8292">
        <v>1</v>
      </c>
      <c r="J8292">
        <v>0</v>
      </c>
      <c r="K8292">
        <v>1</v>
      </c>
      <c r="L8292">
        <v>0</v>
      </c>
      <c r="M8292" t="s">
        <v>64</v>
      </c>
    </row>
    <row r="8293" spans="1:13" hidden="1" x14ac:dyDescent="0.15">
      <c r="A8293" t="s">
        <v>26007</v>
      </c>
      <c r="B8293" t="s">
        <v>26008</v>
      </c>
      <c r="C8293" t="s">
        <v>26009</v>
      </c>
      <c r="D8293" t="s">
        <v>26006</v>
      </c>
      <c r="E8293">
        <v>1</v>
      </c>
      <c r="F8293" t="str">
        <f>HYPERLINK("https://github.com/Baltasarq/nadamillas/issues/1", "show")</f>
        <v>show</v>
      </c>
      <c r="G8293" t="str">
        <f>HYPERLINK("https://github.com/Baltasarq/nadamillas", "show")</f>
        <v>show</v>
      </c>
      <c r="H8293" t="str">
        <f>HYPERLINK("https://github.com/Baltasarq/nadamillas/releases", "show")</f>
        <v>show</v>
      </c>
      <c r="I8293">
        <v>1</v>
      </c>
      <c r="J8293">
        <v>0</v>
      </c>
      <c r="K8293">
        <v>1</v>
      </c>
      <c r="L8293">
        <v>0</v>
      </c>
      <c r="M8293" t="s">
        <v>64</v>
      </c>
    </row>
    <row r="8294" spans="1:13" hidden="1" x14ac:dyDescent="0.15">
      <c r="A8294" t="s">
        <v>26010</v>
      </c>
      <c r="B8294" t="s">
        <v>26011</v>
      </c>
      <c r="C8294" t="s">
        <v>26012</v>
      </c>
      <c r="D8294" t="s">
        <v>26013</v>
      </c>
      <c r="E8294">
        <v>254</v>
      </c>
      <c r="F8294" t="str">
        <f>HYPERLINK("https://github.com/segler-alex/RadioDroid/issues/497", "show")</f>
        <v>show</v>
      </c>
      <c r="G8294" t="str">
        <f>HYPERLINK("https://github.com/segler-alex/RadioDroid", "show")</f>
        <v>show</v>
      </c>
      <c r="H8294" t="str">
        <f>HYPERLINK("https://github.com/segler-alex/RadioDroid/releases", "show")</f>
        <v>show</v>
      </c>
      <c r="I8294">
        <v>1</v>
      </c>
      <c r="J8294">
        <v>0</v>
      </c>
      <c r="K8294">
        <v>0</v>
      </c>
      <c r="L8294">
        <v>0</v>
      </c>
      <c r="M8294" t="s">
        <v>17</v>
      </c>
    </row>
    <row r="8295" spans="1:13" hidden="1" x14ac:dyDescent="0.15">
      <c r="A8295" t="s">
        <v>26014</v>
      </c>
      <c r="B8295" t="s">
        <v>26015</v>
      </c>
      <c r="C8295" t="s">
        <v>26016</v>
      </c>
      <c r="D8295" t="s">
        <v>26017</v>
      </c>
      <c r="E8295">
        <v>372</v>
      </c>
      <c r="F8295" t="str">
        <f>HYPERLINK("https://github.com/nextcloud/news-android/issues/770", "show")</f>
        <v>show</v>
      </c>
      <c r="G8295" t="str">
        <f>HYPERLINK("https://github.com/nextcloud/news-android", "show")</f>
        <v>show</v>
      </c>
      <c r="H8295" t="str">
        <f>HYPERLINK("https://github.com/nextcloud/news-android/releases", "show")</f>
        <v>show</v>
      </c>
      <c r="I8295">
        <v>1</v>
      </c>
      <c r="J8295">
        <v>0</v>
      </c>
      <c r="K8295">
        <v>0</v>
      </c>
      <c r="L8295">
        <v>0</v>
      </c>
      <c r="M8295" t="s">
        <v>17</v>
      </c>
    </row>
    <row r="8296" spans="1:13" hidden="1" x14ac:dyDescent="0.15">
      <c r="A8296" t="s">
        <v>26018</v>
      </c>
      <c r="B8296" t="s">
        <v>26019</v>
      </c>
      <c r="C8296" t="s">
        <v>26020</v>
      </c>
      <c r="D8296" t="s">
        <v>26017</v>
      </c>
      <c r="E8296">
        <v>2</v>
      </c>
      <c r="F8296" t="str">
        <f>HYPERLINK("https://github.com/mehnlo/PracticeApp/issues/9", "show")</f>
        <v>show</v>
      </c>
      <c r="G8296" t="str">
        <f>HYPERLINK("https://github.com/mehnlo/PracticeApp", "show")</f>
        <v>show</v>
      </c>
      <c r="H8296" t="str">
        <f>HYPERLINK("https://github.com/mehnlo/PracticeApp/releases", "show")</f>
        <v>show</v>
      </c>
      <c r="I8296">
        <v>1</v>
      </c>
      <c r="J8296">
        <v>0</v>
      </c>
      <c r="K8296">
        <v>0</v>
      </c>
      <c r="L8296">
        <v>0</v>
      </c>
      <c r="M8296" t="s">
        <v>17</v>
      </c>
    </row>
    <row r="8297" spans="1:13" hidden="1" x14ac:dyDescent="0.15">
      <c r="A8297" t="s">
        <v>26021</v>
      </c>
      <c r="B8297" t="s">
        <v>26022</v>
      </c>
      <c r="C8297" t="s">
        <v>26023</v>
      </c>
      <c r="D8297" t="s">
        <v>26017</v>
      </c>
      <c r="E8297">
        <v>27</v>
      </c>
      <c r="F8297" t="str">
        <f>HYPERLINK("https://github.com/ElderDrivers/EdXposed/issues/258", "show")</f>
        <v>show</v>
      </c>
      <c r="G8297" t="str">
        <f>HYPERLINK("https://github.com/ElderDrivers/EdXposed", "show")</f>
        <v>show</v>
      </c>
      <c r="H8297" t="str">
        <f>HYPERLINK("https://github.com/ElderDrivers/EdXposed/releases", "show")</f>
        <v>show</v>
      </c>
      <c r="I8297">
        <v>0</v>
      </c>
      <c r="J8297">
        <v>0</v>
      </c>
      <c r="K8297">
        <v>0</v>
      </c>
      <c r="L8297">
        <v>0</v>
      </c>
      <c r="M8297" t="s">
        <v>43</v>
      </c>
    </row>
    <row r="8298" spans="1:13" hidden="1" x14ac:dyDescent="0.15">
      <c r="A8298" t="s">
        <v>26024</v>
      </c>
      <c r="B8298" t="s">
        <v>26025</v>
      </c>
      <c r="C8298" t="s">
        <v>26026</v>
      </c>
      <c r="D8298" t="s">
        <v>26027</v>
      </c>
      <c r="E8298">
        <v>4</v>
      </c>
      <c r="F8298" t="str">
        <f>HYPERLINK("https://github.com/roberto-o-r/DailyPrayer-Android/issues/22", "show")</f>
        <v>show</v>
      </c>
      <c r="G8298" t="str">
        <f>HYPERLINK("https://github.com/roberto-o-r/DailyPrayer-Android", "show")</f>
        <v>show</v>
      </c>
      <c r="H8298" t="str">
        <f>HYPERLINK("https://github.com/roberto-o-r/DailyPrayer-Android/releases", "show")</f>
        <v>show</v>
      </c>
      <c r="I8298">
        <v>1</v>
      </c>
      <c r="J8298">
        <v>0</v>
      </c>
      <c r="K8298">
        <v>1</v>
      </c>
      <c r="L8298">
        <v>0</v>
      </c>
      <c r="M8298" t="s">
        <v>64</v>
      </c>
    </row>
    <row r="8299" spans="1:13" hidden="1" x14ac:dyDescent="0.15">
      <c r="A8299" t="s">
        <v>26028</v>
      </c>
      <c r="B8299" t="s">
        <v>26029</v>
      </c>
      <c r="C8299" t="s">
        <v>26030</v>
      </c>
      <c r="D8299" t="s">
        <v>26027</v>
      </c>
      <c r="E8299">
        <v>2</v>
      </c>
      <c r="F8299" t="str">
        <f>HYPERLINK("https://github.com/mathisdt/sdbviewer/issues/10", "show")</f>
        <v>show</v>
      </c>
      <c r="G8299" t="str">
        <f>HYPERLINK("https://github.com/mathisdt/sdbviewer", "show")</f>
        <v>show</v>
      </c>
      <c r="H8299" t="str">
        <f>HYPERLINK("https://github.com/mathisdt/sdbviewer/releases", "show")</f>
        <v>show</v>
      </c>
      <c r="I8299">
        <v>1</v>
      </c>
      <c r="J8299">
        <v>0</v>
      </c>
      <c r="K8299">
        <v>1</v>
      </c>
      <c r="L8299">
        <v>0</v>
      </c>
      <c r="M8299" t="s">
        <v>64</v>
      </c>
    </row>
    <row r="8300" spans="1:13" hidden="1" x14ac:dyDescent="0.15">
      <c r="A8300" t="s">
        <v>26031</v>
      </c>
      <c r="B8300" t="s">
        <v>26032</v>
      </c>
      <c r="D8300" t="s">
        <v>26027</v>
      </c>
      <c r="E8300">
        <v>0</v>
      </c>
      <c r="F8300" t="str">
        <f>HYPERLINK("https://github.com/open-learning-exchange/myplanet/issues/820", "show")</f>
        <v>show</v>
      </c>
      <c r="G8300" t="str">
        <f>HYPERLINK("https://github.com/open-learning-exchange/myplanet", "show")</f>
        <v>show</v>
      </c>
      <c r="H8300" t="str">
        <f>HYPERLINK("https://github.com/open-learning-exchange/myplanet/releases", "show")</f>
        <v>show</v>
      </c>
      <c r="I8300">
        <v>1</v>
      </c>
      <c r="J8300">
        <v>0</v>
      </c>
      <c r="K8300">
        <v>0</v>
      </c>
      <c r="L8300">
        <v>0</v>
      </c>
      <c r="M8300" t="s">
        <v>17</v>
      </c>
    </row>
    <row r="8301" spans="1:13" hidden="1" x14ac:dyDescent="0.15">
      <c r="A8301" t="s">
        <v>26033</v>
      </c>
      <c r="B8301" t="s">
        <v>26034</v>
      </c>
      <c r="C8301" t="s">
        <v>26035</v>
      </c>
      <c r="D8301" t="s">
        <v>26027</v>
      </c>
      <c r="E8301">
        <v>32</v>
      </c>
      <c r="F8301" t="str">
        <f>HYPERLINK("https://github.com/microsoft/appcenter-sdk-android/issues/1162", "show")</f>
        <v>show</v>
      </c>
      <c r="G8301" t="str">
        <f>HYPERLINK("https://github.com/microsoft/appcenter-sdk-android", "show")</f>
        <v>show</v>
      </c>
      <c r="H8301" t="str">
        <f>HYPERLINK("https://github.com/microsoft/appcenter-sdk-android/releases", "show")</f>
        <v>show</v>
      </c>
      <c r="I8301">
        <v>1</v>
      </c>
      <c r="J8301">
        <v>1</v>
      </c>
      <c r="K8301">
        <v>1</v>
      </c>
      <c r="L8301">
        <v>0</v>
      </c>
      <c r="M8301" t="s">
        <v>59</v>
      </c>
    </row>
    <row r="8302" spans="1:13" hidden="1" x14ac:dyDescent="0.15">
      <c r="A8302" t="s">
        <v>26036</v>
      </c>
      <c r="B8302" t="s">
        <v>26037</v>
      </c>
      <c r="C8302" t="s">
        <v>26038</v>
      </c>
      <c r="D8302" t="s">
        <v>26027</v>
      </c>
      <c r="E8302">
        <v>0</v>
      </c>
      <c r="F8302" t="str">
        <f>HYPERLINK("https://github.com/rajatgoyal715/Puzzle15/issues/44", "show")</f>
        <v>show</v>
      </c>
      <c r="G8302" t="str">
        <f>HYPERLINK("https://github.com/rajatgoyal715/Puzzle15", "show")</f>
        <v>show</v>
      </c>
      <c r="H8302" t="str">
        <f>HYPERLINK("https://github.com/rajatgoyal715/Puzzle15/releases", "show")</f>
        <v>show</v>
      </c>
      <c r="I8302">
        <v>1</v>
      </c>
      <c r="J8302">
        <v>1</v>
      </c>
      <c r="K8302">
        <v>0</v>
      </c>
      <c r="L8302">
        <v>0</v>
      </c>
      <c r="M8302" t="s">
        <v>48</v>
      </c>
    </row>
    <row r="8303" spans="1:13" hidden="1" x14ac:dyDescent="0.15">
      <c r="A8303" t="s">
        <v>26039</v>
      </c>
      <c r="B8303" t="s">
        <v>26040</v>
      </c>
      <c r="C8303" t="s">
        <v>26041</v>
      </c>
      <c r="D8303" t="s">
        <v>26027</v>
      </c>
      <c r="E8303">
        <v>15</v>
      </c>
      <c r="F8303" t="str">
        <f>HYPERLINK("https://github.com/fossasia/pslab-android/issues/1728", "show")</f>
        <v>show</v>
      </c>
      <c r="G8303" t="str">
        <f>HYPERLINK("https://github.com/fossasia/pslab-android", "show")</f>
        <v>show</v>
      </c>
      <c r="H8303" t="str">
        <f>HYPERLINK("https://github.com/fossasia/pslab-android/releases", "show")</f>
        <v>show</v>
      </c>
      <c r="I8303">
        <v>1</v>
      </c>
      <c r="J8303">
        <v>0</v>
      </c>
      <c r="K8303">
        <v>1</v>
      </c>
      <c r="L8303">
        <v>0</v>
      </c>
      <c r="M8303" t="s">
        <v>64</v>
      </c>
    </row>
    <row r="8304" spans="1:13" x14ac:dyDescent="0.15">
      <c r="A8304" t="s">
        <v>26042</v>
      </c>
      <c r="B8304" t="s">
        <v>26043</v>
      </c>
      <c r="C8304" t="s">
        <v>26044</v>
      </c>
      <c r="D8304" t="s">
        <v>26045</v>
      </c>
      <c r="E8304">
        <v>48</v>
      </c>
      <c r="F8304" t="str">
        <f>HYPERLINK("https://github.com/nextcloud/android/issues/4033", "show")</f>
        <v>show</v>
      </c>
      <c r="G8304" t="str">
        <f>HYPERLINK("https://github.com/nextcloud/android", "show")</f>
        <v>show</v>
      </c>
      <c r="H8304" t="str">
        <f>HYPERLINK("https://github.com/nextcloud/android/releases", "show")</f>
        <v>show</v>
      </c>
      <c r="I8304">
        <v>0</v>
      </c>
      <c r="J8304">
        <v>1</v>
      </c>
      <c r="K8304">
        <v>0</v>
      </c>
      <c r="L8304">
        <v>0</v>
      </c>
      <c r="M8304" t="s">
        <v>139</v>
      </c>
    </row>
    <row r="8305" spans="1:13" hidden="1" x14ac:dyDescent="0.15">
      <c r="A8305" t="s">
        <v>26046</v>
      </c>
      <c r="B8305" t="s">
        <v>26047</v>
      </c>
      <c r="C8305" t="s">
        <v>26048</v>
      </c>
      <c r="D8305" t="s">
        <v>26045</v>
      </c>
      <c r="E8305">
        <v>12</v>
      </c>
      <c r="F8305" t="str">
        <f>HYPERLINK("https://github.com/mapbox/mapbox-events-android/issues/399", "show")</f>
        <v>show</v>
      </c>
      <c r="G8305" t="str">
        <f>HYPERLINK("https://github.com/mapbox/mapbox-events-android", "show")</f>
        <v>show</v>
      </c>
      <c r="H8305" t="str">
        <f>HYPERLINK("https://github.com/mapbox/mapbox-events-android/releases", "show")</f>
        <v>show</v>
      </c>
      <c r="I8305">
        <v>1</v>
      </c>
      <c r="J8305">
        <v>0</v>
      </c>
      <c r="K8305">
        <v>1</v>
      </c>
      <c r="L8305">
        <v>0</v>
      </c>
      <c r="M8305" t="s">
        <v>64</v>
      </c>
    </row>
    <row r="8306" spans="1:13" hidden="1" x14ac:dyDescent="0.15">
      <c r="A8306" t="s">
        <v>26049</v>
      </c>
      <c r="B8306" t="s">
        <v>26050</v>
      </c>
      <c r="D8306" t="s">
        <v>26045</v>
      </c>
      <c r="E8306">
        <v>0</v>
      </c>
      <c r="F8306" t="str">
        <f>HYPERLINK("https://github.com/TM-CG/cmu1819/issues/87", "show")</f>
        <v>show</v>
      </c>
      <c r="G8306" t="str">
        <f>HYPERLINK("https://github.com/TM-CG/cmu1819", "show")</f>
        <v>show</v>
      </c>
      <c r="H8306" t="str">
        <f>HYPERLINK("https://github.com/TM-CG/cmu1819/releases", "show")</f>
        <v>show</v>
      </c>
      <c r="I8306">
        <v>1</v>
      </c>
      <c r="J8306">
        <v>0</v>
      </c>
      <c r="K8306">
        <v>0</v>
      </c>
      <c r="L8306">
        <v>0</v>
      </c>
      <c r="M8306" t="s">
        <v>17</v>
      </c>
    </row>
    <row r="8307" spans="1:13" hidden="1" x14ac:dyDescent="0.15">
      <c r="A8307" t="s">
        <v>26051</v>
      </c>
      <c r="B8307" t="s">
        <v>26052</v>
      </c>
      <c r="C8307" t="s">
        <v>26053</v>
      </c>
      <c r="D8307" t="s">
        <v>26054</v>
      </c>
      <c r="E8307">
        <v>5</v>
      </c>
      <c r="F8307" t="str">
        <f>HYPERLINK("https://github.com/fossasia/neurolab-android/issues/205", "show")</f>
        <v>show</v>
      </c>
      <c r="G8307" t="str">
        <f>HYPERLINK("https://github.com/fossasia/neurolab-android", "show")</f>
        <v>show</v>
      </c>
      <c r="H8307" t="str">
        <f>HYPERLINK("https://github.com/fossasia/neurolab-android/releases", "show")</f>
        <v>show</v>
      </c>
      <c r="I8307">
        <v>1</v>
      </c>
      <c r="J8307">
        <v>0</v>
      </c>
      <c r="K8307">
        <v>1</v>
      </c>
      <c r="L8307">
        <v>1</v>
      </c>
      <c r="M8307" t="s">
        <v>1259</v>
      </c>
    </row>
    <row r="8308" spans="1:13" hidden="1" x14ac:dyDescent="0.15">
      <c r="A8308" t="s">
        <v>26055</v>
      </c>
      <c r="B8308" t="s">
        <v>26056</v>
      </c>
      <c r="C8308" t="s">
        <v>26057</v>
      </c>
      <c r="D8308" t="s">
        <v>26054</v>
      </c>
      <c r="E8308">
        <v>21</v>
      </c>
      <c r="F8308" t="str">
        <f>HYPERLINK("https://github.com/sw19-tug/afternoon04/issues/62", "show")</f>
        <v>show</v>
      </c>
      <c r="G8308" t="str">
        <f>HYPERLINK("https://github.com/sw19-tug/afternoon04", "show")</f>
        <v>show</v>
      </c>
      <c r="H8308" t="str">
        <f>HYPERLINK("https://github.com/sw19-tug/afternoon04/releases", "show")</f>
        <v>show</v>
      </c>
      <c r="I8308">
        <v>1</v>
      </c>
      <c r="J8308">
        <v>0</v>
      </c>
      <c r="K8308">
        <v>0</v>
      </c>
      <c r="L8308">
        <v>0</v>
      </c>
      <c r="M8308" t="s">
        <v>17</v>
      </c>
    </row>
    <row r="8309" spans="1:13" hidden="1" x14ac:dyDescent="0.15">
      <c r="A8309" t="s">
        <v>26058</v>
      </c>
      <c r="B8309" t="s">
        <v>26059</v>
      </c>
      <c r="C8309" t="s">
        <v>26060</v>
      </c>
      <c r="D8309" t="s">
        <v>26054</v>
      </c>
      <c r="E8309">
        <v>18</v>
      </c>
      <c r="F8309" t="str">
        <f>HYPERLINK("https://github.com/renyuneyun/Easer/issues/224", "show")</f>
        <v>show</v>
      </c>
      <c r="G8309" t="str">
        <f>HYPERLINK("https://github.com/renyuneyun/Easer", "show")</f>
        <v>show</v>
      </c>
      <c r="H8309" t="str">
        <f>HYPERLINK("https://github.com/renyuneyun/Easer/releases", "show")</f>
        <v>show</v>
      </c>
      <c r="I8309">
        <v>1</v>
      </c>
      <c r="J8309">
        <v>1</v>
      </c>
      <c r="K8309">
        <v>1</v>
      </c>
      <c r="L8309">
        <v>1</v>
      </c>
      <c r="M8309" t="s">
        <v>2875</v>
      </c>
    </row>
    <row r="8310" spans="1:13" hidden="1" x14ac:dyDescent="0.15">
      <c r="A8310" t="s">
        <v>26061</v>
      </c>
      <c r="B8310" t="s">
        <v>26062</v>
      </c>
      <c r="C8310" t="s">
        <v>26063</v>
      </c>
      <c r="D8310" t="s">
        <v>26054</v>
      </c>
      <c r="E8310">
        <v>14</v>
      </c>
      <c r="F8310" t="str">
        <f>HYPERLINK("https://github.com/AltBeacon/android-beacon-library/issues/876", "show")</f>
        <v>show</v>
      </c>
      <c r="G8310" t="str">
        <f>HYPERLINK("https://github.com/AltBeacon/android-beacon-library", "show")</f>
        <v>show</v>
      </c>
      <c r="H8310" t="str">
        <f>HYPERLINK("https://github.com/AltBeacon/android-beacon-library/releases", "show")</f>
        <v>show</v>
      </c>
      <c r="I8310">
        <v>1</v>
      </c>
      <c r="J8310">
        <v>0</v>
      </c>
      <c r="K8310">
        <v>1</v>
      </c>
      <c r="L8310">
        <v>0</v>
      </c>
      <c r="M8310" t="s">
        <v>64</v>
      </c>
    </row>
    <row r="8311" spans="1:13" hidden="1" x14ac:dyDescent="0.15">
      <c r="A8311" t="s">
        <v>26064</v>
      </c>
      <c r="B8311" t="s">
        <v>26065</v>
      </c>
      <c r="C8311" t="s">
        <v>26066</v>
      </c>
      <c r="D8311" t="s">
        <v>26067</v>
      </c>
      <c r="E8311">
        <v>977</v>
      </c>
      <c r="F8311" t="str">
        <f>HYPERLINK("https://github.com/aws-amplify/aws-sdk-android/issues/956", "show")</f>
        <v>show</v>
      </c>
      <c r="G8311" t="str">
        <f>HYPERLINK("https://github.com/aws-amplify/aws-sdk-android", "show")</f>
        <v>show</v>
      </c>
      <c r="H8311" t="str">
        <f>HYPERLINK("https://github.com/aws-amplify/aws-sdk-android/releases", "show")</f>
        <v>show</v>
      </c>
      <c r="I8311">
        <v>1</v>
      </c>
      <c r="J8311">
        <v>1</v>
      </c>
      <c r="K8311">
        <v>1</v>
      </c>
      <c r="L8311">
        <v>0</v>
      </c>
      <c r="M8311" t="s">
        <v>59</v>
      </c>
    </row>
    <row r="8312" spans="1:13" hidden="1" x14ac:dyDescent="0.15">
      <c r="A8312" t="s">
        <v>26068</v>
      </c>
      <c r="B8312" t="s">
        <v>26069</v>
      </c>
      <c r="C8312" t="s">
        <v>26070</v>
      </c>
      <c r="D8312" t="s">
        <v>26067</v>
      </c>
      <c r="E8312">
        <v>0</v>
      </c>
      <c r="F8312" t="str">
        <f>HYPERLINK("https://github.com/Alfresco/alfresco-android-app/issues/544", "show")</f>
        <v>show</v>
      </c>
      <c r="G8312" t="str">
        <f>HYPERLINK("https://github.com/Alfresco/alfresco-android-app", "show")</f>
        <v>show</v>
      </c>
      <c r="H8312" t="str">
        <f>HYPERLINK("https://github.com/Alfresco/alfresco-android-app/releases", "show")</f>
        <v>show</v>
      </c>
      <c r="I8312">
        <v>0</v>
      </c>
      <c r="J8312">
        <v>0</v>
      </c>
      <c r="K8312">
        <v>0</v>
      </c>
      <c r="L8312">
        <v>0</v>
      </c>
      <c r="M8312" t="s">
        <v>43</v>
      </c>
    </row>
    <row r="8313" spans="1:13" hidden="1" x14ac:dyDescent="0.15">
      <c r="A8313" t="s">
        <v>26071</v>
      </c>
      <c r="B8313" t="s">
        <v>26072</v>
      </c>
      <c r="C8313" t="s">
        <v>26073</v>
      </c>
      <c r="D8313" t="s">
        <v>26067</v>
      </c>
      <c r="E8313">
        <v>0</v>
      </c>
      <c r="F8313" t="str">
        <f>HYPERLINK("https://github.com/dariuszseweryn/RxAndroidBle/issues/572", "show")</f>
        <v>show</v>
      </c>
      <c r="G8313" t="str">
        <f>HYPERLINK("https://github.com/dariuszseweryn/RxAndroidBle", "show")</f>
        <v>show</v>
      </c>
      <c r="H8313" t="str">
        <f>HYPERLINK("https://github.com/dariuszseweryn/RxAndroidBle/releases", "show")</f>
        <v>show</v>
      </c>
      <c r="I8313">
        <v>0</v>
      </c>
      <c r="J8313">
        <v>0</v>
      </c>
      <c r="K8313">
        <v>1</v>
      </c>
      <c r="L8313">
        <v>0</v>
      </c>
      <c r="M8313" t="s">
        <v>122</v>
      </c>
    </row>
    <row r="8314" spans="1:13" hidden="1" x14ac:dyDescent="0.15">
      <c r="A8314" t="s">
        <v>26074</v>
      </c>
      <c r="B8314" t="s">
        <v>26075</v>
      </c>
      <c r="C8314" t="s">
        <v>26076</v>
      </c>
      <c r="D8314" t="s">
        <v>26077</v>
      </c>
      <c r="E8314">
        <v>2</v>
      </c>
      <c r="F8314" t="str">
        <f>HYPERLINK("https://github.com/k3b/LosslessJpgCrop/issues/7", "show")</f>
        <v>show</v>
      </c>
      <c r="G8314" t="str">
        <f>HYPERLINK("https://github.com/k3b/LosslessJpgCrop", "show")</f>
        <v>show</v>
      </c>
      <c r="H8314" t="str">
        <f>HYPERLINK("https://github.com/k3b/LosslessJpgCrop/releases", "show")</f>
        <v>show</v>
      </c>
      <c r="I8314">
        <v>1</v>
      </c>
      <c r="J8314">
        <v>0</v>
      </c>
      <c r="K8314">
        <v>1</v>
      </c>
      <c r="L8314">
        <v>1</v>
      </c>
      <c r="M8314" t="s">
        <v>1259</v>
      </c>
    </row>
    <row r="8315" spans="1:13" hidden="1" x14ac:dyDescent="0.15">
      <c r="A8315" t="s">
        <v>26078</v>
      </c>
      <c r="B8315" t="s">
        <v>26079</v>
      </c>
      <c r="C8315" t="s">
        <v>26080</v>
      </c>
      <c r="D8315" t="s">
        <v>26081</v>
      </c>
      <c r="E8315">
        <v>13</v>
      </c>
      <c r="F8315" t="str">
        <f>HYPERLINK("https://github.com/mit-cml/appinventor-sources/issues/1686", "show")</f>
        <v>show</v>
      </c>
      <c r="G8315" t="str">
        <f>HYPERLINK("https://github.com/mit-cml/appinventor-sources", "show")</f>
        <v>show</v>
      </c>
      <c r="H8315" t="str">
        <f>HYPERLINK("https://github.com/mit-cml/appinventor-sources/releases", "show")</f>
        <v>show</v>
      </c>
      <c r="I8315">
        <v>1</v>
      </c>
      <c r="J8315">
        <v>0</v>
      </c>
      <c r="K8315">
        <v>0</v>
      </c>
      <c r="L8315">
        <v>0</v>
      </c>
      <c r="M8315" t="s">
        <v>17</v>
      </c>
    </row>
    <row r="8316" spans="1:13" hidden="1" x14ac:dyDescent="0.15">
      <c r="A8316" t="s">
        <v>26082</v>
      </c>
      <c r="B8316" t="s">
        <v>26083</v>
      </c>
      <c r="D8316" t="s">
        <v>26081</v>
      </c>
      <c r="E8316">
        <v>57</v>
      </c>
      <c r="F8316" t="str">
        <f>HYPERLINK("https://github.com/the3soundcrafties/SoundboardCrafter/issues/58", "show")</f>
        <v>show</v>
      </c>
      <c r="G8316" t="str">
        <f>HYPERLINK("https://github.com/the3soundcrafties/SoundboardCrafter", "show")</f>
        <v>show</v>
      </c>
      <c r="H8316" t="str">
        <f>HYPERLINK("https://github.com/the3soundcrafties/SoundboardCrafter/releases", "show")</f>
        <v>show</v>
      </c>
      <c r="I8316">
        <v>0</v>
      </c>
      <c r="J8316">
        <v>0</v>
      </c>
      <c r="K8316">
        <v>0</v>
      </c>
      <c r="L8316">
        <v>0</v>
      </c>
      <c r="M8316" t="s">
        <v>43</v>
      </c>
    </row>
    <row r="8317" spans="1:13" hidden="1" x14ac:dyDescent="0.15">
      <c r="A8317" t="s">
        <v>26084</v>
      </c>
      <c r="B8317" t="s">
        <v>26085</v>
      </c>
      <c r="C8317" t="s">
        <v>26086</v>
      </c>
      <c r="D8317" t="s">
        <v>26081</v>
      </c>
      <c r="E8317">
        <v>3</v>
      </c>
      <c r="F8317" t="str">
        <f>HYPERLINK("https://github.com/RamiJ3mli/PercentageChartView/issues/11", "show")</f>
        <v>show</v>
      </c>
      <c r="G8317" t="str">
        <f>HYPERLINK("https://github.com/RamiJ3mli/PercentageChartView", "show")</f>
        <v>show</v>
      </c>
      <c r="H8317" t="str">
        <f>HYPERLINK("https://github.com/RamiJ3mli/PercentageChartView/releases", "show")</f>
        <v>show</v>
      </c>
      <c r="I8317">
        <v>0</v>
      </c>
      <c r="J8317">
        <v>0</v>
      </c>
      <c r="K8317">
        <v>0</v>
      </c>
      <c r="L8317">
        <v>0</v>
      </c>
      <c r="M8317" t="s">
        <v>43</v>
      </c>
    </row>
    <row r="8318" spans="1:13" hidden="1" x14ac:dyDescent="0.15">
      <c r="A8318" t="s">
        <v>26087</v>
      </c>
      <c r="B8318" t="s">
        <v>26088</v>
      </c>
      <c r="C8318" t="s">
        <v>26089</v>
      </c>
      <c r="D8318" t="s">
        <v>26090</v>
      </c>
      <c r="E8318">
        <v>33</v>
      </c>
      <c r="F8318" t="str">
        <f>HYPERLINK("https://github.com/nextcloud/android/issues/4002", "show")</f>
        <v>show</v>
      </c>
      <c r="G8318" t="str">
        <f>HYPERLINK("https://github.com/nextcloud/android", "show")</f>
        <v>show</v>
      </c>
      <c r="H8318" t="str">
        <f>HYPERLINK("https://github.com/nextcloud/android/releases", "show")</f>
        <v>show</v>
      </c>
      <c r="I8318">
        <v>1</v>
      </c>
      <c r="J8318">
        <v>1</v>
      </c>
      <c r="K8318">
        <v>0</v>
      </c>
      <c r="L8318">
        <v>0</v>
      </c>
      <c r="M8318" t="s">
        <v>48</v>
      </c>
    </row>
    <row r="8319" spans="1:13" hidden="1" x14ac:dyDescent="0.15">
      <c r="A8319" t="s">
        <v>26091</v>
      </c>
      <c r="B8319" t="s">
        <v>26092</v>
      </c>
      <c r="C8319" t="s">
        <v>26093</v>
      </c>
      <c r="D8319" t="s">
        <v>26094</v>
      </c>
      <c r="E8319">
        <v>163</v>
      </c>
      <c r="F8319" t="str">
        <f>HYPERLINK("https://github.com/PeterStaev/nativescript-photo-editor/issues/23", "show")</f>
        <v>show</v>
      </c>
      <c r="G8319" t="str">
        <f>HYPERLINK("https://github.com/PeterStaev/nativescript-photo-editor", "show")</f>
        <v>show</v>
      </c>
      <c r="H8319" t="str">
        <f>HYPERLINK("https://github.com/PeterStaev/nativescript-photo-editor/releases", "show")</f>
        <v>show</v>
      </c>
      <c r="I8319">
        <v>1</v>
      </c>
      <c r="J8319">
        <v>1</v>
      </c>
      <c r="K8319">
        <v>0</v>
      </c>
      <c r="L8319">
        <v>0</v>
      </c>
      <c r="M8319" t="s">
        <v>48</v>
      </c>
    </row>
    <row r="8320" spans="1:13" hidden="1" x14ac:dyDescent="0.15">
      <c r="A8320" t="s">
        <v>26095</v>
      </c>
      <c r="B8320" t="s">
        <v>26096</v>
      </c>
      <c r="C8320" t="s">
        <v>26097</v>
      </c>
      <c r="D8320" t="s">
        <v>26094</v>
      </c>
      <c r="E8320">
        <v>102</v>
      </c>
      <c r="F8320" t="str">
        <f>HYPERLINK("https://github.com/ElderDrivers/EdXposed/issues/244", "show")</f>
        <v>show</v>
      </c>
      <c r="G8320" t="str">
        <f>HYPERLINK("https://github.com/ElderDrivers/EdXposed", "show")</f>
        <v>show</v>
      </c>
      <c r="H8320" t="str">
        <f>HYPERLINK("https://github.com/ElderDrivers/EdXposed/releases", "show")</f>
        <v>show</v>
      </c>
      <c r="I8320">
        <v>0</v>
      </c>
      <c r="J8320">
        <v>0</v>
      </c>
      <c r="K8320">
        <v>0</v>
      </c>
      <c r="L8320">
        <v>0</v>
      </c>
      <c r="M8320" t="s">
        <v>43</v>
      </c>
    </row>
    <row r="8321" spans="1:13" hidden="1" x14ac:dyDescent="0.15">
      <c r="A8321" t="s">
        <v>26098</v>
      </c>
      <c r="B8321" t="s">
        <v>26099</v>
      </c>
      <c r="C8321" t="s">
        <v>26100</v>
      </c>
      <c r="D8321" t="s">
        <v>26094</v>
      </c>
      <c r="E8321">
        <v>37</v>
      </c>
      <c r="F8321" t="str">
        <f>HYPERLINK("https://github.com/square/okhttp/issues/5024", "show")</f>
        <v>show</v>
      </c>
      <c r="G8321" t="str">
        <f>HYPERLINK("https://github.com/square/okhttp", "show")</f>
        <v>show</v>
      </c>
      <c r="H8321" t="str">
        <f>HYPERLINK("https://github.com/square/okhttp/releases", "show")</f>
        <v>show</v>
      </c>
      <c r="I8321">
        <v>1</v>
      </c>
      <c r="J8321">
        <v>0</v>
      </c>
      <c r="K8321">
        <v>0</v>
      </c>
      <c r="L8321">
        <v>0</v>
      </c>
      <c r="M8321" t="s">
        <v>17</v>
      </c>
    </row>
    <row r="8322" spans="1:13" hidden="1" x14ac:dyDescent="0.15">
      <c r="A8322" t="s">
        <v>26101</v>
      </c>
      <c r="B8322" t="s">
        <v>26102</v>
      </c>
      <c r="C8322" t="s">
        <v>26103</v>
      </c>
      <c r="D8322" t="s">
        <v>26104</v>
      </c>
      <c r="E8322">
        <v>1</v>
      </c>
      <c r="F8322" t="str">
        <f>HYPERLINK("https://github.com/MozillaReality/FirefoxReality/issues/1181", "show")</f>
        <v>show</v>
      </c>
      <c r="G8322" t="str">
        <f>HYPERLINK("https://github.com/MozillaReality/FirefoxReality", "show")</f>
        <v>show</v>
      </c>
      <c r="H8322" t="str">
        <f>HYPERLINK("https://github.com/MozillaReality/FirefoxReality/releases", "show")</f>
        <v>show</v>
      </c>
      <c r="I8322">
        <v>1</v>
      </c>
      <c r="J8322">
        <v>1</v>
      </c>
      <c r="K8322">
        <v>1</v>
      </c>
      <c r="L8322">
        <v>0</v>
      </c>
      <c r="M8322" t="s">
        <v>59</v>
      </c>
    </row>
    <row r="8323" spans="1:13" hidden="1" x14ac:dyDescent="0.15">
      <c r="A8323" t="s">
        <v>26105</v>
      </c>
      <c r="B8323" t="s">
        <v>26106</v>
      </c>
      <c r="C8323" t="s">
        <v>26107</v>
      </c>
      <c r="D8323" t="s">
        <v>26104</v>
      </c>
      <c r="E8323">
        <v>47</v>
      </c>
      <c r="F8323" t="str">
        <f>HYPERLINK("https://github.com/inaturalist/react-native-inat-camera/issues/13", "show")</f>
        <v>show</v>
      </c>
      <c r="G8323" t="str">
        <f>HYPERLINK("https://github.com/inaturalist/react-native-inat-camera", "show")</f>
        <v>show</v>
      </c>
      <c r="H8323" t="str">
        <f>HYPERLINK("https://github.com/inaturalist/react-native-inat-camera/releases", "show")</f>
        <v>show</v>
      </c>
      <c r="I8323">
        <v>1</v>
      </c>
      <c r="J8323">
        <v>0</v>
      </c>
      <c r="K8323">
        <v>0</v>
      </c>
      <c r="L8323">
        <v>0</v>
      </c>
      <c r="M8323" t="s">
        <v>17</v>
      </c>
    </row>
    <row r="8324" spans="1:13" hidden="1" x14ac:dyDescent="0.15">
      <c r="A8324" t="s">
        <v>26108</v>
      </c>
      <c r="B8324" t="s">
        <v>26109</v>
      </c>
      <c r="D8324" t="s">
        <v>26104</v>
      </c>
      <c r="E8324">
        <v>5</v>
      </c>
      <c r="F8324" t="str">
        <f>HYPERLINK("https://github.com/ErikFrisenstam/SystemetAppGrupp5/issues/35", "show")</f>
        <v>show</v>
      </c>
      <c r="G8324" t="str">
        <f>HYPERLINK("https://github.com/ErikFrisenstam/SystemetAppGrupp5", "show")</f>
        <v>show</v>
      </c>
      <c r="H8324" t="str">
        <f>HYPERLINK("https://github.com/ErikFrisenstam/SystemetAppGrupp5/releases", "show")</f>
        <v>show</v>
      </c>
      <c r="I8324">
        <v>0</v>
      </c>
      <c r="J8324">
        <v>0</v>
      </c>
      <c r="K8324">
        <v>0</v>
      </c>
      <c r="L8324">
        <v>0</v>
      </c>
      <c r="M8324" t="s">
        <v>43</v>
      </c>
    </row>
    <row r="8325" spans="1:13" hidden="1" x14ac:dyDescent="0.15">
      <c r="A8325" t="s">
        <v>26110</v>
      </c>
      <c r="B8325" t="s">
        <v>26111</v>
      </c>
      <c r="C8325" t="s">
        <v>26112</v>
      </c>
      <c r="D8325" t="s">
        <v>26113</v>
      </c>
      <c r="E8325">
        <v>475</v>
      </c>
      <c r="F8325" t="str">
        <f>HYPERLINK("https://github.com/nextcloud/android/issues/3973", "show")</f>
        <v>show</v>
      </c>
      <c r="G8325" t="str">
        <f>HYPERLINK("https://github.com/nextcloud/android", "show")</f>
        <v>show</v>
      </c>
      <c r="H8325" t="str">
        <f>HYPERLINK("https://github.com/nextcloud/android/releases", "show")</f>
        <v>show</v>
      </c>
      <c r="I8325">
        <v>0</v>
      </c>
      <c r="J8325">
        <v>1</v>
      </c>
      <c r="K8325">
        <v>1</v>
      </c>
      <c r="L8325">
        <v>0</v>
      </c>
      <c r="M8325" t="s">
        <v>699</v>
      </c>
    </row>
    <row r="8326" spans="1:13" hidden="1" x14ac:dyDescent="0.15">
      <c r="A8326" t="s">
        <v>26114</v>
      </c>
      <c r="B8326" t="s">
        <v>26115</v>
      </c>
      <c r="C8326" t="s">
        <v>26116</v>
      </c>
      <c r="D8326" t="s">
        <v>26117</v>
      </c>
      <c r="E8326">
        <v>43</v>
      </c>
      <c r="F8326" t="str">
        <f>HYPERLINK("https://github.com/microsoft/appcenter-sdk-android/issues/1141", "show")</f>
        <v>show</v>
      </c>
      <c r="G8326" t="str">
        <f>HYPERLINK("https://github.com/microsoft/appcenter-sdk-android", "show")</f>
        <v>show</v>
      </c>
      <c r="H8326" t="str">
        <f>HYPERLINK("https://github.com/microsoft/appcenter-sdk-android/releases", "show")</f>
        <v>show</v>
      </c>
      <c r="I8326">
        <v>0</v>
      </c>
      <c r="J8326">
        <v>0</v>
      </c>
      <c r="K8326">
        <v>0</v>
      </c>
      <c r="L8326">
        <v>0</v>
      </c>
      <c r="M8326" t="s">
        <v>43</v>
      </c>
    </row>
    <row r="8327" spans="1:13" hidden="1" x14ac:dyDescent="0.15">
      <c r="A8327" t="s">
        <v>26118</v>
      </c>
      <c r="B8327" t="s">
        <v>26119</v>
      </c>
      <c r="C8327" t="s">
        <v>26120</v>
      </c>
      <c r="D8327" t="s">
        <v>26117</v>
      </c>
      <c r="E8327">
        <v>63</v>
      </c>
      <c r="F8327" t="str">
        <f>HYPERLINK("https://github.com/LawnchairLauncher/lawnchair/issues/1548", "show")</f>
        <v>show</v>
      </c>
      <c r="G8327" t="str">
        <f>HYPERLINK("https://github.com/LawnchairLauncher/lawnchair", "show")</f>
        <v>show</v>
      </c>
      <c r="H8327" t="str">
        <f>HYPERLINK("https://github.com/LawnchairLauncher/lawnchair/releases", "show")</f>
        <v>show</v>
      </c>
      <c r="I8327">
        <v>1</v>
      </c>
      <c r="J8327">
        <v>1</v>
      </c>
      <c r="K8327">
        <v>0</v>
      </c>
      <c r="L8327">
        <v>1</v>
      </c>
      <c r="M8327" t="s">
        <v>1894</v>
      </c>
    </row>
    <row r="8328" spans="1:13" hidden="1" x14ac:dyDescent="0.15">
      <c r="A8328" t="s">
        <v>26121</v>
      </c>
      <c r="B8328" t="s">
        <v>26122</v>
      </c>
      <c r="C8328" t="s">
        <v>26123</v>
      </c>
      <c r="D8328" t="s">
        <v>26117</v>
      </c>
      <c r="E8328">
        <v>299</v>
      </c>
      <c r="F8328" t="str">
        <f>HYPERLINK("https://github.com/Shouheng88/MarkNote/issues/20", "show")</f>
        <v>show</v>
      </c>
      <c r="G8328" t="str">
        <f>HYPERLINK("https://github.com/Shouheng88/MarkNote", "show")</f>
        <v>show</v>
      </c>
      <c r="H8328" t="str">
        <f>HYPERLINK("https://github.com/Shouheng88/MarkNote/releases", "show")</f>
        <v>show</v>
      </c>
      <c r="I8328">
        <v>1</v>
      </c>
      <c r="J8328">
        <v>1</v>
      </c>
      <c r="K8328">
        <v>1</v>
      </c>
      <c r="L8328">
        <v>1</v>
      </c>
      <c r="M8328" t="s">
        <v>2875</v>
      </c>
    </row>
    <row r="8329" spans="1:13" hidden="1" x14ac:dyDescent="0.15">
      <c r="A8329" t="s">
        <v>26124</v>
      </c>
      <c r="B8329" t="s">
        <v>26125</v>
      </c>
      <c r="C8329" t="s">
        <v>26126</v>
      </c>
      <c r="D8329" t="s">
        <v>26117</v>
      </c>
      <c r="E8329">
        <v>0</v>
      </c>
      <c r="F8329" t="str">
        <f>HYPERLINK("https://github.com/hikikomoriphoenix/Beedio/issues/49", "show")</f>
        <v>show</v>
      </c>
      <c r="G8329" t="str">
        <f>HYPERLINK("https://github.com/hikikomoriphoenix/Beedio", "show")</f>
        <v>show</v>
      </c>
      <c r="H8329" t="str">
        <f>HYPERLINK("https://github.com/hikikomoriphoenix/Beedio/releases", "show")</f>
        <v>show</v>
      </c>
      <c r="I8329">
        <v>1</v>
      </c>
      <c r="J8329">
        <v>1</v>
      </c>
      <c r="K8329">
        <v>1</v>
      </c>
      <c r="L8329">
        <v>1</v>
      </c>
      <c r="M8329" t="s">
        <v>2875</v>
      </c>
    </row>
    <row r="8330" spans="1:13" hidden="1" x14ac:dyDescent="0.15">
      <c r="A8330" t="s">
        <v>26127</v>
      </c>
      <c r="B8330" t="s">
        <v>26128</v>
      </c>
      <c r="C8330" t="s">
        <v>26129</v>
      </c>
      <c r="D8330" t="s">
        <v>26130</v>
      </c>
      <c r="E8330">
        <v>14</v>
      </c>
      <c r="F8330" t="str">
        <f>HYPERLINK("https://github.com/renyuneyun/Easer/issues/219", "show")</f>
        <v>show</v>
      </c>
      <c r="G8330" t="str">
        <f>HYPERLINK("https://github.com/renyuneyun/Easer", "show")</f>
        <v>show</v>
      </c>
      <c r="H8330" t="str">
        <f>HYPERLINK("https://github.com/renyuneyun/Easer/releases", "show")</f>
        <v>show</v>
      </c>
      <c r="I8330">
        <v>1</v>
      </c>
      <c r="J8330">
        <v>0</v>
      </c>
      <c r="K8330">
        <v>1</v>
      </c>
      <c r="L8330">
        <v>0</v>
      </c>
      <c r="M8330" t="s">
        <v>64</v>
      </c>
    </row>
    <row r="8331" spans="1:13" hidden="1" x14ac:dyDescent="0.15">
      <c r="A8331" t="s">
        <v>26131</v>
      </c>
      <c r="B8331" t="s">
        <v>26132</v>
      </c>
      <c r="C8331" t="s">
        <v>26133</v>
      </c>
      <c r="D8331" t="s">
        <v>26130</v>
      </c>
      <c r="E8331">
        <v>110</v>
      </c>
      <c r="F8331" t="str">
        <f>HYPERLINK("https://github.com/google/ExoPlayer/issues/5831", "show")</f>
        <v>show</v>
      </c>
      <c r="G8331" t="str">
        <f>HYPERLINK("https://github.com/google/ExoPlayer", "show")</f>
        <v>show</v>
      </c>
      <c r="H8331" t="str">
        <f>HYPERLINK("https://github.com/google/ExoPlayer/releases", "show")</f>
        <v>show</v>
      </c>
      <c r="I8331">
        <v>1</v>
      </c>
      <c r="J8331">
        <v>0</v>
      </c>
      <c r="K8331">
        <v>1</v>
      </c>
      <c r="L8331">
        <v>0</v>
      </c>
      <c r="M8331" t="s">
        <v>64</v>
      </c>
    </row>
    <row r="8332" spans="1:13" hidden="1" x14ac:dyDescent="0.15">
      <c r="A8332" t="s">
        <v>26134</v>
      </c>
      <c r="B8332" t="s">
        <v>26135</v>
      </c>
      <c r="C8332" t="s">
        <v>26136</v>
      </c>
      <c r="D8332" t="s">
        <v>26137</v>
      </c>
      <c r="E8332">
        <v>8</v>
      </c>
      <c r="F8332" t="str">
        <f>HYPERLINK("https://github.com/brodeurlv/fastnfitness/issues/65", "show")</f>
        <v>show</v>
      </c>
      <c r="G8332" t="str">
        <f>HYPERLINK("https://github.com/brodeurlv/fastnfitness", "show")</f>
        <v>show</v>
      </c>
      <c r="H8332" t="str">
        <f>HYPERLINK("https://github.com/brodeurlv/fastnfitness/releases", "show")</f>
        <v>show</v>
      </c>
      <c r="I8332">
        <v>1</v>
      </c>
      <c r="J8332">
        <v>1</v>
      </c>
      <c r="K8332">
        <v>0</v>
      </c>
      <c r="L8332">
        <v>0</v>
      </c>
      <c r="M8332" t="s">
        <v>48</v>
      </c>
    </row>
    <row r="8333" spans="1:13" hidden="1" x14ac:dyDescent="0.15">
      <c r="A8333" t="s">
        <v>26138</v>
      </c>
      <c r="B8333" t="s">
        <v>26139</v>
      </c>
      <c r="C8333" t="s">
        <v>26140</v>
      </c>
      <c r="D8333" t="s">
        <v>26141</v>
      </c>
      <c r="E8333">
        <v>17</v>
      </c>
      <c r="F8333" t="str">
        <f>HYPERLINK("https://github.com/nextcloud/Android-SingleSignOn/issues/60", "show")</f>
        <v>show</v>
      </c>
      <c r="G8333" t="str">
        <f>HYPERLINK("https://github.com/nextcloud/Android-SingleSignOn", "show")</f>
        <v>show</v>
      </c>
      <c r="H8333" t="str">
        <f>HYPERLINK("https://github.com/nextcloud/Android-SingleSignOn/releases", "show")</f>
        <v>show</v>
      </c>
      <c r="I8333">
        <v>1</v>
      </c>
      <c r="J8333">
        <v>0</v>
      </c>
      <c r="K8333">
        <v>1</v>
      </c>
      <c r="L8333">
        <v>0</v>
      </c>
      <c r="M8333" t="s">
        <v>64</v>
      </c>
    </row>
    <row r="8334" spans="1:13" hidden="1" x14ac:dyDescent="0.15">
      <c r="A8334" t="s">
        <v>26142</v>
      </c>
      <c r="B8334" t="s">
        <v>26143</v>
      </c>
      <c r="C8334" t="s">
        <v>26144</v>
      </c>
      <c r="D8334" t="s">
        <v>26141</v>
      </c>
      <c r="E8334">
        <v>3</v>
      </c>
      <c r="F8334" t="str">
        <f>HYPERLINK("https://github.com/dimagi/commcare-android/issues/2114", "show")</f>
        <v>show</v>
      </c>
      <c r="G8334" t="str">
        <f>HYPERLINK("https://github.com/dimagi/commcare-android", "show")</f>
        <v>show</v>
      </c>
      <c r="H8334" t="str">
        <f>HYPERLINK("https://github.com/dimagi/commcare-android/releases", "show")</f>
        <v>show</v>
      </c>
      <c r="I8334">
        <v>0</v>
      </c>
      <c r="J8334">
        <v>0</v>
      </c>
      <c r="K8334">
        <v>0</v>
      </c>
      <c r="L8334">
        <v>0</v>
      </c>
      <c r="M8334" t="s">
        <v>43</v>
      </c>
    </row>
    <row r="8335" spans="1:13" hidden="1" x14ac:dyDescent="0.15">
      <c r="A8335" t="s">
        <v>26145</v>
      </c>
      <c r="B8335" t="s">
        <v>26146</v>
      </c>
      <c r="C8335" t="s">
        <v>26147</v>
      </c>
      <c r="D8335" t="s">
        <v>26141</v>
      </c>
      <c r="E8335">
        <v>641</v>
      </c>
      <c r="F8335" t="str">
        <f>HYPERLINK("https://github.com/applivery/applivery-android-sdk/issues/32", "show")</f>
        <v>show</v>
      </c>
      <c r="G8335" t="str">
        <f>HYPERLINK("https://github.com/applivery/applivery-android-sdk", "show")</f>
        <v>show</v>
      </c>
      <c r="H8335" t="str">
        <f>HYPERLINK("https://github.com/applivery/applivery-android-sdk/releases", "show")</f>
        <v>show</v>
      </c>
      <c r="I8335">
        <v>1</v>
      </c>
      <c r="J8335">
        <v>0</v>
      </c>
      <c r="K8335">
        <v>0</v>
      </c>
      <c r="L8335">
        <v>0</v>
      </c>
      <c r="M8335" t="s">
        <v>17</v>
      </c>
    </row>
    <row r="8336" spans="1:13" hidden="1" x14ac:dyDescent="0.15">
      <c r="A8336" t="s">
        <v>26148</v>
      </c>
      <c r="B8336" t="s">
        <v>26149</v>
      </c>
      <c r="C8336" t="s">
        <v>26150</v>
      </c>
      <c r="D8336" t="s">
        <v>26141</v>
      </c>
      <c r="E8336">
        <v>123</v>
      </c>
      <c r="F8336" t="str">
        <f>HYPERLINK("https://github.com/aws-amplify/aws-sdk-android/issues/937", "show")</f>
        <v>show</v>
      </c>
      <c r="G8336" t="str">
        <f>HYPERLINK("https://github.com/aws-amplify/aws-sdk-android", "show")</f>
        <v>show</v>
      </c>
      <c r="H8336" t="str">
        <f>HYPERLINK("https://github.com/aws-amplify/aws-sdk-android/releases", "show")</f>
        <v>show</v>
      </c>
      <c r="I8336">
        <v>0</v>
      </c>
      <c r="J8336">
        <v>0</v>
      </c>
      <c r="K8336">
        <v>1</v>
      </c>
      <c r="L8336">
        <v>0</v>
      </c>
      <c r="M8336" t="s">
        <v>122</v>
      </c>
    </row>
    <row r="8337" spans="1:13" hidden="1" x14ac:dyDescent="0.15">
      <c r="A8337" t="s">
        <v>26151</v>
      </c>
      <c r="B8337" t="s">
        <v>26152</v>
      </c>
      <c r="C8337" t="s">
        <v>26153</v>
      </c>
      <c r="D8337" t="s">
        <v>26154</v>
      </c>
      <c r="E8337">
        <v>109</v>
      </c>
      <c r="F8337" t="str">
        <f>HYPERLINK("https://github.com/svenmeier/coxswain/issues/85", "show")</f>
        <v>show</v>
      </c>
      <c r="G8337" t="str">
        <f>HYPERLINK("https://github.com/svenmeier/coxswain", "show")</f>
        <v>show</v>
      </c>
      <c r="H8337" t="str">
        <f>HYPERLINK("https://github.com/svenmeier/coxswain/releases", "show")</f>
        <v>show</v>
      </c>
      <c r="I8337">
        <v>0</v>
      </c>
      <c r="J8337">
        <v>0</v>
      </c>
      <c r="K8337">
        <v>0</v>
      </c>
      <c r="L8337">
        <v>0</v>
      </c>
      <c r="M8337" t="s">
        <v>43</v>
      </c>
    </row>
    <row r="8338" spans="1:13" hidden="1" x14ac:dyDescent="0.15">
      <c r="A8338" t="s">
        <v>26155</v>
      </c>
      <c r="B8338" t="s">
        <v>26156</v>
      </c>
      <c r="C8338" t="s">
        <v>26157</v>
      </c>
      <c r="D8338" t="s">
        <v>26154</v>
      </c>
      <c r="E8338">
        <v>0</v>
      </c>
      <c r="F8338" t="str">
        <f>HYPERLINK("https://github.com/PrisKompis/PrisKompis/issues/35", "show")</f>
        <v>show</v>
      </c>
      <c r="G8338" t="str">
        <f>HYPERLINK("https://github.com/PrisKompis/PrisKompis", "show")</f>
        <v>show</v>
      </c>
      <c r="H8338" t="str">
        <f>HYPERLINK("https://github.com/PrisKompis/PrisKompis/releases", "show")</f>
        <v>show</v>
      </c>
      <c r="I8338">
        <v>1</v>
      </c>
      <c r="J8338">
        <v>0</v>
      </c>
      <c r="K8338">
        <v>0</v>
      </c>
      <c r="L8338">
        <v>0</v>
      </c>
      <c r="M8338" t="s">
        <v>17</v>
      </c>
    </row>
    <row r="8339" spans="1:13" hidden="1" x14ac:dyDescent="0.15">
      <c r="A8339" t="s">
        <v>26158</v>
      </c>
      <c r="B8339" t="s">
        <v>26159</v>
      </c>
      <c r="C8339" t="s">
        <v>26160</v>
      </c>
      <c r="D8339" t="s">
        <v>26154</v>
      </c>
      <c r="E8339">
        <v>0</v>
      </c>
      <c r="F8339" t="str">
        <f>HYPERLINK("https://github.com/PrisKompis/PrisKompis/issues/34", "show")</f>
        <v>show</v>
      </c>
      <c r="G8339" t="str">
        <f>HYPERLINK("https://github.com/PrisKompis/PrisKompis", "show")</f>
        <v>show</v>
      </c>
      <c r="H8339" t="str">
        <f>HYPERLINK("https://github.com/PrisKompis/PrisKompis/releases", "show")</f>
        <v>show</v>
      </c>
      <c r="I8339">
        <v>1</v>
      </c>
      <c r="J8339">
        <v>0</v>
      </c>
      <c r="K8339">
        <v>0</v>
      </c>
      <c r="L8339">
        <v>0</v>
      </c>
      <c r="M8339" t="s">
        <v>17</v>
      </c>
    </row>
    <row r="8340" spans="1:13" hidden="1" x14ac:dyDescent="0.15">
      <c r="A8340" t="s">
        <v>26161</v>
      </c>
      <c r="B8340" t="s">
        <v>26162</v>
      </c>
      <c r="C8340" t="s">
        <v>26163</v>
      </c>
      <c r="D8340" t="s">
        <v>26154</v>
      </c>
      <c r="E8340">
        <v>1</v>
      </c>
      <c r="F8340" t="str">
        <f>HYPERLINK("https://github.com/PrisKompis/PrisKompis/issues/32", "show")</f>
        <v>show</v>
      </c>
      <c r="G8340" t="str">
        <f>HYPERLINK("https://github.com/PrisKompis/PrisKompis", "show")</f>
        <v>show</v>
      </c>
      <c r="H8340" t="str">
        <f>HYPERLINK("https://github.com/PrisKompis/PrisKompis/releases", "show")</f>
        <v>show</v>
      </c>
      <c r="I8340">
        <v>1</v>
      </c>
      <c r="J8340">
        <v>0</v>
      </c>
      <c r="K8340">
        <v>0</v>
      </c>
      <c r="L8340">
        <v>0</v>
      </c>
      <c r="M8340" t="s">
        <v>17</v>
      </c>
    </row>
    <row r="8341" spans="1:13" hidden="1" x14ac:dyDescent="0.15">
      <c r="A8341" t="s">
        <v>26164</v>
      </c>
      <c r="B8341" t="s">
        <v>26165</v>
      </c>
      <c r="C8341" t="s">
        <v>26166</v>
      </c>
      <c r="D8341" t="s">
        <v>26167</v>
      </c>
      <c r="E8341">
        <v>47</v>
      </c>
      <c r="F8341" t="str">
        <f>HYPERLINK("https://github.com/deltachat/deltachat-android/issues/887", "show")</f>
        <v>show</v>
      </c>
      <c r="G8341" t="str">
        <f>HYPERLINK("https://github.com/deltachat/deltachat-android", "show")</f>
        <v>show</v>
      </c>
      <c r="H8341" t="str">
        <f>HYPERLINK("https://github.com/deltachat/deltachat-android/releases", "show")</f>
        <v>show</v>
      </c>
      <c r="I8341">
        <v>1</v>
      </c>
      <c r="J8341">
        <v>0</v>
      </c>
      <c r="K8341">
        <v>0</v>
      </c>
      <c r="L8341">
        <v>0</v>
      </c>
      <c r="M8341" t="s">
        <v>17</v>
      </c>
    </row>
    <row r="8342" spans="1:13" hidden="1" x14ac:dyDescent="0.15">
      <c r="A8342" t="s">
        <v>26168</v>
      </c>
      <c r="B8342" t="s">
        <v>26169</v>
      </c>
      <c r="C8342" t="s">
        <v>26170</v>
      </c>
      <c r="D8342" t="s">
        <v>26167</v>
      </c>
      <c r="E8342">
        <v>2</v>
      </c>
      <c r="F8342" t="str">
        <f>HYPERLINK("https://github.com/TM-CG/cmu1819/issues/76", "show")</f>
        <v>show</v>
      </c>
      <c r="G8342" t="str">
        <f>HYPERLINK("https://github.com/TM-CG/cmu1819", "show")</f>
        <v>show</v>
      </c>
      <c r="H8342" t="str">
        <f>HYPERLINK("https://github.com/TM-CG/cmu1819/releases", "show")</f>
        <v>show</v>
      </c>
      <c r="I8342">
        <v>1</v>
      </c>
      <c r="J8342">
        <v>0</v>
      </c>
      <c r="K8342">
        <v>0</v>
      </c>
      <c r="L8342">
        <v>0</v>
      </c>
      <c r="M8342" t="s">
        <v>17</v>
      </c>
    </row>
    <row r="8343" spans="1:13" hidden="1" x14ac:dyDescent="0.15">
      <c r="A8343" t="s">
        <v>26171</v>
      </c>
      <c r="B8343" t="s">
        <v>26172</v>
      </c>
      <c r="C8343" t="s">
        <v>26173</v>
      </c>
      <c r="D8343" t="s">
        <v>26167</v>
      </c>
      <c r="E8343">
        <v>0</v>
      </c>
      <c r="F8343" t="str">
        <f>HYPERLINK("https://github.com/Meisterschueler/ogn-viewer-android/issues/20", "show")</f>
        <v>show</v>
      </c>
      <c r="G8343" t="str">
        <f>HYPERLINK("https://github.com/Meisterschueler/ogn-viewer-android", "show")</f>
        <v>show</v>
      </c>
      <c r="H8343" t="str">
        <f>HYPERLINK("https://github.com/Meisterschueler/ogn-viewer-android/releases", "show")</f>
        <v>show</v>
      </c>
      <c r="I8343">
        <v>1</v>
      </c>
      <c r="J8343">
        <v>0</v>
      </c>
      <c r="K8343">
        <v>0</v>
      </c>
      <c r="L8343">
        <v>0</v>
      </c>
      <c r="M8343" t="s">
        <v>17</v>
      </c>
    </row>
    <row r="8344" spans="1:13" hidden="1" x14ac:dyDescent="0.15">
      <c r="A8344" t="s">
        <v>26174</v>
      </c>
      <c r="B8344" t="s">
        <v>26175</v>
      </c>
      <c r="C8344" t="s">
        <v>26176</v>
      </c>
      <c r="D8344" t="s">
        <v>26167</v>
      </c>
      <c r="E8344">
        <v>605</v>
      </c>
      <c r="F8344" t="str">
        <f>HYPERLINK("https://github.com/ExploiTR/YouP3/issues/7", "show")</f>
        <v>show</v>
      </c>
      <c r="G8344" t="str">
        <f>HYPERLINK("https://github.com/ExploiTR/YouP3", "show")</f>
        <v>show</v>
      </c>
      <c r="H8344" t="str">
        <f>HYPERLINK("https://github.com/ExploiTR/YouP3/releases", "show")</f>
        <v>show</v>
      </c>
      <c r="I8344">
        <v>1</v>
      </c>
      <c r="J8344">
        <v>1</v>
      </c>
      <c r="K8344">
        <v>1</v>
      </c>
      <c r="L8344">
        <v>1</v>
      </c>
      <c r="M8344" t="s">
        <v>2875</v>
      </c>
    </row>
    <row r="8345" spans="1:13" hidden="1" x14ac:dyDescent="0.15">
      <c r="A8345" t="s">
        <v>26177</v>
      </c>
      <c r="B8345" t="s">
        <v>6772</v>
      </c>
      <c r="C8345" t="s">
        <v>26178</v>
      </c>
      <c r="D8345" t="s">
        <v>26167</v>
      </c>
      <c r="E8345">
        <v>17</v>
      </c>
      <c r="F8345" t="str">
        <f>HYPERLINK("https://github.com/7LPdWcaW/GrowTracker-Android/issues/77", "show")</f>
        <v>show</v>
      </c>
      <c r="G8345" t="str">
        <f>HYPERLINK("https://github.com/7LPdWcaW/GrowTracker-Android", "show")</f>
        <v>show</v>
      </c>
      <c r="H8345" t="str">
        <f>HYPERLINK("https://github.com/7LPdWcaW/GrowTracker-Android/releases", "show")</f>
        <v>show</v>
      </c>
      <c r="I8345">
        <v>1</v>
      </c>
      <c r="J8345">
        <v>0</v>
      </c>
      <c r="K8345">
        <v>0</v>
      </c>
      <c r="L8345">
        <v>0</v>
      </c>
      <c r="M8345" t="s">
        <v>17</v>
      </c>
    </row>
    <row r="8346" spans="1:13" hidden="1" x14ac:dyDescent="0.15">
      <c r="A8346" t="s">
        <v>26179</v>
      </c>
      <c r="B8346" t="s">
        <v>26180</v>
      </c>
      <c r="C8346" t="s">
        <v>26181</v>
      </c>
      <c r="D8346" t="s">
        <v>26167</v>
      </c>
      <c r="E8346">
        <v>54</v>
      </c>
      <c r="F8346" t="str">
        <f>HYPERLINK("https://github.com/miguelpruivo/flutter_file_picker/issues/76", "show")</f>
        <v>show</v>
      </c>
      <c r="G8346" t="str">
        <f>HYPERLINK("https://github.com/miguelpruivo/flutter_file_picker", "show")</f>
        <v>show</v>
      </c>
      <c r="H8346" t="str">
        <f>HYPERLINK("https://github.com/miguelpruivo/flutter_file_picker/releases", "show")</f>
        <v>show</v>
      </c>
      <c r="I8346">
        <v>1</v>
      </c>
      <c r="J8346">
        <v>0</v>
      </c>
      <c r="K8346">
        <v>0</v>
      </c>
      <c r="L8346">
        <v>0</v>
      </c>
      <c r="M8346" t="s">
        <v>17</v>
      </c>
    </row>
    <row r="8347" spans="1:13" x14ac:dyDescent="0.15">
      <c r="A8347" t="s">
        <v>26182</v>
      </c>
      <c r="B8347" t="s">
        <v>26183</v>
      </c>
      <c r="C8347" t="s">
        <v>26184</v>
      </c>
      <c r="D8347" t="s">
        <v>26185</v>
      </c>
      <c r="E8347">
        <v>125</v>
      </c>
      <c r="F8347" t="str">
        <f>HYPERLINK("https://github.com/nextcloud/android/issues/3939", "show")</f>
        <v>show</v>
      </c>
      <c r="G8347" t="str">
        <f>HYPERLINK("https://github.com/nextcloud/android", "show")</f>
        <v>show</v>
      </c>
      <c r="H8347" t="str">
        <f>HYPERLINK("https://github.com/nextcloud/android/releases", "show")</f>
        <v>show</v>
      </c>
      <c r="I8347">
        <v>0</v>
      </c>
      <c r="J8347">
        <v>1</v>
      </c>
      <c r="K8347">
        <v>0</v>
      </c>
      <c r="L8347">
        <v>0</v>
      </c>
      <c r="M8347" t="s">
        <v>139</v>
      </c>
    </row>
    <row r="8348" spans="1:13" hidden="1" x14ac:dyDescent="0.15">
      <c r="A8348" t="s">
        <v>26186</v>
      </c>
      <c r="B8348" t="s">
        <v>26187</v>
      </c>
      <c r="C8348" t="s">
        <v>26188</v>
      </c>
      <c r="D8348" t="s">
        <v>26185</v>
      </c>
      <c r="E8348">
        <v>0</v>
      </c>
      <c r="F8348" t="str">
        <f>HYPERLINK("https://github.com/SCCapstone/DBK/issues/111", "show")</f>
        <v>show</v>
      </c>
      <c r="G8348" t="str">
        <f>HYPERLINK("https://github.com/SCCapstone/DBK", "show")</f>
        <v>show</v>
      </c>
      <c r="H8348" t="str">
        <f>HYPERLINK("https://github.com/SCCapstone/DBK/releases", "show")</f>
        <v>show</v>
      </c>
      <c r="I8348">
        <v>1</v>
      </c>
      <c r="J8348">
        <v>0</v>
      </c>
      <c r="K8348">
        <v>0</v>
      </c>
      <c r="L8348">
        <v>0</v>
      </c>
      <c r="M8348" t="s">
        <v>17</v>
      </c>
    </row>
    <row r="8349" spans="1:13" hidden="1" x14ac:dyDescent="0.15">
      <c r="A8349" t="s">
        <v>26189</v>
      </c>
      <c r="B8349" t="s">
        <v>26190</v>
      </c>
      <c r="D8349" t="s">
        <v>26191</v>
      </c>
      <c r="E8349">
        <v>8</v>
      </c>
      <c r="F8349" t="str">
        <f>HYPERLINK("https://github.com/Diaga/Memories/issues/20", "show")</f>
        <v>show</v>
      </c>
      <c r="G8349" t="str">
        <f>HYPERLINK("https://github.com/Diaga/Memories", "show")</f>
        <v>show</v>
      </c>
      <c r="H8349" t="str">
        <f>HYPERLINK("https://github.com/Diaga/Memories/releases", "show")</f>
        <v>show</v>
      </c>
      <c r="I8349">
        <v>1</v>
      </c>
      <c r="J8349">
        <v>0</v>
      </c>
      <c r="K8349">
        <v>0</v>
      </c>
      <c r="L8349">
        <v>0</v>
      </c>
      <c r="M8349" t="s">
        <v>17</v>
      </c>
    </row>
    <row r="8350" spans="1:13" hidden="1" x14ac:dyDescent="0.15">
      <c r="A8350" t="s">
        <v>26192</v>
      </c>
      <c r="B8350" t="s">
        <v>26193</v>
      </c>
      <c r="C8350" t="s">
        <v>26194</v>
      </c>
      <c r="D8350" t="s">
        <v>26191</v>
      </c>
      <c r="E8350">
        <v>102</v>
      </c>
      <c r="F8350" t="str">
        <f>HYPERLINK("https://github.com/renyuneyun/Easer/issues/216", "show")</f>
        <v>show</v>
      </c>
      <c r="G8350" t="str">
        <f>HYPERLINK("https://github.com/renyuneyun/Easer", "show")</f>
        <v>show</v>
      </c>
      <c r="H8350" t="str">
        <f>HYPERLINK("https://github.com/renyuneyun/Easer/releases", "show")</f>
        <v>show</v>
      </c>
      <c r="I8350">
        <v>1</v>
      </c>
      <c r="J8350">
        <v>0</v>
      </c>
      <c r="K8350">
        <v>0</v>
      </c>
      <c r="L8350">
        <v>0</v>
      </c>
      <c r="M8350" t="s">
        <v>17</v>
      </c>
    </row>
    <row r="8351" spans="1:13" hidden="1" x14ac:dyDescent="0.15">
      <c r="A8351" t="s">
        <v>26195</v>
      </c>
      <c r="B8351" t="s">
        <v>26196</v>
      </c>
      <c r="C8351" t="s">
        <v>26197</v>
      </c>
      <c r="D8351" t="s">
        <v>26191</v>
      </c>
      <c r="E8351">
        <v>3</v>
      </c>
      <c r="F8351" t="str">
        <f>HYPERLINK("https://github.com/0x5ECF4ULT/PanicTrigger/issues/22", "show")</f>
        <v>show</v>
      </c>
      <c r="G8351" t="str">
        <f>HYPERLINK("https://github.com/0x5ECF4ULT/PanicTrigger", "show")</f>
        <v>show</v>
      </c>
      <c r="H8351" t="str">
        <f>HYPERLINK("https://github.com/0x5ECF4ULT/PanicTrigger/releases", "show")</f>
        <v>show</v>
      </c>
      <c r="I8351">
        <v>1</v>
      </c>
      <c r="J8351">
        <v>1</v>
      </c>
      <c r="K8351">
        <v>0</v>
      </c>
      <c r="L8351">
        <v>0</v>
      </c>
      <c r="M8351" t="s">
        <v>48</v>
      </c>
    </row>
    <row r="8352" spans="1:13" hidden="1" x14ac:dyDescent="0.15">
      <c r="A8352" t="s">
        <v>26198</v>
      </c>
      <c r="B8352" t="s">
        <v>26199</v>
      </c>
      <c r="C8352" t="s">
        <v>26200</v>
      </c>
      <c r="D8352" t="s">
        <v>26201</v>
      </c>
      <c r="E8352">
        <v>7</v>
      </c>
      <c r="F8352" t="str">
        <f>HYPERLINK("https://github.com/gsantner/markor/issues/550", "show")</f>
        <v>show</v>
      </c>
      <c r="G8352" t="str">
        <f>HYPERLINK("https://github.com/gsantner/markor", "show")</f>
        <v>show</v>
      </c>
      <c r="H8352" t="str">
        <f>HYPERLINK("https://github.com/gsantner/markor/releases", "show")</f>
        <v>show</v>
      </c>
      <c r="I8352">
        <v>1</v>
      </c>
      <c r="J8352">
        <v>0</v>
      </c>
      <c r="K8352">
        <v>0</v>
      </c>
      <c r="L8352">
        <v>1</v>
      </c>
      <c r="M8352" t="s">
        <v>29</v>
      </c>
    </row>
    <row r="8353" spans="1:13" hidden="1" x14ac:dyDescent="0.15">
      <c r="A8353" t="s">
        <v>26202</v>
      </c>
      <c r="B8353" t="s">
        <v>26203</v>
      </c>
      <c r="C8353" t="s">
        <v>26204</v>
      </c>
      <c r="D8353" t="s">
        <v>26201</v>
      </c>
      <c r="E8353">
        <v>103</v>
      </c>
      <c r="F8353" t="str">
        <f>HYPERLINK("https://github.com/subchannel13/EnchantedFortress/issues/62", "show")</f>
        <v>show</v>
      </c>
      <c r="G8353" t="str">
        <f>HYPERLINK("https://github.com/subchannel13/EnchantedFortress", "show")</f>
        <v>show</v>
      </c>
      <c r="H8353" t="str">
        <f>HYPERLINK("https://github.com/subchannel13/EnchantedFortress/releases", "show")</f>
        <v>show</v>
      </c>
      <c r="I8353">
        <v>1</v>
      </c>
      <c r="J8353">
        <v>0</v>
      </c>
      <c r="K8353">
        <v>0</v>
      </c>
      <c r="L8353">
        <v>0</v>
      </c>
      <c r="M8353" t="s">
        <v>17</v>
      </c>
    </row>
    <row r="8354" spans="1:13" hidden="1" x14ac:dyDescent="0.15">
      <c r="A8354" t="s">
        <v>26205</v>
      </c>
      <c r="B8354" t="s">
        <v>26206</v>
      </c>
      <c r="C8354" t="s">
        <v>26207</v>
      </c>
      <c r="D8354" t="s">
        <v>26208</v>
      </c>
      <c r="E8354">
        <v>92</v>
      </c>
      <c r="F8354" t="str">
        <f>HYPERLINK("https://github.com/zamojski/TowerCollector/issues/56", "show")</f>
        <v>show</v>
      </c>
      <c r="G8354" t="str">
        <f>HYPERLINK("https://github.com/zamojski/TowerCollector", "show")</f>
        <v>show</v>
      </c>
      <c r="H8354" t="str">
        <f>HYPERLINK("https://github.com/zamojski/TowerCollector/releases", "show")</f>
        <v>show</v>
      </c>
      <c r="I8354">
        <v>1</v>
      </c>
      <c r="J8354">
        <v>1</v>
      </c>
      <c r="K8354">
        <v>1</v>
      </c>
      <c r="L8354">
        <v>1</v>
      </c>
      <c r="M8354" t="s">
        <v>2875</v>
      </c>
    </row>
    <row r="8355" spans="1:13" hidden="1" x14ac:dyDescent="0.15">
      <c r="A8355" t="s">
        <v>26209</v>
      </c>
      <c r="B8355" t="s">
        <v>26210</v>
      </c>
      <c r="C8355" t="s">
        <v>26211</v>
      </c>
      <c r="D8355" t="s">
        <v>26208</v>
      </c>
      <c r="E8355">
        <v>103</v>
      </c>
      <c r="F8355" t="str">
        <f>HYPERLINK("https://github.com/barbeau/gpstest/issues/287", "show")</f>
        <v>show</v>
      </c>
      <c r="G8355" t="str">
        <f>HYPERLINK("https://github.com/barbeau/gpstest", "show")</f>
        <v>show</v>
      </c>
      <c r="H8355" t="str">
        <f>HYPERLINK("https://github.com/barbeau/gpstest/releases", "show")</f>
        <v>show</v>
      </c>
      <c r="I8355">
        <v>1</v>
      </c>
      <c r="J8355">
        <v>0</v>
      </c>
      <c r="K8355">
        <v>1</v>
      </c>
      <c r="L8355">
        <v>0</v>
      </c>
      <c r="M8355" t="s">
        <v>64</v>
      </c>
    </row>
    <row r="8356" spans="1:13" hidden="1" x14ac:dyDescent="0.15">
      <c r="A8356" t="s">
        <v>26212</v>
      </c>
      <c r="B8356" t="s">
        <v>26213</v>
      </c>
      <c r="C8356" t="s">
        <v>26214</v>
      </c>
      <c r="D8356" t="s">
        <v>26215</v>
      </c>
      <c r="E8356">
        <v>14</v>
      </c>
      <c r="F8356" t="str">
        <f>HYPERLINK("https://github.com/MozillaReality/FirefoxReality/issues/1127", "show")</f>
        <v>show</v>
      </c>
      <c r="G8356" t="str">
        <f>HYPERLINK("https://github.com/MozillaReality/FirefoxReality", "show")</f>
        <v>show</v>
      </c>
      <c r="H8356" t="str">
        <f>HYPERLINK("https://github.com/MozillaReality/FirefoxReality/releases", "show")</f>
        <v>show</v>
      </c>
      <c r="I8356">
        <v>1</v>
      </c>
      <c r="J8356">
        <v>1</v>
      </c>
      <c r="K8356">
        <v>0</v>
      </c>
      <c r="L8356">
        <v>0</v>
      </c>
      <c r="M8356" t="s">
        <v>48</v>
      </c>
    </row>
    <row r="8357" spans="1:13" hidden="1" x14ac:dyDescent="0.15">
      <c r="A8357" t="s">
        <v>26216</v>
      </c>
      <c r="B8357" t="s">
        <v>26217</v>
      </c>
      <c r="C8357" t="s">
        <v>26218</v>
      </c>
      <c r="D8357" t="s">
        <v>26219</v>
      </c>
      <c r="E8357">
        <v>175</v>
      </c>
      <c r="F8357" t="str">
        <f>HYPERLINK("https://github.com/OpenArchive/Save-app-android/issues/101", "show")</f>
        <v>show</v>
      </c>
      <c r="G8357" t="str">
        <f>HYPERLINK("https://github.com/OpenArchive/Save-app-android", "show")</f>
        <v>show</v>
      </c>
      <c r="H8357" t="str">
        <f>HYPERLINK("https://github.com/OpenArchive/Save-app-android/releases", "show")</f>
        <v>show</v>
      </c>
      <c r="I8357">
        <v>0</v>
      </c>
      <c r="J8357">
        <v>0</v>
      </c>
      <c r="K8357">
        <v>0</v>
      </c>
      <c r="L8357">
        <v>0</v>
      </c>
      <c r="M8357" t="s">
        <v>43</v>
      </c>
    </row>
    <row r="8358" spans="1:13" hidden="1" x14ac:dyDescent="0.15">
      <c r="A8358" t="s">
        <v>26220</v>
      </c>
      <c r="B8358" t="s">
        <v>26221</v>
      </c>
      <c r="C8358" t="s">
        <v>26222</v>
      </c>
      <c r="D8358" t="s">
        <v>26219</v>
      </c>
      <c r="E8358">
        <v>27</v>
      </c>
      <c r="F8358" t="str">
        <f>HYPERLINK("https://github.com/MozillaReality/FirefoxReality/issues/1123", "show")</f>
        <v>show</v>
      </c>
      <c r="G8358" t="str">
        <f>HYPERLINK("https://github.com/MozillaReality/FirefoxReality", "show")</f>
        <v>show</v>
      </c>
      <c r="H8358" t="str">
        <f>HYPERLINK("https://github.com/MozillaReality/FirefoxReality/releases", "show")</f>
        <v>show</v>
      </c>
      <c r="I8358">
        <v>1</v>
      </c>
      <c r="J8358">
        <v>0</v>
      </c>
      <c r="K8358">
        <v>0</v>
      </c>
      <c r="L8358">
        <v>0</v>
      </c>
      <c r="M8358" t="s">
        <v>17</v>
      </c>
    </row>
    <row r="8359" spans="1:13" hidden="1" x14ac:dyDescent="0.15">
      <c r="A8359" t="s">
        <v>26223</v>
      </c>
      <c r="B8359" t="s">
        <v>26224</v>
      </c>
      <c r="C8359" t="s">
        <v>26225</v>
      </c>
      <c r="D8359" t="s">
        <v>26219</v>
      </c>
      <c r="E8359">
        <v>2</v>
      </c>
      <c r="F8359" t="str">
        <f>HYPERLINK("https://github.com/square/react-native-square-reader-sdk/issues/56", "show")</f>
        <v>show</v>
      </c>
      <c r="G8359" t="str">
        <f>HYPERLINK("https://github.com/square/react-native-square-reader-sdk", "show")</f>
        <v>show</v>
      </c>
      <c r="H8359" t="str">
        <f>HYPERLINK("https://github.com/square/react-native-square-reader-sdk/releases", "show")</f>
        <v>show</v>
      </c>
      <c r="I8359">
        <v>1</v>
      </c>
      <c r="J8359">
        <v>0</v>
      </c>
      <c r="K8359">
        <v>0</v>
      </c>
      <c r="L8359">
        <v>0</v>
      </c>
      <c r="M8359" t="s">
        <v>17</v>
      </c>
    </row>
    <row r="8360" spans="1:13" hidden="1" x14ac:dyDescent="0.15">
      <c r="A8360" t="s">
        <v>26226</v>
      </c>
      <c r="B8360" t="s">
        <v>26227</v>
      </c>
      <c r="C8360" t="s">
        <v>26228</v>
      </c>
      <c r="D8360" t="s">
        <v>26219</v>
      </c>
      <c r="E8360">
        <v>75</v>
      </c>
      <c r="F8360" t="str">
        <f>HYPERLINK("https://github.com/LawnchairLauncher/lawnchair/issues/1528", "show")</f>
        <v>show</v>
      </c>
      <c r="G8360" t="str">
        <f>HYPERLINK("https://github.com/LawnchairLauncher/lawnchair", "show")</f>
        <v>show</v>
      </c>
      <c r="H8360" t="str">
        <f>HYPERLINK("https://github.com/LawnchairLauncher/lawnchair/releases", "show")</f>
        <v>show</v>
      </c>
      <c r="I8360">
        <v>1</v>
      </c>
      <c r="J8360">
        <v>1</v>
      </c>
      <c r="K8360">
        <v>0</v>
      </c>
      <c r="L8360">
        <v>0</v>
      </c>
      <c r="M8360" t="s">
        <v>48</v>
      </c>
    </row>
    <row r="8361" spans="1:13" hidden="1" x14ac:dyDescent="0.15">
      <c r="A8361" t="s">
        <v>26229</v>
      </c>
      <c r="B8361" t="s">
        <v>26230</v>
      </c>
      <c r="C8361" t="s">
        <v>26231</v>
      </c>
      <c r="D8361" t="s">
        <v>26232</v>
      </c>
      <c r="E8361">
        <v>22</v>
      </c>
      <c r="F8361" t="str">
        <f>HYPERLINK("https://github.com/terl/lazysodium-android/issues/19", "show")</f>
        <v>show</v>
      </c>
      <c r="G8361" t="str">
        <f>HYPERLINK("https://github.com/terl/lazysodium-android", "show")</f>
        <v>show</v>
      </c>
      <c r="H8361" t="str">
        <f>HYPERLINK("https://github.com/terl/lazysodium-android/releases", "show")</f>
        <v>show</v>
      </c>
      <c r="I8361">
        <v>1</v>
      </c>
      <c r="J8361">
        <v>0</v>
      </c>
      <c r="K8361">
        <v>0</v>
      </c>
      <c r="L8361">
        <v>0</v>
      </c>
      <c r="M8361" t="s">
        <v>17</v>
      </c>
    </row>
    <row r="8362" spans="1:13" hidden="1" x14ac:dyDescent="0.15">
      <c r="A8362" t="s">
        <v>26233</v>
      </c>
      <c r="B8362" t="s">
        <v>26234</v>
      </c>
      <c r="C8362" t="s">
        <v>26235</v>
      </c>
      <c r="D8362" t="s">
        <v>26232</v>
      </c>
      <c r="E8362">
        <v>30</v>
      </c>
      <c r="F8362" t="str">
        <f>HYPERLINK("https://github.com/commons-app/apps-android-commons/issues/2917", "show")</f>
        <v>show</v>
      </c>
      <c r="G8362" t="str">
        <f>HYPERLINK("https://github.com/commons-app/apps-android-commons", "show")</f>
        <v>show</v>
      </c>
      <c r="H8362" t="str">
        <f>HYPERLINK("https://github.com/commons-app/apps-android-commons/releases", "show")</f>
        <v>show</v>
      </c>
      <c r="I8362">
        <v>0</v>
      </c>
      <c r="J8362">
        <v>0</v>
      </c>
      <c r="K8362">
        <v>0</v>
      </c>
      <c r="L8362">
        <v>0</v>
      </c>
      <c r="M8362" t="s">
        <v>43</v>
      </c>
    </row>
    <row r="8363" spans="1:13" x14ac:dyDescent="0.15">
      <c r="A8363" t="s">
        <v>26236</v>
      </c>
      <c r="B8363" t="s">
        <v>26237</v>
      </c>
      <c r="C8363" t="s">
        <v>26238</v>
      </c>
      <c r="D8363" t="s">
        <v>26232</v>
      </c>
      <c r="E8363">
        <v>0</v>
      </c>
      <c r="F8363" t="str">
        <f>HYPERLINK("https://github.com/mathisdt/sdbviewer/issues/7", "show")</f>
        <v>show</v>
      </c>
      <c r="G8363" t="str">
        <f>HYPERLINK("https://github.com/mathisdt/sdbviewer", "show")</f>
        <v>show</v>
      </c>
      <c r="H8363" t="str">
        <f>HYPERLINK("https://github.com/mathisdt/sdbviewer/releases", "show")</f>
        <v>show</v>
      </c>
      <c r="I8363">
        <v>0</v>
      </c>
      <c r="J8363">
        <v>1</v>
      </c>
      <c r="K8363">
        <v>0</v>
      </c>
      <c r="L8363">
        <v>0</v>
      </c>
      <c r="M8363" t="s">
        <v>139</v>
      </c>
    </row>
    <row r="8364" spans="1:13" hidden="1" x14ac:dyDescent="0.15">
      <c r="A8364" t="s">
        <v>26239</v>
      </c>
      <c r="B8364" t="s">
        <v>26240</v>
      </c>
      <c r="C8364" t="s">
        <v>26241</v>
      </c>
      <c r="D8364" t="s">
        <v>26242</v>
      </c>
      <c r="E8364">
        <v>3</v>
      </c>
      <c r="F8364" t="str">
        <f>HYPERLINK("https://github.com/Animagia/Animagia-Android/issues/56", "show")</f>
        <v>show</v>
      </c>
      <c r="G8364" t="str">
        <f>HYPERLINK("https://github.com/Animagia/Animagia-Android", "show")</f>
        <v>show</v>
      </c>
      <c r="H8364" t="str">
        <f>HYPERLINK("https://github.com/Animagia/Animagia-Android/releases", "show")</f>
        <v>show</v>
      </c>
      <c r="I8364">
        <v>0</v>
      </c>
      <c r="J8364">
        <v>0</v>
      </c>
      <c r="K8364">
        <v>0</v>
      </c>
      <c r="L8364">
        <v>0</v>
      </c>
      <c r="M8364" t="s">
        <v>43</v>
      </c>
    </row>
    <row r="8365" spans="1:13" hidden="1" x14ac:dyDescent="0.15">
      <c r="A8365" t="s">
        <v>26243</v>
      </c>
      <c r="B8365" t="s">
        <v>26244</v>
      </c>
      <c r="C8365" t="s">
        <v>26245</v>
      </c>
      <c r="D8365" t="s">
        <v>26242</v>
      </c>
      <c r="E8365">
        <v>13</v>
      </c>
      <c r="F8365" t="str">
        <f>HYPERLINK("https://github.com/osmdroid/osmdroid/issues/1322", "show")</f>
        <v>show</v>
      </c>
      <c r="G8365" t="str">
        <f>HYPERLINK("https://github.com/osmdroid/osmdroid", "show")</f>
        <v>show</v>
      </c>
      <c r="H8365" t="str">
        <f>HYPERLINK("https://github.com/osmdroid/osmdroid/releases", "show")</f>
        <v>show</v>
      </c>
      <c r="I8365">
        <v>1</v>
      </c>
      <c r="J8365">
        <v>0</v>
      </c>
      <c r="K8365">
        <v>0</v>
      </c>
      <c r="L8365">
        <v>0</v>
      </c>
      <c r="M8365" t="s">
        <v>17</v>
      </c>
    </row>
    <row r="8366" spans="1:13" hidden="1" x14ac:dyDescent="0.15">
      <c r="A8366" t="s">
        <v>26246</v>
      </c>
      <c r="B8366" t="s">
        <v>26247</v>
      </c>
      <c r="C8366" t="s">
        <v>26248</v>
      </c>
      <c r="D8366" t="s">
        <v>26242</v>
      </c>
      <c r="E8366">
        <v>0</v>
      </c>
      <c r="F8366" t="str">
        <f>HYPERLINK("https://github.com/deltachat/deltachat-android/issues/863", "show")</f>
        <v>show</v>
      </c>
      <c r="G8366" t="str">
        <f>HYPERLINK("https://github.com/deltachat/deltachat-android", "show")</f>
        <v>show</v>
      </c>
      <c r="H8366" t="str">
        <f>HYPERLINK("https://github.com/deltachat/deltachat-android/releases", "show")</f>
        <v>show</v>
      </c>
      <c r="I8366">
        <v>1</v>
      </c>
      <c r="J8366">
        <v>0</v>
      </c>
      <c r="K8366">
        <v>0</v>
      </c>
      <c r="L8366">
        <v>0</v>
      </c>
      <c r="M8366" t="s">
        <v>17</v>
      </c>
    </row>
    <row r="8367" spans="1:13" hidden="1" x14ac:dyDescent="0.15">
      <c r="A8367" t="s">
        <v>26249</v>
      </c>
      <c r="B8367" t="s">
        <v>26250</v>
      </c>
      <c r="D8367" t="s">
        <v>26242</v>
      </c>
      <c r="E8367">
        <v>0</v>
      </c>
      <c r="F8367" t="str">
        <f>HYPERLINK("https://github.com/naxa-developers/MNE-Android/issues/70", "show")</f>
        <v>show</v>
      </c>
      <c r="G8367" t="str">
        <f>HYPERLINK("https://github.com/naxa-developers/MNE-Android", "show")</f>
        <v>show</v>
      </c>
      <c r="H8367" t="str">
        <f>HYPERLINK("https://github.com/naxa-developers/MNE-Android/releases", "show")</f>
        <v>show</v>
      </c>
      <c r="I8367">
        <v>1</v>
      </c>
      <c r="J8367">
        <v>0</v>
      </c>
      <c r="K8367">
        <v>0</v>
      </c>
      <c r="L8367">
        <v>0</v>
      </c>
      <c r="M8367" t="s">
        <v>17</v>
      </c>
    </row>
    <row r="8368" spans="1:13" hidden="1" x14ac:dyDescent="0.15">
      <c r="A8368" t="s">
        <v>26251</v>
      </c>
      <c r="B8368" t="s">
        <v>26252</v>
      </c>
      <c r="C8368" t="s">
        <v>26253</v>
      </c>
      <c r="D8368" t="s">
        <v>26254</v>
      </c>
      <c r="E8368">
        <v>416</v>
      </c>
      <c r="F8368" t="str">
        <f>HYPERLINK("https://github.com/ankidroid/Anki-Android/issues/5287", "show")</f>
        <v>show</v>
      </c>
      <c r="G8368" t="str">
        <f>HYPERLINK("https://github.com/ankidroid/Anki-Android", "show")</f>
        <v>show</v>
      </c>
      <c r="H8368" t="str">
        <f>HYPERLINK("https://github.com/ankidroid/Anki-Android/releases", "show")</f>
        <v>show</v>
      </c>
      <c r="I8368">
        <v>1</v>
      </c>
      <c r="J8368">
        <v>0</v>
      </c>
      <c r="K8368">
        <v>1</v>
      </c>
      <c r="L8368">
        <v>0</v>
      </c>
      <c r="M8368" t="s">
        <v>64</v>
      </c>
    </row>
    <row r="8369" spans="1:13" hidden="1" x14ac:dyDescent="0.15">
      <c r="A8369" t="s">
        <v>26255</v>
      </c>
      <c r="B8369" t="s">
        <v>26256</v>
      </c>
      <c r="C8369" t="s">
        <v>26257</v>
      </c>
      <c r="D8369" t="s">
        <v>26254</v>
      </c>
      <c r="E8369">
        <v>370</v>
      </c>
      <c r="F8369" t="str">
        <f>HYPERLINK("https://github.com/cgeo/cgeo/issues/7533", "show")</f>
        <v>show</v>
      </c>
      <c r="G8369" t="str">
        <f>HYPERLINK("https://github.com/cgeo/cgeo", "show")</f>
        <v>show</v>
      </c>
      <c r="H8369" t="str">
        <f>HYPERLINK("https://github.com/cgeo/cgeo/releases", "show")</f>
        <v>show</v>
      </c>
      <c r="I8369">
        <v>0</v>
      </c>
      <c r="J8369">
        <v>0</v>
      </c>
      <c r="K8369">
        <v>0</v>
      </c>
      <c r="L8369">
        <v>0</v>
      </c>
      <c r="M8369" t="s">
        <v>43</v>
      </c>
    </row>
    <row r="8370" spans="1:13" hidden="1" x14ac:dyDescent="0.15">
      <c r="A8370" t="s">
        <v>26258</v>
      </c>
      <c r="B8370" t="s">
        <v>26259</v>
      </c>
      <c r="D8370" t="s">
        <v>26254</v>
      </c>
      <c r="E8370">
        <v>0</v>
      </c>
      <c r="F8370" t="str">
        <f>HYPERLINK("https://github.com/TM-CG/cmu1819/issues/70", "show")</f>
        <v>show</v>
      </c>
      <c r="G8370" t="str">
        <f>HYPERLINK("https://github.com/TM-CG/cmu1819", "show")</f>
        <v>show</v>
      </c>
      <c r="H8370" t="str">
        <f>HYPERLINK("https://github.com/TM-CG/cmu1819/releases", "show")</f>
        <v>show</v>
      </c>
      <c r="I8370">
        <v>1</v>
      </c>
      <c r="J8370">
        <v>0</v>
      </c>
      <c r="K8370">
        <v>0</v>
      </c>
      <c r="L8370">
        <v>0</v>
      </c>
      <c r="M8370" t="s">
        <v>17</v>
      </c>
    </row>
    <row r="8371" spans="1:13" hidden="1" x14ac:dyDescent="0.15">
      <c r="A8371" t="s">
        <v>26260</v>
      </c>
      <c r="B8371" t="s">
        <v>26261</v>
      </c>
      <c r="C8371" t="s">
        <v>26262</v>
      </c>
      <c r="D8371" t="s">
        <v>26254</v>
      </c>
      <c r="E8371">
        <v>1</v>
      </c>
      <c r="F8371" t="str">
        <f>HYPERLINK("https://github.com/square/okhttp/issues/4969", "show")</f>
        <v>show</v>
      </c>
      <c r="G8371" t="str">
        <f>HYPERLINK("https://github.com/square/okhttp", "show")</f>
        <v>show</v>
      </c>
      <c r="H8371" t="str">
        <f>HYPERLINK("https://github.com/square/okhttp/releases", "show")</f>
        <v>show</v>
      </c>
      <c r="I8371">
        <v>1</v>
      </c>
      <c r="J8371">
        <v>1</v>
      </c>
      <c r="K8371">
        <v>1</v>
      </c>
      <c r="L8371">
        <v>0</v>
      </c>
      <c r="M8371" t="s">
        <v>59</v>
      </c>
    </row>
    <row r="8372" spans="1:13" hidden="1" x14ac:dyDescent="0.15">
      <c r="A8372" t="s">
        <v>26263</v>
      </c>
      <c r="B8372" t="s">
        <v>26264</v>
      </c>
      <c r="C8372" t="s">
        <v>26265</v>
      </c>
      <c r="D8372" t="s">
        <v>26266</v>
      </c>
      <c r="E8372">
        <v>190</v>
      </c>
      <c r="F8372" t="str">
        <f>HYPERLINK("https://github.com/react-native-camera/react-native-camera/issues/2220", "show")</f>
        <v>show</v>
      </c>
      <c r="G8372" t="str">
        <f>HYPERLINK("https://github.com/react-native-camera/react-native-camera", "show")</f>
        <v>show</v>
      </c>
      <c r="H8372" t="str">
        <f>HYPERLINK("https://github.com/react-native-camera/react-native-camera/releases", "show")</f>
        <v>show</v>
      </c>
      <c r="I8372">
        <v>0</v>
      </c>
      <c r="J8372">
        <v>0</v>
      </c>
      <c r="K8372">
        <v>0</v>
      </c>
      <c r="L8372">
        <v>1</v>
      </c>
      <c r="M8372" t="s">
        <v>581</v>
      </c>
    </row>
    <row r="8373" spans="1:13" hidden="1" x14ac:dyDescent="0.15">
      <c r="A8373" t="s">
        <v>26267</v>
      </c>
      <c r="B8373" t="s">
        <v>6772</v>
      </c>
      <c r="C8373" t="s">
        <v>26268</v>
      </c>
      <c r="D8373" t="s">
        <v>26266</v>
      </c>
      <c r="E8373">
        <v>0</v>
      </c>
      <c r="F8373" t="str">
        <f>HYPERLINK("https://github.com/7LPdWcaW/GrowTracker-Android/issues/76", "show")</f>
        <v>show</v>
      </c>
      <c r="G8373" t="str">
        <f>HYPERLINK("https://github.com/7LPdWcaW/GrowTracker-Android", "show")</f>
        <v>show</v>
      </c>
      <c r="H8373" t="str">
        <f>HYPERLINK("https://github.com/7LPdWcaW/GrowTracker-Android/releases", "show")</f>
        <v>show</v>
      </c>
      <c r="I8373">
        <v>1</v>
      </c>
      <c r="J8373">
        <v>0</v>
      </c>
      <c r="K8373">
        <v>0</v>
      </c>
      <c r="L8373">
        <v>0</v>
      </c>
      <c r="M8373" t="s">
        <v>17</v>
      </c>
    </row>
    <row r="8374" spans="1:13" hidden="1" x14ac:dyDescent="0.15">
      <c r="A8374" t="s">
        <v>26269</v>
      </c>
      <c r="B8374" t="s">
        <v>26270</v>
      </c>
      <c r="C8374" t="s">
        <v>26271</v>
      </c>
      <c r="D8374" t="s">
        <v>26266</v>
      </c>
      <c r="E8374">
        <v>61</v>
      </c>
      <c r="F8374" t="str">
        <f>HYPERLINK("https://github.com/j4zib/Equalizer/issues/2", "show")</f>
        <v>show</v>
      </c>
      <c r="G8374" t="str">
        <f>HYPERLINK("https://github.com/j4zib/Equalizer", "show")</f>
        <v>show</v>
      </c>
      <c r="H8374" t="str">
        <f>HYPERLINK("https://github.com/j4zib/Equalizer/releases", "show")</f>
        <v>show</v>
      </c>
      <c r="I8374">
        <v>1</v>
      </c>
      <c r="J8374">
        <v>0</v>
      </c>
      <c r="K8374">
        <v>0</v>
      </c>
      <c r="L8374">
        <v>0</v>
      </c>
      <c r="M8374" t="s">
        <v>17</v>
      </c>
    </row>
    <row r="8375" spans="1:13" hidden="1" x14ac:dyDescent="0.15">
      <c r="A8375" t="s">
        <v>26272</v>
      </c>
      <c r="B8375" t="s">
        <v>26273</v>
      </c>
      <c r="C8375" t="s">
        <v>26274</v>
      </c>
      <c r="D8375" t="s">
        <v>26275</v>
      </c>
      <c r="E8375">
        <v>2</v>
      </c>
      <c r="F8375" t="str">
        <f>HYPERLINK("https://github.com/mendhak/gpslogger/issues/738", "show")</f>
        <v>show</v>
      </c>
      <c r="G8375" t="str">
        <f>HYPERLINK("https://github.com/mendhak/gpslogger", "show")</f>
        <v>show</v>
      </c>
      <c r="H8375" t="str">
        <f>HYPERLINK("https://github.com/mendhak/gpslogger/releases", "show")</f>
        <v>show</v>
      </c>
      <c r="I8375">
        <v>1</v>
      </c>
      <c r="J8375">
        <v>1</v>
      </c>
      <c r="K8375">
        <v>0</v>
      </c>
      <c r="L8375">
        <v>0</v>
      </c>
      <c r="M8375" t="s">
        <v>48</v>
      </c>
    </row>
    <row r="8376" spans="1:13" hidden="1" x14ac:dyDescent="0.15">
      <c r="A8376" t="s">
        <v>26276</v>
      </c>
      <c r="B8376" t="s">
        <v>26277</v>
      </c>
      <c r="C8376" t="s">
        <v>26278</v>
      </c>
      <c r="D8376" t="s">
        <v>26279</v>
      </c>
      <c r="E8376">
        <v>105</v>
      </c>
      <c r="F8376" t="str">
        <f>HYPERLINK("https://github.com/microsoft/EmbeddedSocial-Android-SDK/issues/119", "show")</f>
        <v>show</v>
      </c>
      <c r="G8376" t="str">
        <f>HYPERLINK("https://github.com/microsoft/EmbeddedSocial-Android-SDK", "show")</f>
        <v>show</v>
      </c>
      <c r="H8376" t="str">
        <f>HYPERLINK("https://github.com/microsoft/EmbeddedSocial-Android-SDK/releases", "show")</f>
        <v>show</v>
      </c>
      <c r="I8376">
        <v>1</v>
      </c>
      <c r="J8376">
        <v>0</v>
      </c>
      <c r="K8376">
        <v>1</v>
      </c>
      <c r="L8376">
        <v>0</v>
      </c>
      <c r="M8376" t="s">
        <v>64</v>
      </c>
    </row>
    <row r="8377" spans="1:13" hidden="1" x14ac:dyDescent="0.15">
      <c r="A8377" t="s">
        <v>26280</v>
      </c>
      <c r="B8377" t="s">
        <v>26277</v>
      </c>
      <c r="C8377" t="s">
        <v>26281</v>
      </c>
      <c r="D8377" t="s">
        <v>26279</v>
      </c>
      <c r="E8377">
        <v>70</v>
      </c>
      <c r="F8377" t="str">
        <f>HYPERLINK("https://github.com/OneBusAway/onebusaway-android/issues/976", "show")</f>
        <v>show</v>
      </c>
      <c r="G8377" t="str">
        <f>HYPERLINK("https://github.com/OneBusAway/onebusaway-android", "show")</f>
        <v>show</v>
      </c>
      <c r="H8377" t="str">
        <f>HYPERLINK("https://github.com/OneBusAway/onebusaway-android/releases", "show")</f>
        <v>show</v>
      </c>
      <c r="I8377">
        <v>1</v>
      </c>
      <c r="J8377">
        <v>0</v>
      </c>
      <c r="K8377">
        <v>1</v>
      </c>
      <c r="L8377">
        <v>0</v>
      </c>
      <c r="M8377" t="s">
        <v>64</v>
      </c>
    </row>
    <row r="8378" spans="1:13" hidden="1" x14ac:dyDescent="0.15">
      <c r="A8378" t="s">
        <v>26282</v>
      </c>
      <c r="B8378" t="s">
        <v>26283</v>
      </c>
      <c r="C8378" t="s">
        <v>26284</v>
      </c>
      <c r="D8378" t="s">
        <v>26279</v>
      </c>
      <c r="E8378">
        <v>1</v>
      </c>
      <c r="F8378" t="str">
        <f>HYPERLINK("https://github.com/koral--/android-gif-drawable/issues/649", "show")</f>
        <v>show</v>
      </c>
      <c r="G8378" t="str">
        <f>HYPERLINK("https://github.com/koral--/android-gif-drawable", "show")</f>
        <v>show</v>
      </c>
      <c r="H8378" t="str">
        <f>HYPERLINK("https://github.com/koral--/android-gif-drawable/releases", "show")</f>
        <v>show</v>
      </c>
      <c r="I8378">
        <v>1</v>
      </c>
      <c r="J8378">
        <v>0</v>
      </c>
      <c r="K8378">
        <v>0</v>
      </c>
      <c r="L8378">
        <v>0</v>
      </c>
      <c r="M8378" t="s">
        <v>17</v>
      </c>
    </row>
    <row r="8379" spans="1:13" x14ac:dyDescent="0.15">
      <c r="A8379" t="s">
        <v>26285</v>
      </c>
      <c r="B8379" t="s">
        <v>26286</v>
      </c>
      <c r="C8379" t="s">
        <v>26287</v>
      </c>
      <c r="D8379" t="s">
        <v>26279</v>
      </c>
      <c r="E8379">
        <v>81</v>
      </c>
      <c r="F8379" t="str">
        <f>HYPERLINK("https://github.com/LawnchairLauncher/lawnchair/issues/1506", "show")</f>
        <v>show</v>
      </c>
      <c r="G8379" t="str">
        <f>HYPERLINK("https://github.com/LawnchairLauncher/lawnchair", "show")</f>
        <v>show</v>
      </c>
      <c r="H8379" t="str">
        <f>HYPERLINK("https://github.com/LawnchairLauncher/lawnchair/releases", "show")</f>
        <v>show</v>
      </c>
      <c r="I8379">
        <v>0</v>
      </c>
      <c r="J8379">
        <v>1</v>
      </c>
      <c r="K8379">
        <v>0</v>
      </c>
      <c r="L8379">
        <v>0</v>
      </c>
      <c r="M8379" t="s">
        <v>139</v>
      </c>
    </row>
    <row r="8380" spans="1:13" hidden="1" x14ac:dyDescent="0.15">
      <c r="A8380" t="s">
        <v>26288</v>
      </c>
      <c r="B8380" t="s">
        <v>26289</v>
      </c>
      <c r="D8380" t="s">
        <v>26290</v>
      </c>
      <c r="E8380">
        <v>1</v>
      </c>
      <c r="F8380" t="str">
        <f>HYPERLINK("https://github.com/TM-CG/cmu1819/issues/53", "show")</f>
        <v>show</v>
      </c>
      <c r="G8380" t="str">
        <f>HYPERLINK("https://github.com/TM-CG/cmu1819", "show")</f>
        <v>show</v>
      </c>
      <c r="H8380" t="str">
        <f>HYPERLINK("https://github.com/TM-CG/cmu1819/releases", "show")</f>
        <v>show</v>
      </c>
      <c r="I8380">
        <v>1</v>
      </c>
      <c r="J8380">
        <v>0</v>
      </c>
      <c r="K8380">
        <v>0</v>
      </c>
      <c r="L8380">
        <v>0</v>
      </c>
      <c r="M8380" t="s">
        <v>17</v>
      </c>
    </row>
    <row r="8381" spans="1:13" hidden="1" x14ac:dyDescent="0.15">
      <c r="A8381" t="s">
        <v>26291</v>
      </c>
      <c r="B8381" t="s">
        <v>26292</v>
      </c>
      <c r="C8381" t="s">
        <v>26293</v>
      </c>
      <c r="D8381" t="s">
        <v>26294</v>
      </c>
      <c r="E8381">
        <v>172</v>
      </c>
      <c r="F8381" t="str">
        <f>HYPERLINK("https://github.com/zoontek/react-native-localize/issues/48", "show")</f>
        <v>show</v>
      </c>
      <c r="G8381" t="str">
        <f>HYPERLINK("https://github.com/zoontek/react-native-localize", "show")</f>
        <v>show</v>
      </c>
      <c r="H8381" t="str">
        <f>HYPERLINK("https://github.com/zoontek/react-native-localize/releases", "show")</f>
        <v>show</v>
      </c>
      <c r="I8381">
        <v>1</v>
      </c>
      <c r="J8381">
        <v>0</v>
      </c>
      <c r="K8381">
        <v>0</v>
      </c>
      <c r="L8381">
        <v>0</v>
      </c>
      <c r="M8381" t="s">
        <v>17</v>
      </c>
    </row>
    <row r="8382" spans="1:13" hidden="1" x14ac:dyDescent="0.15">
      <c r="A8382" t="s">
        <v>26295</v>
      </c>
      <c r="B8382" t="s">
        <v>26296</v>
      </c>
      <c r="C8382" t="s">
        <v>26297</v>
      </c>
      <c r="D8382" t="s">
        <v>26294</v>
      </c>
      <c r="E8382">
        <v>302</v>
      </c>
      <c r="F8382" t="str">
        <f>HYPERLINK("https://github.com/michael-rapp/ChromeLikeTabSwitcher/issues/22", "show")</f>
        <v>show</v>
      </c>
      <c r="G8382" t="str">
        <f>HYPERLINK("https://github.com/michael-rapp/ChromeLikeTabSwitcher", "show")</f>
        <v>show</v>
      </c>
      <c r="H8382" t="str">
        <f>HYPERLINK("https://github.com/michael-rapp/ChromeLikeTabSwitcher/releases", "show")</f>
        <v>show</v>
      </c>
      <c r="I8382">
        <v>1</v>
      </c>
      <c r="J8382">
        <v>0</v>
      </c>
      <c r="K8382">
        <v>1</v>
      </c>
      <c r="L8382">
        <v>1</v>
      </c>
      <c r="M8382" t="s">
        <v>1259</v>
      </c>
    </row>
    <row r="8383" spans="1:13" hidden="1" x14ac:dyDescent="0.15">
      <c r="A8383" t="s">
        <v>26298</v>
      </c>
      <c r="B8383" t="s">
        <v>26299</v>
      </c>
      <c r="C8383" t="s">
        <v>26300</v>
      </c>
      <c r="D8383" t="s">
        <v>26301</v>
      </c>
      <c r="E8383">
        <v>70</v>
      </c>
      <c r="F8383" t="str">
        <f>HYPERLINK("https://github.com/inaturalist/react-native-inat-camera/issues/11", "show")</f>
        <v>show</v>
      </c>
      <c r="G8383" t="str">
        <f>HYPERLINK("https://github.com/inaturalist/react-native-inat-camera", "show")</f>
        <v>show</v>
      </c>
      <c r="H8383" t="str">
        <f>HYPERLINK("https://github.com/inaturalist/react-native-inat-camera/releases", "show")</f>
        <v>show</v>
      </c>
      <c r="I8383">
        <v>1</v>
      </c>
      <c r="J8383">
        <v>0</v>
      </c>
      <c r="K8383">
        <v>1</v>
      </c>
      <c r="L8383">
        <v>0</v>
      </c>
      <c r="M8383" t="s">
        <v>64</v>
      </c>
    </row>
    <row r="8384" spans="1:13" hidden="1" x14ac:dyDescent="0.15">
      <c r="A8384" t="s">
        <v>26302</v>
      </c>
      <c r="B8384" t="s">
        <v>26303</v>
      </c>
      <c r="C8384" t="s">
        <v>26304</v>
      </c>
      <c r="D8384" t="s">
        <v>26301</v>
      </c>
      <c r="E8384">
        <v>149</v>
      </c>
      <c r="F8384" t="str">
        <f>HYPERLINK("https://github.com/cgeo/cgeo/issues/7510", "show")</f>
        <v>show</v>
      </c>
      <c r="G8384" t="str">
        <f>HYPERLINK("https://github.com/cgeo/cgeo", "show")</f>
        <v>show</v>
      </c>
      <c r="H8384" t="str">
        <f>HYPERLINK("https://github.com/cgeo/cgeo/releases", "show")</f>
        <v>show</v>
      </c>
      <c r="I8384">
        <v>1</v>
      </c>
      <c r="J8384">
        <v>1</v>
      </c>
      <c r="K8384">
        <v>0</v>
      </c>
      <c r="L8384">
        <v>0</v>
      </c>
      <c r="M8384" t="s">
        <v>48</v>
      </c>
    </row>
    <row r="8385" spans="1:13" hidden="1" x14ac:dyDescent="0.15">
      <c r="A8385" t="s">
        <v>26305</v>
      </c>
      <c r="B8385" t="s">
        <v>26306</v>
      </c>
      <c r="D8385" t="s">
        <v>26301</v>
      </c>
      <c r="E8385">
        <v>1</v>
      </c>
      <c r="F8385" t="str">
        <f>HYPERLINK("https://github.com/crdroidandroid/android_frameworks_base/issues/223", "show")</f>
        <v>show</v>
      </c>
      <c r="G8385" t="str">
        <f>HYPERLINK("https://github.com/crdroidandroid/android_frameworks_base", "show")</f>
        <v>show</v>
      </c>
      <c r="H8385" t="str">
        <f>HYPERLINK("https://github.com/crdroidandroid/android_frameworks_base/releases", "show")</f>
        <v>show</v>
      </c>
      <c r="I8385">
        <v>1</v>
      </c>
      <c r="J8385">
        <v>0</v>
      </c>
      <c r="K8385">
        <v>1</v>
      </c>
      <c r="L8385">
        <v>0</v>
      </c>
      <c r="M8385" t="s">
        <v>64</v>
      </c>
    </row>
    <row r="8386" spans="1:13" x14ac:dyDescent="0.15">
      <c r="A8386" t="s">
        <v>26307</v>
      </c>
      <c r="B8386" t="s">
        <v>26308</v>
      </c>
      <c r="C8386" t="s">
        <v>26309</v>
      </c>
      <c r="D8386" t="s">
        <v>26301</v>
      </c>
      <c r="E8386">
        <v>1</v>
      </c>
      <c r="F8386" t="str">
        <f>HYPERLINK("https://github.com/google/ExoPlayer/issues/5767", "show")</f>
        <v>show</v>
      </c>
      <c r="G8386" t="str">
        <f>HYPERLINK("https://github.com/google/ExoPlayer", "show")</f>
        <v>show</v>
      </c>
      <c r="H8386" t="str">
        <f>HYPERLINK("https://github.com/google/ExoPlayer/releases", "show")</f>
        <v>show</v>
      </c>
      <c r="I8386">
        <v>0</v>
      </c>
      <c r="J8386">
        <v>1</v>
      </c>
      <c r="K8386">
        <v>0</v>
      </c>
      <c r="L8386">
        <v>0</v>
      </c>
      <c r="M8386" t="s">
        <v>139</v>
      </c>
    </row>
    <row r="8387" spans="1:13" hidden="1" x14ac:dyDescent="0.15">
      <c r="A8387" t="s">
        <v>26310</v>
      </c>
      <c r="B8387" t="s">
        <v>26311</v>
      </c>
      <c r="C8387" t="s">
        <v>26312</v>
      </c>
      <c r="D8387" t="s">
        <v>26301</v>
      </c>
      <c r="E8387">
        <v>25</v>
      </c>
      <c r="F8387" t="str">
        <f>HYPERLINK("https://github.com/nextcloud/android/issues/3902", "show")</f>
        <v>show</v>
      </c>
      <c r="G8387" t="str">
        <f>HYPERLINK("https://github.com/nextcloud/android", "show")</f>
        <v>show</v>
      </c>
      <c r="H8387" t="str">
        <f>HYPERLINK("https://github.com/nextcloud/android/releases", "show")</f>
        <v>show</v>
      </c>
      <c r="I8387">
        <v>0</v>
      </c>
      <c r="J8387">
        <v>0</v>
      </c>
      <c r="K8387">
        <v>1</v>
      </c>
      <c r="L8387">
        <v>0</v>
      </c>
      <c r="M8387" t="s">
        <v>122</v>
      </c>
    </row>
    <row r="8388" spans="1:13" hidden="1" x14ac:dyDescent="0.15">
      <c r="A8388" t="s">
        <v>26313</v>
      </c>
      <c r="B8388" t="s">
        <v>26314</v>
      </c>
      <c r="C8388" t="s">
        <v>26315</v>
      </c>
      <c r="D8388" t="s">
        <v>26301</v>
      </c>
      <c r="E8388">
        <v>19</v>
      </c>
      <c r="F8388" t="str">
        <f>HYPERLINK("https://github.com/nextcloud/android/issues/3901", "show")</f>
        <v>show</v>
      </c>
      <c r="G8388" t="str">
        <f>HYPERLINK("https://github.com/nextcloud/android", "show")</f>
        <v>show</v>
      </c>
      <c r="H8388" t="str">
        <f>HYPERLINK("https://github.com/nextcloud/android/releases", "show")</f>
        <v>show</v>
      </c>
      <c r="I8388">
        <v>0</v>
      </c>
      <c r="J8388">
        <v>0</v>
      </c>
      <c r="K8388">
        <v>1</v>
      </c>
      <c r="L8388">
        <v>0</v>
      </c>
      <c r="M8388" t="s">
        <v>122</v>
      </c>
    </row>
    <row r="8389" spans="1:13" hidden="1" x14ac:dyDescent="0.15">
      <c r="A8389" t="s">
        <v>26316</v>
      </c>
      <c r="B8389" t="s">
        <v>26317</v>
      </c>
      <c r="C8389" t="s">
        <v>26318</v>
      </c>
      <c r="D8389" t="s">
        <v>26319</v>
      </c>
      <c r="E8389">
        <v>1</v>
      </c>
      <c r="F8389" t="str">
        <f>HYPERLINK("https://github.com/samanzamani/PersianDate/issues/19", "show")</f>
        <v>show</v>
      </c>
      <c r="G8389" t="str">
        <f>HYPERLINK("https://github.com/samanzamani/PersianDate", "show")</f>
        <v>show</v>
      </c>
      <c r="H8389" t="str">
        <f>HYPERLINK("https://github.com/samanzamani/PersianDate/releases", "show")</f>
        <v>show</v>
      </c>
      <c r="I8389">
        <v>1</v>
      </c>
      <c r="J8389">
        <v>0</v>
      </c>
      <c r="K8389">
        <v>0</v>
      </c>
      <c r="L8389">
        <v>0</v>
      </c>
      <c r="M8389" t="s">
        <v>17</v>
      </c>
    </row>
    <row r="8390" spans="1:13" hidden="1" x14ac:dyDescent="0.15">
      <c r="A8390" t="s">
        <v>26320</v>
      </c>
      <c r="B8390" t="s">
        <v>26321</v>
      </c>
      <c r="C8390" t="s">
        <v>26322</v>
      </c>
      <c r="D8390" t="s">
        <v>26319</v>
      </c>
      <c r="E8390">
        <v>616</v>
      </c>
      <c r="F8390" t="str">
        <f>HYPERLINK("https://github.com/libgdx/libgdx/issues/5609", "show")</f>
        <v>show</v>
      </c>
      <c r="G8390" t="str">
        <f>HYPERLINK("https://github.com/libgdx/libgdx", "show")</f>
        <v>show</v>
      </c>
      <c r="H8390" t="str">
        <f>HYPERLINK("https://github.com/libgdx/libgdx/releases", "show")</f>
        <v>show</v>
      </c>
      <c r="I8390">
        <v>1</v>
      </c>
      <c r="J8390">
        <v>1</v>
      </c>
      <c r="K8390">
        <v>0</v>
      </c>
      <c r="L8390">
        <v>0</v>
      </c>
      <c r="M8390" t="s">
        <v>48</v>
      </c>
    </row>
    <row r="8391" spans="1:13" hidden="1" x14ac:dyDescent="0.15">
      <c r="A8391" t="s">
        <v>26323</v>
      </c>
      <c r="B8391" t="s">
        <v>26324</v>
      </c>
      <c r="C8391" t="s">
        <v>26325</v>
      </c>
      <c r="D8391" t="s">
        <v>26319</v>
      </c>
      <c r="E8391">
        <v>28</v>
      </c>
      <c r="F8391" t="str">
        <f>HYPERLINK("https://github.com/andyrozman/RileyLinkAAPS/issues/116", "show")</f>
        <v>show</v>
      </c>
      <c r="G8391" t="str">
        <f>HYPERLINK("https://github.com/andyrozman/RileyLinkAAPS", "show")</f>
        <v>show</v>
      </c>
      <c r="H8391" t="str">
        <f>HYPERLINK("https://github.com/andyrozman/RileyLinkAAPS/releases", "show")</f>
        <v>show</v>
      </c>
      <c r="I8391">
        <v>1</v>
      </c>
      <c r="J8391">
        <v>0</v>
      </c>
      <c r="K8391">
        <v>0</v>
      </c>
      <c r="L8391">
        <v>0</v>
      </c>
      <c r="M8391" t="s">
        <v>17</v>
      </c>
    </row>
    <row r="8392" spans="1:13" hidden="1" x14ac:dyDescent="0.15">
      <c r="A8392" t="s">
        <v>26326</v>
      </c>
      <c r="B8392" t="s">
        <v>26327</v>
      </c>
      <c r="C8392" t="s">
        <v>26328</v>
      </c>
      <c r="D8392" t="s">
        <v>26329</v>
      </c>
      <c r="E8392">
        <v>18</v>
      </c>
      <c r="F8392" t="str">
        <f>HYPERLINK("https://github.com/khalid-hussain/HisnulMuslim/issues/63", "show")</f>
        <v>show</v>
      </c>
      <c r="G8392" t="str">
        <f>HYPERLINK("https://github.com/khalid-hussain/HisnulMuslim", "show")</f>
        <v>show</v>
      </c>
      <c r="H8392" t="str">
        <f>HYPERLINK("https://github.com/khalid-hussain/HisnulMuslim/releases", "show")</f>
        <v>show</v>
      </c>
      <c r="I8392">
        <v>1</v>
      </c>
      <c r="J8392">
        <v>0</v>
      </c>
      <c r="K8392">
        <v>1</v>
      </c>
      <c r="L8392">
        <v>0</v>
      </c>
      <c r="M8392" t="s">
        <v>64</v>
      </c>
    </row>
    <row r="8393" spans="1:13" hidden="1" x14ac:dyDescent="0.15">
      <c r="A8393" t="s">
        <v>26330</v>
      </c>
      <c r="B8393" t="s">
        <v>26331</v>
      </c>
      <c r="C8393" t="s">
        <v>26332</v>
      </c>
      <c r="D8393" t="s">
        <v>26329</v>
      </c>
      <c r="E8393">
        <v>537</v>
      </c>
      <c r="F8393" t="str">
        <f>HYPERLINK("https://github.com/SecUSo/privacy-friendly-netmonitor/issues/68", "show")</f>
        <v>show</v>
      </c>
      <c r="G8393" t="str">
        <f>HYPERLINK("https://github.com/SecUSo/privacy-friendly-netmonitor", "show")</f>
        <v>show</v>
      </c>
      <c r="H8393" t="str">
        <f>HYPERLINK("https://github.com/SecUSo/privacy-friendly-netmonitor/releases", "show")</f>
        <v>show</v>
      </c>
      <c r="I8393">
        <v>1</v>
      </c>
      <c r="J8393">
        <v>0</v>
      </c>
      <c r="K8393">
        <v>0</v>
      </c>
      <c r="L8393">
        <v>0</v>
      </c>
      <c r="M8393" t="s">
        <v>17</v>
      </c>
    </row>
    <row r="8394" spans="1:13" x14ac:dyDescent="0.15">
      <c r="A8394" t="s">
        <v>26333</v>
      </c>
      <c r="B8394" t="s">
        <v>26334</v>
      </c>
      <c r="C8394" t="s">
        <v>26335</v>
      </c>
      <c r="D8394" t="s">
        <v>26336</v>
      </c>
      <c r="E8394">
        <v>868</v>
      </c>
      <c r="F8394" t="str">
        <f>HYPERLINK("https://github.com/LawnchairLauncher/lawnchair/issues/1492", "show")</f>
        <v>show</v>
      </c>
      <c r="G8394" t="str">
        <f>HYPERLINK("https://github.com/LawnchairLauncher/lawnchair", "show")</f>
        <v>show</v>
      </c>
      <c r="H8394" t="str">
        <f>HYPERLINK("https://github.com/LawnchairLauncher/lawnchair/releases", "show")</f>
        <v>show</v>
      </c>
      <c r="I8394">
        <v>0</v>
      </c>
      <c r="J8394">
        <v>1</v>
      </c>
      <c r="K8394">
        <v>0</v>
      </c>
      <c r="L8394">
        <v>0</v>
      </c>
      <c r="M8394" t="s">
        <v>139</v>
      </c>
    </row>
    <row r="8395" spans="1:13" hidden="1" x14ac:dyDescent="0.15">
      <c r="A8395" t="s">
        <v>26337</v>
      </c>
      <c r="B8395" t="s">
        <v>26338</v>
      </c>
      <c r="C8395" t="s">
        <v>504</v>
      </c>
      <c r="D8395" t="s">
        <v>26336</v>
      </c>
      <c r="E8395">
        <v>11</v>
      </c>
      <c r="F8395" t="str">
        <f>HYPERLINK("https://github.com/niclabs/adkintunmobile-androidclient/issues/203", "show")</f>
        <v>show</v>
      </c>
      <c r="G8395" t="str">
        <f>HYPERLINK("https://github.com/niclabs/adkintunmobile-androidclient", "show")</f>
        <v>show</v>
      </c>
      <c r="H8395" t="str">
        <f>HYPERLINK("https://github.com/niclabs/adkintunmobile-androidclient/releases", "show")</f>
        <v>show</v>
      </c>
      <c r="I8395">
        <v>1</v>
      </c>
      <c r="J8395">
        <v>0</v>
      </c>
      <c r="K8395">
        <v>0</v>
      </c>
      <c r="L8395">
        <v>0</v>
      </c>
      <c r="M8395" t="s">
        <v>17</v>
      </c>
    </row>
    <row r="8396" spans="1:13" hidden="1" x14ac:dyDescent="0.15">
      <c r="A8396" t="s">
        <v>26339</v>
      </c>
      <c r="B8396" t="s">
        <v>26340</v>
      </c>
      <c r="C8396" t="s">
        <v>26341</v>
      </c>
      <c r="D8396" t="s">
        <v>26342</v>
      </c>
      <c r="E8396">
        <v>1</v>
      </c>
      <c r="F8396" t="str">
        <f>HYPERLINK("https://github.com/google/ExoPlayer/issues/5757", "show")</f>
        <v>show</v>
      </c>
      <c r="G8396" t="str">
        <f>HYPERLINK("https://github.com/google/ExoPlayer", "show")</f>
        <v>show</v>
      </c>
      <c r="H8396" t="str">
        <f>HYPERLINK("https://github.com/google/ExoPlayer/releases", "show")</f>
        <v>show</v>
      </c>
      <c r="I8396">
        <v>0</v>
      </c>
      <c r="J8396">
        <v>1</v>
      </c>
      <c r="K8396">
        <v>1</v>
      </c>
      <c r="L8396">
        <v>0</v>
      </c>
      <c r="M8396" t="s">
        <v>699</v>
      </c>
    </row>
    <row r="8397" spans="1:13" hidden="1" x14ac:dyDescent="0.15">
      <c r="A8397" t="s">
        <v>26343</v>
      </c>
      <c r="B8397" t="s">
        <v>26344</v>
      </c>
      <c r="C8397" t="s">
        <v>26345</v>
      </c>
      <c r="D8397" t="s">
        <v>26342</v>
      </c>
      <c r="E8397">
        <v>1</v>
      </c>
      <c r="F8397" t="str">
        <f>HYPERLINK("https://github.com/nextcloud/android/issues/3881", "show")</f>
        <v>show</v>
      </c>
      <c r="G8397" t="str">
        <f>HYPERLINK("https://github.com/nextcloud/android", "show")</f>
        <v>show</v>
      </c>
      <c r="H8397" t="str">
        <f>HYPERLINK("https://github.com/nextcloud/android/releases", "show")</f>
        <v>show</v>
      </c>
      <c r="I8397">
        <v>0</v>
      </c>
      <c r="J8397">
        <v>0</v>
      </c>
      <c r="K8397">
        <v>1</v>
      </c>
      <c r="L8397">
        <v>0</v>
      </c>
      <c r="M8397" t="s">
        <v>122</v>
      </c>
    </row>
    <row r="8398" spans="1:13" hidden="1" x14ac:dyDescent="0.15">
      <c r="A8398" t="s">
        <v>26346</v>
      </c>
      <c r="B8398" t="s">
        <v>26347</v>
      </c>
      <c r="D8398" t="s">
        <v>26342</v>
      </c>
      <c r="E8398">
        <v>0</v>
      </c>
      <c r="F8398" t="str">
        <f>HYPERLINK("https://github.com/hzi-braunschweig/SORMAS-Project/issues/1055", "show")</f>
        <v>show</v>
      </c>
      <c r="G8398" t="str">
        <f>HYPERLINK("https://github.com/hzi-braunschweig/SORMAS-Project", "show")</f>
        <v>show</v>
      </c>
      <c r="H8398" t="str">
        <f>HYPERLINK("https://github.com/hzi-braunschweig/SORMAS-Project/releases", "show")</f>
        <v>show</v>
      </c>
      <c r="I8398">
        <v>1</v>
      </c>
      <c r="J8398">
        <v>0</v>
      </c>
      <c r="K8398">
        <v>0</v>
      </c>
      <c r="L8398">
        <v>0</v>
      </c>
      <c r="M8398" t="s">
        <v>17</v>
      </c>
    </row>
    <row r="8399" spans="1:13" hidden="1" x14ac:dyDescent="0.15">
      <c r="A8399" t="s">
        <v>26348</v>
      </c>
      <c r="B8399" t="s">
        <v>26349</v>
      </c>
      <c r="C8399" t="s">
        <v>26350</v>
      </c>
      <c r="D8399" t="s">
        <v>26342</v>
      </c>
      <c r="E8399">
        <v>0</v>
      </c>
      <c r="F8399" t="str">
        <f>HYPERLINK("https://github.com/Alfresco/alfresco-android-app/issues/533", "show")</f>
        <v>show</v>
      </c>
      <c r="G8399" t="str">
        <f>HYPERLINK("https://github.com/Alfresco/alfresco-android-app", "show")</f>
        <v>show</v>
      </c>
      <c r="H8399" t="str">
        <f>HYPERLINK("https://github.com/Alfresco/alfresco-android-app/releases", "show")</f>
        <v>show</v>
      </c>
      <c r="I8399">
        <v>0</v>
      </c>
      <c r="J8399">
        <v>0</v>
      </c>
      <c r="K8399">
        <v>0</v>
      </c>
      <c r="L8399">
        <v>0</v>
      </c>
      <c r="M8399" t="s">
        <v>43</v>
      </c>
    </row>
    <row r="8400" spans="1:13" hidden="1" x14ac:dyDescent="0.15">
      <c r="A8400" t="s">
        <v>26351</v>
      </c>
      <c r="B8400" t="s">
        <v>26352</v>
      </c>
      <c r="C8400" t="s">
        <v>26353</v>
      </c>
      <c r="D8400" t="s">
        <v>26342</v>
      </c>
      <c r="E8400">
        <v>1072</v>
      </c>
      <c r="F8400" t="str">
        <f>HYPERLINK("https://github.com/maks/MGit/issues/450", "show")</f>
        <v>show</v>
      </c>
      <c r="G8400" t="str">
        <f>HYPERLINK("https://github.com/maks/MGit", "show")</f>
        <v>show</v>
      </c>
      <c r="H8400" t="str">
        <f>HYPERLINK("https://github.com/maks/MGit/releases", "show")</f>
        <v>show</v>
      </c>
      <c r="I8400">
        <v>0</v>
      </c>
      <c r="J8400">
        <v>0</v>
      </c>
      <c r="K8400">
        <v>0</v>
      </c>
      <c r="L8400">
        <v>0</v>
      </c>
      <c r="M8400" t="s">
        <v>43</v>
      </c>
    </row>
    <row r="8401" spans="1:13" hidden="1" x14ac:dyDescent="0.15">
      <c r="A8401" t="s">
        <v>26354</v>
      </c>
      <c r="B8401" t="s">
        <v>26355</v>
      </c>
      <c r="C8401" t="s">
        <v>26356</v>
      </c>
      <c r="D8401" t="s">
        <v>26342</v>
      </c>
      <c r="E8401">
        <v>1</v>
      </c>
      <c r="F8401" t="str">
        <f>HYPERLINK("https://github.com/awslabs/aws-mobile-appsync-sdk-android/issues/146", "show")</f>
        <v>show</v>
      </c>
      <c r="G8401" t="str">
        <f>HYPERLINK("https://github.com/awslabs/aws-mobile-appsync-sdk-android", "show")</f>
        <v>show</v>
      </c>
      <c r="H8401" t="str">
        <f>HYPERLINK("https://github.com/awslabs/aws-mobile-appsync-sdk-android/releases", "show")</f>
        <v>show</v>
      </c>
      <c r="I8401">
        <v>0</v>
      </c>
      <c r="J8401">
        <v>0</v>
      </c>
      <c r="K8401">
        <v>0</v>
      </c>
      <c r="L8401">
        <v>0</v>
      </c>
      <c r="M8401" t="s">
        <v>43</v>
      </c>
    </row>
    <row r="8402" spans="1:13" hidden="1" x14ac:dyDescent="0.15">
      <c r="A8402" t="s">
        <v>26357</v>
      </c>
      <c r="B8402" t="s">
        <v>26358</v>
      </c>
      <c r="C8402" t="s">
        <v>26359</v>
      </c>
      <c r="D8402" t="s">
        <v>26342</v>
      </c>
      <c r="E8402">
        <v>0</v>
      </c>
      <c r="F8402" t="str">
        <f>HYPERLINK("https://github.com/react-native-geolocation/react-native-geolocation/issues/23", "show")</f>
        <v>show</v>
      </c>
      <c r="G8402" t="str">
        <f>HYPERLINK("https://github.com/react-native-geolocation/react-native-geolocation", "show")</f>
        <v>show</v>
      </c>
      <c r="H8402" t="str">
        <f>HYPERLINK("https://github.com/react-native-geolocation/react-native-geolocation/releases", "show")</f>
        <v>show</v>
      </c>
      <c r="I8402">
        <v>0</v>
      </c>
      <c r="J8402">
        <v>0</v>
      </c>
      <c r="K8402">
        <v>0</v>
      </c>
      <c r="L8402">
        <v>0</v>
      </c>
      <c r="M8402" t="s">
        <v>43</v>
      </c>
    </row>
    <row r="8403" spans="1:13" hidden="1" x14ac:dyDescent="0.15">
      <c r="A8403" t="s">
        <v>26360</v>
      </c>
      <c r="B8403" t="s">
        <v>26361</v>
      </c>
      <c r="C8403" t="s">
        <v>26362</v>
      </c>
      <c r="D8403" t="s">
        <v>26342</v>
      </c>
      <c r="E8403">
        <v>17</v>
      </c>
      <c r="F8403" t="str">
        <f>HYPERLINK("https://github.com/TeamNewPipe/NewPipe/issues/2280", "show")</f>
        <v>show</v>
      </c>
      <c r="G8403" t="str">
        <f>HYPERLINK("https://github.com/TeamNewPipe/NewPipe", "show")</f>
        <v>show</v>
      </c>
      <c r="H8403" t="str">
        <f>HYPERLINK("https://github.com/TeamNewPipe/NewPipe/releases", "show")</f>
        <v>show</v>
      </c>
      <c r="I8403">
        <v>1</v>
      </c>
      <c r="J8403">
        <v>0</v>
      </c>
      <c r="K8403">
        <v>1</v>
      </c>
      <c r="L8403">
        <v>1</v>
      </c>
      <c r="M8403" t="s">
        <v>1259</v>
      </c>
    </row>
    <row r="8404" spans="1:13" hidden="1" x14ac:dyDescent="0.15">
      <c r="A8404" t="s">
        <v>26363</v>
      </c>
      <c r="B8404" t="s">
        <v>26364</v>
      </c>
      <c r="C8404" t="s">
        <v>26365</v>
      </c>
      <c r="D8404" t="s">
        <v>26342</v>
      </c>
      <c r="E8404">
        <v>14</v>
      </c>
      <c r="F8404" t="str">
        <f>HYPERLINK("https://github.com/UriahShaulMandel/BaldPhone/issues/11", "show")</f>
        <v>show</v>
      </c>
      <c r="G8404" t="str">
        <f>HYPERLINK("https://github.com/UriahShaulMandel/BaldPhone", "show")</f>
        <v>show</v>
      </c>
      <c r="H8404" t="str">
        <f>HYPERLINK("https://github.com/UriahShaulMandel/BaldPhone/releases", "show")</f>
        <v>show</v>
      </c>
      <c r="I8404">
        <v>1</v>
      </c>
      <c r="J8404">
        <v>1</v>
      </c>
      <c r="K8404">
        <v>0</v>
      </c>
      <c r="L8404">
        <v>0</v>
      </c>
      <c r="M8404" t="s">
        <v>48</v>
      </c>
    </row>
    <row r="8405" spans="1:13" hidden="1" x14ac:dyDescent="0.15">
      <c r="A8405" t="s">
        <v>26366</v>
      </c>
      <c r="B8405" t="s">
        <v>26367</v>
      </c>
      <c r="D8405" t="s">
        <v>26342</v>
      </c>
      <c r="E8405">
        <v>299</v>
      </c>
      <c r="F8405" t="str">
        <f>HYPERLINK("https://github.com/alexvasilkov/GestureViews/issues/139", "show")</f>
        <v>show</v>
      </c>
      <c r="G8405" t="str">
        <f>HYPERLINK("https://github.com/alexvasilkov/GestureViews", "show")</f>
        <v>show</v>
      </c>
      <c r="H8405" t="str">
        <f>HYPERLINK("https://github.com/alexvasilkov/GestureViews/releases", "show")</f>
        <v>show</v>
      </c>
      <c r="I8405">
        <v>1</v>
      </c>
      <c r="J8405">
        <v>0</v>
      </c>
      <c r="K8405">
        <v>0</v>
      </c>
      <c r="L8405">
        <v>0</v>
      </c>
      <c r="M8405" t="s">
        <v>17</v>
      </c>
    </row>
    <row r="8406" spans="1:13" hidden="1" x14ac:dyDescent="0.15">
      <c r="A8406" t="s">
        <v>26368</v>
      </c>
      <c r="B8406" t="s">
        <v>26369</v>
      </c>
      <c r="C8406" t="s">
        <v>26370</v>
      </c>
      <c r="D8406" t="s">
        <v>26371</v>
      </c>
      <c r="E8406">
        <v>1</v>
      </c>
      <c r="F8406" t="str">
        <f>HYPERLINK("https://github.com/mapbox/mapbox-plugins-android/issues/925", "show")</f>
        <v>show</v>
      </c>
      <c r="G8406" t="str">
        <f>HYPERLINK("https://github.com/mapbox/mapbox-plugins-android", "show")</f>
        <v>show</v>
      </c>
      <c r="H8406" t="str">
        <f>HYPERLINK("https://github.com/mapbox/mapbox-plugins-android/releases", "show")</f>
        <v>show</v>
      </c>
      <c r="I8406">
        <v>0</v>
      </c>
      <c r="J8406">
        <v>0</v>
      </c>
      <c r="K8406">
        <v>0</v>
      </c>
      <c r="L8406">
        <v>0</v>
      </c>
      <c r="M8406" t="s">
        <v>43</v>
      </c>
    </row>
    <row r="8407" spans="1:13" hidden="1" x14ac:dyDescent="0.15">
      <c r="A8407" t="s">
        <v>26372</v>
      </c>
      <c r="B8407" t="s">
        <v>26373</v>
      </c>
      <c r="C8407" t="s">
        <v>26374</v>
      </c>
      <c r="D8407" t="s">
        <v>26371</v>
      </c>
      <c r="E8407">
        <v>67</v>
      </c>
      <c r="F8407" t="str">
        <f>HYPERLINK("https://github.com/react-native-camera/react-native-camera/issues/2203", "show")</f>
        <v>show</v>
      </c>
      <c r="G8407" t="str">
        <f>HYPERLINK("https://github.com/react-native-camera/react-native-camera", "show")</f>
        <v>show</v>
      </c>
      <c r="H8407" t="str">
        <f>HYPERLINK("https://github.com/react-native-camera/react-native-camera/releases", "show")</f>
        <v>show</v>
      </c>
      <c r="I8407">
        <v>1</v>
      </c>
      <c r="J8407">
        <v>0</v>
      </c>
      <c r="K8407">
        <v>1</v>
      </c>
      <c r="L8407">
        <v>0</v>
      </c>
      <c r="M8407" t="s">
        <v>64</v>
      </c>
    </row>
    <row r="8408" spans="1:13" hidden="1" x14ac:dyDescent="0.15">
      <c r="A8408" t="s">
        <v>26375</v>
      </c>
      <c r="B8408" t="s">
        <v>26376</v>
      </c>
      <c r="C8408" t="s">
        <v>26377</v>
      </c>
      <c r="D8408" t="s">
        <v>26371</v>
      </c>
      <c r="E8408">
        <v>89</v>
      </c>
      <c r="F8408" t="str">
        <f>HYPERLINK("https://github.com/react-native-camera/react-native-camera/issues/2202", "show")</f>
        <v>show</v>
      </c>
      <c r="G8408" t="str">
        <f>HYPERLINK("https://github.com/react-native-camera/react-native-camera", "show")</f>
        <v>show</v>
      </c>
      <c r="H8408" t="str">
        <f>HYPERLINK("https://github.com/react-native-camera/react-native-camera/releases", "show")</f>
        <v>show</v>
      </c>
      <c r="I8408">
        <v>1</v>
      </c>
      <c r="J8408">
        <v>1</v>
      </c>
      <c r="K8408">
        <v>0</v>
      </c>
      <c r="L8408">
        <v>0</v>
      </c>
      <c r="M8408" t="s">
        <v>48</v>
      </c>
    </row>
    <row r="8409" spans="1:13" hidden="1" x14ac:dyDescent="0.15">
      <c r="A8409" t="s">
        <v>26378</v>
      </c>
      <c r="B8409" t="s">
        <v>26379</v>
      </c>
      <c r="C8409" t="s">
        <v>26380</v>
      </c>
      <c r="D8409" t="s">
        <v>26371</v>
      </c>
      <c r="E8409">
        <v>11</v>
      </c>
      <c r="F8409" t="str">
        <f>HYPERLINK("https://github.com/forrestguice/SuntimesWidget/issues/315", "show")</f>
        <v>show</v>
      </c>
      <c r="G8409" t="str">
        <f>HYPERLINK("https://github.com/forrestguice/SuntimesWidget", "show")</f>
        <v>show</v>
      </c>
      <c r="H8409" t="str">
        <f>HYPERLINK("https://github.com/forrestguice/SuntimesWidget/releases", "show")</f>
        <v>show</v>
      </c>
      <c r="I8409">
        <v>1</v>
      </c>
      <c r="J8409">
        <v>0</v>
      </c>
      <c r="K8409">
        <v>1</v>
      </c>
      <c r="L8409">
        <v>0</v>
      </c>
      <c r="M8409" t="s">
        <v>64</v>
      </c>
    </row>
    <row r="8410" spans="1:13" hidden="1" x14ac:dyDescent="0.15">
      <c r="A8410" t="s">
        <v>26381</v>
      </c>
      <c r="B8410" t="s">
        <v>26382</v>
      </c>
      <c r="C8410" t="s">
        <v>26383</v>
      </c>
      <c r="D8410" t="s">
        <v>26371</v>
      </c>
      <c r="E8410">
        <v>21</v>
      </c>
      <c r="F8410" t="str">
        <f>HYPERLINK("https://github.com/k9mail/k-9/issues/4016", "show")</f>
        <v>show</v>
      </c>
      <c r="G8410" t="str">
        <f>HYPERLINK("https://github.com/k9mail/k-9", "show")</f>
        <v>show</v>
      </c>
      <c r="H8410" t="str">
        <f>HYPERLINK("https://github.com/k9mail/k-9/releases", "show")</f>
        <v>show</v>
      </c>
      <c r="I8410">
        <v>1</v>
      </c>
      <c r="J8410">
        <v>1</v>
      </c>
      <c r="K8410">
        <v>0</v>
      </c>
      <c r="L8410">
        <v>0</v>
      </c>
      <c r="M8410" t="s">
        <v>48</v>
      </c>
    </row>
    <row r="8411" spans="1:13" hidden="1" x14ac:dyDescent="0.15">
      <c r="A8411" t="s">
        <v>26384</v>
      </c>
      <c r="B8411" t="s">
        <v>26385</v>
      </c>
      <c r="C8411" t="s">
        <v>26386</v>
      </c>
      <c r="D8411" t="s">
        <v>26371</v>
      </c>
      <c r="E8411">
        <v>0</v>
      </c>
      <c r="F8411" t="str">
        <f>HYPERLINK("https://github.com/nextcloud/android/issues/3869", "show")</f>
        <v>show</v>
      </c>
      <c r="G8411" t="str">
        <f>HYPERLINK("https://github.com/nextcloud/android", "show")</f>
        <v>show</v>
      </c>
      <c r="H8411" t="str">
        <f>HYPERLINK("https://github.com/nextcloud/android/releases", "show")</f>
        <v>show</v>
      </c>
      <c r="I8411">
        <v>0</v>
      </c>
      <c r="J8411">
        <v>0</v>
      </c>
      <c r="K8411">
        <v>1</v>
      </c>
      <c r="L8411">
        <v>0</v>
      </c>
      <c r="M8411" t="s">
        <v>122</v>
      </c>
    </row>
    <row r="8412" spans="1:13" hidden="1" x14ac:dyDescent="0.15">
      <c r="A8412" t="s">
        <v>26387</v>
      </c>
      <c r="B8412" t="s">
        <v>26388</v>
      </c>
      <c r="C8412" t="s">
        <v>26389</v>
      </c>
      <c r="D8412" t="s">
        <v>26371</v>
      </c>
      <c r="E8412">
        <v>1</v>
      </c>
      <c r="F8412" t="str">
        <f>HYPERLINK("https://github.com/cgeo/cgeo/issues/7482", "show")</f>
        <v>show</v>
      </c>
      <c r="G8412" t="str">
        <f>HYPERLINK("https://github.com/cgeo/cgeo", "show")</f>
        <v>show</v>
      </c>
      <c r="H8412" t="str">
        <f>HYPERLINK("https://github.com/cgeo/cgeo/releases", "show")</f>
        <v>show</v>
      </c>
      <c r="I8412">
        <v>1</v>
      </c>
      <c r="J8412">
        <v>1</v>
      </c>
      <c r="K8412">
        <v>0</v>
      </c>
      <c r="L8412">
        <v>0</v>
      </c>
      <c r="M8412" t="s">
        <v>48</v>
      </c>
    </row>
    <row r="8413" spans="1:13" hidden="1" x14ac:dyDescent="0.15">
      <c r="A8413" t="s">
        <v>26390</v>
      </c>
      <c r="B8413" t="s">
        <v>26391</v>
      </c>
      <c r="C8413" t="s">
        <v>26392</v>
      </c>
      <c r="D8413" t="s">
        <v>26393</v>
      </c>
      <c r="E8413">
        <v>241</v>
      </c>
      <c r="F8413" t="str">
        <f>HYPERLINK("https://github.com/openMF/android-client/issues/1156", "show")</f>
        <v>show</v>
      </c>
      <c r="G8413" t="str">
        <f>HYPERLINK("https://github.com/openMF/android-client", "show")</f>
        <v>show</v>
      </c>
      <c r="H8413" t="str">
        <f>HYPERLINK("https://github.com/openMF/android-client/releases", "show")</f>
        <v>show</v>
      </c>
      <c r="I8413">
        <v>1</v>
      </c>
      <c r="J8413">
        <v>1</v>
      </c>
      <c r="K8413">
        <v>0</v>
      </c>
      <c r="L8413">
        <v>1</v>
      </c>
      <c r="M8413" t="s">
        <v>1894</v>
      </c>
    </row>
    <row r="8414" spans="1:13" hidden="1" x14ac:dyDescent="0.15">
      <c r="A8414" t="s">
        <v>26394</v>
      </c>
      <c r="B8414" t="s">
        <v>26395</v>
      </c>
      <c r="C8414" t="s">
        <v>26396</v>
      </c>
      <c r="D8414" t="s">
        <v>26393</v>
      </c>
      <c r="E8414">
        <v>29</v>
      </c>
      <c r="F8414" t="str">
        <f>HYPERLINK("https://github.com/google/ExoPlayer/issues/5744", "show")</f>
        <v>show</v>
      </c>
      <c r="G8414" t="str">
        <f>HYPERLINK("https://github.com/google/ExoPlayer", "show")</f>
        <v>show</v>
      </c>
      <c r="H8414" t="str">
        <f>HYPERLINK("https://github.com/google/ExoPlayer/releases", "show")</f>
        <v>show</v>
      </c>
      <c r="I8414">
        <v>1</v>
      </c>
      <c r="J8414">
        <v>0</v>
      </c>
      <c r="K8414">
        <v>0</v>
      </c>
      <c r="L8414">
        <v>0</v>
      </c>
      <c r="M8414" t="s">
        <v>17</v>
      </c>
    </row>
    <row r="8415" spans="1:13" hidden="1" x14ac:dyDescent="0.15">
      <c r="A8415" t="s">
        <v>26397</v>
      </c>
      <c r="B8415" t="s">
        <v>26398</v>
      </c>
      <c r="C8415" t="s">
        <v>26399</v>
      </c>
      <c r="D8415" t="s">
        <v>26393</v>
      </c>
      <c r="E8415">
        <v>90</v>
      </c>
      <c r="F8415" t="str">
        <f>HYPERLINK("https://github.com/LawnchairLauncher/lawnchair/issues/1486", "show")</f>
        <v>show</v>
      </c>
      <c r="G8415" t="str">
        <f>HYPERLINK("https://github.com/LawnchairLauncher/lawnchair", "show")</f>
        <v>show</v>
      </c>
      <c r="H8415" t="str">
        <f>HYPERLINK("https://github.com/LawnchairLauncher/lawnchair/releases", "show")</f>
        <v>show</v>
      </c>
      <c r="I8415">
        <v>1</v>
      </c>
      <c r="J8415">
        <v>1</v>
      </c>
      <c r="K8415">
        <v>0</v>
      </c>
      <c r="L8415">
        <v>0</v>
      </c>
      <c r="M8415" t="s">
        <v>48</v>
      </c>
    </row>
    <row r="8416" spans="1:13" hidden="1" x14ac:dyDescent="0.15">
      <c r="A8416" t="s">
        <v>26400</v>
      </c>
      <c r="B8416" t="s">
        <v>26401</v>
      </c>
      <c r="C8416" t="s">
        <v>26402</v>
      </c>
      <c r="D8416" t="s">
        <v>26393</v>
      </c>
      <c r="E8416">
        <v>3</v>
      </c>
      <c r="F8416" t="str">
        <f>HYPERLINK("https://github.com/cgeo/cgeo/issues/7473", "show")</f>
        <v>show</v>
      </c>
      <c r="G8416" t="str">
        <f>HYPERLINK("https://github.com/cgeo/cgeo", "show")</f>
        <v>show</v>
      </c>
      <c r="H8416" t="str">
        <f>HYPERLINK("https://github.com/cgeo/cgeo/releases", "show")</f>
        <v>show</v>
      </c>
      <c r="I8416">
        <v>1</v>
      </c>
      <c r="J8416">
        <v>0</v>
      </c>
      <c r="K8416">
        <v>1</v>
      </c>
      <c r="L8416">
        <v>0</v>
      </c>
      <c r="M8416" t="s">
        <v>64</v>
      </c>
    </row>
    <row r="8417" spans="1:13" hidden="1" x14ac:dyDescent="0.15">
      <c r="A8417" t="s">
        <v>26403</v>
      </c>
      <c r="B8417" t="s">
        <v>26404</v>
      </c>
      <c r="C8417" t="s">
        <v>26405</v>
      </c>
      <c r="D8417" t="s">
        <v>26406</v>
      </c>
      <c r="E8417">
        <v>9</v>
      </c>
      <c r="F8417" t="str">
        <f>HYPERLINK("https://github.com/LawnchairLauncher/lawnchair/issues/1474", "show")</f>
        <v>show</v>
      </c>
      <c r="G8417" t="str">
        <f>HYPERLINK("https://github.com/LawnchairLauncher/lawnchair", "show")</f>
        <v>show</v>
      </c>
      <c r="H8417" t="str">
        <f>HYPERLINK("https://github.com/LawnchairLauncher/lawnchair/releases", "show")</f>
        <v>show</v>
      </c>
      <c r="I8417">
        <v>1</v>
      </c>
      <c r="J8417">
        <v>1</v>
      </c>
      <c r="K8417">
        <v>0</v>
      </c>
      <c r="L8417">
        <v>1</v>
      </c>
      <c r="M8417" t="s">
        <v>1894</v>
      </c>
    </row>
    <row r="8418" spans="1:13" hidden="1" x14ac:dyDescent="0.15">
      <c r="A8418" t="s">
        <v>26407</v>
      </c>
      <c r="B8418" t="s">
        <v>26408</v>
      </c>
      <c r="C8418" t="s">
        <v>26409</v>
      </c>
      <c r="D8418" t="s">
        <v>26406</v>
      </c>
      <c r="E8418">
        <v>872</v>
      </c>
      <c r="F8418" t="str">
        <f>HYPERLINK("https://github.com/LawnchairLauncher/lawnchair/issues/1466", "show")</f>
        <v>show</v>
      </c>
      <c r="G8418" t="str">
        <f>HYPERLINK("https://github.com/LawnchairLauncher/lawnchair", "show")</f>
        <v>show</v>
      </c>
      <c r="H8418" t="str">
        <f>HYPERLINK("https://github.com/LawnchairLauncher/lawnchair/releases", "show")</f>
        <v>show</v>
      </c>
      <c r="I8418">
        <v>0</v>
      </c>
      <c r="J8418">
        <v>0</v>
      </c>
      <c r="K8418">
        <v>0</v>
      </c>
      <c r="L8418">
        <v>0</v>
      </c>
      <c r="M8418" t="s">
        <v>43</v>
      </c>
    </row>
    <row r="8419" spans="1:13" hidden="1" x14ac:dyDescent="0.15">
      <c r="A8419" t="s">
        <v>26410</v>
      </c>
      <c r="B8419" t="s">
        <v>26411</v>
      </c>
      <c r="C8419" t="s">
        <v>26412</v>
      </c>
      <c r="D8419" t="s">
        <v>26413</v>
      </c>
      <c r="E8419">
        <v>43</v>
      </c>
      <c r="F8419" t="str">
        <f>HYPERLINK("https://github.com/timusus/Shuttle/issues/456", "show")</f>
        <v>show</v>
      </c>
      <c r="G8419" t="str">
        <f>HYPERLINK("https://github.com/timusus/Shuttle", "show")</f>
        <v>show</v>
      </c>
      <c r="H8419" t="str">
        <f>HYPERLINK("https://github.com/timusus/Shuttle/releases", "show")</f>
        <v>show</v>
      </c>
      <c r="I8419">
        <v>1</v>
      </c>
      <c r="J8419">
        <v>1</v>
      </c>
      <c r="K8419">
        <v>0</v>
      </c>
      <c r="L8419">
        <v>0</v>
      </c>
      <c r="M8419" t="s">
        <v>48</v>
      </c>
    </row>
    <row r="8420" spans="1:13" hidden="1" x14ac:dyDescent="0.15">
      <c r="A8420" t="s">
        <v>26414</v>
      </c>
      <c r="B8420" t="s">
        <v>26415</v>
      </c>
      <c r="D8420" t="s">
        <v>26416</v>
      </c>
      <c r="E8420">
        <v>0</v>
      </c>
      <c r="F8420" t="str">
        <f>HYPERLINK("https://github.com/TM-CG/cmu1819/issues/32", "show")</f>
        <v>show</v>
      </c>
      <c r="G8420" t="str">
        <f>HYPERLINK("https://github.com/TM-CG/cmu1819", "show")</f>
        <v>show</v>
      </c>
      <c r="H8420" t="str">
        <f>HYPERLINK("https://github.com/TM-CG/cmu1819/releases", "show")</f>
        <v>show</v>
      </c>
      <c r="I8420">
        <v>1</v>
      </c>
      <c r="J8420">
        <v>0</v>
      </c>
      <c r="K8420">
        <v>0</v>
      </c>
      <c r="L8420">
        <v>0</v>
      </c>
      <c r="M8420" t="s">
        <v>17</v>
      </c>
    </row>
    <row r="8421" spans="1:13" hidden="1" x14ac:dyDescent="0.15">
      <c r="A8421" t="s">
        <v>26417</v>
      </c>
      <c r="B8421" t="s">
        <v>26418</v>
      </c>
      <c r="C8421" t="s">
        <v>26419</v>
      </c>
      <c r="D8421" t="s">
        <v>26420</v>
      </c>
      <c r="E8421">
        <v>80</v>
      </c>
      <c r="F8421" t="str">
        <f>HYPERLINK("https://github.com/inaturalist/react-native-inat-camera/issues/9", "show")</f>
        <v>show</v>
      </c>
      <c r="G8421" t="str">
        <f>HYPERLINK("https://github.com/inaturalist/react-native-inat-camera", "show")</f>
        <v>show</v>
      </c>
      <c r="H8421" t="str">
        <f>HYPERLINK("https://github.com/inaturalist/react-native-inat-camera/releases", "show")</f>
        <v>show</v>
      </c>
      <c r="I8421">
        <v>1</v>
      </c>
      <c r="J8421">
        <v>0</v>
      </c>
      <c r="K8421">
        <v>1</v>
      </c>
      <c r="L8421">
        <v>0</v>
      </c>
      <c r="M8421" t="s">
        <v>64</v>
      </c>
    </row>
    <row r="8422" spans="1:13" hidden="1" x14ac:dyDescent="0.15">
      <c r="A8422" t="s">
        <v>26421</v>
      </c>
      <c r="B8422" t="s">
        <v>26422</v>
      </c>
      <c r="C8422" t="s">
        <v>26423</v>
      </c>
      <c r="D8422" t="s">
        <v>26420</v>
      </c>
      <c r="E8422">
        <v>4</v>
      </c>
      <c r="F8422" t="str">
        <f>HYPERLINK("https://github.com/forrestguice/SuntimesWidget/issues/309", "show")</f>
        <v>show</v>
      </c>
      <c r="G8422" t="str">
        <f>HYPERLINK("https://github.com/forrestguice/SuntimesWidget", "show")</f>
        <v>show</v>
      </c>
      <c r="H8422" t="str">
        <f>HYPERLINK("https://github.com/forrestguice/SuntimesWidget/releases", "show")</f>
        <v>show</v>
      </c>
      <c r="I8422">
        <v>1</v>
      </c>
      <c r="J8422">
        <v>0</v>
      </c>
      <c r="K8422">
        <v>1</v>
      </c>
      <c r="L8422">
        <v>0</v>
      </c>
      <c r="M8422" t="s">
        <v>64</v>
      </c>
    </row>
    <row r="8423" spans="1:13" hidden="1" x14ac:dyDescent="0.15">
      <c r="A8423" t="s">
        <v>26424</v>
      </c>
      <c r="B8423" t="s">
        <v>26425</v>
      </c>
      <c r="C8423" t="s">
        <v>26426</v>
      </c>
      <c r="D8423" t="s">
        <v>26420</v>
      </c>
      <c r="E8423">
        <v>68</v>
      </c>
      <c r="F8423" t="str">
        <f>HYPERLINK("https://github.com/awslabs/aws-mobile-appsync-sdk-android/issues/144", "show")</f>
        <v>show</v>
      </c>
      <c r="G8423" t="str">
        <f>HYPERLINK("https://github.com/awslabs/aws-mobile-appsync-sdk-android", "show")</f>
        <v>show</v>
      </c>
      <c r="H8423" t="str">
        <f>HYPERLINK("https://github.com/awslabs/aws-mobile-appsync-sdk-android/releases", "show")</f>
        <v>show</v>
      </c>
      <c r="I8423">
        <v>1</v>
      </c>
      <c r="J8423">
        <v>0</v>
      </c>
      <c r="K8423">
        <v>1</v>
      </c>
      <c r="L8423">
        <v>0</v>
      </c>
      <c r="M8423" t="s">
        <v>64</v>
      </c>
    </row>
    <row r="8424" spans="1:13" hidden="1" x14ac:dyDescent="0.15">
      <c r="A8424" t="s">
        <v>26427</v>
      </c>
      <c r="B8424" t="s">
        <v>26428</v>
      </c>
      <c r="C8424" t="s">
        <v>26429</v>
      </c>
      <c r="D8424" t="s">
        <v>26430</v>
      </c>
      <c r="E8424">
        <v>414</v>
      </c>
      <c r="F8424" t="str">
        <f>HYPERLINK("https://github.com/vhaudiquet/blade-player/issues/33", "show")</f>
        <v>show</v>
      </c>
      <c r="G8424" t="str">
        <f>HYPERLINK("https://github.com/vhaudiquet/blade-player", "show")</f>
        <v>show</v>
      </c>
      <c r="H8424" t="str">
        <f>HYPERLINK("https://github.com/vhaudiquet/blade-player/releases", "show")</f>
        <v>show</v>
      </c>
      <c r="I8424">
        <v>1</v>
      </c>
      <c r="J8424">
        <v>1</v>
      </c>
      <c r="K8424">
        <v>0</v>
      </c>
      <c r="L8424">
        <v>1</v>
      </c>
      <c r="M8424" t="s">
        <v>1894</v>
      </c>
    </row>
    <row r="8425" spans="1:13" hidden="1" x14ac:dyDescent="0.15">
      <c r="A8425" t="s">
        <v>26431</v>
      </c>
      <c r="B8425" t="s">
        <v>26432</v>
      </c>
      <c r="C8425" t="s">
        <v>26433</v>
      </c>
      <c r="D8425" t="s">
        <v>26430</v>
      </c>
      <c r="E8425">
        <v>361</v>
      </c>
      <c r="F8425" t="str">
        <f>HYPERLINK("https://github.com/mapbox/mapbox-plugins-android/issues/908", "show")</f>
        <v>show</v>
      </c>
      <c r="G8425" t="str">
        <f>HYPERLINK("https://github.com/mapbox/mapbox-plugins-android", "show")</f>
        <v>show</v>
      </c>
      <c r="H8425" t="str">
        <f>HYPERLINK("https://github.com/mapbox/mapbox-plugins-android/releases", "show")</f>
        <v>show</v>
      </c>
      <c r="I8425">
        <v>1</v>
      </c>
      <c r="J8425">
        <v>0</v>
      </c>
      <c r="K8425">
        <v>1</v>
      </c>
      <c r="L8425">
        <v>0</v>
      </c>
      <c r="M8425" t="s">
        <v>64</v>
      </c>
    </row>
    <row r="8426" spans="1:13" hidden="1" x14ac:dyDescent="0.15">
      <c r="A8426" t="s">
        <v>26434</v>
      </c>
      <c r="B8426" t="s">
        <v>26435</v>
      </c>
      <c r="C8426" t="s">
        <v>26436</v>
      </c>
      <c r="D8426" t="s">
        <v>26430</v>
      </c>
      <c r="E8426">
        <v>1</v>
      </c>
      <c r="F8426" t="str">
        <f>HYPERLINK("https://github.com/iyegoroff/react-native-image-filter-kit/issues/15", "show")</f>
        <v>show</v>
      </c>
      <c r="G8426" t="str">
        <f>HYPERLINK("https://github.com/iyegoroff/react-native-image-filter-kit", "show")</f>
        <v>show</v>
      </c>
      <c r="H8426" t="str">
        <f>HYPERLINK("https://github.com/iyegoroff/react-native-image-filter-kit/releases", "show")</f>
        <v>show</v>
      </c>
      <c r="I8426">
        <v>0</v>
      </c>
      <c r="J8426">
        <v>0</v>
      </c>
      <c r="K8426">
        <v>0</v>
      </c>
      <c r="L8426">
        <v>0</v>
      </c>
      <c r="M8426" t="s">
        <v>43</v>
      </c>
    </row>
    <row r="8427" spans="1:13" hidden="1" x14ac:dyDescent="0.15">
      <c r="A8427" t="s">
        <v>26437</v>
      </c>
      <c r="B8427" t="s">
        <v>26438</v>
      </c>
      <c r="C8427" t="s">
        <v>26439</v>
      </c>
      <c r="D8427" t="s">
        <v>26430</v>
      </c>
      <c r="E8427">
        <v>26</v>
      </c>
      <c r="F8427" t="str">
        <f>HYPERLINK("https://github.com/inaturalist/react-native-inat-camera/issues/7", "show")</f>
        <v>show</v>
      </c>
      <c r="G8427" t="str">
        <f>HYPERLINK("https://github.com/inaturalist/react-native-inat-camera", "show")</f>
        <v>show</v>
      </c>
      <c r="H8427" t="str">
        <f>HYPERLINK("https://github.com/inaturalist/react-native-inat-camera/releases", "show")</f>
        <v>show</v>
      </c>
      <c r="I8427">
        <v>1</v>
      </c>
      <c r="J8427">
        <v>0</v>
      </c>
      <c r="K8427">
        <v>0</v>
      </c>
      <c r="L8427">
        <v>0</v>
      </c>
      <c r="M8427" t="s">
        <v>17</v>
      </c>
    </row>
    <row r="8428" spans="1:13" hidden="1" x14ac:dyDescent="0.15">
      <c r="A8428" t="s">
        <v>26440</v>
      </c>
      <c r="B8428" t="s">
        <v>26441</v>
      </c>
      <c r="C8428" t="s">
        <v>26442</v>
      </c>
      <c r="D8428" t="s">
        <v>26443</v>
      </c>
      <c r="E8428">
        <v>415</v>
      </c>
      <c r="F8428" t="str">
        <f>HYPERLINK("https://github.com/vhaudiquet/blade-player/issues/32", "show")</f>
        <v>show</v>
      </c>
      <c r="G8428" t="str">
        <f>HYPERLINK("https://github.com/vhaudiquet/blade-player", "show")</f>
        <v>show</v>
      </c>
      <c r="H8428" t="str">
        <f>HYPERLINK("https://github.com/vhaudiquet/blade-player/releases", "show")</f>
        <v>show</v>
      </c>
      <c r="I8428">
        <v>1</v>
      </c>
      <c r="J8428">
        <v>1</v>
      </c>
      <c r="K8428">
        <v>1</v>
      </c>
      <c r="L8428">
        <v>1</v>
      </c>
      <c r="M8428" t="s">
        <v>2875</v>
      </c>
    </row>
    <row r="8429" spans="1:13" hidden="1" x14ac:dyDescent="0.15">
      <c r="A8429" t="s">
        <v>26444</v>
      </c>
      <c r="B8429" t="s">
        <v>26445</v>
      </c>
      <c r="C8429" t="s">
        <v>26446</v>
      </c>
      <c r="D8429" t="s">
        <v>26443</v>
      </c>
      <c r="E8429">
        <v>0</v>
      </c>
      <c r="F8429" t="str">
        <f>HYPERLINK("https://github.com/AmazMod/AmazMod/issues/463", "show")</f>
        <v>show</v>
      </c>
      <c r="G8429" t="str">
        <f>HYPERLINK("https://github.com/AmazMod/AmazMod", "show")</f>
        <v>show</v>
      </c>
      <c r="H8429" t="str">
        <f>HYPERLINK("https://github.com/AmazMod/AmazMod/releases", "show")</f>
        <v>show</v>
      </c>
      <c r="I8429">
        <v>1</v>
      </c>
      <c r="J8429">
        <v>0</v>
      </c>
      <c r="K8429">
        <v>1</v>
      </c>
      <c r="L8429">
        <v>0</v>
      </c>
      <c r="M8429" t="s">
        <v>64</v>
      </c>
    </row>
    <row r="8430" spans="1:13" hidden="1" x14ac:dyDescent="0.15">
      <c r="A8430" t="s">
        <v>26447</v>
      </c>
      <c r="B8430" t="s">
        <v>26448</v>
      </c>
      <c r="C8430" t="s">
        <v>26449</v>
      </c>
      <c r="D8430" t="s">
        <v>26443</v>
      </c>
      <c r="E8430">
        <v>6</v>
      </c>
      <c r="F8430" t="str">
        <f>HYPERLINK("https://github.com/awslabs/aws-mobile-appsync-sdk-android/issues/140", "show")</f>
        <v>show</v>
      </c>
      <c r="G8430" t="str">
        <f>HYPERLINK("https://github.com/awslabs/aws-mobile-appsync-sdk-android", "show")</f>
        <v>show</v>
      </c>
      <c r="H8430" t="str">
        <f>HYPERLINK("https://github.com/awslabs/aws-mobile-appsync-sdk-android/releases", "show")</f>
        <v>show</v>
      </c>
      <c r="I8430">
        <v>1</v>
      </c>
      <c r="J8430">
        <v>1</v>
      </c>
      <c r="K8430">
        <v>1</v>
      </c>
      <c r="L8430">
        <v>0</v>
      </c>
      <c r="M8430" t="s">
        <v>59</v>
      </c>
    </row>
    <row r="8431" spans="1:13" hidden="1" x14ac:dyDescent="0.15">
      <c r="A8431" t="s">
        <v>26450</v>
      </c>
      <c r="B8431" t="s">
        <v>26451</v>
      </c>
      <c r="C8431" t="s">
        <v>26452</v>
      </c>
      <c r="D8431" t="s">
        <v>26453</v>
      </c>
      <c r="E8431">
        <v>1</v>
      </c>
      <c r="F8431" t="str">
        <f>HYPERLINK("https://github.com/paceuniversity/cs389s2019team5/issues/13", "show")</f>
        <v>show</v>
      </c>
      <c r="G8431" t="str">
        <f>HYPERLINK("https://github.com/paceuniversity/cs389s2019team5", "show")</f>
        <v>show</v>
      </c>
      <c r="H8431" t="str">
        <f>HYPERLINK("https://github.com/paceuniversity/cs389s2019team5/releases", "show")</f>
        <v>show</v>
      </c>
      <c r="I8431">
        <v>1</v>
      </c>
      <c r="J8431">
        <v>0</v>
      </c>
      <c r="K8431">
        <v>0</v>
      </c>
      <c r="L8431">
        <v>0</v>
      </c>
      <c r="M8431" t="s">
        <v>17</v>
      </c>
    </row>
    <row r="8432" spans="1:13" hidden="1" x14ac:dyDescent="0.15">
      <c r="A8432" t="s">
        <v>26454</v>
      </c>
      <c r="B8432" t="s">
        <v>26455</v>
      </c>
      <c r="C8432" t="s">
        <v>26456</v>
      </c>
      <c r="D8432" t="s">
        <v>26453</v>
      </c>
      <c r="E8432">
        <v>4</v>
      </c>
      <c r="F8432" t="str">
        <f>HYPERLINK("https://github.com/square/okhttp/issues/4858", "show")</f>
        <v>show</v>
      </c>
      <c r="G8432" t="str">
        <f>HYPERLINK("https://github.com/square/okhttp", "show")</f>
        <v>show</v>
      </c>
      <c r="H8432" t="str">
        <f>HYPERLINK("https://github.com/square/okhttp/releases", "show")</f>
        <v>show</v>
      </c>
      <c r="I8432">
        <v>0</v>
      </c>
      <c r="J8432">
        <v>0</v>
      </c>
      <c r="K8432">
        <v>1</v>
      </c>
      <c r="L8432">
        <v>0</v>
      </c>
      <c r="M8432" t="s">
        <v>122</v>
      </c>
    </row>
    <row r="8433" spans="1:13" hidden="1" x14ac:dyDescent="0.15">
      <c r="A8433" t="s">
        <v>26457</v>
      </c>
      <c r="B8433" t="s">
        <v>26458</v>
      </c>
      <c r="C8433" t="s">
        <v>26459</v>
      </c>
      <c r="D8433" t="s">
        <v>26453</v>
      </c>
      <c r="E8433">
        <v>68</v>
      </c>
      <c r="F8433" t="str">
        <f>HYPERLINK("https://github.com/datatheorem/TrustKit-Android/issues/53", "show")</f>
        <v>show</v>
      </c>
      <c r="G8433" t="str">
        <f>HYPERLINK("https://github.com/datatheorem/TrustKit-Android", "show")</f>
        <v>show</v>
      </c>
      <c r="H8433" t="str">
        <f>HYPERLINK("https://github.com/datatheorem/TrustKit-Android/releases", "show")</f>
        <v>show</v>
      </c>
      <c r="I8433">
        <v>1</v>
      </c>
      <c r="J8433">
        <v>0</v>
      </c>
      <c r="K8433">
        <v>1</v>
      </c>
      <c r="L8433">
        <v>0</v>
      </c>
      <c r="M8433" t="s">
        <v>64</v>
      </c>
    </row>
    <row r="8434" spans="1:13" hidden="1" x14ac:dyDescent="0.15">
      <c r="A8434" t="s">
        <v>26460</v>
      </c>
      <c r="B8434" t="s">
        <v>26461</v>
      </c>
      <c r="C8434" t="s">
        <v>26462</v>
      </c>
      <c r="D8434" t="s">
        <v>26463</v>
      </c>
      <c r="E8434">
        <v>1</v>
      </c>
      <c r="F8434" t="str">
        <f>HYPERLINK("https://github.com/getodk/collect/issues/2979", "show")</f>
        <v>show</v>
      </c>
      <c r="G8434" t="str">
        <f>HYPERLINK("https://github.com/getodk/collect", "show")</f>
        <v>show</v>
      </c>
      <c r="H8434" t="str">
        <f>HYPERLINK("https://github.com/getodk/collect/releases", "show")</f>
        <v>show</v>
      </c>
      <c r="I8434">
        <v>1</v>
      </c>
      <c r="J8434">
        <v>1</v>
      </c>
      <c r="K8434">
        <v>0</v>
      </c>
      <c r="L8434">
        <v>0</v>
      </c>
      <c r="M8434" t="s">
        <v>48</v>
      </c>
    </row>
    <row r="8435" spans="1:13" hidden="1" x14ac:dyDescent="0.15">
      <c r="A8435" t="s">
        <v>26464</v>
      </c>
      <c r="B8435" t="s">
        <v>26465</v>
      </c>
      <c r="C8435" t="s">
        <v>26466</v>
      </c>
      <c r="D8435" t="s">
        <v>26463</v>
      </c>
      <c r="E8435">
        <v>324</v>
      </c>
      <c r="F8435" t="str">
        <f>HYPERLINK("https://github.com/jMonkeyEngine/jmonkeyengine/issues/1058", "show")</f>
        <v>show</v>
      </c>
      <c r="G8435" t="str">
        <f>HYPERLINK("https://github.com/jMonkeyEngine/jmonkeyengine", "show")</f>
        <v>show</v>
      </c>
      <c r="H8435" t="str">
        <f>HYPERLINK("https://github.com/jMonkeyEngine/jmonkeyengine/releases", "show")</f>
        <v>show</v>
      </c>
      <c r="I8435">
        <v>1</v>
      </c>
      <c r="J8435">
        <v>0</v>
      </c>
      <c r="K8435">
        <v>0</v>
      </c>
      <c r="L8435">
        <v>0</v>
      </c>
      <c r="M8435" t="s">
        <v>17</v>
      </c>
    </row>
    <row r="8436" spans="1:13" hidden="1" x14ac:dyDescent="0.15">
      <c r="A8436" t="s">
        <v>26467</v>
      </c>
      <c r="B8436" t="s">
        <v>26468</v>
      </c>
      <c r="C8436" t="s">
        <v>26469</v>
      </c>
      <c r="D8436" t="s">
        <v>26470</v>
      </c>
      <c r="E8436">
        <v>9</v>
      </c>
      <c r="F8436" t="str">
        <f>HYPERLINK("https://github.com/aws-amplify/aws-sdk-android/issues/842", "show")</f>
        <v>show</v>
      </c>
      <c r="G8436" t="str">
        <f>HYPERLINK("https://github.com/aws-amplify/aws-sdk-android", "show")</f>
        <v>show</v>
      </c>
      <c r="H8436" t="str">
        <f>HYPERLINK("https://github.com/aws-amplify/aws-sdk-android/releases", "show")</f>
        <v>show</v>
      </c>
      <c r="I8436">
        <v>1</v>
      </c>
      <c r="J8436">
        <v>1</v>
      </c>
      <c r="K8436">
        <v>0</v>
      </c>
      <c r="L8436">
        <v>0</v>
      </c>
      <c r="M8436" t="s">
        <v>48</v>
      </c>
    </row>
    <row r="8437" spans="1:13" hidden="1" x14ac:dyDescent="0.15">
      <c r="A8437" t="s">
        <v>26471</v>
      </c>
      <c r="B8437" t="s">
        <v>26472</v>
      </c>
      <c r="C8437" t="s">
        <v>26473</v>
      </c>
      <c r="D8437" t="s">
        <v>26470</v>
      </c>
      <c r="E8437">
        <v>8</v>
      </c>
      <c r="F8437" t="str">
        <f>HYPERLINK("https://github.com/UBCO-COSC499-Winter-2018-Term-1-2/project-12-bus-advisory-offline-real-time-bus-location-tracker/issues/47", "show")</f>
        <v>show</v>
      </c>
      <c r="G8437" t="str">
        <f>HYPERLINK("https://github.com/UBCO-COSC499-Winter-2018-Term-1-2/project-12-bus-advisory-offline-real-time-bus-location-tracker", "show")</f>
        <v>show</v>
      </c>
      <c r="H8437" t="str">
        <f>HYPERLINK("https://github.com/UBCO-COSC499-Winter-2018-Term-1-2/project-12-bus-advisory-offline-real-time-bus-location-tracker/releases", "show")</f>
        <v>show</v>
      </c>
      <c r="I8437">
        <v>1</v>
      </c>
      <c r="J8437">
        <v>0</v>
      </c>
      <c r="K8437">
        <v>0</v>
      </c>
      <c r="L8437">
        <v>1</v>
      </c>
      <c r="M8437" t="s">
        <v>29</v>
      </c>
    </row>
    <row r="8438" spans="1:13" hidden="1" x14ac:dyDescent="0.15">
      <c r="A8438" t="s">
        <v>26474</v>
      </c>
      <c r="B8438" t="s">
        <v>26475</v>
      </c>
      <c r="C8438" t="s">
        <v>26476</v>
      </c>
      <c r="D8438" t="s">
        <v>26477</v>
      </c>
      <c r="E8438">
        <v>1</v>
      </c>
      <c r="F8438" t="str">
        <f>HYPERLINK("https://github.com/CMPUT301W19T11/Atheneum/issues/195", "show")</f>
        <v>show</v>
      </c>
      <c r="G8438" t="str">
        <f>HYPERLINK("https://github.com/CMPUT301W19T11/Atheneum", "show")</f>
        <v>show</v>
      </c>
      <c r="H8438" t="str">
        <f>HYPERLINK("https://github.com/CMPUT301W19T11/Atheneum/releases", "show")</f>
        <v>show</v>
      </c>
      <c r="I8438">
        <v>1</v>
      </c>
      <c r="J8438">
        <v>1</v>
      </c>
      <c r="K8438">
        <v>1</v>
      </c>
      <c r="L8438">
        <v>0</v>
      </c>
      <c r="M8438" t="s">
        <v>59</v>
      </c>
    </row>
    <row r="8439" spans="1:13" hidden="1" x14ac:dyDescent="0.15">
      <c r="A8439" t="s">
        <v>26478</v>
      </c>
      <c r="B8439" t="s">
        <v>26479</v>
      </c>
      <c r="C8439" t="s">
        <v>26480</v>
      </c>
      <c r="D8439" t="s">
        <v>26477</v>
      </c>
      <c r="E8439">
        <v>67</v>
      </c>
      <c r="F8439" t="str">
        <f>HYPERLINK("https://github.com/cgeo/cgeo/issues/7437", "show")</f>
        <v>show</v>
      </c>
      <c r="G8439" t="str">
        <f>HYPERLINK("https://github.com/cgeo/cgeo", "show")</f>
        <v>show</v>
      </c>
      <c r="H8439" t="str">
        <f>HYPERLINK("https://github.com/cgeo/cgeo/releases", "show")</f>
        <v>show</v>
      </c>
      <c r="I8439">
        <v>1</v>
      </c>
      <c r="J8439">
        <v>0</v>
      </c>
      <c r="K8439">
        <v>0</v>
      </c>
      <c r="L8439">
        <v>0</v>
      </c>
      <c r="M8439" t="s">
        <v>17</v>
      </c>
    </row>
    <row r="8440" spans="1:13" hidden="1" x14ac:dyDescent="0.15">
      <c r="A8440" t="s">
        <v>26481</v>
      </c>
      <c r="B8440" t="s">
        <v>26482</v>
      </c>
      <c r="C8440" t="s">
        <v>26483</v>
      </c>
      <c r="D8440" t="s">
        <v>26477</v>
      </c>
      <c r="E8440">
        <v>77</v>
      </c>
      <c r="F8440" t="str">
        <f>HYPERLINK("https://github.com/fossasia/phimpme-android/issues/2700", "show")</f>
        <v>show</v>
      </c>
      <c r="G8440" t="str">
        <f>HYPERLINK("https://github.com/fossasia/phimpme-android", "show")</f>
        <v>show</v>
      </c>
      <c r="H8440" t="str">
        <f>HYPERLINK("https://github.com/fossasia/phimpme-android/releases", "show")</f>
        <v>show</v>
      </c>
      <c r="I8440">
        <v>1</v>
      </c>
      <c r="J8440">
        <v>1</v>
      </c>
      <c r="K8440">
        <v>0</v>
      </c>
      <c r="L8440">
        <v>0</v>
      </c>
      <c r="M8440" t="s">
        <v>48</v>
      </c>
    </row>
    <row r="8441" spans="1:13" hidden="1" x14ac:dyDescent="0.15">
      <c r="A8441" t="s">
        <v>26484</v>
      </c>
      <c r="B8441" t="s">
        <v>26485</v>
      </c>
      <c r="C8441" t="s">
        <v>26486</v>
      </c>
      <c r="D8441" t="s">
        <v>26487</v>
      </c>
      <c r="E8441">
        <v>10</v>
      </c>
      <c r="F8441" t="str">
        <f>HYPERLINK("https://github.com/moneymanagerex/android-money-manager-ex/issues/1341", "show")</f>
        <v>show</v>
      </c>
      <c r="G8441" t="str">
        <f>HYPERLINK("https://github.com/moneymanagerex/android-money-manager-ex", "show")</f>
        <v>show</v>
      </c>
      <c r="H8441" t="str">
        <f>HYPERLINK("https://github.com/moneymanagerex/android-money-manager-ex/releases", "show")</f>
        <v>show</v>
      </c>
      <c r="I8441">
        <v>1</v>
      </c>
      <c r="J8441">
        <v>1</v>
      </c>
      <c r="K8441">
        <v>1</v>
      </c>
      <c r="L8441">
        <v>0</v>
      </c>
      <c r="M8441" t="s">
        <v>59</v>
      </c>
    </row>
    <row r="8442" spans="1:13" hidden="1" x14ac:dyDescent="0.15">
      <c r="A8442" t="s">
        <v>26488</v>
      </c>
      <c r="B8442" t="s">
        <v>26489</v>
      </c>
      <c r="C8442" t="s">
        <v>26490</v>
      </c>
      <c r="D8442" t="s">
        <v>26487</v>
      </c>
      <c r="E8442">
        <v>2</v>
      </c>
      <c r="F8442" t="str">
        <f>HYPERLINK("https://github.com/jareddlc/OpenFit/issues/64", "show")</f>
        <v>show</v>
      </c>
      <c r="G8442" t="str">
        <f>HYPERLINK("https://github.com/jareddlc/OpenFit", "show")</f>
        <v>show</v>
      </c>
      <c r="H8442" t="str">
        <f>HYPERLINK("https://github.com/jareddlc/OpenFit/releases", "show")</f>
        <v>show</v>
      </c>
      <c r="I8442">
        <v>1</v>
      </c>
      <c r="J8442">
        <v>0</v>
      </c>
      <c r="K8442">
        <v>0</v>
      </c>
      <c r="L8442">
        <v>0</v>
      </c>
      <c r="M8442" t="s">
        <v>17</v>
      </c>
    </row>
    <row r="8443" spans="1:13" hidden="1" x14ac:dyDescent="0.15">
      <c r="A8443" t="s">
        <v>26491</v>
      </c>
      <c r="B8443" t="s">
        <v>22177</v>
      </c>
      <c r="C8443" t="s">
        <v>26492</v>
      </c>
      <c r="D8443" t="s">
        <v>26487</v>
      </c>
      <c r="E8443">
        <v>235</v>
      </c>
      <c r="F8443" t="str">
        <f>HYPERLINK("https://github.com/SelfLender/react-native-biometrics/issues/24", "show")</f>
        <v>show</v>
      </c>
      <c r="G8443" t="str">
        <f>HYPERLINK("https://github.com/SelfLender/react-native-biometrics", "show")</f>
        <v>show</v>
      </c>
      <c r="H8443" t="str">
        <f>HYPERLINK("https://github.com/SelfLender/react-native-biometrics/releases", "show")</f>
        <v>show</v>
      </c>
      <c r="I8443">
        <v>1</v>
      </c>
      <c r="J8443">
        <v>0</v>
      </c>
      <c r="K8443">
        <v>0</v>
      </c>
      <c r="L8443">
        <v>0</v>
      </c>
      <c r="M8443" t="s">
        <v>17</v>
      </c>
    </row>
    <row r="8444" spans="1:13" hidden="1" x14ac:dyDescent="0.15">
      <c r="A8444" t="s">
        <v>26493</v>
      </c>
      <c r="B8444" t="s">
        <v>26494</v>
      </c>
      <c r="C8444" t="s">
        <v>26495</v>
      </c>
      <c r="D8444" t="s">
        <v>26496</v>
      </c>
      <c r="E8444">
        <v>2</v>
      </c>
      <c r="F8444" t="str">
        <f>HYPERLINK("https://github.com/mvysny/aedict/issues/872", "show")</f>
        <v>show</v>
      </c>
      <c r="G8444" t="str">
        <f>HYPERLINK("https://github.com/mvysny/aedict", "show")</f>
        <v>show</v>
      </c>
      <c r="H8444" t="str">
        <f>HYPERLINK("https://github.com/mvysny/aedict/releases", "show")</f>
        <v>show</v>
      </c>
      <c r="I8444">
        <v>1</v>
      </c>
      <c r="J8444">
        <v>1</v>
      </c>
      <c r="K8444">
        <v>0</v>
      </c>
      <c r="L8444">
        <v>0</v>
      </c>
      <c r="M8444" t="s">
        <v>48</v>
      </c>
    </row>
    <row r="8445" spans="1:13" hidden="1" x14ac:dyDescent="0.15">
      <c r="A8445" t="s">
        <v>26497</v>
      </c>
      <c r="B8445" t="s">
        <v>26498</v>
      </c>
      <c r="C8445" t="s">
        <v>26499</v>
      </c>
      <c r="D8445" t="s">
        <v>26496</v>
      </c>
      <c r="E8445">
        <v>3</v>
      </c>
      <c r="F8445" t="str">
        <f>HYPERLINK("https://github.com/AmazMod/AmazMod/issues/452", "show")</f>
        <v>show</v>
      </c>
      <c r="G8445" t="str">
        <f>HYPERLINK("https://github.com/AmazMod/AmazMod", "show")</f>
        <v>show</v>
      </c>
      <c r="H8445" t="str">
        <f>HYPERLINK("https://github.com/AmazMod/AmazMod/releases", "show")</f>
        <v>show</v>
      </c>
      <c r="I8445">
        <v>0</v>
      </c>
      <c r="J8445">
        <v>0</v>
      </c>
      <c r="K8445">
        <v>1</v>
      </c>
      <c r="L8445">
        <v>0</v>
      </c>
      <c r="M8445" t="s">
        <v>122</v>
      </c>
    </row>
    <row r="8446" spans="1:13" hidden="1" x14ac:dyDescent="0.15">
      <c r="A8446" t="s">
        <v>26500</v>
      </c>
      <c r="B8446" t="s">
        <v>26501</v>
      </c>
      <c r="C8446" t="s">
        <v>26502</v>
      </c>
      <c r="D8446" t="s">
        <v>26496</v>
      </c>
      <c r="E8446">
        <v>1</v>
      </c>
      <c r="F8446" t="str">
        <f>HYPERLINK("https://github.com/nextcloud/android/issues/3800", "show")</f>
        <v>show</v>
      </c>
      <c r="G8446" t="str">
        <f>HYPERLINK("https://github.com/nextcloud/android", "show")</f>
        <v>show</v>
      </c>
      <c r="H8446" t="str">
        <f>HYPERLINK("https://github.com/nextcloud/android/releases", "show")</f>
        <v>show</v>
      </c>
      <c r="I8446">
        <v>1</v>
      </c>
      <c r="J8446">
        <v>1</v>
      </c>
      <c r="K8446">
        <v>1</v>
      </c>
      <c r="L8446">
        <v>0</v>
      </c>
      <c r="M8446" t="s">
        <v>59</v>
      </c>
    </row>
    <row r="8447" spans="1:13" hidden="1" x14ac:dyDescent="0.15">
      <c r="A8447" t="s">
        <v>26503</v>
      </c>
      <c r="B8447" t="s">
        <v>26504</v>
      </c>
      <c r="C8447" t="s">
        <v>26505</v>
      </c>
      <c r="D8447" t="s">
        <v>26496</v>
      </c>
      <c r="E8447">
        <v>1</v>
      </c>
      <c r="F8447" t="str">
        <f>HYPERLINK("https://github.com/getodk/skunkworks-crow/issues/228", "show")</f>
        <v>show</v>
      </c>
      <c r="G8447" t="str">
        <f>HYPERLINK("https://github.com/getodk/skunkworks-crow", "show")</f>
        <v>show</v>
      </c>
      <c r="H8447" t="str">
        <f>HYPERLINK("https://github.com/getodk/skunkworks-crow/releases", "show")</f>
        <v>show</v>
      </c>
      <c r="I8447">
        <v>1</v>
      </c>
      <c r="J8447">
        <v>1</v>
      </c>
      <c r="K8447">
        <v>1</v>
      </c>
      <c r="L8447">
        <v>0</v>
      </c>
      <c r="M8447" t="s">
        <v>59</v>
      </c>
    </row>
    <row r="8448" spans="1:13" hidden="1" x14ac:dyDescent="0.15">
      <c r="A8448" t="s">
        <v>26506</v>
      </c>
      <c r="B8448" t="s">
        <v>26507</v>
      </c>
      <c r="C8448" t="s">
        <v>26508</v>
      </c>
      <c r="D8448" t="s">
        <v>26496</v>
      </c>
      <c r="E8448">
        <v>0</v>
      </c>
      <c r="F8448" t="str">
        <f>HYPERLINK("https://github.com/nextcloud/android/issues/3799", "show")</f>
        <v>show</v>
      </c>
      <c r="G8448" t="str">
        <f>HYPERLINK("https://github.com/nextcloud/android", "show")</f>
        <v>show</v>
      </c>
      <c r="H8448" t="str">
        <f>HYPERLINK("https://github.com/nextcloud/android/releases", "show")</f>
        <v>show</v>
      </c>
      <c r="I8448">
        <v>1</v>
      </c>
      <c r="J8448">
        <v>0</v>
      </c>
      <c r="K8448">
        <v>0</v>
      </c>
      <c r="L8448">
        <v>0</v>
      </c>
      <c r="M8448" t="s">
        <v>17</v>
      </c>
    </row>
    <row r="8449" spans="1:13" hidden="1" x14ac:dyDescent="0.15">
      <c r="A8449" t="s">
        <v>26509</v>
      </c>
      <c r="B8449" t="s">
        <v>26510</v>
      </c>
      <c r="C8449" t="s">
        <v>26511</v>
      </c>
      <c r="D8449" t="s">
        <v>26512</v>
      </c>
      <c r="E8449">
        <v>4</v>
      </c>
      <c r="F8449" t="str">
        <f>HYPERLINK("https://github.com/CMPUT301W19T11/Atheneum/issues/183", "show")</f>
        <v>show</v>
      </c>
      <c r="G8449" t="str">
        <f>HYPERLINK("https://github.com/CMPUT301W19T11/Atheneum", "show")</f>
        <v>show</v>
      </c>
      <c r="H8449" t="str">
        <f>HYPERLINK("https://github.com/CMPUT301W19T11/Atheneum/releases", "show")</f>
        <v>show</v>
      </c>
      <c r="I8449">
        <v>0</v>
      </c>
      <c r="J8449">
        <v>1</v>
      </c>
      <c r="K8449">
        <v>1</v>
      </c>
      <c r="L8449">
        <v>0</v>
      </c>
      <c r="M8449" t="s">
        <v>699</v>
      </c>
    </row>
    <row r="8450" spans="1:13" hidden="1" x14ac:dyDescent="0.15">
      <c r="A8450" t="s">
        <v>26513</v>
      </c>
      <c r="B8450" t="s">
        <v>26514</v>
      </c>
      <c r="C8450" t="s">
        <v>26515</v>
      </c>
      <c r="D8450" t="s">
        <v>26512</v>
      </c>
      <c r="E8450">
        <v>2</v>
      </c>
      <c r="F8450" t="str">
        <f>HYPERLINK("https://github.com/commons-app/apps-android-commons/issues/2766", "show")</f>
        <v>show</v>
      </c>
      <c r="G8450" t="str">
        <f>HYPERLINK("https://github.com/commons-app/apps-android-commons", "show")</f>
        <v>show</v>
      </c>
      <c r="H8450" t="str">
        <f>HYPERLINK("https://github.com/commons-app/apps-android-commons/releases", "show")</f>
        <v>show</v>
      </c>
      <c r="I8450">
        <v>0</v>
      </c>
      <c r="J8450">
        <v>0</v>
      </c>
      <c r="K8450">
        <v>1</v>
      </c>
      <c r="L8450">
        <v>0</v>
      </c>
      <c r="M8450" t="s">
        <v>122</v>
      </c>
    </row>
    <row r="8451" spans="1:13" hidden="1" x14ac:dyDescent="0.15">
      <c r="A8451" t="s">
        <v>26516</v>
      </c>
      <c r="B8451" t="s">
        <v>26517</v>
      </c>
      <c r="C8451" t="s">
        <v>26518</v>
      </c>
      <c r="D8451" t="s">
        <v>26512</v>
      </c>
      <c r="E8451">
        <v>0</v>
      </c>
      <c r="F8451" t="str">
        <f>HYPERLINK("https://github.com/oliexdev/openScale/issues/446", "show")</f>
        <v>show</v>
      </c>
      <c r="G8451" t="str">
        <f>HYPERLINK("https://github.com/oliexdev/openScale", "show")</f>
        <v>show</v>
      </c>
      <c r="H8451" t="str">
        <f>HYPERLINK("https://github.com/oliexdev/openScale/releases", "show")</f>
        <v>show</v>
      </c>
      <c r="I8451">
        <v>1</v>
      </c>
      <c r="J8451">
        <v>0</v>
      </c>
      <c r="K8451">
        <v>1</v>
      </c>
      <c r="L8451">
        <v>0</v>
      </c>
      <c r="M8451" t="s">
        <v>64</v>
      </c>
    </row>
    <row r="8452" spans="1:13" hidden="1" x14ac:dyDescent="0.15">
      <c r="A8452" t="s">
        <v>26519</v>
      </c>
      <c r="B8452" t="s">
        <v>26520</v>
      </c>
      <c r="C8452" t="s">
        <v>26521</v>
      </c>
      <c r="D8452" t="s">
        <v>26512</v>
      </c>
      <c r="E8452">
        <v>4</v>
      </c>
      <c r="F8452" t="str">
        <f>HYPERLINK("https://github.com/deltachat/deltachat-android/issues/793", "show")</f>
        <v>show</v>
      </c>
      <c r="G8452" t="str">
        <f>HYPERLINK("https://github.com/deltachat/deltachat-android", "show")</f>
        <v>show</v>
      </c>
      <c r="H8452" t="str">
        <f>HYPERLINK("https://github.com/deltachat/deltachat-android/releases", "show")</f>
        <v>show</v>
      </c>
      <c r="I8452">
        <v>1</v>
      </c>
      <c r="J8452">
        <v>0</v>
      </c>
      <c r="K8452">
        <v>0</v>
      </c>
      <c r="L8452">
        <v>0</v>
      </c>
      <c r="M8452" t="s">
        <v>17</v>
      </c>
    </row>
    <row r="8453" spans="1:13" hidden="1" x14ac:dyDescent="0.15">
      <c r="A8453" t="s">
        <v>26522</v>
      </c>
      <c r="B8453" t="s">
        <v>26523</v>
      </c>
      <c r="C8453" t="s">
        <v>26524</v>
      </c>
      <c r="D8453" t="s">
        <v>26525</v>
      </c>
      <c r="E8453">
        <v>407</v>
      </c>
      <c r="F8453" t="str">
        <f>HYPERLINK("https://github.com/4Q-s-r-o/call_log/issues/3", "show")</f>
        <v>show</v>
      </c>
      <c r="G8453" t="str">
        <f>HYPERLINK("https://github.com/4Q-s-r-o/call_log", "show")</f>
        <v>show</v>
      </c>
      <c r="H8453" t="str">
        <f>HYPERLINK("https://github.com/4Q-s-r-o/call_log/releases", "show")</f>
        <v>show</v>
      </c>
      <c r="I8453">
        <v>1</v>
      </c>
      <c r="J8453">
        <v>0</v>
      </c>
      <c r="K8453">
        <v>1</v>
      </c>
      <c r="L8453">
        <v>0</v>
      </c>
      <c r="M8453" t="s">
        <v>64</v>
      </c>
    </row>
    <row r="8454" spans="1:13" hidden="1" x14ac:dyDescent="0.15">
      <c r="A8454" t="s">
        <v>26526</v>
      </c>
      <c r="B8454" t="s">
        <v>26527</v>
      </c>
      <c r="C8454" t="s">
        <v>26528</v>
      </c>
      <c r="D8454" t="s">
        <v>26529</v>
      </c>
      <c r="E8454">
        <v>117</v>
      </c>
      <c r="F8454" t="str">
        <f>HYPERLINK("https://github.com/osmdroid/osmdroid/issues/1299", "show")</f>
        <v>show</v>
      </c>
      <c r="G8454" t="str">
        <f>HYPERLINK("https://github.com/osmdroid/osmdroid", "show")</f>
        <v>show</v>
      </c>
      <c r="H8454" t="str">
        <f>HYPERLINK("https://github.com/osmdroid/osmdroid/releases", "show")</f>
        <v>show</v>
      </c>
      <c r="I8454">
        <v>1</v>
      </c>
      <c r="J8454">
        <v>1</v>
      </c>
      <c r="K8454">
        <v>1</v>
      </c>
      <c r="L8454">
        <v>0</v>
      </c>
      <c r="M8454" t="s">
        <v>59</v>
      </c>
    </row>
    <row r="8455" spans="1:13" hidden="1" x14ac:dyDescent="0.15">
      <c r="A8455" t="s">
        <v>26530</v>
      </c>
      <c r="B8455" t="s">
        <v>26531</v>
      </c>
      <c r="C8455" t="s">
        <v>26532</v>
      </c>
      <c r="D8455" t="s">
        <v>26529</v>
      </c>
      <c r="E8455">
        <v>0</v>
      </c>
      <c r="F8455" t="str">
        <f>HYPERLINK("https://github.com/Intelehealth/Android-Mobile-Client/issues/688", "show")</f>
        <v>show</v>
      </c>
      <c r="G8455" t="str">
        <f>HYPERLINK("https://github.com/Intelehealth/Android-Mobile-Client", "show")</f>
        <v>show</v>
      </c>
      <c r="H8455" t="str">
        <f>HYPERLINK("https://github.com/Intelehealth/Android-Mobile-Client/releases", "show")</f>
        <v>show</v>
      </c>
      <c r="I8455">
        <v>1</v>
      </c>
      <c r="J8455">
        <v>0</v>
      </c>
      <c r="K8455">
        <v>0</v>
      </c>
      <c r="L8455">
        <v>0</v>
      </c>
      <c r="M8455" t="s">
        <v>17</v>
      </c>
    </row>
    <row r="8456" spans="1:13" hidden="1" x14ac:dyDescent="0.15">
      <c r="A8456" t="s">
        <v>26533</v>
      </c>
      <c r="B8456" t="s">
        <v>26534</v>
      </c>
      <c r="C8456" t="s">
        <v>26535</v>
      </c>
      <c r="D8456" t="s">
        <v>26529</v>
      </c>
      <c r="E8456">
        <v>14</v>
      </c>
      <c r="F8456" t="str">
        <f>HYPERLINK("https://github.com/TheCacophonyProject/bird-monitor/issues/26", "show")</f>
        <v>show</v>
      </c>
      <c r="G8456" t="str">
        <f>HYPERLINK("https://github.com/TheCacophonyProject/bird-monitor", "show")</f>
        <v>show</v>
      </c>
      <c r="H8456" t="str">
        <f>HYPERLINK("https://github.com/TheCacophonyProject/bird-monitor/releases", "show")</f>
        <v>show</v>
      </c>
      <c r="I8456">
        <v>1</v>
      </c>
      <c r="J8456">
        <v>0</v>
      </c>
      <c r="K8456">
        <v>0</v>
      </c>
      <c r="L8456">
        <v>0</v>
      </c>
      <c r="M8456" t="s">
        <v>17</v>
      </c>
    </row>
    <row r="8457" spans="1:13" hidden="1" x14ac:dyDescent="0.15">
      <c r="A8457" t="s">
        <v>26536</v>
      </c>
      <c r="B8457" t="s">
        <v>26537</v>
      </c>
      <c r="C8457" t="s">
        <v>26538</v>
      </c>
      <c r="D8457" t="s">
        <v>26539</v>
      </c>
      <c r="E8457">
        <v>26</v>
      </c>
      <c r="F8457" t="str">
        <f>HYPERLINK("https://github.com/deltachat/deltachat-android/issues/782", "show")</f>
        <v>show</v>
      </c>
      <c r="G8457" t="str">
        <f>HYPERLINK("https://github.com/deltachat/deltachat-android", "show")</f>
        <v>show</v>
      </c>
      <c r="H8457" t="str">
        <f>HYPERLINK("https://github.com/deltachat/deltachat-android/releases", "show")</f>
        <v>show</v>
      </c>
      <c r="I8457">
        <v>0</v>
      </c>
      <c r="J8457">
        <v>0</v>
      </c>
      <c r="K8457">
        <v>0</v>
      </c>
      <c r="L8457">
        <v>0</v>
      </c>
      <c r="M8457" t="s">
        <v>43</v>
      </c>
    </row>
    <row r="8458" spans="1:13" hidden="1" x14ac:dyDescent="0.15">
      <c r="A8458" t="s">
        <v>26540</v>
      </c>
      <c r="B8458" t="s">
        <v>26541</v>
      </c>
      <c r="C8458" t="s">
        <v>26542</v>
      </c>
      <c r="D8458" t="s">
        <v>26539</v>
      </c>
      <c r="E8458">
        <v>258</v>
      </c>
      <c r="F8458" t="str">
        <f>HYPERLINK("https://github.com/mgks/Android-SmartWebView/issues/82", "show")</f>
        <v>show</v>
      </c>
      <c r="G8458" t="str">
        <f>HYPERLINK("https://github.com/mgks/Android-SmartWebView", "show")</f>
        <v>show</v>
      </c>
      <c r="H8458" t="str">
        <f>HYPERLINK("https://github.com/mgks/Android-SmartWebView/releases", "show")</f>
        <v>show</v>
      </c>
      <c r="I8458">
        <v>1</v>
      </c>
      <c r="J8458">
        <v>0</v>
      </c>
      <c r="K8458">
        <v>1</v>
      </c>
      <c r="L8458">
        <v>0</v>
      </c>
      <c r="M8458" t="s">
        <v>64</v>
      </c>
    </row>
    <row r="8459" spans="1:13" hidden="1" x14ac:dyDescent="0.15">
      <c r="A8459" t="s">
        <v>26543</v>
      </c>
      <c r="B8459" t="s">
        <v>26544</v>
      </c>
      <c r="C8459" t="s">
        <v>26545</v>
      </c>
      <c r="D8459" t="s">
        <v>26546</v>
      </c>
      <c r="E8459">
        <v>10</v>
      </c>
      <c r="F8459" t="str">
        <f>HYPERLINK("https://github.com/commons-app/apps-android-commons/issues/2720", "show")</f>
        <v>show</v>
      </c>
      <c r="G8459" t="str">
        <f>HYPERLINK("https://github.com/commons-app/apps-android-commons", "show")</f>
        <v>show</v>
      </c>
      <c r="H8459" t="str">
        <f>HYPERLINK("https://github.com/commons-app/apps-android-commons/releases", "show")</f>
        <v>show</v>
      </c>
      <c r="I8459">
        <v>1</v>
      </c>
      <c r="J8459">
        <v>0</v>
      </c>
      <c r="K8459">
        <v>1</v>
      </c>
      <c r="L8459">
        <v>0</v>
      </c>
      <c r="M8459" t="s">
        <v>64</v>
      </c>
    </row>
    <row r="8460" spans="1:13" hidden="1" x14ac:dyDescent="0.15">
      <c r="A8460" t="s">
        <v>26547</v>
      </c>
      <c r="B8460" t="s">
        <v>26548</v>
      </c>
      <c r="C8460" t="s">
        <v>26549</v>
      </c>
      <c r="D8460" t="s">
        <v>26546</v>
      </c>
      <c r="E8460">
        <v>0</v>
      </c>
      <c r="F8460" t="str">
        <f>HYPERLINK("https://github.com/commons-app/apps-android-commons/issues/2718", "show")</f>
        <v>show</v>
      </c>
      <c r="G8460" t="str">
        <f>HYPERLINK("https://github.com/commons-app/apps-android-commons", "show")</f>
        <v>show</v>
      </c>
      <c r="H8460" t="str">
        <f>HYPERLINK("https://github.com/commons-app/apps-android-commons/releases", "show")</f>
        <v>show</v>
      </c>
      <c r="I8460">
        <v>1</v>
      </c>
      <c r="J8460">
        <v>0</v>
      </c>
      <c r="K8460">
        <v>1</v>
      </c>
      <c r="L8460">
        <v>0</v>
      </c>
      <c r="M8460" t="s">
        <v>64</v>
      </c>
    </row>
    <row r="8461" spans="1:13" hidden="1" x14ac:dyDescent="0.15">
      <c r="A8461" t="s">
        <v>26550</v>
      </c>
      <c r="B8461" t="s">
        <v>26551</v>
      </c>
      <c r="C8461" t="s">
        <v>26552</v>
      </c>
      <c r="D8461" t="s">
        <v>26553</v>
      </c>
      <c r="E8461">
        <v>1</v>
      </c>
      <c r="F8461" t="str">
        <f>HYPERLINK("https://github.com/commons-app/apps-android-commons/issues/2711", "show")</f>
        <v>show</v>
      </c>
      <c r="G8461" t="str">
        <f>HYPERLINK("https://github.com/commons-app/apps-android-commons", "show")</f>
        <v>show</v>
      </c>
      <c r="H8461" t="str">
        <f>HYPERLINK("https://github.com/commons-app/apps-android-commons/releases", "show")</f>
        <v>show</v>
      </c>
      <c r="I8461">
        <v>1</v>
      </c>
      <c r="J8461">
        <v>0</v>
      </c>
      <c r="K8461">
        <v>1</v>
      </c>
      <c r="L8461">
        <v>0</v>
      </c>
      <c r="M8461" t="s">
        <v>64</v>
      </c>
    </row>
    <row r="8462" spans="1:13" hidden="1" x14ac:dyDescent="0.15">
      <c r="A8462" t="s">
        <v>26554</v>
      </c>
      <c r="B8462" t="s">
        <v>26555</v>
      </c>
      <c r="C8462" t="s">
        <v>26556</v>
      </c>
      <c r="D8462" t="s">
        <v>26553</v>
      </c>
      <c r="E8462">
        <v>22</v>
      </c>
      <c r="F8462" t="str">
        <f>HYPERLINK("https://github.com/square/okhttp/issues/4761", "show")</f>
        <v>show</v>
      </c>
      <c r="G8462" t="str">
        <f>HYPERLINK("https://github.com/square/okhttp", "show")</f>
        <v>show</v>
      </c>
      <c r="H8462" t="str">
        <f>HYPERLINK("https://github.com/square/okhttp/releases", "show")</f>
        <v>show</v>
      </c>
      <c r="I8462">
        <v>1</v>
      </c>
      <c r="J8462">
        <v>1</v>
      </c>
      <c r="K8462">
        <v>0</v>
      </c>
      <c r="L8462">
        <v>0</v>
      </c>
      <c r="M8462" t="s">
        <v>48</v>
      </c>
    </row>
    <row r="8463" spans="1:13" hidden="1" x14ac:dyDescent="0.15">
      <c r="A8463" t="s">
        <v>26557</v>
      </c>
      <c r="B8463" t="s">
        <v>26558</v>
      </c>
      <c r="C8463" t="s">
        <v>26559</v>
      </c>
      <c r="D8463" t="s">
        <v>26553</v>
      </c>
      <c r="E8463">
        <v>1048</v>
      </c>
      <c r="F8463" t="str">
        <f>HYPERLINK("https://github.com/aws-amplify/aws-sdk-android/issues/810", "show")</f>
        <v>show</v>
      </c>
      <c r="G8463" t="str">
        <f>HYPERLINK("https://github.com/aws-amplify/aws-sdk-android", "show")</f>
        <v>show</v>
      </c>
      <c r="H8463" t="str">
        <f>HYPERLINK("https://github.com/aws-amplify/aws-sdk-android/releases", "show")</f>
        <v>show</v>
      </c>
      <c r="I8463">
        <v>1</v>
      </c>
      <c r="J8463">
        <v>1</v>
      </c>
      <c r="K8463">
        <v>0</v>
      </c>
      <c r="L8463">
        <v>0</v>
      </c>
      <c r="M8463" t="s">
        <v>48</v>
      </c>
    </row>
    <row r="8464" spans="1:13" hidden="1" x14ac:dyDescent="0.15">
      <c r="A8464" t="s">
        <v>26560</v>
      </c>
      <c r="B8464" t="s">
        <v>26561</v>
      </c>
      <c r="C8464" t="s">
        <v>26562</v>
      </c>
      <c r="D8464" t="s">
        <v>26553</v>
      </c>
      <c r="E8464">
        <v>6</v>
      </c>
      <c r="F8464" t="str">
        <f>HYPERLINK("https://github.com/kiwi-bop/flutter_crashlytics/issues/71", "show")</f>
        <v>show</v>
      </c>
      <c r="G8464" t="str">
        <f>HYPERLINK("https://github.com/kiwi-bop/flutter_crashlytics", "show")</f>
        <v>show</v>
      </c>
      <c r="H8464" t="str">
        <f>HYPERLINK("https://github.com/kiwi-bop/flutter_crashlytics/releases", "show")</f>
        <v>show</v>
      </c>
      <c r="I8464">
        <v>1</v>
      </c>
      <c r="J8464">
        <v>0</v>
      </c>
      <c r="K8464">
        <v>0</v>
      </c>
      <c r="L8464">
        <v>0</v>
      </c>
      <c r="M8464" t="s">
        <v>17</v>
      </c>
    </row>
    <row r="8465" spans="1:13" hidden="1" x14ac:dyDescent="0.15">
      <c r="A8465" t="s">
        <v>26563</v>
      </c>
      <c r="B8465" t="s">
        <v>26564</v>
      </c>
      <c r="D8465" t="s">
        <v>26565</v>
      </c>
      <c r="E8465">
        <v>28</v>
      </c>
      <c r="F8465" t="str">
        <f>HYPERLINK("https://github.com/kalaspuffar/secure-quick-reliable-login/issues/268", "show")</f>
        <v>show</v>
      </c>
      <c r="G8465" t="str">
        <f>HYPERLINK("https://github.com/kalaspuffar/secure-quick-reliable-login", "show")</f>
        <v>show</v>
      </c>
      <c r="H8465" t="str">
        <f>HYPERLINK("https://github.com/kalaspuffar/secure-quick-reliable-login/releases", "show")</f>
        <v>show</v>
      </c>
      <c r="I8465">
        <v>0</v>
      </c>
      <c r="J8465">
        <v>0</v>
      </c>
      <c r="K8465">
        <v>0</v>
      </c>
      <c r="L8465">
        <v>0</v>
      </c>
      <c r="M8465" t="s">
        <v>43</v>
      </c>
    </row>
    <row r="8466" spans="1:13" hidden="1" x14ac:dyDescent="0.15">
      <c r="A8466" t="s">
        <v>26566</v>
      </c>
      <c r="B8466" t="s">
        <v>26567</v>
      </c>
      <c r="C8466" t="s">
        <v>26568</v>
      </c>
      <c r="D8466" t="s">
        <v>26565</v>
      </c>
      <c r="E8466">
        <v>0</v>
      </c>
      <c r="F8466" t="str">
        <f>HYPERLINK("https://github.com/commons-app/apps-android-commons/issues/2696", "show")</f>
        <v>show</v>
      </c>
      <c r="G8466" t="str">
        <f>HYPERLINK("https://github.com/commons-app/apps-android-commons", "show")</f>
        <v>show</v>
      </c>
      <c r="H8466" t="str">
        <f>HYPERLINK("https://github.com/commons-app/apps-android-commons/releases", "show")</f>
        <v>show</v>
      </c>
      <c r="I8466">
        <v>1</v>
      </c>
      <c r="J8466">
        <v>0</v>
      </c>
      <c r="K8466">
        <v>1</v>
      </c>
      <c r="L8466">
        <v>0</v>
      </c>
      <c r="M8466" t="s">
        <v>64</v>
      </c>
    </row>
    <row r="8467" spans="1:13" hidden="1" x14ac:dyDescent="0.15">
      <c r="A8467" t="s">
        <v>26569</v>
      </c>
      <c r="B8467" t="s">
        <v>26570</v>
      </c>
      <c r="C8467" t="s">
        <v>26571</v>
      </c>
      <c r="D8467" t="s">
        <v>26565</v>
      </c>
      <c r="E8467">
        <v>1</v>
      </c>
      <c r="F8467" t="str">
        <f>HYPERLINK("https://github.com/opensrp/opensrp-client-chw/issues/240", "show")</f>
        <v>show</v>
      </c>
      <c r="G8467" t="str">
        <f>HYPERLINK("https://github.com/opensrp/opensrp-client-chw", "show")</f>
        <v>show</v>
      </c>
      <c r="H8467" t="str">
        <f>HYPERLINK("https://github.com/opensrp/opensrp-client-chw/releases", "show")</f>
        <v>show</v>
      </c>
      <c r="I8467">
        <v>1</v>
      </c>
      <c r="J8467">
        <v>0</v>
      </c>
      <c r="K8467">
        <v>0</v>
      </c>
      <c r="L8467">
        <v>0</v>
      </c>
      <c r="M8467" t="s">
        <v>17</v>
      </c>
    </row>
    <row r="8468" spans="1:13" hidden="1" x14ac:dyDescent="0.15">
      <c r="A8468" t="s">
        <v>26572</v>
      </c>
      <c r="B8468" t="s">
        <v>26573</v>
      </c>
      <c r="C8468" t="s">
        <v>26574</v>
      </c>
      <c r="D8468" t="s">
        <v>26575</v>
      </c>
      <c r="E8468">
        <v>0</v>
      </c>
      <c r="F8468" t="str">
        <f>HYPERLINK("https://github.com/CMPUT301W19T11/Atheneum/issues/158", "show")</f>
        <v>show</v>
      </c>
      <c r="G8468" t="str">
        <f>HYPERLINK("https://github.com/CMPUT301W19T11/Atheneum", "show")</f>
        <v>show</v>
      </c>
      <c r="H8468" t="str">
        <f>HYPERLINK("https://github.com/CMPUT301W19T11/Atheneum/releases", "show")</f>
        <v>show</v>
      </c>
      <c r="I8468">
        <v>1</v>
      </c>
      <c r="J8468">
        <v>0</v>
      </c>
      <c r="K8468">
        <v>1</v>
      </c>
      <c r="L8468">
        <v>0</v>
      </c>
      <c r="M8468" t="s">
        <v>64</v>
      </c>
    </row>
    <row r="8469" spans="1:13" hidden="1" x14ac:dyDescent="0.15">
      <c r="A8469" t="s">
        <v>26576</v>
      </c>
      <c r="B8469" t="s">
        <v>26577</v>
      </c>
      <c r="C8469" t="s">
        <v>26578</v>
      </c>
      <c r="D8469" t="s">
        <v>26575</v>
      </c>
      <c r="E8469">
        <v>4</v>
      </c>
      <c r="F8469" t="str">
        <f>HYPERLINK("https://github.com/getodk/skunkworks-crow/issues/219", "show")</f>
        <v>show</v>
      </c>
      <c r="G8469" t="str">
        <f>HYPERLINK("https://github.com/getodk/skunkworks-crow", "show")</f>
        <v>show</v>
      </c>
      <c r="H8469" t="str">
        <f>HYPERLINK("https://github.com/getodk/skunkworks-crow/releases", "show")</f>
        <v>show</v>
      </c>
      <c r="I8469">
        <v>1</v>
      </c>
      <c r="J8469">
        <v>1</v>
      </c>
      <c r="K8469">
        <v>1</v>
      </c>
      <c r="L8469">
        <v>1</v>
      </c>
      <c r="M8469" t="s">
        <v>2875</v>
      </c>
    </row>
    <row r="8470" spans="1:13" hidden="1" x14ac:dyDescent="0.15">
      <c r="A8470" t="s">
        <v>26579</v>
      </c>
      <c r="B8470" t="s">
        <v>26580</v>
      </c>
      <c r="C8470" t="s">
        <v>26581</v>
      </c>
      <c r="D8470" t="s">
        <v>26575</v>
      </c>
      <c r="E8470">
        <v>3</v>
      </c>
      <c r="F8470" t="str">
        <f>HYPERLINK("https://github.com/commons-app/apps-android-commons/issues/2679", "show")</f>
        <v>show</v>
      </c>
      <c r="G8470" t="str">
        <f>HYPERLINK("https://github.com/commons-app/apps-android-commons", "show")</f>
        <v>show</v>
      </c>
      <c r="H8470" t="str">
        <f>HYPERLINK("https://github.com/commons-app/apps-android-commons/releases", "show")</f>
        <v>show</v>
      </c>
      <c r="I8470">
        <v>1</v>
      </c>
      <c r="J8470">
        <v>1</v>
      </c>
      <c r="K8470">
        <v>0</v>
      </c>
      <c r="L8470">
        <v>0</v>
      </c>
      <c r="M8470" t="s">
        <v>48</v>
      </c>
    </row>
    <row r="8471" spans="1:13" hidden="1" x14ac:dyDescent="0.15">
      <c r="A8471" t="s">
        <v>26582</v>
      </c>
      <c r="B8471" t="s">
        <v>26583</v>
      </c>
      <c r="C8471" t="s">
        <v>26584</v>
      </c>
      <c r="D8471" t="s">
        <v>26575</v>
      </c>
      <c r="E8471">
        <v>19</v>
      </c>
      <c r="F8471" t="str">
        <f>HYPERLINK("https://github.com/ElderDrivers/EdXposed/issues/172", "show")</f>
        <v>show</v>
      </c>
      <c r="G8471" t="str">
        <f>HYPERLINK("https://github.com/ElderDrivers/EdXposed", "show")</f>
        <v>show</v>
      </c>
      <c r="H8471" t="str">
        <f>HYPERLINK("https://github.com/ElderDrivers/EdXposed/releases", "show")</f>
        <v>show</v>
      </c>
      <c r="I8471">
        <v>0</v>
      </c>
      <c r="J8471">
        <v>0</v>
      </c>
      <c r="K8471">
        <v>0</v>
      </c>
      <c r="L8471">
        <v>0</v>
      </c>
      <c r="M8471" t="s">
        <v>43</v>
      </c>
    </row>
    <row r="8472" spans="1:13" hidden="1" x14ac:dyDescent="0.15">
      <c r="A8472" t="s">
        <v>26585</v>
      </c>
      <c r="B8472" t="s">
        <v>26586</v>
      </c>
      <c r="C8472" t="s">
        <v>26587</v>
      </c>
      <c r="D8472" t="s">
        <v>26588</v>
      </c>
      <c r="E8472">
        <v>6</v>
      </c>
      <c r="F8472" t="str">
        <f>HYPERLINK("https://github.com/mauron85/react-native-background-geolocation/issues/360", "show")</f>
        <v>show</v>
      </c>
      <c r="G8472" t="str">
        <f>HYPERLINK("https://github.com/mauron85/react-native-background-geolocation", "show")</f>
        <v>show</v>
      </c>
      <c r="H8472" t="str">
        <f>HYPERLINK("https://github.com/mauron85/react-native-background-geolocation/releases", "show")</f>
        <v>show</v>
      </c>
      <c r="I8472">
        <v>1</v>
      </c>
      <c r="J8472">
        <v>1</v>
      </c>
      <c r="K8472">
        <v>0</v>
      </c>
      <c r="L8472">
        <v>0</v>
      </c>
      <c r="M8472" t="s">
        <v>48</v>
      </c>
    </row>
    <row r="8473" spans="1:13" hidden="1" x14ac:dyDescent="0.15">
      <c r="A8473" t="s">
        <v>26589</v>
      </c>
      <c r="B8473" t="s">
        <v>26590</v>
      </c>
      <c r="C8473" t="s">
        <v>26591</v>
      </c>
      <c r="D8473" t="s">
        <v>26588</v>
      </c>
      <c r="E8473">
        <v>80</v>
      </c>
      <c r="F8473" t="str">
        <f>HYPERLINK("https://github.com/react-native-camera/react-native-camera/issues/2155", "show")</f>
        <v>show</v>
      </c>
      <c r="G8473" t="str">
        <f>HYPERLINK("https://github.com/react-native-camera/react-native-camera", "show")</f>
        <v>show</v>
      </c>
      <c r="H8473" t="str">
        <f>HYPERLINK("https://github.com/react-native-camera/react-native-camera/releases", "show")</f>
        <v>show</v>
      </c>
      <c r="I8473">
        <v>1</v>
      </c>
      <c r="J8473">
        <v>0</v>
      </c>
      <c r="K8473">
        <v>0</v>
      </c>
      <c r="L8473">
        <v>1</v>
      </c>
      <c r="M8473" t="s">
        <v>29</v>
      </c>
    </row>
    <row r="8474" spans="1:13" hidden="1" x14ac:dyDescent="0.15">
      <c r="A8474" t="s">
        <v>26592</v>
      </c>
      <c r="B8474" t="s">
        <v>26593</v>
      </c>
      <c r="C8474" t="s">
        <v>26594</v>
      </c>
      <c r="D8474" t="s">
        <v>26588</v>
      </c>
      <c r="E8474">
        <v>30</v>
      </c>
      <c r="F8474" t="str">
        <f>HYPERLINK("https://github.com/martykan/forecastie/issues/336", "show")</f>
        <v>show</v>
      </c>
      <c r="G8474" t="str">
        <f>HYPERLINK("https://github.com/martykan/forecastie", "show")</f>
        <v>show</v>
      </c>
      <c r="H8474" t="str">
        <f>HYPERLINK("https://github.com/martykan/forecastie/releases", "show")</f>
        <v>show</v>
      </c>
      <c r="I8474">
        <v>1</v>
      </c>
      <c r="J8474">
        <v>0</v>
      </c>
      <c r="K8474">
        <v>0</v>
      </c>
      <c r="L8474">
        <v>0</v>
      </c>
      <c r="M8474" t="s">
        <v>17</v>
      </c>
    </row>
    <row r="8475" spans="1:13" hidden="1" x14ac:dyDescent="0.15">
      <c r="A8475" t="s">
        <v>26595</v>
      </c>
      <c r="B8475" t="s">
        <v>26596</v>
      </c>
      <c r="C8475" t="s">
        <v>26597</v>
      </c>
      <c r="D8475" t="s">
        <v>26588</v>
      </c>
      <c r="E8475">
        <v>8</v>
      </c>
      <c r="F8475" t="str">
        <f>HYPERLINK("https://github.com/CMPUT301W19T11/Atheneum/issues/155", "show")</f>
        <v>show</v>
      </c>
      <c r="G8475" t="str">
        <f>HYPERLINK("https://github.com/CMPUT301W19T11/Atheneum", "show")</f>
        <v>show</v>
      </c>
      <c r="H8475" t="str">
        <f>HYPERLINK("https://github.com/CMPUT301W19T11/Atheneum/releases", "show")</f>
        <v>show</v>
      </c>
      <c r="I8475">
        <v>1</v>
      </c>
      <c r="J8475">
        <v>1</v>
      </c>
      <c r="K8475">
        <v>1</v>
      </c>
      <c r="L8475">
        <v>0</v>
      </c>
      <c r="M8475" t="s">
        <v>59</v>
      </c>
    </row>
    <row r="8476" spans="1:13" hidden="1" x14ac:dyDescent="0.15">
      <c r="A8476" t="s">
        <v>26598</v>
      </c>
      <c r="B8476" t="s">
        <v>26599</v>
      </c>
      <c r="C8476" t="s">
        <v>26600</v>
      </c>
      <c r="D8476" t="s">
        <v>26601</v>
      </c>
      <c r="E8476">
        <v>357</v>
      </c>
      <c r="F8476" t="str">
        <f>HYPERLINK("https://github.com/tanguyantoine/react-native-music-control/issues/244", "show")</f>
        <v>show</v>
      </c>
      <c r="G8476" t="str">
        <f>HYPERLINK("https://github.com/tanguyantoine/react-native-music-control", "show")</f>
        <v>show</v>
      </c>
      <c r="H8476" t="str">
        <f>HYPERLINK("https://github.com/tanguyantoine/react-native-music-control/releases", "show")</f>
        <v>show</v>
      </c>
      <c r="I8476">
        <v>1</v>
      </c>
      <c r="J8476">
        <v>0</v>
      </c>
      <c r="K8476">
        <v>1</v>
      </c>
      <c r="L8476">
        <v>1</v>
      </c>
      <c r="M8476" t="s">
        <v>1259</v>
      </c>
    </row>
    <row r="8477" spans="1:13" hidden="1" x14ac:dyDescent="0.15">
      <c r="A8477" t="s">
        <v>26602</v>
      </c>
      <c r="B8477" t="s">
        <v>26603</v>
      </c>
      <c r="C8477" t="s">
        <v>26604</v>
      </c>
      <c r="D8477" t="s">
        <v>26601</v>
      </c>
      <c r="E8477">
        <v>170</v>
      </c>
      <c r="F8477" t="str">
        <f>HYPERLINK("https://github.com/Piwigo/Piwigo-Android/issues/96", "show")</f>
        <v>show</v>
      </c>
      <c r="G8477" t="str">
        <f>HYPERLINK("https://github.com/Piwigo/Piwigo-Android", "show")</f>
        <v>show</v>
      </c>
      <c r="H8477" t="str">
        <f>HYPERLINK("https://github.com/Piwigo/Piwigo-Android/releases", "show")</f>
        <v>show</v>
      </c>
      <c r="I8477">
        <v>1</v>
      </c>
      <c r="J8477">
        <v>0</v>
      </c>
      <c r="K8477">
        <v>1</v>
      </c>
      <c r="L8477">
        <v>0</v>
      </c>
      <c r="M8477" t="s">
        <v>64</v>
      </c>
    </row>
    <row r="8478" spans="1:13" hidden="1" x14ac:dyDescent="0.15">
      <c r="A8478" t="s">
        <v>26605</v>
      </c>
      <c r="B8478" t="s">
        <v>26606</v>
      </c>
      <c r="C8478" t="s">
        <v>26607</v>
      </c>
      <c r="D8478" t="s">
        <v>26601</v>
      </c>
      <c r="E8478">
        <v>515</v>
      </c>
      <c r="F8478" t="str">
        <f>HYPERLINK("https://github.com/commons-app/apps-android-commons/issues/2652", "show")</f>
        <v>show</v>
      </c>
      <c r="G8478" t="str">
        <f>HYPERLINK("https://github.com/commons-app/apps-android-commons", "show")</f>
        <v>show</v>
      </c>
      <c r="H8478" t="str">
        <f>HYPERLINK("https://github.com/commons-app/apps-android-commons/releases", "show")</f>
        <v>show</v>
      </c>
      <c r="I8478">
        <v>0</v>
      </c>
      <c r="J8478">
        <v>0</v>
      </c>
      <c r="K8478">
        <v>1</v>
      </c>
      <c r="L8478">
        <v>0</v>
      </c>
      <c r="M8478" t="s">
        <v>122</v>
      </c>
    </row>
    <row r="8479" spans="1:13" hidden="1" x14ac:dyDescent="0.15">
      <c r="A8479" t="s">
        <v>26608</v>
      </c>
      <c r="B8479" t="s">
        <v>26609</v>
      </c>
      <c r="C8479" t="s">
        <v>26610</v>
      </c>
      <c r="D8479" t="s">
        <v>26601</v>
      </c>
      <c r="E8479">
        <v>12</v>
      </c>
      <c r="F8479" t="str">
        <f>HYPERLINK("https://github.com/cgeo/cgeo/issues/7391", "show")</f>
        <v>show</v>
      </c>
      <c r="G8479" t="str">
        <f>HYPERLINK("https://github.com/cgeo/cgeo", "show")</f>
        <v>show</v>
      </c>
      <c r="H8479" t="str">
        <f>HYPERLINK("https://github.com/cgeo/cgeo/releases", "show")</f>
        <v>show</v>
      </c>
      <c r="I8479">
        <v>1</v>
      </c>
      <c r="J8479">
        <v>1</v>
      </c>
      <c r="K8479">
        <v>0</v>
      </c>
      <c r="L8479">
        <v>0</v>
      </c>
      <c r="M8479" t="s">
        <v>48</v>
      </c>
    </row>
    <row r="8480" spans="1:13" hidden="1" x14ac:dyDescent="0.15">
      <c r="A8480" t="s">
        <v>26611</v>
      </c>
      <c r="B8480" t="s">
        <v>26612</v>
      </c>
      <c r="C8480" t="s">
        <v>26613</v>
      </c>
      <c r="D8480" t="s">
        <v>26601</v>
      </c>
      <c r="E8480">
        <v>329</v>
      </c>
      <c r="F8480" t="str">
        <f>HYPERLINK("https://github.com/jellow-aac/Jellow-Communicator/issues/24", "show")</f>
        <v>show</v>
      </c>
      <c r="G8480" t="str">
        <f>HYPERLINK("https://github.com/jellow-aac/Jellow-Communicator", "show")</f>
        <v>show</v>
      </c>
      <c r="H8480" t="str">
        <f>HYPERLINK("https://github.com/jellow-aac/Jellow-Communicator/releases", "show")</f>
        <v>show</v>
      </c>
      <c r="I8480">
        <v>1</v>
      </c>
      <c r="J8480">
        <v>1</v>
      </c>
      <c r="K8480">
        <v>0</v>
      </c>
      <c r="L8480">
        <v>0</v>
      </c>
      <c r="M8480" t="s">
        <v>48</v>
      </c>
    </row>
    <row r="8481" spans="1:13" hidden="1" x14ac:dyDescent="0.15">
      <c r="A8481" t="s">
        <v>26614</v>
      </c>
      <c r="B8481" t="s">
        <v>26615</v>
      </c>
      <c r="C8481" t="s">
        <v>26616</v>
      </c>
      <c r="D8481" t="s">
        <v>26617</v>
      </c>
      <c r="E8481">
        <v>56</v>
      </c>
      <c r="F8481" t="str">
        <f>HYPERLINK("https://github.com/MrZeRo2000/violetnote-android/issues/116", "show")</f>
        <v>show</v>
      </c>
      <c r="G8481" t="str">
        <f>HYPERLINK("https://github.com/MrZeRo2000/violetnote-android", "show")</f>
        <v>show</v>
      </c>
      <c r="H8481" t="str">
        <f>HYPERLINK("https://github.com/MrZeRo2000/violetnote-android/releases", "show")</f>
        <v>show</v>
      </c>
      <c r="I8481">
        <v>1</v>
      </c>
      <c r="J8481">
        <v>0</v>
      </c>
      <c r="K8481">
        <v>1</v>
      </c>
      <c r="L8481">
        <v>0</v>
      </c>
      <c r="M8481" t="s">
        <v>64</v>
      </c>
    </row>
    <row r="8482" spans="1:13" hidden="1" x14ac:dyDescent="0.15">
      <c r="A8482" t="s">
        <v>26618</v>
      </c>
      <c r="B8482" t="s">
        <v>26619</v>
      </c>
      <c r="C8482" t="s">
        <v>26620</v>
      </c>
      <c r="D8482" t="s">
        <v>26617</v>
      </c>
      <c r="E8482">
        <v>14</v>
      </c>
      <c r="F8482" t="str">
        <f>HYPERLINK("https://github.com/CMPUT301W19T11/Atheneum/issues/152", "show")</f>
        <v>show</v>
      </c>
      <c r="G8482" t="str">
        <f>HYPERLINK("https://github.com/CMPUT301W19T11/Atheneum", "show")</f>
        <v>show</v>
      </c>
      <c r="H8482" t="str">
        <f>HYPERLINK("https://github.com/CMPUT301W19T11/Atheneum/releases", "show")</f>
        <v>show</v>
      </c>
      <c r="I8482">
        <v>0</v>
      </c>
      <c r="J8482">
        <v>0</v>
      </c>
      <c r="K8482">
        <v>1</v>
      </c>
      <c r="L8482">
        <v>0</v>
      </c>
      <c r="M8482" t="s">
        <v>122</v>
      </c>
    </row>
    <row r="8483" spans="1:13" hidden="1" x14ac:dyDescent="0.15">
      <c r="A8483" t="s">
        <v>26621</v>
      </c>
      <c r="B8483" t="s">
        <v>26622</v>
      </c>
      <c r="C8483" t="s">
        <v>26623</v>
      </c>
      <c r="D8483" t="s">
        <v>26624</v>
      </c>
      <c r="E8483">
        <v>0</v>
      </c>
      <c r="F8483" t="str">
        <f>HYPERLINK("https://github.com/commons-app/apps-android-commons/issues/2620", "show")</f>
        <v>show</v>
      </c>
      <c r="G8483" t="str">
        <f>HYPERLINK("https://github.com/commons-app/apps-android-commons", "show")</f>
        <v>show</v>
      </c>
      <c r="H8483" t="str">
        <f>HYPERLINK("https://github.com/commons-app/apps-android-commons/releases", "show")</f>
        <v>show</v>
      </c>
      <c r="I8483">
        <v>0</v>
      </c>
      <c r="J8483">
        <v>0</v>
      </c>
      <c r="K8483">
        <v>1</v>
      </c>
      <c r="L8483">
        <v>0</v>
      </c>
      <c r="M8483" t="s">
        <v>122</v>
      </c>
    </row>
    <row r="8484" spans="1:13" hidden="1" x14ac:dyDescent="0.15">
      <c r="A8484" t="s">
        <v>26625</v>
      </c>
      <c r="B8484" t="s">
        <v>26626</v>
      </c>
      <c r="C8484" t="s">
        <v>26627</v>
      </c>
      <c r="D8484" t="s">
        <v>26624</v>
      </c>
      <c r="E8484">
        <v>1</v>
      </c>
      <c r="F8484" t="str">
        <f>HYPERLINK("https://github.com/ElderDrivers/EdXposed/issues/163", "show")</f>
        <v>show</v>
      </c>
      <c r="G8484" t="str">
        <f>HYPERLINK("https://github.com/ElderDrivers/EdXposed", "show")</f>
        <v>show</v>
      </c>
      <c r="H8484" t="str">
        <f>HYPERLINK("https://github.com/ElderDrivers/EdXposed/releases", "show")</f>
        <v>show</v>
      </c>
      <c r="I8484">
        <v>0</v>
      </c>
      <c r="J8484">
        <v>0</v>
      </c>
      <c r="K8484">
        <v>0</v>
      </c>
      <c r="L8484">
        <v>0</v>
      </c>
      <c r="M8484" t="s">
        <v>43</v>
      </c>
    </row>
    <row r="8485" spans="1:13" hidden="1" x14ac:dyDescent="0.15">
      <c r="A8485" t="s">
        <v>26628</v>
      </c>
      <c r="B8485" t="s">
        <v>26629</v>
      </c>
      <c r="C8485" t="s">
        <v>26630</v>
      </c>
      <c r="D8485" t="s">
        <v>26631</v>
      </c>
      <c r="E8485">
        <v>46</v>
      </c>
      <c r="F8485" t="str">
        <f>HYPERLINK("https://github.com/MozillaReality/FirefoxReality/issues/1017", "show")</f>
        <v>show</v>
      </c>
      <c r="G8485" t="str">
        <f>HYPERLINK("https://github.com/MozillaReality/FirefoxReality", "show")</f>
        <v>show</v>
      </c>
      <c r="H8485" t="str">
        <f>HYPERLINK("https://github.com/MozillaReality/FirefoxReality/releases", "show")</f>
        <v>show</v>
      </c>
      <c r="I8485">
        <v>0</v>
      </c>
      <c r="J8485">
        <v>1</v>
      </c>
      <c r="K8485">
        <v>0</v>
      </c>
      <c r="L8485">
        <v>1</v>
      </c>
      <c r="M8485" t="s">
        <v>1732</v>
      </c>
    </row>
    <row r="8486" spans="1:13" hidden="1" x14ac:dyDescent="0.15">
      <c r="A8486" t="s">
        <v>26632</v>
      </c>
      <c r="B8486" t="s">
        <v>26633</v>
      </c>
      <c r="C8486" t="s">
        <v>26634</v>
      </c>
      <c r="D8486" t="s">
        <v>26635</v>
      </c>
      <c r="E8486">
        <v>1</v>
      </c>
      <c r="F8486" t="str">
        <f>HYPERLINK("https://github.com/cgeo/cgeo/issues/7371", "show")</f>
        <v>show</v>
      </c>
      <c r="G8486" t="str">
        <f>HYPERLINK("https://github.com/cgeo/cgeo", "show")</f>
        <v>show</v>
      </c>
      <c r="H8486" t="str">
        <f>HYPERLINK("https://github.com/cgeo/cgeo/releases", "show")</f>
        <v>show</v>
      </c>
      <c r="I8486">
        <v>1</v>
      </c>
      <c r="J8486">
        <v>1</v>
      </c>
      <c r="K8486">
        <v>0</v>
      </c>
      <c r="L8486">
        <v>0</v>
      </c>
      <c r="M8486" t="s">
        <v>48</v>
      </c>
    </row>
    <row r="8487" spans="1:13" hidden="1" x14ac:dyDescent="0.15">
      <c r="A8487" t="s">
        <v>26636</v>
      </c>
      <c r="B8487" t="s">
        <v>26637</v>
      </c>
      <c r="C8487" t="s">
        <v>26638</v>
      </c>
      <c r="D8487" t="s">
        <v>26635</v>
      </c>
      <c r="E8487">
        <v>193</v>
      </c>
      <c r="F8487" t="str">
        <f>HYPERLINK("https://github.com/cgeo/cgeo/issues/7369", "show")</f>
        <v>show</v>
      </c>
      <c r="G8487" t="str">
        <f>HYPERLINK("https://github.com/cgeo/cgeo", "show")</f>
        <v>show</v>
      </c>
      <c r="H8487" t="str">
        <f>HYPERLINK("https://github.com/cgeo/cgeo/releases", "show")</f>
        <v>show</v>
      </c>
      <c r="I8487">
        <v>1</v>
      </c>
      <c r="J8487">
        <v>1</v>
      </c>
      <c r="K8487">
        <v>0</v>
      </c>
      <c r="L8487">
        <v>0</v>
      </c>
      <c r="M8487" t="s">
        <v>48</v>
      </c>
    </row>
    <row r="8488" spans="1:13" hidden="1" x14ac:dyDescent="0.15">
      <c r="A8488" t="s">
        <v>26639</v>
      </c>
      <c r="B8488" t="s">
        <v>26640</v>
      </c>
      <c r="C8488" t="s">
        <v>26641</v>
      </c>
      <c r="D8488" t="s">
        <v>26635</v>
      </c>
      <c r="E8488">
        <v>53</v>
      </c>
      <c r="F8488" t="str">
        <f>HYPERLINK("https://github.com/commons-app/apps-android-commons/issues/2585", "show")</f>
        <v>show</v>
      </c>
      <c r="G8488" t="str">
        <f>HYPERLINK("https://github.com/commons-app/apps-android-commons", "show")</f>
        <v>show</v>
      </c>
      <c r="H8488" t="str">
        <f>HYPERLINK("https://github.com/commons-app/apps-android-commons/releases", "show")</f>
        <v>show</v>
      </c>
      <c r="I8488">
        <v>1</v>
      </c>
      <c r="J8488">
        <v>0</v>
      </c>
      <c r="K8488">
        <v>1</v>
      </c>
      <c r="L8488">
        <v>0</v>
      </c>
      <c r="M8488" t="s">
        <v>64</v>
      </c>
    </row>
    <row r="8489" spans="1:13" hidden="1" x14ac:dyDescent="0.15">
      <c r="A8489" t="s">
        <v>26642</v>
      </c>
      <c r="B8489" t="s">
        <v>26643</v>
      </c>
      <c r="C8489" t="s">
        <v>26644</v>
      </c>
      <c r="D8489" t="s">
        <v>26645</v>
      </c>
      <c r="E8489">
        <v>4</v>
      </c>
      <c r="F8489" t="str">
        <f>HYPERLINK("https://github.com/CMPUT301W19T11/Atheneum/issues/126", "show")</f>
        <v>show</v>
      </c>
      <c r="G8489" t="str">
        <f>HYPERLINK("https://github.com/CMPUT301W19T11/Atheneum", "show")</f>
        <v>show</v>
      </c>
      <c r="H8489" t="str">
        <f>HYPERLINK("https://github.com/CMPUT301W19T11/Atheneum/releases", "show")</f>
        <v>show</v>
      </c>
      <c r="I8489">
        <v>1</v>
      </c>
      <c r="J8489">
        <v>1</v>
      </c>
      <c r="K8489">
        <v>0</v>
      </c>
      <c r="L8489">
        <v>0</v>
      </c>
      <c r="M8489" t="s">
        <v>48</v>
      </c>
    </row>
    <row r="8490" spans="1:13" hidden="1" x14ac:dyDescent="0.15">
      <c r="A8490" t="s">
        <v>26646</v>
      </c>
      <c r="B8490" t="s">
        <v>26647</v>
      </c>
      <c r="C8490" t="s">
        <v>26648</v>
      </c>
      <c r="D8490" t="s">
        <v>26645</v>
      </c>
      <c r="E8490">
        <v>24</v>
      </c>
      <c r="F8490" t="str">
        <f>HYPERLINK("https://github.com/fletchy95/Agrivolution/issues/34", "show")</f>
        <v>show</v>
      </c>
      <c r="G8490" t="str">
        <f>HYPERLINK("https://github.com/fletchy95/Agrivolution", "show")</f>
        <v>show</v>
      </c>
      <c r="H8490" t="str">
        <f>HYPERLINK("https://github.com/fletchy95/Agrivolution/releases", "show")</f>
        <v>show</v>
      </c>
      <c r="I8490">
        <v>1</v>
      </c>
      <c r="J8490">
        <v>0</v>
      </c>
      <c r="K8490">
        <v>0</v>
      </c>
      <c r="L8490">
        <v>0</v>
      </c>
      <c r="M8490" t="s">
        <v>17</v>
      </c>
    </row>
    <row r="8491" spans="1:13" hidden="1" x14ac:dyDescent="0.15">
      <c r="A8491" t="s">
        <v>26649</v>
      </c>
      <c r="B8491" t="s">
        <v>26650</v>
      </c>
      <c r="C8491" t="s">
        <v>26651</v>
      </c>
      <c r="D8491" t="s">
        <v>26645</v>
      </c>
      <c r="E8491">
        <v>422</v>
      </c>
      <c r="F8491" t="str">
        <f>HYPERLINK("https://github.com/gentlecat/counter/issues/70", "show")</f>
        <v>show</v>
      </c>
      <c r="G8491" t="str">
        <f>HYPERLINK("https://github.com/gentlecat/counter", "show")</f>
        <v>show</v>
      </c>
      <c r="H8491" t="str">
        <f>HYPERLINK("https://github.com/gentlecat/counter/releases", "show")</f>
        <v>show</v>
      </c>
      <c r="I8491">
        <v>1</v>
      </c>
      <c r="J8491">
        <v>0</v>
      </c>
      <c r="K8491">
        <v>0</v>
      </c>
      <c r="L8491">
        <v>0</v>
      </c>
      <c r="M8491" t="s">
        <v>17</v>
      </c>
    </row>
    <row r="8492" spans="1:13" hidden="1" x14ac:dyDescent="0.15">
      <c r="A8492" t="s">
        <v>26652</v>
      </c>
      <c r="B8492" t="s">
        <v>26653</v>
      </c>
      <c r="C8492" t="s">
        <v>26654</v>
      </c>
      <c r="D8492" t="s">
        <v>26655</v>
      </c>
      <c r="E8492">
        <v>1</v>
      </c>
      <c r="F8492" t="str">
        <f>HYPERLINK("https://github.com/CMPUT301W19T11/Atheneum/issues/123", "show")</f>
        <v>show</v>
      </c>
      <c r="G8492" t="str">
        <f>HYPERLINK("https://github.com/CMPUT301W19T11/Atheneum", "show")</f>
        <v>show</v>
      </c>
      <c r="H8492" t="str">
        <f>HYPERLINK("https://github.com/CMPUT301W19T11/Atheneum/releases", "show")</f>
        <v>show</v>
      </c>
      <c r="I8492">
        <v>1</v>
      </c>
      <c r="J8492">
        <v>1</v>
      </c>
      <c r="K8492">
        <v>1</v>
      </c>
      <c r="L8492">
        <v>0</v>
      </c>
      <c r="M8492" t="s">
        <v>59</v>
      </c>
    </row>
    <row r="8493" spans="1:13" hidden="1" x14ac:dyDescent="0.15">
      <c r="A8493" t="s">
        <v>26656</v>
      </c>
      <c r="B8493" t="s">
        <v>26657</v>
      </c>
      <c r="C8493" t="s">
        <v>26658</v>
      </c>
      <c r="D8493" t="s">
        <v>26655</v>
      </c>
      <c r="E8493">
        <v>1</v>
      </c>
      <c r="F8493" t="str">
        <f>HYPERLINK("https://github.com/CMPUT301W19T11/Atheneum/issues/122", "show")</f>
        <v>show</v>
      </c>
      <c r="G8493" t="str">
        <f>HYPERLINK("https://github.com/CMPUT301W19T11/Atheneum", "show")</f>
        <v>show</v>
      </c>
      <c r="H8493" t="str">
        <f>HYPERLINK("https://github.com/CMPUT301W19T11/Atheneum/releases", "show")</f>
        <v>show</v>
      </c>
      <c r="I8493">
        <v>1</v>
      </c>
      <c r="J8493">
        <v>1</v>
      </c>
      <c r="K8493">
        <v>1</v>
      </c>
      <c r="L8493">
        <v>0</v>
      </c>
      <c r="M8493" t="s">
        <v>59</v>
      </c>
    </row>
    <row r="8494" spans="1:13" hidden="1" x14ac:dyDescent="0.15">
      <c r="A8494" t="s">
        <v>26659</v>
      </c>
      <c r="B8494" t="s">
        <v>26660</v>
      </c>
      <c r="C8494" t="s">
        <v>26661</v>
      </c>
      <c r="D8494" t="s">
        <v>26655</v>
      </c>
      <c r="E8494">
        <v>6</v>
      </c>
      <c r="F8494" t="str">
        <f>HYPERLINK("https://github.com/dashevo/dash-wallet/issues/187", "show")</f>
        <v>show</v>
      </c>
      <c r="G8494" t="str">
        <f>HYPERLINK("https://github.com/dashevo/dash-wallet", "show")</f>
        <v>show</v>
      </c>
      <c r="H8494" t="str">
        <f>HYPERLINK("https://github.com/dashevo/dash-wallet/releases", "show")</f>
        <v>show</v>
      </c>
      <c r="I8494">
        <v>1</v>
      </c>
      <c r="J8494">
        <v>0</v>
      </c>
      <c r="K8494">
        <v>0</v>
      </c>
      <c r="L8494">
        <v>0</v>
      </c>
      <c r="M8494" t="s">
        <v>17</v>
      </c>
    </row>
    <row r="8495" spans="1:13" hidden="1" x14ac:dyDescent="0.15">
      <c r="A8495" t="s">
        <v>26662</v>
      </c>
      <c r="B8495" t="s">
        <v>26663</v>
      </c>
      <c r="C8495" t="s">
        <v>26664</v>
      </c>
      <c r="D8495" t="s">
        <v>26655</v>
      </c>
      <c r="E8495">
        <v>482</v>
      </c>
      <c r="F8495" t="str">
        <f>HYPERLINK("https://github.com/amahi/android/issues/440", "show")</f>
        <v>show</v>
      </c>
      <c r="G8495" t="str">
        <f>HYPERLINK("https://github.com/amahi/android", "show")</f>
        <v>show</v>
      </c>
      <c r="H8495" t="str">
        <f>HYPERLINK("https://github.com/amahi/android/releases", "show")</f>
        <v>show</v>
      </c>
      <c r="I8495">
        <v>1</v>
      </c>
      <c r="J8495">
        <v>0</v>
      </c>
      <c r="K8495">
        <v>0</v>
      </c>
      <c r="L8495">
        <v>1</v>
      </c>
      <c r="M8495" t="s">
        <v>29</v>
      </c>
    </row>
    <row r="8496" spans="1:13" hidden="1" x14ac:dyDescent="0.15">
      <c r="A8496" t="s">
        <v>26665</v>
      </c>
      <c r="B8496" t="s">
        <v>26666</v>
      </c>
      <c r="C8496" t="s">
        <v>26667</v>
      </c>
      <c r="D8496" t="s">
        <v>26655</v>
      </c>
      <c r="E8496">
        <v>0</v>
      </c>
      <c r="F8496" t="str">
        <f>HYPERLINK("https://github.com/Resilience-ASU/ActivityLog-Android/issues/1", "show")</f>
        <v>show</v>
      </c>
      <c r="G8496" t="str">
        <f>HYPERLINK("https://github.com/Resilience-ASU/ActivityLog-Android", "show")</f>
        <v>show</v>
      </c>
      <c r="H8496" t="str">
        <f>HYPERLINK("https://github.com/Resilience-ASU/ActivityLog-Android/releases", "show")</f>
        <v>show</v>
      </c>
      <c r="I8496">
        <v>1</v>
      </c>
      <c r="J8496">
        <v>0</v>
      </c>
      <c r="K8496">
        <v>0</v>
      </c>
      <c r="L8496">
        <v>0</v>
      </c>
      <c r="M8496" t="s">
        <v>17</v>
      </c>
    </row>
    <row r="8497" spans="1:13" hidden="1" x14ac:dyDescent="0.15">
      <c r="A8497" t="s">
        <v>26668</v>
      </c>
      <c r="B8497" t="s">
        <v>26669</v>
      </c>
      <c r="C8497" t="s">
        <v>26670</v>
      </c>
      <c r="D8497" t="s">
        <v>26655</v>
      </c>
      <c r="E8497">
        <v>3</v>
      </c>
      <c r="F8497" t="str">
        <f>HYPERLINK("https://github.com/commons-app/apps-android-commons/issues/2580", "show")</f>
        <v>show</v>
      </c>
      <c r="G8497" t="str">
        <f>HYPERLINK("https://github.com/commons-app/apps-android-commons", "show")</f>
        <v>show</v>
      </c>
      <c r="H8497" t="str">
        <f>HYPERLINK("https://github.com/commons-app/apps-android-commons/releases", "show")</f>
        <v>show</v>
      </c>
      <c r="I8497">
        <v>0</v>
      </c>
      <c r="J8497">
        <v>0</v>
      </c>
      <c r="K8497">
        <v>1</v>
      </c>
      <c r="L8497">
        <v>0</v>
      </c>
      <c r="M8497" t="s">
        <v>122</v>
      </c>
    </row>
    <row r="8498" spans="1:13" hidden="1" x14ac:dyDescent="0.15">
      <c r="A8498" t="s">
        <v>26671</v>
      </c>
      <c r="B8498" t="s">
        <v>26672</v>
      </c>
      <c r="C8498" t="s">
        <v>26673</v>
      </c>
      <c r="D8498" t="s">
        <v>26655</v>
      </c>
      <c r="E8498">
        <v>6</v>
      </c>
      <c r="F8498" t="str">
        <f>HYPERLINK("https://github.com/named-data-mobile/ndn-photo-app/issues/107", "show")</f>
        <v>show</v>
      </c>
      <c r="G8498" t="str">
        <f>HYPERLINK("https://github.com/named-data-mobile/ndn-photo-app", "show")</f>
        <v>show</v>
      </c>
      <c r="H8498" t="str">
        <f>HYPERLINK("https://github.com/named-data-mobile/ndn-photo-app/releases", "show")</f>
        <v>show</v>
      </c>
      <c r="I8498">
        <v>1</v>
      </c>
      <c r="J8498">
        <v>0</v>
      </c>
      <c r="K8498">
        <v>1</v>
      </c>
      <c r="L8498">
        <v>0</v>
      </c>
      <c r="M8498" t="s">
        <v>64</v>
      </c>
    </row>
    <row r="8499" spans="1:13" hidden="1" x14ac:dyDescent="0.15">
      <c r="A8499" t="s">
        <v>26674</v>
      </c>
      <c r="B8499" t="s">
        <v>26675</v>
      </c>
      <c r="C8499" t="s">
        <v>504</v>
      </c>
      <c r="D8499" t="s">
        <v>26655</v>
      </c>
      <c r="E8499">
        <v>0</v>
      </c>
      <c r="F8499" t="str">
        <f>HYPERLINK("https://github.com/itachi1706/SingBuses/issues/160", "show")</f>
        <v>show</v>
      </c>
      <c r="G8499" t="str">
        <f>HYPERLINK("https://github.com/itachi1706/SingBuses", "show")</f>
        <v>show</v>
      </c>
      <c r="H8499" t="str">
        <f>HYPERLINK("https://github.com/itachi1706/SingBuses/releases", "show")</f>
        <v>show</v>
      </c>
      <c r="I8499">
        <v>1</v>
      </c>
      <c r="J8499">
        <v>0</v>
      </c>
      <c r="K8499">
        <v>0</v>
      </c>
      <c r="L8499">
        <v>0</v>
      </c>
      <c r="M8499" t="s">
        <v>17</v>
      </c>
    </row>
    <row r="8500" spans="1:13" hidden="1" x14ac:dyDescent="0.15">
      <c r="A8500" t="s">
        <v>26676</v>
      </c>
      <c r="B8500" t="s">
        <v>26677</v>
      </c>
      <c r="D8500" t="s">
        <v>26655</v>
      </c>
      <c r="E8500">
        <v>1</v>
      </c>
      <c r="F8500" t="str">
        <f>HYPERLINK("https://github.com/hzi-braunschweig/SORMAS-Project/issues/996", "show")</f>
        <v>show</v>
      </c>
      <c r="G8500" t="str">
        <f>HYPERLINK("https://github.com/hzi-braunschweig/SORMAS-Project", "show")</f>
        <v>show</v>
      </c>
      <c r="H8500" t="str">
        <f>HYPERLINK("https://github.com/hzi-braunschweig/SORMAS-Project/releases", "show")</f>
        <v>show</v>
      </c>
      <c r="I8500">
        <v>0</v>
      </c>
      <c r="J8500">
        <v>0</v>
      </c>
      <c r="K8500">
        <v>0</v>
      </c>
      <c r="L8500">
        <v>0</v>
      </c>
      <c r="M8500" t="s">
        <v>43</v>
      </c>
    </row>
    <row r="8501" spans="1:13" hidden="1" x14ac:dyDescent="0.15">
      <c r="A8501" t="s">
        <v>26678</v>
      </c>
      <c r="B8501" t="s">
        <v>26679</v>
      </c>
      <c r="C8501" t="s">
        <v>26680</v>
      </c>
      <c r="D8501" t="s">
        <v>26655</v>
      </c>
      <c r="E8501">
        <v>153</v>
      </c>
      <c r="F8501" t="str">
        <f>HYPERLINK("https://github.com/awslabs/aws-mobile-appsync-sdk-android/issues/129", "show")</f>
        <v>show</v>
      </c>
      <c r="G8501" t="str">
        <f>HYPERLINK("https://github.com/awslabs/aws-mobile-appsync-sdk-android", "show")</f>
        <v>show</v>
      </c>
      <c r="H8501" t="str">
        <f>HYPERLINK("https://github.com/awslabs/aws-mobile-appsync-sdk-android/releases", "show")</f>
        <v>show</v>
      </c>
      <c r="I8501">
        <v>1</v>
      </c>
      <c r="J8501">
        <v>1</v>
      </c>
      <c r="K8501">
        <v>0</v>
      </c>
      <c r="L8501">
        <v>0</v>
      </c>
      <c r="M8501" t="s">
        <v>48</v>
      </c>
    </row>
    <row r="8502" spans="1:13" hidden="1" x14ac:dyDescent="0.15">
      <c r="A8502" t="s">
        <v>26681</v>
      </c>
      <c r="B8502" t="s">
        <v>26682</v>
      </c>
      <c r="C8502" t="s">
        <v>26683</v>
      </c>
      <c r="D8502" t="s">
        <v>26684</v>
      </c>
      <c r="E8502">
        <v>0</v>
      </c>
      <c r="F8502" t="str">
        <f>HYPERLINK("https://github.com/jonathonbauer/watched/issues/53", "show")</f>
        <v>show</v>
      </c>
      <c r="G8502" t="str">
        <f>HYPERLINK("https://github.com/jonathonbauer/watched", "show")</f>
        <v>show</v>
      </c>
      <c r="H8502" t="str">
        <f>HYPERLINK("https://github.com/jonathonbauer/watched/releases", "show")</f>
        <v>show</v>
      </c>
      <c r="I8502">
        <v>1</v>
      </c>
      <c r="J8502">
        <v>0</v>
      </c>
      <c r="K8502">
        <v>0</v>
      </c>
      <c r="L8502">
        <v>0</v>
      </c>
      <c r="M8502" t="s">
        <v>17</v>
      </c>
    </row>
    <row r="8503" spans="1:13" hidden="1" x14ac:dyDescent="0.15">
      <c r="A8503" t="s">
        <v>26685</v>
      </c>
      <c r="B8503" t="s">
        <v>20649</v>
      </c>
      <c r="C8503" t="s">
        <v>26686</v>
      </c>
      <c r="D8503" t="s">
        <v>26684</v>
      </c>
      <c r="E8503">
        <v>3</v>
      </c>
      <c r="F8503" t="str">
        <f>HYPERLINK("https://github.com/nextcloud/android/issues/3739", "show")</f>
        <v>show</v>
      </c>
      <c r="G8503" t="str">
        <f>HYPERLINK("https://github.com/nextcloud/android", "show")</f>
        <v>show</v>
      </c>
      <c r="H8503" t="str">
        <f>HYPERLINK("https://github.com/nextcloud/android/releases", "show")</f>
        <v>show</v>
      </c>
      <c r="I8503">
        <v>1</v>
      </c>
      <c r="J8503">
        <v>1</v>
      </c>
      <c r="K8503">
        <v>1</v>
      </c>
      <c r="L8503">
        <v>0</v>
      </c>
      <c r="M8503" t="s">
        <v>59</v>
      </c>
    </row>
    <row r="8504" spans="1:13" hidden="1" x14ac:dyDescent="0.15">
      <c r="A8504" t="s">
        <v>26687</v>
      </c>
      <c r="B8504" t="s">
        <v>26688</v>
      </c>
      <c r="C8504" t="s">
        <v>26689</v>
      </c>
      <c r="D8504" t="s">
        <v>26690</v>
      </c>
      <c r="E8504">
        <v>1</v>
      </c>
      <c r="F8504" t="str">
        <f>HYPERLINK("https://github.com/deltachat/deltachat-android/issues/762", "show")</f>
        <v>show</v>
      </c>
      <c r="G8504" t="str">
        <f>HYPERLINK("https://github.com/deltachat/deltachat-android", "show")</f>
        <v>show</v>
      </c>
      <c r="H8504" t="str">
        <f>HYPERLINK("https://github.com/deltachat/deltachat-android/releases", "show")</f>
        <v>show</v>
      </c>
      <c r="I8504">
        <v>0</v>
      </c>
      <c r="J8504">
        <v>0</v>
      </c>
      <c r="K8504">
        <v>0</v>
      </c>
      <c r="L8504">
        <v>0</v>
      </c>
      <c r="M8504" t="s">
        <v>43</v>
      </c>
    </row>
    <row r="8505" spans="1:13" hidden="1" x14ac:dyDescent="0.15">
      <c r="A8505" t="s">
        <v>26691</v>
      </c>
      <c r="B8505" t="s">
        <v>26692</v>
      </c>
      <c r="C8505" t="s">
        <v>26693</v>
      </c>
      <c r="D8505" t="s">
        <v>26694</v>
      </c>
      <c r="E8505">
        <v>0</v>
      </c>
      <c r="F8505" t="str">
        <f>HYPERLINK("https://github.com/CMPUT301W19T11/Atheneum/issues/98", "show")</f>
        <v>show</v>
      </c>
      <c r="G8505" t="str">
        <f>HYPERLINK("https://github.com/CMPUT301W19T11/Atheneum", "show")</f>
        <v>show</v>
      </c>
      <c r="H8505" t="str">
        <f>HYPERLINK("https://github.com/CMPUT301W19T11/Atheneum/releases", "show")</f>
        <v>show</v>
      </c>
      <c r="I8505">
        <v>1</v>
      </c>
      <c r="J8505">
        <v>1</v>
      </c>
      <c r="K8505">
        <v>0</v>
      </c>
      <c r="L8505">
        <v>0</v>
      </c>
      <c r="M8505" t="s">
        <v>48</v>
      </c>
    </row>
    <row r="8506" spans="1:13" hidden="1" x14ac:dyDescent="0.15">
      <c r="A8506" t="s">
        <v>26695</v>
      </c>
      <c r="B8506" t="s">
        <v>26696</v>
      </c>
      <c r="C8506" t="s">
        <v>26697</v>
      </c>
      <c r="D8506" t="s">
        <v>26698</v>
      </c>
      <c r="E8506">
        <v>290</v>
      </c>
      <c r="F8506" t="str">
        <f>HYPERLINK("https://github.com/square/okhttp/issues/4699", "show")</f>
        <v>show</v>
      </c>
      <c r="G8506" t="str">
        <f>HYPERLINK("https://github.com/square/okhttp", "show")</f>
        <v>show</v>
      </c>
      <c r="H8506" t="str">
        <f>HYPERLINK("https://github.com/square/okhttp/releases", "show")</f>
        <v>show</v>
      </c>
      <c r="I8506">
        <v>1</v>
      </c>
      <c r="J8506">
        <v>1</v>
      </c>
      <c r="K8506">
        <v>0</v>
      </c>
      <c r="L8506">
        <v>0</v>
      </c>
      <c r="M8506" t="s">
        <v>48</v>
      </c>
    </row>
    <row r="8507" spans="1:13" hidden="1" x14ac:dyDescent="0.15">
      <c r="A8507" t="s">
        <v>26699</v>
      </c>
      <c r="B8507" t="s">
        <v>26700</v>
      </c>
      <c r="C8507" t="s">
        <v>26701</v>
      </c>
      <c r="D8507" t="s">
        <v>26698</v>
      </c>
      <c r="E8507">
        <v>52</v>
      </c>
      <c r="F8507" t="str">
        <f>HYPERLINK("https://github.com/aws-amplify/aws-sdk-android/issues/773", "show")</f>
        <v>show</v>
      </c>
      <c r="G8507" t="str">
        <f>HYPERLINK("https://github.com/aws-amplify/aws-sdk-android", "show")</f>
        <v>show</v>
      </c>
      <c r="H8507" t="str">
        <f>HYPERLINK("https://github.com/aws-amplify/aws-sdk-android/releases", "show")</f>
        <v>show</v>
      </c>
      <c r="I8507">
        <v>1</v>
      </c>
      <c r="J8507">
        <v>0</v>
      </c>
      <c r="K8507">
        <v>0</v>
      </c>
      <c r="L8507">
        <v>0</v>
      </c>
      <c r="M8507" t="s">
        <v>17</v>
      </c>
    </row>
    <row r="8508" spans="1:13" hidden="1" x14ac:dyDescent="0.15">
      <c r="A8508" t="s">
        <v>26702</v>
      </c>
      <c r="B8508" t="s">
        <v>26703</v>
      </c>
      <c r="C8508" t="s">
        <v>26704</v>
      </c>
      <c r="D8508" t="s">
        <v>26698</v>
      </c>
      <c r="E8508">
        <v>3</v>
      </c>
      <c r="F8508" t="str">
        <f>HYPERLINK("https://github.com/square/okhttp/issues/4697", "show")</f>
        <v>show</v>
      </c>
      <c r="G8508" t="str">
        <f>HYPERLINK("https://github.com/square/okhttp", "show")</f>
        <v>show</v>
      </c>
      <c r="H8508" t="str">
        <f>HYPERLINK("https://github.com/square/okhttp/releases", "show")</f>
        <v>show</v>
      </c>
      <c r="I8508">
        <v>1</v>
      </c>
      <c r="J8508">
        <v>0</v>
      </c>
      <c r="K8508">
        <v>1</v>
      </c>
      <c r="L8508">
        <v>0</v>
      </c>
      <c r="M8508" t="s">
        <v>64</v>
      </c>
    </row>
    <row r="8509" spans="1:13" hidden="1" x14ac:dyDescent="0.15">
      <c r="A8509" t="s">
        <v>26705</v>
      </c>
      <c r="B8509" t="s">
        <v>26706</v>
      </c>
      <c r="C8509" t="s">
        <v>26707</v>
      </c>
      <c r="D8509" t="s">
        <v>26698</v>
      </c>
      <c r="E8509">
        <v>0</v>
      </c>
      <c r="F8509" t="str">
        <f>HYPERLINK("https://github.com/CMPUT301W19T11/Atheneum/issues/93", "show")</f>
        <v>show</v>
      </c>
      <c r="G8509" t="str">
        <f>HYPERLINK("https://github.com/CMPUT301W19T11/Atheneum", "show")</f>
        <v>show</v>
      </c>
      <c r="H8509" t="str">
        <f>HYPERLINK("https://github.com/CMPUT301W19T11/Atheneum/releases", "show")</f>
        <v>show</v>
      </c>
      <c r="I8509">
        <v>1</v>
      </c>
      <c r="J8509">
        <v>0</v>
      </c>
      <c r="K8509">
        <v>1</v>
      </c>
      <c r="L8509">
        <v>0</v>
      </c>
      <c r="M8509" t="s">
        <v>64</v>
      </c>
    </row>
    <row r="8510" spans="1:13" hidden="1" x14ac:dyDescent="0.15">
      <c r="A8510" t="s">
        <v>26708</v>
      </c>
      <c r="B8510" t="s">
        <v>26709</v>
      </c>
      <c r="C8510" t="s">
        <v>26710</v>
      </c>
      <c r="D8510" t="s">
        <v>26711</v>
      </c>
      <c r="E8510">
        <v>15</v>
      </c>
      <c r="F8510" t="str">
        <f>HYPERLINK("https://github.com/named-data-mobile/ndn-photo-app/issues/85", "show")</f>
        <v>show</v>
      </c>
      <c r="G8510" t="str">
        <f>HYPERLINK("https://github.com/named-data-mobile/ndn-photo-app", "show")</f>
        <v>show</v>
      </c>
      <c r="H8510" t="str">
        <f>HYPERLINK("https://github.com/named-data-mobile/ndn-photo-app/releases", "show")</f>
        <v>show</v>
      </c>
      <c r="I8510">
        <v>1</v>
      </c>
      <c r="J8510">
        <v>0</v>
      </c>
      <c r="K8510">
        <v>0</v>
      </c>
      <c r="L8510">
        <v>0</v>
      </c>
      <c r="M8510" t="s">
        <v>17</v>
      </c>
    </row>
    <row r="8511" spans="1:13" hidden="1" x14ac:dyDescent="0.15">
      <c r="A8511" t="s">
        <v>26712</v>
      </c>
      <c r="B8511" t="s">
        <v>26713</v>
      </c>
      <c r="C8511" t="s">
        <v>26714</v>
      </c>
      <c r="D8511" t="s">
        <v>26711</v>
      </c>
      <c r="E8511">
        <v>37</v>
      </c>
      <c r="F8511" t="str">
        <f>HYPERLINK("https://github.com/square/okhttp/issues/4691", "show")</f>
        <v>show</v>
      </c>
      <c r="G8511" t="str">
        <f>HYPERLINK("https://github.com/square/okhttp", "show")</f>
        <v>show</v>
      </c>
      <c r="H8511" t="str">
        <f>HYPERLINK("https://github.com/square/okhttp/releases", "show")</f>
        <v>show</v>
      </c>
      <c r="I8511">
        <v>1</v>
      </c>
      <c r="J8511">
        <v>0</v>
      </c>
      <c r="K8511">
        <v>1</v>
      </c>
      <c r="L8511">
        <v>0</v>
      </c>
      <c r="M8511" t="s">
        <v>64</v>
      </c>
    </row>
    <row r="8512" spans="1:13" hidden="1" x14ac:dyDescent="0.15">
      <c r="A8512" t="s">
        <v>26715</v>
      </c>
      <c r="B8512" t="s">
        <v>26716</v>
      </c>
      <c r="C8512" t="s">
        <v>26717</v>
      </c>
      <c r="D8512" t="s">
        <v>26711</v>
      </c>
      <c r="E8512">
        <v>333</v>
      </c>
      <c r="F8512" t="str">
        <f>HYPERLINK("https://github.com/scottyab/rootbeer/issues/92", "show")</f>
        <v>show</v>
      </c>
      <c r="G8512" t="str">
        <f>HYPERLINK("https://github.com/scottyab/rootbeer", "show")</f>
        <v>show</v>
      </c>
      <c r="H8512" t="str">
        <f>HYPERLINK("https://github.com/scottyab/rootbeer/releases", "show")</f>
        <v>show</v>
      </c>
      <c r="I8512">
        <v>1</v>
      </c>
      <c r="J8512">
        <v>0</v>
      </c>
      <c r="K8512">
        <v>1</v>
      </c>
      <c r="L8512">
        <v>0</v>
      </c>
      <c r="M8512" t="s">
        <v>64</v>
      </c>
    </row>
    <row r="8513" spans="1:13" hidden="1" x14ac:dyDescent="0.15">
      <c r="A8513" t="s">
        <v>26718</v>
      </c>
      <c r="B8513" t="s">
        <v>26719</v>
      </c>
      <c r="C8513" t="s">
        <v>26720</v>
      </c>
      <c r="D8513" t="s">
        <v>26721</v>
      </c>
      <c r="E8513">
        <v>1</v>
      </c>
      <c r="F8513" t="str">
        <f>HYPERLINK("https://github.com/murilloves/musician-react-native-app/issues/20", "show")</f>
        <v>show</v>
      </c>
      <c r="G8513" t="str">
        <f>HYPERLINK("https://github.com/murilloves/musician-react-native-app", "show")</f>
        <v>show</v>
      </c>
      <c r="H8513" t="str">
        <f>HYPERLINK("https://github.com/murilloves/musician-react-native-app/releases", "show")</f>
        <v>show</v>
      </c>
      <c r="I8513">
        <v>0</v>
      </c>
      <c r="J8513">
        <v>0</v>
      </c>
      <c r="K8513">
        <v>0</v>
      </c>
      <c r="L8513">
        <v>0</v>
      </c>
      <c r="M8513" t="s">
        <v>43</v>
      </c>
    </row>
    <row r="8514" spans="1:13" hidden="1" x14ac:dyDescent="0.15">
      <c r="A8514" t="s">
        <v>26722</v>
      </c>
      <c r="B8514" t="s">
        <v>26723</v>
      </c>
      <c r="C8514" t="s">
        <v>26724</v>
      </c>
      <c r="D8514" t="s">
        <v>26721</v>
      </c>
      <c r="E8514">
        <v>13</v>
      </c>
      <c r="F8514" t="str">
        <f>HYPERLINK("https://github.com/ElderDrivers/EdXposed/issues/131", "show")</f>
        <v>show</v>
      </c>
      <c r="G8514" t="str">
        <f>HYPERLINK("https://github.com/ElderDrivers/EdXposed", "show")</f>
        <v>show</v>
      </c>
      <c r="H8514" t="str">
        <f>HYPERLINK("https://github.com/ElderDrivers/EdXposed/releases", "show")</f>
        <v>show</v>
      </c>
      <c r="I8514">
        <v>0</v>
      </c>
      <c r="J8514">
        <v>0</v>
      </c>
      <c r="K8514">
        <v>0</v>
      </c>
      <c r="L8514">
        <v>0</v>
      </c>
      <c r="M8514" t="s">
        <v>43</v>
      </c>
    </row>
    <row r="8515" spans="1:13" hidden="1" x14ac:dyDescent="0.15">
      <c r="A8515" t="s">
        <v>26725</v>
      </c>
      <c r="B8515" t="s">
        <v>26726</v>
      </c>
      <c r="C8515" t="s">
        <v>26727</v>
      </c>
      <c r="D8515" t="s">
        <v>26728</v>
      </c>
      <c r="E8515">
        <v>0</v>
      </c>
      <c r="F8515" t="str">
        <f>HYPERLINK("https://github.com/CMPUT301W19T11/Atheneum/issues/69", "show")</f>
        <v>show</v>
      </c>
      <c r="G8515" t="str">
        <f>HYPERLINK("https://github.com/CMPUT301W19T11/Atheneum", "show")</f>
        <v>show</v>
      </c>
      <c r="H8515" t="str">
        <f>HYPERLINK("https://github.com/CMPUT301W19T11/Atheneum/releases", "show")</f>
        <v>show</v>
      </c>
      <c r="I8515">
        <v>1</v>
      </c>
      <c r="J8515">
        <v>0</v>
      </c>
      <c r="K8515">
        <v>1</v>
      </c>
      <c r="L8515">
        <v>0</v>
      </c>
      <c r="M8515" t="s">
        <v>64</v>
      </c>
    </row>
    <row r="8516" spans="1:13" hidden="1" x14ac:dyDescent="0.15">
      <c r="A8516" t="s">
        <v>26729</v>
      </c>
      <c r="B8516" t="s">
        <v>26730</v>
      </c>
      <c r="C8516" t="s">
        <v>26731</v>
      </c>
      <c r="D8516" t="s">
        <v>26728</v>
      </c>
      <c r="E8516">
        <v>14</v>
      </c>
      <c r="F8516" t="str">
        <f>HYPERLINK("https://github.com/inaturalist/iNaturalistAndroid/issues/636", "show")</f>
        <v>show</v>
      </c>
      <c r="G8516" t="str">
        <f>HYPERLINK("https://github.com/inaturalist/iNaturalistAndroid", "show")</f>
        <v>show</v>
      </c>
      <c r="H8516" t="str">
        <f>HYPERLINK("https://github.com/inaturalist/iNaturalistAndroid/releases", "show")</f>
        <v>show</v>
      </c>
      <c r="I8516">
        <v>0</v>
      </c>
      <c r="J8516">
        <v>0</v>
      </c>
      <c r="K8516">
        <v>1</v>
      </c>
      <c r="L8516">
        <v>0</v>
      </c>
      <c r="M8516" t="s">
        <v>122</v>
      </c>
    </row>
    <row r="8517" spans="1:13" hidden="1" x14ac:dyDescent="0.15">
      <c r="A8517" t="s">
        <v>26732</v>
      </c>
      <c r="B8517" t="s">
        <v>26733</v>
      </c>
      <c r="C8517" t="s">
        <v>26734</v>
      </c>
      <c r="D8517" t="s">
        <v>26735</v>
      </c>
      <c r="E8517">
        <v>4</v>
      </c>
      <c r="F8517" t="str">
        <f>HYPERLINK("https://github.com/MCMrARM/revolution-irc/issues/201", "show")</f>
        <v>show</v>
      </c>
      <c r="G8517" t="str">
        <f>HYPERLINK("https://github.com/MCMrARM/revolution-irc", "show")</f>
        <v>show</v>
      </c>
      <c r="H8517" t="str">
        <f>HYPERLINK("https://github.com/MCMrARM/revolution-irc/releases", "show")</f>
        <v>show</v>
      </c>
      <c r="I8517">
        <v>1</v>
      </c>
      <c r="J8517">
        <v>1</v>
      </c>
      <c r="K8517">
        <v>0</v>
      </c>
      <c r="L8517">
        <v>0</v>
      </c>
      <c r="M8517" t="s">
        <v>48</v>
      </c>
    </row>
    <row r="8518" spans="1:13" hidden="1" x14ac:dyDescent="0.15">
      <c r="A8518" t="s">
        <v>26736</v>
      </c>
      <c r="B8518" t="s">
        <v>6772</v>
      </c>
      <c r="D8518" t="s">
        <v>26735</v>
      </c>
      <c r="E8518">
        <v>5</v>
      </c>
      <c r="F8518" t="str">
        <f>HYPERLINK("https://github.com/7LPdWcaW/GrowTracker-Android/issues/72", "show")</f>
        <v>show</v>
      </c>
      <c r="G8518" t="str">
        <f>HYPERLINK("https://github.com/7LPdWcaW/GrowTracker-Android", "show")</f>
        <v>show</v>
      </c>
      <c r="H8518" t="str">
        <f>HYPERLINK("https://github.com/7LPdWcaW/GrowTracker-Android/releases", "show")</f>
        <v>show</v>
      </c>
      <c r="I8518">
        <v>1</v>
      </c>
      <c r="J8518">
        <v>0</v>
      </c>
      <c r="K8518">
        <v>0</v>
      </c>
      <c r="L8518">
        <v>0</v>
      </c>
      <c r="M8518" t="s">
        <v>17</v>
      </c>
    </row>
    <row r="8519" spans="1:13" hidden="1" x14ac:dyDescent="0.15">
      <c r="A8519" t="s">
        <v>26737</v>
      </c>
      <c r="B8519" t="s">
        <v>26738</v>
      </c>
      <c r="C8519" t="s">
        <v>26739</v>
      </c>
      <c r="D8519" t="s">
        <v>26735</v>
      </c>
      <c r="E8519">
        <v>23</v>
      </c>
      <c r="F8519" t="str">
        <f>HYPERLINK("https://github.com/davideas/FlexibleAdapter/issues/716", "show")</f>
        <v>show</v>
      </c>
      <c r="G8519" t="str">
        <f>HYPERLINK("https://github.com/davideas/FlexibleAdapter", "show")</f>
        <v>show</v>
      </c>
      <c r="H8519" t="str">
        <f>HYPERLINK("https://github.com/davideas/FlexibleAdapter/releases", "show")</f>
        <v>show</v>
      </c>
      <c r="I8519">
        <v>1</v>
      </c>
      <c r="J8519">
        <v>0</v>
      </c>
      <c r="K8519">
        <v>1</v>
      </c>
      <c r="L8519">
        <v>0</v>
      </c>
      <c r="M8519" t="s">
        <v>64</v>
      </c>
    </row>
    <row r="8520" spans="1:13" hidden="1" x14ac:dyDescent="0.15">
      <c r="A8520" t="s">
        <v>26740</v>
      </c>
      <c r="B8520" t="s">
        <v>26741</v>
      </c>
      <c r="C8520" t="s">
        <v>26742</v>
      </c>
      <c r="D8520" t="s">
        <v>26735</v>
      </c>
      <c r="E8520">
        <v>35</v>
      </c>
      <c r="F8520" t="str">
        <f>HYPERLINK("https://github.com/tchapgouv/tchap-android-legacy/issues/441", "show")</f>
        <v>show</v>
      </c>
      <c r="G8520" t="str">
        <f>HYPERLINK("https://github.com/tchapgouv/tchap-android-legacy", "show")</f>
        <v>show</v>
      </c>
      <c r="H8520" t="str">
        <f>HYPERLINK("https://github.com/tchapgouv/tchap-android-legacy/releases", "show")</f>
        <v>show</v>
      </c>
      <c r="I8520">
        <v>1</v>
      </c>
      <c r="J8520">
        <v>0</v>
      </c>
      <c r="K8520">
        <v>0</v>
      </c>
      <c r="L8520">
        <v>0</v>
      </c>
      <c r="M8520" t="s">
        <v>17</v>
      </c>
    </row>
    <row r="8521" spans="1:13" hidden="1" x14ac:dyDescent="0.15">
      <c r="A8521" t="s">
        <v>26743</v>
      </c>
      <c r="B8521" t="s">
        <v>26744</v>
      </c>
      <c r="C8521" t="s">
        <v>26745</v>
      </c>
      <c r="D8521" t="s">
        <v>26735</v>
      </c>
      <c r="E8521">
        <v>2</v>
      </c>
      <c r="F8521" t="str">
        <f>HYPERLINK("https://github.com/ElderDrivers/EdXposed/issues/127", "show")</f>
        <v>show</v>
      </c>
      <c r="G8521" t="str">
        <f>HYPERLINK("https://github.com/ElderDrivers/EdXposed", "show")</f>
        <v>show</v>
      </c>
      <c r="H8521" t="str">
        <f>HYPERLINK("https://github.com/ElderDrivers/EdXposed/releases", "show")</f>
        <v>show</v>
      </c>
      <c r="I8521">
        <v>1</v>
      </c>
      <c r="J8521">
        <v>0</v>
      </c>
      <c r="K8521">
        <v>0</v>
      </c>
      <c r="L8521">
        <v>0</v>
      </c>
      <c r="M8521" t="s">
        <v>17</v>
      </c>
    </row>
    <row r="8522" spans="1:13" hidden="1" x14ac:dyDescent="0.15">
      <c r="A8522" t="s">
        <v>26746</v>
      </c>
      <c r="B8522" t="s">
        <v>26747</v>
      </c>
      <c r="C8522" t="s">
        <v>26748</v>
      </c>
      <c r="D8522" t="s">
        <v>26735</v>
      </c>
      <c r="E8522">
        <v>423</v>
      </c>
      <c r="F8522" t="str">
        <f>HYPERLINK("https://github.com/mauron85/react-native-background-geolocation/issues/356", "show")</f>
        <v>show</v>
      </c>
      <c r="G8522" t="str">
        <f>HYPERLINK("https://github.com/mauron85/react-native-background-geolocation", "show")</f>
        <v>show</v>
      </c>
      <c r="H8522" t="str">
        <f>HYPERLINK("https://github.com/mauron85/react-native-background-geolocation/releases", "show")</f>
        <v>show</v>
      </c>
      <c r="I8522">
        <v>1</v>
      </c>
      <c r="J8522">
        <v>1</v>
      </c>
      <c r="K8522">
        <v>1</v>
      </c>
      <c r="L8522">
        <v>0</v>
      </c>
      <c r="M8522" t="s">
        <v>59</v>
      </c>
    </row>
    <row r="8523" spans="1:13" hidden="1" x14ac:dyDescent="0.15">
      <c r="A8523" t="s">
        <v>26749</v>
      </c>
      <c r="B8523" t="s">
        <v>26750</v>
      </c>
      <c r="C8523" t="s">
        <v>26751</v>
      </c>
      <c r="D8523" t="s">
        <v>26735</v>
      </c>
      <c r="E8523">
        <v>11</v>
      </c>
      <c r="F8523" t="str">
        <f>HYPERLINK("https://github.com/dariuszseweryn/RxAndroidBle/issues/552", "show")</f>
        <v>show</v>
      </c>
      <c r="G8523" t="str">
        <f>HYPERLINK("https://github.com/dariuszseweryn/RxAndroidBle", "show")</f>
        <v>show</v>
      </c>
      <c r="H8523" t="str">
        <f>HYPERLINK("https://github.com/dariuszseweryn/RxAndroidBle/releases", "show")</f>
        <v>show</v>
      </c>
      <c r="I8523">
        <v>0</v>
      </c>
      <c r="J8523">
        <v>0</v>
      </c>
      <c r="K8523">
        <v>1</v>
      </c>
      <c r="L8523">
        <v>0</v>
      </c>
      <c r="M8523" t="s">
        <v>122</v>
      </c>
    </row>
    <row r="8524" spans="1:13" hidden="1" x14ac:dyDescent="0.15">
      <c r="A8524" t="s">
        <v>26752</v>
      </c>
      <c r="B8524" t="s">
        <v>26753</v>
      </c>
      <c r="C8524" t="s">
        <v>26754</v>
      </c>
      <c r="D8524" t="s">
        <v>26735</v>
      </c>
      <c r="E8524">
        <v>451</v>
      </c>
      <c r="F8524" t="str">
        <f>HYPERLINK("https://github.com/forcedotcom/SalesforceMobileSDK-CordovaPlugin/issues/444", "show")</f>
        <v>show</v>
      </c>
      <c r="G8524" t="str">
        <f>HYPERLINK("https://github.com/forcedotcom/SalesforceMobileSDK-CordovaPlugin", "show")</f>
        <v>show</v>
      </c>
      <c r="H8524" t="str">
        <f>HYPERLINK("https://github.com/forcedotcom/SalesforceMobileSDK-CordovaPlugin/releases", "show")</f>
        <v>show</v>
      </c>
      <c r="I8524">
        <v>1</v>
      </c>
      <c r="J8524">
        <v>0</v>
      </c>
      <c r="K8524">
        <v>0</v>
      </c>
      <c r="L8524">
        <v>0</v>
      </c>
      <c r="M8524" t="s">
        <v>17</v>
      </c>
    </row>
    <row r="8525" spans="1:13" hidden="1" x14ac:dyDescent="0.15">
      <c r="A8525" t="s">
        <v>26755</v>
      </c>
      <c r="B8525" t="s">
        <v>26756</v>
      </c>
      <c r="C8525" t="s">
        <v>26757</v>
      </c>
      <c r="D8525" t="s">
        <v>26758</v>
      </c>
      <c r="E8525">
        <v>4</v>
      </c>
      <c r="F8525" t="str">
        <f>HYPERLINK("https://github.com/cgeo/cgeo/issues/7341", "show")</f>
        <v>show</v>
      </c>
      <c r="G8525" t="str">
        <f>HYPERLINK("https://github.com/cgeo/cgeo", "show")</f>
        <v>show</v>
      </c>
      <c r="H8525" t="str">
        <f>HYPERLINK("https://github.com/cgeo/cgeo/releases", "show")</f>
        <v>show</v>
      </c>
      <c r="I8525">
        <v>1</v>
      </c>
      <c r="J8525">
        <v>0</v>
      </c>
      <c r="K8525">
        <v>0</v>
      </c>
      <c r="L8525">
        <v>0</v>
      </c>
      <c r="M8525" t="s">
        <v>17</v>
      </c>
    </row>
    <row r="8526" spans="1:13" hidden="1" x14ac:dyDescent="0.15">
      <c r="A8526" t="s">
        <v>26759</v>
      </c>
      <c r="B8526" t="s">
        <v>26760</v>
      </c>
      <c r="D8526" t="s">
        <v>26761</v>
      </c>
      <c r="E8526">
        <v>1</v>
      </c>
      <c r="F8526" t="str">
        <f>HYPERLINK("https://github.com/SCCapstone/DBK/issues/66", "show")</f>
        <v>show</v>
      </c>
      <c r="G8526" t="str">
        <f>HYPERLINK("https://github.com/SCCapstone/DBK", "show")</f>
        <v>show</v>
      </c>
      <c r="H8526" t="str">
        <f>HYPERLINK("https://github.com/SCCapstone/DBK/releases", "show")</f>
        <v>show</v>
      </c>
      <c r="I8526">
        <v>1</v>
      </c>
      <c r="J8526">
        <v>0</v>
      </c>
      <c r="K8526">
        <v>0</v>
      </c>
      <c r="L8526">
        <v>0</v>
      </c>
      <c r="M8526" t="s">
        <v>17</v>
      </c>
    </row>
    <row r="8527" spans="1:13" hidden="1" x14ac:dyDescent="0.15">
      <c r="A8527" t="s">
        <v>26762</v>
      </c>
      <c r="B8527" t="s">
        <v>26763</v>
      </c>
      <c r="C8527" t="s">
        <v>504</v>
      </c>
      <c r="D8527" t="s">
        <v>26761</v>
      </c>
      <c r="E8527">
        <v>0</v>
      </c>
      <c r="F8527" t="str">
        <f>HYPERLINK("https://github.com/itachi1706/SingBuses/issues/157", "show")</f>
        <v>show</v>
      </c>
      <c r="G8527" t="str">
        <f>HYPERLINK("https://github.com/itachi1706/SingBuses", "show")</f>
        <v>show</v>
      </c>
      <c r="H8527" t="str">
        <f>HYPERLINK("https://github.com/itachi1706/SingBuses/releases", "show")</f>
        <v>show</v>
      </c>
      <c r="I8527">
        <v>1</v>
      </c>
      <c r="J8527">
        <v>0</v>
      </c>
      <c r="K8527">
        <v>0</v>
      </c>
      <c r="L8527">
        <v>0</v>
      </c>
      <c r="M8527" t="s">
        <v>17</v>
      </c>
    </row>
    <row r="8528" spans="1:13" hidden="1" x14ac:dyDescent="0.15">
      <c r="A8528" t="s">
        <v>26764</v>
      </c>
      <c r="B8528" t="s">
        <v>26765</v>
      </c>
      <c r="C8528" t="s">
        <v>26766</v>
      </c>
      <c r="D8528" t="s">
        <v>26761</v>
      </c>
      <c r="E8528">
        <v>21</v>
      </c>
      <c r="F8528" t="str">
        <f>HYPERLINK("https://github.com/datatheorem/TrustKit-Android/issues/49", "show")</f>
        <v>show</v>
      </c>
      <c r="G8528" t="str">
        <f>HYPERLINK("https://github.com/datatheorem/TrustKit-Android", "show")</f>
        <v>show</v>
      </c>
      <c r="H8528" t="str">
        <f>HYPERLINK("https://github.com/datatheorem/TrustKit-Android/releases", "show")</f>
        <v>show</v>
      </c>
      <c r="I8528">
        <v>1</v>
      </c>
      <c r="J8528">
        <v>0</v>
      </c>
      <c r="K8528">
        <v>0</v>
      </c>
      <c r="L8528">
        <v>0</v>
      </c>
      <c r="M8528" t="s">
        <v>17</v>
      </c>
    </row>
    <row r="8529" spans="1:13" hidden="1" x14ac:dyDescent="0.15">
      <c r="A8529" t="s">
        <v>26767</v>
      </c>
      <c r="B8529" t="s">
        <v>26768</v>
      </c>
      <c r="C8529" t="s">
        <v>26769</v>
      </c>
      <c r="D8529" t="s">
        <v>26770</v>
      </c>
      <c r="E8529">
        <v>4</v>
      </c>
      <c r="F8529" t="str">
        <f>HYPERLINK("https://github.com/ElderDrivers/EdXposed/issues/116", "show")</f>
        <v>show</v>
      </c>
      <c r="G8529" t="str">
        <f>HYPERLINK("https://github.com/ElderDrivers/EdXposed", "show")</f>
        <v>show</v>
      </c>
      <c r="H8529" t="str">
        <f>HYPERLINK("https://github.com/ElderDrivers/EdXposed/releases", "show")</f>
        <v>show</v>
      </c>
      <c r="I8529">
        <v>1</v>
      </c>
      <c r="J8529">
        <v>0</v>
      </c>
      <c r="K8529">
        <v>0</v>
      </c>
      <c r="L8529">
        <v>0</v>
      </c>
      <c r="M8529" t="s">
        <v>17</v>
      </c>
    </row>
    <row r="8530" spans="1:13" hidden="1" x14ac:dyDescent="0.15">
      <c r="A8530" t="s">
        <v>26771</v>
      </c>
      <c r="B8530" t="s">
        <v>26772</v>
      </c>
      <c r="C8530" t="s">
        <v>26773</v>
      </c>
      <c r="D8530" t="s">
        <v>26770</v>
      </c>
      <c r="E8530">
        <v>296</v>
      </c>
      <c r="F8530" t="str">
        <f>HYPERLINK("https://github.com/devgianlu/Aria2App/issues/45", "show")</f>
        <v>show</v>
      </c>
      <c r="G8530" t="str">
        <f>HYPERLINK("https://github.com/devgianlu/Aria2App", "show")</f>
        <v>show</v>
      </c>
      <c r="H8530" t="str">
        <f>HYPERLINK("https://github.com/devgianlu/Aria2App/releases", "show")</f>
        <v>show</v>
      </c>
      <c r="I8530">
        <v>0</v>
      </c>
      <c r="J8530">
        <v>0</v>
      </c>
      <c r="K8530">
        <v>0</v>
      </c>
      <c r="L8530">
        <v>0</v>
      </c>
      <c r="M8530" t="s">
        <v>43</v>
      </c>
    </row>
    <row r="8531" spans="1:13" hidden="1" x14ac:dyDescent="0.15">
      <c r="A8531" t="s">
        <v>26774</v>
      </c>
      <c r="B8531" t="s">
        <v>26775</v>
      </c>
      <c r="C8531" t="s">
        <v>26776</v>
      </c>
      <c r="D8531" t="s">
        <v>26770</v>
      </c>
      <c r="E8531">
        <v>3</v>
      </c>
      <c r="F8531" t="str">
        <f>HYPERLINK("https://github.com/opensrp/opensrp-client-reveal/issues/110", "show")</f>
        <v>show</v>
      </c>
      <c r="G8531" t="str">
        <f>HYPERLINK("https://github.com/opensrp/opensrp-client-reveal", "show")</f>
        <v>show</v>
      </c>
      <c r="H8531" t="str">
        <f>HYPERLINK("https://github.com/opensrp/opensrp-client-reveal/releases", "show")</f>
        <v>show</v>
      </c>
      <c r="I8531">
        <v>1</v>
      </c>
      <c r="J8531">
        <v>0</v>
      </c>
      <c r="K8531">
        <v>0</v>
      </c>
      <c r="L8531">
        <v>0</v>
      </c>
      <c r="M8531" t="s">
        <v>17</v>
      </c>
    </row>
    <row r="8532" spans="1:13" hidden="1" x14ac:dyDescent="0.15">
      <c r="A8532" t="s">
        <v>26777</v>
      </c>
      <c r="B8532" t="s">
        <v>26778</v>
      </c>
      <c r="C8532" t="s">
        <v>26779</v>
      </c>
      <c r="D8532" t="s">
        <v>26780</v>
      </c>
      <c r="E8532">
        <v>4</v>
      </c>
      <c r="F8532" t="str">
        <f>HYPERLINK("https://github.com/JulietGroundwater/Groundwater/issues/29", "show")</f>
        <v>show</v>
      </c>
      <c r="G8532" t="str">
        <f>HYPERLINK("https://github.com/JulietGroundwater/Groundwater", "show")</f>
        <v>show</v>
      </c>
      <c r="H8532" t="str">
        <f>HYPERLINK("https://github.com/JulietGroundwater/Groundwater/releases", "show")</f>
        <v>show</v>
      </c>
      <c r="I8532">
        <v>1</v>
      </c>
      <c r="J8532">
        <v>0</v>
      </c>
      <c r="K8532">
        <v>0</v>
      </c>
      <c r="L8532">
        <v>0</v>
      </c>
      <c r="M8532" t="s">
        <v>17</v>
      </c>
    </row>
    <row r="8533" spans="1:13" hidden="1" x14ac:dyDescent="0.15">
      <c r="A8533" t="s">
        <v>26781</v>
      </c>
      <c r="B8533" t="s">
        <v>21236</v>
      </c>
      <c r="C8533" t="s">
        <v>26782</v>
      </c>
      <c r="D8533" t="s">
        <v>26780</v>
      </c>
      <c r="E8533">
        <v>126</v>
      </c>
      <c r="F8533" t="str">
        <f>HYPERLINK("https://github.com/mgsx-dev/gdx-gltf/issues/1", "show")</f>
        <v>show</v>
      </c>
      <c r="G8533" t="str">
        <f>HYPERLINK("https://github.com/mgsx-dev/gdx-gltf", "show")</f>
        <v>show</v>
      </c>
      <c r="H8533" t="str">
        <f>HYPERLINK("https://github.com/mgsx-dev/gdx-gltf/releases", "show")</f>
        <v>show</v>
      </c>
      <c r="I8533">
        <v>0</v>
      </c>
      <c r="J8533">
        <v>0</v>
      </c>
      <c r="K8533">
        <v>1</v>
      </c>
      <c r="L8533">
        <v>0</v>
      </c>
      <c r="M8533" t="s">
        <v>122</v>
      </c>
    </row>
    <row r="8534" spans="1:13" hidden="1" x14ac:dyDescent="0.15">
      <c r="A8534" t="s">
        <v>26783</v>
      </c>
      <c r="B8534" t="s">
        <v>26784</v>
      </c>
      <c r="C8534" t="s">
        <v>26785</v>
      </c>
      <c r="D8534" t="s">
        <v>26780</v>
      </c>
      <c r="E8534">
        <v>0</v>
      </c>
      <c r="F8534" t="str">
        <f>HYPERLINK("https://github.com/Catfriend1/syncthing-android/issues/342", "show")</f>
        <v>show</v>
      </c>
      <c r="G8534" t="str">
        <f>HYPERLINK("https://github.com/Catfriend1/syncthing-android", "show")</f>
        <v>show</v>
      </c>
      <c r="H8534" t="str">
        <f>HYPERLINK("https://github.com/Catfriend1/syncthing-android/releases", "show")</f>
        <v>show</v>
      </c>
      <c r="I8534">
        <v>1</v>
      </c>
      <c r="J8534">
        <v>0</v>
      </c>
      <c r="K8534">
        <v>0</v>
      </c>
      <c r="L8534">
        <v>0</v>
      </c>
      <c r="M8534" t="s">
        <v>17</v>
      </c>
    </row>
    <row r="8535" spans="1:13" hidden="1" x14ac:dyDescent="0.15">
      <c r="A8535" t="s">
        <v>26786</v>
      </c>
      <c r="B8535" t="s">
        <v>26787</v>
      </c>
      <c r="C8535" t="s">
        <v>26788</v>
      </c>
      <c r="D8535" t="s">
        <v>26780</v>
      </c>
      <c r="E8535">
        <v>0</v>
      </c>
      <c r="F8535" t="str">
        <f>HYPERLINK("https://github.com/opensrp/opensrp-client-chw/issues/168", "show")</f>
        <v>show</v>
      </c>
      <c r="G8535" t="str">
        <f>HYPERLINK("https://github.com/opensrp/opensrp-client-chw", "show")</f>
        <v>show</v>
      </c>
      <c r="H8535" t="str">
        <f>HYPERLINK("https://github.com/opensrp/opensrp-client-chw/releases", "show")</f>
        <v>show</v>
      </c>
      <c r="I8535">
        <v>1</v>
      </c>
      <c r="J8535">
        <v>1</v>
      </c>
      <c r="K8535">
        <v>0</v>
      </c>
      <c r="L8535">
        <v>0</v>
      </c>
      <c r="M8535" t="s">
        <v>48</v>
      </c>
    </row>
    <row r="8536" spans="1:13" hidden="1" x14ac:dyDescent="0.15">
      <c r="A8536" t="s">
        <v>26789</v>
      </c>
      <c r="B8536" t="s">
        <v>26790</v>
      </c>
      <c r="C8536" t="s">
        <v>26791</v>
      </c>
      <c r="D8536" t="s">
        <v>26792</v>
      </c>
      <c r="E8536">
        <v>90</v>
      </c>
      <c r="F8536" t="str">
        <f>HYPERLINK("https://github.com/inaturalist/iNaturalistAndroid/issues/635", "show")</f>
        <v>show</v>
      </c>
      <c r="G8536" t="str">
        <f>HYPERLINK("https://github.com/inaturalist/iNaturalistAndroid", "show")</f>
        <v>show</v>
      </c>
      <c r="H8536" t="str">
        <f>HYPERLINK("https://github.com/inaturalist/iNaturalistAndroid/releases", "show")</f>
        <v>show</v>
      </c>
      <c r="I8536">
        <v>0</v>
      </c>
      <c r="J8536">
        <v>0</v>
      </c>
      <c r="K8536">
        <v>1</v>
      </c>
      <c r="L8536">
        <v>0</v>
      </c>
      <c r="M8536" t="s">
        <v>122</v>
      </c>
    </row>
    <row r="8537" spans="1:13" hidden="1" x14ac:dyDescent="0.15">
      <c r="A8537" t="s">
        <v>26793</v>
      </c>
      <c r="B8537" t="s">
        <v>26794</v>
      </c>
      <c r="C8537" t="s">
        <v>26795</v>
      </c>
      <c r="D8537" t="s">
        <v>26792</v>
      </c>
      <c r="E8537">
        <v>489</v>
      </c>
      <c r="F8537" t="str">
        <f>HYPERLINK("https://github.com/NordicSemiconductor/Android-BLE-Library/issues/88", "show")</f>
        <v>show</v>
      </c>
      <c r="G8537" t="str">
        <f>HYPERLINK("https://github.com/NordicSemiconductor/Android-BLE-Library", "show")</f>
        <v>show</v>
      </c>
      <c r="H8537" t="str">
        <f>HYPERLINK("https://github.com/NordicSemiconductor/Android-BLE-Library/releases", "show")</f>
        <v>show</v>
      </c>
      <c r="I8537">
        <v>0</v>
      </c>
      <c r="J8537">
        <v>0</v>
      </c>
      <c r="K8537">
        <v>1</v>
      </c>
      <c r="L8537">
        <v>0</v>
      </c>
      <c r="M8537" t="s">
        <v>122</v>
      </c>
    </row>
    <row r="8538" spans="1:13" hidden="1" x14ac:dyDescent="0.15">
      <c r="A8538" t="s">
        <v>26796</v>
      </c>
      <c r="B8538" t="s">
        <v>26797</v>
      </c>
      <c r="D8538" t="s">
        <v>26798</v>
      </c>
      <c r="E8538">
        <v>0</v>
      </c>
      <c r="F8538" t="str">
        <f>HYPERLINK("https://github.com/marksuth/indigenous-android/issues/191", "show")</f>
        <v>show</v>
      </c>
      <c r="G8538" t="str">
        <f>HYPERLINK("https://github.com/marksuth/indigenous-android", "show")</f>
        <v>show</v>
      </c>
      <c r="H8538" t="str">
        <f>HYPERLINK("https://github.com/marksuth/indigenous-android/releases", "show")</f>
        <v>show</v>
      </c>
      <c r="I8538">
        <v>0</v>
      </c>
      <c r="J8538">
        <v>0</v>
      </c>
      <c r="K8538">
        <v>0</v>
      </c>
      <c r="L8538">
        <v>0</v>
      </c>
      <c r="M8538" t="s">
        <v>43</v>
      </c>
    </row>
    <row r="8539" spans="1:13" hidden="1" x14ac:dyDescent="0.15">
      <c r="A8539" t="s">
        <v>26799</v>
      </c>
      <c r="B8539" t="s">
        <v>26800</v>
      </c>
      <c r="C8539" t="s">
        <v>26801</v>
      </c>
      <c r="D8539" t="s">
        <v>26802</v>
      </c>
      <c r="E8539">
        <v>18</v>
      </c>
      <c r="F8539" t="str">
        <f>HYPERLINK("https://github.com/aws-amplify/aws-sdk-android/issues/722", "show")</f>
        <v>show</v>
      </c>
      <c r="G8539" t="str">
        <f>HYPERLINK("https://github.com/aws-amplify/aws-sdk-android", "show")</f>
        <v>show</v>
      </c>
      <c r="H8539" t="str">
        <f>HYPERLINK("https://github.com/aws-amplify/aws-sdk-android/releases", "show")</f>
        <v>show</v>
      </c>
      <c r="I8539">
        <v>1</v>
      </c>
      <c r="J8539">
        <v>0</v>
      </c>
      <c r="K8539">
        <v>1</v>
      </c>
      <c r="L8539">
        <v>0</v>
      </c>
      <c r="M8539" t="s">
        <v>64</v>
      </c>
    </row>
    <row r="8540" spans="1:13" hidden="1" x14ac:dyDescent="0.15">
      <c r="A8540" t="s">
        <v>26803</v>
      </c>
      <c r="B8540" t="s">
        <v>26804</v>
      </c>
      <c r="C8540" t="s">
        <v>26805</v>
      </c>
      <c r="D8540" t="s">
        <v>26802</v>
      </c>
      <c r="E8540">
        <v>0</v>
      </c>
      <c r="F8540" t="str">
        <f>HYPERLINK("https://github.com/xuexiangjys/XUI/issues/8", "show")</f>
        <v>show</v>
      </c>
      <c r="G8540" t="str">
        <f>HYPERLINK("https://github.com/xuexiangjys/XUI", "show")</f>
        <v>show</v>
      </c>
      <c r="H8540" t="str">
        <f>HYPERLINK("https://github.com/xuexiangjys/XUI/releases", "show")</f>
        <v>show</v>
      </c>
      <c r="I8540">
        <v>0</v>
      </c>
      <c r="J8540">
        <v>0</v>
      </c>
      <c r="K8540">
        <v>0</v>
      </c>
      <c r="L8540">
        <v>0</v>
      </c>
      <c r="M8540" t="s">
        <v>43</v>
      </c>
    </row>
    <row r="8541" spans="1:13" hidden="1" x14ac:dyDescent="0.15">
      <c r="A8541" t="s">
        <v>26806</v>
      </c>
      <c r="B8541" t="s">
        <v>26807</v>
      </c>
      <c r="C8541" t="s">
        <v>26808</v>
      </c>
      <c r="D8541" t="s">
        <v>26809</v>
      </c>
      <c r="E8541">
        <v>0</v>
      </c>
      <c r="F8541" t="str">
        <f>HYPERLINK("https://github.com/oliexdev/openScale/issues/409", "show")</f>
        <v>show</v>
      </c>
      <c r="G8541" t="str">
        <f>HYPERLINK("https://github.com/oliexdev/openScale", "show")</f>
        <v>show</v>
      </c>
      <c r="H8541" t="str">
        <f>HYPERLINK("https://github.com/oliexdev/openScale/releases", "show")</f>
        <v>show</v>
      </c>
      <c r="I8541">
        <v>1</v>
      </c>
      <c r="J8541">
        <v>0</v>
      </c>
      <c r="K8541">
        <v>1</v>
      </c>
      <c r="L8541">
        <v>0</v>
      </c>
      <c r="M8541" t="s">
        <v>64</v>
      </c>
    </row>
    <row r="8542" spans="1:13" hidden="1" x14ac:dyDescent="0.15">
      <c r="A8542" t="s">
        <v>26810</v>
      </c>
      <c r="B8542" t="s">
        <v>26811</v>
      </c>
      <c r="C8542" t="s">
        <v>26812</v>
      </c>
      <c r="D8542" t="s">
        <v>26809</v>
      </c>
      <c r="E8542">
        <v>22</v>
      </c>
      <c r="F8542" t="str">
        <f>HYPERLINK("https://github.com/zdavatz/AmiKo-Android/issues/58", "show")</f>
        <v>show</v>
      </c>
      <c r="G8542" t="str">
        <f>HYPERLINK("https://github.com/zdavatz/AmiKo-Android", "show")</f>
        <v>show</v>
      </c>
      <c r="H8542" t="str">
        <f>HYPERLINK("https://github.com/zdavatz/AmiKo-Android/releases", "show")</f>
        <v>show</v>
      </c>
      <c r="I8542">
        <v>0</v>
      </c>
      <c r="J8542">
        <v>0</v>
      </c>
      <c r="K8542">
        <v>1</v>
      </c>
      <c r="L8542">
        <v>0</v>
      </c>
      <c r="M8542" t="s">
        <v>122</v>
      </c>
    </row>
    <row r="8543" spans="1:13" hidden="1" x14ac:dyDescent="0.15">
      <c r="A8543" t="s">
        <v>26813</v>
      </c>
      <c r="B8543" t="s">
        <v>26814</v>
      </c>
      <c r="C8543" t="s">
        <v>26815</v>
      </c>
      <c r="D8543" t="s">
        <v>26809</v>
      </c>
      <c r="E8543">
        <v>128</v>
      </c>
      <c r="F8543" t="str">
        <f>HYPERLINK("https://github.com/fossasia/phimpme-android/issues/2631", "show")</f>
        <v>show</v>
      </c>
      <c r="G8543" t="str">
        <f>HYPERLINK("https://github.com/fossasia/phimpme-android", "show")</f>
        <v>show</v>
      </c>
      <c r="H8543" t="str">
        <f>HYPERLINK("https://github.com/fossasia/phimpme-android/releases", "show")</f>
        <v>show</v>
      </c>
      <c r="I8543">
        <v>1</v>
      </c>
      <c r="J8543">
        <v>0</v>
      </c>
      <c r="K8543">
        <v>1</v>
      </c>
      <c r="L8543">
        <v>0</v>
      </c>
      <c r="M8543" t="s">
        <v>64</v>
      </c>
    </row>
    <row r="8544" spans="1:13" hidden="1" x14ac:dyDescent="0.15">
      <c r="A8544" t="s">
        <v>26816</v>
      </c>
      <c r="B8544" t="s">
        <v>26817</v>
      </c>
      <c r="C8544" t="s">
        <v>26818</v>
      </c>
      <c r="D8544" t="s">
        <v>26819</v>
      </c>
      <c r="E8544">
        <v>157</v>
      </c>
      <c r="F8544" t="str">
        <f>HYPERLINK("https://github.com/nextcloud/android/issues/3670", "show")</f>
        <v>show</v>
      </c>
      <c r="G8544" t="str">
        <f>HYPERLINK("https://github.com/nextcloud/android", "show")</f>
        <v>show</v>
      </c>
      <c r="H8544" t="str">
        <f>HYPERLINK("https://github.com/nextcloud/android/releases", "show")</f>
        <v>show</v>
      </c>
      <c r="I8544">
        <v>0</v>
      </c>
      <c r="J8544">
        <v>1</v>
      </c>
      <c r="K8544">
        <v>1</v>
      </c>
      <c r="L8544">
        <v>0</v>
      </c>
      <c r="M8544" t="s">
        <v>699</v>
      </c>
    </row>
    <row r="8545" spans="1:13" hidden="1" x14ac:dyDescent="0.15">
      <c r="A8545" t="s">
        <v>26820</v>
      </c>
      <c r="B8545" t="s">
        <v>26821</v>
      </c>
      <c r="C8545" t="s">
        <v>26822</v>
      </c>
      <c r="D8545" t="s">
        <v>26819</v>
      </c>
      <c r="E8545">
        <v>1</v>
      </c>
      <c r="F8545" t="str">
        <f>HYPERLINK("https://github.com/SeniorDesignTm/SmartUniMain/issues/6", "show")</f>
        <v>show</v>
      </c>
      <c r="G8545" t="str">
        <f>HYPERLINK("https://github.com/SeniorDesignTm/SmartUniMain", "show")</f>
        <v>show</v>
      </c>
      <c r="H8545" t="str">
        <f>HYPERLINK("https://github.com/SeniorDesignTm/SmartUniMain/releases", "show")</f>
        <v>show</v>
      </c>
      <c r="I8545">
        <v>1</v>
      </c>
      <c r="J8545">
        <v>0</v>
      </c>
      <c r="K8545">
        <v>0</v>
      </c>
      <c r="L8545">
        <v>0</v>
      </c>
      <c r="M8545" t="s">
        <v>17</v>
      </c>
    </row>
    <row r="8546" spans="1:13" hidden="1" x14ac:dyDescent="0.15">
      <c r="A8546" t="s">
        <v>26823</v>
      </c>
      <c r="B8546" t="s">
        <v>26824</v>
      </c>
      <c r="C8546" t="s">
        <v>26825</v>
      </c>
      <c r="D8546" t="s">
        <v>26819</v>
      </c>
      <c r="E8546">
        <v>124</v>
      </c>
      <c r="F8546" t="str">
        <f>HYPERLINK("https://github.com/ankidroid/Anki-Android/issues/5251", "show")</f>
        <v>show</v>
      </c>
      <c r="G8546" t="str">
        <f>HYPERLINK("https://github.com/ankidroid/Anki-Android", "show")</f>
        <v>show</v>
      </c>
      <c r="H8546" t="str">
        <f>HYPERLINK("https://github.com/ankidroid/Anki-Android/releases", "show")</f>
        <v>show</v>
      </c>
      <c r="I8546">
        <v>1</v>
      </c>
      <c r="J8546">
        <v>1</v>
      </c>
      <c r="K8546">
        <v>0</v>
      </c>
      <c r="L8546">
        <v>0</v>
      </c>
      <c r="M8546" t="s">
        <v>48</v>
      </c>
    </row>
    <row r="8547" spans="1:13" hidden="1" x14ac:dyDescent="0.15">
      <c r="A8547" t="s">
        <v>26826</v>
      </c>
      <c r="B8547" t="s">
        <v>26827</v>
      </c>
      <c r="C8547" t="s">
        <v>26828</v>
      </c>
      <c r="D8547" t="s">
        <v>26829</v>
      </c>
      <c r="E8547">
        <v>123</v>
      </c>
      <c r="F8547" t="str">
        <f>HYPERLINK("https://github.com/kalaspuffar/secure-quick-reliable-login/issues/249", "show")</f>
        <v>show</v>
      </c>
      <c r="G8547" t="str">
        <f>HYPERLINK("https://github.com/kalaspuffar/secure-quick-reliable-login", "show")</f>
        <v>show</v>
      </c>
      <c r="H8547" t="str">
        <f>HYPERLINK("https://github.com/kalaspuffar/secure-quick-reliable-login/releases", "show")</f>
        <v>show</v>
      </c>
      <c r="I8547">
        <v>1</v>
      </c>
      <c r="J8547">
        <v>0</v>
      </c>
      <c r="K8547">
        <v>0</v>
      </c>
      <c r="L8547">
        <v>0</v>
      </c>
      <c r="M8547" t="s">
        <v>17</v>
      </c>
    </row>
    <row r="8548" spans="1:13" hidden="1" x14ac:dyDescent="0.15">
      <c r="A8548" t="s">
        <v>26830</v>
      </c>
      <c r="B8548" t="s">
        <v>26831</v>
      </c>
      <c r="C8548" t="s">
        <v>26832</v>
      </c>
      <c r="D8548" t="s">
        <v>26829</v>
      </c>
      <c r="E8548">
        <v>2</v>
      </c>
      <c r="F8548" t="str">
        <f>HYPERLINK("https://github.com/SeniorDesignTm/SmartUniMain/issues/5", "show")</f>
        <v>show</v>
      </c>
      <c r="G8548" t="str">
        <f>HYPERLINK("https://github.com/SeniorDesignTm/SmartUniMain", "show")</f>
        <v>show</v>
      </c>
      <c r="H8548" t="str">
        <f>HYPERLINK("https://github.com/SeniorDesignTm/SmartUniMain/releases", "show")</f>
        <v>show</v>
      </c>
      <c r="I8548">
        <v>0</v>
      </c>
      <c r="J8548">
        <v>0</v>
      </c>
      <c r="K8548">
        <v>0</v>
      </c>
      <c r="L8548">
        <v>0</v>
      </c>
      <c r="M8548" t="s">
        <v>43</v>
      </c>
    </row>
    <row r="8549" spans="1:13" hidden="1" x14ac:dyDescent="0.15">
      <c r="A8549" t="s">
        <v>26833</v>
      </c>
      <c r="B8549" t="s">
        <v>26834</v>
      </c>
      <c r="C8549" t="s">
        <v>26835</v>
      </c>
      <c r="D8549" t="s">
        <v>26836</v>
      </c>
      <c r="E8549">
        <v>1</v>
      </c>
      <c r="F8549" t="str">
        <f>HYPERLINK("https://github.com/TryGhost/Ghost-Android/issues/38", "show")</f>
        <v>show</v>
      </c>
      <c r="G8549" t="str">
        <f>HYPERLINK("https://github.com/TryGhost/Ghost-Android", "show")</f>
        <v>show</v>
      </c>
      <c r="H8549" t="str">
        <f>HYPERLINK("https://github.com/TryGhost/Ghost-Android/releases", "show")</f>
        <v>show</v>
      </c>
      <c r="I8549">
        <v>1</v>
      </c>
      <c r="J8549">
        <v>0</v>
      </c>
      <c r="K8549">
        <v>1</v>
      </c>
      <c r="L8549">
        <v>0</v>
      </c>
      <c r="M8549" t="s">
        <v>64</v>
      </c>
    </row>
    <row r="8550" spans="1:13" hidden="1" x14ac:dyDescent="0.15">
      <c r="A8550" t="s">
        <v>26837</v>
      </c>
      <c r="B8550" t="s">
        <v>26838</v>
      </c>
      <c r="C8550" t="s">
        <v>26839</v>
      </c>
      <c r="D8550" t="s">
        <v>26836</v>
      </c>
      <c r="E8550">
        <v>1</v>
      </c>
      <c r="F8550" t="str">
        <f>HYPERLINK("https://github.com/SeniorDesignTm/SmartUniMain/issues/2", "show")</f>
        <v>show</v>
      </c>
      <c r="G8550" t="str">
        <f>HYPERLINK("https://github.com/SeniorDesignTm/SmartUniMain", "show")</f>
        <v>show</v>
      </c>
      <c r="H8550" t="str">
        <f>HYPERLINK("https://github.com/SeniorDesignTm/SmartUniMain/releases", "show")</f>
        <v>show</v>
      </c>
      <c r="I8550">
        <v>1</v>
      </c>
      <c r="J8550">
        <v>0</v>
      </c>
      <c r="K8550">
        <v>0</v>
      </c>
      <c r="L8550">
        <v>0</v>
      </c>
      <c r="M8550" t="s">
        <v>17</v>
      </c>
    </row>
    <row r="8551" spans="1:13" hidden="1" x14ac:dyDescent="0.15">
      <c r="A8551" t="s">
        <v>26840</v>
      </c>
      <c r="B8551" t="s">
        <v>26841</v>
      </c>
      <c r="C8551" t="s">
        <v>26842</v>
      </c>
      <c r="D8551" t="s">
        <v>26836</v>
      </c>
      <c r="E8551">
        <v>28</v>
      </c>
      <c r="F8551" t="str">
        <f>HYPERLINK("https://github.com/getodk/skunkworks-crow/issues/111", "show")</f>
        <v>show</v>
      </c>
      <c r="G8551" t="str">
        <f>HYPERLINK("https://github.com/getodk/skunkworks-crow", "show")</f>
        <v>show</v>
      </c>
      <c r="H8551" t="str">
        <f>HYPERLINK("https://github.com/getodk/skunkworks-crow/releases", "show")</f>
        <v>show</v>
      </c>
      <c r="I8551">
        <v>1</v>
      </c>
      <c r="J8551">
        <v>1</v>
      </c>
      <c r="K8551">
        <v>1</v>
      </c>
      <c r="L8551">
        <v>0</v>
      </c>
      <c r="M8551" t="s">
        <v>59</v>
      </c>
    </row>
    <row r="8552" spans="1:13" hidden="1" x14ac:dyDescent="0.15">
      <c r="A8552" t="s">
        <v>26843</v>
      </c>
      <c r="B8552" t="s">
        <v>26844</v>
      </c>
      <c r="C8552" t="s">
        <v>26845</v>
      </c>
      <c r="D8552" t="s">
        <v>26836</v>
      </c>
      <c r="E8552">
        <v>0</v>
      </c>
      <c r="F8552" t="str">
        <f>HYPERLINK("https://github.com/Alfresco/alfresco-android-app/issues/528", "show")</f>
        <v>show</v>
      </c>
      <c r="G8552" t="str">
        <f>HYPERLINK("https://github.com/Alfresco/alfresco-android-app", "show")</f>
        <v>show</v>
      </c>
      <c r="H8552" t="str">
        <f>HYPERLINK("https://github.com/Alfresco/alfresco-android-app/releases", "show")</f>
        <v>show</v>
      </c>
      <c r="I8552">
        <v>1</v>
      </c>
      <c r="J8552">
        <v>0</v>
      </c>
      <c r="K8552">
        <v>0</v>
      </c>
      <c r="L8552">
        <v>0</v>
      </c>
      <c r="M8552" t="s">
        <v>17</v>
      </c>
    </row>
    <row r="8553" spans="1:13" hidden="1" x14ac:dyDescent="0.15">
      <c r="A8553" t="s">
        <v>26846</v>
      </c>
      <c r="B8553" t="s">
        <v>26847</v>
      </c>
      <c r="C8553" t="s">
        <v>26848</v>
      </c>
      <c r="D8553" t="s">
        <v>26836</v>
      </c>
      <c r="E8553">
        <v>61</v>
      </c>
      <c r="F8553" t="str">
        <f>HYPERLINK("https://github.com/martykan/forecastie/issues/327", "show")</f>
        <v>show</v>
      </c>
      <c r="G8553" t="str">
        <f>HYPERLINK("https://github.com/martykan/forecastie", "show")</f>
        <v>show</v>
      </c>
      <c r="H8553" t="str">
        <f>HYPERLINK("https://github.com/martykan/forecastie/releases", "show")</f>
        <v>show</v>
      </c>
      <c r="I8553">
        <v>1</v>
      </c>
      <c r="J8553">
        <v>0</v>
      </c>
      <c r="K8553">
        <v>0</v>
      </c>
      <c r="L8553">
        <v>0</v>
      </c>
      <c r="M8553" t="s">
        <v>17</v>
      </c>
    </row>
    <row r="8554" spans="1:13" hidden="1" x14ac:dyDescent="0.15">
      <c r="A8554" t="s">
        <v>26849</v>
      </c>
      <c r="B8554" t="s">
        <v>26850</v>
      </c>
      <c r="C8554" t="s">
        <v>26851</v>
      </c>
      <c r="D8554" t="s">
        <v>26836</v>
      </c>
      <c r="E8554">
        <v>39</v>
      </c>
      <c r="F8554" t="str">
        <f>HYPERLINK("https://github.com/tobexyz/yaacc-code/issues/30", "show")</f>
        <v>show</v>
      </c>
      <c r="G8554" t="str">
        <f>HYPERLINK("https://github.com/tobexyz/yaacc-code", "show")</f>
        <v>show</v>
      </c>
      <c r="H8554" t="str">
        <f>HYPERLINK("https://github.com/tobexyz/yaacc-code/releases", "show")</f>
        <v>show</v>
      </c>
      <c r="I8554">
        <v>1</v>
      </c>
      <c r="J8554">
        <v>0</v>
      </c>
      <c r="K8554">
        <v>0</v>
      </c>
      <c r="L8554">
        <v>0</v>
      </c>
      <c r="M8554" t="s">
        <v>17</v>
      </c>
    </row>
    <row r="8555" spans="1:13" hidden="1" x14ac:dyDescent="0.15">
      <c r="A8555" t="s">
        <v>26852</v>
      </c>
      <c r="B8555" t="s">
        <v>26853</v>
      </c>
      <c r="C8555" t="s">
        <v>26854</v>
      </c>
      <c r="D8555" t="s">
        <v>26836</v>
      </c>
      <c r="E8555">
        <v>45</v>
      </c>
      <c r="F8555" t="str">
        <f>HYPERLINK("https://github.com/fennifith/Alarmio/issues/41", "show")</f>
        <v>show</v>
      </c>
      <c r="G8555" t="str">
        <f>HYPERLINK("https://github.com/fennifith/Alarmio", "show")</f>
        <v>show</v>
      </c>
      <c r="H8555" t="str">
        <f>HYPERLINK("https://github.com/fennifith/Alarmio/releases", "show")</f>
        <v>show</v>
      </c>
      <c r="I8555">
        <v>1</v>
      </c>
      <c r="J8555">
        <v>1</v>
      </c>
      <c r="K8555">
        <v>1</v>
      </c>
      <c r="L8555">
        <v>0</v>
      </c>
      <c r="M8555" t="s">
        <v>59</v>
      </c>
    </row>
    <row r="8556" spans="1:13" hidden="1" x14ac:dyDescent="0.15">
      <c r="A8556" t="s">
        <v>26855</v>
      </c>
      <c r="B8556" t="s">
        <v>26856</v>
      </c>
      <c r="C8556" t="s">
        <v>26857</v>
      </c>
      <c r="D8556" t="s">
        <v>26858</v>
      </c>
      <c r="E8556">
        <v>169</v>
      </c>
      <c r="F8556" t="str">
        <f>HYPERLINK("https://github.com/Haptic-Apps/Slide/issues/2975", "show")</f>
        <v>show</v>
      </c>
      <c r="G8556" t="str">
        <f>HYPERLINK("https://github.com/Haptic-Apps/Slide", "show")</f>
        <v>show</v>
      </c>
      <c r="H8556" t="str">
        <f>HYPERLINK("https://github.com/Haptic-Apps/Slide/releases", "show")</f>
        <v>show</v>
      </c>
      <c r="I8556">
        <v>1</v>
      </c>
      <c r="J8556">
        <v>0</v>
      </c>
      <c r="K8556">
        <v>0</v>
      </c>
      <c r="L8556">
        <v>0</v>
      </c>
      <c r="M8556" t="s">
        <v>17</v>
      </c>
    </row>
    <row r="8557" spans="1:13" hidden="1" x14ac:dyDescent="0.15">
      <c r="A8557" t="s">
        <v>26859</v>
      </c>
      <c r="B8557" t="s">
        <v>4312</v>
      </c>
      <c r="C8557" t="s">
        <v>26860</v>
      </c>
      <c r="D8557" t="s">
        <v>26858</v>
      </c>
      <c r="E8557">
        <v>1</v>
      </c>
      <c r="F8557" t="str">
        <f>HYPERLINK("https://github.com/SeniorDesignTm/SmartUniMain/issues/1", "show")</f>
        <v>show</v>
      </c>
      <c r="G8557" t="str">
        <f>HYPERLINK("https://github.com/SeniorDesignTm/SmartUniMain", "show")</f>
        <v>show</v>
      </c>
      <c r="H8557" t="str">
        <f>HYPERLINK("https://github.com/SeniorDesignTm/SmartUniMain/releases", "show")</f>
        <v>show</v>
      </c>
      <c r="I8557">
        <v>1</v>
      </c>
      <c r="J8557">
        <v>0</v>
      </c>
      <c r="K8557">
        <v>0</v>
      </c>
      <c r="L8557">
        <v>0</v>
      </c>
      <c r="M8557" t="s">
        <v>17</v>
      </c>
    </row>
    <row r="8558" spans="1:13" hidden="1" x14ac:dyDescent="0.15">
      <c r="A8558" t="s">
        <v>26861</v>
      </c>
      <c r="B8558" t="s">
        <v>26862</v>
      </c>
      <c r="C8558" t="s">
        <v>26863</v>
      </c>
      <c r="D8558" t="s">
        <v>26858</v>
      </c>
      <c r="E8558">
        <v>0</v>
      </c>
      <c r="F8558" t="str">
        <f>HYPERLINK("https://github.com/commons-app/apps-android-commons/issues/2487", "show")</f>
        <v>show</v>
      </c>
      <c r="G8558" t="str">
        <f>HYPERLINK("https://github.com/commons-app/apps-android-commons", "show")</f>
        <v>show</v>
      </c>
      <c r="H8558" t="str">
        <f>HYPERLINK("https://github.com/commons-app/apps-android-commons/releases", "show")</f>
        <v>show</v>
      </c>
      <c r="I8558">
        <v>0</v>
      </c>
      <c r="J8558">
        <v>0</v>
      </c>
      <c r="K8558">
        <v>1</v>
      </c>
      <c r="L8558">
        <v>0</v>
      </c>
      <c r="M8558" t="s">
        <v>122</v>
      </c>
    </row>
    <row r="8559" spans="1:13" hidden="1" x14ac:dyDescent="0.15">
      <c r="A8559" t="s">
        <v>26864</v>
      </c>
      <c r="B8559" t="s">
        <v>26865</v>
      </c>
      <c r="D8559" t="s">
        <v>26858</v>
      </c>
      <c r="E8559">
        <v>9</v>
      </c>
      <c r="F8559" t="str">
        <f>HYPERLINK("https://github.com/opensrp/opensrp-client-chw/issues/129", "show")</f>
        <v>show</v>
      </c>
      <c r="G8559" t="str">
        <f>HYPERLINK("https://github.com/opensrp/opensrp-client-chw", "show")</f>
        <v>show</v>
      </c>
      <c r="H8559" t="str">
        <f>HYPERLINK("https://github.com/opensrp/opensrp-client-chw/releases", "show")</f>
        <v>show</v>
      </c>
      <c r="I8559">
        <v>1</v>
      </c>
      <c r="J8559">
        <v>0</v>
      </c>
      <c r="K8559">
        <v>0</v>
      </c>
      <c r="L8559">
        <v>0</v>
      </c>
      <c r="M8559" t="s">
        <v>17</v>
      </c>
    </row>
    <row r="8560" spans="1:13" hidden="1" x14ac:dyDescent="0.15">
      <c r="A8560" t="s">
        <v>26866</v>
      </c>
      <c r="B8560" t="s">
        <v>26867</v>
      </c>
      <c r="C8560" t="s">
        <v>26868</v>
      </c>
      <c r="D8560" t="s">
        <v>26858</v>
      </c>
      <c r="E8560">
        <v>29</v>
      </c>
      <c r="F8560" t="str">
        <f>HYPERLINK("https://github.com/fossasia/open-event-organizer-android/issues/1514", "show")</f>
        <v>show</v>
      </c>
      <c r="G8560" t="str">
        <f>HYPERLINK("https://github.com/fossasia/open-event-organizer-android", "show")</f>
        <v>show</v>
      </c>
      <c r="H8560" t="str">
        <f>HYPERLINK("https://github.com/fossasia/open-event-organizer-android/releases", "show")</f>
        <v>show</v>
      </c>
      <c r="I8560">
        <v>1</v>
      </c>
      <c r="J8560">
        <v>1</v>
      </c>
      <c r="K8560">
        <v>0</v>
      </c>
      <c r="L8560">
        <v>0</v>
      </c>
      <c r="M8560" t="s">
        <v>48</v>
      </c>
    </row>
    <row r="8561" spans="1:13" hidden="1" x14ac:dyDescent="0.15">
      <c r="A8561" t="s">
        <v>26869</v>
      </c>
      <c r="B8561" t="s">
        <v>26870</v>
      </c>
      <c r="C8561" t="s">
        <v>26871</v>
      </c>
      <c r="D8561" t="s">
        <v>26872</v>
      </c>
      <c r="E8561">
        <v>52</v>
      </c>
      <c r="F8561" t="str">
        <f>HYPERLINK("https://github.com/cgeo/cgeo/issues/7303", "show")</f>
        <v>show</v>
      </c>
      <c r="G8561" t="str">
        <f>HYPERLINK("https://github.com/cgeo/cgeo", "show")</f>
        <v>show</v>
      </c>
      <c r="H8561" t="str">
        <f>HYPERLINK("https://github.com/cgeo/cgeo/releases", "show")</f>
        <v>show</v>
      </c>
      <c r="I8561">
        <v>1</v>
      </c>
      <c r="J8561">
        <v>0</v>
      </c>
      <c r="K8561">
        <v>1</v>
      </c>
      <c r="L8561">
        <v>0</v>
      </c>
      <c r="M8561" t="s">
        <v>64</v>
      </c>
    </row>
    <row r="8562" spans="1:13" hidden="1" x14ac:dyDescent="0.15">
      <c r="A8562" t="s">
        <v>26873</v>
      </c>
      <c r="B8562" t="s">
        <v>26874</v>
      </c>
      <c r="C8562" t="s">
        <v>26875</v>
      </c>
      <c r="D8562" t="s">
        <v>26872</v>
      </c>
      <c r="E8562">
        <v>0</v>
      </c>
      <c r="F8562" t="str">
        <f>HYPERLINK("https://github.com/SCCapstone/DBK/issues/56", "show")</f>
        <v>show</v>
      </c>
      <c r="G8562" t="str">
        <f>HYPERLINK("https://github.com/SCCapstone/DBK", "show")</f>
        <v>show</v>
      </c>
      <c r="H8562" t="str">
        <f>HYPERLINK("https://github.com/SCCapstone/DBK/releases", "show")</f>
        <v>show</v>
      </c>
      <c r="I8562">
        <v>1</v>
      </c>
      <c r="J8562">
        <v>0</v>
      </c>
      <c r="K8562">
        <v>0</v>
      </c>
      <c r="L8562">
        <v>0</v>
      </c>
      <c r="M8562" t="s">
        <v>17</v>
      </c>
    </row>
    <row r="8563" spans="1:13" hidden="1" x14ac:dyDescent="0.15">
      <c r="A8563" t="s">
        <v>26876</v>
      </c>
      <c r="B8563" t="s">
        <v>26877</v>
      </c>
      <c r="C8563" t="s">
        <v>26878</v>
      </c>
      <c r="D8563" t="s">
        <v>26879</v>
      </c>
      <c r="E8563">
        <v>2</v>
      </c>
      <c r="F8563" t="str">
        <f>HYPERLINK("https://github.com/mjaun/android-anuto/issues/158", "show")</f>
        <v>show</v>
      </c>
      <c r="G8563" t="str">
        <f>HYPERLINK("https://github.com/mjaun/android-anuto", "show")</f>
        <v>show</v>
      </c>
      <c r="H8563" t="str">
        <f>HYPERLINK("https://github.com/mjaun/android-anuto/releases", "show")</f>
        <v>show</v>
      </c>
      <c r="I8563">
        <v>1</v>
      </c>
      <c r="J8563">
        <v>0</v>
      </c>
      <c r="K8563">
        <v>0</v>
      </c>
      <c r="L8563">
        <v>1</v>
      </c>
      <c r="M8563" t="s">
        <v>29</v>
      </c>
    </row>
    <row r="8564" spans="1:13" hidden="1" x14ac:dyDescent="0.15">
      <c r="A8564" t="s">
        <v>26880</v>
      </c>
      <c r="B8564" t="s">
        <v>26881</v>
      </c>
      <c r="C8564" t="s">
        <v>26882</v>
      </c>
      <c r="D8564" t="s">
        <v>26879</v>
      </c>
      <c r="E8564">
        <v>108</v>
      </c>
      <c r="F8564" t="str">
        <f>HYPERLINK("https://github.com/cgeo/cgeo/issues/7300", "show")</f>
        <v>show</v>
      </c>
      <c r="G8564" t="str">
        <f>HYPERLINK("https://github.com/cgeo/cgeo", "show")</f>
        <v>show</v>
      </c>
      <c r="H8564" t="str">
        <f>HYPERLINK("https://github.com/cgeo/cgeo/releases", "show")</f>
        <v>show</v>
      </c>
      <c r="I8564">
        <v>1</v>
      </c>
      <c r="J8564">
        <v>1</v>
      </c>
      <c r="K8564">
        <v>0</v>
      </c>
      <c r="L8564">
        <v>0</v>
      </c>
      <c r="M8564" t="s">
        <v>48</v>
      </c>
    </row>
    <row r="8565" spans="1:13" x14ac:dyDescent="0.15">
      <c r="A8565" t="s">
        <v>26883</v>
      </c>
      <c r="B8565" t="s">
        <v>26884</v>
      </c>
      <c r="C8565" t="s">
        <v>26885</v>
      </c>
      <c r="D8565" t="s">
        <v>26886</v>
      </c>
      <c r="E8565">
        <v>112</v>
      </c>
      <c r="F8565" t="str">
        <f>HYPERLINK("https://github.com/react-native-camera/react-native-camera/issues/2111", "show")</f>
        <v>show</v>
      </c>
      <c r="G8565" t="str">
        <f>HYPERLINK("https://github.com/react-native-camera/react-native-camera", "show")</f>
        <v>show</v>
      </c>
      <c r="H8565" t="str">
        <f>HYPERLINK("https://github.com/react-native-camera/react-native-camera/releases", "show")</f>
        <v>show</v>
      </c>
      <c r="I8565">
        <v>0</v>
      </c>
      <c r="J8565">
        <v>1</v>
      </c>
      <c r="K8565">
        <v>0</v>
      </c>
      <c r="L8565">
        <v>0</v>
      </c>
      <c r="M8565" t="s">
        <v>139</v>
      </c>
    </row>
    <row r="8566" spans="1:13" hidden="1" x14ac:dyDescent="0.15">
      <c r="A8566" t="s">
        <v>26887</v>
      </c>
      <c r="B8566" t="s">
        <v>26888</v>
      </c>
      <c r="D8566" t="s">
        <v>26889</v>
      </c>
      <c r="E8566">
        <v>4</v>
      </c>
      <c r="F8566" t="str">
        <f>HYPERLINK("https://github.com/DigitalCampus/oppia-mobile-android/issues/787", "show")</f>
        <v>show</v>
      </c>
      <c r="G8566" t="str">
        <f>HYPERLINK("https://github.com/DigitalCampus/oppia-mobile-android", "show")</f>
        <v>show</v>
      </c>
      <c r="H8566" t="str">
        <f>HYPERLINK("https://github.com/DigitalCampus/oppia-mobile-android/releases", "show")</f>
        <v>show</v>
      </c>
      <c r="I8566">
        <v>0</v>
      </c>
      <c r="J8566">
        <v>0</v>
      </c>
      <c r="K8566">
        <v>0</v>
      </c>
      <c r="L8566">
        <v>0</v>
      </c>
      <c r="M8566" t="s">
        <v>43</v>
      </c>
    </row>
    <row r="8567" spans="1:13" hidden="1" x14ac:dyDescent="0.15">
      <c r="A8567" t="s">
        <v>26890</v>
      </c>
      <c r="B8567" t="s">
        <v>26891</v>
      </c>
      <c r="C8567" t="s">
        <v>26892</v>
      </c>
      <c r="D8567" t="s">
        <v>26889</v>
      </c>
      <c r="E8567">
        <v>12</v>
      </c>
      <c r="F8567" t="str">
        <f>HYPERLINK("https://github.com/commons-app/apps-android-commons/issues/2476", "show")</f>
        <v>show</v>
      </c>
      <c r="G8567" t="str">
        <f>HYPERLINK("https://github.com/commons-app/apps-android-commons", "show")</f>
        <v>show</v>
      </c>
      <c r="H8567" t="str">
        <f>HYPERLINK("https://github.com/commons-app/apps-android-commons/releases", "show")</f>
        <v>show</v>
      </c>
      <c r="I8567">
        <v>1</v>
      </c>
      <c r="J8567">
        <v>0</v>
      </c>
      <c r="K8567">
        <v>1</v>
      </c>
      <c r="L8567">
        <v>0</v>
      </c>
      <c r="M8567" t="s">
        <v>64</v>
      </c>
    </row>
    <row r="8568" spans="1:13" x14ac:dyDescent="0.15">
      <c r="A8568" t="s">
        <v>26893</v>
      </c>
      <c r="B8568" t="s">
        <v>26894</v>
      </c>
      <c r="C8568" t="s">
        <v>26895</v>
      </c>
      <c r="D8568" t="s">
        <v>26889</v>
      </c>
      <c r="E8568">
        <v>19</v>
      </c>
      <c r="F8568" t="str">
        <f>HYPERLINK("https://github.com/google/ExoPlayer/issues/5520", "show")</f>
        <v>show</v>
      </c>
      <c r="G8568" t="str">
        <f>HYPERLINK("https://github.com/google/ExoPlayer", "show")</f>
        <v>show</v>
      </c>
      <c r="H8568" t="str">
        <f>HYPERLINK("https://github.com/google/ExoPlayer/releases", "show")</f>
        <v>show</v>
      </c>
      <c r="I8568">
        <v>0</v>
      </c>
      <c r="J8568">
        <v>1</v>
      </c>
      <c r="K8568">
        <v>0</v>
      </c>
      <c r="L8568">
        <v>0</v>
      </c>
      <c r="M8568" t="s">
        <v>139</v>
      </c>
    </row>
    <row r="8569" spans="1:13" hidden="1" x14ac:dyDescent="0.15">
      <c r="A8569" t="s">
        <v>26896</v>
      </c>
      <c r="B8569" t="s">
        <v>26897</v>
      </c>
      <c r="C8569" t="s">
        <v>26898</v>
      </c>
      <c r="D8569" t="s">
        <v>26889</v>
      </c>
      <c r="E8569">
        <v>32</v>
      </c>
      <c r="F8569" t="str">
        <f>HYPERLINK("https://github.com/marco97pa/punti-burraco/issues/16", "show")</f>
        <v>show</v>
      </c>
      <c r="G8569" t="str">
        <f>HYPERLINK("https://github.com/marco97pa/punti-burraco", "show")</f>
        <v>show</v>
      </c>
      <c r="H8569" t="str">
        <f>HYPERLINK("https://github.com/marco97pa/punti-burraco/releases", "show")</f>
        <v>show</v>
      </c>
      <c r="I8569">
        <v>1</v>
      </c>
      <c r="J8569">
        <v>0</v>
      </c>
      <c r="K8569">
        <v>1</v>
      </c>
      <c r="L8569">
        <v>0</v>
      </c>
      <c r="M8569" t="s">
        <v>64</v>
      </c>
    </row>
    <row r="8570" spans="1:13" hidden="1" x14ac:dyDescent="0.15">
      <c r="A8570" t="s">
        <v>26899</v>
      </c>
      <c r="B8570" t="s">
        <v>26900</v>
      </c>
      <c r="C8570" t="s">
        <v>26901</v>
      </c>
      <c r="D8570" t="s">
        <v>26889</v>
      </c>
      <c r="E8570">
        <v>17</v>
      </c>
      <c r="F8570" t="str">
        <f>HYPERLINK("https://github.com/getodk/collect/issues/2880", "show")</f>
        <v>show</v>
      </c>
      <c r="G8570" t="str">
        <f>HYPERLINK("https://github.com/getodk/collect", "show")</f>
        <v>show</v>
      </c>
      <c r="H8570" t="str">
        <f>HYPERLINK("https://github.com/getodk/collect/releases", "show")</f>
        <v>show</v>
      </c>
      <c r="I8570">
        <v>1</v>
      </c>
      <c r="J8570">
        <v>1</v>
      </c>
      <c r="K8570">
        <v>0</v>
      </c>
      <c r="L8570">
        <v>0</v>
      </c>
      <c r="M8570" t="s">
        <v>48</v>
      </c>
    </row>
    <row r="8571" spans="1:13" hidden="1" x14ac:dyDescent="0.15">
      <c r="A8571" t="s">
        <v>26902</v>
      </c>
      <c r="B8571" t="s">
        <v>26903</v>
      </c>
      <c r="C8571" t="s">
        <v>26904</v>
      </c>
      <c r="D8571" t="s">
        <v>26889</v>
      </c>
      <c r="E8571">
        <v>1</v>
      </c>
      <c r="F8571" t="str">
        <f>HYPERLINK("https://github.com/Freeyourgadget/Gadgetbridge/issues/1428", "show")</f>
        <v>show</v>
      </c>
      <c r="G8571" t="str">
        <f>HYPERLINK("https://github.com/Freeyourgadget/Gadgetbridge", "show")</f>
        <v>show</v>
      </c>
      <c r="H8571" t="str">
        <f>HYPERLINK("https://github.com/Freeyourgadget/Gadgetbridge/releases", "show")</f>
        <v>show</v>
      </c>
      <c r="I8571">
        <v>1</v>
      </c>
      <c r="J8571">
        <v>0</v>
      </c>
      <c r="K8571">
        <v>1</v>
      </c>
      <c r="L8571">
        <v>0</v>
      </c>
      <c r="M8571" t="s">
        <v>64</v>
      </c>
    </row>
    <row r="8572" spans="1:13" hidden="1" x14ac:dyDescent="0.15">
      <c r="A8572" t="s">
        <v>26905</v>
      </c>
      <c r="B8572" t="s">
        <v>26906</v>
      </c>
      <c r="C8572" t="s">
        <v>26907</v>
      </c>
      <c r="D8572" t="s">
        <v>26908</v>
      </c>
      <c r="E8572">
        <v>957</v>
      </c>
      <c r="F8572" t="str">
        <f>HYPERLINK("https://github.com/nikita36078/J2ME-Loader/issues/458", "show")</f>
        <v>show</v>
      </c>
      <c r="G8572" t="str">
        <f>HYPERLINK("https://github.com/nikita36078/J2ME-Loader", "show")</f>
        <v>show</v>
      </c>
      <c r="H8572" t="str">
        <f>HYPERLINK("https://github.com/nikita36078/J2ME-Loader/releases", "show")</f>
        <v>show</v>
      </c>
      <c r="I8572">
        <v>1</v>
      </c>
      <c r="J8572">
        <v>0</v>
      </c>
      <c r="K8572">
        <v>0</v>
      </c>
      <c r="L8572">
        <v>0</v>
      </c>
      <c r="M8572" t="s">
        <v>17</v>
      </c>
    </row>
    <row r="8573" spans="1:13" hidden="1" x14ac:dyDescent="0.15">
      <c r="A8573" t="s">
        <v>26909</v>
      </c>
      <c r="B8573" t="s">
        <v>26910</v>
      </c>
      <c r="C8573" t="s">
        <v>26911</v>
      </c>
      <c r="D8573" t="s">
        <v>26908</v>
      </c>
      <c r="E8573">
        <v>278</v>
      </c>
      <c r="F8573" t="str">
        <f>HYPERLINK("https://github.com/particle-iot/particle-android/issues/63", "show")</f>
        <v>show</v>
      </c>
      <c r="G8573" t="str">
        <f>HYPERLINK("https://github.com/particle-iot/particle-android", "show")</f>
        <v>show</v>
      </c>
      <c r="H8573" t="str">
        <f>HYPERLINK("https://github.com/particle-iot/particle-android/releases", "show")</f>
        <v>show</v>
      </c>
      <c r="I8573">
        <v>1</v>
      </c>
      <c r="J8573">
        <v>0</v>
      </c>
      <c r="K8573">
        <v>0</v>
      </c>
      <c r="L8573">
        <v>0</v>
      </c>
      <c r="M8573" t="s">
        <v>17</v>
      </c>
    </row>
    <row r="8574" spans="1:13" hidden="1" x14ac:dyDescent="0.15">
      <c r="A8574" t="s">
        <v>26912</v>
      </c>
      <c r="B8574" t="s">
        <v>26913</v>
      </c>
      <c r="C8574" t="s">
        <v>26914</v>
      </c>
      <c r="D8574" t="s">
        <v>26908</v>
      </c>
      <c r="E8574">
        <v>0</v>
      </c>
      <c r="F8574" t="str">
        <f>HYPERLINK("https://github.com/react-native-video/react-native-video/issues/1482", "show")</f>
        <v>show</v>
      </c>
      <c r="G8574" t="str">
        <f>HYPERLINK("https://github.com/react-native-video/react-native-video", "show")</f>
        <v>show</v>
      </c>
      <c r="H8574" t="str">
        <f>HYPERLINK("https://github.com/react-native-video/react-native-video/releases", "show")</f>
        <v>show</v>
      </c>
      <c r="I8574">
        <v>1</v>
      </c>
      <c r="J8574">
        <v>1</v>
      </c>
      <c r="K8574">
        <v>0</v>
      </c>
      <c r="L8574">
        <v>0</v>
      </c>
      <c r="M8574" t="s">
        <v>48</v>
      </c>
    </row>
    <row r="8575" spans="1:13" hidden="1" x14ac:dyDescent="0.15">
      <c r="A8575" t="s">
        <v>26915</v>
      </c>
      <c r="B8575" t="s">
        <v>26916</v>
      </c>
      <c r="C8575" t="s">
        <v>26917</v>
      </c>
      <c r="D8575" t="s">
        <v>26908</v>
      </c>
      <c r="E8575">
        <v>0</v>
      </c>
      <c r="F8575" t="str">
        <f>HYPERLINK("https://github.com/deltachat/deltachat-android/issues/720", "show")</f>
        <v>show</v>
      </c>
      <c r="G8575" t="str">
        <f>HYPERLINK("https://github.com/deltachat/deltachat-android", "show")</f>
        <v>show</v>
      </c>
      <c r="H8575" t="str">
        <f>HYPERLINK("https://github.com/deltachat/deltachat-android/releases", "show")</f>
        <v>show</v>
      </c>
      <c r="I8575">
        <v>1</v>
      </c>
      <c r="J8575">
        <v>0</v>
      </c>
      <c r="K8575">
        <v>0</v>
      </c>
      <c r="L8575">
        <v>0</v>
      </c>
      <c r="M8575" t="s">
        <v>17</v>
      </c>
    </row>
    <row r="8576" spans="1:13" hidden="1" x14ac:dyDescent="0.15">
      <c r="A8576" t="s">
        <v>26918</v>
      </c>
      <c r="B8576" t="s">
        <v>26919</v>
      </c>
      <c r="C8576" t="s">
        <v>26920</v>
      </c>
      <c r="D8576" t="s">
        <v>26908</v>
      </c>
      <c r="E8576">
        <v>1</v>
      </c>
      <c r="F8576" t="str">
        <f>HYPERLINK("https://github.com/commons-app/apps-android-commons/issues/2449", "show")</f>
        <v>show</v>
      </c>
      <c r="G8576" t="str">
        <f>HYPERLINK("https://github.com/commons-app/apps-android-commons", "show")</f>
        <v>show</v>
      </c>
      <c r="H8576" t="str">
        <f>HYPERLINK("https://github.com/commons-app/apps-android-commons/releases", "show")</f>
        <v>show</v>
      </c>
      <c r="I8576">
        <v>0</v>
      </c>
      <c r="J8576">
        <v>0</v>
      </c>
      <c r="K8576">
        <v>0</v>
      </c>
      <c r="L8576">
        <v>0</v>
      </c>
      <c r="M8576" t="s">
        <v>43</v>
      </c>
    </row>
    <row r="8577" spans="1:13" hidden="1" x14ac:dyDescent="0.15">
      <c r="A8577" t="s">
        <v>26921</v>
      </c>
      <c r="B8577" t="s">
        <v>26922</v>
      </c>
      <c r="C8577" t="s">
        <v>26923</v>
      </c>
      <c r="D8577" t="s">
        <v>26908</v>
      </c>
      <c r="E8577">
        <v>599</v>
      </c>
      <c r="F8577" t="str">
        <f>HYPERLINK("https://github.com/nikita36078/J2ME-Loader/issues/456", "show")</f>
        <v>show</v>
      </c>
      <c r="G8577" t="str">
        <f>HYPERLINK("https://github.com/nikita36078/J2ME-Loader", "show")</f>
        <v>show</v>
      </c>
      <c r="H8577" t="str">
        <f>HYPERLINK("https://github.com/nikita36078/J2ME-Loader/releases", "show")</f>
        <v>show</v>
      </c>
      <c r="I8577">
        <v>1</v>
      </c>
      <c r="J8577">
        <v>0</v>
      </c>
      <c r="K8577">
        <v>0</v>
      </c>
      <c r="L8577">
        <v>0</v>
      </c>
      <c r="M8577" t="s">
        <v>17</v>
      </c>
    </row>
    <row r="8578" spans="1:13" hidden="1" x14ac:dyDescent="0.15">
      <c r="A8578" t="s">
        <v>26924</v>
      </c>
      <c r="B8578" t="s">
        <v>26925</v>
      </c>
      <c r="C8578" t="s">
        <v>26926</v>
      </c>
      <c r="D8578" t="s">
        <v>26927</v>
      </c>
      <c r="E8578">
        <v>151</v>
      </c>
      <c r="F8578" t="str">
        <f>HYPERLINK("https://github.com/AmazMod/AmazMod/issues/400", "show")</f>
        <v>show</v>
      </c>
      <c r="G8578" t="str">
        <f>HYPERLINK("https://github.com/AmazMod/AmazMod", "show")</f>
        <v>show</v>
      </c>
      <c r="H8578" t="str">
        <f>HYPERLINK("https://github.com/AmazMod/AmazMod/releases", "show")</f>
        <v>show</v>
      </c>
      <c r="I8578">
        <v>1</v>
      </c>
      <c r="J8578">
        <v>0</v>
      </c>
      <c r="K8578">
        <v>0</v>
      </c>
      <c r="L8578">
        <v>0</v>
      </c>
      <c r="M8578" t="s">
        <v>17</v>
      </c>
    </row>
    <row r="8579" spans="1:13" hidden="1" x14ac:dyDescent="0.15">
      <c r="A8579" t="s">
        <v>26928</v>
      </c>
      <c r="B8579" t="s">
        <v>26929</v>
      </c>
      <c r="C8579" t="s">
        <v>26930</v>
      </c>
      <c r="D8579" t="s">
        <v>26927</v>
      </c>
      <c r="E8579">
        <v>1</v>
      </c>
      <c r="F8579" t="str">
        <f>HYPERLINK("https://github.com/moneymanagerex/android-money-manager-ex/issues/1296", "show")</f>
        <v>show</v>
      </c>
      <c r="G8579" t="str">
        <f>HYPERLINK("https://github.com/moneymanagerex/android-money-manager-ex", "show")</f>
        <v>show</v>
      </c>
      <c r="H8579" t="str">
        <f>HYPERLINK("https://github.com/moneymanagerex/android-money-manager-ex/releases", "show")</f>
        <v>show</v>
      </c>
      <c r="I8579">
        <v>0</v>
      </c>
      <c r="J8579">
        <v>0</v>
      </c>
      <c r="K8579">
        <v>0</v>
      </c>
      <c r="L8579">
        <v>0</v>
      </c>
      <c r="M8579" t="s">
        <v>43</v>
      </c>
    </row>
    <row r="8580" spans="1:13" hidden="1" x14ac:dyDescent="0.15">
      <c r="A8580" t="s">
        <v>26931</v>
      </c>
      <c r="B8580" t="s">
        <v>26932</v>
      </c>
      <c r="C8580" t="s">
        <v>26933</v>
      </c>
      <c r="D8580" t="s">
        <v>26927</v>
      </c>
      <c r="E8580">
        <v>9</v>
      </c>
      <c r="F8580" t="str">
        <f>HYPERLINK("https://github.com/ShawnLin013/NumberPicker/issues/135", "show")</f>
        <v>show</v>
      </c>
      <c r="G8580" t="str">
        <f>HYPERLINK("https://github.com/ShawnLin013/NumberPicker", "show")</f>
        <v>show</v>
      </c>
      <c r="H8580" t="str">
        <f>HYPERLINK("https://github.com/ShawnLin013/NumberPicker/releases", "show")</f>
        <v>show</v>
      </c>
      <c r="I8580">
        <v>0</v>
      </c>
      <c r="J8580">
        <v>0</v>
      </c>
      <c r="K8580">
        <v>1</v>
      </c>
      <c r="L8580">
        <v>0</v>
      </c>
      <c r="M8580" t="s">
        <v>122</v>
      </c>
    </row>
    <row r="8581" spans="1:13" hidden="1" x14ac:dyDescent="0.15">
      <c r="A8581" t="s">
        <v>26934</v>
      </c>
      <c r="B8581" t="s">
        <v>26935</v>
      </c>
      <c r="C8581" t="s">
        <v>26936</v>
      </c>
      <c r="D8581" t="s">
        <v>26937</v>
      </c>
      <c r="E8581">
        <v>3</v>
      </c>
      <c r="F8581" t="str">
        <f>HYPERLINK("https://github.com/nextcloud/android-library/issues/247", "show")</f>
        <v>show</v>
      </c>
      <c r="G8581" t="str">
        <f>HYPERLINK("https://github.com/nextcloud/android-library", "show")</f>
        <v>show</v>
      </c>
      <c r="H8581" t="str">
        <f>HYPERLINK("https://github.com/nextcloud/android-library/releases", "show")</f>
        <v>show</v>
      </c>
      <c r="I8581">
        <v>1</v>
      </c>
      <c r="J8581">
        <v>1</v>
      </c>
      <c r="K8581">
        <v>0</v>
      </c>
      <c r="L8581">
        <v>0</v>
      </c>
      <c r="M8581" t="s">
        <v>48</v>
      </c>
    </row>
    <row r="8582" spans="1:13" hidden="1" x14ac:dyDescent="0.15">
      <c r="A8582" t="s">
        <v>26938</v>
      </c>
      <c r="B8582" t="s">
        <v>26939</v>
      </c>
      <c r="C8582" t="s">
        <v>26940</v>
      </c>
      <c r="D8582" t="s">
        <v>26937</v>
      </c>
      <c r="E8582">
        <v>4</v>
      </c>
      <c r="F8582" t="str">
        <f>HYPERLINK("https://github.com/google/blockly-android/issues/772", "show")</f>
        <v>show</v>
      </c>
      <c r="G8582" t="str">
        <f>HYPERLINK("https://github.com/google/blockly-android", "show")</f>
        <v>show</v>
      </c>
      <c r="H8582" t="str">
        <f>HYPERLINK("https://github.com/google/blockly-android/releases", "show")</f>
        <v>show</v>
      </c>
      <c r="I8582">
        <v>1</v>
      </c>
      <c r="J8582">
        <v>0</v>
      </c>
      <c r="K8582">
        <v>1</v>
      </c>
      <c r="L8582">
        <v>0</v>
      </c>
      <c r="M8582" t="s">
        <v>64</v>
      </c>
    </row>
    <row r="8583" spans="1:13" hidden="1" x14ac:dyDescent="0.15">
      <c r="A8583" t="s">
        <v>26941</v>
      </c>
      <c r="B8583" t="s">
        <v>26942</v>
      </c>
      <c r="C8583" t="s">
        <v>26943</v>
      </c>
      <c r="D8583" t="s">
        <v>26937</v>
      </c>
      <c r="E8583">
        <v>16</v>
      </c>
      <c r="F8583" t="str">
        <f>HYPERLINK("https://github.com/Catfriend1/syncthing-android/issues/321", "show")</f>
        <v>show</v>
      </c>
      <c r="G8583" t="str">
        <f>HYPERLINK("https://github.com/Catfriend1/syncthing-android", "show")</f>
        <v>show</v>
      </c>
      <c r="H8583" t="str">
        <f>HYPERLINK("https://github.com/Catfriend1/syncthing-android/releases", "show")</f>
        <v>show</v>
      </c>
      <c r="I8583">
        <v>0</v>
      </c>
      <c r="J8583">
        <v>0</v>
      </c>
      <c r="K8583">
        <v>1</v>
      </c>
      <c r="L8583">
        <v>0</v>
      </c>
      <c r="M8583" t="s">
        <v>122</v>
      </c>
    </row>
    <row r="8584" spans="1:13" x14ac:dyDescent="0.15">
      <c r="A8584" t="s">
        <v>26944</v>
      </c>
      <c r="B8584" t="s">
        <v>26945</v>
      </c>
      <c r="C8584" t="s">
        <v>26946</v>
      </c>
      <c r="D8584" t="s">
        <v>26947</v>
      </c>
      <c r="E8584">
        <v>23</v>
      </c>
      <c r="F8584" t="str">
        <f>HYPERLINK("https://github.com/alexstojda/soen390/issues/36", "show")</f>
        <v>show</v>
      </c>
      <c r="G8584" t="str">
        <f>HYPERLINK("https://github.com/alexstojda/soen390", "show")</f>
        <v>show</v>
      </c>
      <c r="H8584" t="str">
        <f>HYPERLINK("https://github.com/alexstojda/soen390/releases", "show")</f>
        <v>show</v>
      </c>
      <c r="I8584">
        <v>0</v>
      </c>
      <c r="J8584">
        <v>1</v>
      </c>
      <c r="K8584">
        <v>0</v>
      </c>
      <c r="L8584">
        <v>0</v>
      </c>
      <c r="M8584" t="s">
        <v>139</v>
      </c>
    </row>
    <row r="8585" spans="1:13" hidden="1" x14ac:dyDescent="0.15">
      <c r="A8585" t="s">
        <v>26948</v>
      </c>
      <c r="B8585" t="s">
        <v>26949</v>
      </c>
      <c r="C8585" t="s">
        <v>26950</v>
      </c>
      <c r="D8585" t="s">
        <v>26947</v>
      </c>
      <c r="E8585">
        <v>135</v>
      </c>
      <c r="F8585" t="str">
        <f>HYPERLINK("https://github.com/fossasia/phimpme-android/issues/2523", "show")</f>
        <v>show</v>
      </c>
      <c r="G8585" t="str">
        <f>HYPERLINK("https://github.com/fossasia/phimpme-android", "show")</f>
        <v>show</v>
      </c>
      <c r="H8585" t="str">
        <f>HYPERLINK("https://github.com/fossasia/phimpme-android/releases", "show")</f>
        <v>show</v>
      </c>
      <c r="I8585">
        <v>1</v>
      </c>
      <c r="J8585">
        <v>1</v>
      </c>
      <c r="K8585">
        <v>0</v>
      </c>
      <c r="L8585">
        <v>0</v>
      </c>
      <c r="M8585" t="s">
        <v>48</v>
      </c>
    </row>
    <row r="8586" spans="1:13" hidden="1" x14ac:dyDescent="0.15">
      <c r="A8586" t="s">
        <v>26951</v>
      </c>
      <c r="B8586" t="s">
        <v>26952</v>
      </c>
      <c r="C8586" t="s">
        <v>26953</v>
      </c>
      <c r="D8586" t="s">
        <v>26947</v>
      </c>
      <c r="E8586">
        <v>99</v>
      </c>
      <c r="F8586" t="str">
        <f>HYPERLINK("https://github.com/square/retrofit/issues/3023", "show")</f>
        <v>show</v>
      </c>
      <c r="G8586" t="str">
        <f>HYPERLINK("https://github.com/square/retrofit", "show")</f>
        <v>show</v>
      </c>
      <c r="H8586" t="str">
        <f>HYPERLINK("https://github.com/square/retrofit/releases", "show")</f>
        <v>show</v>
      </c>
      <c r="I8586">
        <v>1</v>
      </c>
      <c r="J8586">
        <v>0</v>
      </c>
      <c r="K8586">
        <v>1</v>
      </c>
      <c r="L8586">
        <v>0</v>
      </c>
      <c r="M8586" t="s">
        <v>64</v>
      </c>
    </row>
    <row r="8587" spans="1:13" hidden="1" x14ac:dyDescent="0.15">
      <c r="A8587" t="s">
        <v>26954</v>
      </c>
      <c r="B8587" t="s">
        <v>26955</v>
      </c>
      <c r="C8587" t="s">
        <v>26956</v>
      </c>
      <c r="D8587" t="s">
        <v>26957</v>
      </c>
      <c r="E8587">
        <v>32</v>
      </c>
      <c r="F8587" t="str">
        <f>HYPERLINK("https://github.com/AmazMod/AmazMod/issues/392", "show")</f>
        <v>show</v>
      </c>
      <c r="G8587" t="str">
        <f>HYPERLINK("https://github.com/AmazMod/AmazMod", "show")</f>
        <v>show</v>
      </c>
      <c r="H8587" t="str">
        <f>HYPERLINK("https://github.com/AmazMod/AmazMod/releases", "show")</f>
        <v>show</v>
      </c>
      <c r="I8587">
        <v>1</v>
      </c>
      <c r="J8587">
        <v>0</v>
      </c>
      <c r="K8587">
        <v>0</v>
      </c>
      <c r="L8587">
        <v>0</v>
      </c>
      <c r="M8587" t="s">
        <v>17</v>
      </c>
    </row>
    <row r="8588" spans="1:13" hidden="1" x14ac:dyDescent="0.15">
      <c r="A8588" t="s">
        <v>26958</v>
      </c>
      <c r="B8588" t="s">
        <v>26959</v>
      </c>
      <c r="C8588" t="s">
        <v>26960</v>
      </c>
      <c r="D8588" t="s">
        <v>26961</v>
      </c>
      <c r="E8588">
        <v>19</v>
      </c>
      <c r="F8588" t="str">
        <f>HYPERLINK("https://github.com/SecUSo/privacy-friendly-wifi-manager/issues/18", "show")</f>
        <v>show</v>
      </c>
      <c r="G8588" t="str">
        <f>HYPERLINK("https://github.com/SecUSo/privacy-friendly-wifi-manager", "show")</f>
        <v>show</v>
      </c>
      <c r="H8588" t="str">
        <f>HYPERLINK("https://github.com/SecUSo/privacy-friendly-wifi-manager/releases", "show")</f>
        <v>show</v>
      </c>
      <c r="I8588">
        <v>1</v>
      </c>
      <c r="J8588">
        <v>0</v>
      </c>
      <c r="K8588">
        <v>0</v>
      </c>
      <c r="L8588">
        <v>0</v>
      </c>
      <c r="M8588" t="s">
        <v>17</v>
      </c>
    </row>
    <row r="8589" spans="1:13" hidden="1" x14ac:dyDescent="0.15">
      <c r="A8589" t="s">
        <v>26962</v>
      </c>
      <c r="B8589" t="s">
        <v>26963</v>
      </c>
      <c r="C8589" t="s">
        <v>26964</v>
      </c>
      <c r="D8589" t="s">
        <v>26961</v>
      </c>
      <c r="E8589">
        <v>17</v>
      </c>
      <c r="F8589" t="str">
        <f>HYPERLINK("https://github.com/awslabs/aws-mobile-appsync-sdk-android/issues/114", "show")</f>
        <v>show</v>
      </c>
      <c r="G8589" t="str">
        <f>HYPERLINK("https://github.com/awslabs/aws-mobile-appsync-sdk-android", "show")</f>
        <v>show</v>
      </c>
      <c r="H8589" t="str">
        <f>HYPERLINK("https://github.com/awslabs/aws-mobile-appsync-sdk-android/releases", "show")</f>
        <v>show</v>
      </c>
      <c r="I8589">
        <v>0</v>
      </c>
      <c r="J8589">
        <v>0</v>
      </c>
      <c r="K8589">
        <v>1</v>
      </c>
      <c r="L8589">
        <v>0</v>
      </c>
      <c r="M8589" t="s">
        <v>122</v>
      </c>
    </row>
    <row r="8590" spans="1:13" hidden="1" x14ac:dyDescent="0.15">
      <c r="A8590" t="s">
        <v>26965</v>
      </c>
      <c r="B8590" t="s">
        <v>26966</v>
      </c>
      <c r="C8590" t="s">
        <v>26967</v>
      </c>
      <c r="D8590" t="s">
        <v>26961</v>
      </c>
      <c r="E8590">
        <v>31</v>
      </c>
      <c r="F8590" t="str">
        <f>HYPERLINK("https://github.com/Intelehealth/Android-Mobile-Client/issues/625", "show")</f>
        <v>show</v>
      </c>
      <c r="G8590" t="str">
        <f>HYPERLINK("https://github.com/Intelehealth/Android-Mobile-Client", "show")</f>
        <v>show</v>
      </c>
      <c r="H8590" t="str">
        <f>HYPERLINK("https://github.com/Intelehealth/Android-Mobile-Client/releases", "show")</f>
        <v>show</v>
      </c>
      <c r="I8590">
        <v>0</v>
      </c>
      <c r="J8590">
        <v>0</v>
      </c>
      <c r="K8590">
        <v>0</v>
      </c>
      <c r="L8590">
        <v>0</v>
      </c>
      <c r="M8590" t="s">
        <v>43</v>
      </c>
    </row>
    <row r="8591" spans="1:13" hidden="1" x14ac:dyDescent="0.15">
      <c r="A8591" t="s">
        <v>26968</v>
      </c>
      <c r="B8591" t="s">
        <v>26969</v>
      </c>
      <c r="C8591" t="s">
        <v>26970</v>
      </c>
      <c r="D8591" t="s">
        <v>26971</v>
      </c>
      <c r="E8591">
        <v>86</v>
      </c>
      <c r="F8591" t="str">
        <f>HYPERLINK("https://github.com/matomo-org/matomo-sdk-android/issues/249", "show")</f>
        <v>show</v>
      </c>
      <c r="G8591" t="str">
        <f>HYPERLINK("https://github.com/matomo-org/matomo-sdk-android", "show")</f>
        <v>show</v>
      </c>
      <c r="H8591" t="str">
        <f>HYPERLINK("https://github.com/matomo-org/matomo-sdk-android/releases", "show")</f>
        <v>show</v>
      </c>
      <c r="I8591">
        <v>1</v>
      </c>
      <c r="J8591">
        <v>1</v>
      </c>
      <c r="K8591">
        <v>0</v>
      </c>
      <c r="L8591">
        <v>0</v>
      </c>
      <c r="M8591" t="s">
        <v>48</v>
      </c>
    </row>
    <row r="8592" spans="1:13" hidden="1" x14ac:dyDescent="0.15">
      <c r="A8592" t="s">
        <v>26972</v>
      </c>
      <c r="B8592" t="s">
        <v>26973</v>
      </c>
      <c r="C8592" t="s">
        <v>26974</v>
      </c>
      <c r="D8592" t="s">
        <v>26975</v>
      </c>
      <c r="E8592">
        <v>25</v>
      </c>
      <c r="F8592" t="str">
        <f>HYPERLINK("https://github.com/mendhak/gpslogger/issues/715", "show")</f>
        <v>show</v>
      </c>
      <c r="G8592" t="str">
        <f>HYPERLINK("https://github.com/mendhak/gpslogger", "show")</f>
        <v>show</v>
      </c>
      <c r="H8592" t="str">
        <f>HYPERLINK("https://github.com/mendhak/gpslogger/releases", "show")</f>
        <v>show</v>
      </c>
      <c r="I8592">
        <v>1</v>
      </c>
      <c r="J8592">
        <v>0</v>
      </c>
      <c r="K8592">
        <v>0</v>
      </c>
      <c r="L8592">
        <v>0</v>
      </c>
      <c r="M8592" t="s">
        <v>17</v>
      </c>
    </row>
    <row r="8593" spans="1:13" hidden="1" x14ac:dyDescent="0.15">
      <c r="A8593" t="s">
        <v>26976</v>
      </c>
      <c r="B8593" t="s">
        <v>26977</v>
      </c>
      <c r="D8593" t="s">
        <v>26975</v>
      </c>
      <c r="E8593">
        <v>10</v>
      </c>
      <c r="F8593" t="str">
        <f>HYPERLINK("https://github.com/MasoomBadi/Musica/issues/2", "show")</f>
        <v>show</v>
      </c>
      <c r="G8593" t="str">
        <f>HYPERLINK("https://github.com/MasoomBadi/Musica", "show")</f>
        <v>show</v>
      </c>
      <c r="H8593" t="str">
        <f>HYPERLINK("https://github.com/MasoomBadi/Musica/releases", "show")</f>
        <v>show</v>
      </c>
      <c r="I8593">
        <v>1</v>
      </c>
      <c r="J8593">
        <v>0</v>
      </c>
      <c r="K8593">
        <v>0</v>
      </c>
      <c r="L8593">
        <v>0</v>
      </c>
      <c r="M8593" t="s">
        <v>17</v>
      </c>
    </row>
    <row r="8594" spans="1:13" hidden="1" x14ac:dyDescent="0.15">
      <c r="A8594" t="s">
        <v>26978</v>
      </c>
      <c r="B8594" t="s">
        <v>26979</v>
      </c>
      <c r="C8594" t="s">
        <v>26980</v>
      </c>
      <c r="D8594" t="s">
        <v>26981</v>
      </c>
      <c r="E8594">
        <v>1</v>
      </c>
      <c r="F8594" t="str">
        <f>HYPERLINK("https://github.com/google/ExoPlayer/issues/5476", "show")</f>
        <v>show</v>
      </c>
      <c r="G8594" t="str">
        <f>HYPERLINK("https://github.com/google/ExoPlayer", "show")</f>
        <v>show</v>
      </c>
      <c r="H8594" t="str">
        <f>HYPERLINK("https://github.com/google/ExoPlayer/releases", "show")</f>
        <v>show</v>
      </c>
      <c r="I8594">
        <v>1</v>
      </c>
      <c r="J8594">
        <v>0</v>
      </c>
      <c r="K8594">
        <v>1</v>
      </c>
      <c r="L8594">
        <v>0</v>
      </c>
      <c r="M8594" t="s">
        <v>64</v>
      </c>
    </row>
    <row r="8595" spans="1:13" hidden="1" x14ac:dyDescent="0.15">
      <c r="A8595" t="s">
        <v>26982</v>
      </c>
      <c r="B8595" t="s">
        <v>26983</v>
      </c>
      <c r="C8595" t="s">
        <v>26984</v>
      </c>
      <c r="D8595" t="s">
        <v>26981</v>
      </c>
      <c r="E8595">
        <v>0</v>
      </c>
      <c r="F8595" t="str">
        <f>HYPERLINK("https://github.com/square/okhttp/issues/4592", "show")</f>
        <v>show</v>
      </c>
      <c r="G8595" t="str">
        <f>HYPERLINK("https://github.com/square/okhttp", "show")</f>
        <v>show</v>
      </c>
      <c r="H8595" t="str">
        <f>HYPERLINK("https://github.com/square/okhttp/releases", "show")</f>
        <v>show</v>
      </c>
      <c r="I8595">
        <v>1</v>
      </c>
      <c r="J8595">
        <v>0</v>
      </c>
      <c r="K8595">
        <v>1</v>
      </c>
      <c r="L8595">
        <v>0</v>
      </c>
      <c r="M8595" t="s">
        <v>64</v>
      </c>
    </row>
    <row r="8596" spans="1:13" hidden="1" x14ac:dyDescent="0.15">
      <c r="A8596" t="s">
        <v>26985</v>
      </c>
      <c r="B8596" t="s">
        <v>26986</v>
      </c>
      <c r="D8596" t="s">
        <v>26981</v>
      </c>
      <c r="E8596">
        <v>56</v>
      </c>
      <c r="F8596" t="str">
        <f>HYPERLINK("https://github.com/BlueCodeSystems/smartcerv/issues/3", "show")</f>
        <v>show</v>
      </c>
      <c r="G8596" t="str">
        <f>HYPERLINK("https://github.com/BlueCodeSystems/smartcerv", "show")</f>
        <v>show</v>
      </c>
      <c r="H8596" t="str">
        <f>HYPERLINK("https://github.com/BlueCodeSystems/smartcerv/releases", "show")</f>
        <v>show</v>
      </c>
      <c r="I8596">
        <v>1</v>
      </c>
      <c r="J8596">
        <v>0</v>
      </c>
      <c r="K8596">
        <v>0</v>
      </c>
      <c r="L8596">
        <v>0</v>
      </c>
      <c r="M8596" t="s">
        <v>17</v>
      </c>
    </row>
    <row r="8597" spans="1:13" hidden="1" x14ac:dyDescent="0.15">
      <c r="A8597" t="s">
        <v>26987</v>
      </c>
      <c r="B8597" t="s">
        <v>26988</v>
      </c>
      <c r="C8597" t="s">
        <v>26989</v>
      </c>
      <c r="D8597" t="s">
        <v>26981</v>
      </c>
      <c r="E8597">
        <v>22</v>
      </c>
      <c r="F8597" t="str">
        <f>HYPERLINK("https://github.com/KnightHacks/KnightHacks_androiddev/issues/26", "show")</f>
        <v>show</v>
      </c>
      <c r="G8597" t="str">
        <f>HYPERLINK("https://github.com/KnightHacks/KnightHacks_androiddev", "show")</f>
        <v>show</v>
      </c>
      <c r="H8597" t="str">
        <f>HYPERLINK("https://github.com/KnightHacks/KnightHacks_androiddev/releases", "show")</f>
        <v>show</v>
      </c>
      <c r="I8597">
        <v>0</v>
      </c>
      <c r="J8597">
        <v>0</v>
      </c>
      <c r="K8597">
        <v>0</v>
      </c>
      <c r="L8597">
        <v>0</v>
      </c>
      <c r="M8597" t="s">
        <v>43</v>
      </c>
    </row>
    <row r="8598" spans="1:13" hidden="1" x14ac:dyDescent="0.15">
      <c r="A8598" t="s">
        <v>26990</v>
      </c>
      <c r="B8598" t="s">
        <v>26991</v>
      </c>
      <c r="C8598" t="s">
        <v>26992</v>
      </c>
      <c r="D8598" t="s">
        <v>26993</v>
      </c>
      <c r="E8598">
        <v>2</v>
      </c>
      <c r="F8598" t="str">
        <f>HYPERLINK("https://github.com/nextcloud/android/issues/3565", "show")</f>
        <v>show</v>
      </c>
      <c r="G8598" t="str">
        <f>HYPERLINK("https://github.com/nextcloud/android", "show")</f>
        <v>show</v>
      </c>
      <c r="H8598" t="str">
        <f>HYPERLINK("https://github.com/nextcloud/android/releases", "show")</f>
        <v>show</v>
      </c>
      <c r="I8598">
        <v>1</v>
      </c>
      <c r="J8598">
        <v>1</v>
      </c>
      <c r="K8598">
        <v>1</v>
      </c>
      <c r="L8598">
        <v>0</v>
      </c>
      <c r="M8598" t="s">
        <v>59</v>
      </c>
    </row>
    <row r="8599" spans="1:13" hidden="1" x14ac:dyDescent="0.15">
      <c r="A8599" t="s">
        <v>26994</v>
      </c>
      <c r="B8599" t="s">
        <v>26995</v>
      </c>
      <c r="C8599" t="s">
        <v>26996</v>
      </c>
      <c r="D8599" t="s">
        <v>26993</v>
      </c>
      <c r="E8599">
        <v>2</v>
      </c>
      <c r="F8599" t="str">
        <f>HYPERLINK("https://github.com/nextcloud/android/issues/3559", "show")</f>
        <v>show</v>
      </c>
      <c r="G8599" t="str">
        <f>HYPERLINK("https://github.com/nextcloud/android", "show")</f>
        <v>show</v>
      </c>
      <c r="H8599" t="str">
        <f>HYPERLINK("https://github.com/nextcloud/android/releases", "show")</f>
        <v>show</v>
      </c>
      <c r="I8599">
        <v>1</v>
      </c>
      <c r="J8599">
        <v>0</v>
      </c>
      <c r="K8599">
        <v>1</v>
      </c>
      <c r="L8599">
        <v>0</v>
      </c>
      <c r="M8599" t="s">
        <v>64</v>
      </c>
    </row>
    <row r="8600" spans="1:13" hidden="1" x14ac:dyDescent="0.15">
      <c r="A8600" t="s">
        <v>26997</v>
      </c>
      <c r="B8600" t="s">
        <v>26998</v>
      </c>
      <c r="C8600" t="s">
        <v>26999</v>
      </c>
      <c r="D8600" t="s">
        <v>26993</v>
      </c>
      <c r="E8600">
        <v>610</v>
      </c>
      <c r="F8600" t="str">
        <f>HYPERLINK("https://github.com/k9mail/k-9/issues/3900", "show")</f>
        <v>show</v>
      </c>
      <c r="G8600" t="str">
        <f>HYPERLINK("https://github.com/k9mail/k-9", "show")</f>
        <v>show</v>
      </c>
      <c r="H8600" t="str">
        <f>HYPERLINK("https://github.com/k9mail/k-9/releases", "show")</f>
        <v>show</v>
      </c>
      <c r="I8600">
        <v>1</v>
      </c>
      <c r="J8600">
        <v>1</v>
      </c>
      <c r="K8600">
        <v>0</v>
      </c>
      <c r="L8600">
        <v>0</v>
      </c>
      <c r="M8600" t="s">
        <v>48</v>
      </c>
    </row>
    <row r="8601" spans="1:13" x14ac:dyDescent="0.15">
      <c r="A8601" t="s">
        <v>27000</v>
      </c>
      <c r="B8601" t="s">
        <v>27001</v>
      </c>
      <c r="C8601" t="s">
        <v>27002</v>
      </c>
      <c r="D8601" t="s">
        <v>27003</v>
      </c>
      <c r="E8601">
        <v>109</v>
      </c>
      <c r="F8601" t="str">
        <f>HYPERLINK("https://github.com/nextcloud/android/issues/3557", "show")</f>
        <v>show</v>
      </c>
      <c r="G8601" t="str">
        <f>HYPERLINK("https://github.com/nextcloud/android", "show")</f>
        <v>show</v>
      </c>
      <c r="H8601" t="str">
        <f>HYPERLINK("https://github.com/nextcloud/android/releases", "show")</f>
        <v>show</v>
      </c>
      <c r="I8601">
        <v>0</v>
      </c>
      <c r="J8601">
        <v>1</v>
      </c>
      <c r="K8601">
        <v>0</v>
      </c>
      <c r="L8601">
        <v>0</v>
      </c>
      <c r="M8601" t="s">
        <v>139</v>
      </c>
    </row>
    <row r="8602" spans="1:13" hidden="1" x14ac:dyDescent="0.15">
      <c r="A8602" t="s">
        <v>27004</v>
      </c>
      <c r="B8602" t="s">
        <v>27005</v>
      </c>
      <c r="C8602" t="s">
        <v>27006</v>
      </c>
      <c r="D8602" t="s">
        <v>27007</v>
      </c>
      <c r="E8602">
        <v>8</v>
      </c>
      <c r="F8602" t="str">
        <f>HYPERLINK("https://github.com/deltachat/deltachat-android/issues/698", "show")</f>
        <v>show</v>
      </c>
      <c r="G8602" t="str">
        <f>HYPERLINK("https://github.com/deltachat/deltachat-android", "show")</f>
        <v>show</v>
      </c>
      <c r="H8602" t="str">
        <f>HYPERLINK("https://github.com/deltachat/deltachat-android/releases", "show")</f>
        <v>show</v>
      </c>
      <c r="I8602">
        <v>1</v>
      </c>
      <c r="J8602">
        <v>0</v>
      </c>
      <c r="K8602">
        <v>0</v>
      </c>
      <c r="L8602">
        <v>0</v>
      </c>
      <c r="M8602" t="s">
        <v>17</v>
      </c>
    </row>
    <row r="8603" spans="1:13" hidden="1" x14ac:dyDescent="0.15">
      <c r="A8603" t="s">
        <v>27008</v>
      </c>
      <c r="B8603" t="s">
        <v>27009</v>
      </c>
      <c r="C8603" t="s">
        <v>27010</v>
      </c>
      <c r="D8603" t="s">
        <v>27007</v>
      </c>
      <c r="E8603">
        <v>0</v>
      </c>
      <c r="F8603" t="str">
        <f>HYPERLINK("https://github.com/MCMrARM/revolution-irc/issues/189", "show")</f>
        <v>show</v>
      </c>
      <c r="G8603" t="str">
        <f>HYPERLINK("https://github.com/MCMrARM/revolution-irc", "show")</f>
        <v>show</v>
      </c>
      <c r="H8603" t="str">
        <f>HYPERLINK("https://github.com/MCMrARM/revolution-irc/releases", "show")</f>
        <v>show</v>
      </c>
      <c r="I8603">
        <v>1</v>
      </c>
      <c r="J8603">
        <v>0</v>
      </c>
      <c r="K8603">
        <v>0</v>
      </c>
      <c r="L8603">
        <v>0</v>
      </c>
      <c r="M8603" t="s">
        <v>17</v>
      </c>
    </row>
    <row r="8604" spans="1:13" hidden="1" x14ac:dyDescent="0.15">
      <c r="A8604" t="s">
        <v>27011</v>
      </c>
      <c r="B8604" t="s">
        <v>27012</v>
      </c>
      <c r="C8604" t="s">
        <v>27013</v>
      </c>
      <c r="D8604" t="s">
        <v>27014</v>
      </c>
      <c r="E8604">
        <v>249</v>
      </c>
      <c r="F8604" t="str">
        <f>HYPERLINK("https://github.com/wordpress-mobile/WordPress-Login-Flow-Android/issues/7", "show")</f>
        <v>show</v>
      </c>
      <c r="G8604" t="str">
        <f>HYPERLINK("https://github.com/wordpress-mobile/WordPress-Login-Flow-Android", "show")</f>
        <v>show</v>
      </c>
      <c r="H8604" t="str">
        <f>HYPERLINK("https://github.com/wordpress-mobile/WordPress-Login-Flow-Android/releases", "show")</f>
        <v>show</v>
      </c>
      <c r="I8604">
        <v>0</v>
      </c>
      <c r="J8604">
        <v>0</v>
      </c>
      <c r="K8604">
        <v>0</v>
      </c>
      <c r="L8604">
        <v>0</v>
      </c>
      <c r="M8604" t="s">
        <v>43</v>
      </c>
    </row>
    <row r="8605" spans="1:13" hidden="1" x14ac:dyDescent="0.15">
      <c r="A8605" t="s">
        <v>27015</v>
      </c>
      <c r="B8605" t="s">
        <v>27016</v>
      </c>
      <c r="C8605" t="s">
        <v>27017</v>
      </c>
      <c r="D8605" t="s">
        <v>27018</v>
      </c>
      <c r="E8605">
        <v>0</v>
      </c>
      <c r="F8605" t="str">
        <f>HYPERLINK("https://github.com/Catfriend1/syncthing-android/issues/295", "show")</f>
        <v>show</v>
      </c>
      <c r="G8605" t="str">
        <f>HYPERLINK("https://github.com/Catfriend1/syncthing-android", "show")</f>
        <v>show</v>
      </c>
      <c r="H8605" t="str">
        <f>HYPERLINK("https://github.com/Catfriend1/syncthing-android/releases", "show")</f>
        <v>show</v>
      </c>
      <c r="I8605">
        <v>1</v>
      </c>
      <c r="J8605">
        <v>0</v>
      </c>
      <c r="K8605">
        <v>0</v>
      </c>
      <c r="L8605">
        <v>0</v>
      </c>
      <c r="M8605" t="s">
        <v>17</v>
      </c>
    </row>
    <row r="8606" spans="1:13" hidden="1" x14ac:dyDescent="0.15">
      <c r="A8606" t="s">
        <v>27019</v>
      </c>
      <c r="B8606" t="s">
        <v>27020</v>
      </c>
      <c r="C8606" t="s">
        <v>27021</v>
      </c>
      <c r="D8606" t="s">
        <v>27018</v>
      </c>
      <c r="E8606">
        <v>0</v>
      </c>
      <c r="F8606" t="str">
        <f>HYPERLINK("https://github.com/Catfriend1/syncthing-android/issues/291", "show")</f>
        <v>show</v>
      </c>
      <c r="G8606" t="str">
        <f>HYPERLINK("https://github.com/Catfriend1/syncthing-android", "show")</f>
        <v>show</v>
      </c>
      <c r="H8606" t="str">
        <f>HYPERLINK("https://github.com/Catfriend1/syncthing-android/releases", "show")</f>
        <v>show</v>
      </c>
      <c r="I8606">
        <v>1</v>
      </c>
      <c r="J8606">
        <v>0</v>
      </c>
      <c r="K8606">
        <v>1</v>
      </c>
      <c r="L8606">
        <v>0</v>
      </c>
      <c r="M8606" t="s">
        <v>64</v>
      </c>
    </row>
    <row r="8607" spans="1:13" x14ac:dyDescent="0.15">
      <c r="A8607" t="s">
        <v>27022</v>
      </c>
      <c r="B8607" t="s">
        <v>27023</v>
      </c>
      <c r="C8607" t="s">
        <v>27024</v>
      </c>
      <c r="D8607" t="s">
        <v>27018</v>
      </c>
      <c r="E8607">
        <v>14</v>
      </c>
      <c r="F8607" t="str">
        <f>HYPERLINK("https://github.com/nextcloud/talk-android/issues/439", "show")</f>
        <v>show</v>
      </c>
      <c r="G8607" t="str">
        <f>HYPERLINK("https://github.com/nextcloud/talk-android", "show")</f>
        <v>show</v>
      </c>
      <c r="H8607" t="str">
        <f>HYPERLINK("https://github.com/nextcloud/talk-android/releases", "show")</f>
        <v>show</v>
      </c>
      <c r="I8607">
        <v>0</v>
      </c>
      <c r="J8607">
        <v>1</v>
      </c>
      <c r="K8607">
        <v>0</v>
      </c>
      <c r="L8607">
        <v>0</v>
      </c>
      <c r="M8607" t="s">
        <v>139</v>
      </c>
    </row>
    <row r="8608" spans="1:13" hidden="1" x14ac:dyDescent="0.15">
      <c r="A8608" t="s">
        <v>27025</v>
      </c>
      <c r="B8608" t="s">
        <v>27026</v>
      </c>
      <c r="C8608" t="s">
        <v>27027</v>
      </c>
      <c r="D8608" t="s">
        <v>27018</v>
      </c>
      <c r="E8608">
        <v>0</v>
      </c>
      <c r="F8608" t="str">
        <f>HYPERLINK("https://github.com/tyirenkyi/NewsApp/issues/1", "show")</f>
        <v>show</v>
      </c>
      <c r="G8608" t="str">
        <f>HYPERLINK("https://github.com/tyirenkyi/NewsApp", "show")</f>
        <v>show</v>
      </c>
      <c r="H8608" t="str">
        <f>HYPERLINK("https://github.com/tyirenkyi/NewsApp/releases", "show")</f>
        <v>show</v>
      </c>
      <c r="I8608">
        <v>1</v>
      </c>
      <c r="J8608">
        <v>0</v>
      </c>
      <c r="K8608">
        <v>0</v>
      </c>
      <c r="L8608">
        <v>0</v>
      </c>
      <c r="M8608" t="s">
        <v>17</v>
      </c>
    </row>
    <row r="8609" spans="1:13" hidden="1" x14ac:dyDescent="0.15">
      <c r="A8609" t="s">
        <v>27028</v>
      </c>
      <c r="B8609" t="s">
        <v>27029</v>
      </c>
      <c r="C8609" t="s">
        <v>27030</v>
      </c>
      <c r="D8609" t="s">
        <v>27031</v>
      </c>
      <c r="E8609">
        <v>0</v>
      </c>
      <c r="F8609" t="str">
        <f>HYPERLINK("https://github.com/niranjan-nagaraju/notification-center/issues/1", "show")</f>
        <v>show</v>
      </c>
      <c r="G8609" t="str">
        <f>HYPERLINK("https://github.com/niranjan-nagaraju/notification-center", "show")</f>
        <v>show</v>
      </c>
      <c r="H8609" t="str">
        <f>HYPERLINK("https://github.com/niranjan-nagaraju/notification-center/releases", "show")</f>
        <v>show</v>
      </c>
      <c r="I8609">
        <v>1</v>
      </c>
      <c r="J8609">
        <v>0</v>
      </c>
      <c r="K8609">
        <v>0</v>
      </c>
      <c r="L8609">
        <v>0</v>
      </c>
      <c r="M8609" t="s">
        <v>17</v>
      </c>
    </row>
    <row r="8610" spans="1:13" hidden="1" x14ac:dyDescent="0.15">
      <c r="A8610" t="s">
        <v>27032</v>
      </c>
      <c r="B8610" t="s">
        <v>27033</v>
      </c>
      <c r="C8610" t="s">
        <v>27034</v>
      </c>
      <c r="D8610" t="s">
        <v>27031</v>
      </c>
      <c r="E8610">
        <v>8</v>
      </c>
      <c r="F8610" t="str">
        <f>HYPERLINK("https://github.com/libgdx/gdx-pay/issues/189", "show")</f>
        <v>show</v>
      </c>
      <c r="G8610" t="str">
        <f>HYPERLINK("https://github.com/libgdx/gdx-pay", "show")</f>
        <v>show</v>
      </c>
      <c r="H8610" t="str">
        <f>HYPERLINK("https://github.com/libgdx/gdx-pay/releases", "show")</f>
        <v>show</v>
      </c>
      <c r="I8610">
        <v>1</v>
      </c>
      <c r="J8610">
        <v>0</v>
      </c>
      <c r="K8610">
        <v>1</v>
      </c>
      <c r="L8610">
        <v>0</v>
      </c>
      <c r="M8610" t="s">
        <v>64</v>
      </c>
    </row>
    <row r="8611" spans="1:13" hidden="1" x14ac:dyDescent="0.15">
      <c r="A8611" t="s">
        <v>27035</v>
      </c>
      <c r="B8611" t="s">
        <v>27036</v>
      </c>
      <c r="C8611" t="s">
        <v>27037</v>
      </c>
      <c r="D8611" t="s">
        <v>27031</v>
      </c>
      <c r="E8611">
        <v>2</v>
      </c>
      <c r="F8611" t="str">
        <f>HYPERLINK("https://github.com/MegatronKing/NetBare/issues/4", "show")</f>
        <v>show</v>
      </c>
      <c r="G8611" t="str">
        <f>HYPERLINK("https://github.com/MegatronKing/NetBare", "show")</f>
        <v>show</v>
      </c>
      <c r="H8611" t="str">
        <f>HYPERLINK("https://github.com/MegatronKing/NetBare/releases", "show")</f>
        <v>show</v>
      </c>
      <c r="I8611">
        <v>1</v>
      </c>
      <c r="J8611">
        <v>0</v>
      </c>
      <c r="K8611">
        <v>1</v>
      </c>
      <c r="L8611">
        <v>0</v>
      </c>
      <c r="M8611" t="s">
        <v>64</v>
      </c>
    </row>
    <row r="8612" spans="1:13" hidden="1" x14ac:dyDescent="0.15">
      <c r="A8612" t="s">
        <v>27038</v>
      </c>
      <c r="B8612" t="s">
        <v>27039</v>
      </c>
      <c r="C8612" t="s">
        <v>27040</v>
      </c>
      <c r="D8612" t="s">
        <v>27031</v>
      </c>
      <c r="E8612">
        <v>0</v>
      </c>
      <c r="F8612" t="str">
        <f>HYPERLINK("https://github.com/zeroc-ice/ice-demos/issues/37", "show")</f>
        <v>show</v>
      </c>
      <c r="G8612" t="str">
        <f>HYPERLINK("https://github.com/zeroc-ice/ice-demos", "show")</f>
        <v>show</v>
      </c>
      <c r="H8612" t="str">
        <f>HYPERLINK("https://github.com/zeroc-ice/ice-demos/releases", "show")</f>
        <v>show</v>
      </c>
      <c r="I8612">
        <v>1</v>
      </c>
      <c r="J8612">
        <v>0</v>
      </c>
      <c r="K8612">
        <v>1</v>
      </c>
      <c r="L8612">
        <v>0</v>
      </c>
      <c r="M8612" t="s">
        <v>64</v>
      </c>
    </row>
    <row r="8613" spans="1:13" hidden="1" x14ac:dyDescent="0.15">
      <c r="A8613" t="s">
        <v>27041</v>
      </c>
      <c r="B8613" t="s">
        <v>27042</v>
      </c>
      <c r="C8613" t="s">
        <v>27043</v>
      </c>
      <c r="D8613" t="s">
        <v>27031</v>
      </c>
      <c r="E8613">
        <v>63</v>
      </c>
      <c r="F8613" t="str">
        <f>HYPERLINK("https://github.com/tobexyz/yaacc-code/issues/27", "show")</f>
        <v>show</v>
      </c>
      <c r="G8613" t="str">
        <f>HYPERLINK("https://github.com/tobexyz/yaacc-code", "show")</f>
        <v>show</v>
      </c>
      <c r="H8613" t="str">
        <f>HYPERLINK("https://github.com/tobexyz/yaacc-code/releases", "show")</f>
        <v>show</v>
      </c>
      <c r="I8613">
        <v>1</v>
      </c>
      <c r="J8613">
        <v>0</v>
      </c>
      <c r="K8613">
        <v>0</v>
      </c>
      <c r="L8613">
        <v>0</v>
      </c>
      <c r="M8613" t="s">
        <v>17</v>
      </c>
    </row>
    <row r="8614" spans="1:13" hidden="1" x14ac:dyDescent="0.15">
      <c r="A8614" t="s">
        <v>27044</v>
      </c>
      <c r="B8614" t="s">
        <v>27045</v>
      </c>
      <c r="C8614" t="s">
        <v>27046</v>
      </c>
      <c r="D8614" t="s">
        <v>27031</v>
      </c>
      <c r="E8614">
        <v>60</v>
      </c>
      <c r="F8614" t="str">
        <f>HYPERLINK("https://github.com/tobexyz/yaacc-code/issues/26", "show")</f>
        <v>show</v>
      </c>
      <c r="G8614" t="str">
        <f>HYPERLINK("https://github.com/tobexyz/yaacc-code", "show")</f>
        <v>show</v>
      </c>
      <c r="H8614" t="str">
        <f>HYPERLINK("https://github.com/tobexyz/yaacc-code/releases", "show")</f>
        <v>show</v>
      </c>
      <c r="I8614">
        <v>0</v>
      </c>
      <c r="J8614">
        <v>1</v>
      </c>
      <c r="K8614">
        <v>1</v>
      </c>
      <c r="L8614">
        <v>0</v>
      </c>
      <c r="M8614" t="s">
        <v>699</v>
      </c>
    </row>
    <row r="8615" spans="1:13" hidden="1" x14ac:dyDescent="0.15">
      <c r="A8615" t="s">
        <v>27047</v>
      </c>
      <c r="B8615" t="s">
        <v>27048</v>
      </c>
      <c r="C8615" t="s">
        <v>27049</v>
      </c>
      <c r="D8615" t="s">
        <v>27050</v>
      </c>
      <c r="E8615">
        <v>148</v>
      </c>
      <c r="F8615" t="str">
        <f>HYPERLINK("https://github.com/fossasia/phimpme-android/issues/2469", "show")</f>
        <v>show</v>
      </c>
      <c r="G8615" t="str">
        <f>HYPERLINK("https://github.com/fossasia/phimpme-android", "show")</f>
        <v>show</v>
      </c>
      <c r="H8615" t="str">
        <f>HYPERLINK("https://github.com/fossasia/phimpme-android/releases", "show")</f>
        <v>show</v>
      </c>
      <c r="I8615">
        <v>1</v>
      </c>
      <c r="J8615">
        <v>0</v>
      </c>
      <c r="K8615">
        <v>0</v>
      </c>
      <c r="L8615">
        <v>1</v>
      </c>
      <c r="M8615" t="s">
        <v>29</v>
      </c>
    </row>
    <row r="8616" spans="1:13" hidden="1" x14ac:dyDescent="0.15">
      <c r="A8616" t="s">
        <v>27051</v>
      </c>
      <c r="B8616" t="s">
        <v>27052</v>
      </c>
      <c r="C8616" t="s">
        <v>27053</v>
      </c>
      <c r="D8616" t="s">
        <v>27054</v>
      </c>
      <c r="E8616">
        <v>0</v>
      </c>
      <c r="F8616" t="str">
        <f>HYPERLINK("https://github.com/doublesymmetry/react-native-track-player/issues/416", "show")</f>
        <v>show</v>
      </c>
      <c r="G8616" t="str">
        <f>HYPERLINK("https://github.com/doublesymmetry/react-native-track-player", "show")</f>
        <v>show</v>
      </c>
      <c r="H8616" t="str">
        <f>HYPERLINK("https://github.com/doublesymmetry/react-native-track-player/releases", "show")</f>
        <v>show</v>
      </c>
      <c r="I8616">
        <v>0</v>
      </c>
      <c r="J8616">
        <v>0</v>
      </c>
      <c r="K8616">
        <v>0</v>
      </c>
      <c r="L8616">
        <v>0</v>
      </c>
      <c r="M8616" t="s">
        <v>43</v>
      </c>
    </row>
    <row r="8617" spans="1:13" hidden="1" x14ac:dyDescent="0.15">
      <c r="A8617" t="s">
        <v>27055</v>
      </c>
      <c r="B8617" t="s">
        <v>27056</v>
      </c>
      <c r="C8617" t="s">
        <v>27057</v>
      </c>
      <c r="D8617" t="s">
        <v>27054</v>
      </c>
      <c r="E8617">
        <v>279</v>
      </c>
      <c r="F8617" t="str">
        <f>HYPERLINK("https://github.com/stealthcopter/AndroidNetworkTools/issues/53", "show")</f>
        <v>show</v>
      </c>
      <c r="G8617" t="str">
        <f>HYPERLINK("https://github.com/stealthcopter/AndroidNetworkTools", "show")</f>
        <v>show</v>
      </c>
      <c r="H8617" t="str">
        <f>HYPERLINK("https://github.com/stealthcopter/AndroidNetworkTools/releases", "show")</f>
        <v>show</v>
      </c>
      <c r="I8617">
        <v>0</v>
      </c>
      <c r="J8617">
        <v>0</v>
      </c>
      <c r="K8617">
        <v>0</v>
      </c>
      <c r="L8617">
        <v>0</v>
      </c>
      <c r="M8617" t="s">
        <v>43</v>
      </c>
    </row>
    <row r="8618" spans="1:13" hidden="1" x14ac:dyDescent="0.15">
      <c r="A8618" t="s">
        <v>27058</v>
      </c>
      <c r="B8618" t="s">
        <v>27059</v>
      </c>
      <c r="C8618" t="s">
        <v>27060</v>
      </c>
      <c r="D8618" t="s">
        <v>27054</v>
      </c>
      <c r="E8618">
        <v>4</v>
      </c>
      <c r="F8618" t="str">
        <f>HYPERLINK("https://github.com/MCMrARM/revolution-irc/issues/183", "show")</f>
        <v>show</v>
      </c>
      <c r="G8618" t="str">
        <f>HYPERLINK("https://github.com/MCMrARM/revolution-irc", "show")</f>
        <v>show</v>
      </c>
      <c r="H8618" t="str">
        <f>HYPERLINK("https://github.com/MCMrARM/revolution-irc/releases", "show")</f>
        <v>show</v>
      </c>
      <c r="I8618">
        <v>1</v>
      </c>
      <c r="J8618">
        <v>0</v>
      </c>
      <c r="K8618">
        <v>0</v>
      </c>
      <c r="L8618">
        <v>0</v>
      </c>
      <c r="M8618" t="s">
        <v>17</v>
      </c>
    </row>
    <row r="8619" spans="1:13" hidden="1" x14ac:dyDescent="0.15">
      <c r="A8619" t="s">
        <v>27061</v>
      </c>
      <c r="B8619" t="s">
        <v>27062</v>
      </c>
      <c r="C8619" t="s">
        <v>27063</v>
      </c>
      <c r="D8619" t="s">
        <v>27064</v>
      </c>
      <c r="E8619">
        <v>62</v>
      </c>
      <c r="F8619" t="str">
        <f>HYPERLINK("https://github.com/osmdroid/osmdroid/issues/1260", "show")</f>
        <v>show</v>
      </c>
      <c r="G8619" t="str">
        <f>HYPERLINK("https://github.com/osmdroid/osmdroid", "show")</f>
        <v>show</v>
      </c>
      <c r="H8619" t="str">
        <f>HYPERLINK("https://github.com/osmdroid/osmdroid/releases", "show")</f>
        <v>show</v>
      </c>
      <c r="I8619">
        <v>1</v>
      </c>
      <c r="J8619">
        <v>0</v>
      </c>
      <c r="K8619">
        <v>1</v>
      </c>
      <c r="L8619">
        <v>0</v>
      </c>
      <c r="M8619" t="s">
        <v>64</v>
      </c>
    </row>
    <row r="8620" spans="1:13" hidden="1" x14ac:dyDescent="0.15">
      <c r="A8620" t="s">
        <v>27065</v>
      </c>
      <c r="B8620" t="s">
        <v>27066</v>
      </c>
      <c r="D8620" t="s">
        <v>27064</v>
      </c>
      <c r="E8620">
        <v>147</v>
      </c>
      <c r="F8620" t="str">
        <f>HYPERLINK("https://github.com/CainKernel/CainCamera/issues/37", "show")</f>
        <v>show</v>
      </c>
      <c r="G8620" t="str">
        <f>HYPERLINK("https://github.com/CainKernel/CainCamera", "show")</f>
        <v>show</v>
      </c>
      <c r="H8620" t="str">
        <f>HYPERLINK("https://github.com/CainKernel/CainCamera/releases", "show")</f>
        <v>show</v>
      </c>
      <c r="I8620">
        <v>0</v>
      </c>
      <c r="J8620">
        <v>0</v>
      </c>
      <c r="K8620">
        <v>1</v>
      </c>
      <c r="L8620">
        <v>0</v>
      </c>
      <c r="M8620" t="s">
        <v>122</v>
      </c>
    </row>
    <row r="8621" spans="1:13" hidden="1" x14ac:dyDescent="0.15">
      <c r="A8621" t="s">
        <v>27067</v>
      </c>
      <c r="B8621" t="s">
        <v>27068</v>
      </c>
      <c r="C8621" t="s">
        <v>27069</v>
      </c>
      <c r="D8621" t="s">
        <v>27064</v>
      </c>
      <c r="E8621">
        <v>6</v>
      </c>
      <c r="F8621" t="str">
        <f>HYPERLINK("https://github.com/deltachat/deltachat-android/issues/672", "show")</f>
        <v>show</v>
      </c>
      <c r="G8621" t="str">
        <f>HYPERLINK("https://github.com/deltachat/deltachat-android", "show")</f>
        <v>show</v>
      </c>
      <c r="H8621" t="str">
        <f>HYPERLINK("https://github.com/deltachat/deltachat-android/releases", "show")</f>
        <v>show</v>
      </c>
      <c r="I8621">
        <v>1</v>
      </c>
      <c r="J8621">
        <v>0</v>
      </c>
      <c r="K8621">
        <v>0</v>
      </c>
      <c r="L8621">
        <v>0</v>
      </c>
      <c r="M8621" t="s">
        <v>17</v>
      </c>
    </row>
    <row r="8622" spans="1:13" hidden="1" x14ac:dyDescent="0.15">
      <c r="A8622" t="s">
        <v>27070</v>
      </c>
      <c r="B8622" t="s">
        <v>27071</v>
      </c>
      <c r="C8622" t="s">
        <v>27072</v>
      </c>
      <c r="D8622" t="s">
        <v>27064</v>
      </c>
      <c r="E8622">
        <v>115</v>
      </c>
      <c r="F8622" t="str">
        <f>HYPERLINK("https://github.com/EXALAB/AnLinux-App/issues/54", "show")</f>
        <v>show</v>
      </c>
      <c r="G8622" t="str">
        <f>HYPERLINK("https://github.com/EXALAB/AnLinux-App", "show")</f>
        <v>show</v>
      </c>
      <c r="H8622" t="str">
        <f>HYPERLINK("https://github.com/EXALAB/AnLinux-App/releases", "show")</f>
        <v>show</v>
      </c>
      <c r="I8622">
        <v>1</v>
      </c>
      <c r="J8622">
        <v>0</v>
      </c>
      <c r="K8622">
        <v>0</v>
      </c>
      <c r="L8622">
        <v>1</v>
      </c>
      <c r="M8622" t="s">
        <v>29</v>
      </c>
    </row>
    <row r="8623" spans="1:13" hidden="1" x14ac:dyDescent="0.15">
      <c r="A8623" t="s">
        <v>27073</v>
      </c>
      <c r="B8623" t="s">
        <v>27074</v>
      </c>
      <c r="C8623" t="s">
        <v>27075</v>
      </c>
      <c r="D8623" t="s">
        <v>27076</v>
      </c>
      <c r="E8623">
        <v>117</v>
      </c>
      <c r="F8623" t="str">
        <f>HYPERLINK("https://github.com/nextcloud/android/issues/3499", "show")</f>
        <v>show</v>
      </c>
      <c r="G8623" t="str">
        <f>HYPERLINK("https://github.com/nextcloud/android", "show")</f>
        <v>show</v>
      </c>
      <c r="H8623" t="str">
        <f>HYPERLINK("https://github.com/nextcloud/android/releases", "show")</f>
        <v>show</v>
      </c>
      <c r="I8623">
        <v>1</v>
      </c>
      <c r="J8623">
        <v>1</v>
      </c>
      <c r="K8623">
        <v>0</v>
      </c>
      <c r="L8623">
        <v>0</v>
      </c>
      <c r="M8623" t="s">
        <v>48</v>
      </c>
    </row>
    <row r="8624" spans="1:13" hidden="1" x14ac:dyDescent="0.15">
      <c r="A8624" t="s">
        <v>27077</v>
      </c>
      <c r="B8624" t="s">
        <v>27078</v>
      </c>
      <c r="C8624" t="s">
        <v>27079</v>
      </c>
      <c r="D8624" t="s">
        <v>27080</v>
      </c>
      <c r="E8624">
        <v>3</v>
      </c>
      <c r="F8624" t="str">
        <f>HYPERLINK("https://github.com/zeroc-ice/ice-demos/issues/36", "show")</f>
        <v>show</v>
      </c>
      <c r="G8624" t="str">
        <f>HYPERLINK("https://github.com/zeroc-ice/ice-demos", "show")</f>
        <v>show</v>
      </c>
      <c r="H8624" t="str">
        <f>HYPERLINK("https://github.com/zeroc-ice/ice-demos/releases", "show")</f>
        <v>show</v>
      </c>
      <c r="I8624">
        <v>1</v>
      </c>
      <c r="J8624">
        <v>0</v>
      </c>
      <c r="K8624">
        <v>0</v>
      </c>
      <c r="L8624">
        <v>0</v>
      </c>
      <c r="M8624" t="s">
        <v>17</v>
      </c>
    </row>
    <row r="8625" spans="1:13" hidden="1" x14ac:dyDescent="0.15">
      <c r="A8625" t="s">
        <v>27081</v>
      </c>
      <c r="B8625" t="s">
        <v>27082</v>
      </c>
      <c r="C8625" t="s">
        <v>27083</v>
      </c>
      <c r="D8625" t="s">
        <v>27080</v>
      </c>
      <c r="E8625">
        <v>116</v>
      </c>
      <c r="F8625" t="str">
        <f>HYPERLINK("https://github.com/iovation/launchkey-android-authenticator-sdk/issues/32", "show")</f>
        <v>show</v>
      </c>
      <c r="G8625" t="str">
        <f>HYPERLINK("https://github.com/iovation/launchkey-android-authenticator-sdk", "show")</f>
        <v>show</v>
      </c>
      <c r="H8625" t="str">
        <f>HYPERLINK("https://github.com/iovation/launchkey-android-authenticator-sdk/releases", "show")</f>
        <v>show</v>
      </c>
      <c r="I8625">
        <v>1</v>
      </c>
      <c r="J8625">
        <v>0</v>
      </c>
      <c r="K8625">
        <v>0</v>
      </c>
      <c r="L8625">
        <v>0</v>
      </c>
      <c r="M8625" t="s">
        <v>17</v>
      </c>
    </row>
    <row r="8626" spans="1:13" hidden="1" x14ac:dyDescent="0.15">
      <c r="A8626" t="s">
        <v>27084</v>
      </c>
      <c r="B8626" t="s">
        <v>27085</v>
      </c>
      <c r="C8626" t="s">
        <v>27086</v>
      </c>
      <c r="D8626" t="s">
        <v>27080</v>
      </c>
      <c r="E8626">
        <v>17</v>
      </c>
      <c r="F8626" t="str">
        <f>HYPERLINK("https://github.com/ElderDrivers/EdXposed/issues/26", "show")</f>
        <v>show</v>
      </c>
      <c r="G8626" t="str">
        <f>HYPERLINK("https://github.com/ElderDrivers/EdXposed", "show")</f>
        <v>show</v>
      </c>
      <c r="H8626" t="str">
        <f>HYPERLINK("https://github.com/ElderDrivers/EdXposed/releases", "show")</f>
        <v>show</v>
      </c>
      <c r="I8626">
        <v>1</v>
      </c>
      <c r="J8626">
        <v>0</v>
      </c>
      <c r="K8626">
        <v>1</v>
      </c>
      <c r="L8626">
        <v>0</v>
      </c>
      <c r="M8626" t="s">
        <v>64</v>
      </c>
    </row>
    <row r="8627" spans="1:13" hidden="1" x14ac:dyDescent="0.15">
      <c r="A8627" t="s">
        <v>27087</v>
      </c>
      <c r="B8627" t="s">
        <v>27088</v>
      </c>
      <c r="C8627" t="s">
        <v>27089</v>
      </c>
      <c r="D8627" t="s">
        <v>27080</v>
      </c>
      <c r="E8627">
        <v>1</v>
      </c>
      <c r="F8627" t="str">
        <f>HYPERLINK("https://github.com/antest1/kcanotify/issues/64", "show")</f>
        <v>show</v>
      </c>
      <c r="G8627" t="str">
        <f>HYPERLINK("https://github.com/antest1/kcanotify", "show")</f>
        <v>show</v>
      </c>
      <c r="H8627" t="str">
        <f>HYPERLINK("https://github.com/antest1/kcanotify/releases", "show")</f>
        <v>show</v>
      </c>
      <c r="I8627">
        <v>1</v>
      </c>
      <c r="J8627">
        <v>0</v>
      </c>
      <c r="K8627">
        <v>0</v>
      </c>
      <c r="L8627">
        <v>0</v>
      </c>
      <c r="M8627" t="s">
        <v>17</v>
      </c>
    </row>
    <row r="8628" spans="1:13" hidden="1" x14ac:dyDescent="0.15">
      <c r="A8628" t="s">
        <v>27090</v>
      </c>
      <c r="B8628" t="s">
        <v>27091</v>
      </c>
      <c r="C8628" t="s">
        <v>27092</v>
      </c>
      <c r="D8628" t="s">
        <v>27080</v>
      </c>
      <c r="E8628">
        <v>18</v>
      </c>
      <c r="F8628" t="str">
        <f>HYPERLINK("https://github.com/wallabag/android-app/issues/760", "show")</f>
        <v>show</v>
      </c>
      <c r="G8628" t="str">
        <f>HYPERLINK("https://github.com/wallabag/android-app", "show")</f>
        <v>show</v>
      </c>
      <c r="H8628" t="str">
        <f>HYPERLINK("https://github.com/wallabag/android-app/releases", "show")</f>
        <v>show</v>
      </c>
      <c r="I8628">
        <v>1</v>
      </c>
      <c r="J8628">
        <v>1</v>
      </c>
      <c r="K8628">
        <v>1</v>
      </c>
      <c r="L8628">
        <v>0</v>
      </c>
      <c r="M8628" t="s">
        <v>59</v>
      </c>
    </row>
    <row r="8629" spans="1:13" hidden="1" x14ac:dyDescent="0.15">
      <c r="A8629" t="s">
        <v>27093</v>
      </c>
      <c r="B8629" t="s">
        <v>27094</v>
      </c>
      <c r="C8629" t="s">
        <v>27095</v>
      </c>
      <c r="D8629" t="s">
        <v>27080</v>
      </c>
      <c r="E8629">
        <v>345</v>
      </c>
      <c r="F8629" t="str">
        <f>HYPERLINK("https://github.com/morenoh149/react-native-contacts/issues/355", "show")</f>
        <v>show</v>
      </c>
      <c r="G8629" t="str">
        <f>HYPERLINK("https://github.com/morenoh149/react-native-contacts", "show")</f>
        <v>show</v>
      </c>
      <c r="H8629" t="str">
        <f>HYPERLINK("https://github.com/morenoh149/react-native-contacts/releases", "show")</f>
        <v>show</v>
      </c>
      <c r="I8629">
        <v>1</v>
      </c>
      <c r="J8629">
        <v>0</v>
      </c>
      <c r="K8629">
        <v>0</v>
      </c>
      <c r="L8629">
        <v>0</v>
      </c>
      <c r="M8629" t="s">
        <v>17</v>
      </c>
    </row>
    <row r="8630" spans="1:13" hidden="1" x14ac:dyDescent="0.15">
      <c r="A8630" t="s">
        <v>27096</v>
      </c>
      <c r="B8630" t="s">
        <v>27097</v>
      </c>
      <c r="C8630" t="s">
        <v>27098</v>
      </c>
      <c r="D8630" t="s">
        <v>27099</v>
      </c>
      <c r="E8630">
        <v>34</v>
      </c>
      <c r="F8630" t="str">
        <f>HYPERLINK("https://github.com/doublesymmetry/react-native-track-player/issues/412", "show")</f>
        <v>show</v>
      </c>
      <c r="G8630" t="str">
        <f>HYPERLINK("https://github.com/doublesymmetry/react-native-track-player", "show")</f>
        <v>show</v>
      </c>
      <c r="H8630" t="str">
        <f>HYPERLINK("https://github.com/doublesymmetry/react-native-track-player/releases", "show")</f>
        <v>show</v>
      </c>
      <c r="I8630">
        <v>0</v>
      </c>
      <c r="J8630">
        <v>0</v>
      </c>
      <c r="K8630">
        <v>1</v>
      </c>
      <c r="L8630">
        <v>0</v>
      </c>
      <c r="M8630" t="s">
        <v>122</v>
      </c>
    </row>
    <row r="8631" spans="1:13" hidden="1" x14ac:dyDescent="0.15">
      <c r="A8631" t="s">
        <v>27100</v>
      </c>
      <c r="B8631" t="s">
        <v>27101</v>
      </c>
      <c r="D8631" t="s">
        <v>27099</v>
      </c>
      <c r="E8631">
        <v>0</v>
      </c>
      <c r="F8631" t="str">
        <f>HYPERLINK("https://github.com/winterweird/jpractice/issues/41", "show")</f>
        <v>show</v>
      </c>
      <c r="G8631" t="str">
        <f>HYPERLINK("https://github.com/winterweird/jpractice", "show")</f>
        <v>show</v>
      </c>
      <c r="H8631" t="str">
        <f>HYPERLINK("https://github.com/winterweird/jpractice/releases", "show")</f>
        <v>show</v>
      </c>
      <c r="I8631">
        <v>1</v>
      </c>
      <c r="J8631">
        <v>0</v>
      </c>
      <c r="K8631">
        <v>1</v>
      </c>
      <c r="L8631">
        <v>0</v>
      </c>
      <c r="M8631" t="s">
        <v>64</v>
      </c>
    </row>
    <row r="8632" spans="1:13" hidden="1" x14ac:dyDescent="0.15">
      <c r="A8632" t="s">
        <v>27102</v>
      </c>
      <c r="B8632" t="s">
        <v>27103</v>
      </c>
      <c r="C8632" t="s">
        <v>27104</v>
      </c>
      <c r="D8632" t="s">
        <v>27105</v>
      </c>
      <c r="E8632">
        <v>0</v>
      </c>
      <c r="F8632" t="str">
        <f>HYPERLINK("https://github.com/OneBusAway/onebusaway-android/issues/962", "show")</f>
        <v>show</v>
      </c>
      <c r="G8632" t="str">
        <f>HYPERLINK("https://github.com/OneBusAway/onebusaway-android", "show")</f>
        <v>show</v>
      </c>
      <c r="H8632" t="str">
        <f>HYPERLINK("https://github.com/OneBusAway/onebusaway-android/releases", "show")</f>
        <v>show</v>
      </c>
      <c r="I8632">
        <v>1</v>
      </c>
      <c r="J8632">
        <v>0</v>
      </c>
      <c r="K8632">
        <v>1</v>
      </c>
      <c r="L8632">
        <v>0</v>
      </c>
      <c r="M8632" t="s">
        <v>64</v>
      </c>
    </row>
    <row r="8633" spans="1:13" hidden="1" x14ac:dyDescent="0.15">
      <c r="A8633" t="s">
        <v>27106</v>
      </c>
      <c r="B8633" t="s">
        <v>27107</v>
      </c>
      <c r="C8633" t="s">
        <v>27108</v>
      </c>
      <c r="D8633" t="s">
        <v>27105</v>
      </c>
      <c r="E8633">
        <v>28</v>
      </c>
      <c r="F8633" t="str">
        <f>HYPERLINK("https://github.com/iFixit/dozuki-android/issues/21", "show")</f>
        <v>show</v>
      </c>
      <c r="G8633" t="str">
        <f>HYPERLINK("https://github.com/iFixit/dozuki-android", "show")</f>
        <v>show</v>
      </c>
      <c r="H8633" t="str">
        <f>HYPERLINK("https://github.com/iFixit/dozuki-android/releases", "show")</f>
        <v>show</v>
      </c>
      <c r="I8633">
        <v>1</v>
      </c>
      <c r="J8633">
        <v>1</v>
      </c>
      <c r="K8633">
        <v>0</v>
      </c>
      <c r="L8633">
        <v>0</v>
      </c>
      <c r="M8633" t="s">
        <v>48</v>
      </c>
    </row>
    <row r="8634" spans="1:13" hidden="1" x14ac:dyDescent="0.15">
      <c r="A8634" t="s">
        <v>27109</v>
      </c>
      <c r="B8634" t="s">
        <v>27110</v>
      </c>
      <c r="C8634" t="s">
        <v>27111</v>
      </c>
      <c r="D8634" t="s">
        <v>27105</v>
      </c>
      <c r="E8634">
        <v>0</v>
      </c>
      <c r="F8634" t="str">
        <f>HYPERLINK("https://github.com/OneBusAway/onebusaway-android/issues/961", "show")</f>
        <v>show</v>
      </c>
      <c r="G8634" t="str">
        <f>HYPERLINK("https://github.com/OneBusAway/onebusaway-android", "show")</f>
        <v>show</v>
      </c>
      <c r="H8634" t="str">
        <f>HYPERLINK("https://github.com/OneBusAway/onebusaway-android/releases", "show")</f>
        <v>show</v>
      </c>
      <c r="I8634">
        <v>1</v>
      </c>
      <c r="J8634">
        <v>0</v>
      </c>
      <c r="K8634">
        <v>1</v>
      </c>
      <c r="L8634">
        <v>0</v>
      </c>
      <c r="M8634" t="s">
        <v>64</v>
      </c>
    </row>
    <row r="8635" spans="1:13" hidden="1" x14ac:dyDescent="0.15">
      <c r="A8635" t="s">
        <v>27112</v>
      </c>
      <c r="B8635" t="s">
        <v>27113</v>
      </c>
      <c r="C8635" t="s">
        <v>27114</v>
      </c>
      <c r="D8635" t="s">
        <v>27105</v>
      </c>
      <c r="E8635">
        <v>2</v>
      </c>
      <c r="F8635" t="str">
        <f>HYPERLINK("https://github.com/commons-app/apps-android-commons/issues/2330", "show")</f>
        <v>show</v>
      </c>
      <c r="G8635" t="str">
        <f>HYPERLINK("https://github.com/commons-app/apps-android-commons", "show")</f>
        <v>show</v>
      </c>
      <c r="H8635" t="str">
        <f>HYPERLINK("https://github.com/commons-app/apps-android-commons/releases", "show")</f>
        <v>show</v>
      </c>
      <c r="I8635">
        <v>0</v>
      </c>
      <c r="J8635">
        <v>1</v>
      </c>
      <c r="K8635">
        <v>1</v>
      </c>
      <c r="L8635">
        <v>0</v>
      </c>
      <c r="M8635" t="s">
        <v>699</v>
      </c>
    </row>
    <row r="8636" spans="1:13" hidden="1" x14ac:dyDescent="0.15">
      <c r="A8636" t="s">
        <v>27115</v>
      </c>
      <c r="B8636" t="s">
        <v>27116</v>
      </c>
      <c r="C8636" t="s">
        <v>27117</v>
      </c>
      <c r="D8636" t="s">
        <v>27118</v>
      </c>
      <c r="E8636">
        <v>2</v>
      </c>
      <c r="F8636" t="str">
        <f>HYPERLINK("https://github.com/Catfriend1/syncthing-android/issues/265", "show")</f>
        <v>show</v>
      </c>
      <c r="G8636" t="str">
        <f>HYPERLINK("https://github.com/Catfriend1/syncthing-android", "show")</f>
        <v>show</v>
      </c>
      <c r="H8636" t="str">
        <f>HYPERLINK("https://github.com/Catfriend1/syncthing-android/releases", "show")</f>
        <v>show</v>
      </c>
      <c r="I8636">
        <v>1</v>
      </c>
      <c r="J8636">
        <v>1</v>
      </c>
      <c r="K8636">
        <v>0</v>
      </c>
      <c r="L8636">
        <v>0</v>
      </c>
      <c r="M8636" t="s">
        <v>48</v>
      </c>
    </row>
    <row r="8637" spans="1:13" hidden="1" x14ac:dyDescent="0.15">
      <c r="A8637" t="s">
        <v>27119</v>
      </c>
      <c r="B8637" t="s">
        <v>27120</v>
      </c>
      <c r="C8637" t="s">
        <v>27121</v>
      </c>
      <c r="D8637" t="s">
        <v>27118</v>
      </c>
      <c r="E8637">
        <v>14</v>
      </c>
      <c r="F8637" t="str">
        <f>HYPERLINK("https://github.com/Rlshep/BJCPBeerStyles_Android/issues/19", "show")</f>
        <v>show</v>
      </c>
      <c r="G8637" t="str">
        <f>HYPERLINK("https://github.com/Rlshep/BJCPBeerStyles_Android", "show")</f>
        <v>show</v>
      </c>
      <c r="H8637" t="str">
        <f>HYPERLINK("https://github.com/Rlshep/BJCPBeerStyles_Android/releases", "show")</f>
        <v>show</v>
      </c>
      <c r="I8637">
        <v>1</v>
      </c>
      <c r="J8637">
        <v>0</v>
      </c>
      <c r="K8637">
        <v>1</v>
      </c>
      <c r="L8637">
        <v>0</v>
      </c>
      <c r="M8637" t="s">
        <v>64</v>
      </c>
    </row>
    <row r="8638" spans="1:13" hidden="1" x14ac:dyDescent="0.15">
      <c r="A8638" t="s">
        <v>27122</v>
      </c>
      <c r="B8638" t="s">
        <v>27123</v>
      </c>
      <c r="C8638" t="s">
        <v>27124</v>
      </c>
      <c r="D8638" t="s">
        <v>27118</v>
      </c>
      <c r="E8638">
        <v>54</v>
      </c>
      <c r="F8638" t="str">
        <f>HYPERLINK("https://github.com/renyuneyun/Easer/issues/202", "show")</f>
        <v>show</v>
      </c>
      <c r="G8638" t="str">
        <f>HYPERLINK("https://github.com/renyuneyun/Easer", "show")</f>
        <v>show</v>
      </c>
      <c r="H8638" t="str">
        <f>HYPERLINK("https://github.com/renyuneyun/Easer/releases", "show")</f>
        <v>show</v>
      </c>
      <c r="I8638">
        <v>1</v>
      </c>
      <c r="J8638">
        <v>0</v>
      </c>
      <c r="K8638">
        <v>0</v>
      </c>
      <c r="L8638">
        <v>0</v>
      </c>
      <c r="M8638" t="s">
        <v>17</v>
      </c>
    </row>
    <row r="8639" spans="1:13" hidden="1" x14ac:dyDescent="0.15">
      <c r="A8639" t="s">
        <v>27125</v>
      </c>
      <c r="B8639" t="s">
        <v>27126</v>
      </c>
      <c r="C8639" t="s">
        <v>27127</v>
      </c>
      <c r="D8639" t="s">
        <v>27128</v>
      </c>
      <c r="E8639">
        <v>3</v>
      </c>
      <c r="F8639" t="str">
        <f>HYPERLINK("https://github.com/deltachat/deltachat-android/issues/414", "show")</f>
        <v>show</v>
      </c>
      <c r="G8639" t="str">
        <f>HYPERLINK("https://github.com/deltachat/deltachat-android", "show")</f>
        <v>show</v>
      </c>
      <c r="H8639" t="str">
        <f>HYPERLINK("https://github.com/deltachat/deltachat-android/releases", "show")</f>
        <v>show</v>
      </c>
      <c r="I8639">
        <v>1</v>
      </c>
      <c r="J8639">
        <v>0</v>
      </c>
      <c r="K8639">
        <v>0</v>
      </c>
      <c r="L8639">
        <v>0</v>
      </c>
      <c r="M8639" t="s">
        <v>17</v>
      </c>
    </row>
    <row r="8640" spans="1:13" hidden="1" x14ac:dyDescent="0.15">
      <c r="A8640" t="s">
        <v>27129</v>
      </c>
      <c r="B8640" t="s">
        <v>19868</v>
      </c>
      <c r="C8640" t="s">
        <v>27130</v>
      </c>
      <c r="D8640" t="s">
        <v>27128</v>
      </c>
      <c r="E8640">
        <v>8</v>
      </c>
      <c r="F8640" t="str">
        <f>HYPERLINK("https://github.com/andenapp/PanningView/issues/5", "show")</f>
        <v>show</v>
      </c>
      <c r="G8640" t="str">
        <f>HYPERLINK("https://github.com/andenapp/PanningView", "show")</f>
        <v>show</v>
      </c>
      <c r="H8640" t="str">
        <f>HYPERLINK("https://github.com/andenapp/PanningView/releases", "show")</f>
        <v>show</v>
      </c>
      <c r="I8640">
        <v>1</v>
      </c>
      <c r="J8640">
        <v>0</v>
      </c>
      <c r="K8640">
        <v>0</v>
      </c>
      <c r="L8640">
        <v>0</v>
      </c>
      <c r="M8640" t="s">
        <v>17</v>
      </c>
    </row>
    <row r="8641" spans="1:13" hidden="1" x14ac:dyDescent="0.15">
      <c r="A8641" t="s">
        <v>27131</v>
      </c>
      <c r="B8641" t="s">
        <v>27132</v>
      </c>
      <c r="C8641" t="s">
        <v>27133</v>
      </c>
      <c r="D8641" t="s">
        <v>27128</v>
      </c>
      <c r="E8641">
        <v>1</v>
      </c>
      <c r="F8641" t="str">
        <f>HYPERLINK("https://github.com/react-native-camera/react-native-camera/issues/2059", "show")</f>
        <v>show</v>
      </c>
      <c r="G8641" t="str">
        <f>HYPERLINK("https://github.com/react-native-camera/react-native-camera", "show")</f>
        <v>show</v>
      </c>
      <c r="H8641" t="str">
        <f>HYPERLINK("https://github.com/react-native-camera/react-native-camera/releases", "show")</f>
        <v>show</v>
      </c>
      <c r="I8641">
        <v>1</v>
      </c>
      <c r="J8641">
        <v>0</v>
      </c>
      <c r="K8641">
        <v>0</v>
      </c>
      <c r="L8641">
        <v>0</v>
      </c>
      <c r="M8641" t="s">
        <v>17</v>
      </c>
    </row>
    <row r="8642" spans="1:13" hidden="1" x14ac:dyDescent="0.15">
      <c r="A8642" t="s">
        <v>27134</v>
      </c>
      <c r="B8642" t="s">
        <v>27135</v>
      </c>
      <c r="C8642" t="s">
        <v>27136</v>
      </c>
      <c r="D8642" t="s">
        <v>27128</v>
      </c>
      <c r="E8642">
        <v>3</v>
      </c>
      <c r="F8642" t="str">
        <f>HYPERLINK("https://github.com/TeamNewPipe/NewPipe/issues/2049", "show")</f>
        <v>show</v>
      </c>
      <c r="G8642" t="str">
        <f>HYPERLINK("https://github.com/TeamNewPipe/NewPipe", "show")</f>
        <v>show</v>
      </c>
      <c r="H8642" t="str">
        <f>HYPERLINK("https://github.com/TeamNewPipe/NewPipe/releases", "show")</f>
        <v>show</v>
      </c>
      <c r="I8642">
        <v>1</v>
      </c>
      <c r="J8642">
        <v>1</v>
      </c>
      <c r="K8642">
        <v>0</v>
      </c>
      <c r="L8642">
        <v>0</v>
      </c>
      <c r="M8642" t="s">
        <v>48</v>
      </c>
    </row>
    <row r="8643" spans="1:13" hidden="1" x14ac:dyDescent="0.15">
      <c r="A8643" t="s">
        <v>27137</v>
      </c>
      <c r="B8643" t="s">
        <v>27138</v>
      </c>
      <c r="C8643" t="s">
        <v>27139</v>
      </c>
      <c r="D8643" t="s">
        <v>27128</v>
      </c>
      <c r="E8643">
        <v>158</v>
      </c>
      <c r="F8643" t="str">
        <f>HYPERLINK("https://github.com/innoveit/react-native-ble-manager/issues/448", "show")</f>
        <v>show</v>
      </c>
      <c r="G8643" t="str">
        <f>HYPERLINK("https://github.com/innoveit/react-native-ble-manager", "show")</f>
        <v>show</v>
      </c>
      <c r="H8643" t="str">
        <f>HYPERLINK("https://github.com/innoveit/react-native-ble-manager/releases", "show")</f>
        <v>show</v>
      </c>
      <c r="I8643">
        <v>1</v>
      </c>
      <c r="J8643">
        <v>1</v>
      </c>
      <c r="K8643">
        <v>0</v>
      </c>
      <c r="L8643">
        <v>0</v>
      </c>
      <c r="M8643" t="s">
        <v>48</v>
      </c>
    </row>
    <row r="8644" spans="1:13" hidden="1" x14ac:dyDescent="0.15">
      <c r="A8644" t="s">
        <v>27140</v>
      </c>
      <c r="B8644" t="s">
        <v>27141</v>
      </c>
      <c r="C8644" t="s">
        <v>27142</v>
      </c>
      <c r="D8644" t="s">
        <v>27128</v>
      </c>
      <c r="E8644">
        <v>265</v>
      </c>
      <c r="F8644" t="str">
        <f>HYPERLINK("https://github.com/the3deers/android-3D-model-viewer/issues/92", "show")</f>
        <v>show</v>
      </c>
      <c r="G8644" t="str">
        <f>HYPERLINK("https://github.com/the3deers/android-3D-model-viewer", "show")</f>
        <v>show</v>
      </c>
      <c r="H8644" t="str">
        <f>HYPERLINK("https://github.com/the3deers/android-3D-model-viewer/releases", "show")</f>
        <v>show</v>
      </c>
      <c r="I8644">
        <v>1</v>
      </c>
      <c r="J8644">
        <v>0</v>
      </c>
      <c r="K8644">
        <v>0</v>
      </c>
      <c r="L8644">
        <v>0</v>
      </c>
      <c r="M8644" t="s">
        <v>17</v>
      </c>
    </row>
    <row r="8645" spans="1:13" hidden="1" x14ac:dyDescent="0.15">
      <c r="A8645" t="s">
        <v>27143</v>
      </c>
      <c r="B8645" t="s">
        <v>27144</v>
      </c>
      <c r="C8645" t="s">
        <v>27145</v>
      </c>
      <c r="D8645" t="s">
        <v>27146</v>
      </c>
      <c r="E8645">
        <v>10</v>
      </c>
      <c r="F8645" t="str">
        <f>HYPERLINK("https://github.com/leancloud/java-unified-sdk/issues/23", "show")</f>
        <v>show</v>
      </c>
      <c r="G8645" t="str">
        <f>HYPERLINK("https://github.com/leancloud/java-unified-sdk", "show")</f>
        <v>show</v>
      </c>
      <c r="H8645" t="str">
        <f>HYPERLINK("https://github.com/leancloud/java-unified-sdk/releases", "show")</f>
        <v>show</v>
      </c>
      <c r="I8645">
        <v>0</v>
      </c>
      <c r="J8645">
        <v>1</v>
      </c>
      <c r="K8645">
        <v>1</v>
      </c>
      <c r="L8645">
        <v>0</v>
      </c>
      <c r="M8645" t="s">
        <v>699</v>
      </c>
    </row>
    <row r="8646" spans="1:13" hidden="1" x14ac:dyDescent="0.15">
      <c r="A8646" t="s">
        <v>27147</v>
      </c>
      <c r="B8646" t="s">
        <v>27148</v>
      </c>
      <c r="C8646" t="s">
        <v>27149</v>
      </c>
      <c r="D8646" t="s">
        <v>27146</v>
      </c>
      <c r="E8646">
        <v>4</v>
      </c>
      <c r="F8646" t="str">
        <f>HYPERLINK("https://github.com/rajatgoyal715/Puzzle15/issues/8", "show")</f>
        <v>show</v>
      </c>
      <c r="G8646" t="str">
        <f>HYPERLINK("https://github.com/rajatgoyal715/Puzzle15", "show")</f>
        <v>show</v>
      </c>
      <c r="H8646" t="str">
        <f>HYPERLINK("https://github.com/rajatgoyal715/Puzzle15/releases", "show")</f>
        <v>show</v>
      </c>
      <c r="I8646">
        <v>1</v>
      </c>
      <c r="J8646">
        <v>0</v>
      </c>
      <c r="K8646">
        <v>0</v>
      </c>
      <c r="L8646">
        <v>1</v>
      </c>
      <c r="M8646" t="s">
        <v>29</v>
      </c>
    </row>
    <row r="8647" spans="1:13" hidden="1" x14ac:dyDescent="0.15">
      <c r="A8647" t="s">
        <v>27150</v>
      </c>
      <c r="B8647" t="s">
        <v>27151</v>
      </c>
      <c r="C8647" t="s">
        <v>27152</v>
      </c>
      <c r="D8647" t="s">
        <v>27153</v>
      </c>
      <c r="E8647">
        <v>0</v>
      </c>
      <c r="F8647" t="str">
        <f>HYPERLINK("https://github.com/RoverPlatform/rover-android/issues/320", "show")</f>
        <v>show</v>
      </c>
      <c r="G8647" t="str">
        <f>HYPERLINK("https://github.com/RoverPlatform/rover-android", "show")</f>
        <v>show</v>
      </c>
      <c r="H8647" t="str">
        <f>HYPERLINK("https://github.com/RoverPlatform/rover-android/releases", "show")</f>
        <v>show</v>
      </c>
      <c r="I8647">
        <v>0</v>
      </c>
      <c r="J8647">
        <v>0</v>
      </c>
      <c r="K8647">
        <v>0</v>
      </c>
      <c r="L8647">
        <v>0</v>
      </c>
      <c r="M8647" t="s">
        <v>43</v>
      </c>
    </row>
    <row r="8648" spans="1:13" hidden="1" x14ac:dyDescent="0.15">
      <c r="A8648" t="s">
        <v>27154</v>
      </c>
      <c r="B8648" t="s">
        <v>27155</v>
      </c>
      <c r="C8648" t="s">
        <v>27156</v>
      </c>
      <c r="D8648" t="s">
        <v>27153</v>
      </c>
      <c r="E8648">
        <v>122</v>
      </c>
      <c r="F8648" t="str">
        <f>HYPERLINK("https://github.com/GreatApo/GreatFit/issues/34", "show")</f>
        <v>show</v>
      </c>
      <c r="G8648" t="str">
        <f>HYPERLINK("https://github.com/GreatApo/GreatFit", "show")</f>
        <v>show</v>
      </c>
      <c r="H8648" t="str">
        <f>HYPERLINK("https://github.com/GreatApo/GreatFit/releases", "show")</f>
        <v>show</v>
      </c>
      <c r="I8648">
        <v>1</v>
      </c>
      <c r="J8648">
        <v>0</v>
      </c>
      <c r="K8648">
        <v>0</v>
      </c>
      <c r="L8648">
        <v>0</v>
      </c>
      <c r="M8648" t="s">
        <v>17</v>
      </c>
    </row>
    <row r="8649" spans="1:13" hidden="1" x14ac:dyDescent="0.15">
      <c r="A8649" t="s">
        <v>27157</v>
      </c>
      <c r="B8649" t="s">
        <v>27158</v>
      </c>
      <c r="D8649" t="s">
        <v>27159</v>
      </c>
      <c r="E8649">
        <v>0</v>
      </c>
      <c r="F8649" t="str">
        <f>HYPERLINK("https://github.com/vvaezian/MultiLingoVocabularyPractice/issues/8", "show")</f>
        <v>show</v>
      </c>
      <c r="G8649" t="str">
        <f>HYPERLINK("https://github.com/vvaezian/MultiLingoVocabularyPractice", "show")</f>
        <v>show</v>
      </c>
      <c r="H8649" t="str">
        <f>HYPERLINK("https://github.com/vvaezian/MultiLingoVocabularyPractice/releases", "show")</f>
        <v>show</v>
      </c>
      <c r="I8649">
        <v>1</v>
      </c>
      <c r="J8649">
        <v>0</v>
      </c>
      <c r="K8649">
        <v>0</v>
      </c>
      <c r="L8649">
        <v>0</v>
      </c>
      <c r="M8649" t="s">
        <v>17</v>
      </c>
    </row>
    <row r="8650" spans="1:13" hidden="1" x14ac:dyDescent="0.15">
      <c r="A8650" t="s">
        <v>27160</v>
      </c>
      <c r="B8650" t="s">
        <v>27161</v>
      </c>
      <c r="C8650" t="s">
        <v>27162</v>
      </c>
      <c r="D8650" t="s">
        <v>27159</v>
      </c>
      <c r="E8650">
        <v>126</v>
      </c>
      <c r="F8650" t="str">
        <f>HYPERLINK("https://github.com/nextcloud/android/issues/3469", "show")</f>
        <v>show</v>
      </c>
      <c r="G8650" t="str">
        <f>HYPERLINK("https://github.com/nextcloud/android", "show")</f>
        <v>show</v>
      </c>
      <c r="H8650" t="str">
        <f>HYPERLINK("https://github.com/nextcloud/android/releases", "show")</f>
        <v>show</v>
      </c>
      <c r="I8650">
        <v>1</v>
      </c>
      <c r="J8650">
        <v>0</v>
      </c>
      <c r="K8650">
        <v>0</v>
      </c>
      <c r="L8650">
        <v>0</v>
      </c>
      <c r="M8650" t="s">
        <v>17</v>
      </c>
    </row>
    <row r="8651" spans="1:13" hidden="1" x14ac:dyDescent="0.15">
      <c r="A8651" t="s">
        <v>27163</v>
      </c>
      <c r="B8651" t="s">
        <v>27164</v>
      </c>
      <c r="C8651" t="s">
        <v>27165</v>
      </c>
      <c r="D8651" t="s">
        <v>27159</v>
      </c>
      <c r="E8651">
        <v>13</v>
      </c>
      <c r="F8651" t="str">
        <f>HYPERLINK("https://github.com/morenoh149/react-native-contacts/issues/347", "show")</f>
        <v>show</v>
      </c>
      <c r="G8651" t="str">
        <f>HYPERLINK("https://github.com/morenoh149/react-native-contacts", "show")</f>
        <v>show</v>
      </c>
      <c r="H8651" t="str">
        <f>HYPERLINK("https://github.com/morenoh149/react-native-contacts/releases", "show")</f>
        <v>show</v>
      </c>
      <c r="I8651">
        <v>1</v>
      </c>
      <c r="J8651">
        <v>0</v>
      </c>
      <c r="K8651">
        <v>0</v>
      </c>
      <c r="L8651">
        <v>0</v>
      </c>
      <c r="M8651" t="s">
        <v>17</v>
      </c>
    </row>
    <row r="8652" spans="1:13" hidden="1" x14ac:dyDescent="0.15">
      <c r="A8652" t="s">
        <v>27166</v>
      </c>
      <c r="B8652" t="s">
        <v>27167</v>
      </c>
      <c r="C8652" t="s">
        <v>27168</v>
      </c>
      <c r="D8652" t="s">
        <v>27169</v>
      </c>
      <c r="E8652">
        <v>28</v>
      </c>
      <c r="F8652" t="str">
        <f>HYPERLINK("https://github.com/microsoft/appcenter-sdk-android/issues/929", "show")</f>
        <v>show</v>
      </c>
      <c r="G8652" t="str">
        <f>HYPERLINK("https://github.com/microsoft/appcenter-sdk-android", "show")</f>
        <v>show</v>
      </c>
      <c r="H8652" t="str">
        <f>HYPERLINK("https://github.com/microsoft/appcenter-sdk-android/releases", "show")</f>
        <v>show</v>
      </c>
      <c r="I8652">
        <v>1</v>
      </c>
      <c r="J8652">
        <v>1</v>
      </c>
      <c r="K8652">
        <v>1</v>
      </c>
      <c r="L8652">
        <v>0</v>
      </c>
      <c r="M8652" t="s">
        <v>59</v>
      </c>
    </row>
    <row r="8653" spans="1:13" hidden="1" x14ac:dyDescent="0.15">
      <c r="A8653" t="s">
        <v>27170</v>
      </c>
      <c r="B8653" t="s">
        <v>27171</v>
      </c>
      <c r="C8653" t="s">
        <v>27172</v>
      </c>
      <c r="D8653" t="s">
        <v>27173</v>
      </c>
      <c r="E8653">
        <v>1</v>
      </c>
      <c r="F8653" t="str">
        <f>HYPERLINK("https://github.com/square/okhttp/issues/4556", "show")</f>
        <v>show</v>
      </c>
      <c r="G8653" t="str">
        <f>HYPERLINK("https://github.com/square/okhttp", "show")</f>
        <v>show</v>
      </c>
      <c r="H8653" t="str">
        <f>HYPERLINK("https://github.com/square/okhttp/releases", "show")</f>
        <v>show</v>
      </c>
      <c r="I8653">
        <v>0</v>
      </c>
      <c r="J8653">
        <v>0</v>
      </c>
      <c r="K8653">
        <v>1</v>
      </c>
      <c r="L8653">
        <v>0</v>
      </c>
      <c r="M8653" t="s">
        <v>122</v>
      </c>
    </row>
    <row r="8654" spans="1:13" hidden="1" x14ac:dyDescent="0.15">
      <c r="A8654" t="s">
        <v>27174</v>
      </c>
      <c r="B8654" t="s">
        <v>27175</v>
      </c>
      <c r="C8654" t="s">
        <v>27176</v>
      </c>
      <c r="D8654" t="s">
        <v>27177</v>
      </c>
      <c r="E8654">
        <v>1</v>
      </c>
      <c r="F8654" t="str">
        <f>HYPERLINK("https://github.com/doublesymmetry/react-native-track-player/issues/394", "show")</f>
        <v>show</v>
      </c>
      <c r="G8654" t="str">
        <f>HYPERLINK("https://github.com/doublesymmetry/react-native-track-player", "show")</f>
        <v>show</v>
      </c>
      <c r="H8654" t="str">
        <f>HYPERLINK("https://github.com/doublesymmetry/react-native-track-player/releases", "show")</f>
        <v>show</v>
      </c>
      <c r="I8654">
        <v>0</v>
      </c>
      <c r="J8654">
        <v>0</v>
      </c>
      <c r="K8654">
        <v>1</v>
      </c>
      <c r="L8654">
        <v>0</v>
      </c>
      <c r="M8654" t="s">
        <v>122</v>
      </c>
    </row>
    <row r="8655" spans="1:13" hidden="1" x14ac:dyDescent="0.15">
      <c r="A8655" t="s">
        <v>27178</v>
      </c>
      <c r="B8655" t="s">
        <v>27179</v>
      </c>
      <c r="C8655" t="s">
        <v>27180</v>
      </c>
      <c r="D8655" t="s">
        <v>27177</v>
      </c>
      <c r="E8655">
        <v>0</v>
      </c>
      <c r="F8655" t="str">
        <f>HYPERLINK("https://github.com/google/ExoPlayer/issues/5378", "show")</f>
        <v>show</v>
      </c>
      <c r="G8655" t="str">
        <f>HYPERLINK("https://github.com/google/ExoPlayer", "show")</f>
        <v>show</v>
      </c>
      <c r="H8655" t="str">
        <f>HYPERLINK("https://github.com/google/ExoPlayer/releases", "show")</f>
        <v>show</v>
      </c>
      <c r="I8655">
        <v>1</v>
      </c>
      <c r="J8655">
        <v>0</v>
      </c>
      <c r="K8655">
        <v>0</v>
      </c>
      <c r="L8655">
        <v>0</v>
      </c>
      <c r="M8655" t="s">
        <v>17</v>
      </c>
    </row>
    <row r="8656" spans="1:13" hidden="1" x14ac:dyDescent="0.15">
      <c r="A8656" t="s">
        <v>27181</v>
      </c>
      <c r="B8656" t="s">
        <v>27182</v>
      </c>
      <c r="C8656" t="s">
        <v>27183</v>
      </c>
      <c r="D8656" t="s">
        <v>27184</v>
      </c>
      <c r="E8656">
        <v>129</v>
      </c>
      <c r="F8656" t="str">
        <f>HYPERLINK("https://github.com/mapbox/mapbox-plugins-android/issues/817", "show")</f>
        <v>show</v>
      </c>
      <c r="G8656" t="str">
        <f>HYPERLINK("https://github.com/mapbox/mapbox-plugins-android", "show")</f>
        <v>show</v>
      </c>
      <c r="H8656" t="str">
        <f>HYPERLINK("https://github.com/mapbox/mapbox-plugins-android/releases", "show")</f>
        <v>show</v>
      </c>
      <c r="I8656">
        <v>1</v>
      </c>
      <c r="J8656">
        <v>0</v>
      </c>
      <c r="K8656">
        <v>1</v>
      </c>
      <c r="L8656">
        <v>0</v>
      </c>
      <c r="M8656" t="s">
        <v>64</v>
      </c>
    </row>
    <row r="8657" spans="1:13" hidden="1" x14ac:dyDescent="0.15">
      <c r="A8657" t="s">
        <v>27185</v>
      </c>
      <c r="B8657" t="s">
        <v>27186</v>
      </c>
      <c r="C8657" t="s">
        <v>27187</v>
      </c>
      <c r="D8657" t="s">
        <v>27188</v>
      </c>
      <c r="E8657">
        <v>16</v>
      </c>
      <c r="F8657" t="str">
        <f>HYPERLINK("https://github.com/oliexdev/openScale/issues/376", "show")</f>
        <v>show</v>
      </c>
      <c r="G8657" t="str">
        <f>HYPERLINK("https://github.com/oliexdev/openScale", "show")</f>
        <v>show</v>
      </c>
      <c r="H8657" t="str">
        <f>HYPERLINK("https://github.com/oliexdev/openScale/releases", "show")</f>
        <v>show</v>
      </c>
      <c r="I8657">
        <v>1</v>
      </c>
      <c r="J8657">
        <v>1</v>
      </c>
      <c r="K8657">
        <v>1</v>
      </c>
      <c r="L8657">
        <v>0</v>
      </c>
      <c r="M8657" t="s">
        <v>59</v>
      </c>
    </row>
    <row r="8658" spans="1:13" hidden="1" x14ac:dyDescent="0.15">
      <c r="A8658" t="s">
        <v>27189</v>
      </c>
      <c r="B8658" t="s">
        <v>27190</v>
      </c>
      <c r="C8658" t="s">
        <v>27191</v>
      </c>
      <c r="D8658" t="s">
        <v>27188</v>
      </c>
      <c r="E8658">
        <v>0</v>
      </c>
      <c r="F8658" t="str">
        <f>HYPERLINK("https://github.com/square/okhttp/issues/4548", "show")</f>
        <v>show</v>
      </c>
      <c r="G8658" t="str">
        <f>HYPERLINK("https://github.com/square/okhttp", "show")</f>
        <v>show</v>
      </c>
      <c r="H8658" t="str">
        <f>HYPERLINK("https://github.com/square/okhttp/releases", "show")</f>
        <v>show</v>
      </c>
      <c r="I8658">
        <v>1</v>
      </c>
      <c r="J8658">
        <v>0</v>
      </c>
      <c r="K8658">
        <v>0</v>
      </c>
      <c r="L8658">
        <v>0</v>
      </c>
      <c r="M8658" t="s">
        <v>17</v>
      </c>
    </row>
    <row r="8659" spans="1:13" hidden="1" x14ac:dyDescent="0.15">
      <c r="A8659" t="s">
        <v>27192</v>
      </c>
      <c r="B8659" t="s">
        <v>27193</v>
      </c>
      <c r="C8659" t="s">
        <v>27194</v>
      </c>
      <c r="D8659" t="s">
        <v>27195</v>
      </c>
      <c r="E8659">
        <v>1</v>
      </c>
      <c r="F8659" t="str">
        <f>HYPERLINK("https://github.com/Technion236272/2019a-TakeCare/issues/121", "show")</f>
        <v>show</v>
      </c>
      <c r="G8659" t="str">
        <f>HYPERLINK("https://github.com/Technion236272/2019a-TakeCare", "show")</f>
        <v>show</v>
      </c>
      <c r="H8659" t="str">
        <f>HYPERLINK("https://github.com/Technion236272/2019a-TakeCare/releases", "show")</f>
        <v>show</v>
      </c>
      <c r="I8659">
        <v>0</v>
      </c>
      <c r="J8659">
        <v>0</v>
      </c>
      <c r="K8659">
        <v>0</v>
      </c>
      <c r="L8659">
        <v>0</v>
      </c>
      <c r="M8659" t="s">
        <v>43</v>
      </c>
    </row>
    <row r="8660" spans="1:13" hidden="1" x14ac:dyDescent="0.15">
      <c r="A8660" t="s">
        <v>27196</v>
      </c>
      <c r="B8660" t="s">
        <v>27197</v>
      </c>
      <c r="C8660" t="s">
        <v>27198</v>
      </c>
      <c r="D8660" t="s">
        <v>27199</v>
      </c>
      <c r="E8660">
        <v>5</v>
      </c>
      <c r="F8660" t="str">
        <f>HYPERLINK("https://github.com/smartdevicelink/sdl_java_suite/issues/963", "show")</f>
        <v>show</v>
      </c>
      <c r="G8660" t="str">
        <f>HYPERLINK("https://github.com/smartdevicelink/sdl_java_suite", "show")</f>
        <v>show</v>
      </c>
      <c r="H8660" t="str">
        <f>HYPERLINK("https://github.com/smartdevicelink/sdl_java_suite/releases", "show")</f>
        <v>show</v>
      </c>
      <c r="I8660">
        <v>1</v>
      </c>
      <c r="J8660">
        <v>0</v>
      </c>
      <c r="K8660">
        <v>1</v>
      </c>
      <c r="L8660">
        <v>0</v>
      </c>
      <c r="M8660" t="s">
        <v>64</v>
      </c>
    </row>
    <row r="8661" spans="1:13" hidden="1" x14ac:dyDescent="0.15">
      <c r="A8661" t="s">
        <v>27200</v>
      </c>
      <c r="B8661" t="s">
        <v>27201</v>
      </c>
      <c r="C8661" t="s">
        <v>27202</v>
      </c>
      <c r="D8661" t="s">
        <v>27199</v>
      </c>
      <c r="E8661">
        <v>1</v>
      </c>
      <c r="F8661" t="str">
        <f>HYPERLINK("https://github.com/kiwi-bop/flutter_crashlytics/issues/49", "show")</f>
        <v>show</v>
      </c>
      <c r="G8661" t="str">
        <f>HYPERLINK("https://github.com/kiwi-bop/flutter_crashlytics", "show")</f>
        <v>show</v>
      </c>
      <c r="H8661" t="str">
        <f>HYPERLINK("https://github.com/kiwi-bop/flutter_crashlytics/releases", "show")</f>
        <v>show</v>
      </c>
      <c r="I8661">
        <v>1</v>
      </c>
      <c r="J8661">
        <v>0</v>
      </c>
      <c r="K8661">
        <v>0</v>
      </c>
      <c r="L8661">
        <v>0</v>
      </c>
      <c r="M8661" t="s">
        <v>17</v>
      </c>
    </row>
    <row r="8662" spans="1:13" hidden="1" x14ac:dyDescent="0.15">
      <c r="A8662" t="s">
        <v>27203</v>
      </c>
      <c r="B8662" t="s">
        <v>27204</v>
      </c>
      <c r="C8662" t="s">
        <v>27205</v>
      </c>
      <c r="D8662" t="s">
        <v>27199</v>
      </c>
      <c r="E8662">
        <v>923</v>
      </c>
      <c r="F8662" t="str">
        <f>HYPERLINK("https://github.com/nextcloud/talk-android/issues/405", "show")</f>
        <v>show</v>
      </c>
      <c r="G8662" t="str">
        <f>HYPERLINK("https://github.com/nextcloud/talk-android", "show")</f>
        <v>show</v>
      </c>
      <c r="H8662" t="str">
        <f>HYPERLINK("https://github.com/nextcloud/talk-android/releases", "show")</f>
        <v>show</v>
      </c>
      <c r="I8662">
        <v>1</v>
      </c>
      <c r="J8662">
        <v>0</v>
      </c>
      <c r="K8662">
        <v>1</v>
      </c>
      <c r="L8662">
        <v>0</v>
      </c>
      <c r="M8662" t="s">
        <v>64</v>
      </c>
    </row>
    <row r="8663" spans="1:13" hidden="1" x14ac:dyDescent="0.15">
      <c r="A8663" t="s">
        <v>27206</v>
      </c>
      <c r="B8663" t="s">
        <v>27207</v>
      </c>
      <c r="C8663" t="s">
        <v>27208</v>
      </c>
      <c r="D8663" t="s">
        <v>27209</v>
      </c>
      <c r="E8663">
        <v>274</v>
      </c>
      <c r="F8663" t="str">
        <f>HYPERLINK("https://github.com/nextcloud/android/issues/3431", "show")</f>
        <v>show</v>
      </c>
      <c r="G8663" t="str">
        <f>HYPERLINK("https://github.com/nextcloud/android", "show")</f>
        <v>show</v>
      </c>
      <c r="H8663" t="str">
        <f>HYPERLINK("https://github.com/nextcloud/android/releases", "show")</f>
        <v>show</v>
      </c>
      <c r="I8663">
        <v>1</v>
      </c>
      <c r="J8663">
        <v>0</v>
      </c>
      <c r="K8663">
        <v>0</v>
      </c>
      <c r="L8663">
        <v>0</v>
      </c>
      <c r="M8663" t="s">
        <v>17</v>
      </c>
    </row>
    <row r="8664" spans="1:13" hidden="1" x14ac:dyDescent="0.15">
      <c r="A8664" t="s">
        <v>27210</v>
      </c>
      <c r="B8664" t="s">
        <v>27211</v>
      </c>
      <c r="C8664" t="s">
        <v>27212</v>
      </c>
      <c r="D8664" t="s">
        <v>27209</v>
      </c>
      <c r="E8664">
        <v>64</v>
      </c>
      <c r="F8664" t="str">
        <f>HYPERLINK("https://github.com/tobexyz/yaacc-code/issues/12", "show")</f>
        <v>show</v>
      </c>
      <c r="G8664" t="str">
        <f>HYPERLINK("https://github.com/tobexyz/yaacc-code", "show")</f>
        <v>show</v>
      </c>
      <c r="H8664" t="str">
        <f>HYPERLINK("https://github.com/tobexyz/yaacc-code/releases", "show")</f>
        <v>show</v>
      </c>
      <c r="I8664">
        <v>1</v>
      </c>
      <c r="J8664">
        <v>0</v>
      </c>
      <c r="K8664">
        <v>0</v>
      </c>
      <c r="L8664">
        <v>0</v>
      </c>
      <c r="M8664" t="s">
        <v>17</v>
      </c>
    </row>
    <row r="8665" spans="1:13" hidden="1" x14ac:dyDescent="0.15">
      <c r="A8665" t="s">
        <v>27213</v>
      </c>
      <c r="B8665" t="s">
        <v>27214</v>
      </c>
      <c r="C8665" t="s">
        <v>27215</v>
      </c>
      <c r="D8665" t="s">
        <v>27216</v>
      </c>
      <c r="E8665">
        <v>1</v>
      </c>
      <c r="F8665" t="str">
        <f>HYPERLINK("https://github.com/OneBusAway/onebusaway-android/issues/958", "show")</f>
        <v>show</v>
      </c>
      <c r="G8665" t="str">
        <f>HYPERLINK("https://github.com/OneBusAway/onebusaway-android", "show")</f>
        <v>show</v>
      </c>
      <c r="H8665" t="str">
        <f>HYPERLINK("https://github.com/OneBusAway/onebusaway-android/releases", "show")</f>
        <v>show</v>
      </c>
      <c r="I8665">
        <v>1</v>
      </c>
      <c r="J8665">
        <v>1</v>
      </c>
      <c r="K8665">
        <v>1</v>
      </c>
      <c r="L8665">
        <v>0</v>
      </c>
      <c r="M8665" t="s">
        <v>59</v>
      </c>
    </row>
    <row r="8666" spans="1:13" hidden="1" x14ac:dyDescent="0.15">
      <c r="A8666" t="s">
        <v>27217</v>
      </c>
      <c r="B8666" t="s">
        <v>27218</v>
      </c>
      <c r="C8666" t="s">
        <v>27219</v>
      </c>
      <c r="D8666" t="s">
        <v>27216</v>
      </c>
      <c r="E8666">
        <v>14</v>
      </c>
      <c r="F8666" t="str">
        <f>HYPERLINK("https://github.com/deltachat/deltachat-android/issues/487", "show")</f>
        <v>show</v>
      </c>
      <c r="G8666" t="str">
        <f>HYPERLINK("https://github.com/deltachat/deltachat-android", "show")</f>
        <v>show</v>
      </c>
      <c r="H8666" t="str">
        <f>HYPERLINK("https://github.com/deltachat/deltachat-android/releases", "show")</f>
        <v>show</v>
      </c>
      <c r="I8666">
        <v>1</v>
      </c>
      <c r="J8666">
        <v>0</v>
      </c>
      <c r="K8666">
        <v>0</v>
      </c>
      <c r="L8666">
        <v>0</v>
      </c>
      <c r="M8666" t="s">
        <v>17</v>
      </c>
    </row>
    <row r="8667" spans="1:13" hidden="1" x14ac:dyDescent="0.15">
      <c r="A8667" t="s">
        <v>27220</v>
      </c>
      <c r="B8667" t="s">
        <v>27221</v>
      </c>
      <c r="C8667" t="s">
        <v>27222</v>
      </c>
      <c r="D8667" t="s">
        <v>27223</v>
      </c>
      <c r="E8667">
        <v>0</v>
      </c>
      <c r="F8667" t="str">
        <f>HYPERLINK("https://github.com/Catfriend1/syncthing-android/issues/203", "show")</f>
        <v>show</v>
      </c>
      <c r="G8667" t="str">
        <f>HYPERLINK("https://github.com/Catfriend1/syncthing-android", "show")</f>
        <v>show</v>
      </c>
      <c r="H8667" t="str">
        <f>HYPERLINK("https://github.com/Catfriend1/syncthing-android/releases", "show")</f>
        <v>show</v>
      </c>
      <c r="I8667">
        <v>0</v>
      </c>
      <c r="J8667">
        <v>0</v>
      </c>
      <c r="K8667">
        <v>0</v>
      </c>
      <c r="L8667">
        <v>0</v>
      </c>
      <c r="M8667" t="s">
        <v>43</v>
      </c>
    </row>
    <row r="8668" spans="1:13" hidden="1" x14ac:dyDescent="0.15">
      <c r="A8668" t="s">
        <v>27224</v>
      </c>
      <c r="B8668" t="s">
        <v>27225</v>
      </c>
      <c r="C8668" t="s">
        <v>27226</v>
      </c>
      <c r="D8668" t="s">
        <v>27227</v>
      </c>
      <c r="E8668">
        <v>32</v>
      </c>
      <c r="F8668" t="str">
        <f>HYPERLINK("https://github.com/nextcloud/android/issues/3427", "show")</f>
        <v>show</v>
      </c>
      <c r="G8668" t="str">
        <f>HYPERLINK("https://github.com/nextcloud/android", "show")</f>
        <v>show</v>
      </c>
      <c r="H8668" t="str">
        <f>HYPERLINK("https://github.com/nextcloud/android/releases", "show")</f>
        <v>show</v>
      </c>
      <c r="I8668">
        <v>1</v>
      </c>
      <c r="J8668">
        <v>0</v>
      </c>
      <c r="K8668">
        <v>0</v>
      </c>
      <c r="L8668">
        <v>0</v>
      </c>
      <c r="M8668" t="s">
        <v>17</v>
      </c>
    </row>
    <row r="8669" spans="1:13" hidden="1" x14ac:dyDescent="0.15">
      <c r="A8669" t="s">
        <v>27228</v>
      </c>
      <c r="B8669" t="s">
        <v>4312</v>
      </c>
      <c r="C8669" t="s">
        <v>27229</v>
      </c>
      <c r="D8669" t="s">
        <v>27227</v>
      </c>
      <c r="E8669">
        <v>292</v>
      </c>
      <c r="F8669" t="str">
        <f>HYPERLINK("https://github.com/immadisairaj/Quiz/issues/48", "show")</f>
        <v>show</v>
      </c>
      <c r="G8669" t="str">
        <f>HYPERLINK("https://github.com/immadisairaj/Quiz", "show")</f>
        <v>show</v>
      </c>
      <c r="H8669" t="str">
        <f>HYPERLINK("https://github.com/immadisairaj/Quiz/releases", "show")</f>
        <v>show</v>
      </c>
      <c r="I8669">
        <v>0</v>
      </c>
      <c r="J8669">
        <v>0</v>
      </c>
      <c r="K8669">
        <v>0</v>
      </c>
      <c r="L8669">
        <v>0</v>
      </c>
      <c r="M8669" t="s">
        <v>43</v>
      </c>
    </row>
    <row r="8670" spans="1:13" hidden="1" x14ac:dyDescent="0.15">
      <c r="A8670" t="s">
        <v>27230</v>
      </c>
      <c r="B8670" t="s">
        <v>27231</v>
      </c>
      <c r="D8670" t="s">
        <v>27232</v>
      </c>
      <c r="E8670">
        <v>1</v>
      </c>
      <c r="F8670" t="str">
        <f>HYPERLINK("https://github.com/Technion236272/2019a-TakeCare/issues/101", "show")</f>
        <v>show</v>
      </c>
      <c r="G8670" t="str">
        <f>HYPERLINK("https://github.com/Technion236272/2019a-TakeCare", "show")</f>
        <v>show</v>
      </c>
      <c r="H8670" t="str">
        <f>HYPERLINK("https://github.com/Technion236272/2019a-TakeCare/releases", "show")</f>
        <v>show</v>
      </c>
      <c r="I8670">
        <v>1</v>
      </c>
      <c r="J8670">
        <v>0</v>
      </c>
      <c r="K8670">
        <v>0</v>
      </c>
      <c r="L8670">
        <v>0</v>
      </c>
      <c r="M8670" t="s">
        <v>17</v>
      </c>
    </row>
    <row r="8671" spans="1:13" hidden="1" x14ac:dyDescent="0.15">
      <c r="A8671" t="s">
        <v>27233</v>
      </c>
      <c r="B8671" t="s">
        <v>27234</v>
      </c>
      <c r="C8671" t="s">
        <v>27235</v>
      </c>
      <c r="D8671" t="s">
        <v>27232</v>
      </c>
      <c r="E8671">
        <v>0</v>
      </c>
      <c r="F8671" t="str">
        <f>HYPERLINK("https://github.com/simonpoole/OpeningHoursFragment/issues/31", "show")</f>
        <v>show</v>
      </c>
      <c r="G8671" t="str">
        <f>HYPERLINK("https://github.com/simonpoole/OpeningHoursFragment", "show")</f>
        <v>show</v>
      </c>
      <c r="H8671" t="str">
        <f>HYPERLINK("https://github.com/simonpoole/OpeningHoursFragment/releases", "show")</f>
        <v>show</v>
      </c>
      <c r="I8671">
        <v>1</v>
      </c>
      <c r="J8671">
        <v>0</v>
      </c>
      <c r="K8671">
        <v>0</v>
      </c>
      <c r="L8671">
        <v>0</v>
      </c>
      <c r="M8671" t="s">
        <v>17</v>
      </c>
    </row>
    <row r="8672" spans="1:13" hidden="1" x14ac:dyDescent="0.15">
      <c r="A8672" t="s">
        <v>27236</v>
      </c>
      <c r="B8672" t="s">
        <v>27237</v>
      </c>
      <c r="C8672" t="s">
        <v>27238</v>
      </c>
      <c r="D8672" t="s">
        <v>27239</v>
      </c>
      <c r="E8672">
        <v>79</v>
      </c>
      <c r="F8672" t="str">
        <f>HYPERLINK("https://github.com/evernote/android-job/issues/561", "show")</f>
        <v>show</v>
      </c>
      <c r="G8672" t="str">
        <f>HYPERLINK("https://github.com/evernote/android-job", "show")</f>
        <v>show</v>
      </c>
      <c r="H8672" t="str">
        <f>HYPERLINK("https://github.com/evernote/android-job/releases", "show")</f>
        <v>show</v>
      </c>
      <c r="I8672">
        <v>1</v>
      </c>
      <c r="J8672">
        <v>0</v>
      </c>
      <c r="K8672">
        <v>1</v>
      </c>
      <c r="L8672">
        <v>1</v>
      </c>
      <c r="M8672" t="s">
        <v>1259</v>
      </c>
    </row>
    <row r="8673" spans="1:13" hidden="1" x14ac:dyDescent="0.15">
      <c r="A8673" t="s">
        <v>27240</v>
      </c>
      <c r="B8673" t="s">
        <v>27241</v>
      </c>
      <c r="C8673" t="s">
        <v>27242</v>
      </c>
      <c r="D8673" t="s">
        <v>27243</v>
      </c>
      <c r="E8673">
        <v>49</v>
      </c>
      <c r="F8673" t="str">
        <f>HYPERLINK("https://github.com/square/okhttp/issues/4510", "show")</f>
        <v>show</v>
      </c>
      <c r="G8673" t="str">
        <f>HYPERLINK("https://github.com/square/okhttp", "show")</f>
        <v>show</v>
      </c>
      <c r="H8673" t="str">
        <f>HYPERLINK("https://github.com/square/okhttp/releases", "show")</f>
        <v>show</v>
      </c>
      <c r="I8673">
        <v>0</v>
      </c>
      <c r="J8673">
        <v>0</v>
      </c>
      <c r="K8673">
        <v>1</v>
      </c>
      <c r="L8673">
        <v>0</v>
      </c>
      <c r="M8673" t="s">
        <v>122</v>
      </c>
    </row>
    <row r="8674" spans="1:13" hidden="1" x14ac:dyDescent="0.15">
      <c r="A8674" t="s">
        <v>27244</v>
      </c>
      <c r="B8674" t="s">
        <v>27245</v>
      </c>
      <c r="C8674" t="s">
        <v>27246</v>
      </c>
      <c r="D8674" t="s">
        <v>27247</v>
      </c>
      <c r="E8674">
        <v>8</v>
      </c>
      <c r="F8674" t="str">
        <f>HYPERLINK("https://github.com/jMonkeyEngine/jmonkeyengine/issues/997", "show")</f>
        <v>show</v>
      </c>
      <c r="G8674" t="str">
        <f>HYPERLINK("https://github.com/jMonkeyEngine/jmonkeyengine", "show")</f>
        <v>show</v>
      </c>
      <c r="H8674" t="str">
        <f>HYPERLINK("https://github.com/jMonkeyEngine/jmonkeyengine/releases", "show")</f>
        <v>show</v>
      </c>
      <c r="I8674">
        <v>1</v>
      </c>
      <c r="J8674">
        <v>0</v>
      </c>
      <c r="K8674">
        <v>1</v>
      </c>
      <c r="L8674">
        <v>0</v>
      </c>
      <c r="M8674" t="s">
        <v>64</v>
      </c>
    </row>
    <row r="8675" spans="1:13" hidden="1" x14ac:dyDescent="0.15">
      <c r="A8675" t="s">
        <v>27248</v>
      </c>
      <c r="B8675" t="s">
        <v>27249</v>
      </c>
      <c r="C8675" t="s">
        <v>27250</v>
      </c>
      <c r="D8675" t="s">
        <v>27247</v>
      </c>
      <c r="E8675">
        <v>0</v>
      </c>
      <c r="F8675" t="str">
        <f>HYPERLINK("https://github.com/jMonkeyEngine/jmonkeyengine/issues/992", "show")</f>
        <v>show</v>
      </c>
      <c r="G8675" t="str">
        <f>HYPERLINK("https://github.com/jMonkeyEngine/jmonkeyengine", "show")</f>
        <v>show</v>
      </c>
      <c r="H8675" t="str">
        <f>HYPERLINK("https://github.com/jMonkeyEngine/jmonkeyengine/releases", "show")</f>
        <v>show</v>
      </c>
      <c r="I8675">
        <v>1</v>
      </c>
      <c r="J8675">
        <v>0</v>
      </c>
      <c r="K8675">
        <v>1</v>
      </c>
      <c r="L8675">
        <v>0</v>
      </c>
      <c r="M8675" t="s">
        <v>64</v>
      </c>
    </row>
    <row r="8676" spans="1:13" hidden="1" x14ac:dyDescent="0.15">
      <c r="A8676" t="s">
        <v>27251</v>
      </c>
      <c r="B8676" t="s">
        <v>27252</v>
      </c>
      <c r="C8676" t="s">
        <v>27253</v>
      </c>
      <c r="D8676" t="s">
        <v>27247</v>
      </c>
      <c r="E8676">
        <v>0</v>
      </c>
      <c r="F8676" t="str">
        <f>HYPERLINK("https://github.com/sschueller/peertube-android/issues/77", "show")</f>
        <v>show</v>
      </c>
      <c r="G8676" t="str">
        <f>HYPERLINK("https://github.com/sschueller/peertube-android", "show")</f>
        <v>show</v>
      </c>
      <c r="H8676" t="str">
        <f>HYPERLINK("https://github.com/sschueller/peertube-android/releases", "show")</f>
        <v>show</v>
      </c>
      <c r="I8676">
        <v>1</v>
      </c>
      <c r="J8676">
        <v>0</v>
      </c>
      <c r="K8676">
        <v>1</v>
      </c>
      <c r="L8676">
        <v>0</v>
      </c>
      <c r="M8676" t="s">
        <v>64</v>
      </c>
    </row>
    <row r="8677" spans="1:13" hidden="1" x14ac:dyDescent="0.15">
      <c r="A8677" t="s">
        <v>27254</v>
      </c>
      <c r="B8677" t="s">
        <v>27255</v>
      </c>
      <c r="C8677" t="s">
        <v>27256</v>
      </c>
      <c r="D8677" t="s">
        <v>27247</v>
      </c>
      <c r="E8677">
        <v>1</v>
      </c>
      <c r="F8677" t="str">
        <f>HYPERLINK("https://github.com/Neamar/KISS/issues/1124", "show")</f>
        <v>show</v>
      </c>
      <c r="G8677" t="str">
        <f>HYPERLINK("https://github.com/Neamar/KISS", "show")</f>
        <v>show</v>
      </c>
      <c r="H8677" t="str">
        <f>HYPERLINK("https://github.com/Neamar/KISS/releases", "show")</f>
        <v>show</v>
      </c>
      <c r="I8677">
        <v>0</v>
      </c>
      <c r="J8677">
        <v>0</v>
      </c>
      <c r="K8677">
        <v>0</v>
      </c>
      <c r="L8677">
        <v>0</v>
      </c>
      <c r="M8677" t="s">
        <v>43</v>
      </c>
    </row>
    <row r="8678" spans="1:13" hidden="1" x14ac:dyDescent="0.15">
      <c r="A8678" t="s">
        <v>27257</v>
      </c>
      <c r="B8678" t="s">
        <v>27258</v>
      </c>
      <c r="C8678" t="s">
        <v>27259</v>
      </c>
      <c r="D8678" t="s">
        <v>27260</v>
      </c>
      <c r="E8678">
        <v>12</v>
      </c>
      <c r="F8678" t="str">
        <f>HYPERLINK("https://github.com/marksuth/indigenous-android/issues/170", "show")</f>
        <v>show</v>
      </c>
      <c r="G8678" t="str">
        <f>HYPERLINK("https://github.com/marksuth/indigenous-android", "show")</f>
        <v>show</v>
      </c>
      <c r="H8678" t="str">
        <f>HYPERLINK("https://github.com/marksuth/indigenous-android/releases", "show")</f>
        <v>show</v>
      </c>
      <c r="I8678">
        <v>0</v>
      </c>
      <c r="J8678">
        <v>0</v>
      </c>
      <c r="K8678">
        <v>1</v>
      </c>
      <c r="L8678">
        <v>0</v>
      </c>
      <c r="M8678" t="s">
        <v>122</v>
      </c>
    </row>
    <row r="8679" spans="1:13" hidden="1" x14ac:dyDescent="0.15">
      <c r="A8679" t="s">
        <v>27261</v>
      </c>
      <c r="B8679" t="s">
        <v>27262</v>
      </c>
      <c r="D8679" t="s">
        <v>27260</v>
      </c>
      <c r="E8679">
        <v>29</v>
      </c>
      <c r="F8679" t="str">
        <f>HYPERLINK("https://github.com/Piwigo/Piwigo-Android/issues/85", "show")</f>
        <v>show</v>
      </c>
      <c r="G8679" t="str">
        <f>HYPERLINK("https://github.com/Piwigo/Piwigo-Android", "show")</f>
        <v>show</v>
      </c>
      <c r="H8679" t="str">
        <f>HYPERLINK("https://github.com/Piwigo/Piwigo-Android/releases", "show")</f>
        <v>show</v>
      </c>
      <c r="I8679">
        <v>1</v>
      </c>
      <c r="J8679">
        <v>0</v>
      </c>
      <c r="K8679">
        <v>1</v>
      </c>
      <c r="L8679">
        <v>0</v>
      </c>
      <c r="M8679" t="s">
        <v>64</v>
      </c>
    </row>
    <row r="8680" spans="1:13" hidden="1" x14ac:dyDescent="0.15">
      <c r="A8680" t="s">
        <v>27263</v>
      </c>
      <c r="B8680" t="s">
        <v>27264</v>
      </c>
      <c r="C8680" t="s">
        <v>27265</v>
      </c>
      <c r="D8680" t="s">
        <v>27260</v>
      </c>
      <c r="E8680">
        <v>1</v>
      </c>
      <c r="F8680" t="str">
        <f>HYPERLINK("https://github.com/jMonkeyEngine/jmonkeyengine/issues/988", "show")</f>
        <v>show</v>
      </c>
      <c r="G8680" t="str">
        <f>HYPERLINK("https://github.com/jMonkeyEngine/jmonkeyengine", "show")</f>
        <v>show</v>
      </c>
      <c r="H8680" t="str">
        <f>HYPERLINK("https://github.com/jMonkeyEngine/jmonkeyengine/releases", "show")</f>
        <v>show</v>
      </c>
      <c r="I8680">
        <v>1</v>
      </c>
      <c r="J8680">
        <v>0</v>
      </c>
      <c r="K8680">
        <v>1</v>
      </c>
      <c r="L8680">
        <v>0</v>
      </c>
      <c r="M8680" t="s">
        <v>64</v>
      </c>
    </row>
    <row r="8681" spans="1:13" hidden="1" x14ac:dyDescent="0.15">
      <c r="A8681" t="s">
        <v>27266</v>
      </c>
      <c r="B8681" t="s">
        <v>27267</v>
      </c>
      <c r="C8681" t="s">
        <v>27268</v>
      </c>
      <c r="D8681" t="s">
        <v>27269</v>
      </c>
      <c r="E8681">
        <v>1</v>
      </c>
      <c r="F8681" t="str">
        <f>HYPERLINK("https://github.com/doublesymmetry/react-native-track-player/issues/377", "show")</f>
        <v>show</v>
      </c>
      <c r="G8681" t="str">
        <f>HYPERLINK("https://github.com/doublesymmetry/react-native-track-player", "show")</f>
        <v>show</v>
      </c>
      <c r="H8681" t="str">
        <f>HYPERLINK("https://github.com/doublesymmetry/react-native-track-player/releases", "show")</f>
        <v>show</v>
      </c>
      <c r="I8681">
        <v>0</v>
      </c>
      <c r="J8681">
        <v>0</v>
      </c>
      <c r="K8681">
        <v>1</v>
      </c>
      <c r="L8681">
        <v>0</v>
      </c>
      <c r="M8681" t="s">
        <v>122</v>
      </c>
    </row>
    <row r="8682" spans="1:13" hidden="1" x14ac:dyDescent="0.15">
      <c r="A8682" t="s">
        <v>27270</v>
      </c>
      <c r="B8682" t="s">
        <v>27271</v>
      </c>
      <c r="C8682" t="s">
        <v>27272</v>
      </c>
      <c r="D8682" t="s">
        <v>27269</v>
      </c>
      <c r="E8682">
        <v>2</v>
      </c>
      <c r="F8682" t="str">
        <f>HYPERLINK("https://github.com/jMonkeyEngine/jmonkeyengine/issues/983", "show")</f>
        <v>show</v>
      </c>
      <c r="G8682" t="str">
        <f>HYPERLINK("https://github.com/jMonkeyEngine/jmonkeyengine", "show")</f>
        <v>show</v>
      </c>
      <c r="H8682" t="str">
        <f>HYPERLINK("https://github.com/jMonkeyEngine/jmonkeyengine/releases", "show")</f>
        <v>show</v>
      </c>
      <c r="I8682">
        <v>1</v>
      </c>
      <c r="J8682">
        <v>0</v>
      </c>
      <c r="K8682">
        <v>1</v>
      </c>
      <c r="L8682">
        <v>0</v>
      </c>
      <c r="M8682" t="s">
        <v>64</v>
      </c>
    </row>
    <row r="8683" spans="1:13" hidden="1" x14ac:dyDescent="0.15">
      <c r="A8683" t="s">
        <v>27273</v>
      </c>
      <c r="B8683" t="s">
        <v>27274</v>
      </c>
      <c r="C8683" t="s">
        <v>27275</v>
      </c>
      <c r="D8683" t="s">
        <v>27276</v>
      </c>
      <c r="E8683">
        <v>79</v>
      </c>
      <c r="F8683" t="str">
        <f>HYPERLINK("https://github.com/commons-app/apps-android-commons/issues/2246", "show")</f>
        <v>show</v>
      </c>
      <c r="G8683" t="str">
        <f>HYPERLINK("https://github.com/commons-app/apps-android-commons", "show")</f>
        <v>show</v>
      </c>
      <c r="H8683" t="str">
        <f>HYPERLINK("https://github.com/commons-app/apps-android-commons/releases", "show")</f>
        <v>show</v>
      </c>
      <c r="I8683">
        <v>0</v>
      </c>
      <c r="J8683">
        <v>0</v>
      </c>
      <c r="K8683">
        <v>1</v>
      </c>
      <c r="L8683">
        <v>0</v>
      </c>
      <c r="M8683" t="s">
        <v>122</v>
      </c>
    </row>
    <row r="8684" spans="1:13" x14ac:dyDescent="0.15">
      <c r="A8684" t="s">
        <v>27277</v>
      </c>
      <c r="B8684" t="s">
        <v>27278</v>
      </c>
      <c r="C8684" t="s">
        <v>27279</v>
      </c>
      <c r="D8684" t="s">
        <v>27280</v>
      </c>
      <c r="E8684">
        <v>0</v>
      </c>
      <c r="F8684" t="str">
        <f>HYPERLINK("https://github.com/radarlabs/react-native-radar/issues/56", "show")</f>
        <v>show</v>
      </c>
      <c r="G8684" t="str">
        <f>HYPERLINK("https://github.com/radarlabs/react-native-radar", "show")</f>
        <v>show</v>
      </c>
      <c r="H8684" t="str">
        <f>HYPERLINK("https://github.com/radarlabs/react-native-radar/releases", "show")</f>
        <v>show</v>
      </c>
      <c r="I8684">
        <v>0</v>
      </c>
      <c r="J8684">
        <v>1</v>
      </c>
      <c r="K8684">
        <v>0</v>
      </c>
      <c r="L8684">
        <v>0</v>
      </c>
      <c r="M8684" t="s">
        <v>139</v>
      </c>
    </row>
    <row r="8685" spans="1:13" hidden="1" x14ac:dyDescent="0.15">
      <c r="A8685" t="s">
        <v>27281</v>
      </c>
      <c r="B8685" t="s">
        <v>27282</v>
      </c>
      <c r="D8685" t="s">
        <v>27280</v>
      </c>
      <c r="E8685">
        <v>0</v>
      </c>
      <c r="F8685" t="str">
        <f>HYPERLINK("https://github.com/AhiruSoftwareCompany/coldmirrorapp/issues/24", "show")</f>
        <v>show</v>
      </c>
      <c r="G8685" t="str">
        <f>HYPERLINK("https://github.com/AhiruSoftwareCompany/coldmirrorapp", "show")</f>
        <v>show</v>
      </c>
      <c r="H8685" t="str">
        <f>HYPERLINK("https://github.com/AhiruSoftwareCompany/coldmirrorapp/releases", "show")</f>
        <v>show</v>
      </c>
      <c r="I8685">
        <v>0</v>
      </c>
      <c r="J8685">
        <v>0</v>
      </c>
      <c r="K8685">
        <v>1</v>
      </c>
      <c r="L8685">
        <v>0</v>
      </c>
      <c r="M8685" t="s">
        <v>122</v>
      </c>
    </row>
    <row r="8686" spans="1:13" hidden="1" x14ac:dyDescent="0.15">
      <c r="A8686" t="s">
        <v>27283</v>
      </c>
      <c r="B8686" t="s">
        <v>27284</v>
      </c>
      <c r="C8686" t="s">
        <v>27285</v>
      </c>
      <c r="D8686" t="s">
        <v>27280</v>
      </c>
      <c r="E8686">
        <v>59</v>
      </c>
      <c r="F8686" t="str">
        <f>HYPERLINK("https://github.com/Tencent/tinker/issues/1000", "show")</f>
        <v>show</v>
      </c>
      <c r="G8686" t="str">
        <f>HYPERLINK("https://github.com/Tencent/tinker", "show")</f>
        <v>show</v>
      </c>
      <c r="H8686" t="str">
        <f>HYPERLINK("https://github.com/Tencent/tinker/releases", "show")</f>
        <v>show</v>
      </c>
      <c r="I8686">
        <v>1</v>
      </c>
      <c r="J8686">
        <v>0</v>
      </c>
      <c r="K8686">
        <v>0</v>
      </c>
      <c r="L8686">
        <v>0</v>
      </c>
      <c r="M8686" t="s">
        <v>17</v>
      </c>
    </row>
    <row r="8687" spans="1:13" hidden="1" x14ac:dyDescent="0.15">
      <c r="A8687" t="s">
        <v>27286</v>
      </c>
      <c r="B8687" t="s">
        <v>27287</v>
      </c>
      <c r="C8687" t="s">
        <v>27288</v>
      </c>
      <c r="D8687" t="s">
        <v>27289</v>
      </c>
      <c r="E8687">
        <v>16</v>
      </c>
      <c r="F8687" t="str">
        <f>HYPERLINK("https://github.com/radarlabs/react-native-radar/issues/54", "show")</f>
        <v>show</v>
      </c>
      <c r="G8687" t="str">
        <f>HYPERLINK("https://github.com/radarlabs/react-native-radar", "show")</f>
        <v>show</v>
      </c>
      <c r="H8687" t="str">
        <f>HYPERLINK("https://github.com/radarlabs/react-native-radar/releases", "show")</f>
        <v>show</v>
      </c>
      <c r="I8687">
        <v>1</v>
      </c>
      <c r="J8687">
        <v>0</v>
      </c>
      <c r="K8687">
        <v>0</v>
      </c>
      <c r="L8687">
        <v>0</v>
      </c>
      <c r="M8687" t="s">
        <v>17</v>
      </c>
    </row>
    <row r="8688" spans="1:13" hidden="1" x14ac:dyDescent="0.15">
      <c r="A8688" t="s">
        <v>27290</v>
      </c>
      <c r="B8688" t="s">
        <v>27291</v>
      </c>
      <c r="C8688" t="s">
        <v>27292</v>
      </c>
      <c r="D8688" t="s">
        <v>27293</v>
      </c>
      <c r="E8688">
        <v>0</v>
      </c>
      <c r="F8688" t="str">
        <f>HYPERLINK("https://github.com/Catfriend1/syncthing-android/issues/148", "show")</f>
        <v>show</v>
      </c>
      <c r="G8688" t="str">
        <f>HYPERLINK("https://github.com/Catfriend1/syncthing-android", "show")</f>
        <v>show</v>
      </c>
      <c r="H8688" t="str">
        <f>HYPERLINK("https://github.com/Catfriend1/syncthing-android/releases", "show")</f>
        <v>show</v>
      </c>
      <c r="I8688">
        <v>1</v>
      </c>
      <c r="J8688">
        <v>0</v>
      </c>
      <c r="K8688">
        <v>0</v>
      </c>
      <c r="L8688">
        <v>0</v>
      </c>
      <c r="M8688" t="s">
        <v>17</v>
      </c>
    </row>
    <row r="8689" spans="1:13" hidden="1" x14ac:dyDescent="0.15">
      <c r="A8689" t="s">
        <v>27294</v>
      </c>
      <c r="B8689" t="s">
        <v>27295</v>
      </c>
      <c r="C8689" t="s">
        <v>27296</v>
      </c>
      <c r="D8689" t="s">
        <v>27293</v>
      </c>
      <c r="E8689">
        <v>18</v>
      </c>
      <c r="F8689" t="str">
        <f>HYPERLINK("https://github.com/mapbox/mapbox-plugins-android/issues/801", "show")</f>
        <v>show</v>
      </c>
      <c r="G8689" t="str">
        <f>HYPERLINK("https://github.com/mapbox/mapbox-plugins-android", "show")</f>
        <v>show</v>
      </c>
      <c r="H8689" t="str">
        <f>HYPERLINK("https://github.com/mapbox/mapbox-plugins-android/releases", "show")</f>
        <v>show</v>
      </c>
      <c r="I8689">
        <v>1</v>
      </c>
      <c r="J8689">
        <v>0</v>
      </c>
      <c r="K8689">
        <v>0</v>
      </c>
      <c r="L8689">
        <v>0</v>
      </c>
      <c r="M8689" t="s">
        <v>17</v>
      </c>
    </row>
    <row r="8690" spans="1:13" hidden="1" x14ac:dyDescent="0.15">
      <c r="A8690" t="s">
        <v>27297</v>
      </c>
      <c r="B8690" t="s">
        <v>27298</v>
      </c>
      <c r="C8690" t="s">
        <v>27299</v>
      </c>
      <c r="D8690" t="s">
        <v>27293</v>
      </c>
      <c r="E8690">
        <v>17</v>
      </c>
      <c r="F8690" t="str">
        <f>HYPERLINK("https://github.com/testpress/android/issues/84", "show")</f>
        <v>show</v>
      </c>
      <c r="G8690" t="str">
        <f>HYPERLINK("https://github.com/testpress/android", "show")</f>
        <v>show</v>
      </c>
      <c r="H8690" t="str">
        <f>HYPERLINK("https://github.com/testpress/android/releases", "show")</f>
        <v>show</v>
      </c>
      <c r="I8690">
        <v>1</v>
      </c>
      <c r="J8690">
        <v>0</v>
      </c>
      <c r="K8690">
        <v>0</v>
      </c>
      <c r="L8690">
        <v>0</v>
      </c>
      <c r="M8690" t="s">
        <v>17</v>
      </c>
    </row>
    <row r="8691" spans="1:13" hidden="1" x14ac:dyDescent="0.15">
      <c r="A8691" t="s">
        <v>27300</v>
      </c>
      <c r="B8691" t="s">
        <v>27301</v>
      </c>
      <c r="C8691" t="s">
        <v>27302</v>
      </c>
      <c r="D8691" t="s">
        <v>27293</v>
      </c>
      <c r="E8691">
        <v>6</v>
      </c>
      <c r="F8691" t="str">
        <f>HYPERLINK("https://github.com/miguelpruivo/flutter_file_picker/issues/19", "show")</f>
        <v>show</v>
      </c>
      <c r="G8691" t="str">
        <f>HYPERLINK("https://github.com/miguelpruivo/flutter_file_picker", "show")</f>
        <v>show</v>
      </c>
      <c r="H8691" t="str">
        <f>HYPERLINK("https://github.com/miguelpruivo/flutter_file_picker/releases", "show")</f>
        <v>show</v>
      </c>
      <c r="I8691">
        <v>1</v>
      </c>
      <c r="J8691">
        <v>0</v>
      </c>
      <c r="K8691">
        <v>1</v>
      </c>
      <c r="L8691">
        <v>0</v>
      </c>
      <c r="M8691" t="s">
        <v>64</v>
      </c>
    </row>
    <row r="8692" spans="1:13" hidden="1" x14ac:dyDescent="0.15">
      <c r="A8692" t="s">
        <v>27303</v>
      </c>
      <c r="B8692" t="s">
        <v>27304</v>
      </c>
      <c r="C8692" t="s">
        <v>27305</v>
      </c>
      <c r="D8692" t="s">
        <v>27306</v>
      </c>
      <c r="E8692">
        <v>182</v>
      </c>
      <c r="F8692" t="str">
        <f>HYPERLINK("https://github.com/Intelehealth/Android-Mobile-Client/issues/604", "show")</f>
        <v>show</v>
      </c>
      <c r="G8692" t="str">
        <f>HYPERLINK("https://github.com/Intelehealth/Android-Mobile-Client", "show")</f>
        <v>show</v>
      </c>
      <c r="H8692" t="str">
        <f>HYPERLINK("https://github.com/Intelehealth/Android-Mobile-Client/releases", "show")</f>
        <v>show</v>
      </c>
      <c r="I8692">
        <v>1</v>
      </c>
      <c r="J8692">
        <v>0</v>
      </c>
      <c r="K8692">
        <v>1</v>
      </c>
      <c r="L8692">
        <v>0</v>
      </c>
      <c r="M8692" t="s">
        <v>64</v>
      </c>
    </row>
    <row r="8693" spans="1:13" hidden="1" x14ac:dyDescent="0.15">
      <c r="A8693" t="s">
        <v>27307</v>
      </c>
      <c r="B8693" t="s">
        <v>27308</v>
      </c>
      <c r="C8693" t="s">
        <v>27309</v>
      </c>
      <c r="D8693" t="s">
        <v>27306</v>
      </c>
      <c r="E8693">
        <v>182</v>
      </c>
      <c r="F8693" t="str">
        <f>HYPERLINK("https://github.com/Intelehealth/Android-Mobile-Client/issues/602", "show")</f>
        <v>show</v>
      </c>
      <c r="G8693" t="str">
        <f>HYPERLINK("https://github.com/Intelehealth/Android-Mobile-Client", "show")</f>
        <v>show</v>
      </c>
      <c r="H8693" t="str">
        <f>HYPERLINK("https://github.com/Intelehealth/Android-Mobile-Client/releases", "show")</f>
        <v>show</v>
      </c>
      <c r="I8693">
        <v>0</v>
      </c>
      <c r="J8693">
        <v>0</v>
      </c>
      <c r="K8693">
        <v>1</v>
      </c>
      <c r="L8693">
        <v>0</v>
      </c>
      <c r="M8693" t="s">
        <v>122</v>
      </c>
    </row>
    <row r="8694" spans="1:13" hidden="1" x14ac:dyDescent="0.15">
      <c r="A8694" t="s">
        <v>27310</v>
      </c>
      <c r="B8694" t="s">
        <v>27311</v>
      </c>
      <c r="C8694" t="s">
        <v>27312</v>
      </c>
      <c r="D8694" t="s">
        <v>27306</v>
      </c>
      <c r="E8694">
        <v>182</v>
      </c>
      <c r="F8694" t="str">
        <f>HYPERLINK("https://github.com/Intelehealth/Android-Mobile-Client/issues/601", "show")</f>
        <v>show</v>
      </c>
      <c r="G8694" t="str">
        <f>HYPERLINK("https://github.com/Intelehealth/Android-Mobile-Client", "show")</f>
        <v>show</v>
      </c>
      <c r="H8694" t="str">
        <f>HYPERLINK("https://github.com/Intelehealth/Android-Mobile-Client/releases", "show")</f>
        <v>show</v>
      </c>
      <c r="I8694">
        <v>0</v>
      </c>
      <c r="J8694">
        <v>0</v>
      </c>
      <c r="K8694">
        <v>1</v>
      </c>
      <c r="L8694">
        <v>0</v>
      </c>
      <c r="M8694" t="s">
        <v>122</v>
      </c>
    </row>
    <row r="8695" spans="1:13" hidden="1" x14ac:dyDescent="0.15">
      <c r="A8695" t="s">
        <v>27313</v>
      </c>
      <c r="B8695" t="s">
        <v>27314</v>
      </c>
      <c r="C8695" t="s">
        <v>27315</v>
      </c>
      <c r="D8695" t="s">
        <v>27306</v>
      </c>
      <c r="E8695">
        <v>46</v>
      </c>
      <c r="F8695" t="str">
        <f>HYPERLINK("https://github.com/Intelehealth/Android-Mobile-Client/issues/600", "show")</f>
        <v>show</v>
      </c>
      <c r="G8695" t="str">
        <f>HYPERLINK("https://github.com/Intelehealth/Android-Mobile-Client", "show")</f>
        <v>show</v>
      </c>
      <c r="H8695" t="str">
        <f>HYPERLINK("https://github.com/Intelehealth/Android-Mobile-Client/releases", "show")</f>
        <v>show</v>
      </c>
      <c r="I8695">
        <v>1</v>
      </c>
      <c r="J8695">
        <v>0</v>
      </c>
      <c r="K8695">
        <v>0</v>
      </c>
      <c r="L8695">
        <v>0</v>
      </c>
      <c r="M8695" t="s">
        <v>17</v>
      </c>
    </row>
    <row r="8696" spans="1:13" hidden="1" x14ac:dyDescent="0.15">
      <c r="A8696" t="s">
        <v>27316</v>
      </c>
      <c r="B8696" t="s">
        <v>27317</v>
      </c>
      <c r="C8696" t="s">
        <v>27318</v>
      </c>
      <c r="D8696" t="s">
        <v>27306</v>
      </c>
      <c r="E8696">
        <v>0</v>
      </c>
      <c r="F8696" t="str">
        <f>HYPERLINK("https://github.com/commons-app/apps-android-commons/issues/2183", "show")</f>
        <v>show</v>
      </c>
      <c r="G8696" t="str">
        <f>HYPERLINK("https://github.com/commons-app/apps-android-commons", "show")</f>
        <v>show</v>
      </c>
      <c r="H8696" t="str">
        <f>HYPERLINK("https://github.com/commons-app/apps-android-commons/releases", "show")</f>
        <v>show</v>
      </c>
      <c r="I8696">
        <v>1</v>
      </c>
      <c r="J8696">
        <v>0</v>
      </c>
      <c r="K8696">
        <v>1</v>
      </c>
      <c r="L8696">
        <v>0</v>
      </c>
      <c r="M8696" t="s">
        <v>64</v>
      </c>
    </row>
    <row r="8697" spans="1:13" hidden="1" x14ac:dyDescent="0.15">
      <c r="A8697" t="s">
        <v>27319</v>
      </c>
      <c r="B8697" t="s">
        <v>27320</v>
      </c>
      <c r="C8697" t="s">
        <v>27321</v>
      </c>
      <c r="D8697" t="s">
        <v>27322</v>
      </c>
      <c r="E8697">
        <v>0</v>
      </c>
      <c r="F8697" t="str">
        <f>HYPERLINK("https://github.com/OneBusAway/onebusaway-android/issues/957", "show")</f>
        <v>show</v>
      </c>
      <c r="G8697" t="str">
        <f>HYPERLINK("https://github.com/OneBusAway/onebusaway-android", "show")</f>
        <v>show</v>
      </c>
      <c r="H8697" t="str">
        <f>HYPERLINK("https://github.com/OneBusAway/onebusaway-android/releases", "show")</f>
        <v>show</v>
      </c>
      <c r="I8697">
        <v>1</v>
      </c>
      <c r="J8697">
        <v>0</v>
      </c>
      <c r="K8697">
        <v>1</v>
      </c>
      <c r="L8697">
        <v>0</v>
      </c>
      <c r="M8697" t="s">
        <v>64</v>
      </c>
    </row>
    <row r="8698" spans="1:13" hidden="1" x14ac:dyDescent="0.15">
      <c r="A8698" t="s">
        <v>27323</v>
      </c>
      <c r="B8698" t="s">
        <v>27324</v>
      </c>
      <c r="D8698" t="s">
        <v>27322</v>
      </c>
      <c r="E8698">
        <v>0</v>
      </c>
      <c r="F8698" t="str">
        <f>HYPERLINK("https://github.com/Technion236272/2019a-TakeCare/issues/81", "show")</f>
        <v>show</v>
      </c>
      <c r="G8698" t="str">
        <f>HYPERLINK("https://github.com/Technion236272/2019a-TakeCare", "show")</f>
        <v>show</v>
      </c>
      <c r="H8698" t="str">
        <f>HYPERLINK("https://github.com/Technion236272/2019a-TakeCare/releases", "show")</f>
        <v>show</v>
      </c>
      <c r="I8698">
        <v>1</v>
      </c>
      <c r="J8698">
        <v>0</v>
      </c>
      <c r="K8698">
        <v>0</v>
      </c>
      <c r="L8698">
        <v>0</v>
      </c>
      <c r="M8698" t="s">
        <v>17</v>
      </c>
    </row>
    <row r="8699" spans="1:13" hidden="1" x14ac:dyDescent="0.15">
      <c r="A8699" t="s">
        <v>27325</v>
      </c>
      <c r="B8699" t="s">
        <v>27326</v>
      </c>
      <c r="C8699" t="s">
        <v>27327</v>
      </c>
      <c r="D8699" t="s">
        <v>27328</v>
      </c>
      <c r="E8699">
        <v>1</v>
      </c>
      <c r="F8699" t="str">
        <f>HYPERLINK("https://github.com/commons-app/apps-android-commons/issues/2166", "show")</f>
        <v>show</v>
      </c>
      <c r="G8699" t="str">
        <f>HYPERLINK("https://github.com/commons-app/apps-android-commons", "show")</f>
        <v>show</v>
      </c>
      <c r="H8699" t="str">
        <f>HYPERLINK("https://github.com/commons-app/apps-android-commons/releases", "show")</f>
        <v>show</v>
      </c>
      <c r="I8699">
        <v>1</v>
      </c>
      <c r="J8699">
        <v>1</v>
      </c>
      <c r="K8699">
        <v>1</v>
      </c>
      <c r="L8699">
        <v>0</v>
      </c>
      <c r="M8699" t="s">
        <v>59</v>
      </c>
    </row>
    <row r="8700" spans="1:13" hidden="1" x14ac:dyDescent="0.15">
      <c r="A8700" t="s">
        <v>27329</v>
      </c>
      <c r="B8700" t="s">
        <v>27330</v>
      </c>
      <c r="C8700" t="s">
        <v>27331</v>
      </c>
      <c r="D8700" t="s">
        <v>27328</v>
      </c>
      <c r="E8700">
        <v>284</v>
      </c>
      <c r="F8700" t="str">
        <f>HYPERLINK("https://github.com/Piwigo/Piwigo-Android/issues/80", "show")</f>
        <v>show</v>
      </c>
      <c r="G8700" t="str">
        <f>HYPERLINK("https://github.com/Piwigo/Piwigo-Android", "show")</f>
        <v>show</v>
      </c>
      <c r="H8700" t="str">
        <f>HYPERLINK("https://github.com/Piwigo/Piwigo-Android/releases", "show")</f>
        <v>show</v>
      </c>
      <c r="I8700">
        <v>0</v>
      </c>
      <c r="J8700">
        <v>0</v>
      </c>
      <c r="K8700">
        <v>1</v>
      </c>
      <c r="L8700">
        <v>0</v>
      </c>
      <c r="M8700" t="s">
        <v>122</v>
      </c>
    </row>
    <row r="8701" spans="1:13" hidden="1" x14ac:dyDescent="0.15">
      <c r="A8701" t="s">
        <v>27332</v>
      </c>
      <c r="B8701" t="s">
        <v>27333</v>
      </c>
      <c r="C8701" t="s">
        <v>27334</v>
      </c>
      <c r="D8701" t="s">
        <v>27328</v>
      </c>
      <c r="E8701">
        <v>1</v>
      </c>
      <c r="F8701" t="str">
        <f>HYPERLINK("https://github.com/OneBusAway/onebusaway-android/issues/953", "show")</f>
        <v>show</v>
      </c>
      <c r="G8701" t="str">
        <f>HYPERLINK("https://github.com/OneBusAway/onebusaway-android", "show")</f>
        <v>show</v>
      </c>
      <c r="H8701" t="str">
        <f>HYPERLINK("https://github.com/OneBusAway/onebusaway-android/releases", "show")</f>
        <v>show</v>
      </c>
      <c r="I8701">
        <v>1</v>
      </c>
      <c r="J8701">
        <v>1</v>
      </c>
      <c r="K8701">
        <v>1</v>
      </c>
      <c r="L8701">
        <v>0</v>
      </c>
      <c r="M8701" t="s">
        <v>59</v>
      </c>
    </row>
    <row r="8702" spans="1:13" hidden="1" x14ac:dyDescent="0.15">
      <c r="A8702" t="s">
        <v>27335</v>
      </c>
      <c r="B8702" t="s">
        <v>27336</v>
      </c>
      <c r="C8702" t="s">
        <v>27337</v>
      </c>
      <c r="D8702" t="s">
        <v>27328</v>
      </c>
      <c r="E8702">
        <v>323</v>
      </c>
      <c r="F8702" t="str">
        <f>HYPERLINK("https://github.com/fossasia/phimpme-android/issues/2318", "show")</f>
        <v>show</v>
      </c>
      <c r="G8702" t="str">
        <f>HYPERLINK("https://github.com/fossasia/phimpme-android", "show")</f>
        <v>show</v>
      </c>
      <c r="H8702" t="str">
        <f>HYPERLINK("https://github.com/fossasia/phimpme-android/releases", "show")</f>
        <v>show</v>
      </c>
      <c r="I8702">
        <v>1</v>
      </c>
      <c r="J8702">
        <v>1</v>
      </c>
      <c r="K8702">
        <v>0</v>
      </c>
      <c r="L8702">
        <v>1</v>
      </c>
      <c r="M8702" t="s">
        <v>1894</v>
      </c>
    </row>
    <row r="8703" spans="1:13" hidden="1" x14ac:dyDescent="0.15">
      <c r="A8703" t="s">
        <v>27338</v>
      </c>
      <c r="B8703" t="s">
        <v>27339</v>
      </c>
      <c r="C8703" t="s">
        <v>27340</v>
      </c>
      <c r="D8703" t="s">
        <v>27328</v>
      </c>
      <c r="E8703">
        <v>2</v>
      </c>
      <c r="F8703" t="str">
        <f>HYPERLINK("https://github.com/microsoft/EmbeddedSocial-Android-SDK/issues/113", "show")</f>
        <v>show</v>
      </c>
      <c r="G8703" t="str">
        <f>HYPERLINK("https://github.com/microsoft/EmbeddedSocial-Android-SDK", "show")</f>
        <v>show</v>
      </c>
      <c r="H8703" t="str">
        <f>HYPERLINK("https://github.com/microsoft/EmbeddedSocial-Android-SDK/releases", "show")</f>
        <v>show</v>
      </c>
      <c r="I8703">
        <v>1</v>
      </c>
      <c r="J8703">
        <v>0</v>
      </c>
      <c r="K8703">
        <v>1</v>
      </c>
      <c r="L8703">
        <v>0</v>
      </c>
      <c r="M8703" t="s">
        <v>64</v>
      </c>
    </row>
    <row r="8704" spans="1:13" hidden="1" x14ac:dyDescent="0.15">
      <c r="A8704" t="s">
        <v>27341</v>
      </c>
      <c r="B8704" t="s">
        <v>27342</v>
      </c>
      <c r="C8704" t="s">
        <v>27343</v>
      </c>
      <c r="D8704" t="s">
        <v>27328</v>
      </c>
      <c r="E8704">
        <v>30</v>
      </c>
      <c r="F8704" t="str">
        <f>HYPERLINK("https://github.com/microsoft/appcenter-sdk-android/issues/917", "show")</f>
        <v>show</v>
      </c>
      <c r="G8704" t="str">
        <f>HYPERLINK("https://github.com/microsoft/appcenter-sdk-android", "show")</f>
        <v>show</v>
      </c>
      <c r="H8704" t="str">
        <f>HYPERLINK("https://github.com/microsoft/appcenter-sdk-android/releases", "show")</f>
        <v>show</v>
      </c>
      <c r="I8704">
        <v>1</v>
      </c>
      <c r="J8704">
        <v>1</v>
      </c>
      <c r="K8704">
        <v>1</v>
      </c>
      <c r="L8704">
        <v>0</v>
      </c>
      <c r="M8704" t="s">
        <v>59</v>
      </c>
    </row>
    <row r="8705" spans="1:13" hidden="1" x14ac:dyDescent="0.15">
      <c r="A8705" t="s">
        <v>27344</v>
      </c>
      <c r="B8705" t="s">
        <v>27345</v>
      </c>
      <c r="C8705" t="s">
        <v>27346</v>
      </c>
      <c r="D8705" t="s">
        <v>27328</v>
      </c>
      <c r="E8705">
        <v>0</v>
      </c>
      <c r="F8705" t="str">
        <f>HYPERLINK("https://github.com/Catfriend1/syncthing-android/issues/141", "show")</f>
        <v>show</v>
      </c>
      <c r="G8705" t="str">
        <f>HYPERLINK("https://github.com/Catfriend1/syncthing-android", "show")</f>
        <v>show</v>
      </c>
      <c r="H8705" t="str">
        <f>HYPERLINK("https://github.com/Catfriend1/syncthing-android/releases", "show")</f>
        <v>show</v>
      </c>
      <c r="I8705">
        <v>1</v>
      </c>
      <c r="J8705">
        <v>0</v>
      </c>
      <c r="K8705">
        <v>1</v>
      </c>
      <c r="L8705">
        <v>0</v>
      </c>
      <c r="M8705" t="s">
        <v>64</v>
      </c>
    </row>
    <row r="8706" spans="1:13" hidden="1" x14ac:dyDescent="0.15">
      <c r="A8706" t="s">
        <v>27347</v>
      </c>
      <c r="B8706" t="s">
        <v>27348</v>
      </c>
      <c r="C8706" t="s">
        <v>27349</v>
      </c>
      <c r="D8706" t="s">
        <v>27350</v>
      </c>
      <c r="E8706">
        <v>2</v>
      </c>
      <c r="F8706" t="str">
        <f>HYPERLINK("https://github.com/Piwigo/Piwigo-Android/issues/79", "show")</f>
        <v>show</v>
      </c>
      <c r="G8706" t="str">
        <f>HYPERLINK("https://github.com/Piwigo/Piwigo-Android", "show")</f>
        <v>show</v>
      </c>
      <c r="H8706" t="str">
        <f>HYPERLINK("https://github.com/Piwigo/Piwigo-Android/releases", "show")</f>
        <v>show</v>
      </c>
      <c r="I8706">
        <v>1</v>
      </c>
      <c r="J8706">
        <v>0</v>
      </c>
      <c r="K8706">
        <v>0</v>
      </c>
      <c r="L8706">
        <v>0</v>
      </c>
      <c r="M8706" t="s">
        <v>17</v>
      </c>
    </row>
    <row r="8707" spans="1:13" hidden="1" x14ac:dyDescent="0.15">
      <c r="A8707" t="s">
        <v>27351</v>
      </c>
      <c r="B8707" t="s">
        <v>27352</v>
      </c>
      <c r="C8707" t="s">
        <v>27353</v>
      </c>
      <c r="D8707" t="s">
        <v>27350</v>
      </c>
      <c r="E8707">
        <v>0</v>
      </c>
      <c r="F8707" t="str">
        <f>HYPERLINK("https://github.com/sschueller/peertube-android/issues/45", "show")</f>
        <v>show</v>
      </c>
      <c r="G8707" t="str">
        <f>HYPERLINK("https://github.com/sschueller/peertube-android", "show")</f>
        <v>show</v>
      </c>
      <c r="H8707" t="str">
        <f>HYPERLINK("https://github.com/sschueller/peertube-android/releases", "show")</f>
        <v>show</v>
      </c>
      <c r="I8707">
        <v>1</v>
      </c>
      <c r="J8707">
        <v>0</v>
      </c>
      <c r="K8707">
        <v>0</v>
      </c>
      <c r="L8707">
        <v>0</v>
      </c>
      <c r="M8707" t="s">
        <v>17</v>
      </c>
    </row>
    <row r="8708" spans="1:13" hidden="1" x14ac:dyDescent="0.15">
      <c r="A8708" t="s">
        <v>27354</v>
      </c>
      <c r="B8708" t="s">
        <v>27355</v>
      </c>
      <c r="C8708" t="s">
        <v>27356</v>
      </c>
      <c r="D8708" t="s">
        <v>27350</v>
      </c>
      <c r="E8708">
        <v>0</v>
      </c>
      <c r="F8708" t="str">
        <f>HYPERLINK("https://github.com/OneBusAway/onebusaway-android/issues/949", "show")</f>
        <v>show</v>
      </c>
      <c r="G8708" t="str">
        <f>HYPERLINK("https://github.com/OneBusAway/onebusaway-android", "show")</f>
        <v>show</v>
      </c>
      <c r="H8708" t="str">
        <f>HYPERLINK("https://github.com/OneBusAway/onebusaway-android/releases", "show")</f>
        <v>show</v>
      </c>
      <c r="I8708">
        <v>1</v>
      </c>
      <c r="J8708">
        <v>0</v>
      </c>
      <c r="K8708">
        <v>0</v>
      </c>
      <c r="L8708">
        <v>0</v>
      </c>
      <c r="M8708" t="s">
        <v>17</v>
      </c>
    </row>
    <row r="8709" spans="1:13" hidden="1" x14ac:dyDescent="0.15">
      <c r="A8709" t="s">
        <v>27357</v>
      </c>
      <c r="B8709" t="s">
        <v>27358</v>
      </c>
      <c r="C8709" t="s">
        <v>27359</v>
      </c>
      <c r="D8709" t="s">
        <v>27350</v>
      </c>
      <c r="E8709">
        <v>0</v>
      </c>
      <c r="F8709" t="str">
        <f>HYPERLINK("https://github.com/RoverPlatform/rover-android/issues/309", "show")</f>
        <v>show</v>
      </c>
      <c r="G8709" t="str">
        <f>HYPERLINK("https://github.com/RoverPlatform/rover-android", "show")</f>
        <v>show</v>
      </c>
      <c r="H8709" t="str">
        <f>HYPERLINK("https://github.com/RoverPlatform/rover-android/releases", "show")</f>
        <v>show</v>
      </c>
      <c r="I8709">
        <v>0</v>
      </c>
      <c r="J8709">
        <v>0</v>
      </c>
      <c r="K8709">
        <v>0</v>
      </c>
      <c r="L8709">
        <v>0</v>
      </c>
      <c r="M8709" t="s">
        <v>43</v>
      </c>
    </row>
    <row r="8710" spans="1:13" hidden="1" x14ac:dyDescent="0.15">
      <c r="A8710" t="s">
        <v>27360</v>
      </c>
      <c r="B8710" t="s">
        <v>27361</v>
      </c>
      <c r="C8710" t="s">
        <v>27362</v>
      </c>
      <c r="D8710" t="s">
        <v>27350</v>
      </c>
      <c r="E8710">
        <v>3</v>
      </c>
      <c r="F8710" t="str">
        <f>HYPERLINK("https://github.com/ursval/TK-autoCoach/issues/3", "show")</f>
        <v>show</v>
      </c>
      <c r="G8710" t="str">
        <f>HYPERLINK("https://github.com/ursval/TK-autoCoach", "show")</f>
        <v>show</v>
      </c>
      <c r="H8710" t="str">
        <f>HYPERLINK("https://github.com/ursval/TK-autoCoach/releases", "show")</f>
        <v>show</v>
      </c>
      <c r="I8710">
        <v>0</v>
      </c>
      <c r="J8710">
        <v>0</v>
      </c>
      <c r="K8710">
        <v>0</v>
      </c>
      <c r="L8710">
        <v>0</v>
      </c>
      <c r="M8710" t="s">
        <v>43</v>
      </c>
    </row>
    <row r="8711" spans="1:13" hidden="1" x14ac:dyDescent="0.15">
      <c r="A8711" t="s">
        <v>27363</v>
      </c>
      <c r="B8711" t="s">
        <v>27364</v>
      </c>
      <c r="C8711" t="s">
        <v>27365</v>
      </c>
      <c r="D8711" t="s">
        <v>27350</v>
      </c>
      <c r="E8711">
        <v>114</v>
      </c>
      <c r="F8711" t="str">
        <f>HYPERLINK("https://github.com/Swrve/swrve-android-sdk/issues/280", "show")</f>
        <v>show</v>
      </c>
      <c r="G8711" t="str">
        <f>HYPERLINK("https://github.com/Swrve/swrve-android-sdk", "show")</f>
        <v>show</v>
      </c>
      <c r="H8711" t="str">
        <f>HYPERLINK("https://github.com/Swrve/swrve-android-sdk/releases", "show")</f>
        <v>show</v>
      </c>
      <c r="I8711">
        <v>1</v>
      </c>
      <c r="J8711">
        <v>0</v>
      </c>
      <c r="K8711">
        <v>0</v>
      </c>
      <c r="L8711">
        <v>0</v>
      </c>
      <c r="M8711" t="s">
        <v>17</v>
      </c>
    </row>
    <row r="8712" spans="1:13" hidden="1" x14ac:dyDescent="0.15">
      <c r="A8712" t="s">
        <v>27366</v>
      </c>
      <c r="B8712" t="s">
        <v>27367</v>
      </c>
      <c r="C8712" t="s">
        <v>27368</v>
      </c>
      <c r="D8712" t="s">
        <v>27369</v>
      </c>
      <c r="E8712">
        <v>25</v>
      </c>
      <c r="F8712" t="str">
        <f>HYPERLINK("https://github.com/yanzhenjie/SwipeRecyclerView/issues/223", "show")</f>
        <v>show</v>
      </c>
      <c r="G8712" t="str">
        <f>HYPERLINK("https://github.com/yanzhenjie/SwipeRecyclerView", "show")</f>
        <v>show</v>
      </c>
      <c r="H8712" t="str">
        <f>HYPERLINK("https://github.com/yanzhenjie/SwipeRecyclerView/releases", "show")</f>
        <v>show</v>
      </c>
      <c r="I8712">
        <v>0</v>
      </c>
      <c r="J8712">
        <v>0</v>
      </c>
      <c r="K8712">
        <v>1</v>
      </c>
      <c r="L8712">
        <v>0</v>
      </c>
      <c r="M8712" t="s">
        <v>122</v>
      </c>
    </row>
    <row r="8713" spans="1:13" hidden="1" x14ac:dyDescent="0.15">
      <c r="A8713" t="s">
        <v>27370</v>
      </c>
      <c r="B8713" t="s">
        <v>27371</v>
      </c>
      <c r="C8713" t="s">
        <v>27372</v>
      </c>
      <c r="D8713" t="s">
        <v>27373</v>
      </c>
      <c r="E8713">
        <v>608</v>
      </c>
      <c r="F8713" t="str">
        <f>HYPERLINK("https://github.com/commons-app/apps-android-commons/issues/2125", "show")</f>
        <v>show</v>
      </c>
      <c r="G8713" t="str">
        <f>HYPERLINK("https://github.com/commons-app/apps-android-commons", "show")</f>
        <v>show</v>
      </c>
      <c r="H8713" t="str">
        <f>HYPERLINK("https://github.com/commons-app/apps-android-commons/releases", "show")</f>
        <v>show</v>
      </c>
      <c r="I8713">
        <v>1</v>
      </c>
      <c r="J8713">
        <v>0</v>
      </c>
      <c r="K8713">
        <v>0</v>
      </c>
      <c r="L8713">
        <v>0</v>
      </c>
      <c r="M8713" t="s">
        <v>17</v>
      </c>
    </row>
    <row r="8714" spans="1:13" hidden="1" x14ac:dyDescent="0.15">
      <c r="A8714" t="s">
        <v>27374</v>
      </c>
      <c r="B8714" t="s">
        <v>27375</v>
      </c>
      <c r="C8714" t="s">
        <v>27376</v>
      </c>
      <c r="D8714" t="s">
        <v>27373</v>
      </c>
      <c r="E8714">
        <v>4</v>
      </c>
      <c r="F8714" t="str">
        <f>HYPERLINK("https://github.com/Susanfe/sdp-event-management/issues/275", "show")</f>
        <v>show</v>
      </c>
      <c r="G8714" t="str">
        <f>HYPERLINK("https://github.com/Susanfe/sdp-event-management", "show")</f>
        <v>show</v>
      </c>
      <c r="H8714" t="str">
        <f>HYPERLINK("https://github.com/Susanfe/sdp-event-management/releases", "show")</f>
        <v>show</v>
      </c>
      <c r="I8714">
        <v>1</v>
      </c>
      <c r="J8714">
        <v>0</v>
      </c>
      <c r="K8714">
        <v>0</v>
      </c>
      <c r="L8714">
        <v>0</v>
      </c>
      <c r="M8714" t="s">
        <v>17</v>
      </c>
    </row>
    <row r="8715" spans="1:13" hidden="1" x14ac:dyDescent="0.15">
      <c r="A8715" t="s">
        <v>27377</v>
      </c>
      <c r="B8715" t="s">
        <v>27378</v>
      </c>
      <c r="C8715" t="s">
        <v>27379</v>
      </c>
      <c r="D8715" t="s">
        <v>27373</v>
      </c>
      <c r="E8715">
        <v>2</v>
      </c>
      <c r="F8715" t="str">
        <f>HYPERLINK("https://github.com/commons-app/apps-android-commons/issues/2123", "show")</f>
        <v>show</v>
      </c>
      <c r="G8715" t="str">
        <f>HYPERLINK("https://github.com/commons-app/apps-android-commons", "show")</f>
        <v>show</v>
      </c>
      <c r="H8715" t="str">
        <f>HYPERLINK("https://github.com/commons-app/apps-android-commons/releases", "show")</f>
        <v>show</v>
      </c>
      <c r="I8715">
        <v>1</v>
      </c>
      <c r="J8715">
        <v>1</v>
      </c>
      <c r="K8715">
        <v>1</v>
      </c>
      <c r="L8715">
        <v>1</v>
      </c>
      <c r="M8715" t="s">
        <v>2875</v>
      </c>
    </row>
    <row r="8716" spans="1:13" hidden="1" x14ac:dyDescent="0.15">
      <c r="A8716" t="s">
        <v>27380</v>
      </c>
      <c r="B8716" t="s">
        <v>27381</v>
      </c>
      <c r="C8716" t="s">
        <v>27382</v>
      </c>
      <c r="D8716" t="s">
        <v>27383</v>
      </c>
      <c r="E8716">
        <v>176</v>
      </c>
      <c r="F8716" t="str">
        <f>HYPERLINK("https://github.com/react-native-camera/react-native-camera/issues/2002", "show")</f>
        <v>show</v>
      </c>
      <c r="G8716" t="str">
        <f>HYPERLINK("https://github.com/react-native-camera/react-native-camera", "show")</f>
        <v>show</v>
      </c>
      <c r="H8716" t="str">
        <f>HYPERLINK("https://github.com/react-native-camera/react-native-camera/releases", "show")</f>
        <v>show</v>
      </c>
      <c r="I8716">
        <v>0</v>
      </c>
      <c r="J8716">
        <v>0</v>
      </c>
      <c r="K8716">
        <v>0</v>
      </c>
      <c r="L8716">
        <v>0</v>
      </c>
      <c r="M8716" t="s">
        <v>43</v>
      </c>
    </row>
    <row r="8717" spans="1:13" hidden="1" x14ac:dyDescent="0.15">
      <c r="A8717" t="s">
        <v>27384</v>
      </c>
      <c r="B8717" t="s">
        <v>27385</v>
      </c>
      <c r="C8717" t="s">
        <v>27386</v>
      </c>
      <c r="D8717" t="s">
        <v>27383</v>
      </c>
      <c r="E8717">
        <v>1</v>
      </c>
      <c r="F8717" t="str">
        <f>HYPERLINK("https://github.com/sridharjajoo/NewsApp/issues/22", "show")</f>
        <v>show</v>
      </c>
      <c r="G8717" t="str">
        <f>HYPERLINK("https://github.com/sridharjajoo/NewsApp", "show")</f>
        <v>show</v>
      </c>
      <c r="H8717" t="str">
        <f>HYPERLINK("https://github.com/sridharjajoo/NewsApp/releases", "show")</f>
        <v>show</v>
      </c>
      <c r="I8717">
        <v>1</v>
      </c>
      <c r="J8717">
        <v>0</v>
      </c>
      <c r="K8717">
        <v>0</v>
      </c>
      <c r="L8717">
        <v>0</v>
      </c>
      <c r="M8717" t="s">
        <v>17</v>
      </c>
    </row>
    <row r="8718" spans="1:13" hidden="1" x14ac:dyDescent="0.15">
      <c r="A8718" t="s">
        <v>27387</v>
      </c>
      <c r="B8718" t="s">
        <v>27388</v>
      </c>
      <c r="C8718" t="s">
        <v>27389</v>
      </c>
      <c r="D8718" t="s">
        <v>27390</v>
      </c>
      <c r="E8718">
        <v>4</v>
      </c>
      <c r="F8718" t="str">
        <f>HYPERLINK("https://github.com/NordicSemiconductor/Android-BLE-Library/issues/61", "show")</f>
        <v>show</v>
      </c>
      <c r="G8718" t="str">
        <f>HYPERLINK("https://github.com/NordicSemiconductor/Android-BLE-Library", "show")</f>
        <v>show</v>
      </c>
      <c r="H8718" t="str">
        <f>HYPERLINK("https://github.com/NordicSemiconductor/Android-BLE-Library/releases", "show")</f>
        <v>show</v>
      </c>
      <c r="I8718">
        <v>0</v>
      </c>
      <c r="J8718">
        <v>0</v>
      </c>
      <c r="K8718">
        <v>1</v>
      </c>
      <c r="L8718">
        <v>0</v>
      </c>
      <c r="M8718" t="s">
        <v>122</v>
      </c>
    </row>
    <row r="8719" spans="1:13" hidden="1" x14ac:dyDescent="0.15">
      <c r="A8719" t="s">
        <v>27391</v>
      </c>
      <c r="B8719" t="s">
        <v>27392</v>
      </c>
      <c r="C8719" t="s">
        <v>27393</v>
      </c>
      <c r="D8719" t="s">
        <v>27390</v>
      </c>
      <c r="E8719">
        <v>10</v>
      </c>
      <c r="F8719" t="str">
        <f>HYPERLINK("https://github.com/gsantner/markor/issues/457", "show")</f>
        <v>show</v>
      </c>
      <c r="G8719" t="str">
        <f>HYPERLINK("https://github.com/gsantner/markor", "show")</f>
        <v>show</v>
      </c>
      <c r="H8719" t="str">
        <f>HYPERLINK("https://github.com/gsantner/markor/releases", "show")</f>
        <v>show</v>
      </c>
      <c r="I8719">
        <v>0</v>
      </c>
      <c r="J8719">
        <v>0</v>
      </c>
      <c r="K8719">
        <v>0</v>
      </c>
      <c r="L8719">
        <v>0</v>
      </c>
      <c r="M8719" t="s">
        <v>43</v>
      </c>
    </row>
    <row r="8720" spans="1:13" hidden="1" x14ac:dyDescent="0.15">
      <c r="A8720" t="s">
        <v>27394</v>
      </c>
      <c r="B8720" t="s">
        <v>27395</v>
      </c>
      <c r="C8720" t="s">
        <v>27396</v>
      </c>
      <c r="D8720" t="s">
        <v>27390</v>
      </c>
      <c r="E8720">
        <v>0</v>
      </c>
      <c r="F8720" t="str">
        <f>HYPERLINK("https://github.com/Susanfe/sdp-event-management/issues/267", "show")</f>
        <v>show</v>
      </c>
      <c r="G8720" t="str">
        <f>HYPERLINK("https://github.com/Susanfe/sdp-event-management", "show")</f>
        <v>show</v>
      </c>
      <c r="H8720" t="str">
        <f>HYPERLINK("https://github.com/Susanfe/sdp-event-management/releases", "show")</f>
        <v>show</v>
      </c>
      <c r="I8720">
        <v>1</v>
      </c>
      <c r="J8720">
        <v>0</v>
      </c>
      <c r="K8720">
        <v>0</v>
      </c>
      <c r="L8720">
        <v>0</v>
      </c>
      <c r="M8720" t="s">
        <v>17</v>
      </c>
    </row>
    <row r="8721" spans="1:13" hidden="1" x14ac:dyDescent="0.15">
      <c r="A8721" t="s">
        <v>27397</v>
      </c>
      <c r="B8721" t="s">
        <v>27398</v>
      </c>
      <c r="C8721" t="s">
        <v>27399</v>
      </c>
      <c r="D8721" t="s">
        <v>27400</v>
      </c>
      <c r="E8721">
        <v>0</v>
      </c>
      <c r="F8721" t="str">
        <f>HYPERLINK("https://github.com/gsantner/markor/issues/455", "show")</f>
        <v>show</v>
      </c>
      <c r="G8721" t="str">
        <f>HYPERLINK("https://github.com/gsantner/markor", "show")</f>
        <v>show</v>
      </c>
      <c r="H8721" t="str">
        <f>HYPERLINK("https://github.com/gsantner/markor/releases", "show")</f>
        <v>show</v>
      </c>
      <c r="I8721">
        <v>1</v>
      </c>
      <c r="J8721">
        <v>0</v>
      </c>
      <c r="K8721">
        <v>1</v>
      </c>
      <c r="L8721">
        <v>0</v>
      </c>
      <c r="M8721" t="s">
        <v>64</v>
      </c>
    </row>
    <row r="8722" spans="1:13" hidden="1" x14ac:dyDescent="0.15">
      <c r="A8722" t="s">
        <v>27401</v>
      </c>
      <c r="B8722" t="s">
        <v>27402</v>
      </c>
      <c r="C8722" t="s">
        <v>27403</v>
      </c>
      <c r="D8722" t="s">
        <v>27400</v>
      </c>
      <c r="E8722">
        <v>39</v>
      </c>
      <c r="F8722" t="str">
        <f>HYPERLINK("https://github.com/TNG/JGiven/issues/376", "show")</f>
        <v>show</v>
      </c>
      <c r="G8722" t="str">
        <f>HYPERLINK("https://github.com/TNG/JGiven", "show")</f>
        <v>show</v>
      </c>
      <c r="H8722" t="str">
        <f>HYPERLINK("https://github.com/TNG/JGiven/releases", "show")</f>
        <v>show</v>
      </c>
      <c r="I8722">
        <v>1</v>
      </c>
      <c r="J8722">
        <v>0</v>
      </c>
      <c r="K8722">
        <v>0</v>
      </c>
      <c r="L8722">
        <v>0</v>
      </c>
      <c r="M8722" t="s">
        <v>17</v>
      </c>
    </row>
    <row r="8723" spans="1:13" hidden="1" x14ac:dyDescent="0.15">
      <c r="A8723" t="s">
        <v>27404</v>
      </c>
      <c r="B8723" t="s">
        <v>27405</v>
      </c>
      <c r="D8723" t="s">
        <v>27400</v>
      </c>
      <c r="E8723">
        <v>5</v>
      </c>
      <c r="F8723" t="str">
        <f>HYPERLINK("https://github.com/Susanfe/sdp-event-management/issues/260", "show")</f>
        <v>show</v>
      </c>
      <c r="G8723" t="str">
        <f>HYPERLINK("https://github.com/Susanfe/sdp-event-management", "show")</f>
        <v>show</v>
      </c>
      <c r="H8723" t="str">
        <f>HYPERLINK("https://github.com/Susanfe/sdp-event-management/releases", "show")</f>
        <v>show</v>
      </c>
      <c r="I8723">
        <v>1</v>
      </c>
      <c r="J8723">
        <v>0</v>
      </c>
      <c r="K8723">
        <v>0</v>
      </c>
      <c r="L8723">
        <v>0</v>
      </c>
      <c r="M8723" t="s">
        <v>17</v>
      </c>
    </row>
    <row r="8724" spans="1:13" hidden="1" x14ac:dyDescent="0.15">
      <c r="A8724" t="s">
        <v>27406</v>
      </c>
      <c r="B8724" t="s">
        <v>27407</v>
      </c>
      <c r="D8724" t="s">
        <v>27408</v>
      </c>
      <c r="E8724">
        <v>1</v>
      </c>
      <c r="F8724" t="str">
        <f>HYPERLINK("https://github.com/wncc/instiapp-android/issues/259", "show")</f>
        <v>show</v>
      </c>
      <c r="G8724" t="str">
        <f>HYPERLINK("https://github.com/wncc/instiapp-android", "show")</f>
        <v>show</v>
      </c>
      <c r="H8724" t="str">
        <f>HYPERLINK("https://github.com/wncc/instiapp-android/releases", "show")</f>
        <v>show</v>
      </c>
      <c r="I8724">
        <v>1</v>
      </c>
      <c r="J8724">
        <v>0</v>
      </c>
      <c r="K8724">
        <v>0</v>
      </c>
      <c r="L8724">
        <v>0</v>
      </c>
      <c r="M8724" t="s">
        <v>17</v>
      </c>
    </row>
    <row r="8725" spans="1:13" hidden="1" x14ac:dyDescent="0.15">
      <c r="A8725" t="s">
        <v>27409</v>
      </c>
      <c r="B8725" t="s">
        <v>12409</v>
      </c>
      <c r="C8725" t="s">
        <v>27410</v>
      </c>
      <c r="D8725" t="s">
        <v>27408</v>
      </c>
      <c r="E8725">
        <v>0</v>
      </c>
      <c r="F8725" t="str">
        <f>HYPERLINK("https://github.com/react-native-svg/react-native-svg/issues/871", "show")</f>
        <v>show</v>
      </c>
      <c r="G8725" t="str">
        <f>HYPERLINK("https://github.com/react-native-svg/react-native-svg", "show")</f>
        <v>show</v>
      </c>
      <c r="H8725" t="str">
        <f>HYPERLINK("https://github.com/react-native-svg/react-native-svg/releases", "show")</f>
        <v>show</v>
      </c>
      <c r="I8725">
        <v>1</v>
      </c>
      <c r="J8725">
        <v>0</v>
      </c>
      <c r="K8725">
        <v>1</v>
      </c>
      <c r="L8725">
        <v>0</v>
      </c>
      <c r="M8725" t="s">
        <v>64</v>
      </c>
    </row>
    <row r="8726" spans="1:13" hidden="1" x14ac:dyDescent="0.15">
      <c r="A8726" t="s">
        <v>27411</v>
      </c>
      <c r="B8726" t="s">
        <v>27412</v>
      </c>
      <c r="C8726" t="s">
        <v>27413</v>
      </c>
      <c r="D8726" t="s">
        <v>27414</v>
      </c>
      <c r="E8726">
        <v>199</v>
      </c>
      <c r="F8726" t="str">
        <f>HYPERLINK("https://github.com/OneBusAway/onebusaway-android/issues/943", "show")</f>
        <v>show</v>
      </c>
      <c r="G8726" t="str">
        <f>HYPERLINK("https://github.com/OneBusAway/onebusaway-android", "show")</f>
        <v>show</v>
      </c>
      <c r="H8726" t="str">
        <f>HYPERLINK("https://github.com/OneBusAway/onebusaway-android/releases", "show")</f>
        <v>show</v>
      </c>
      <c r="I8726">
        <v>1</v>
      </c>
      <c r="J8726">
        <v>0</v>
      </c>
      <c r="K8726">
        <v>1</v>
      </c>
      <c r="L8726">
        <v>0</v>
      </c>
      <c r="M8726" t="s">
        <v>64</v>
      </c>
    </row>
    <row r="8727" spans="1:13" hidden="1" x14ac:dyDescent="0.15">
      <c r="A8727" t="s">
        <v>27415</v>
      </c>
      <c r="B8727" t="s">
        <v>27416</v>
      </c>
      <c r="C8727" t="s">
        <v>27417</v>
      </c>
      <c r="D8727" t="s">
        <v>27414</v>
      </c>
      <c r="E8727">
        <v>27</v>
      </c>
      <c r="F8727" t="str">
        <f>HYPERLINK("https://github.com/fossasia/pslab-android/issues/1466", "show")</f>
        <v>show</v>
      </c>
      <c r="G8727" t="str">
        <f>HYPERLINK("https://github.com/fossasia/pslab-android", "show")</f>
        <v>show</v>
      </c>
      <c r="H8727" t="str">
        <f>HYPERLINK("https://github.com/fossasia/pslab-android/releases", "show")</f>
        <v>show</v>
      </c>
      <c r="I8727">
        <v>1</v>
      </c>
      <c r="J8727">
        <v>1</v>
      </c>
      <c r="K8727">
        <v>0</v>
      </c>
      <c r="L8727">
        <v>1</v>
      </c>
      <c r="M8727" t="s">
        <v>1894</v>
      </c>
    </row>
    <row r="8728" spans="1:13" hidden="1" x14ac:dyDescent="0.15">
      <c r="A8728" t="s">
        <v>27418</v>
      </c>
      <c r="B8728" t="s">
        <v>27419</v>
      </c>
      <c r="C8728" t="s">
        <v>27420</v>
      </c>
      <c r="D8728" t="s">
        <v>27414</v>
      </c>
      <c r="E8728">
        <v>167</v>
      </c>
      <c r="F8728" t="str">
        <f>HYPERLINK("https://github.com/AndProx/AndProx/issues/34", "show")</f>
        <v>show</v>
      </c>
      <c r="G8728" t="str">
        <f>HYPERLINK("https://github.com/AndProx/AndProx", "show")</f>
        <v>show</v>
      </c>
      <c r="H8728" t="str">
        <f>HYPERLINK("https://github.com/AndProx/AndProx/releases", "show")</f>
        <v>show</v>
      </c>
      <c r="I8728">
        <v>1</v>
      </c>
      <c r="J8728">
        <v>1</v>
      </c>
      <c r="K8728">
        <v>0</v>
      </c>
      <c r="L8728">
        <v>0</v>
      </c>
      <c r="M8728" t="s">
        <v>48</v>
      </c>
    </row>
    <row r="8729" spans="1:13" hidden="1" x14ac:dyDescent="0.15">
      <c r="A8729" t="s">
        <v>27421</v>
      </c>
      <c r="B8729" t="s">
        <v>27422</v>
      </c>
      <c r="C8729" t="s">
        <v>27423</v>
      </c>
      <c r="D8729" t="s">
        <v>27414</v>
      </c>
      <c r="E8729">
        <v>152</v>
      </c>
      <c r="F8729" t="str">
        <f>HYPERLINK("https://github.com/fossasia/pslab-android/issues/1465", "show")</f>
        <v>show</v>
      </c>
      <c r="G8729" t="str">
        <f>HYPERLINK("https://github.com/fossasia/pslab-android", "show")</f>
        <v>show</v>
      </c>
      <c r="H8729" t="str">
        <f>HYPERLINK("https://github.com/fossasia/pslab-android/releases", "show")</f>
        <v>show</v>
      </c>
      <c r="I8729">
        <v>1</v>
      </c>
      <c r="J8729">
        <v>0</v>
      </c>
      <c r="K8729">
        <v>0</v>
      </c>
      <c r="L8729">
        <v>1</v>
      </c>
      <c r="M8729" t="s">
        <v>29</v>
      </c>
    </row>
    <row r="8730" spans="1:13" hidden="1" x14ac:dyDescent="0.15">
      <c r="A8730" t="s">
        <v>27424</v>
      </c>
      <c r="B8730" t="s">
        <v>27425</v>
      </c>
      <c r="C8730" t="s">
        <v>27426</v>
      </c>
      <c r="D8730" t="s">
        <v>27414</v>
      </c>
      <c r="E8730">
        <v>1</v>
      </c>
      <c r="F8730" t="str">
        <f>HYPERLINK("https://github.com/mapbox/mapbox-events-android/issues/313", "show")</f>
        <v>show</v>
      </c>
      <c r="G8730" t="str">
        <f>HYPERLINK("https://github.com/mapbox/mapbox-events-android", "show")</f>
        <v>show</v>
      </c>
      <c r="H8730" t="str">
        <f>HYPERLINK("https://github.com/mapbox/mapbox-events-android/releases", "show")</f>
        <v>show</v>
      </c>
      <c r="I8730">
        <v>0</v>
      </c>
      <c r="J8730">
        <v>0</v>
      </c>
      <c r="K8730">
        <v>0</v>
      </c>
      <c r="L8730">
        <v>0</v>
      </c>
      <c r="M8730" t="s">
        <v>43</v>
      </c>
    </row>
    <row r="8731" spans="1:13" hidden="1" x14ac:dyDescent="0.15">
      <c r="A8731" t="s">
        <v>27427</v>
      </c>
      <c r="B8731" t="s">
        <v>27428</v>
      </c>
      <c r="C8731" t="s">
        <v>27429</v>
      </c>
      <c r="D8731" t="s">
        <v>27414</v>
      </c>
      <c r="E8731">
        <v>3</v>
      </c>
      <c r="F8731" t="str">
        <f>HYPERLINK("https://github.com/react-native-camera/react-native-camera/issues/1982", "show")</f>
        <v>show</v>
      </c>
      <c r="G8731" t="str">
        <f>HYPERLINK("https://github.com/react-native-camera/react-native-camera", "show")</f>
        <v>show</v>
      </c>
      <c r="H8731" t="str">
        <f>HYPERLINK("https://github.com/react-native-camera/react-native-camera/releases", "show")</f>
        <v>show</v>
      </c>
      <c r="I8731">
        <v>1</v>
      </c>
      <c r="J8731">
        <v>0</v>
      </c>
      <c r="K8731">
        <v>0</v>
      </c>
      <c r="L8731">
        <v>0</v>
      </c>
      <c r="M8731" t="s">
        <v>17</v>
      </c>
    </row>
    <row r="8732" spans="1:13" hidden="1" x14ac:dyDescent="0.15">
      <c r="A8732" t="s">
        <v>27430</v>
      </c>
      <c r="B8732" t="s">
        <v>27431</v>
      </c>
      <c r="C8732" t="s">
        <v>27432</v>
      </c>
      <c r="D8732" t="s">
        <v>27433</v>
      </c>
      <c r="E8732">
        <v>9</v>
      </c>
      <c r="F8732" t="str">
        <f>HYPERLINK("https://github.com/marksuth/indigenous-android/issues/165", "show")</f>
        <v>show</v>
      </c>
      <c r="G8732" t="str">
        <f>HYPERLINK("https://github.com/marksuth/indigenous-android", "show")</f>
        <v>show</v>
      </c>
      <c r="H8732" t="str">
        <f>HYPERLINK("https://github.com/marksuth/indigenous-android/releases", "show")</f>
        <v>show</v>
      </c>
      <c r="I8732">
        <v>1</v>
      </c>
      <c r="J8732">
        <v>0</v>
      </c>
      <c r="K8732">
        <v>0</v>
      </c>
      <c r="L8732">
        <v>0</v>
      </c>
      <c r="M8732" t="s">
        <v>17</v>
      </c>
    </row>
    <row r="8733" spans="1:13" hidden="1" x14ac:dyDescent="0.15">
      <c r="A8733" t="s">
        <v>27434</v>
      </c>
      <c r="B8733" t="s">
        <v>27435</v>
      </c>
      <c r="C8733" t="s">
        <v>27436</v>
      </c>
      <c r="D8733" t="s">
        <v>27433</v>
      </c>
      <c r="E8733">
        <v>29</v>
      </c>
      <c r="F8733" t="str">
        <f>HYPERLINK("https://github.com/HunteRoi/bepway.front.mobile/issues/1", "show")</f>
        <v>show</v>
      </c>
      <c r="G8733" t="str">
        <f>HYPERLINK("https://github.com/HunteRoi/bepway.front.mobile", "show")</f>
        <v>show</v>
      </c>
      <c r="H8733" t="str">
        <f>HYPERLINK("https://github.com/HunteRoi/bepway.front.mobile/releases", "show")</f>
        <v>show</v>
      </c>
      <c r="I8733">
        <v>1</v>
      </c>
      <c r="J8733">
        <v>1</v>
      </c>
      <c r="K8733">
        <v>0</v>
      </c>
      <c r="L8733">
        <v>1</v>
      </c>
      <c r="M8733" t="s">
        <v>1894</v>
      </c>
    </row>
    <row r="8734" spans="1:13" hidden="1" x14ac:dyDescent="0.15">
      <c r="A8734" t="s">
        <v>27437</v>
      </c>
      <c r="B8734" t="s">
        <v>27438</v>
      </c>
      <c r="D8734" t="s">
        <v>27439</v>
      </c>
      <c r="E8734">
        <v>1</v>
      </c>
      <c r="F8734" t="str">
        <f>HYPERLINK("https://github.com/kalaspuffar/secure-quick-reliable-login/issues/217", "show")</f>
        <v>show</v>
      </c>
      <c r="G8734" t="str">
        <f>HYPERLINK("https://github.com/kalaspuffar/secure-quick-reliable-login", "show")</f>
        <v>show</v>
      </c>
      <c r="H8734" t="str">
        <f>HYPERLINK("https://github.com/kalaspuffar/secure-quick-reliable-login/releases", "show")</f>
        <v>show</v>
      </c>
      <c r="I8734">
        <v>1</v>
      </c>
      <c r="J8734">
        <v>0</v>
      </c>
      <c r="K8734">
        <v>0</v>
      </c>
      <c r="L8734">
        <v>0</v>
      </c>
      <c r="M8734" t="s">
        <v>17</v>
      </c>
    </row>
    <row r="8735" spans="1:13" hidden="1" x14ac:dyDescent="0.15">
      <c r="A8735" t="s">
        <v>27440</v>
      </c>
      <c r="B8735" t="s">
        <v>27441</v>
      </c>
      <c r="C8735" t="s">
        <v>27442</v>
      </c>
      <c r="D8735" t="s">
        <v>27439</v>
      </c>
      <c r="E8735">
        <v>2</v>
      </c>
      <c r="F8735" t="str">
        <f>HYPERLINK("https://github.com/xtensa/PodEmu/issues/7", "show")</f>
        <v>show</v>
      </c>
      <c r="G8735" t="str">
        <f>HYPERLINK("https://github.com/xtensa/PodEmu", "show")</f>
        <v>show</v>
      </c>
      <c r="H8735" t="str">
        <f>HYPERLINK("https://github.com/xtensa/PodEmu/releases", "show")</f>
        <v>show</v>
      </c>
      <c r="I8735">
        <v>1</v>
      </c>
      <c r="J8735">
        <v>0</v>
      </c>
      <c r="K8735">
        <v>0</v>
      </c>
      <c r="L8735">
        <v>1</v>
      </c>
      <c r="M8735" t="s">
        <v>29</v>
      </c>
    </row>
    <row r="8736" spans="1:13" hidden="1" x14ac:dyDescent="0.15">
      <c r="A8736" t="s">
        <v>27443</v>
      </c>
      <c r="B8736" t="s">
        <v>27444</v>
      </c>
      <c r="C8736" t="s">
        <v>27445</v>
      </c>
      <c r="D8736" t="s">
        <v>27439</v>
      </c>
      <c r="E8736">
        <v>156</v>
      </c>
      <c r="F8736" t="str">
        <f>HYPERLINK("https://github.com/Chainfire/librootjava/issues/1", "show")</f>
        <v>show</v>
      </c>
      <c r="G8736" t="str">
        <f>HYPERLINK("https://github.com/Chainfire/librootjava", "show")</f>
        <v>show</v>
      </c>
      <c r="H8736" t="str">
        <f>HYPERLINK("https://github.com/Chainfire/librootjava/releases", "show")</f>
        <v>show</v>
      </c>
      <c r="I8736">
        <v>1</v>
      </c>
      <c r="J8736">
        <v>0</v>
      </c>
      <c r="K8736">
        <v>0</v>
      </c>
      <c r="L8736">
        <v>0</v>
      </c>
      <c r="M8736" t="s">
        <v>17</v>
      </c>
    </row>
    <row r="8737" spans="1:13" hidden="1" x14ac:dyDescent="0.15">
      <c r="A8737" t="s">
        <v>27446</v>
      </c>
      <c r="B8737" t="s">
        <v>27447</v>
      </c>
      <c r="C8737" t="s">
        <v>27448</v>
      </c>
      <c r="D8737" t="s">
        <v>27449</v>
      </c>
      <c r="E8737">
        <v>41</v>
      </c>
      <c r="F8737" t="str">
        <f>HYPERLINK("https://github.com/mehtank/androminion/issues/580", "show")</f>
        <v>show</v>
      </c>
      <c r="G8737" t="str">
        <f>HYPERLINK("https://github.com/mehtank/androminion", "show")</f>
        <v>show</v>
      </c>
      <c r="H8737" t="str">
        <f>HYPERLINK("https://github.com/mehtank/androminion/releases", "show")</f>
        <v>show</v>
      </c>
      <c r="I8737">
        <v>1</v>
      </c>
      <c r="J8737">
        <v>0</v>
      </c>
      <c r="K8737">
        <v>1</v>
      </c>
      <c r="L8737">
        <v>0</v>
      </c>
      <c r="M8737" t="s">
        <v>64</v>
      </c>
    </row>
    <row r="8738" spans="1:13" hidden="1" x14ac:dyDescent="0.15">
      <c r="A8738" t="s">
        <v>27450</v>
      </c>
      <c r="B8738" t="s">
        <v>27451</v>
      </c>
      <c r="C8738" t="s">
        <v>504</v>
      </c>
      <c r="D8738" t="s">
        <v>27449</v>
      </c>
      <c r="E8738">
        <v>0</v>
      </c>
      <c r="F8738" t="str">
        <f>HYPERLINK("https://github.com/itachi1706/SingBuses/issues/152", "show")</f>
        <v>show</v>
      </c>
      <c r="G8738" t="str">
        <f>HYPERLINK("https://github.com/itachi1706/SingBuses", "show")</f>
        <v>show</v>
      </c>
      <c r="H8738" t="str">
        <f>HYPERLINK("https://github.com/itachi1706/SingBuses/releases", "show")</f>
        <v>show</v>
      </c>
      <c r="I8738">
        <v>1</v>
      </c>
      <c r="J8738">
        <v>0</v>
      </c>
      <c r="K8738">
        <v>0</v>
      </c>
      <c r="L8738">
        <v>0</v>
      </c>
      <c r="M8738" t="s">
        <v>17</v>
      </c>
    </row>
    <row r="8739" spans="1:13" hidden="1" x14ac:dyDescent="0.15">
      <c r="A8739" t="s">
        <v>27452</v>
      </c>
      <c r="B8739" t="s">
        <v>27453</v>
      </c>
      <c r="C8739" t="s">
        <v>27454</v>
      </c>
      <c r="D8739" t="s">
        <v>27449</v>
      </c>
      <c r="E8739">
        <v>40</v>
      </c>
      <c r="F8739" t="str">
        <f>HYPERLINK("https://github.com/commons-app/apps-android-commons/issues/2083", "show")</f>
        <v>show</v>
      </c>
      <c r="G8739" t="str">
        <f>HYPERLINK("https://github.com/commons-app/apps-android-commons", "show")</f>
        <v>show</v>
      </c>
      <c r="H8739" t="str">
        <f>HYPERLINK("https://github.com/commons-app/apps-android-commons/releases", "show")</f>
        <v>show</v>
      </c>
      <c r="I8739">
        <v>1</v>
      </c>
      <c r="J8739">
        <v>0</v>
      </c>
      <c r="K8739">
        <v>1</v>
      </c>
      <c r="L8739">
        <v>0</v>
      </c>
      <c r="M8739" t="s">
        <v>64</v>
      </c>
    </row>
    <row r="8740" spans="1:13" hidden="1" x14ac:dyDescent="0.15">
      <c r="A8740" t="s">
        <v>27455</v>
      </c>
      <c r="B8740" t="s">
        <v>27456</v>
      </c>
      <c r="C8740" t="s">
        <v>27457</v>
      </c>
      <c r="D8740" t="s">
        <v>27449</v>
      </c>
      <c r="E8740">
        <v>10</v>
      </c>
      <c r="F8740" t="str">
        <f>HYPERLINK("https://github.com/commons-app/apps-android-commons/issues/2081", "show")</f>
        <v>show</v>
      </c>
      <c r="G8740" t="str">
        <f>HYPERLINK("https://github.com/commons-app/apps-android-commons", "show")</f>
        <v>show</v>
      </c>
      <c r="H8740" t="str">
        <f>HYPERLINK("https://github.com/commons-app/apps-android-commons/releases", "show")</f>
        <v>show</v>
      </c>
      <c r="I8740">
        <v>1</v>
      </c>
      <c r="J8740">
        <v>1</v>
      </c>
      <c r="K8740">
        <v>0</v>
      </c>
      <c r="L8740">
        <v>0</v>
      </c>
      <c r="M8740" t="s">
        <v>48</v>
      </c>
    </row>
    <row r="8741" spans="1:13" hidden="1" x14ac:dyDescent="0.15">
      <c r="A8741" t="s">
        <v>27458</v>
      </c>
      <c r="B8741" t="s">
        <v>27459</v>
      </c>
      <c r="C8741" t="s">
        <v>27460</v>
      </c>
      <c r="D8741" t="s">
        <v>27449</v>
      </c>
      <c r="E8741">
        <v>30</v>
      </c>
      <c r="F8741" t="str">
        <f>HYPERLINK("https://github.com/k9mail/k-9/issues/3803", "show")</f>
        <v>show</v>
      </c>
      <c r="G8741" t="str">
        <f>HYPERLINK("https://github.com/k9mail/k-9", "show")</f>
        <v>show</v>
      </c>
      <c r="H8741" t="str">
        <f>HYPERLINK("https://github.com/k9mail/k-9/releases", "show")</f>
        <v>show</v>
      </c>
      <c r="I8741">
        <v>1</v>
      </c>
      <c r="J8741">
        <v>1</v>
      </c>
      <c r="K8741">
        <v>1</v>
      </c>
      <c r="L8741">
        <v>0</v>
      </c>
      <c r="M8741" t="s">
        <v>59</v>
      </c>
    </row>
    <row r="8742" spans="1:13" hidden="1" x14ac:dyDescent="0.15">
      <c r="A8742" t="s">
        <v>27461</v>
      </c>
      <c r="B8742" t="s">
        <v>27462</v>
      </c>
      <c r="C8742" t="s">
        <v>27463</v>
      </c>
      <c r="D8742" t="s">
        <v>27449</v>
      </c>
      <c r="E8742">
        <v>49</v>
      </c>
      <c r="F8742" t="str">
        <f>HYPERLINK("https://github.com/aws-amplify/aws-sdk-android/issues/604", "show")</f>
        <v>show</v>
      </c>
      <c r="G8742" t="str">
        <f>HYPERLINK("https://github.com/aws-amplify/aws-sdk-android", "show")</f>
        <v>show</v>
      </c>
      <c r="H8742" t="str">
        <f>HYPERLINK("https://github.com/aws-amplify/aws-sdk-android/releases", "show")</f>
        <v>show</v>
      </c>
      <c r="I8742">
        <v>1</v>
      </c>
      <c r="J8742">
        <v>0</v>
      </c>
      <c r="K8742">
        <v>1</v>
      </c>
      <c r="L8742">
        <v>0</v>
      </c>
      <c r="M8742" t="s">
        <v>64</v>
      </c>
    </row>
    <row r="8743" spans="1:13" hidden="1" x14ac:dyDescent="0.15">
      <c r="A8743" t="s">
        <v>27464</v>
      </c>
      <c r="B8743" t="s">
        <v>27465</v>
      </c>
      <c r="C8743" t="s">
        <v>504</v>
      </c>
      <c r="D8743" t="s">
        <v>27466</v>
      </c>
      <c r="E8743">
        <v>1</v>
      </c>
      <c r="F8743" t="str">
        <f>HYPERLINK("https://github.com/itachi1706/SingBuses/issues/151", "show")</f>
        <v>show</v>
      </c>
      <c r="G8743" t="str">
        <f>HYPERLINK("https://github.com/itachi1706/SingBuses", "show")</f>
        <v>show</v>
      </c>
      <c r="H8743" t="str">
        <f>HYPERLINK("https://github.com/itachi1706/SingBuses/releases", "show")</f>
        <v>show</v>
      </c>
      <c r="I8743">
        <v>1</v>
      </c>
      <c r="J8743">
        <v>0</v>
      </c>
      <c r="K8743">
        <v>0</v>
      </c>
      <c r="L8743">
        <v>0</v>
      </c>
      <c r="M8743" t="s">
        <v>17</v>
      </c>
    </row>
    <row r="8744" spans="1:13" hidden="1" x14ac:dyDescent="0.15">
      <c r="A8744" t="s">
        <v>27467</v>
      </c>
      <c r="B8744" t="s">
        <v>27468</v>
      </c>
      <c r="C8744" t="s">
        <v>504</v>
      </c>
      <c r="D8744" t="s">
        <v>27466</v>
      </c>
      <c r="E8744">
        <v>0</v>
      </c>
      <c r="F8744" t="str">
        <f>HYPERLINK("https://github.com/itachi1706/SingBuses/issues/150", "show")</f>
        <v>show</v>
      </c>
      <c r="G8744" t="str">
        <f>HYPERLINK("https://github.com/itachi1706/SingBuses", "show")</f>
        <v>show</v>
      </c>
      <c r="H8744" t="str">
        <f>HYPERLINK("https://github.com/itachi1706/SingBuses/releases", "show")</f>
        <v>show</v>
      </c>
      <c r="I8744">
        <v>1</v>
      </c>
      <c r="J8744">
        <v>0</v>
      </c>
      <c r="K8744">
        <v>0</v>
      </c>
      <c r="L8744">
        <v>0</v>
      </c>
      <c r="M8744" t="s">
        <v>17</v>
      </c>
    </row>
    <row r="8745" spans="1:13" hidden="1" x14ac:dyDescent="0.15">
      <c r="A8745" t="s">
        <v>27469</v>
      </c>
      <c r="B8745" t="s">
        <v>27470</v>
      </c>
      <c r="C8745" t="s">
        <v>27471</v>
      </c>
      <c r="D8745" t="s">
        <v>27466</v>
      </c>
      <c r="E8745">
        <v>0</v>
      </c>
      <c r="F8745" t="str">
        <f>HYPERLINK("https://github.com/broken-shotgun/run-lines/issues/2", "show")</f>
        <v>show</v>
      </c>
      <c r="G8745" t="str">
        <f>HYPERLINK("https://github.com/broken-shotgun/run-lines", "show")</f>
        <v>show</v>
      </c>
      <c r="H8745" t="str">
        <f>HYPERLINK("https://github.com/broken-shotgun/run-lines/releases", "show")</f>
        <v>show</v>
      </c>
      <c r="I8745">
        <v>0</v>
      </c>
      <c r="J8745">
        <v>0</v>
      </c>
      <c r="K8745">
        <v>0</v>
      </c>
      <c r="L8745">
        <v>0</v>
      </c>
      <c r="M8745" t="s">
        <v>43</v>
      </c>
    </row>
    <row r="8746" spans="1:13" hidden="1" x14ac:dyDescent="0.15">
      <c r="A8746" t="s">
        <v>27472</v>
      </c>
      <c r="B8746" t="s">
        <v>27473</v>
      </c>
      <c r="C8746" t="s">
        <v>27474</v>
      </c>
      <c r="D8746" t="s">
        <v>27466</v>
      </c>
      <c r="E8746">
        <v>721</v>
      </c>
      <c r="F8746" t="str">
        <f>HYPERLINK("https://github.com/ankidroid/Anki-Android/issues/5152", "show")</f>
        <v>show</v>
      </c>
      <c r="G8746" t="str">
        <f>HYPERLINK("https://github.com/ankidroid/Anki-Android", "show")</f>
        <v>show</v>
      </c>
      <c r="H8746" t="str">
        <f>HYPERLINK("https://github.com/ankidroid/Anki-Android/releases", "show")</f>
        <v>show</v>
      </c>
      <c r="I8746">
        <v>1</v>
      </c>
      <c r="J8746">
        <v>1</v>
      </c>
      <c r="K8746">
        <v>0</v>
      </c>
      <c r="L8746">
        <v>0</v>
      </c>
      <c r="M8746" t="s">
        <v>48</v>
      </c>
    </row>
    <row r="8747" spans="1:13" hidden="1" x14ac:dyDescent="0.15">
      <c r="A8747" t="s">
        <v>27475</v>
      </c>
      <c r="B8747" t="s">
        <v>27476</v>
      </c>
      <c r="C8747" t="s">
        <v>27477</v>
      </c>
      <c r="D8747" t="s">
        <v>27466</v>
      </c>
      <c r="E8747">
        <v>0</v>
      </c>
      <c r="F8747" t="str">
        <f>HYPERLINK("https://github.com/broken-shotgun/run-lines/issues/1", "show")</f>
        <v>show</v>
      </c>
      <c r="G8747" t="str">
        <f>HYPERLINK("https://github.com/broken-shotgun/run-lines", "show")</f>
        <v>show</v>
      </c>
      <c r="H8747" t="str">
        <f>HYPERLINK("https://github.com/broken-shotgun/run-lines/releases", "show")</f>
        <v>show</v>
      </c>
      <c r="I8747">
        <v>1</v>
      </c>
      <c r="J8747">
        <v>0</v>
      </c>
      <c r="K8747">
        <v>0</v>
      </c>
      <c r="L8747">
        <v>0</v>
      </c>
      <c r="M8747" t="s">
        <v>17</v>
      </c>
    </row>
    <row r="8748" spans="1:13" hidden="1" x14ac:dyDescent="0.15">
      <c r="A8748" t="s">
        <v>27478</v>
      </c>
      <c r="B8748" t="s">
        <v>27479</v>
      </c>
      <c r="C8748" t="s">
        <v>27480</v>
      </c>
      <c r="D8748" t="s">
        <v>27481</v>
      </c>
      <c r="E8748">
        <v>5</v>
      </c>
      <c r="F8748" t="str">
        <f>HYPERLINK("https://github.com/liferay/liferay-screens/issues/589", "show")</f>
        <v>show</v>
      </c>
      <c r="G8748" t="str">
        <f>HYPERLINK("https://github.com/liferay/liferay-screens", "show")</f>
        <v>show</v>
      </c>
      <c r="H8748" t="str">
        <f>HYPERLINK("https://github.com/liferay/liferay-screens/releases", "show")</f>
        <v>show</v>
      </c>
      <c r="I8748">
        <v>1</v>
      </c>
      <c r="J8748">
        <v>0</v>
      </c>
      <c r="K8748">
        <v>0</v>
      </c>
      <c r="L8748">
        <v>0</v>
      </c>
      <c r="M8748" t="s">
        <v>17</v>
      </c>
    </row>
    <row r="8749" spans="1:13" hidden="1" x14ac:dyDescent="0.15">
      <c r="A8749" t="s">
        <v>27482</v>
      </c>
      <c r="B8749" t="s">
        <v>27483</v>
      </c>
      <c r="C8749" t="s">
        <v>27484</v>
      </c>
      <c r="D8749" t="s">
        <v>27481</v>
      </c>
      <c r="E8749">
        <v>1</v>
      </c>
      <c r="F8749" t="str">
        <f>HYPERLINK("https://github.com/fossasia/pslab-android/issues/1452", "show")</f>
        <v>show</v>
      </c>
      <c r="G8749" t="str">
        <f>HYPERLINK("https://github.com/fossasia/pslab-android", "show")</f>
        <v>show</v>
      </c>
      <c r="H8749" t="str">
        <f>HYPERLINK("https://github.com/fossasia/pslab-android/releases", "show")</f>
        <v>show</v>
      </c>
      <c r="I8749">
        <v>1</v>
      </c>
      <c r="J8749">
        <v>1</v>
      </c>
      <c r="K8749">
        <v>0</v>
      </c>
      <c r="L8749">
        <v>0</v>
      </c>
      <c r="M8749" t="s">
        <v>48</v>
      </c>
    </row>
    <row r="8750" spans="1:13" hidden="1" x14ac:dyDescent="0.15">
      <c r="A8750" t="s">
        <v>27485</v>
      </c>
      <c r="B8750" t="s">
        <v>27486</v>
      </c>
      <c r="C8750" t="s">
        <v>27487</v>
      </c>
      <c r="D8750" t="s">
        <v>27488</v>
      </c>
      <c r="E8750">
        <v>164</v>
      </c>
      <c r="F8750" t="str">
        <f>HYPERLINK("https://github.com/mapbox/mapbox-events-android/issues/310", "show")</f>
        <v>show</v>
      </c>
      <c r="G8750" t="str">
        <f>HYPERLINK("https://github.com/mapbox/mapbox-events-android", "show")</f>
        <v>show</v>
      </c>
      <c r="H8750" t="str">
        <f>HYPERLINK("https://github.com/mapbox/mapbox-events-android/releases", "show")</f>
        <v>show</v>
      </c>
      <c r="I8750">
        <v>0</v>
      </c>
      <c r="J8750">
        <v>0</v>
      </c>
      <c r="K8750">
        <v>1</v>
      </c>
      <c r="L8750">
        <v>0</v>
      </c>
      <c r="M8750" t="s">
        <v>122</v>
      </c>
    </row>
    <row r="8751" spans="1:13" hidden="1" x14ac:dyDescent="0.15">
      <c r="A8751" t="s">
        <v>27489</v>
      </c>
      <c r="B8751" t="s">
        <v>27490</v>
      </c>
      <c r="C8751" t="s">
        <v>27491</v>
      </c>
      <c r="D8751" t="s">
        <v>27488</v>
      </c>
      <c r="E8751">
        <v>1</v>
      </c>
      <c r="F8751" t="str">
        <f>HYPERLINK("https://github.com/alexweininger/android-catan/issues/296", "show")</f>
        <v>show</v>
      </c>
      <c r="G8751" t="str">
        <f>HYPERLINK("https://github.com/alexweininger/android-catan", "show")</f>
        <v>show</v>
      </c>
      <c r="H8751" t="str">
        <f>HYPERLINK("https://github.com/alexweininger/android-catan/releases", "show")</f>
        <v>show</v>
      </c>
      <c r="I8751">
        <v>0</v>
      </c>
      <c r="J8751">
        <v>0</v>
      </c>
      <c r="K8751">
        <v>0</v>
      </c>
      <c r="L8751">
        <v>1</v>
      </c>
      <c r="M8751" t="s">
        <v>581</v>
      </c>
    </row>
    <row r="8752" spans="1:13" hidden="1" x14ac:dyDescent="0.15">
      <c r="A8752" t="s">
        <v>27492</v>
      </c>
      <c r="B8752" t="s">
        <v>27493</v>
      </c>
      <c r="C8752" t="s">
        <v>27494</v>
      </c>
      <c r="D8752" t="s">
        <v>27488</v>
      </c>
      <c r="E8752">
        <v>1</v>
      </c>
      <c r="F8752" t="str">
        <f>HYPERLINK("https://github.com/SEG2105-Group/JobZi/issues/174", "show")</f>
        <v>show</v>
      </c>
      <c r="G8752" t="str">
        <f>HYPERLINK("https://github.com/SEG2105-Group/JobZi", "show")</f>
        <v>show</v>
      </c>
      <c r="H8752" t="str">
        <f>HYPERLINK("https://github.com/SEG2105-Group/JobZi/releases", "show")</f>
        <v>show</v>
      </c>
      <c r="I8752">
        <v>1</v>
      </c>
      <c r="J8752">
        <v>0</v>
      </c>
      <c r="K8752">
        <v>0</v>
      </c>
      <c r="L8752">
        <v>0</v>
      </c>
      <c r="M8752" t="s">
        <v>17</v>
      </c>
    </row>
    <row r="8753" spans="1:13" hidden="1" x14ac:dyDescent="0.15">
      <c r="A8753" t="s">
        <v>27495</v>
      </c>
      <c r="B8753" t="s">
        <v>27496</v>
      </c>
      <c r="C8753" t="s">
        <v>27497</v>
      </c>
      <c r="D8753" t="s">
        <v>27488</v>
      </c>
      <c r="E8753">
        <v>1</v>
      </c>
      <c r="F8753" t="str">
        <f>HYPERLINK("https://github.com/SEG2105-Group/JobZi/issues/172", "show")</f>
        <v>show</v>
      </c>
      <c r="G8753" t="str">
        <f>HYPERLINK("https://github.com/SEG2105-Group/JobZi", "show")</f>
        <v>show</v>
      </c>
      <c r="H8753" t="str">
        <f>HYPERLINK("https://github.com/SEG2105-Group/JobZi/releases", "show")</f>
        <v>show</v>
      </c>
      <c r="I8753">
        <v>1</v>
      </c>
      <c r="J8753">
        <v>0</v>
      </c>
      <c r="K8753">
        <v>0</v>
      </c>
      <c r="L8753">
        <v>0</v>
      </c>
      <c r="M8753" t="s">
        <v>17</v>
      </c>
    </row>
    <row r="8754" spans="1:13" hidden="1" x14ac:dyDescent="0.15">
      <c r="A8754" t="s">
        <v>27498</v>
      </c>
      <c r="B8754" t="s">
        <v>27499</v>
      </c>
      <c r="C8754" t="s">
        <v>27500</v>
      </c>
      <c r="D8754" t="s">
        <v>27488</v>
      </c>
      <c r="E8754">
        <v>2</v>
      </c>
      <c r="F8754" t="str">
        <f>HYPERLINK("https://github.com/onaio/kujaku/issues/212", "show")</f>
        <v>show</v>
      </c>
      <c r="G8754" t="str">
        <f>HYPERLINK("https://github.com/onaio/kujaku", "show")</f>
        <v>show</v>
      </c>
      <c r="H8754" t="str">
        <f>HYPERLINK("https://github.com/onaio/kujaku/releases", "show")</f>
        <v>show</v>
      </c>
      <c r="I8754">
        <v>0</v>
      </c>
      <c r="J8754">
        <v>0</v>
      </c>
      <c r="K8754">
        <v>0</v>
      </c>
      <c r="L8754">
        <v>0</v>
      </c>
      <c r="M8754" t="s">
        <v>43</v>
      </c>
    </row>
    <row r="8755" spans="1:13" hidden="1" x14ac:dyDescent="0.15">
      <c r="A8755" t="s">
        <v>27501</v>
      </c>
      <c r="B8755" t="s">
        <v>27502</v>
      </c>
      <c r="C8755" t="s">
        <v>27503</v>
      </c>
      <c r="D8755" t="s">
        <v>27504</v>
      </c>
      <c r="E8755">
        <v>1</v>
      </c>
      <c r="F8755" t="str">
        <f>HYPERLINK("https://github.com/seisure/ASE/issues/107", "show")</f>
        <v>show</v>
      </c>
      <c r="G8755" t="str">
        <f>HYPERLINK("https://github.com/seisure/ASE", "show")</f>
        <v>show</v>
      </c>
      <c r="H8755" t="str">
        <f>HYPERLINK("https://github.com/seisure/ASE/releases", "show")</f>
        <v>show</v>
      </c>
      <c r="I8755">
        <v>0</v>
      </c>
      <c r="J8755">
        <v>0</v>
      </c>
      <c r="K8755">
        <v>0</v>
      </c>
      <c r="L8755">
        <v>1</v>
      </c>
      <c r="M8755" t="s">
        <v>581</v>
      </c>
    </row>
    <row r="8756" spans="1:13" hidden="1" x14ac:dyDescent="0.15">
      <c r="A8756" t="s">
        <v>27505</v>
      </c>
      <c r="B8756" t="s">
        <v>27506</v>
      </c>
      <c r="C8756" t="s">
        <v>27507</v>
      </c>
      <c r="D8756" t="s">
        <v>27504</v>
      </c>
      <c r="E8756">
        <v>3</v>
      </c>
      <c r="F8756" t="str">
        <f>HYPERLINK("https://github.com/marksuth/indigenous-android/issues/158", "show")</f>
        <v>show</v>
      </c>
      <c r="G8756" t="str">
        <f>HYPERLINK("https://github.com/marksuth/indigenous-android", "show")</f>
        <v>show</v>
      </c>
      <c r="H8756" t="str">
        <f>HYPERLINK("https://github.com/marksuth/indigenous-android/releases", "show")</f>
        <v>show</v>
      </c>
      <c r="I8756">
        <v>1</v>
      </c>
      <c r="J8756">
        <v>0</v>
      </c>
      <c r="K8756">
        <v>0</v>
      </c>
      <c r="L8756">
        <v>0</v>
      </c>
      <c r="M8756" t="s">
        <v>17</v>
      </c>
    </row>
    <row r="8757" spans="1:13" hidden="1" x14ac:dyDescent="0.15">
      <c r="A8757" t="s">
        <v>27508</v>
      </c>
      <c r="B8757" t="s">
        <v>27509</v>
      </c>
      <c r="C8757" t="s">
        <v>27510</v>
      </c>
      <c r="D8757" t="s">
        <v>27511</v>
      </c>
      <c r="E8757">
        <v>113</v>
      </c>
      <c r="F8757" t="str">
        <f>HYPERLINK("https://github.com/osmdroid/osmdroid/issues/1217", "show")</f>
        <v>show</v>
      </c>
      <c r="G8757" t="str">
        <f>HYPERLINK("https://github.com/osmdroid/osmdroid", "show")</f>
        <v>show</v>
      </c>
      <c r="H8757" t="str">
        <f>HYPERLINK("https://github.com/osmdroid/osmdroid/releases", "show")</f>
        <v>show</v>
      </c>
      <c r="I8757">
        <v>1</v>
      </c>
      <c r="J8757">
        <v>1</v>
      </c>
      <c r="K8757">
        <v>0</v>
      </c>
      <c r="L8757">
        <v>0</v>
      </c>
      <c r="M8757" t="s">
        <v>48</v>
      </c>
    </row>
    <row r="8758" spans="1:13" hidden="1" x14ac:dyDescent="0.15">
      <c r="A8758" t="s">
        <v>27512</v>
      </c>
      <c r="B8758" t="s">
        <v>27513</v>
      </c>
      <c r="C8758" t="s">
        <v>27514</v>
      </c>
      <c r="D8758" t="s">
        <v>27511</v>
      </c>
      <c r="E8758">
        <v>0</v>
      </c>
      <c r="F8758" t="str">
        <f>HYPERLINK("https://github.com/nikhilmuz/WhatsApp-Bulk-Sender/issues/10", "show")</f>
        <v>show</v>
      </c>
      <c r="G8758" t="str">
        <f>HYPERLINK("https://github.com/nikhilmuz/WhatsApp-Bulk-Sender", "show")</f>
        <v>show</v>
      </c>
      <c r="H8758" t="str">
        <f>HYPERLINK("https://github.com/nikhilmuz/WhatsApp-Bulk-Sender/releases", "show")</f>
        <v>show</v>
      </c>
      <c r="I8758">
        <v>1</v>
      </c>
      <c r="J8758">
        <v>0</v>
      </c>
      <c r="K8758">
        <v>0</v>
      </c>
      <c r="L8758">
        <v>0</v>
      </c>
      <c r="M8758" t="s">
        <v>17</v>
      </c>
    </row>
    <row r="8759" spans="1:13" hidden="1" x14ac:dyDescent="0.15">
      <c r="A8759" t="s">
        <v>27515</v>
      </c>
      <c r="B8759" t="s">
        <v>27516</v>
      </c>
      <c r="D8759" t="s">
        <v>27517</v>
      </c>
      <c r="E8759">
        <v>1</v>
      </c>
      <c r="F8759" t="str">
        <f>HYPERLINK("https://github.com/gdblech/PubHub/issues/87", "show")</f>
        <v>show</v>
      </c>
      <c r="G8759" t="str">
        <f>HYPERLINK("https://github.com/gdblech/PubHub", "show")</f>
        <v>show</v>
      </c>
      <c r="H8759" t="str">
        <f>HYPERLINK("https://github.com/gdblech/PubHub/releases", "show")</f>
        <v>show</v>
      </c>
      <c r="I8759">
        <v>1</v>
      </c>
      <c r="J8759">
        <v>0</v>
      </c>
      <c r="K8759">
        <v>0</v>
      </c>
      <c r="L8759">
        <v>0</v>
      </c>
      <c r="M8759" t="s">
        <v>17</v>
      </c>
    </row>
    <row r="8760" spans="1:13" hidden="1" x14ac:dyDescent="0.15">
      <c r="A8760" t="s">
        <v>27518</v>
      </c>
      <c r="B8760" t="s">
        <v>27519</v>
      </c>
      <c r="C8760" t="s">
        <v>27520</v>
      </c>
      <c r="D8760" t="s">
        <v>27517</v>
      </c>
      <c r="E8760">
        <v>1</v>
      </c>
      <c r="F8760" t="str">
        <f>HYPERLINK("https://github.com/GreatApo/GreatFit/issues/22", "show")</f>
        <v>show</v>
      </c>
      <c r="G8760" t="str">
        <f>HYPERLINK("https://github.com/GreatApo/GreatFit", "show")</f>
        <v>show</v>
      </c>
      <c r="H8760" t="str">
        <f>HYPERLINK("https://github.com/GreatApo/GreatFit/releases", "show")</f>
        <v>show</v>
      </c>
      <c r="I8760">
        <v>1</v>
      </c>
      <c r="J8760">
        <v>0</v>
      </c>
      <c r="K8760">
        <v>0</v>
      </c>
      <c r="L8760">
        <v>0</v>
      </c>
      <c r="M8760" t="s">
        <v>17</v>
      </c>
    </row>
    <row r="8761" spans="1:13" hidden="1" x14ac:dyDescent="0.15">
      <c r="A8761" t="s">
        <v>27521</v>
      </c>
      <c r="B8761" t="s">
        <v>27522</v>
      </c>
      <c r="C8761" t="s">
        <v>27523</v>
      </c>
      <c r="D8761" t="s">
        <v>27517</v>
      </c>
      <c r="E8761">
        <v>25</v>
      </c>
      <c r="F8761" t="str">
        <f>HYPERLINK("https://github.com/k3b/ToGoZip/issues/15", "show")</f>
        <v>show</v>
      </c>
      <c r="G8761" t="str">
        <f>HYPERLINK("https://github.com/k3b/ToGoZip", "show")</f>
        <v>show</v>
      </c>
      <c r="H8761" t="str">
        <f>HYPERLINK("https://github.com/k3b/ToGoZip/releases", "show")</f>
        <v>show</v>
      </c>
      <c r="I8761">
        <v>1</v>
      </c>
      <c r="J8761">
        <v>0</v>
      </c>
      <c r="K8761">
        <v>0</v>
      </c>
      <c r="L8761">
        <v>0</v>
      </c>
      <c r="M8761" t="s">
        <v>17</v>
      </c>
    </row>
    <row r="8762" spans="1:13" hidden="1" x14ac:dyDescent="0.15">
      <c r="A8762" t="s">
        <v>27524</v>
      </c>
      <c r="B8762" t="s">
        <v>27525</v>
      </c>
      <c r="C8762" t="s">
        <v>27526</v>
      </c>
      <c r="D8762" t="s">
        <v>27527</v>
      </c>
      <c r="E8762">
        <v>59</v>
      </c>
      <c r="F8762" t="str">
        <f>HYPERLINK("https://github.com/Haptic-Apps/Slide/issues/2919", "show")</f>
        <v>show</v>
      </c>
      <c r="G8762" t="str">
        <f>HYPERLINK("https://github.com/Haptic-Apps/Slide", "show")</f>
        <v>show</v>
      </c>
      <c r="H8762" t="str">
        <f>HYPERLINK("https://github.com/Haptic-Apps/Slide/releases", "show")</f>
        <v>show</v>
      </c>
      <c r="I8762">
        <v>1</v>
      </c>
      <c r="J8762">
        <v>0</v>
      </c>
      <c r="K8762">
        <v>0</v>
      </c>
      <c r="L8762">
        <v>0</v>
      </c>
      <c r="M8762" t="s">
        <v>17</v>
      </c>
    </row>
    <row r="8763" spans="1:13" hidden="1" x14ac:dyDescent="0.15">
      <c r="A8763" t="s">
        <v>27528</v>
      </c>
      <c r="B8763" t="s">
        <v>27529</v>
      </c>
      <c r="C8763" t="s">
        <v>27530</v>
      </c>
      <c r="D8763" t="s">
        <v>27527</v>
      </c>
      <c r="E8763">
        <v>129</v>
      </c>
      <c r="F8763" t="str">
        <f>HYPERLINK("https://github.com/kontalk/androidclient/issues/1242", "show")</f>
        <v>show</v>
      </c>
      <c r="G8763" t="str">
        <f>HYPERLINK("https://github.com/kontalk/androidclient", "show")</f>
        <v>show</v>
      </c>
      <c r="H8763" t="str">
        <f>HYPERLINK("https://github.com/kontalk/androidclient/releases", "show")</f>
        <v>show</v>
      </c>
      <c r="I8763">
        <v>0</v>
      </c>
      <c r="J8763">
        <v>1</v>
      </c>
      <c r="K8763">
        <v>1</v>
      </c>
      <c r="L8763">
        <v>0</v>
      </c>
      <c r="M8763" t="s">
        <v>699</v>
      </c>
    </row>
    <row r="8764" spans="1:13" hidden="1" x14ac:dyDescent="0.15">
      <c r="A8764" t="s">
        <v>27531</v>
      </c>
      <c r="B8764" t="s">
        <v>27532</v>
      </c>
      <c r="C8764" t="s">
        <v>27533</v>
      </c>
      <c r="D8764" t="s">
        <v>27527</v>
      </c>
      <c r="E8764">
        <v>52</v>
      </c>
      <c r="F8764" t="str">
        <f>HYPERLINK("https://github.com/commons-app/apps-android-commons/issues/2045", "show")</f>
        <v>show</v>
      </c>
      <c r="G8764" t="str">
        <f>HYPERLINK("https://github.com/commons-app/apps-android-commons", "show")</f>
        <v>show</v>
      </c>
      <c r="H8764" t="str">
        <f>HYPERLINK("https://github.com/commons-app/apps-android-commons/releases", "show")</f>
        <v>show</v>
      </c>
      <c r="I8764">
        <v>1</v>
      </c>
      <c r="J8764">
        <v>0</v>
      </c>
      <c r="K8764">
        <v>1</v>
      </c>
      <c r="L8764">
        <v>0</v>
      </c>
      <c r="M8764" t="s">
        <v>64</v>
      </c>
    </row>
    <row r="8765" spans="1:13" hidden="1" x14ac:dyDescent="0.15">
      <c r="A8765" t="s">
        <v>27534</v>
      </c>
      <c r="B8765" t="s">
        <v>27535</v>
      </c>
      <c r="C8765" t="s">
        <v>27536</v>
      </c>
      <c r="D8765" t="s">
        <v>27537</v>
      </c>
      <c r="E8765">
        <v>192</v>
      </c>
      <c r="F8765" t="str">
        <f>HYPERLINK("https://github.com/react-native-camera/react-native-camera/issues/1956", "show")</f>
        <v>show</v>
      </c>
      <c r="G8765" t="str">
        <f>HYPERLINK("https://github.com/react-native-camera/react-native-camera", "show")</f>
        <v>show</v>
      </c>
      <c r="H8765" t="str">
        <f>HYPERLINK("https://github.com/react-native-camera/react-native-camera/releases", "show")</f>
        <v>show</v>
      </c>
      <c r="I8765">
        <v>1</v>
      </c>
      <c r="J8765">
        <v>1</v>
      </c>
      <c r="K8765">
        <v>0</v>
      </c>
      <c r="L8765">
        <v>1</v>
      </c>
      <c r="M8765" t="s">
        <v>1894</v>
      </c>
    </row>
    <row r="8766" spans="1:13" hidden="1" x14ac:dyDescent="0.15">
      <c r="A8766" t="s">
        <v>27538</v>
      </c>
      <c r="B8766" t="s">
        <v>27539</v>
      </c>
      <c r="C8766" t="s">
        <v>27540</v>
      </c>
      <c r="D8766" t="s">
        <v>27537</v>
      </c>
      <c r="E8766">
        <v>11</v>
      </c>
      <c r="F8766" t="str">
        <f>HYPERLINK("https://github.com/ryanw3bb/unity-native-toolkit/issues/3", "show")</f>
        <v>show</v>
      </c>
      <c r="G8766" t="str">
        <f>HYPERLINK("https://github.com/ryanw3bb/unity-native-toolkit", "show")</f>
        <v>show</v>
      </c>
      <c r="H8766" t="str">
        <f>HYPERLINK("https://github.com/ryanw3bb/unity-native-toolkit/releases", "show")</f>
        <v>show</v>
      </c>
      <c r="I8766">
        <v>1</v>
      </c>
      <c r="J8766">
        <v>0</v>
      </c>
      <c r="K8766">
        <v>0</v>
      </c>
      <c r="L8766">
        <v>0</v>
      </c>
      <c r="M8766" t="s">
        <v>17</v>
      </c>
    </row>
    <row r="8767" spans="1:13" hidden="1" x14ac:dyDescent="0.15">
      <c r="A8767" t="s">
        <v>27541</v>
      </c>
      <c r="B8767" t="s">
        <v>27542</v>
      </c>
      <c r="C8767" t="s">
        <v>27543</v>
      </c>
      <c r="D8767" t="s">
        <v>27537</v>
      </c>
      <c r="E8767">
        <v>4</v>
      </c>
      <c r="F8767" t="str">
        <f>HYPERLINK("https://github.com/sschueller/peertube-android/issues/26", "show")</f>
        <v>show</v>
      </c>
      <c r="G8767" t="str">
        <f>HYPERLINK("https://github.com/sschueller/peertube-android", "show")</f>
        <v>show</v>
      </c>
      <c r="H8767" t="str">
        <f>HYPERLINK("https://github.com/sschueller/peertube-android/releases", "show")</f>
        <v>show</v>
      </c>
      <c r="I8767">
        <v>1</v>
      </c>
      <c r="J8767">
        <v>0</v>
      </c>
      <c r="K8767">
        <v>0</v>
      </c>
      <c r="L8767">
        <v>0</v>
      </c>
      <c r="M8767" t="s">
        <v>17</v>
      </c>
    </row>
    <row r="8768" spans="1:13" hidden="1" x14ac:dyDescent="0.15">
      <c r="A8768" t="s">
        <v>27544</v>
      </c>
      <c r="B8768" t="s">
        <v>27545</v>
      </c>
      <c r="C8768" t="s">
        <v>27546</v>
      </c>
      <c r="D8768" t="s">
        <v>27537</v>
      </c>
      <c r="E8768">
        <v>7</v>
      </c>
      <c r="F8768" t="str">
        <f>HYPERLINK("https://github.com/SwengGolfTeam/Sweng_Golf/issues/172", "show")</f>
        <v>show</v>
      </c>
      <c r="G8768" t="str">
        <f>HYPERLINK("https://github.com/SwengGolfTeam/Sweng_Golf", "show")</f>
        <v>show</v>
      </c>
      <c r="H8768" t="str">
        <f>HYPERLINK("https://github.com/SwengGolfTeam/Sweng_Golf/releases", "show")</f>
        <v>show</v>
      </c>
      <c r="I8768">
        <v>1</v>
      </c>
      <c r="J8768">
        <v>0</v>
      </c>
      <c r="K8768">
        <v>0</v>
      </c>
      <c r="L8768">
        <v>0</v>
      </c>
      <c r="M8768" t="s">
        <v>17</v>
      </c>
    </row>
    <row r="8769" spans="1:13" hidden="1" x14ac:dyDescent="0.15">
      <c r="A8769" t="s">
        <v>27547</v>
      </c>
      <c r="B8769" t="s">
        <v>27548</v>
      </c>
      <c r="C8769" t="s">
        <v>27549</v>
      </c>
      <c r="D8769" t="s">
        <v>27550</v>
      </c>
      <c r="E8769">
        <v>21</v>
      </c>
      <c r="F8769" t="str">
        <f>HYPERLINK("https://github.com/commons-app/apps-android-commons/issues/2041", "show")</f>
        <v>show</v>
      </c>
      <c r="G8769" t="str">
        <f>HYPERLINK("https://github.com/commons-app/apps-android-commons", "show")</f>
        <v>show</v>
      </c>
      <c r="H8769" t="str">
        <f>HYPERLINK("https://github.com/commons-app/apps-android-commons/releases", "show")</f>
        <v>show</v>
      </c>
      <c r="I8769">
        <v>1</v>
      </c>
      <c r="J8769">
        <v>0</v>
      </c>
      <c r="K8769">
        <v>1</v>
      </c>
      <c r="L8769">
        <v>0</v>
      </c>
      <c r="M8769" t="s">
        <v>64</v>
      </c>
    </row>
    <row r="8770" spans="1:13" hidden="1" x14ac:dyDescent="0.15">
      <c r="A8770" t="s">
        <v>27551</v>
      </c>
      <c r="B8770" t="s">
        <v>27552</v>
      </c>
      <c r="C8770" t="s">
        <v>27553</v>
      </c>
      <c r="D8770" t="s">
        <v>27550</v>
      </c>
      <c r="E8770">
        <v>0</v>
      </c>
      <c r="F8770" t="str">
        <f>HYPERLINK("https://github.com/MozillaReality/FirefoxReality/issues/848", "show")</f>
        <v>show</v>
      </c>
      <c r="G8770" t="str">
        <f>HYPERLINK("https://github.com/MozillaReality/FirefoxReality", "show")</f>
        <v>show</v>
      </c>
      <c r="H8770" t="str">
        <f>HYPERLINK("https://github.com/MozillaReality/FirefoxReality/releases", "show")</f>
        <v>show</v>
      </c>
      <c r="I8770">
        <v>1</v>
      </c>
      <c r="J8770">
        <v>1</v>
      </c>
      <c r="K8770">
        <v>1</v>
      </c>
      <c r="L8770">
        <v>0</v>
      </c>
      <c r="M8770" t="s">
        <v>59</v>
      </c>
    </row>
    <row r="8771" spans="1:13" hidden="1" x14ac:dyDescent="0.15">
      <c r="A8771" t="s">
        <v>27554</v>
      </c>
      <c r="B8771" t="s">
        <v>27555</v>
      </c>
      <c r="C8771" t="s">
        <v>27556</v>
      </c>
      <c r="D8771" t="s">
        <v>27550</v>
      </c>
      <c r="E8771">
        <v>0</v>
      </c>
      <c r="F8771" t="str">
        <f>HYPERLINK("https://github.com/MozillaReality/FirefoxReality/issues/844", "show")</f>
        <v>show</v>
      </c>
      <c r="G8771" t="str">
        <f>HYPERLINK("https://github.com/MozillaReality/FirefoxReality", "show")</f>
        <v>show</v>
      </c>
      <c r="H8771" t="str">
        <f>HYPERLINK("https://github.com/MozillaReality/FirefoxReality/releases", "show")</f>
        <v>show</v>
      </c>
      <c r="I8771">
        <v>1</v>
      </c>
      <c r="J8771">
        <v>1</v>
      </c>
      <c r="K8771">
        <v>0</v>
      </c>
      <c r="L8771">
        <v>0</v>
      </c>
      <c r="M8771" t="s">
        <v>48</v>
      </c>
    </row>
    <row r="8772" spans="1:13" hidden="1" x14ac:dyDescent="0.15">
      <c r="A8772" t="s">
        <v>27557</v>
      </c>
      <c r="B8772" t="s">
        <v>27558</v>
      </c>
      <c r="C8772" t="s">
        <v>27559</v>
      </c>
      <c r="D8772" t="s">
        <v>27560</v>
      </c>
      <c r="E8772">
        <v>2</v>
      </c>
      <c r="F8772" t="str">
        <f>HYPERLINK("https://github.com/google/ExoPlayer/issues/5149", "show")</f>
        <v>show</v>
      </c>
      <c r="G8772" t="str">
        <f>HYPERLINK("https://github.com/google/ExoPlayer", "show")</f>
        <v>show</v>
      </c>
      <c r="H8772" t="str">
        <f>HYPERLINK("https://github.com/google/ExoPlayer/releases", "show")</f>
        <v>show</v>
      </c>
      <c r="I8772">
        <v>0</v>
      </c>
      <c r="J8772">
        <v>0</v>
      </c>
      <c r="K8772">
        <v>1</v>
      </c>
      <c r="L8772">
        <v>0</v>
      </c>
      <c r="M8772" t="s">
        <v>122</v>
      </c>
    </row>
    <row r="8773" spans="1:13" hidden="1" x14ac:dyDescent="0.15">
      <c r="A8773" t="s">
        <v>27561</v>
      </c>
      <c r="B8773" t="s">
        <v>27562</v>
      </c>
      <c r="D8773" t="s">
        <v>27560</v>
      </c>
      <c r="E8773">
        <v>0</v>
      </c>
      <c r="F8773" t="str">
        <f>HYPERLINK("https://github.com/RoverPlatform/rover-android/issues/308", "show")</f>
        <v>show</v>
      </c>
      <c r="G8773" t="str">
        <f>HYPERLINK("https://github.com/RoverPlatform/rover-android", "show")</f>
        <v>show</v>
      </c>
      <c r="H8773" t="str">
        <f>HYPERLINK("https://github.com/RoverPlatform/rover-android/releases", "show")</f>
        <v>show</v>
      </c>
      <c r="I8773">
        <v>0</v>
      </c>
      <c r="J8773">
        <v>0</v>
      </c>
      <c r="K8773">
        <v>1</v>
      </c>
      <c r="L8773">
        <v>0</v>
      </c>
      <c r="M8773" t="s">
        <v>122</v>
      </c>
    </row>
    <row r="8774" spans="1:13" hidden="1" x14ac:dyDescent="0.15">
      <c r="A8774" t="s">
        <v>27563</v>
      </c>
      <c r="B8774" t="s">
        <v>27564</v>
      </c>
      <c r="C8774" t="s">
        <v>27565</v>
      </c>
      <c r="D8774" t="s">
        <v>27560</v>
      </c>
      <c r="E8774">
        <v>0</v>
      </c>
      <c r="F8774" t="str">
        <f>HYPERLINK("https://github.com/marksuth/indigenous-android/issues/154", "show")</f>
        <v>show</v>
      </c>
      <c r="G8774" t="str">
        <f>HYPERLINK("https://github.com/marksuth/indigenous-android", "show")</f>
        <v>show</v>
      </c>
      <c r="H8774" t="str">
        <f>HYPERLINK("https://github.com/marksuth/indigenous-android/releases", "show")</f>
        <v>show</v>
      </c>
      <c r="I8774">
        <v>0</v>
      </c>
      <c r="J8774">
        <v>0</v>
      </c>
      <c r="K8774">
        <v>0</v>
      </c>
      <c r="L8774">
        <v>0</v>
      </c>
      <c r="M8774" t="s">
        <v>43</v>
      </c>
    </row>
    <row r="8775" spans="1:13" hidden="1" x14ac:dyDescent="0.15">
      <c r="A8775" t="s">
        <v>27566</v>
      </c>
      <c r="B8775" t="s">
        <v>27567</v>
      </c>
      <c r="C8775" t="s">
        <v>27568</v>
      </c>
      <c r="D8775" t="s">
        <v>27560</v>
      </c>
      <c r="E8775">
        <v>2</v>
      </c>
      <c r="F8775" t="str">
        <f>HYPERLINK("https://github.com/commons-app/apps-android-commons/issues/2029", "show")</f>
        <v>show</v>
      </c>
      <c r="G8775" t="str">
        <f>HYPERLINK("https://github.com/commons-app/apps-android-commons", "show")</f>
        <v>show</v>
      </c>
      <c r="H8775" t="str">
        <f>HYPERLINK("https://github.com/commons-app/apps-android-commons/releases", "show")</f>
        <v>show</v>
      </c>
      <c r="I8775">
        <v>1</v>
      </c>
      <c r="J8775">
        <v>0</v>
      </c>
      <c r="K8775">
        <v>1</v>
      </c>
      <c r="L8775">
        <v>0</v>
      </c>
      <c r="M8775" t="s">
        <v>64</v>
      </c>
    </row>
    <row r="8776" spans="1:13" hidden="1" x14ac:dyDescent="0.15">
      <c r="A8776" t="s">
        <v>27569</v>
      </c>
      <c r="B8776" t="s">
        <v>27570</v>
      </c>
      <c r="C8776" t="s">
        <v>504</v>
      </c>
      <c r="D8776" t="s">
        <v>27560</v>
      </c>
      <c r="E8776">
        <v>23</v>
      </c>
      <c r="F8776" t="str">
        <f>HYPERLINK("https://github.com/niclabs/adkintunmobile-androidclient/issues/202", "show")</f>
        <v>show</v>
      </c>
      <c r="G8776" t="str">
        <f>HYPERLINK("https://github.com/niclabs/adkintunmobile-androidclient", "show")</f>
        <v>show</v>
      </c>
      <c r="H8776" t="str">
        <f>HYPERLINK("https://github.com/niclabs/adkintunmobile-androidclient/releases", "show")</f>
        <v>show</v>
      </c>
      <c r="I8776">
        <v>1</v>
      </c>
      <c r="J8776">
        <v>0</v>
      </c>
      <c r="K8776">
        <v>0</v>
      </c>
      <c r="L8776">
        <v>0</v>
      </c>
      <c r="M8776" t="s">
        <v>17</v>
      </c>
    </row>
    <row r="8777" spans="1:13" hidden="1" x14ac:dyDescent="0.15">
      <c r="A8777" t="s">
        <v>27571</v>
      </c>
      <c r="B8777" t="s">
        <v>27572</v>
      </c>
      <c r="C8777" t="s">
        <v>27573</v>
      </c>
      <c r="D8777" t="s">
        <v>27560</v>
      </c>
      <c r="E8777">
        <v>0</v>
      </c>
      <c r="F8777" t="str">
        <f>HYPERLINK("https://github.com/nikmons/screwdriver/issues/14", "show")</f>
        <v>show</v>
      </c>
      <c r="G8777" t="str">
        <f>HYPERLINK("https://github.com/nikmons/screwdriver", "show")</f>
        <v>show</v>
      </c>
      <c r="H8777" t="str">
        <f>HYPERLINK("https://github.com/nikmons/screwdriver/releases", "show")</f>
        <v>show</v>
      </c>
      <c r="I8777">
        <v>1</v>
      </c>
      <c r="J8777">
        <v>0</v>
      </c>
      <c r="K8777">
        <v>0</v>
      </c>
      <c r="L8777">
        <v>0</v>
      </c>
      <c r="M8777" t="s">
        <v>17</v>
      </c>
    </row>
    <row r="8778" spans="1:13" hidden="1" x14ac:dyDescent="0.15">
      <c r="A8778" t="s">
        <v>27574</v>
      </c>
      <c r="B8778" t="s">
        <v>27575</v>
      </c>
      <c r="C8778" t="s">
        <v>27576</v>
      </c>
      <c r="D8778" t="s">
        <v>27560</v>
      </c>
      <c r="E8778">
        <v>52</v>
      </c>
      <c r="F8778" t="str">
        <f>HYPERLINK("https://github.com/mehtank/androminion/issues/575", "show")</f>
        <v>show</v>
      </c>
      <c r="G8778" t="str">
        <f>HYPERLINK("https://github.com/mehtank/androminion", "show")</f>
        <v>show</v>
      </c>
      <c r="H8778" t="str">
        <f>HYPERLINK("https://github.com/mehtank/androminion/releases", "show")</f>
        <v>show</v>
      </c>
      <c r="I8778">
        <v>1</v>
      </c>
      <c r="J8778">
        <v>0</v>
      </c>
      <c r="K8778">
        <v>0</v>
      </c>
      <c r="L8778">
        <v>0</v>
      </c>
      <c r="M8778" t="s">
        <v>17</v>
      </c>
    </row>
    <row r="8779" spans="1:13" hidden="1" x14ac:dyDescent="0.15">
      <c r="A8779" t="s">
        <v>27577</v>
      </c>
      <c r="B8779" t="s">
        <v>27578</v>
      </c>
      <c r="C8779" t="s">
        <v>27579</v>
      </c>
      <c r="D8779" t="s">
        <v>27580</v>
      </c>
      <c r="E8779">
        <v>1</v>
      </c>
      <c r="F8779" t="str">
        <f>HYPERLINK("https://github.com/alexweininger/android-catan/issues/211", "show")</f>
        <v>show</v>
      </c>
      <c r="G8779" t="str">
        <f>HYPERLINK("https://github.com/alexweininger/android-catan", "show")</f>
        <v>show</v>
      </c>
      <c r="H8779" t="str">
        <f>HYPERLINK("https://github.com/alexweininger/android-catan/releases", "show")</f>
        <v>show</v>
      </c>
      <c r="I8779">
        <v>1</v>
      </c>
      <c r="J8779">
        <v>0</v>
      </c>
      <c r="K8779">
        <v>0</v>
      </c>
      <c r="L8779">
        <v>0</v>
      </c>
      <c r="M8779" t="s">
        <v>17</v>
      </c>
    </row>
    <row r="8780" spans="1:13" hidden="1" x14ac:dyDescent="0.15">
      <c r="A8780" t="s">
        <v>27581</v>
      </c>
      <c r="B8780" t="s">
        <v>27582</v>
      </c>
      <c r="C8780" t="s">
        <v>27583</v>
      </c>
      <c r="D8780" t="s">
        <v>27580</v>
      </c>
      <c r="E8780">
        <v>1</v>
      </c>
      <c r="F8780" t="str">
        <f>HYPERLINK("https://github.com/alexweininger/android-catan/issues/209", "show")</f>
        <v>show</v>
      </c>
      <c r="G8780" t="str">
        <f>HYPERLINK("https://github.com/alexweininger/android-catan", "show")</f>
        <v>show</v>
      </c>
      <c r="H8780" t="str">
        <f>HYPERLINK("https://github.com/alexweininger/android-catan/releases", "show")</f>
        <v>show</v>
      </c>
      <c r="I8780">
        <v>1</v>
      </c>
      <c r="J8780">
        <v>0</v>
      </c>
      <c r="K8780">
        <v>0</v>
      </c>
      <c r="L8780">
        <v>0</v>
      </c>
      <c r="M8780" t="s">
        <v>17</v>
      </c>
    </row>
    <row r="8781" spans="1:13" hidden="1" x14ac:dyDescent="0.15">
      <c r="A8781" t="s">
        <v>27584</v>
      </c>
      <c r="B8781" t="s">
        <v>27585</v>
      </c>
      <c r="C8781" t="s">
        <v>27586</v>
      </c>
      <c r="D8781" t="s">
        <v>27580</v>
      </c>
      <c r="E8781">
        <v>628</v>
      </c>
      <c r="F8781" t="str">
        <f>HYPERLINK("https://github.com/commons-app/apps-android-commons/issues/2026", "show")</f>
        <v>show</v>
      </c>
      <c r="G8781" t="str">
        <f>HYPERLINK("https://github.com/commons-app/apps-android-commons", "show")</f>
        <v>show</v>
      </c>
      <c r="H8781" t="str">
        <f>HYPERLINK("https://github.com/commons-app/apps-android-commons/releases", "show")</f>
        <v>show</v>
      </c>
      <c r="I8781">
        <v>1</v>
      </c>
      <c r="J8781">
        <v>0</v>
      </c>
      <c r="K8781">
        <v>1</v>
      </c>
      <c r="L8781">
        <v>0</v>
      </c>
      <c r="M8781" t="s">
        <v>64</v>
      </c>
    </row>
    <row r="8782" spans="1:13" hidden="1" x14ac:dyDescent="0.15">
      <c r="A8782" t="s">
        <v>27587</v>
      </c>
      <c r="B8782" t="s">
        <v>27588</v>
      </c>
      <c r="C8782" t="s">
        <v>27589</v>
      </c>
      <c r="D8782" t="s">
        <v>27580</v>
      </c>
      <c r="E8782">
        <v>0</v>
      </c>
      <c r="F8782" t="str">
        <f>HYPERLINK("https://github.com/lineargs/WatchNextApp/issues/56", "show")</f>
        <v>show</v>
      </c>
      <c r="G8782" t="str">
        <f>HYPERLINK("https://github.com/lineargs/WatchNextApp", "show")</f>
        <v>show</v>
      </c>
      <c r="H8782" t="str">
        <f>HYPERLINK("https://github.com/lineargs/WatchNextApp/releases", "show")</f>
        <v>show</v>
      </c>
      <c r="I8782">
        <v>1</v>
      </c>
      <c r="J8782">
        <v>0</v>
      </c>
      <c r="K8782">
        <v>0</v>
      </c>
      <c r="L8782">
        <v>0</v>
      </c>
      <c r="M8782" t="s">
        <v>17</v>
      </c>
    </row>
    <row r="8783" spans="1:13" hidden="1" x14ac:dyDescent="0.15">
      <c r="A8783" t="s">
        <v>27590</v>
      </c>
      <c r="B8783" t="s">
        <v>27591</v>
      </c>
      <c r="C8783" t="s">
        <v>27592</v>
      </c>
      <c r="D8783" t="s">
        <v>27580</v>
      </c>
      <c r="E8783">
        <v>15</v>
      </c>
      <c r="F8783" t="str">
        <f>HYPERLINK("https://github.com/noties/Markwon/issues/81", "show")</f>
        <v>show</v>
      </c>
      <c r="G8783" t="str">
        <f>HYPERLINK("https://github.com/noties/Markwon", "show")</f>
        <v>show</v>
      </c>
      <c r="H8783" t="str">
        <f>HYPERLINK("https://github.com/noties/Markwon/releases", "show")</f>
        <v>show</v>
      </c>
      <c r="I8783">
        <v>0</v>
      </c>
      <c r="J8783">
        <v>0</v>
      </c>
      <c r="K8783">
        <v>0</v>
      </c>
      <c r="L8783">
        <v>1</v>
      </c>
      <c r="M8783" t="s">
        <v>581</v>
      </c>
    </row>
    <row r="8784" spans="1:13" hidden="1" x14ac:dyDescent="0.15">
      <c r="A8784" t="s">
        <v>27593</v>
      </c>
      <c r="B8784" t="s">
        <v>27594</v>
      </c>
      <c r="C8784" t="s">
        <v>27595</v>
      </c>
      <c r="D8784" t="s">
        <v>27580</v>
      </c>
      <c r="E8784">
        <v>3</v>
      </c>
      <c r="F8784" t="str">
        <f>HYPERLINK("https://github.com/JasonSmith03/Android-Project/issues/6", "show")</f>
        <v>show</v>
      </c>
      <c r="G8784" t="str">
        <f>HYPERLINK("https://github.com/JasonSmith03/Android-Project", "show")</f>
        <v>show</v>
      </c>
      <c r="H8784" t="str">
        <f>HYPERLINK("https://github.com/JasonSmith03/Android-Project/releases", "show")</f>
        <v>show</v>
      </c>
      <c r="I8784">
        <v>0</v>
      </c>
      <c r="J8784">
        <v>0</v>
      </c>
      <c r="K8784">
        <v>0</v>
      </c>
      <c r="L8784">
        <v>0</v>
      </c>
      <c r="M8784" t="s">
        <v>43</v>
      </c>
    </row>
    <row r="8785" spans="1:13" hidden="1" x14ac:dyDescent="0.15">
      <c r="A8785" t="s">
        <v>27596</v>
      </c>
      <c r="B8785" t="s">
        <v>27597</v>
      </c>
      <c r="C8785" t="s">
        <v>27598</v>
      </c>
      <c r="D8785" t="s">
        <v>27599</v>
      </c>
      <c r="E8785">
        <v>8</v>
      </c>
      <c r="F8785" t="str">
        <f>HYPERLINK("https://github.com/ankidroid/Anki-Android/issues/5131", "show")</f>
        <v>show</v>
      </c>
      <c r="G8785" t="str">
        <f>HYPERLINK("https://github.com/ankidroid/Anki-Android", "show")</f>
        <v>show</v>
      </c>
      <c r="H8785" t="str">
        <f>HYPERLINK("https://github.com/ankidroid/Anki-Android/releases", "show")</f>
        <v>show</v>
      </c>
      <c r="I8785">
        <v>1</v>
      </c>
      <c r="J8785">
        <v>0</v>
      </c>
      <c r="K8785">
        <v>0</v>
      </c>
      <c r="L8785">
        <v>0</v>
      </c>
      <c r="M8785" t="s">
        <v>17</v>
      </c>
    </row>
    <row r="8786" spans="1:13" hidden="1" x14ac:dyDescent="0.15">
      <c r="A8786" t="s">
        <v>27600</v>
      </c>
      <c r="B8786" t="s">
        <v>27601</v>
      </c>
      <c r="C8786" t="s">
        <v>27602</v>
      </c>
      <c r="D8786" t="s">
        <v>27599</v>
      </c>
      <c r="E8786">
        <v>10</v>
      </c>
      <c r="F8786" t="str">
        <f>HYPERLINK("https://github.com/oliexdev/openScale/issues/354", "show")</f>
        <v>show</v>
      </c>
      <c r="G8786" t="str">
        <f>HYPERLINK("https://github.com/oliexdev/openScale", "show")</f>
        <v>show</v>
      </c>
      <c r="H8786" t="str">
        <f>HYPERLINK("https://github.com/oliexdev/openScale/releases", "show")</f>
        <v>show</v>
      </c>
      <c r="I8786">
        <v>1</v>
      </c>
      <c r="J8786">
        <v>1</v>
      </c>
      <c r="K8786">
        <v>1</v>
      </c>
      <c r="L8786">
        <v>0</v>
      </c>
      <c r="M8786" t="s">
        <v>59</v>
      </c>
    </row>
    <row r="8787" spans="1:13" hidden="1" x14ac:dyDescent="0.15">
      <c r="A8787" t="s">
        <v>27603</v>
      </c>
      <c r="B8787" t="s">
        <v>27604</v>
      </c>
      <c r="C8787" t="s">
        <v>27605</v>
      </c>
      <c r="D8787" t="s">
        <v>27606</v>
      </c>
      <c r="E8787">
        <v>0</v>
      </c>
      <c r="F8787" t="str">
        <f>HYPERLINK("https://github.com/ECSE321-Fall2018/t14/issues/35", "show")</f>
        <v>show</v>
      </c>
      <c r="G8787" t="str">
        <f>HYPERLINK("https://github.com/ECSE321-Fall2018/t14", "show")</f>
        <v>show</v>
      </c>
      <c r="H8787" t="str">
        <f>HYPERLINK("https://github.com/ECSE321-Fall2018/t14/releases", "show")</f>
        <v>show</v>
      </c>
      <c r="I8787">
        <v>1</v>
      </c>
      <c r="J8787">
        <v>0</v>
      </c>
      <c r="K8787">
        <v>0</v>
      </c>
      <c r="L8787">
        <v>0</v>
      </c>
      <c r="M8787" t="s">
        <v>17</v>
      </c>
    </row>
    <row r="8788" spans="1:13" hidden="1" x14ac:dyDescent="0.15">
      <c r="A8788" t="s">
        <v>27607</v>
      </c>
      <c r="B8788" t="s">
        <v>27608</v>
      </c>
      <c r="C8788" t="s">
        <v>27609</v>
      </c>
      <c r="D8788" t="s">
        <v>27606</v>
      </c>
      <c r="E8788">
        <v>94</v>
      </c>
      <c r="F8788" t="str">
        <f>HYPERLINK("https://github.com/miguelpruivo/flutter_file_picker/issues/7", "show")</f>
        <v>show</v>
      </c>
      <c r="G8788" t="str">
        <f>HYPERLINK("https://github.com/miguelpruivo/flutter_file_picker", "show")</f>
        <v>show</v>
      </c>
      <c r="H8788" t="str">
        <f>HYPERLINK("https://github.com/miguelpruivo/flutter_file_picker/releases", "show")</f>
        <v>show</v>
      </c>
      <c r="I8788">
        <v>1</v>
      </c>
      <c r="J8788">
        <v>0</v>
      </c>
      <c r="K8788">
        <v>1</v>
      </c>
      <c r="L8788">
        <v>0</v>
      </c>
      <c r="M8788" t="s">
        <v>64</v>
      </c>
    </row>
    <row r="8789" spans="1:13" hidden="1" x14ac:dyDescent="0.15">
      <c r="A8789" t="s">
        <v>27610</v>
      </c>
      <c r="B8789" t="s">
        <v>27611</v>
      </c>
      <c r="C8789" t="s">
        <v>27612</v>
      </c>
      <c r="D8789" t="s">
        <v>27606</v>
      </c>
      <c r="E8789">
        <v>71</v>
      </c>
      <c r="F8789" t="str">
        <f>HYPERLINK("https://github.com/aws-amplify/aws-sdk-android/issues/589", "show")</f>
        <v>show</v>
      </c>
      <c r="G8789" t="str">
        <f>HYPERLINK("https://github.com/aws-amplify/aws-sdk-android", "show")</f>
        <v>show</v>
      </c>
      <c r="H8789" t="str">
        <f>HYPERLINK("https://github.com/aws-amplify/aws-sdk-android/releases", "show")</f>
        <v>show</v>
      </c>
      <c r="I8789">
        <v>1</v>
      </c>
      <c r="J8789">
        <v>0</v>
      </c>
      <c r="K8789">
        <v>1</v>
      </c>
      <c r="L8789">
        <v>0</v>
      </c>
      <c r="M8789" t="s">
        <v>64</v>
      </c>
    </row>
    <row r="8790" spans="1:13" hidden="1" x14ac:dyDescent="0.15">
      <c r="A8790" t="s">
        <v>27613</v>
      </c>
      <c r="B8790" t="s">
        <v>27614</v>
      </c>
      <c r="C8790" t="s">
        <v>27615</v>
      </c>
      <c r="D8790" t="s">
        <v>27616</v>
      </c>
      <c r="E8790">
        <v>15</v>
      </c>
      <c r="F8790" t="str">
        <f>HYPERLINK("https://github.com/OneBusAway/onebusaway-android/issues/934", "show")</f>
        <v>show</v>
      </c>
      <c r="G8790" t="str">
        <f>HYPERLINK("https://github.com/OneBusAway/onebusaway-android", "show")</f>
        <v>show</v>
      </c>
      <c r="H8790" t="str">
        <f>HYPERLINK("https://github.com/OneBusAway/onebusaway-android/releases", "show")</f>
        <v>show</v>
      </c>
      <c r="I8790">
        <v>1</v>
      </c>
      <c r="J8790">
        <v>1</v>
      </c>
      <c r="K8790">
        <v>1</v>
      </c>
      <c r="L8790">
        <v>0</v>
      </c>
      <c r="M8790" t="s">
        <v>59</v>
      </c>
    </row>
    <row r="8791" spans="1:13" hidden="1" x14ac:dyDescent="0.15">
      <c r="A8791" t="s">
        <v>27617</v>
      </c>
      <c r="B8791" t="s">
        <v>27618</v>
      </c>
      <c r="C8791" t="s">
        <v>27619</v>
      </c>
      <c r="D8791" t="s">
        <v>27616</v>
      </c>
      <c r="E8791">
        <v>2</v>
      </c>
      <c r="F8791" t="str">
        <f>HYPERLINK("https://github.com/nextcloud/android-library/issues/201", "show")</f>
        <v>show</v>
      </c>
      <c r="G8791" t="str">
        <f>HYPERLINK("https://github.com/nextcloud/android-library", "show")</f>
        <v>show</v>
      </c>
      <c r="H8791" t="str">
        <f>HYPERLINK("https://github.com/nextcloud/android-library/releases", "show")</f>
        <v>show</v>
      </c>
      <c r="I8791">
        <v>1</v>
      </c>
      <c r="J8791">
        <v>0</v>
      </c>
      <c r="K8791">
        <v>0</v>
      </c>
      <c r="L8791">
        <v>0</v>
      </c>
      <c r="M8791" t="s">
        <v>17</v>
      </c>
    </row>
    <row r="8792" spans="1:13" hidden="1" x14ac:dyDescent="0.15">
      <c r="A8792" t="s">
        <v>27620</v>
      </c>
      <c r="B8792" t="s">
        <v>27621</v>
      </c>
      <c r="C8792" t="s">
        <v>27622</v>
      </c>
      <c r="D8792" t="s">
        <v>27616</v>
      </c>
      <c r="E8792">
        <v>16</v>
      </c>
      <c r="F8792" t="str">
        <f>HYPERLINK("https://github.com/OneBusAway/onebusaway-android/issues/933", "show")</f>
        <v>show</v>
      </c>
      <c r="G8792" t="str">
        <f>HYPERLINK("https://github.com/OneBusAway/onebusaway-android", "show")</f>
        <v>show</v>
      </c>
      <c r="H8792" t="str">
        <f>HYPERLINK("https://github.com/OneBusAway/onebusaway-android/releases", "show")</f>
        <v>show</v>
      </c>
      <c r="I8792">
        <v>1</v>
      </c>
      <c r="J8792">
        <v>0</v>
      </c>
      <c r="K8792">
        <v>1</v>
      </c>
      <c r="L8792">
        <v>0</v>
      </c>
      <c r="M8792" t="s">
        <v>64</v>
      </c>
    </row>
    <row r="8793" spans="1:13" hidden="1" x14ac:dyDescent="0.15">
      <c r="A8793" t="s">
        <v>27623</v>
      </c>
      <c r="B8793" t="s">
        <v>27624</v>
      </c>
      <c r="C8793" t="s">
        <v>27625</v>
      </c>
      <c r="D8793" t="s">
        <v>27616</v>
      </c>
      <c r="E8793">
        <v>26</v>
      </c>
      <c r="F8793" t="str">
        <f>HYPERLINK("https://github.com/aws-amplify/aws-sdk-android/issues/588", "show")</f>
        <v>show</v>
      </c>
      <c r="G8793" t="str">
        <f>HYPERLINK("https://github.com/aws-amplify/aws-sdk-android", "show")</f>
        <v>show</v>
      </c>
      <c r="H8793" t="str">
        <f>HYPERLINK("https://github.com/aws-amplify/aws-sdk-android/releases", "show")</f>
        <v>show</v>
      </c>
      <c r="I8793">
        <v>1</v>
      </c>
      <c r="J8793">
        <v>1</v>
      </c>
      <c r="K8793">
        <v>1</v>
      </c>
      <c r="L8793">
        <v>0</v>
      </c>
      <c r="M8793" t="s">
        <v>59</v>
      </c>
    </row>
    <row r="8794" spans="1:13" x14ac:dyDescent="0.15">
      <c r="A8794" t="s">
        <v>27626</v>
      </c>
      <c r="B8794" t="s">
        <v>27627</v>
      </c>
      <c r="C8794" t="s">
        <v>27628</v>
      </c>
      <c r="D8794" t="s">
        <v>27616</v>
      </c>
      <c r="E8794">
        <v>20</v>
      </c>
      <c r="F8794" t="str">
        <f>HYPERLINK("https://github.com/aws-amplify/aws-sdk-android/issues/586", "show")</f>
        <v>show</v>
      </c>
      <c r="G8794" t="str">
        <f>HYPERLINK("https://github.com/aws-amplify/aws-sdk-android", "show")</f>
        <v>show</v>
      </c>
      <c r="H8794" t="str">
        <f>HYPERLINK("https://github.com/aws-amplify/aws-sdk-android/releases", "show")</f>
        <v>show</v>
      </c>
      <c r="I8794">
        <v>0</v>
      </c>
      <c r="J8794">
        <v>1</v>
      </c>
      <c r="K8794">
        <v>0</v>
      </c>
      <c r="L8794">
        <v>0</v>
      </c>
      <c r="M8794" t="s">
        <v>139</v>
      </c>
    </row>
    <row r="8795" spans="1:13" hidden="1" x14ac:dyDescent="0.15">
      <c r="A8795" t="s">
        <v>27629</v>
      </c>
      <c r="B8795" t="s">
        <v>27630</v>
      </c>
      <c r="C8795" t="s">
        <v>27631</v>
      </c>
      <c r="D8795" t="s">
        <v>27632</v>
      </c>
      <c r="E8795">
        <v>72</v>
      </c>
      <c r="F8795" t="str">
        <f>HYPERLINK("https://github.com/nextcloud/android/issues/3277", "show")</f>
        <v>show</v>
      </c>
      <c r="G8795" t="str">
        <f>HYPERLINK("https://github.com/nextcloud/android", "show")</f>
        <v>show</v>
      </c>
      <c r="H8795" t="str">
        <f>HYPERLINK("https://github.com/nextcloud/android/releases", "show")</f>
        <v>show</v>
      </c>
      <c r="I8795">
        <v>1</v>
      </c>
      <c r="J8795">
        <v>1</v>
      </c>
      <c r="K8795">
        <v>1</v>
      </c>
      <c r="L8795">
        <v>0</v>
      </c>
      <c r="M8795" t="s">
        <v>59</v>
      </c>
    </row>
    <row r="8796" spans="1:13" hidden="1" x14ac:dyDescent="0.15">
      <c r="A8796" t="s">
        <v>27633</v>
      </c>
      <c r="B8796" t="s">
        <v>27634</v>
      </c>
      <c r="D8796" t="s">
        <v>27632</v>
      </c>
      <c r="E8796">
        <v>0</v>
      </c>
      <c r="F8796" t="str">
        <f>HYPERLINK("https://github.com/SEG2105-Group/JobZi/issues/138", "show")</f>
        <v>show</v>
      </c>
      <c r="G8796" t="str">
        <f>HYPERLINK("https://github.com/SEG2105-Group/JobZi", "show")</f>
        <v>show</v>
      </c>
      <c r="H8796" t="str">
        <f>HYPERLINK("https://github.com/SEG2105-Group/JobZi/releases", "show")</f>
        <v>show</v>
      </c>
      <c r="I8796">
        <v>1</v>
      </c>
      <c r="J8796">
        <v>0</v>
      </c>
      <c r="K8796">
        <v>0</v>
      </c>
      <c r="L8796">
        <v>0</v>
      </c>
      <c r="M8796" t="s">
        <v>17</v>
      </c>
    </row>
    <row r="8797" spans="1:13" hidden="1" x14ac:dyDescent="0.15">
      <c r="A8797" t="s">
        <v>27635</v>
      </c>
      <c r="B8797" t="s">
        <v>27636</v>
      </c>
      <c r="C8797" t="s">
        <v>27637</v>
      </c>
      <c r="D8797" t="s">
        <v>27632</v>
      </c>
      <c r="E8797">
        <v>1</v>
      </c>
      <c r="F8797" t="str">
        <f>HYPERLINK("https://github.com/jroal/a2dpvolume/issues/271", "show")</f>
        <v>show</v>
      </c>
      <c r="G8797" t="str">
        <f>HYPERLINK("https://github.com/jroal/a2dpvolume", "show")</f>
        <v>show</v>
      </c>
      <c r="H8797" t="str">
        <f>HYPERLINK("https://github.com/jroal/a2dpvolume/releases", "show")</f>
        <v>show</v>
      </c>
      <c r="I8797">
        <v>1</v>
      </c>
      <c r="J8797">
        <v>0</v>
      </c>
      <c r="K8797">
        <v>0</v>
      </c>
      <c r="L8797">
        <v>0</v>
      </c>
      <c r="M8797" t="s">
        <v>17</v>
      </c>
    </row>
    <row r="8798" spans="1:13" x14ac:dyDescent="0.15">
      <c r="A8798" t="s">
        <v>27638</v>
      </c>
      <c r="B8798" t="s">
        <v>27639</v>
      </c>
      <c r="C8798" t="s">
        <v>27640</v>
      </c>
      <c r="D8798" t="s">
        <v>27632</v>
      </c>
      <c r="E8798">
        <v>2</v>
      </c>
      <c r="F8798" t="str">
        <f>HYPERLINK("https://github.com/MozillaReality/FirefoxReality/issues/783", "show")</f>
        <v>show</v>
      </c>
      <c r="G8798" t="str">
        <f>HYPERLINK("https://github.com/MozillaReality/FirefoxReality", "show")</f>
        <v>show</v>
      </c>
      <c r="H8798" t="str">
        <f>HYPERLINK("https://github.com/MozillaReality/FirefoxReality/releases", "show")</f>
        <v>show</v>
      </c>
      <c r="I8798">
        <v>0</v>
      </c>
      <c r="J8798">
        <v>1</v>
      </c>
      <c r="K8798">
        <v>0</v>
      </c>
      <c r="L8798">
        <v>0</v>
      </c>
      <c r="M8798" t="s">
        <v>139</v>
      </c>
    </row>
    <row r="8799" spans="1:13" hidden="1" x14ac:dyDescent="0.15">
      <c r="A8799" t="s">
        <v>27641</v>
      </c>
      <c r="B8799" t="s">
        <v>27642</v>
      </c>
      <c r="C8799" t="s">
        <v>27643</v>
      </c>
      <c r="D8799" t="s">
        <v>27644</v>
      </c>
      <c r="E8799">
        <v>56</v>
      </c>
      <c r="F8799" t="str">
        <f>HYPERLINK("https://github.com/MCMrARM/revolution-irc/issues/173", "show")</f>
        <v>show</v>
      </c>
      <c r="G8799" t="str">
        <f>HYPERLINK("https://github.com/MCMrARM/revolution-irc", "show")</f>
        <v>show</v>
      </c>
      <c r="H8799" t="str">
        <f>HYPERLINK("https://github.com/MCMrARM/revolution-irc/releases", "show")</f>
        <v>show</v>
      </c>
      <c r="I8799">
        <v>1</v>
      </c>
      <c r="J8799">
        <v>1</v>
      </c>
      <c r="K8799">
        <v>0</v>
      </c>
      <c r="L8799">
        <v>0</v>
      </c>
      <c r="M8799" t="s">
        <v>48</v>
      </c>
    </row>
    <row r="8800" spans="1:13" hidden="1" x14ac:dyDescent="0.15">
      <c r="A8800" t="s">
        <v>27645</v>
      </c>
      <c r="B8800" t="s">
        <v>13347</v>
      </c>
      <c r="C8800" t="s">
        <v>27646</v>
      </c>
      <c r="D8800" t="s">
        <v>27644</v>
      </c>
      <c r="E8800">
        <v>780</v>
      </c>
      <c r="F8800" t="str">
        <f>HYPERLINK("https://github.com/inaturalist/iNaturalistAndroid/issues/613", "show")</f>
        <v>show</v>
      </c>
      <c r="G8800" t="str">
        <f>HYPERLINK("https://github.com/inaturalist/iNaturalistAndroid", "show")</f>
        <v>show</v>
      </c>
      <c r="H8800" t="str">
        <f>HYPERLINK("https://github.com/inaturalist/iNaturalistAndroid/releases", "show")</f>
        <v>show</v>
      </c>
      <c r="I8800">
        <v>1</v>
      </c>
      <c r="J8800">
        <v>0</v>
      </c>
      <c r="K8800">
        <v>0</v>
      </c>
      <c r="L8800">
        <v>0</v>
      </c>
      <c r="M8800" t="s">
        <v>17</v>
      </c>
    </row>
    <row r="8801" spans="1:13" hidden="1" x14ac:dyDescent="0.15">
      <c r="A8801" t="s">
        <v>27647</v>
      </c>
      <c r="B8801" t="s">
        <v>27648</v>
      </c>
      <c r="C8801" t="s">
        <v>27649</v>
      </c>
      <c r="D8801" t="s">
        <v>27644</v>
      </c>
      <c r="E8801">
        <v>23</v>
      </c>
      <c r="F8801" t="str">
        <f>HYPERLINK("https://github.com/mendhak/gpslogger/issues/695", "show")</f>
        <v>show</v>
      </c>
      <c r="G8801" t="str">
        <f>HYPERLINK("https://github.com/mendhak/gpslogger", "show")</f>
        <v>show</v>
      </c>
      <c r="H8801" t="str">
        <f>HYPERLINK("https://github.com/mendhak/gpslogger/releases", "show")</f>
        <v>show</v>
      </c>
      <c r="I8801">
        <v>1</v>
      </c>
      <c r="J8801">
        <v>1</v>
      </c>
      <c r="K8801">
        <v>0</v>
      </c>
      <c r="L8801">
        <v>1</v>
      </c>
      <c r="M8801" t="s">
        <v>1894</v>
      </c>
    </row>
    <row r="8802" spans="1:13" hidden="1" x14ac:dyDescent="0.15">
      <c r="A8802" t="s">
        <v>27650</v>
      </c>
      <c r="B8802" t="s">
        <v>27651</v>
      </c>
      <c r="C8802" t="s">
        <v>27652</v>
      </c>
      <c r="D8802" t="s">
        <v>27644</v>
      </c>
      <c r="E8802">
        <v>3</v>
      </c>
      <c r="F8802" t="str">
        <f>HYPERLINK("https://github.com/wdullaer/MaterialDateTimePicker/issues/549", "show")</f>
        <v>show</v>
      </c>
      <c r="G8802" t="str">
        <f>HYPERLINK("https://github.com/wdullaer/MaterialDateTimePicker", "show")</f>
        <v>show</v>
      </c>
      <c r="H8802" t="str">
        <f>HYPERLINK("https://github.com/wdullaer/MaterialDateTimePicker/releases", "show")</f>
        <v>show</v>
      </c>
      <c r="I8802">
        <v>1</v>
      </c>
      <c r="J8802">
        <v>1</v>
      </c>
      <c r="K8802">
        <v>1</v>
      </c>
      <c r="L8802">
        <v>0</v>
      </c>
      <c r="M8802" t="s">
        <v>59</v>
      </c>
    </row>
    <row r="8803" spans="1:13" hidden="1" x14ac:dyDescent="0.15">
      <c r="A8803" t="s">
        <v>27653</v>
      </c>
      <c r="B8803" t="s">
        <v>27654</v>
      </c>
      <c r="C8803" t="s">
        <v>27655</v>
      </c>
      <c r="D8803" t="s">
        <v>27644</v>
      </c>
      <c r="E8803">
        <v>4</v>
      </c>
      <c r="F8803" t="str">
        <f>HYPERLINK("https://github.com/IbrahimNM/seefood_app/issues/11", "show")</f>
        <v>show</v>
      </c>
      <c r="G8803" t="str">
        <f>HYPERLINK("https://github.com/IbrahimNM/seefood_app", "show")</f>
        <v>show</v>
      </c>
      <c r="H8803" t="str">
        <f>HYPERLINK("https://github.com/IbrahimNM/seefood_app/releases", "show")</f>
        <v>show</v>
      </c>
      <c r="I8803">
        <v>1</v>
      </c>
      <c r="J8803">
        <v>0</v>
      </c>
      <c r="K8803">
        <v>0</v>
      </c>
      <c r="L8803">
        <v>0</v>
      </c>
      <c r="M8803" t="s">
        <v>17</v>
      </c>
    </row>
    <row r="8804" spans="1:13" hidden="1" x14ac:dyDescent="0.15">
      <c r="A8804" t="s">
        <v>27656</v>
      </c>
      <c r="B8804" t="s">
        <v>27657</v>
      </c>
      <c r="C8804" t="s">
        <v>27658</v>
      </c>
      <c r="D8804" t="s">
        <v>27659</v>
      </c>
      <c r="E8804">
        <v>109</v>
      </c>
      <c r="F8804" t="str">
        <f>HYPERLINK("https://github.com/terl/lazysodium-android/issues/15", "show")</f>
        <v>show</v>
      </c>
      <c r="G8804" t="str">
        <f>HYPERLINK("https://github.com/terl/lazysodium-android", "show")</f>
        <v>show</v>
      </c>
      <c r="H8804" t="str">
        <f>HYPERLINK("https://github.com/terl/lazysodium-android/releases", "show")</f>
        <v>show</v>
      </c>
      <c r="I8804">
        <v>1</v>
      </c>
      <c r="J8804">
        <v>0</v>
      </c>
      <c r="K8804">
        <v>0</v>
      </c>
      <c r="L8804">
        <v>0</v>
      </c>
      <c r="M8804" t="s">
        <v>17</v>
      </c>
    </row>
    <row r="8805" spans="1:13" hidden="1" x14ac:dyDescent="0.15">
      <c r="A8805" t="s">
        <v>27660</v>
      </c>
      <c r="B8805" t="s">
        <v>27661</v>
      </c>
      <c r="C8805" t="s">
        <v>27662</v>
      </c>
      <c r="D8805" t="s">
        <v>27659</v>
      </c>
      <c r="E8805">
        <v>0</v>
      </c>
      <c r="F8805" t="str">
        <f>HYPERLINK("https://github.com/lineargs/WatchNextApp/issues/52", "show")</f>
        <v>show</v>
      </c>
      <c r="G8805" t="str">
        <f>HYPERLINK("https://github.com/lineargs/WatchNextApp", "show")</f>
        <v>show</v>
      </c>
      <c r="H8805" t="str">
        <f>HYPERLINK("https://github.com/lineargs/WatchNextApp/releases", "show")</f>
        <v>show</v>
      </c>
      <c r="I8805">
        <v>1</v>
      </c>
      <c r="J8805">
        <v>0</v>
      </c>
      <c r="K8805">
        <v>0</v>
      </c>
      <c r="L8805">
        <v>0</v>
      </c>
      <c r="M8805" t="s">
        <v>17</v>
      </c>
    </row>
    <row r="8806" spans="1:13" hidden="1" x14ac:dyDescent="0.15">
      <c r="A8806" t="s">
        <v>27663</v>
      </c>
      <c r="B8806" t="s">
        <v>27664</v>
      </c>
      <c r="C8806" t="s">
        <v>27665</v>
      </c>
      <c r="D8806" t="s">
        <v>27666</v>
      </c>
      <c r="E8806">
        <v>62</v>
      </c>
      <c r="F8806" t="str">
        <f>HYPERLINK("https://github.com/nextcloud/android/issues/3273", "show")</f>
        <v>show</v>
      </c>
      <c r="G8806" t="str">
        <f>HYPERLINK("https://github.com/nextcloud/android", "show")</f>
        <v>show</v>
      </c>
      <c r="H8806" t="str">
        <f>HYPERLINK("https://github.com/nextcloud/android/releases", "show")</f>
        <v>show</v>
      </c>
      <c r="I8806">
        <v>1</v>
      </c>
      <c r="J8806">
        <v>0</v>
      </c>
      <c r="K8806">
        <v>1</v>
      </c>
      <c r="L8806">
        <v>0</v>
      </c>
      <c r="M8806" t="s">
        <v>64</v>
      </c>
    </row>
    <row r="8807" spans="1:13" hidden="1" x14ac:dyDescent="0.15">
      <c r="A8807" t="s">
        <v>27667</v>
      </c>
      <c r="B8807" t="s">
        <v>27668</v>
      </c>
      <c r="C8807" t="s">
        <v>27669</v>
      </c>
      <c r="D8807" t="s">
        <v>27666</v>
      </c>
      <c r="E8807">
        <v>0</v>
      </c>
      <c r="F8807" t="str">
        <f>HYPERLINK("https://github.com/kontalk/androidclient/issues/1239", "show")</f>
        <v>show</v>
      </c>
      <c r="G8807" t="str">
        <f>HYPERLINK("https://github.com/kontalk/androidclient", "show")</f>
        <v>show</v>
      </c>
      <c r="H8807" t="str">
        <f>HYPERLINK("https://github.com/kontalk/androidclient/releases", "show")</f>
        <v>show</v>
      </c>
      <c r="I8807">
        <v>0</v>
      </c>
      <c r="J8807">
        <v>0</v>
      </c>
      <c r="K8807">
        <v>0</v>
      </c>
      <c r="L8807">
        <v>0</v>
      </c>
      <c r="M8807" t="s">
        <v>43</v>
      </c>
    </row>
    <row r="8808" spans="1:13" hidden="1" x14ac:dyDescent="0.15">
      <c r="A8808" t="s">
        <v>27670</v>
      </c>
      <c r="B8808" t="s">
        <v>27671</v>
      </c>
      <c r="C8808" t="s">
        <v>27672</v>
      </c>
      <c r="D8808" t="s">
        <v>27666</v>
      </c>
      <c r="E8808">
        <v>0</v>
      </c>
      <c r="F8808" t="str">
        <f>HYPERLINK("https://github.com/JasonSmith03/Android-Project/issues/4", "show")</f>
        <v>show</v>
      </c>
      <c r="G8808" t="str">
        <f>HYPERLINK("https://github.com/JasonSmith03/Android-Project", "show")</f>
        <v>show</v>
      </c>
      <c r="H8808" t="str">
        <f>HYPERLINK("https://github.com/JasonSmith03/Android-Project/releases", "show")</f>
        <v>show</v>
      </c>
      <c r="I8808">
        <v>0</v>
      </c>
      <c r="J8808">
        <v>0</v>
      </c>
      <c r="K8808">
        <v>0</v>
      </c>
      <c r="L8808">
        <v>0</v>
      </c>
      <c r="M8808" t="s">
        <v>43</v>
      </c>
    </row>
    <row r="8809" spans="1:13" hidden="1" x14ac:dyDescent="0.15">
      <c r="A8809" t="s">
        <v>27673</v>
      </c>
      <c r="B8809" t="s">
        <v>27674</v>
      </c>
      <c r="C8809" t="s">
        <v>27675</v>
      </c>
      <c r="D8809" t="s">
        <v>27666</v>
      </c>
      <c r="E8809">
        <v>0</v>
      </c>
      <c r="F8809" t="str">
        <f>HYPERLINK("https://github.com/antest1/kcanotify/issues/61", "show")</f>
        <v>show</v>
      </c>
      <c r="G8809" t="str">
        <f>HYPERLINK("https://github.com/antest1/kcanotify", "show")</f>
        <v>show</v>
      </c>
      <c r="H8809" t="str">
        <f>HYPERLINK("https://github.com/antest1/kcanotify/releases", "show")</f>
        <v>show</v>
      </c>
      <c r="I8809">
        <v>1</v>
      </c>
      <c r="J8809">
        <v>0</v>
      </c>
      <c r="K8809">
        <v>0</v>
      </c>
      <c r="L8809">
        <v>0</v>
      </c>
      <c r="M8809" t="s">
        <v>17</v>
      </c>
    </row>
    <row r="8810" spans="1:13" hidden="1" x14ac:dyDescent="0.15">
      <c r="A8810" t="s">
        <v>27676</v>
      </c>
      <c r="B8810" t="s">
        <v>27677</v>
      </c>
      <c r="C8810" t="s">
        <v>27678</v>
      </c>
      <c r="D8810" t="s">
        <v>27679</v>
      </c>
      <c r="E8810">
        <v>1</v>
      </c>
      <c r="F8810" t="str">
        <f>HYPERLINK("https://github.com/google-udacity-india-scholars/abnd-track-pomodoro-timer-app/issues/53", "show")</f>
        <v>show</v>
      </c>
      <c r="G8810" t="str">
        <f>HYPERLINK("https://github.com/google-udacity-india-scholars/abnd-track-pomodoro-timer-app", "show")</f>
        <v>show</v>
      </c>
      <c r="H8810" t="str">
        <f>HYPERLINK("https://github.com/google-udacity-india-scholars/abnd-track-pomodoro-timer-app/releases", "show")</f>
        <v>show</v>
      </c>
      <c r="I8810">
        <v>1</v>
      </c>
      <c r="J8810">
        <v>1</v>
      </c>
      <c r="K8810">
        <v>1</v>
      </c>
      <c r="L8810">
        <v>1</v>
      </c>
      <c r="M8810" t="s">
        <v>2875</v>
      </c>
    </row>
    <row r="8811" spans="1:13" hidden="1" x14ac:dyDescent="0.15">
      <c r="A8811" t="s">
        <v>27680</v>
      </c>
      <c r="B8811" t="s">
        <v>27681</v>
      </c>
      <c r="C8811" t="s">
        <v>27682</v>
      </c>
      <c r="D8811" t="s">
        <v>27679</v>
      </c>
      <c r="E8811">
        <v>11</v>
      </c>
      <c r="F8811" t="str">
        <f>HYPERLINK("https://github.com/cs262dFA2018/EventConnect/issues/22", "show")</f>
        <v>show</v>
      </c>
      <c r="G8811" t="str">
        <f>HYPERLINK("https://github.com/cs262dFA2018/EventConnect", "show")</f>
        <v>show</v>
      </c>
      <c r="H8811" t="str">
        <f>HYPERLINK("https://github.com/cs262dFA2018/EventConnect/releases", "show")</f>
        <v>show</v>
      </c>
      <c r="I8811">
        <v>1</v>
      </c>
      <c r="J8811">
        <v>0</v>
      </c>
      <c r="K8811">
        <v>0</v>
      </c>
      <c r="L8811">
        <v>0</v>
      </c>
      <c r="M8811" t="s">
        <v>17</v>
      </c>
    </row>
    <row r="8812" spans="1:13" hidden="1" x14ac:dyDescent="0.15">
      <c r="A8812" t="s">
        <v>27683</v>
      </c>
      <c r="B8812" t="s">
        <v>27684</v>
      </c>
      <c r="C8812" t="s">
        <v>27685</v>
      </c>
      <c r="D8812" t="s">
        <v>27679</v>
      </c>
      <c r="E8812">
        <v>29</v>
      </c>
      <c r="F8812" t="str">
        <f>HYPERLINK("https://github.com/awslabs/aws-mobile-appsync-sdk-android/issues/62", "show")</f>
        <v>show</v>
      </c>
      <c r="G8812" t="str">
        <f>HYPERLINK("https://github.com/awslabs/aws-mobile-appsync-sdk-android", "show")</f>
        <v>show</v>
      </c>
      <c r="H8812" t="str">
        <f>HYPERLINK("https://github.com/awslabs/aws-mobile-appsync-sdk-android/releases", "show")</f>
        <v>show</v>
      </c>
      <c r="I8812">
        <v>1</v>
      </c>
      <c r="J8812">
        <v>0</v>
      </c>
      <c r="K8812">
        <v>1</v>
      </c>
      <c r="L8812">
        <v>0</v>
      </c>
      <c r="M8812" t="s">
        <v>64</v>
      </c>
    </row>
    <row r="8813" spans="1:13" hidden="1" x14ac:dyDescent="0.15">
      <c r="A8813" t="s">
        <v>27686</v>
      </c>
      <c r="B8813" t="s">
        <v>27687</v>
      </c>
      <c r="C8813" t="s">
        <v>27688</v>
      </c>
      <c r="D8813" t="s">
        <v>27689</v>
      </c>
      <c r="E8813">
        <v>635</v>
      </c>
      <c r="F8813" t="str">
        <f>HYPERLINK("https://github.com/apache/cordova-android/issues/562", "show")</f>
        <v>show</v>
      </c>
      <c r="G8813" t="str">
        <f>HYPERLINK("https://github.com/apache/cordova-android", "show")</f>
        <v>show</v>
      </c>
      <c r="H8813" t="str">
        <f>HYPERLINK("https://github.com/apache/cordova-android/releases", "show")</f>
        <v>show</v>
      </c>
      <c r="I8813">
        <v>0</v>
      </c>
      <c r="J8813">
        <v>0</v>
      </c>
      <c r="K8813">
        <v>0</v>
      </c>
      <c r="L8813">
        <v>0</v>
      </c>
      <c r="M8813" t="s">
        <v>43</v>
      </c>
    </row>
    <row r="8814" spans="1:13" x14ac:dyDescent="0.15">
      <c r="A8814" t="s">
        <v>27690</v>
      </c>
      <c r="B8814" t="s">
        <v>27691</v>
      </c>
      <c r="C8814" t="s">
        <v>27692</v>
      </c>
      <c r="D8814" t="s">
        <v>27689</v>
      </c>
      <c r="E8814">
        <v>18</v>
      </c>
      <c r="F8814" t="str">
        <f>HYPERLINK("https://github.com/splushii/dancingBunnies/issues/23", "show")</f>
        <v>show</v>
      </c>
      <c r="G8814" t="str">
        <f>HYPERLINK("https://github.com/splushii/dancingBunnies", "show")</f>
        <v>show</v>
      </c>
      <c r="H8814" t="str">
        <f>HYPERLINK("https://github.com/splushii/dancingBunnies/releases", "show")</f>
        <v>show</v>
      </c>
      <c r="I8814">
        <v>0</v>
      </c>
      <c r="J8814">
        <v>1</v>
      </c>
      <c r="K8814">
        <v>0</v>
      </c>
      <c r="L8814">
        <v>0</v>
      </c>
      <c r="M8814" t="s">
        <v>139</v>
      </c>
    </row>
    <row r="8815" spans="1:13" hidden="1" x14ac:dyDescent="0.15">
      <c r="A8815" t="s">
        <v>27693</v>
      </c>
      <c r="B8815" t="s">
        <v>27694</v>
      </c>
      <c r="C8815" t="s">
        <v>27695</v>
      </c>
      <c r="D8815" t="s">
        <v>27689</v>
      </c>
      <c r="E8815">
        <v>1</v>
      </c>
      <c r="F8815" t="str">
        <f>HYPERLINK("https://github.com/dimagi/commcare-android/issues/2051", "show")</f>
        <v>show</v>
      </c>
      <c r="G8815" t="str">
        <f>HYPERLINK("https://github.com/dimagi/commcare-android", "show")</f>
        <v>show</v>
      </c>
      <c r="H8815" t="str">
        <f>HYPERLINK("https://github.com/dimagi/commcare-android/releases", "show")</f>
        <v>show</v>
      </c>
      <c r="I8815">
        <v>0</v>
      </c>
      <c r="J8815">
        <v>0</v>
      </c>
      <c r="K8815">
        <v>0</v>
      </c>
      <c r="L8815">
        <v>0</v>
      </c>
      <c r="M8815" t="s">
        <v>43</v>
      </c>
    </row>
    <row r="8816" spans="1:13" hidden="1" x14ac:dyDescent="0.15">
      <c r="A8816" t="s">
        <v>27696</v>
      </c>
      <c r="B8816" t="s">
        <v>27697</v>
      </c>
      <c r="C8816" t="s">
        <v>27698</v>
      </c>
      <c r="D8816" t="s">
        <v>27689</v>
      </c>
      <c r="E8816">
        <v>217</v>
      </c>
      <c r="F8816" t="str">
        <f>HYPERLINK("https://github.com/Intelehealth/Android-Mobile-Client/issues/591", "show")</f>
        <v>show</v>
      </c>
      <c r="G8816" t="str">
        <f>HYPERLINK("https://github.com/Intelehealth/Android-Mobile-Client", "show")</f>
        <v>show</v>
      </c>
      <c r="H8816" t="str">
        <f>HYPERLINK("https://github.com/Intelehealth/Android-Mobile-Client/releases", "show")</f>
        <v>show</v>
      </c>
      <c r="I8816">
        <v>1</v>
      </c>
      <c r="J8816">
        <v>0</v>
      </c>
      <c r="K8816">
        <v>0</v>
      </c>
      <c r="L8816">
        <v>0</v>
      </c>
      <c r="M8816" t="s">
        <v>17</v>
      </c>
    </row>
    <row r="8817" spans="1:13" hidden="1" x14ac:dyDescent="0.15">
      <c r="A8817" t="s">
        <v>27699</v>
      </c>
      <c r="B8817" t="s">
        <v>27700</v>
      </c>
      <c r="C8817" t="s">
        <v>27701</v>
      </c>
      <c r="D8817" t="s">
        <v>27689</v>
      </c>
      <c r="E8817">
        <v>291</v>
      </c>
      <c r="F8817" t="str">
        <f>HYPERLINK("https://github.com/opentok/opentok-react-native/issues/198", "show")</f>
        <v>show</v>
      </c>
      <c r="G8817" t="str">
        <f>HYPERLINK("https://github.com/opentok/opentok-react-native", "show")</f>
        <v>show</v>
      </c>
      <c r="H8817" t="str">
        <f>HYPERLINK("https://github.com/opentok/opentok-react-native/releases", "show")</f>
        <v>show</v>
      </c>
      <c r="I8817">
        <v>1</v>
      </c>
      <c r="J8817">
        <v>1</v>
      </c>
      <c r="K8817">
        <v>0</v>
      </c>
      <c r="L8817">
        <v>0</v>
      </c>
      <c r="M8817" t="s">
        <v>48</v>
      </c>
    </row>
    <row r="8818" spans="1:13" hidden="1" x14ac:dyDescent="0.15">
      <c r="A8818" t="s">
        <v>27702</v>
      </c>
      <c r="B8818" t="s">
        <v>27703</v>
      </c>
      <c r="C8818" t="s">
        <v>27704</v>
      </c>
      <c r="D8818" t="s">
        <v>27689</v>
      </c>
      <c r="E8818">
        <v>1</v>
      </c>
      <c r="F8818" t="str">
        <f>HYPERLINK("https://github.com/awslabs/aws-mobile-appsync-sdk-android/issues/60", "show")</f>
        <v>show</v>
      </c>
      <c r="G8818" t="str">
        <f>HYPERLINK("https://github.com/awslabs/aws-mobile-appsync-sdk-android", "show")</f>
        <v>show</v>
      </c>
      <c r="H8818" t="str">
        <f>HYPERLINK("https://github.com/awslabs/aws-mobile-appsync-sdk-android/releases", "show")</f>
        <v>show</v>
      </c>
      <c r="I8818">
        <v>1</v>
      </c>
      <c r="J8818">
        <v>0</v>
      </c>
      <c r="K8818">
        <v>0</v>
      </c>
      <c r="L8818">
        <v>1</v>
      </c>
      <c r="M8818" t="s">
        <v>29</v>
      </c>
    </row>
    <row r="8819" spans="1:13" hidden="1" x14ac:dyDescent="0.15">
      <c r="A8819" t="s">
        <v>27705</v>
      </c>
      <c r="B8819" t="s">
        <v>27706</v>
      </c>
      <c r="C8819" t="s">
        <v>27707</v>
      </c>
      <c r="D8819" t="s">
        <v>27708</v>
      </c>
      <c r="E8819">
        <v>2</v>
      </c>
      <c r="F8819" t="str">
        <f>HYPERLINK("https://github.com/alexweininger/android-catan/issues/181", "show")</f>
        <v>show</v>
      </c>
      <c r="G8819" t="str">
        <f>HYPERLINK("https://github.com/alexweininger/android-catan", "show")</f>
        <v>show</v>
      </c>
      <c r="H8819" t="str">
        <f>HYPERLINK("https://github.com/alexweininger/android-catan/releases", "show")</f>
        <v>show</v>
      </c>
      <c r="I8819">
        <v>1</v>
      </c>
      <c r="J8819">
        <v>0</v>
      </c>
      <c r="K8819">
        <v>0</v>
      </c>
      <c r="L8819">
        <v>0</v>
      </c>
      <c r="M8819" t="s">
        <v>17</v>
      </c>
    </row>
    <row r="8820" spans="1:13" hidden="1" x14ac:dyDescent="0.15">
      <c r="A8820" t="s">
        <v>27709</v>
      </c>
      <c r="B8820" t="s">
        <v>27710</v>
      </c>
      <c r="C8820" t="s">
        <v>27711</v>
      </c>
      <c r="D8820" t="s">
        <v>27708</v>
      </c>
      <c r="E8820">
        <v>218</v>
      </c>
      <c r="F8820" t="str">
        <f>HYPERLINK("https://github.com/Intelehealth/Android-Mobile-Client/issues/589", "show")</f>
        <v>show</v>
      </c>
      <c r="G8820" t="str">
        <f>HYPERLINK("https://github.com/Intelehealth/Android-Mobile-Client", "show")</f>
        <v>show</v>
      </c>
      <c r="H8820" t="str">
        <f>HYPERLINK("https://github.com/Intelehealth/Android-Mobile-Client/releases", "show")</f>
        <v>show</v>
      </c>
      <c r="I8820">
        <v>1</v>
      </c>
      <c r="J8820">
        <v>0</v>
      </c>
      <c r="K8820">
        <v>0</v>
      </c>
      <c r="L8820">
        <v>0</v>
      </c>
      <c r="M8820" t="s">
        <v>17</v>
      </c>
    </row>
    <row r="8821" spans="1:13" hidden="1" x14ac:dyDescent="0.15">
      <c r="A8821" t="s">
        <v>27712</v>
      </c>
      <c r="B8821" t="s">
        <v>27713</v>
      </c>
      <c r="C8821" t="s">
        <v>27714</v>
      </c>
      <c r="D8821" t="s">
        <v>27708</v>
      </c>
      <c r="E8821">
        <v>149</v>
      </c>
      <c r="F8821" t="str">
        <f>HYPERLINK("https://github.com/Intelehealth/Android-Mobile-Client/issues/588", "show")</f>
        <v>show</v>
      </c>
      <c r="G8821" t="str">
        <f>HYPERLINK("https://github.com/Intelehealth/Android-Mobile-Client", "show")</f>
        <v>show</v>
      </c>
      <c r="H8821" t="str">
        <f>HYPERLINK("https://github.com/Intelehealth/Android-Mobile-Client/releases", "show")</f>
        <v>show</v>
      </c>
      <c r="I8821">
        <v>1</v>
      </c>
      <c r="J8821">
        <v>0</v>
      </c>
      <c r="K8821">
        <v>0</v>
      </c>
      <c r="L8821">
        <v>0</v>
      </c>
      <c r="M8821" t="s">
        <v>17</v>
      </c>
    </row>
    <row r="8822" spans="1:13" hidden="1" x14ac:dyDescent="0.15">
      <c r="A8822" t="s">
        <v>27715</v>
      </c>
      <c r="B8822" t="s">
        <v>27716</v>
      </c>
      <c r="C8822" t="s">
        <v>27717</v>
      </c>
      <c r="D8822" t="s">
        <v>27708</v>
      </c>
      <c r="E8822">
        <v>218</v>
      </c>
      <c r="F8822" t="str">
        <f>HYPERLINK("https://github.com/Intelehealth/Android-Mobile-Client/issues/587", "show")</f>
        <v>show</v>
      </c>
      <c r="G8822" t="str">
        <f>HYPERLINK("https://github.com/Intelehealth/Android-Mobile-Client", "show")</f>
        <v>show</v>
      </c>
      <c r="H8822" t="str">
        <f>HYPERLINK("https://github.com/Intelehealth/Android-Mobile-Client/releases", "show")</f>
        <v>show</v>
      </c>
      <c r="I8822">
        <v>1</v>
      </c>
      <c r="J8822">
        <v>0</v>
      </c>
      <c r="K8822">
        <v>0</v>
      </c>
      <c r="L8822">
        <v>0</v>
      </c>
      <c r="M8822" t="s">
        <v>17</v>
      </c>
    </row>
    <row r="8823" spans="1:13" hidden="1" x14ac:dyDescent="0.15">
      <c r="A8823" t="s">
        <v>27718</v>
      </c>
      <c r="B8823" t="s">
        <v>27719</v>
      </c>
      <c r="C8823" t="s">
        <v>27720</v>
      </c>
      <c r="D8823" t="s">
        <v>27708</v>
      </c>
      <c r="E8823">
        <v>2</v>
      </c>
      <c r="F8823" t="str">
        <f>HYPERLINK("https://github.com/agersant/polaris-android/issues/14", "show")</f>
        <v>show</v>
      </c>
      <c r="G8823" t="str">
        <f>HYPERLINK("https://github.com/agersant/polaris-android", "show")</f>
        <v>show</v>
      </c>
      <c r="H8823" t="str">
        <f>HYPERLINK("https://github.com/agersant/polaris-android/releases", "show")</f>
        <v>show</v>
      </c>
      <c r="I8823">
        <v>0</v>
      </c>
      <c r="J8823">
        <v>0</v>
      </c>
      <c r="K8823">
        <v>0</v>
      </c>
      <c r="L8823">
        <v>0</v>
      </c>
      <c r="M8823" t="s">
        <v>43</v>
      </c>
    </row>
    <row r="8824" spans="1:13" hidden="1" x14ac:dyDescent="0.15">
      <c r="A8824" t="s">
        <v>27721</v>
      </c>
      <c r="B8824" t="s">
        <v>27722</v>
      </c>
      <c r="C8824" t="s">
        <v>504</v>
      </c>
      <c r="D8824" t="s">
        <v>27708</v>
      </c>
      <c r="E8824">
        <v>35</v>
      </c>
      <c r="F8824" t="str">
        <f>HYPERLINK("https://github.com/niclabs/adkintunmobile-androidclient/issues/198", "show")</f>
        <v>show</v>
      </c>
      <c r="G8824" t="str">
        <f>HYPERLINK("https://github.com/niclabs/adkintunmobile-androidclient", "show")</f>
        <v>show</v>
      </c>
      <c r="H8824" t="str">
        <f>HYPERLINK("https://github.com/niclabs/adkintunmobile-androidclient/releases", "show")</f>
        <v>show</v>
      </c>
      <c r="I8824">
        <v>1</v>
      </c>
      <c r="J8824">
        <v>0</v>
      </c>
      <c r="K8824">
        <v>0</v>
      </c>
      <c r="L8824">
        <v>0</v>
      </c>
      <c r="M8824" t="s">
        <v>17</v>
      </c>
    </row>
    <row r="8825" spans="1:13" hidden="1" x14ac:dyDescent="0.15">
      <c r="A8825" t="s">
        <v>27723</v>
      </c>
      <c r="B8825" t="s">
        <v>27724</v>
      </c>
      <c r="C8825" t="s">
        <v>27725</v>
      </c>
      <c r="D8825" t="s">
        <v>27726</v>
      </c>
      <c r="E8825">
        <v>1</v>
      </c>
      <c r="F8825" t="str">
        <f>HYPERLINK("https://github.com/SwengGolfTeam/Sweng_Golf/issues/116", "show")</f>
        <v>show</v>
      </c>
      <c r="G8825" t="str">
        <f>HYPERLINK("https://github.com/SwengGolfTeam/Sweng_Golf", "show")</f>
        <v>show</v>
      </c>
      <c r="H8825" t="str">
        <f>HYPERLINK("https://github.com/SwengGolfTeam/Sweng_Golf/releases", "show")</f>
        <v>show</v>
      </c>
      <c r="I8825">
        <v>0</v>
      </c>
      <c r="J8825">
        <v>0</v>
      </c>
      <c r="K8825">
        <v>0</v>
      </c>
      <c r="L8825">
        <v>0</v>
      </c>
      <c r="M8825" t="s">
        <v>43</v>
      </c>
    </row>
    <row r="8826" spans="1:13" hidden="1" x14ac:dyDescent="0.15">
      <c r="A8826" t="s">
        <v>27727</v>
      </c>
      <c r="B8826" t="s">
        <v>27728</v>
      </c>
      <c r="C8826" t="s">
        <v>27729</v>
      </c>
      <c r="D8826" t="s">
        <v>27726</v>
      </c>
      <c r="E8826">
        <v>6</v>
      </c>
      <c r="F8826" t="str">
        <f>HYPERLINK("https://github.com/onaio/kujaku/issues/190", "show")</f>
        <v>show</v>
      </c>
      <c r="G8826" t="str">
        <f>HYPERLINK("https://github.com/onaio/kujaku", "show")</f>
        <v>show</v>
      </c>
      <c r="H8826" t="str">
        <f>HYPERLINK("https://github.com/onaio/kujaku/releases", "show")</f>
        <v>show</v>
      </c>
      <c r="I8826">
        <v>1</v>
      </c>
      <c r="J8826">
        <v>1</v>
      </c>
      <c r="K8826">
        <v>1</v>
      </c>
      <c r="L8826">
        <v>0</v>
      </c>
      <c r="M8826" t="s">
        <v>59</v>
      </c>
    </row>
    <row r="8827" spans="1:13" hidden="1" x14ac:dyDescent="0.15">
      <c r="A8827" t="s">
        <v>27730</v>
      </c>
      <c r="B8827" t="s">
        <v>27731</v>
      </c>
      <c r="C8827" t="s">
        <v>27732</v>
      </c>
      <c r="D8827" t="s">
        <v>27726</v>
      </c>
      <c r="E8827">
        <v>12</v>
      </c>
      <c r="F8827" t="str">
        <f>HYPERLINK("https://github.com/geopaparazzi/geopaparazzi/issues/572", "show")</f>
        <v>show</v>
      </c>
      <c r="G8827" t="str">
        <f>HYPERLINK("https://github.com/geopaparazzi/geopaparazzi", "show")</f>
        <v>show</v>
      </c>
      <c r="H8827" t="str">
        <f>HYPERLINK("https://github.com/geopaparazzi/geopaparazzi/releases", "show")</f>
        <v>show</v>
      </c>
      <c r="I8827">
        <v>0</v>
      </c>
      <c r="J8827">
        <v>0</v>
      </c>
      <c r="K8827">
        <v>1</v>
      </c>
      <c r="L8827">
        <v>0</v>
      </c>
      <c r="M8827" t="s">
        <v>122</v>
      </c>
    </row>
    <row r="8828" spans="1:13" hidden="1" x14ac:dyDescent="0.15">
      <c r="A8828" t="s">
        <v>27733</v>
      </c>
      <c r="B8828" t="s">
        <v>27734</v>
      </c>
      <c r="C8828" t="s">
        <v>27735</v>
      </c>
      <c r="D8828" t="s">
        <v>27726</v>
      </c>
      <c r="E8828">
        <v>12</v>
      </c>
      <c r="F8828" t="str">
        <f>HYPERLINK("https://github.com/geopaparazzi/geopaparazzi/issues/570", "show")</f>
        <v>show</v>
      </c>
      <c r="G8828" t="str">
        <f>HYPERLINK("https://github.com/geopaparazzi/geopaparazzi", "show")</f>
        <v>show</v>
      </c>
      <c r="H8828" t="str">
        <f>HYPERLINK("https://github.com/geopaparazzi/geopaparazzi/releases", "show")</f>
        <v>show</v>
      </c>
      <c r="I8828">
        <v>0</v>
      </c>
      <c r="J8828">
        <v>0</v>
      </c>
      <c r="K8828">
        <v>1</v>
      </c>
      <c r="L8828">
        <v>0</v>
      </c>
      <c r="M8828" t="s">
        <v>122</v>
      </c>
    </row>
    <row r="8829" spans="1:13" hidden="1" x14ac:dyDescent="0.15">
      <c r="A8829" t="s">
        <v>27736</v>
      </c>
      <c r="B8829" t="s">
        <v>27737</v>
      </c>
      <c r="C8829" t="s">
        <v>27738</v>
      </c>
      <c r="D8829" t="s">
        <v>27739</v>
      </c>
      <c r="E8829">
        <v>2</v>
      </c>
      <c r="F8829" t="str">
        <f>HYPERLINK("https://github.com/tanguyantoine/react-native-music-control/issues/193", "show")</f>
        <v>show</v>
      </c>
      <c r="G8829" t="str">
        <f>HYPERLINK("https://github.com/tanguyantoine/react-native-music-control", "show")</f>
        <v>show</v>
      </c>
      <c r="H8829" t="str">
        <f>HYPERLINK("https://github.com/tanguyantoine/react-native-music-control/releases", "show")</f>
        <v>show</v>
      </c>
      <c r="I8829">
        <v>0</v>
      </c>
      <c r="J8829">
        <v>0</v>
      </c>
      <c r="K8829">
        <v>0</v>
      </c>
      <c r="L8829">
        <v>0</v>
      </c>
      <c r="M8829" t="s">
        <v>43</v>
      </c>
    </row>
    <row r="8830" spans="1:13" hidden="1" x14ac:dyDescent="0.15">
      <c r="A8830" t="s">
        <v>27740</v>
      </c>
      <c r="B8830" t="s">
        <v>27741</v>
      </c>
      <c r="C8830" t="s">
        <v>27742</v>
      </c>
      <c r="D8830" t="s">
        <v>27739</v>
      </c>
      <c r="E8830">
        <v>74</v>
      </c>
      <c r="F8830" t="str">
        <f>HYPERLINK("https://github.com/react-native-svg/react-native-svg/issues/840", "show")</f>
        <v>show</v>
      </c>
      <c r="G8830" t="str">
        <f>HYPERLINK("https://github.com/react-native-svg/react-native-svg", "show")</f>
        <v>show</v>
      </c>
      <c r="H8830" t="str">
        <f>HYPERLINK("https://github.com/react-native-svg/react-native-svg/releases", "show")</f>
        <v>show</v>
      </c>
      <c r="I8830">
        <v>1</v>
      </c>
      <c r="J8830">
        <v>0</v>
      </c>
      <c r="K8830">
        <v>0</v>
      </c>
      <c r="L8830">
        <v>0</v>
      </c>
      <c r="M8830" t="s">
        <v>17</v>
      </c>
    </row>
    <row r="8831" spans="1:13" hidden="1" x14ac:dyDescent="0.15">
      <c r="A8831" t="s">
        <v>27743</v>
      </c>
      <c r="B8831" t="s">
        <v>27744</v>
      </c>
      <c r="C8831" t="s">
        <v>27745</v>
      </c>
      <c r="D8831" t="s">
        <v>27746</v>
      </c>
      <c r="E8831">
        <v>89</v>
      </c>
      <c r="F8831" t="str">
        <f>HYPERLINK("https://github.com/nextcloud/android/issues/3257", "show")</f>
        <v>show</v>
      </c>
      <c r="G8831" t="str">
        <f>HYPERLINK("https://github.com/nextcloud/android", "show")</f>
        <v>show</v>
      </c>
      <c r="H8831" t="str">
        <f>HYPERLINK("https://github.com/nextcloud/android/releases", "show")</f>
        <v>show</v>
      </c>
      <c r="I8831">
        <v>1</v>
      </c>
      <c r="J8831">
        <v>0</v>
      </c>
      <c r="K8831">
        <v>0</v>
      </c>
      <c r="L8831">
        <v>0</v>
      </c>
      <c r="M8831" t="s">
        <v>17</v>
      </c>
    </row>
    <row r="8832" spans="1:13" hidden="1" x14ac:dyDescent="0.15">
      <c r="A8832" t="s">
        <v>27747</v>
      </c>
      <c r="B8832" t="s">
        <v>27748</v>
      </c>
      <c r="C8832" t="s">
        <v>27749</v>
      </c>
      <c r="D8832" t="s">
        <v>27746</v>
      </c>
      <c r="E8832">
        <v>192</v>
      </c>
      <c r="F8832" t="str">
        <f>HYPERLINK("https://github.com/EXALAB/AnLinux-App/issues/21", "show")</f>
        <v>show</v>
      </c>
      <c r="G8832" t="str">
        <f>HYPERLINK("https://github.com/EXALAB/AnLinux-App", "show")</f>
        <v>show</v>
      </c>
      <c r="H8832" t="str">
        <f>HYPERLINK("https://github.com/EXALAB/AnLinux-App/releases", "show")</f>
        <v>show</v>
      </c>
      <c r="I8832">
        <v>1</v>
      </c>
      <c r="J8832">
        <v>0</v>
      </c>
      <c r="K8832">
        <v>0</v>
      </c>
      <c r="L8832">
        <v>0</v>
      </c>
      <c r="M8832" t="s">
        <v>17</v>
      </c>
    </row>
    <row r="8833" spans="1:13" hidden="1" x14ac:dyDescent="0.15">
      <c r="A8833" t="s">
        <v>27750</v>
      </c>
      <c r="B8833" t="s">
        <v>27751</v>
      </c>
      <c r="C8833" t="s">
        <v>27752</v>
      </c>
      <c r="D8833" t="s">
        <v>27746</v>
      </c>
      <c r="E8833">
        <v>331</v>
      </c>
      <c r="F8833" t="str">
        <f>HYPERLINK("https://github.com/nextcloud/android/issues/3255", "show")</f>
        <v>show</v>
      </c>
      <c r="G8833" t="str">
        <f>HYPERLINK("https://github.com/nextcloud/android", "show")</f>
        <v>show</v>
      </c>
      <c r="H8833" t="str">
        <f>HYPERLINK("https://github.com/nextcloud/android/releases", "show")</f>
        <v>show</v>
      </c>
      <c r="I8833">
        <v>1</v>
      </c>
      <c r="J8833">
        <v>1</v>
      </c>
      <c r="K8833">
        <v>1</v>
      </c>
      <c r="L8833">
        <v>0</v>
      </c>
      <c r="M8833" t="s">
        <v>59</v>
      </c>
    </row>
    <row r="8834" spans="1:13" hidden="1" x14ac:dyDescent="0.15">
      <c r="A8834" t="s">
        <v>27753</v>
      </c>
      <c r="B8834" t="s">
        <v>27754</v>
      </c>
      <c r="C8834" t="s">
        <v>27755</v>
      </c>
      <c r="D8834" t="s">
        <v>27756</v>
      </c>
      <c r="E8834">
        <v>273</v>
      </c>
      <c r="F8834" t="str">
        <f>HYPERLINK("https://github.com/lottie-react-native/lottie-react-native/issues/406", "show")</f>
        <v>show</v>
      </c>
      <c r="G8834" t="str">
        <f>HYPERLINK("https://github.com/lottie-react-native/lottie-react-native", "show")</f>
        <v>show</v>
      </c>
      <c r="H8834" t="str">
        <f>HYPERLINK("https://github.com/lottie-react-native/lottie-react-native/releases", "show")</f>
        <v>show</v>
      </c>
      <c r="I8834">
        <v>1</v>
      </c>
      <c r="J8834">
        <v>0</v>
      </c>
      <c r="K8834">
        <v>0</v>
      </c>
      <c r="L8834">
        <v>0</v>
      </c>
      <c r="M8834" t="s">
        <v>17</v>
      </c>
    </row>
    <row r="8835" spans="1:13" hidden="1" x14ac:dyDescent="0.15">
      <c r="A8835" t="s">
        <v>27757</v>
      </c>
      <c r="B8835" t="s">
        <v>27758</v>
      </c>
      <c r="C8835" t="s">
        <v>27759</v>
      </c>
      <c r="D8835" t="s">
        <v>27756</v>
      </c>
      <c r="E8835">
        <v>92</v>
      </c>
      <c r="F8835" t="str">
        <f>HYPERLINK("https://github.com/Telegram-FOSS-Team/Telegram-FOSS/issues/275", "show")</f>
        <v>show</v>
      </c>
      <c r="G8835" t="str">
        <f>HYPERLINK("https://github.com/Telegram-FOSS-Team/Telegram-FOSS", "show")</f>
        <v>show</v>
      </c>
      <c r="H8835" t="str">
        <f>HYPERLINK("https://github.com/Telegram-FOSS-Team/Telegram-FOSS/releases", "show")</f>
        <v>show</v>
      </c>
      <c r="I8835">
        <v>1</v>
      </c>
      <c r="J8835">
        <v>1</v>
      </c>
      <c r="K8835">
        <v>1</v>
      </c>
      <c r="L8835">
        <v>0</v>
      </c>
      <c r="M8835" t="s">
        <v>59</v>
      </c>
    </row>
    <row r="8836" spans="1:13" hidden="1" x14ac:dyDescent="0.15">
      <c r="A8836" t="s">
        <v>27760</v>
      </c>
      <c r="B8836" t="s">
        <v>27761</v>
      </c>
      <c r="C8836" t="s">
        <v>27762</v>
      </c>
      <c r="D8836" t="s">
        <v>27756</v>
      </c>
      <c r="E8836">
        <v>210</v>
      </c>
      <c r="F8836" t="str">
        <f>HYPERLINK("https://github.com/react-native-camera/react-native-camera/issues/1914", "show")</f>
        <v>show</v>
      </c>
      <c r="G8836" t="str">
        <f>HYPERLINK("https://github.com/react-native-camera/react-native-camera", "show")</f>
        <v>show</v>
      </c>
      <c r="H8836" t="str">
        <f>HYPERLINK("https://github.com/react-native-camera/react-native-camera/releases", "show")</f>
        <v>show</v>
      </c>
      <c r="I8836">
        <v>1</v>
      </c>
      <c r="J8836">
        <v>1</v>
      </c>
      <c r="K8836">
        <v>0</v>
      </c>
      <c r="L8836">
        <v>0</v>
      </c>
      <c r="M8836" t="s">
        <v>48</v>
      </c>
    </row>
    <row r="8837" spans="1:13" hidden="1" x14ac:dyDescent="0.15">
      <c r="A8837" t="s">
        <v>27763</v>
      </c>
      <c r="B8837" t="s">
        <v>27764</v>
      </c>
      <c r="C8837" t="s">
        <v>27765</v>
      </c>
      <c r="D8837" t="s">
        <v>27756</v>
      </c>
      <c r="E8837">
        <v>20</v>
      </c>
      <c r="F8837" t="str">
        <f>HYPERLINK("https://github.com/mauron85/react-native-background-geolocation/issues/319", "show")</f>
        <v>show</v>
      </c>
      <c r="G8837" t="str">
        <f>HYPERLINK("https://github.com/mauron85/react-native-background-geolocation", "show")</f>
        <v>show</v>
      </c>
      <c r="H8837" t="str">
        <f>HYPERLINK("https://github.com/mauron85/react-native-background-geolocation/releases", "show")</f>
        <v>show</v>
      </c>
      <c r="I8837">
        <v>1</v>
      </c>
      <c r="J8837">
        <v>1</v>
      </c>
      <c r="K8837">
        <v>1</v>
      </c>
      <c r="L8837">
        <v>0</v>
      </c>
      <c r="M8837" t="s">
        <v>59</v>
      </c>
    </row>
    <row r="8838" spans="1:13" hidden="1" x14ac:dyDescent="0.15">
      <c r="A8838" t="s">
        <v>27766</v>
      </c>
      <c r="B8838" t="s">
        <v>27767</v>
      </c>
      <c r="C8838" t="s">
        <v>27768</v>
      </c>
      <c r="D8838" t="s">
        <v>27769</v>
      </c>
      <c r="E8838">
        <v>1</v>
      </c>
      <c r="F8838" t="str">
        <f>HYPERLINK("https://github.com/alexweininger/android-catan/issues/89", "show")</f>
        <v>show</v>
      </c>
      <c r="G8838" t="str">
        <f>HYPERLINK("https://github.com/alexweininger/android-catan", "show")</f>
        <v>show</v>
      </c>
      <c r="H8838" t="str">
        <f>HYPERLINK("https://github.com/alexweininger/android-catan/releases", "show")</f>
        <v>show</v>
      </c>
      <c r="I8838">
        <v>1</v>
      </c>
      <c r="J8838">
        <v>0</v>
      </c>
      <c r="K8838">
        <v>0</v>
      </c>
      <c r="L8838">
        <v>0</v>
      </c>
      <c r="M8838" t="s">
        <v>17</v>
      </c>
    </row>
    <row r="8839" spans="1:13" hidden="1" x14ac:dyDescent="0.15">
      <c r="A8839" t="s">
        <v>27770</v>
      </c>
      <c r="B8839" t="s">
        <v>27771</v>
      </c>
      <c r="C8839" t="s">
        <v>27772</v>
      </c>
      <c r="D8839" t="s">
        <v>27773</v>
      </c>
      <c r="E8839">
        <v>1</v>
      </c>
      <c r="F8839" t="str">
        <f>HYPERLINK("https://github.com/plusCubed/matlog/issues/47", "show")</f>
        <v>show</v>
      </c>
      <c r="G8839" t="str">
        <f>HYPERLINK("https://github.com/plusCubed/matlog", "show")</f>
        <v>show</v>
      </c>
      <c r="H8839" t="str">
        <f>HYPERLINK("https://github.com/plusCubed/matlog/releases", "show")</f>
        <v>show</v>
      </c>
      <c r="I8839">
        <v>1</v>
      </c>
      <c r="J8839">
        <v>0</v>
      </c>
      <c r="K8839">
        <v>1</v>
      </c>
      <c r="L8839">
        <v>0</v>
      </c>
      <c r="M8839" t="s">
        <v>64</v>
      </c>
    </row>
    <row r="8840" spans="1:13" hidden="1" x14ac:dyDescent="0.15">
      <c r="A8840" t="s">
        <v>27774</v>
      </c>
      <c r="B8840" t="s">
        <v>27775</v>
      </c>
      <c r="C8840" t="s">
        <v>27776</v>
      </c>
      <c r="D8840" t="s">
        <v>27773</v>
      </c>
      <c r="E8840">
        <v>198</v>
      </c>
      <c r="F8840" t="str">
        <f>HYPERLINK("https://github.com/nextcloud/android/issues/3242", "show")</f>
        <v>show</v>
      </c>
      <c r="G8840" t="str">
        <f>HYPERLINK("https://github.com/nextcloud/android", "show")</f>
        <v>show</v>
      </c>
      <c r="H8840" t="str">
        <f>HYPERLINK("https://github.com/nextcloud/android/releases", "show")</f>
        <v>show</v>
      </c>
      <c r="I8840">
        <v>1</v>
      </c>
      <c r="J8840">
        <v>0</v>
      </c>
      <c r="K8840">
        <v>0</v>
      </c>
      <c r="L8840">
        <v>0</v>
      </c>
      <c r="M8840" t="s">
        <v>17</v>
      </c>
    </row>
    <row r="8841" spans="1:13" hidden="1" x14ac:dyDescent="0.15">
      <c r="A8841" t="s">
        <v>27777</v>
      </c>
      <c r="B8841" t="s">
        <v>27778</v>
      </c>
      <c r="C8841" t="s">
        <v>27779</v>
      </c>
      <c r="D8841" t="s">
        <v>27780</v>
      </c>
      <c r="E8841">
        <v>63</v>
      </c>
      <c r="F8841" t="str">
        <f>HYPERLINK("https://github.com/mapbox/mapbox-plugins-android/issues/758", "show")</f>
        <v>show</v>
      </c>
      <c r="G8841" t="str">
        <f>HYPERLINK("https://github.com/mapbox/mapbox-plugins-android", "show")</f>
        <v>show</v>
      </c>
      <c r="H8841" t="str">
        <f>HYPERLINK("https://github.com/mapbox/mapbox-plugins-android/releases", "show")</f>
        <v>show</v>
      </c>
      <c r="I8841">
        <v>1</v>
      </c>
      <c r="J8841">
        <v>0</v>
      </c>
      <c r="K8841">
        <v>1</v>
      </c>
      <c r="L8841">
        <v>0</v>
      </c>
      <c r="M8841" t="s">
        <v>64</v>
      </c>
    </row>
    <row r="8842" spans="1:13" hidden="1" x14ac:dyDescent="0.15">
      <c r="A8842" t="s">
        <v>27781</v>
      </c>
      <c r="B8842" t="s">
        <v>27782</v>
      </c>
      <c r="C8842" t="s">
        <v>27783</v>
      </c>
      <c r="D8842" t="s">
        <v>27784</v>
      </c>
      <c r="E8842">
        <v>98</v>
      </c>
      <c r="F8842" t="str">
        <f>HYPERLINK("https://github.com/mjaun/android-anuto/issues/147", "show")</f>
        <v>show</v>
      </c>
      <c r="G8842" t="str">
        <f>HYPERLINK("https://github.com/mjaun/android-anuto", "show")</f>
        <v>show</v>
      </c>
      <c r="H8842" t="str">
        <f>HYPERLINK("https://github.com/mjaun/android-anuto/releases", "show")</f>
        <v>show</v>
      </c>
      <c r="I8842">
        <v>1</v>
      </c>
      <c r="J8842">
        <v>0</v>
      </c>
      <c r="K8842">
        <v>1</v>
      </c>
      <c r="L8842">
        <v>0</v>
      </c>
      <c r="M8842" t="s">
        <v>64</v>
      </c>
    </row>
    <row r="8843" spans="1:13" hidden="1" x14ac:dyDescent="0.15">
      <c r="A8843" t="s">
        <v>27785</v>
      </c>
      <c r="B8843" t="s">
        <v>27786</v>
      </c>
      <c r="C8843" t="s">
        <v>27787</v>
      </c>
      <c r="D8843" t="s">
        <v>27788</v>
      </c>
      <c r="E8843">
        <v>13</v>
      </c>
      <c r="F8843" t="str">
        <f>HYPERLINK("https://github.com/kontalk/androidclient/issues/1231", "show")</f>
        <v>show</v>
      </c>
      <c r="G8843" t="str">
        <f>HYPERLINK("https://github.com/kontalk/androidclient", "show")</f>
        <v>show</v>
      </c>
      <c r="H8843" t="str">
        <f>HYPERLINK("https://github.com/kontalk/androidclient/releases", "show")</f>
        <v>show</v>
      </c>
      <c r="I8843">
        <v>0</v>
      </c>
      <c r="J8843">
        <v>0</v>
      </c>
      <c r="K8843">
        <v>0</v>
      </c>
      <c r="L8843">
        <v>0</v>
      </c>
      <c r="M8843" t="s">
        <v>43</v>
      </c>
    </row>
    <row r="8844" spans="1:13" hidden="1" x14ac:dyDescent="0.15">
      <c r="A8844" t="s">
        <v>27789</v>
      </c>
      <c r="B8844" t="s">
        <v>27790</v>
      </c>
      <c r="C8844" t="s">
        <v>27791</v>
      </c>
      <c r="D8844" t="s">
        <v>27792</v>
      </c>
      <c r="E8844">
        <v>2</v>
      </c>
      <c r="F8844" t="str">
        <f>HYPERLINK("https://github.com/NordicSemiconductor/Android-nRF-Blinky/issues/15", "show")</f>
        <v>show</v>
      </c>
      <c r="G8844" t="str">
        <f>HYPERLINK("https://github.com/NordicSemiconductor/Android-nRF-Blinky", "show")</f>
        <v>show</v>
      </c>
      <c r="H8844" t="str">
        <f>HYPERLINK("https://github.com/NordicSemiconductor/Android-nRF-Blinky/releases", "show")</f>
        <v>show</v>
      </c>
      <c r="I8844">
        <v>0</v>
      </c>
      <c r="J8844">
        <v>0</v>
      </c>
      <c r="K8844">
        <v>0</v>
      </c>
      <c r="L8844">
        <v>0</v>
      </c>
      <c r="M8844" t="s">
        <v>43</v>
      </c>
    </row>
    <row r="8845" spans="1:13" hidden="1" x14ac:dyDescent="0.15">
      <c r="A8845" t="s">
        <v>27793</v>
      </c>
      <c r="B8845" t="s">
        <v>27794</v>
      </c>
      <c r="C8845" t="s">
        <v>27795</v>
      </c>
      <c r="D8845" t="s">
        <v>27792</v>
      </c>
      <c r="E8845">
        <v>40</v>
      </c>
      <c r="F8845" t="str">
        <f>HYPERLINK("https://github.com/fossasia/pslab-android/issues/1431", "show")</f>
        <v>show</v>
      </c>
      <c r="G8845" t="str">
        <f>HYPERLINK("https://github.com/fossasia/pslab-android", "show")</f>
        <v>show</v>
      </c>
      <c r="H8845" t="str">
        <f>HYPERLINK("https://github.com/fossasia/pslab-android/releases", "show")</f>
        <v>show</v>
      </c>
      <c r="I8845">
        <v>1</v>
      </c>
      <c r="J8845">
        <v>1</v>
      </c>
      <c r="K8845">
        <v>0</v>
      </c>
      <c r="L8845">
        <v>1</v>
      </c>
      <c r="M8845" t="s">
        <v>1894</v>
      </c>
    </row>
    <row r="8846" spans="1:13" hidden="1" x14ac:dyDescent="0.15">
      <c r="A8846" t="s">
        <v>27796</v>
      </c>
      <c r="B8846" t="s">
        <v>27797</v>
      </c>
      <c r="C8846" t="s">
        <v>27798</v>
      </c>
      <c r="D8846" t="s">
        <v>27792</v>
      </c>
      <c r="E8846">
        <v>25</v>
      </c>
      <c r="F8846" t="str">
        <f>HYPERLINK("https://github.com/Awful/Awful.apk/issues/641", "show")</f>
        <v>show</v>
      </c>
      <c r="G8846" t="str">
        <f>HYPERLINK("https://github.com/Awful/Awful.apk", "show")</f>
        <v>show</v>
      </c>
      <c r="H8846" t="str">
        <f>HYPERLINK("https://github.com/Awful/Awful.apk/releases", "show")</f>
        <v>show</v>
      </c>
      <c r="I8846">
        <v>1</v>
      </c>
      <c r="J8846">
        <v>1</v>
      </c>
      <c r="K8846">
        <v>0</v>
      </c>
      <c r="L8846">
        <v>0</v>
      </c>
      <c r="M8846" t="s">
        <v>48</v>
      </c>
    </row>
    <row r="8847" spans="1:13" hidden="1" x14ac:dyDescent="0.15">
      <c r="A8847" t="s">
        <v>27799</v>
      </c>
      <c r="B8847" t="s">
        <v>27800</v>
      </c>
      <c r="C8847" t="s">
        <v>27801</v>
      </c>
      <c r="D8847" t="s">
        <v>27802</v>
      </c>
      <c r="E8847">
        <v>2</v>
      </c>
      <c r="F8847" t="str">
        <f>HYPERLINK("https://github.com/connectbot/connectbot/issues/654", "show")</f>
        <v>show</v>
      </c>
      <c r="G8847" t="str">
        <f>HYPERLINK("https://github.com/connectbot/connectbot", "show")</f>
        <v>show</v>
      </c>
      <c r="H8847" t="str">
        <f>HYPERLINK("https://github.com/connectbot/connectbot/releases", "show")</f>
        <v>show</v>
      </c>
      <c r="I8847">
        <v>1</v>
      </c>
      <c r="J8847">
        <v>0</v>
      </c>
      <c r="K8847">
        <v>0</v>
      </c>
      <c r="L8847">
        <v>0</v>
      </c>
      <c r="M8847" t="s">
        <v>17</v>
      </c>
    </row>
    <row r="8848" spans="1:13" hidden="1" x14ac:dyDescent="0.15">
      <c r="A8848" t="s">
        <v>27803</v>
      </c>
      <c r="B8848" t="s">
        <v>27804</v>
      </c>
      <c r="C8848" t="s">
        <v>27805</v>
      </c>
      <c r="D8848" t="s">
        <v>27802</v>
      </c>
      <c r="E8848">
        <v>3</v>
      </c>
      <c r="F8848" t="str">
        <f>HYPERLINK("https://github.com/nextcloud/android/issues/3220", "show")</f>
        <v>show</v>
      </c>
      <c r="G8848" t="str">
        <f>HYPERLINK("https://github.com/nextcloud/android", "show")</f>
        <v>show</v>
      </c>
      <c r="H8848" t="str">
        <f>HYPERLINK("https://github.com/nextcloud/android/releases", "show")</f>
        <v>show</v>
      </c>
      <c r="I8848">
        <v>1</v>
      </c>
      <c r="J8848">
        <v>0</v>
      </c>
      <c r="K8848">
        <v>0</v>
      </c>
      <c r="L8848">
        <v>0</v>
      </c>
      <c r="M8848" t="s">
        <v>17</v>
      </c>
    </row>
    <row r="8849" spans="1:13" hidden="1" x14ac:dyDescent="0.15">
      <c r="A8849" t="s">
        <v>27806</v>
      </c>
      <c r="B8849" t="s">
        <v>27807</v>
      </c>
      <c r="C8849" t="s">
        <v>27808</v>
      </c>
      <c r="D8849" t="s">
        <v>27802</v>
      </c>
      <c r="E8849">
        <v>5</v>
      </c>
      <c r="F8849" t="str">
        <f>HYPERLINK("https://github.com/react-native-camera/react-native-camera/issues/1900", "show")</f>
        <v>show</v>
      </c>
      <c r="G8849" t="str">
        <f>HYPERLINK("https://github.com/react-native-camera/react-native-camera", "show")</f>
        <v>show</v>
      </c>
      <c r="H8849" t="str">
        <f>HYPERLINK("https://github.com/react-native-camera/react-native-camera/releases", "show")</f>
        <v>show</v>
      </c>
      <c r="I8849">
        <v>1</v>
      </c>
      <c r="J8849">
        <v>0</v>
      </c>
      <c r="K8849">
        <v>0</v>
      </c>
      <c r="L8849">
        <v>0</v>
      </c>
      <c r="M8849" t="s">
        <v>17</v>
      </c>
    </row>
    <row r="8850" spans="1:13" hidden="1" x14ac:dyDescent="0.15">
      <c r="A8850" t="s">
        <v>27809</v>
      </c>
      <c r="B8850" t="s">
        <v>27810</v>
      </c>
      <c r="C8850" t="s">
        <v>27811</v>
      </c>
      <c r="D8850" t="s">
        <v>27802</v>
      </c>
      <c r="E8850">
        <v>0</v>
      </c>
      <c r="F8850" t="str">
        <f>HYPERLINK("https://github.com/ECSE321-Fall2018/t07/issues/41", "show")</f>
        <v>show</v>
      </c>
      <c r="G8850" t="str">
        <f>HYPERLINK("https://github.com/ECSE321-Fall2018/t07", "show")</f>
        <v>show</v>
      </c>
      <c r="H8850" t="str">
        <f>HYPERLINK("https://github.com/ECSE321-Fall2018/t07/releases", "show")</f>
        <v>show</v>
      </c>
      <c r="I8850">
        <v>1</v>
      </c>
      <c r="J8850">
        <v>0</v>
      </c>
      <c r="K8850">
        <v>0</v>
      </c>
      <c r="L8850">
        <v>0</v>
      </c>
      <c r="M8850" t="s">
        <v>17</v>
      </c>
    </row>
    <row r="8851" spans="1:13" hidden="1" x14ac:dyDescent="0.15">
      <c r="A8851" t="s">
        <v>27812</v>
      </c>
      <c r="B8851" t="s">
        <v>27813</v>
      </c>
      <c r="C8851" t="s">
        <v>27814</v>
      </c>
      <c r="D8851" t="s">
        <v>27802</v>
      </c>
      <c r="E8851">
        <v>13</v>
      </c>
      <c r="F8851" t="str">
        <f>HYPERLINK("https://github.com/bitstadium/HockeySDK-Android/issues/406", "show")</f>
        <v>show</v>
      </c>
      <c r="G8851" t="str">
        <f>HYPERLINK("https://github.com/bitstadium/HockeySDK-Android", "show")</f>
        <v>show</v>
      </c>
      <c r="H8851" t="str">
        <f>HYPERLINK("https://github.com/bitstadium/HockeySDK-Android/releases", "show")</f>
        <v>show</v>
      </c>
      <c r="I8851">
        <v>1</v>
      </c>
      <c r="J8851">
        <v>0</v>
      </c>
      <c r="K8851">
        <v>0</v>
      </c>
      <c r="L8851">
        <v>0</v>
      </c>
      <c r="M8851" t="s">
        <v>17</v>
      </c>
    </row>
    <row r="8852" spans="1:13" hidden="1" x14ac:dyDescent="0.15">
      <c r="A8852" t="s">
        <v>27815</v>
      </c>
      <c r="B8852" t="s">
        <v>27816</v>
      </c>
      <c r="C8852" t="s">
        <v>27817</v>
      </c>
      <c r="D8852" t="s">
        <v>27802</v>
      </c>
      <c r="E8852">
        <v>0</v>
      </c>
      <c r="F8852" t="str">
        <f>HYPERLINK("https://github.com/ECSE321-Fall2018/t07/issues/40", "show")</f>
        <v>show</v>
      </c>
      <c r="G8852" t="str">
        <f>HYPERLINK("https://github.com/ECSE321-Fall2018/t07", "show")</f>
        <v>show</v>
      </c>
      <c r="H8852" t="str">
        <f>HYPERLINK("https://github.com/ECSE321-Fall2018/t07/releases", "show")</f>
        <v>show</v>
      </c>
      <c r="I8852">
        <v>1</v>
      </c>
      <c r="J8852">
        <v>0</v>
      </c>
      <c r="K8852">
        <v>0</v>
      </c>
      <c r="L8852">
        <v>0</v>
      </c>
      <c r="M8852" t="s">
        <v>17</v>
      </c>
    </row>
    <row r="8853" spans="1:13" hidden="1" x14ac:dyDescent="0.15">
      <c r="A8853" t="s">
        <v>27818</v>
      </c>
      <c r="B8853" t="s">
        <v>27819</v>
      </c>
      <c r="C8853" t="s">
        <v>27820</v>
      </c>
      <c r="D8853" t="s">
        <v>27802</v>
      </c>
      <c r="E8853">
        <v>550</v>
      </c>
      <c r="F8853" t="str">
        <f>HYPERLINK("https://github.com/k9mail/k-9/issues/3691", "show")</f>
        <v>show</v>
      </c>
      <c r="G8853" t="str">
        <f>HYPERLINK("https://github.com/k9mail/k-9", "show")</f>
        <v>show</v>
      </c>
      <c r="H8853" t="str">
        <f>HYPERLINK("https://github.com/k9mail/k-9/releases", "show")</f>
        <v>show</v>
      </c>
      <c r="I8853">
        <v>1</v>
      </c>
      <c r="J8853">
        <v>1</v>
      </c>
      <c r="K8853">
        <v>0</v>
      </c>
      <c r="L8853">
        <v>0</v>
      </c>
      <c r="M8853" t="s">
        <v>48</v>
      </c>
    </row>
    <row r="8854" spans="1:13" hidden="1" x14ac:dyDescent="0.15">
      <c r="A8854" t="s">
        <v>27821</v>
      </c>
      <c r="B8854" t="s">
        <v>27822</v>
      </c>
      <c r="C8854" t="s">
        <v>27823</v>
      </c>
      <c r="D8854" t="s">
        <v>27824</v>
      </c>
      <c r="E8854">
        <v>556</v>
      </c>
      <c r="F8854" t="str">
        <f>HYPERLINK("https://github.com/TeamNewPipe/NewPipe/issues/1862", "show")</f>
        <v>show</v>
      </c>
      <c r="G8854" t="str">
        <f>HYPERLINK("https://github.com/TeamNewPipe/NewPipe", "show")</f>
        <v>show</v>
      </c>
      <c r="H8854" t="str">
        <f>HYPERLINK("https://github.com/TeamNewPipe/NewPipe/releases", "show")</f>
        <v>show</v>
      </c>
      <c r="I8854">
        <v>1</v>
      </c>
      <c r="J8854">
        <v>0</v>
      </c>
      <c r="K8854">
        <v>0</v>
      </c>
      <c r="L8854">
        <v>0</v>
      </c>
      <c r="M8854" t="s">
        <v>17</v>
      </c>
    </row>
    <row r="8855" spans="1:13" hidden="1" x14ac:dyDescent="0.15">
      <c r="A8855" t="s">
        <v>27825</v>
      </c>
      <c r="B8855" t="s">
        <v>27826</v>
      </c>
      <c r="C8855" t="s">
        <v>27827</v>
      </c>
      <c r="D8855" t="s">
        <v>27824</v>
      </c>
      <c r="E8855">
        <v>13</v>
      </c>
      <c r="F8855" t="str">
        <f>HYPERLINK("https://github.com/onaio/kujaku/issues/174", "show")</f>
        <v>show</v>
      </c>
      <c r="G8855" t="str">
        <f>HYPERLINK("https://github.com/onaio/kujaku", "show")</f>
        <v>show</v>
      </c>
      <c r="H8855" t="str">
        <f>HYPERLINK("https://github.com/onaio/kujaku/releases", "show")</f>
        <v>show</v>
      </c>
      <c r="I8855">
        <v>1</v>
      </c>
      <c r="J8855">
        <v>1</v>
      </c>
      <c r="K8855">
        <v>1</v>
      </c>
      <c r="L8855">
        <v>0</v>
      </c>
      <c r="M8855" t="s">
        <v>59</v>
      </c>
    </row>
    <row r="8856" spans="1:13" hidden="1" x14ac:dyDescent="0.15">
      <c r="A8856" t="s">
        <v>27828</v>
      </c>
      <c r="B8856" t="s">
        <v>27829</v>
      </c>
      <c r="C8856" t="s">
        <v>27830</v>
      </c>
      <c r="D8856" t="s">
        <v>27824</v>
      </c>
      <c r="E8856">
        <v>0</v>
      </c>
      <c r="F8856" t="str">
        <f>HYPERLINK("https://github.com/nextcloud/android/issues/3212", "show")</f>
        <v>show</v>
      </c>
      <c r="G8856" t="str">
        <f>HYPERLINK("https://github.com/nextcloud/android", "show")</f>
        <v>show</v>
      </c>
      <c r="H8856" t="str">
        <f>HYPERLINK("https://github.com/nextcloud/android/releases", "show")</f>
        <v>show</v>
      </c>
      <c r="I8856">
        <v>1</v>
      </c>
      <c r="J8856">
        <v>0</v>
      </c>
      <c r="K8856">
        <v>1</v>
      </c>
      <c r="L8856">
        <v>0</v>
      </c>
      <c r="M8856" t="s">
        <v>64</v>
      </c>
    </row>
    <row r="8857" spans="1:13" hidden="1" x14ac:dyDescent="0.15">
      <c r="A8857" t="s">
        <v>27831</v>
      </c>
      <c r="B8857" t="s">
        <v>27832</v>
      </c>
      <c r="C8857" t="s">
        <v>27833</v>
      </c>
      <c r="D8857" t="s">
        <v>27834</v>
      </c>
      <c r="E8857">
        <v>8</v>
      </c>
      <c r="F8857" t="str">
        <f>HYPERLINK("https://github.com/mapbox/mapbox-events-android/issues/267", "show")</f>
        <v>show</v>
      </c>
      <c r="G8857" t="str">
        <f>HYPERLINK("https://github.com/mapbox/mapbox-events-android", "show")</f>
        <v>show</v>
      </c>
      <c r="H8857" t="str">
        <f>HYPERLINK("https://github.com/mapbox/mapbox-events-android/releases", "show")</f>
        <v>show</v>
      </c>
      <c r="I8857">
        <v>0</v>
      </c>
      <c r="J8857">
        <v>0</v>
      </c>
      <c r="K8857">
        <v>0</v>
      </c>
      <c r="L8857">
        <v>0</v>
      </c>
      <c r="M8857" t="s">
        <v>43</v>
      </c>
    </row>
    <row r="8858" spans="1:13" hidden="1" x14ac:dyDescent="0.15">
      <c r="A8858" t="s">
        <v>27835</v>
      </c>
      <c r="B8858" t="s">
        <v>27836</v>
      </c>
      <c r="C8858" t="s">
        <v>27837</v>
      </c>
      <c r="D8858" t="s">
        <v>27834</v>
      </c>
      <c r="E8858">
        <v>3</v>
      </c>
      <c r="F8858" t="str">
        <f>HYPERLINK("https://github.com/commons-app/apps-android-commons/issues/1967", "show")</f>
        <v>show</v>
      </c>
      <c r="G8858" t="str">
        <f>HYPERLINK("https://github.com/commons-app/apps-android-commons", "show")</f>
        <v>show</v>
      </c>
      <c r="H8858" t="str">
        <f>HYPERLINK("https://github.com/commons-app/apps-android-commons/releases", "show")</f>
        <v>show</v>
      </c>
      <c r="I8858">
        <v>0</v>
      </c>
      <c r="J8858">
        <v>0</v>
      </c>
      <c r="K8858">
        <v>1</v>
      </c>
      <c r="L8858">
        <v>0</v>
      </c>
      <c r="M8858" t="s">
        <v>122</v>
      </c>
    </row>
    <row r="8859" spans="1:13" hidden="1" x14ac:dyDescent="0.15">
      <c r="A8859" t="s">
        <v>27838</v>
      </c>
      <c r="B8859" t="s">
        <v>27839</v>
      </c>
      <c r="C8859" t="s">
        <v>27840</v>
      </c>
      <c r="D8859" t="s">
        <v>27834</v>
      </c>
      <c r="E8859">
        <v>2</v>
      </c>
      <c r="F8859" t="str">
        <f>HYPERLINK("https://github.com/getodk/collect/issues/2709", "show")</f>
        <v>show</v>
      </c>
      <c r="G8859" t="str">
        <f>HYPERLINK("https://github.com/getodk/collect", "show")</f>
        <v>show</v>
      </c>
      <c r="H8859" t="str">
        <f>HYPERLINK("https://github.com/getodk/collect/releases", "show")</f>
        <v>show</v>
      </c>
      <c r="I8859">
        <v>1</v>
      </c>
      <c r="J8859">
        <v>0</v>
      </c>
      <c r="K8859">
        <v>1</v>
      </c>
      <c r="L8859">
        <v>0</v>
      </c>
      <c r="M8859" t="s">
        <v>64</v>
      </c>
    </row>
    <row r="8860" spans="1:13" hidden="1" x14ac:dyDescent="0.15">
      <c r="A8860" t="s">
        <v>27841</v>
      </c>
      <c r="B8860" t="s">
        <v>27842</v>
      </c>
      <c r="C8860" t="s">
        <v>27843</v>
      </c>
      <c r="D8860" t="s">
        <v>27834</v>
      </c>
      <c r="E8860">
        <v>133</v>
      </c>
      <c r="F8860" t="str">
        <f>HYPERLINK("https://github.com/commons-app/apps-android-commons/issues/1966", "show")</f>
        <v>show</v>
      </c>
      <c r="G8860" t="str">
        <f>HYPERLINK("https://github.com/commons-app/apps-android-commons", "show")</f>
        <v>show</v>
      </c>
      <c r="H8860" t="str">
        <f>HYPERLINK("https://github.com/commons-app/apps-android-commons/releases", "show")</f>
        <v>show</v>
      </c>
      <c r="I8860">
        <v>1</v>
      </c>
      <c r="J8860">
        <v>0</v>
      </c>
      <c r="K8860">
        <v>0</v>
      </c>
      <c r="L8860">
        <v>1</v>
      </c>
      <c r="M8860" t="s">
        <v>29</v>
      </c>
    </row>
    <row r="8861" spans="1:13" hidden="1" x14ac:dyDescent="0.15">
      <c r="A8861" t="s">
        <v>27844</v>
      </c>
      <c r="B8861" t="s">
        <v>27845</v>
      </c>
      <c r="C8861" t="s">
        <v>27846</v>
      </c>
      <c r="D8861" t="s">
        <v>27834</v>
      </c>
      <c r="E8861">
        <v>706</v>
      </c>
      <c r="F8861" t="str">
        <f>HYPERLINK("https://github.com/k9mail/k-9/issues/3689", "show")</f>
        <v>show</v>
      </c>
      <c r="G8861" t="str">
        <f>HYPERLINK("https://github.com/k9mail/k-9", "show")</f>
        <v>show</v>
      </c>
      <c r="H8861" t="str">
        <f>HYPERLINK("https://github.com/k9mail/k-9/releases", "show")</f>
        <v>show</v>
      </c>
      <c r="I8861">
        <v>0</v>
      </c>
      <c r="J8861">
        <v>1</v>
      </c>
      <c r="K8861">
        <v>0</v>
      </c>
      <c r="L8861">
        <v>1</v>
      </c>
      <c r="M8861" t="s">
        <v>1732</v>
      </c>
    </row>
    <row r="8862" spans="1:13" hidden="1" x14ac:dyDescent="0.15">
      <c r="A8862" t="s">
        <v>27847</v>
      </c>
      <c r="B8862" t="s">
        <v>27848</v>
      </c>
      <c r="C8862" t="s">
        <v>27849</v>
      </c>
      <c r="D8862" t="s">
        <v>27834</v>
      </c>
      <c r="E8862">
        <v>0</v>
      </c>
      <c r="F8862" t="str">
        <f>HYPERLINK("https://github.com/SwengGolfTeam/Sweng_Golf/issues/94", "show")</f>
        <v>show</v>
      </c>
      <c r="G8862" t="str">
        <f>HYPERLINK("https://github.com/SwengGolfTeam/Sweng_Golf", "show")</f>
        <v>show</v>
      </c>
      <c r="H8862" t="str">
        <f>HYPERLINK("https://github.com/SwengGolfTeam/Sweng_Golf/releases", "show")</f>
        <v>show</v>
      </c>
      <c r="I8862">
        <v>1</v>
      </c>
      <c r="J8862">
        <v>0</v>
      </c>
      <c r="K8862">
        <v>0</v>
      </c>
      <c r="L8862">
        <v>0</v>
      </c>
      <c r="M8862" t="s">
        <v>17</v>
      </c>
    </row>
    <row r="8863" spans="1:13" hidden="1" x14ac:dyDescent="0.15">
      <c r="A8863" t="s">
        <v>27850</v>
      </c>
      <c r="B8863" t="s">
        <v>27851</v>
      </c>
      <c r="C8863" t="s">
        <v>27852</v>
      </c>
      <c r="D8863" t="s">
        <v>27853</v>
      </c>
      <c r="E8863">
        <v>1019</v>
      </c>
      <c r="F8863" t="str">
        <f>HYPERLINK("https://github.com/nikita36078/J2ME-Loader/issues/401", "show")</f>
        <v>show</v>
      </c>
      <c r="G8863" t="str">
        <f>HYPERLINK("https://github.com/nikita36078/J2ME-Loader", "show")</f>
        <v>show</v>
      </c>
      <c r="H8863" t="str">
        <f>HYPERLINK("https://github.com/nikita36078/J2ME-Loader/releases", "show")</f>
        <v>show</v>
      </c>
      <c r="I8863">
        <v>1</v>
      </c>
      <c r="J8863">
        <v>0</v>
      </c>
      <c r="K8863">
        <v>0</v>
      </c>
      <c r="L8863">
        <v>0</v>
      </c>
      <c r="M8863" t="s">
        <v>17</v>
      </c>
    </row>
    <row r="8864" spans="1:13" hidden="1" x14ac:dyDescent="0.15">
      <c r="A8864" t="s">
        <v>27854</v>
      </c>
      <c r="B8864" t="s">
        <v>27855</v>
      </c>
      <c r="C8864" t="s">
        <v>27856</v>
      </c>
      <c r="D8864" t="s">
        <v>27853</v>
      </c>
      <c r="E8864">
        <v>21</v>
      </c>
      <c r="F8864" t="str">
        <f>HYPERLINK("https://github.com/onaio/kujaku/issues/164", "show")</f>
        <v>show</v>
      </c>
      <c r="G8864" t="str">
        <f>HYPERLINK("https://github.com/onaio/kujaku", "show")</f>
        <v>show</v>
      </c>
      <c r="H8864" t="str">
        <f>HYPERLINK("https://github.com/onaio/kujaku/releases", "show")</f>
        <v>show</v>
      </c>
      <c r="I8864">
        <v>1</v>
      </c>
      <c r="J8864">
        <v>1</v>
      </c>
      <c r="K8864">
        <v>0</v>
      </c>
      <c r="L8864">
        <v>0</v>
      </c>
      <c r="M8864" t="s">
        <v>48</v>
      </c>
    </row>
    <row r="8865" spans="1:13" hidden="1" x14ac:dyDescent="0.15">
      <c r="A8865" t="s">
        <v>27857</v>
      </c>
      <c r="B8865" t="s">
        <v>27858</v>
      </c>
      <c r="C8865" t="s">
        <v>27859</v>
      </c>
      <c r="D8865" t="s">
        <v>27853</v>
      </c>
      <c r="E8865">
        <v>20</v>
      </c>
      <c r="F8865" t="str">
        <f>HYPERLINK("https://github.com/microsoft/appcenter-sdk-android/issues/855", "show")</f>
        <v>show</v>
      </c>
      <c r="G8865" t="str">
        <f>HYPERLINK("https://github.com/microsoft/appcenter-sdk-android", "show")</f>
        <v>show</v>
      </c>
      <c r="H8865" t="str">
        <f>HYPERLINK("https://github.com/microsoft/appcenter-sdk-android/releases", "show")</f>
        <v>show</v>
      </c>
      <c r="I8865">
        <v>1</v>
      </c>
      <c r="J8865">
        <v>1</v>
      </c>
      <c r="K8865">
        <v>1</v>
      </c>
      <c r="L8865">
        <v>0</v>
      </c>
      <c r="M8865" t="s">
        <v>59</v>
      </c>
    </row>
    <row r="8866" spans="1:13" hidden="1" x14ac:dyDescent="0.15">
      <c r="A8866" t="s">
        <v>27860</v>
      </c>
      <c r="B8866" t="s">
        <v>27861</v>
      </c>
      <c r="C8866" t="s">
        <v>27862</v>
      </c>
      <c r="D8866" t="s">
        <v>27853</v>
      </c>
      <c r="E8866">
        <v>9</v>
      </c>
      <c r="F8866" t="str">
        <f>HYPERLINK("https://github.com/NordicSemiconductor/Android-BLE-Library/issues/39", "show")</f>
        <v>show</v>
      </c>
      <c r="G8866" t="str">
        <f>HYPERLINK("https://github.com/NordicSemiconductor/Android-BLE-Library", "show")</f>
        <v>show</v>
      </c>
      <c r="H8866" t="str">
        <f>HYPERLINK("https://github.com/NordicSemiconductor/Android-BLE-Library/releases", "show")</f>
        <v>show</v>
      </c>
      <c r="I8866">
        <v>1</v>
      </c>
      <c r="J8866">
        <v>0</v>
      </c>
      <c r="K8866">
        <v>1</v>
      </c>
      <c r="L8866">
        <v>0</v>
      </c>
      <c r="M8866" t="s">
        <v>64</v>
      </c>
    </row>
    <row r="8867" spans="1:13" hidden="1" x14ac:dyDescent="0.15">
      <c r="A8867" t="s">
        <v>27863</v>
      </c>
      <c r="B8867" t="s">
        <v>27864</v>
      </c>
      <c r="C8867" t="s">
        <v>27865</v>
      </c>
      <c r="D8867" t="s">
        <v>27853</v>
      </c>
      <c r="E8867">
        <v>84</v>
      </c>
      <c r="F8867" t="str">
        <f>HYPERLINK("https://github.com/Haptic-Apps/Slide/issues/2881", "show")</f>
        <v>show</v>
      </c>
      <c r="G8867" t="str">
        <f>HYPERLINK("https://github.com/Haptic-Apps/Slide", "show")</f>
        <v>show</v>
      </c>
      <c r="H8867" t="str">
        <f>HYPERLINK("https://github.com/Haptic-Apps/Slide/releases", "show")</f>
        <v>show</v>
      </c>
      <c r="I8867">
        <v>1</v>
      </c>
      <c r="J8867">
        <v>0</v>
      </c>
      <c r="K8867">
        <v>1</v>
      </c>
      <c r="L8867">
        <v>0</v>
      </c>
      <c r="M8867" t="s">
        <v>64</v>
      </c>
    </row>
    <row r="8868" spans="1:13" hidden="1" x14ac:dyDescent="0.15">
      <c r="A8868" t="s">
        <v>27866</v>
      </c>
      <c r="B8868" t="s">
        <v>27867</v>
      </c>
      <c r="C8868" t="s">
        <v>27868</v>
      </c>
      <c r="D8868" t="s">
        <v>27853</v>
      </c>
      <c r="E8868">
        <v>34</v>
      </c>
      <c r="F8868" t="str">
        <f>HYPERLINK("https://github.com/erickok/transdroid/issues/469", "show")</f>
        <v>show</v>
      </c>
      <c r="G8868" t="str">
        <f>HYPERLINK("https://github.com/erickok/transdroid", "show")</f>
        <v>show</v>
      </c>
      <c r="H8868" t="str">
        <f>HYPERLINK("https://github.com/erickok/transdroid/releases", "show")</f>
        <v>show</v>
      </c>
      <c r="I8868">
        <v>0</v>
      </c>
      <c r="J8868">
        <v>0</v>
      </c>
      <c r="K8868">
        <v>1</v>
      </c>
      <c r="L8868">
        <v>0</v>
      </c>
      <c r="M8868" t="s">
        <v>122</v>
      </c>
    </row>
    <row r="8869" spans="1:13" x14ac:dyDescent="0.15">
      <c r="A8869" t="s">
        <v>27869</v>
      </c>
      <c r="B8869" t="s">
        <v>27870</v>
      </c>
      <c r="C8869" t="s">
        <v>27871</v>
      </c>
      <c r="D8869" t="s">
        <v>27853</v>
      </c>
      <c r="E8869">
        <v>15</v>
      </c>
      <c r="F8869" t="str">
        <f>HYPERLINK("https://github.com/GluuFederation/android-super-gluu/issues/35", "show")</f>
        <v>show</v>
      </c>
      <c r="G8869" t="str">
        <f>HYPERLINK("https://github.com/GluuFederation/android-super-gluu", "show")</f>
        <v>show</v>
      </c>
      <c r="H8869" t="str">
        <f>HYPERLINK("https://github.com/GluuFederation/android-super-gluu/releases", "show")</f>
        <v>show</v>
      </c>
      <c r="I8869">
        <v>0</v>
      </c>
      <c r="J8869">
        <v>1</v>
      </c>
      <c r="K8869">
        <v>0</v>
      </c>
      <c r="L8869">
        <v>0</v>
      </c>
      <c r="M8869" t="s">
        <v>139</v>
      </c>
    </row>
    <row r="8870" spans="1:13" hidden="1" x14ac:dyDescent="0.15">
      <c r="A8870" t="s">
        <v>27872</v>
      </c>
      <c r="B8870" t="s">
        <v>27873</v>
      </c>
      <c r="C8870" t="s">
        <v>27874</v>
      </c>
      <c r="D8870" t="s">
        <v>27875</v>
      </c>
      <c r="E8870">
        <v>3</v>
      </c>
      <c r="F8870" t="str">
        <f>HYPERLINK("https://github.com/mapbox/mapbox-events-android/issues/265", "show")</f>
        <v>show</v>
      </c>
      <c r="G8870" t="str">
        <f>HYPERLINK("https://github.com/mapbox/mapbox-events-android", "show")</f>
        <v>show</v>
      </c>
      <c r="H8870" t="str">
        <f>HYPERLINK("https://github.com/mapbox/mapbox-events-android/releases", "show")</f>
        <v>show</v>
      </c>
      <c r="I8870">
        <v>0</v>
      </c>
      <c r="J8870">
        <v>0</v>
      </c>
      <c r="K8870">
        <v>0</v>
      </c>
      <c r="L8870">
        <v>0</v>
      </c>
      <c r="M8870" t="s">
        <v>43</v>
      </c>
    </row>
    <row r="8871" spans="1:13" hidden="1" x14ac:dyDescent="0.15">
      <c r="A8871" t="s">
        <v>27876</v>
      </c>
      <c r="B8871" t="s">
        <v>27877</v>
      </c>
      <c r="D8871" t="s">
        <v>27875</v>
      </c>
      <c r="E8871">
        <v>12</v>
      </c>
      <c r="F8871" t="str">
        <f>HYPERLINK("https://github.com/Susanfe/sdp-event-management/issues/119", "show")</f>
        <v>show</v>
      </c>
      <c r="G8871" t="str">
        <f>HYPERLINK("https://github.com/Susanfe/sdp-event-management", "show")</f>
        <v>show</v>
      </c>
      <c r="H8871" t="str">
        <f>HYPERLINK("https://github.com/Susanfe/sdp-event-management/releases", "show")</f>
        <v>show</v>
      </c>
      <c r="I8871">
        <v>1</v>
      </c>
      <c r="J8871">
        <v>0</v>
      </c>
      <c r="K8871">
        <v>0</v>
      </c>
      <c r="L8871">
        <v>0</v>
      </c>
      <c r="M8871" t="s">
        <v>17</v>
      </c>
    </row>
    <row r="8872" spans="1:13" hidden="1" x14ac:dyDescent="0.15">
      <c r="A8872" t="s">
        <v>27878</v>
      </c>
      <c r="B8872" t="s">
        <v>27879</v>
      </c>
      <c r="C8872" t="s">
        <v>27880</v>
      </c>
      <c r="D8872" t="s">
        <v>27875</v>
      </c>
      <c r="E8872">
        <v>11</v>
      </c>
      <c r="F8872" t="str">
        <f>HYPERLINK("https://github.com/TeamNewPipe/NewPipe/issues/1855", "show")</f>
        <v>show</v>
      </c>
      <c r="G8872" t="str">
        <f>HYPERLINK("https://github.com/TeamNewPipe/NewPipe", "show")</f>
        <v>show</v>
      </c>
      <c r="H8872" t="str">
        <f>HYPERLINK("https://github.com/TeamNewPipe/NewPipe/releases", "show")</f>
        <v>show</v>
      </c>
      <c r="I8872">
        <v>1</v>
      </c>
      <c r="J8872">
        <v>0</v>
      </c>
      <c r="K8872">
        <v>1</v>
      </c>
      <c r="L8872">
        <v>0</v>
      </c>
      <c r="M8872" t="s">
        <v>64</v>
      </c>
    </row>
    <row r="8873" spans="1:13" hidden="1" x14ac:dyDescent="0.15">
      <c r="A8873" t="s">
        <v>27881</v>
      </c>
      <c r="B8873" t="s">
        <v>27882</v>
      </c>
      <c r="C8873" t="s">
        <v>27883</v>
      </c>
      <c r="D8873" t="s">
        <v>27875</v>
      </c>
      <c r="E8873">
        <v>3</v>
      </c>
      <c r="F8873" t="str">
        <f>HYPERLINK("https://github.com/mapbox/mapbox-events-android/issues/263", "show")</f>
        <v>show</v>
      </c>
      <c r="G8873" t="str">
        <f>HYPERLINK("https://github.com/mapbox/mapbox-events-android", "show")</f>
        <v>show</v>
      </c>
      <c r="H8873" t="str">
        <f>HYPERLINK("https://github.com/mapbox/mapbox-events-android/releases", "show")</f>
        <v>show</v>
      </c>
      <c r="I8873">
        <v>1</v>
      </c>
      <c r="J8873">
        <v>0</v>
      </c>
      <c r="K8873">
        <v>0</v>
      </c>
      <c r="L8873">
        <v>0</v>
      </c>
      <c r="M8873" t="s">
        <v>17</v>
      </c>
    </row>
    <row r="8874" spans="1:13" hidden="1" x14ac:dyDescent="0.15">
      <c r="A8874" t="s">
        <v>27884</v>
      </c>
      <c r="B8874" t="s">
        <v>27885</v>
      </c>
      <c r="C8874" t="s">
        <v>27886</v>
      </c>
      <c r="D8874" t="s">
        <v>27875</v>
      </c>
      <c r="E8874">
        <v>1</v>
      </c>
      <c r="F8874" t="str">
        <f>HYPERLINK("https://github.com/dimagi/commcare-android/issues/2039", "show")</f>
        <v>show</v>
      </c>
      <c r="G8874" t="str">
        <f>HYPERLINK("https://github.com/dimagi/commcare-android", "show")</f>
        <v>show</v>
      </c>
      <c r="H8874" t="str">
        <f>HYPERLINK("https://github.com/dimagi/commcare-android/releases", "show")</f>
        <v>show</v>
      </c>
      <c r="I8874">
        <v>0</v>
      </c>
      <c r="J8874">
        <v>0</v>
      </c>
      <c r="K8874">
        <v>0</v>
      </c>
      <c r="L8874">
        <v>0</v>
      </c>
      <c r="M8874" t="s">
        <v>43</v>
      </c>
    </row>
    <row r="8875" spans="1:13" hidden="1" x14ac:dyDescent="0.15">
      <c r="A8875" t="s">
        <v>27887</v>
      </c>
      <c r="B8875" t="s">
        <v>27888</v>
      </c>
      <c r="C8875" t="s">
        <v>27889</v>
      </c>
      <c r="D8875" t="s">
        <v>27875</v>
      </c>
      <c r="E8875">
        <v>658</v>
      </c>
      <c r="F8875" t="str">
        <f>HYPERLINK("https://github.com/commons-app/apps-android-commons/issues/1959", "show")</f>
        <v>show</v>
      </c>
      <c r="G8875" t="str">
        <f>HYPERLINK("https://github.com/commons-app/apps-android-commons", "show")</f>
        <v>show</v>
      </c>
      <c r="H8875" t="str">
        <f>HYPERLINK("https://github.com/commons-app/apps-android-commons/releases", "show")</f>
        <v>show</v>
      </c>
      <c r="I8875">
        <v>1</v>
      </c>
      <c r="J8875">
        <v>0</v>
      </c>
      <c r="K8875">
        <v>0</v>
      </c>
      <c r="L8875">
        <v>1</v>
      </c>
      <c r="M8875" t="s">
        <v>29</v>
      </c>
    </row>
    <row r="8876" spans="1:13" hidden="1" x14ac:dyDescent="0.15">
      <c r="A8876" t="s">
        <v>27890</v>
      </c>
      <c r="B8876" t="s">
        <v>27891</v>
      </c>
      <c r="D8876" t="s">
        <v>27875</v>
      </c>
      <c r="E8876">
        <v>1</v>
      </c>
      <c r="F8876" t="str">
        <f>HYPERLINK("https://github.com/ciuc/InternetRadioClock/issues/18", "show")</f>
        <v>show</v>
      </c>
      <c r="G8876" t="str">
        <f>HYPERLINK("https://github.com/ciuc/InternetRadioClock", "show")</f>
        <v>show</v>
      </c>
      <c r="H8876" t="str">
        <f>HYPERLINK("https://github.com/ciuc/InternetRadioClock/releases", "show")</f>
        <v>show</v>
      </c>
      <c r="I8876">
        <v>1</v>
      </c>
      <c r="J8876">
        <v>0</v>
      </c>
      <c r="K8876">
        <v>0</v>
      </c>
      <c r="L8876">
        <v>0</v>
      </c>
      <c r="M8876" t="s">
        <v>17</v>
      </c>
    </row>
    <row r="8877" spans="1:13" hidden="1" x14ac:dyDescent="0.15">
      <c r="A8877" t="s">
        <v>27892</v>
      </c>
      <c r="B8877" t="s">
        <v>27893</v>
      </c>
      <c r="C8877" t="s">
        <v>27894</v>
      </c>
      <c r="D8877" t="s">
        <v>27895</v>
      </c>
      <c r="E8877">
        <v>548</v>
      </c>
      <c r="F8877" t="str">
        <f>HYPERLINK("https://github.com/nikita36078/J2ME-Loader/issues/392", "show")</f>
        <v>show</v>
      </c>
      <c r="G8877" t="str">
        <f>HYPERLINK("https://github.com/nikita36078/J2ME-Loader", "show")</f>
        <v>show</v>
      </c>
      <c r="H8877" t="str">
        <f>HYPERLINK("https://github.com/nikita36078/J2ME-Loader/releases", "show")</f>
        <v>show</v>
      </c>
      <c r="I8877">
        <v>1</v>
      </c>
      <c r="J8877">
        <v>0</v>
      </c>
      <c r="K8877">
        <v>0</v>
      </c>
      <c r="L8877">
        <v>0</v>
      </c>
      <c r="M8877" t="s">
        <v>17</v>
      </c>
    </row>
    <row r="8878" spans="1:13" hidden="1" x14ac:dyDescent="0.15">
      <c r="A8878" t="s">
        <v>27896</v>
      </c>
      <c r="B8878" t="s">
        <v>27897</v>
      </c>
      <c r="C8878" t="s">
        <v>27898</v>
      </c>
      <c r="D8878" t="s">
        <v>27899</v>
      </c>
      <c r="E8878">
        <v>67</v>
      </c>
      <c r="F8878" t="str">
        <f>HYPERLINK("https://github.com/aws-amplify/aws-sdk-android/issues/556", "show")</f>
        <v>show</v>
      </c>
      <c r="G8878" t="str">
        <f>HYPERLINK("https://github.com/aws-amplify/aws-sdk-android", "show")</f>
        <v>show</v>
      </c>
      <c r="H8878" t="str">
        <f>HYPERLINK("https://github.com/aws-amplify/aws-sdk-android/releases", "show")</f>
        <v>show</v>
      </c>
      <c r="I8878">
        <v>1</v>
      </c>
      <c r="J8878">
        <v>0</v>
      </c>
      <c r="K8878">
        <v>1</v>
      </c>
      <c r="L8878">
        <v>0</v>
      </c>
      <c r="M8878" t="s">
        <v>64</v>
      </c>
    </row>
    <row r="8879" spans="1:13" hidden="1" x14ac:dyDescent="0.15">
      <c r="A8879" t="s">
        <v>27900</v>
      </c>
      <c r="B8879" t="s">
        <v>27901</v>
      </c>
      <c r="C8879" t="s">
        <v>27902</v>
      </c>
      <c r="D8879" t="s">
        <v>27899</v>
      </c>
      <c r="E8879">
        <v>96</v>
      </c>
      <c r="F8879" t="str">
        <f>HYPERLINK("https://github.com/NordicSemiconductor/Android-DFU-Library/issues/143", "show")</f>
        <v>show</v>
      </c>
      <c r="G8879" t="str">
        <f>HYPERLINK("https://github.com/NordicSemiconductor/Android-DFU-Library", "show")</f>
        <v>show</v>
      </c>
      <c r="H8879" t="str">
        <f>HYPERLINK("https://github.com/NordicSemiconductor/Android-DFU-Library/releases", "show")</f>
        <v>show</v>
      </c>
      <c r="I8879">
        <v>0</v>
      </c>
      <c r="J8879">
        <v>0</v>
      </c>
      <c r="K8879">
        <v>1</v>
      </c>
      <c r="L8879">
        <v>0</v>
      </c>
      <c r="M8879" t="s">
        <v>122</v>
      </c>
    </row>
    <row r="8880" spans="1:13" hidden="1" x14ac:dyDescent="0.15">
      <c r="A8880" t="s">
        <v>27903</v>
      </c>
      <c r="B8880" t="s">
        <v>27904</v>
      </c>
      <c r="C8880" t="s">
        <v>27905</v>
      </c>
      <c r="D8880" t="s">
        <v>27906</v>
      </c>
      <c r="E8880">
        <v>35</v>
      </c>
      <c r="F8880" t="str">
        <f>HYPERLINK("https://github.com/mapbox/mapbox-events-android/issues/254", "show")</f>
        <v>show</v>
      </c>
      <c r="G8880" t="str">
        <f>HYPERLINK("https://github.com/mapbox/mapbox-events-android", "show")</f>
        <v>show</v>
      </c>
      <c r="H8880" t="str">
        <f>HYPERLINK("https://github.com/mapbox/mapbox-events-android/releases", "show")</f>
        <v>show</v>
      </c>
      <c r="I8880">
        <v>1</v>
      </c>
      <c r="J8880">
        <v>0</v>
      </c>
      <c r="K8880">
        <v>0</v>
      </c>
      <c r="L8880">
        <v>0</v>
      </c>
      <c r="M8880" t="s">
        <v>17</v>
      </c>
    </row>
    <row r="8881" spans="1:13" hidden="1" x14ac:dyDescent="0.15">
      <c r="A8881" t="s">
        <v>27907</v>
      </c>
      <c r="B8881" t="s">
        <v>27908</v>
      </c>
      <c r="C8881" t="s">
        <v>27909</v>
      </c>
      <c r="D8881" t="s">
        <v>27906</v>
      </c>
      <c r="E8881">
        <v>234</v>
      </c>
      <c r="F8881" t="str">
        <f>HYPERLINK("https://github.com/fossasia/open-event-organizer-android/issues/1373", "show")</f>
        <v>show</v>
      </c>
      <c r="G8881" t="str">
        <f>HYPERLINK("https://github.com/fossasia/open-event-organizer-android", "show")</f>
        <v>show</v>
      </c>
      <c r="H8881" t="str">
        <f>HYPERLINK("https://github.com/fossasia/open-event-organizer-android/releases", "show")</f>
        <v>show</v>
      </c>
      <c r="I8881">
        <v>1</v>
      </c>
      <c r="J8881">
        <v>0</v>
      </c>
      <c r="K8881">
        <v>0</v>
      </c>
      <c r="L8881">
        <v>1</v>
      </c>
      <c r="M8881" t="s">
        <v>29</v>
      </c>
    </row>
    <row r="8882" spans="1:13" hidden="1" x14ac:dyDescent="0.15">
      <c r="A8882" t="s">
        <v>27910</v>
      </c>
      <c r="B8882" t="s">
        <v>27911</v>
      </c>
      <c r="C8882" t="s">
        <v>27912</v>
      </c>
      <c r="D8882" t="s">
        <v>27906</v>
      </c>
      <c r="E8882">
        <v>5</v>
      </c>
      <c r="F8882" t="str">
        <f>HYPERLINK("https://github.com/Keidan/SshServer/issues/2", "show")</f>
        <v>show</v>
      </c>
      <c r="G8882" t="str">
        <f>HYPERLINK("https://github.com/Keidan/SshServer", "show")</f>
        <v>show</v>
      </c>
      <c r="H8882" t="str">
        <f>HYPERLINK("https://github.com/Keidan/SshServer/releases", "show")</f>
        <v>show</v>
      </c>
      <c r="I8882">
        <v>0</v>
      </c>
      <c r="J8882">
        <v>0</v>
      </c>
      <c r="K8882">
        <v>0</v>
      </c>
      <c r="L8882">
        <v>0</v>
      </c>
      <c r="M8882" t="s">
        <v>43</v>
      </c>
    </row>
    <row r="8883" spans="1:13" hidden="1" x14ac:dyDescent="0.15">
      <c r="A8883" t="s">
        <v>27913</v>
      </c>
      <c r="B8883" t="s">
        <v>27914</v>
      </c>
      <c r="C8883" t="s">
        <v>27915</v>
      </c>
      <c r="D8883" t="s">
        <v>27906</v>
      </c>
      <c r="E8883">
        <v>0</v>
      </c>
      <c r="F8883" t="str">
        <f>HYPERLINK("https://github.com/DSC-Galgotias/TechnoJam-Chat/issues/38", "show")</f>
        <v>show</v>
      </c>
      <c r="G8883" t="str">
        <f>HYPERLINK("https://github.com/DSC-Galgotias/TechnoJam-Chat", "show")</f>
        <v>show</v>
      </c>
      <c r="H8883" t="str">
        <f>HYPERLINK("https://github.com/DSC-Galgotias/TechnoJam-Chat/releases", "show")</f>
        <v>show</v>
      </c>
      <c r="I8883">
        <v>0</v>
      </c>
      <c r="J8883">
        <v>0</v>
      </c>
      <c r="K8883">
        <v>1</v>
      </c>
      <c r="L8883">
        <v>0</v>
      </c>
      <c r="M8883" t="s">
        <v>122</v>
      </c>
    </row>
    <row r="8884" spans="1:13" hidden="1" x14ac:dyDescent="0.15">
      <c r="A8884" t="s">
        <v>27916</v>
      </c>
      <c r="B8884" t="s">
        <v>27917</v>
      </c>
      <c r="C8884" t="s">
        <v>27918</v>
      </c>
      <c r="D8884" t="s">
        <v>27906</v>
      </c>
      <c r="E8884">
        <v>2</v>
      </c>
      <c r="F8884" t="str">
        <f>HYPERLINK("https://github.com/Catfriend1/syncthing-android/issues/113", "show")</f>
        <v>show</v>
      </c>
      <c r="G8884" t="str">
        <f>HYPERLINK("https://github.com/Catfriend1/syncthing-android", "show")</f>
        <v>show</v>
      </c>
      <c r="H8884" t="str">
        <f>HYPERLINK("https://github.com/Catfriend1/syncthing-android/releases", "show")</f>
        <v>show</v>
      </c>
      <c r="I8884">
        <v>0</v>
      </c>
      <c r="J8884">
        <v>0</v>
      </c>
      <c r="K8884">
        <v>0</v>
      </c>
      <c r="L8884">
        <v>0</v>
      </c>
      <c r="M8884" t="s">
        <v>43</v>
      </c>
    </row>
    <row r="8885" spans="1:13" hidden="1" x14ac:dyDescent="0.15">
      <c r="A8885" t="s">
        <v>27919</v>
      </c>
      <c r="B8885" t="s">
        <v>27920</v>
      </c>
      <c r="C8885" t="s">
        <v>27921</v>
      </c>
      <c r="D8885" t="s">
        <v>27922</v>
      </c>
      <c r="E8885">
        <v>213</v>
      </c>
      <c r="F8885" t="str">
        <f>HYPERLINK("https://github.com/nextcloud/android/issues/3179", "show")</f>
        <v>show</v>
      </c>
      <c r="G8885" t="str">
        <f>HYPERLINK("https://github.com/nextcloud/android", "show")</f>
        <v>show</v>
      </c>
      <c r="H8885" t="str">
        <f>HYPERLINK("https://github.com/nextcloud/android/releases", "show")</f>
        <v>show</v>
      </c>
      <c r="I8885">
        <v>1</v>
      </c>
      <c r="J8885">
        <v>0</v>
      </c>
      <c r="K8885">
        <v>0</v>
      </c>
      <c r="L8885">
        <v>0</v>
      </c>
      <c r="M8885" t="s">
        <v>17</v>
      </c>
    </row>
    <row r="8886" spans="1:13" hidden="1" x14ac:dyDescent="0.15">
      <c r="A8886" t="s">
        <v>27923</v>
      </c>
      <c r="B8886" t="s">
        <v>27924</v>
      </c>
      <c r="C8886" t="s">
        <v>27925</v>
      </c>
      <c r="D8886" t="s">
        <v>27922</v>
      </c>
      <c r="E8886">
        <v>2</v>
      </c>
      <c r="F8886" t="str">
        <f>HYPERLINK("https://github.com/Catfriend1/syncthing-android/issues/111", "show")</f>
        <v>show</v>
      </c>
      <c r="G8886" t="str">
        <f>HYPERLINK("https://github.com/Catfriend1/syncthing-android", "show")</f>
        <v>show</v>
      </c>
      <c r="H8886" t="str">
        <f>HYPERLINK("https://github.com/Catfriend1/syncthing-android/releases", "show")</f>
        <v>show</v>
      </c>
      <c r="I8886">
        <v>1</v>
      </c>
      <c r="J8886">
        <v>0</v>
      </c>
      <c r="K8886">
        <v>1</v>
      </c>
      <c r="L8886">
        <v>0</v>
      </c>
      <c r="M8886" t="s">
        <v>64</v>
      </c>
    </row>
    <row r="8887" spans="1:13" hidden="1" x14ac:dyDescent="0.15">
      <c r="A8887" t="s">
        <v>27926</v>
      </c>
      <c r="B8887" t="s">
        <v>27927</v>
      </c>
      <c r="C8887" t="s">
        <v>27928</v>
      </c>
      <c r="D8887" t="s">
        <v>27929</v>
      </c>
      <c r="E8887">
        <v>24</v>
      </c>
      <c r="F8887" t="str">
        <f>HYPERLINK("https://github.com/convertigo/c8osdk-android/issues/9", "show")</f>
        <v>show</v>
      </c>
      <c r="G8887" t="str">
        <f>HYPERLINK("https://github.com/convertigo/c8osdk-android", "show")</f>
        <v>show</v>
      </c>
      <c r="H8887" t="str">
        <f>HYPERLINK("https://github.com/convertigo/c8osdk-android/releases", "show")</f>
        <v>show</v>
      </c>
      <c r="I8887">
        <v>0</v>
      </c>
      <c r="J8887">
        <v>0</v>
      </c>
      <c r="K8887">
        <v>0</v>
      </c>
      <c r="L8887">
        <v>0</v>
      </c>
      <c r="M8887" t="s">
        <v>43</v>
      </c>
    </row>
    <row r="8888" spans="1:13" hidden="1" x14ac:dyDescent="0.15">
      <c r="A8888" t="s">
        <v>27930</v>
      </c>
      <c r="B8888" t="s">
        <v>27931</v>
      </c>
      <c r="C8888" t="s">
        <v>27932</v>
      </c>
      <c r="D8888" t="s">
        <v>27929</v>
      </c>
      <c r="E8888">
        <v>91</v>
      </c>
      <c r="F8888" t="str">
        <f>HYPERLINK("https://github.com/deltachat/deltachat-android/issues/593", "show")</f>
        <v>show</v>
      </c>
      <c r="G8888" t="str">
        <f>HYPERLINK("https://github.com/deltachat/deltachat-android", "show")</f>
        <v>show</v>
      </c>
      <c r="H8888" t="str">
        <f>HYPERLINK("https://github.com/deltachat/deltachat-android/releases", "show")</f>
        <v>show</v>
      </c>
      <c r="I8888">
        <v>1</v>
      </c>
      <c r="J8888">
        <v>0</v>
      </c>
      <c r="K8888">
        <v>0</v>
      </c>
      <c r="L8888">
        <v>0</v>
      </c>
      <c r="M8888" t="s">
        <v>17</v>
      </c>
    </row>
    <row r="8889" spans="1:13" hidden="1" x14ac:dyDescent="0.15">
      <c r="A8889" t="s">
        <v>27933</v>
      </c>
      <c r="B8889" t="s">
        <v>27934</v>
      </c>
      <c r="C8889" t="s">
        <v>27935</v>
      </c>
      <c r="D8889" t="s">
        <v>27929</v>
      </c>
      <c r="E8889">
        <v>1</v>
      </c>
      <c r="F8889" t="str">
        <f>HYPERLINK("https://github.com/RoverPlatform/rover-android/issues/266", "show")</f>
        <v>show</v>
      </c>
      <c r="G8889" t="str">
        <f>HYPERLINK("https://github.com/RoverPlatform/rover-android", "show")</f>
        <v>show</v>
      </c>
      <c r="H8889" t="str">
        <f>HYPERLINK("https://github.com/RoverPlatform/rover-android/releases", "show")</f>
        <v>show</v>
      </c>
      <c r="I8889">
        <v>0</v>
      </c>
      <c r="J8889">
        <v>0</v>
      </c>
      <c r="K8889">
        <v>1</v>
      </c>
      <c r="L8889">
        <v>0</v>
      </c>
      <c r="M8889" t="s">
        <v>122</v>
      </c>
    </row>
    <row r="8890" spans="1:13" hidden="1" x14ac:dyDescent="0.15">
      <c r="A8890" t="s">
        <v>27936</v>
      </c>
      <c r="B8890" t="s">
        <v>27937</v>
      </c>
      <c r="C8890" t="s">
        <v>27938</v>
      </c>
      <c r="D8890" t="s">
        <v>27929</v>
      </c>
      <c r="E8890">
        <v>9</v>
      </c>
      <c r="F8890" t="str">
        <f>HYPERLINK("https://github.com/urbandroid-team/Sleep-as-Android-Garmin-Addon/issues/13", "show")</f>
        <v>show</v>
      </c>
      <c r="G8890" t="str">
        <f>HYPERLINK("https://github.com/urbandroid-team/Sleep-as-Android-Garmin-Addon", "show")</f>
        <v>show</v>
      </c>
      <c r="H8890" t="str">
        <f>HYPERLINK("https://github.com/urbandroid-team/Sleep-as-Android-Garmin-Addon/releases", "show")</f>
        <v>show</v>
      </c>
      <c r="I8890">
        <v>0</v>
      </c>
      <c r="J8890">
        <v>0</v>
      </c>
      <c r="K8890">
        <v>0</v>
      </c>
      <c r="L8890">
        <v>0</v>
      </c>
      <c r="M8890" t="s">
        <v>43</v>
      </c>
    </row>
    <row r="8891" spans="1:13" hidden="1" x14ac:dyDescent="0.15">
      <c r="A8891" t="s">
        <v>27939</v>
      </c>
      <c r="B8891" t="s">
        <v>27940</v>
      </c>
      <c r="C8891" t="s">
        <v>27941</v>
      </c>
      <c r="D8891" t="s">
        <v>27929</v>
      </c>
      <c r="E8891">
        <v>1</v>
      </c>
      <c r="F8891" t="str">
        <f>HYPERLINK("https://github.com/doublesymmetry/react-native-track-player/issues/308", "show")</f>
        <v>show</v>
      </c>
      <c r="G8891" t="str">
        <f>HYPERLINK("https://github.com/doublesymmetry/react-native-track-player", "show")</f>
        <v>show</v>
      </c>
      <c r="H8891" t="str">
        <f>HYPERLINK("https://github.com/doublesymmetry/react-native-track-player/releases", "show")</f>
        <v>show</v>
      </c>
      <c r="I8891">
        <v>1</v>
      </c>
      <c r="J8891">
        <v>0</v>
      </c>
      <c r="K8891">
        <v>1</v>
      </c>
      <c r="L8891">
        <v>0</v>
      </c>
      <c r="M8891" t="s">
        <v>64</v>
      </c>
    </row>
    <row r="8892" spans="1:13" hidden="1" x14ac:dyDescent="0.15">
      <c r="A8892" t="s">
        <v>27942</v>
      </c>
      <c r="B8892" t="s">
        <v>27943</v>
      </c>
      <c r="C8892" t="s">
        <v>27944</v>
      </c>
      <c r="D8892" t="s">
        <v>27929</v>
      </c>
      <c r="E8892">
        <v>1</v>
      </c>
      <c r="F8892" t="str">
        <f>HYPERLINK("https://github.com/novoda/merlin/issues/173", "show")</f>
        <v>show</v>
      </c>
      <c r="G8892" t="str">
        <f>HYPERLINK("https://github.com/novoda/merlin", "show")</f>
        <v>show</v>
      </c>
      <c r="H8892" t="str">
        <f>HYPERLINK("https://github.com/novoda/merlin/releases", "show")</f>
        <v>show</v>
      </c>
      <c r="I8892">
        <v>0</v>
      </c>
      <c r="J8892">
        <v>0</v>
      </c>
      <c r="K8892">
        <v>0</v>
      </c>
      <c r="L8892">
        <v>0</v>
      </c>
      <c r="M8892" t="s">
        <v>43</v>
      </c>
    </row>
    <row r="8893" spans="1:13" hidden="1" x14ac:dyDescent="0.15">
      <c r="A8893" t="s">
        <v>27945</v>
      </c>
      <c r="B8893" t="s">
        <v>27946</v>
      </c>
      <c r="C8893" t="s">
        <v>27947</v>
      </c>
      <c r="D8893" t="s">
        <v>27929</v>
      </c>
      <c r="E8893">
        <v>12</v>
      </c>
      <c r="F8893" t="str">
        <f>HYPERLINK("https://github.com/applivery/applivery-android-sdk/issues/25", "show")</f>
        <v>show</v>
      </c>
      <c r="G8893" t="str">
        <f>HYPERLINK("https://github.com/applivery/applivery-android-sdk", "show")</f>
        <v>show</v>
      </c>
      <c r="H8893" t="str">
        <f>HYPERLINK("https://github.com/applivery/applivery-android-sdk/releases", "show")</f>
        <v>show</v>
      </c>
      <c r="I8893">
        <v>1</v>
      </c>
      <c r="J8893">
        <v>0</v>
      </c>
      <c r="K8893">
        <v>1</v>
      </c>
      <c r="L8893">
        <v>0</v>
      </c>
      <c r="M8893" t="s">
        <v>64</v>
      </c>
    </row>
    <row r="8894" spans="1:13" hidden="1" x14ac:dyDescent="0.15">
      <c r="A8894" t="s">
        <v>27948</v>
      </c>
      <c r="B8894" t="s">
        <v>27949</v>
      </c>
      <c r="C8894" t="s">
        <v>27950</v>
      </c>
      <c r="D8894" t="s">
        <v>27951</v>
      </c>
      <c r="E8894">
        <v>98</v>
      </c>
      <c r="F8894" t="str">
        <f>HYPERLINK("https://github.com/code4romania/monitorizare-vot-android/issues/86", "show")</f>
        <v>show</v>
      </c>
      <c r="G8894" t="str">
        <f>HYPERLINK("https://github.com/code4romania/monitorizare-vot-android", "show")</f>
        <v>show</v>
      </c>
      <c r="H8894" t="str">
        <f>HYPERLINK("https://github.com/code4romania/monitorizare-vot-android/releases", "show")</f>
        <v>show</v>
      </c>
      <c r="I8894">
        <v>1</v>
      </c>
      <c r="J8894">
        <v>0</v>
      </c>
      <c r="K8894">
        <v>0</v>
      </c>
      <c r="L8894">
        <v>0</v>
      </c>
      <c r="M8894" t="s">
        <v>17</v>
      </c>
    </row>
    <row r="8895" spans="1:13" hidden="1" x14ac:dyDescent="0.15">
      <c r="A8895" t="s">
        <v>27952</v>
      </c>
      <c r="B8895" t="s">
        <v>27953</v>
      </c>
      <c r="C8895" t="s">
        <v>27954</v>
      </c>
      <c r="D8895" t="s">
        <v>27951</v>
      </c>
      <c r="E8895">
        <v>106</v>
      </c>
      <c r="F8895" t="str">
        <f>HYPERLINK("https://github.com/fluttercommunity/flutter_contacts/issues/41", "show")</f>
        <v>show</v>
      </c>
      <c r="G8895" t="str">
        <f>HYPERLINK("https://github.com/fluttercommunity/flutter_contacts", "show")</f>
        <v>show</v>
      </c>
      <c r="H8895" t="str">
        <f>HYPERLINK("https://github.com/fluttercommunity/flutter_contacts/releases", "show")</f>
        <v>show</v>
      </c>
      <c r="I8895">
        <v>1</v>
      </c>
      <c r="J8895">
        <v>1</v>
      </c>
      <c r="K8895">
        <v>0</v>
      </c>
      <c r="L8895">
        <v>0</v>
      </c>
      <c r="M8895" t="s">
        <v>48</v>
      </c>
    </row>
    <row r="8896" spans="1:13" hidden="1" x14ac:dyDescent="0.15">
      <c r="A8896" t="s">
        <v>27955</v>
      </c>
      <c r="B8896" t="s">
        <v>27956</v>
      </c>
      <c r="C8896" t="s">
        <v>27957</v>
      </c>
      <c r="D8896" t="s">
        <v>27958</v>
      </c>
      <c r="E8896">
        <v>20</v>
      </c>
      <c r="F8896" t="str">
        <f>HYPERLINK("https://github.com/Piwigo/Piwigo-Android/issues/60", "show")</f>
        <v>show</v>
      </c>
      <c r="G8896" t="str">
        <f>HYPERLINK("https://github.com/Piwigo/Piwigo-Android", "show")</f>
        <v>show</v>
      </c>
      <c r="H8896" t="str">
        <f>HYPERLINK("https://github.com/Piwigo/Piwigo-Android/releases", "show")</f>
        <v>show</v>
      </c>
      <c r="I8896">
        <v>1</v>
      </c>
      <c r="J8896">
        <v>0</v>
      </c>
      <c r="K8896">
        <v>0</v>
      </c>
      <c r="L8896">
        <v>0</v>
      </c>
      <c r="M8896" t="s">
        <v>17</v>
      </c>
    </row>
    <row r="8897" spans="1:13" hidden="1" x14ac:dyDescent="0.15">
      <c r="A8897" t="s">
        <v>27959</v>
      </c>
      <c r="B8897" t="s">
        <v>27960</v>
      </c>
      <c r="C8897" t="s">
        <v>27961</v>
      </c>
      <c r="D8897" t="s">
        <v>27958</v>
      </c>
      <c r="E8897">
        <v>76</v>
      </c>
      <c r="F8897" t="str">
        <f>HYPERLINK("https://github.com/junjunguo/PocketMaps/issues/102", "show")</f>
        <v>show</v>
      </c>
      <c r="G8897" t="str">
        <f>HYPERLINK("https://github.com/junjunguo/PocketMaps", "show")</f>
        <v>show</v>
      </c>
      <c r="H8897" t="str">
        <f>HYPERLINK("https://github.com/junjunguo/PocketMaps/releases", "show")</f>
        <v>show</v>
      </c>
      <c r="I8897">
        <v>1</v>
      </c>
      <c r="J8897">
        <v>0</v>
      </c>
      <c r="K8897">
        <v>0</v>
      </c>
      <c r="L8897">
        <v>0</v>
      </c>
      <c r="M8897" t="s">
        <v>17</v>
      </c>
    </row>
    <row r="8898" spans="1:13" hidden="1" x14ac:dyDescent="0.15">
      <c r="A8898" t="s">
        <v>27962</v>
      </c>
      <c r="B8898" t="s">
        <v>27963</v>
      </c>
      <c r="C8898" t="s">
        <v>27964</v>
      </c>
      <c r="D8898" t="s">
        <v>27958</v>
      </c>
      <c r="E8898">
        <v>37</v>
      </c>
      <c r="F8898" t="str">
        <f>HYPERLINK("https://github.com/excelsia/vee-cold-android/issues/6", "show")</f>
        <v>show</v>
      </c>
      <c r="G8898" t="str">
        <f>HYPERLINK("https://github.com/excelsia/vee-cold-android", "show")</f>
        <v>show</v>
      </c>
      <c r="H8898" t="str">
        <f>HYPERLINK("https://github.com/excelsia/vee-cold-android/releases", "show")</f>
        <v>show</v>
      </c>
      <c r="I8898">
        <v>1</v>
      </c>
      <c r="J8898">
        <v>0</v>
      </c>
      <c r="K8898">
        <v>0</v>
      </c>
      <c r="L8898">
        <v>0</v>
      </c>
      <c r="M8898" t="s">
        <v>17</v>
      </c>
    </row>
    <row r="8899" spans="1:13" hidden="1" x14ac:dyDescent="0.15">
      <c r="A8899" t="s">
        <v>27965</v>
      </c>
      <c r="B8899" t="s">
        <v>27966</v>
      </c>
      <c r="C8899" t="s">
        <v>27967</v>
      </c>
      <c r="D8899" t="s">
        <v>27958</v>
      </c>
      <c r="E8899">
        <v>3</v>
      </c>
      <c r="F8899" t="str">
        <f>HYPERLINK("https://github.com/LakeEffectRobotics/LakeEffectScoutingApp/issues/145", "show")</f>
        <v>show</v>
      </c>
      <c r="G8899" t="str">
        <f>HYPERLINK("https://github.com/LakeEffectRobotics/LakeEffectScoutingApp", "show")</f>
        <v>show</v>
      </c>
      <c r="H8899" t="str">
        <f>HYPERLINK("https://github.com/LakeEffectRobotics/LakeEffectScoutingApp/releases", "show")</f>
        <v>show</v>
      </c>
      <c r="I8899">
        <v>1</v>
      </c>
      <c r="J8899">
        <v>0</v>
      </c>
      <c r="K8899">
        <v>0</v>
      </c>
      <c r="L8899">
        <v>0</v>
      </c>
      <c r="M8899" t="s">
        <v>17</v>
      </c>
    </row>
    <row r="8900" spans="1:13" hidden="1" x14ac:dyDescent="0.15">
      <c r="A8900" t="s">
        <v>27968</v>
      </c>
      <c r="B8900" t="s">
        <v>27969</v>
      </c>
      <c r="C8900" t="s">
        <v>27970</v>
      </c>
      <c r="D8900" t="s">
        <v>27958</v>
      </c>
      <c r="E8900">
        <v>4</v>
      </c>
      <c r="F8900" t="str">
        <f>HYPERLINK("https://github.com/google/ExoPlayer/issues/4986", "show")</f>
        <v>show</v>
      </c>
      <c r="G8900" t="str">
        <f>HYPERLINK("https://github.com/google/ExoPlayer", "show")</f>
        <v>show</v>
      </c>
      <c r="H8900" t="str">
        <f>HYPERLINK("https://github.com/google/ExoPlayer/releases", "show")</f>
        <v>show</v>
      </c>
      <c r="I8900">
        <v>0</v>
      </c>
      <c r="J8900">
        <v>1</v>
      </c>
      <c r="K8900">
        <v>1</v>
      </c>
      <c r="L8900">
        <v>0</v>
      </c>
      <c r="M8900" t="s">
        <v>699</v>
      </c>
    </row>
    <row r="8901" spans="1:13" hidden="1" x14ac:dyDescent="0.15">
      <c r="A8901" t="s">
        <v>27971</v>
      </c>
      <c r="B8901" t="s">
        <v>27972</v>
      </c>
      <c r="C8901" t="s">
        <v>27973</v>
      </c>
      <c r="D8901" t="s">
        <v>27958</v>
      </c>
      <c r="E8901">
        <v>9</v>
      </c>
      <c r="F8901" t="str">
        <f>HYPERLINK("https://github.com/vector-im/riot-android/issues/2672", "show")</f>
        <v>show</v>
      </c>
      <c r="G8901" t="str">
        <f>HYPERLINK("https://github.com/vector-im/riot-android", "show")</f>
        <v>show</v>
      </c>
      <c r="H8901" t="str">
        <f>HYPERLINK("https://github.com/vector-im/riot-android/releases", "show")</f>
        <v>show</v>
      </c>
      <c r="I8901">
        <v>0</v>
      </c>
      <c r="J8901">
        <v>0</v>
      </c>
      <c r="K8901">
        <v>0</v>
      </c>
      <c r="L8901">
        <v>0</v>
      </c>
      <c r="M8901" t="s">
        <v>43</v>
      </c>
    </row>
    <row r="8902" spans="1:13" hidden="1" x14ac:dyDescent="0.15">
      <c r="A8902" t="s">
        <v>27974</v>
      </c>
      <c r="B8902" t="s">
        <v>27975</v>
      </c>
      <c r="C8902" t="s">
        <v>27976</v>
      </c>
      <c r="D8902" t="s">
        <v>27977</v>
      </c>
      <c r="E8902">
        <v>275</v>
      </c>
      <c r="F8902" t="str">
        <f>HYPERLINK("https://github.com/renyuneyun/Easer/issues/188", "show")</f>
        <v>show</v>
      </c>
      <c r="G8902" t="str">
        <f>HYPERLINK("https://github.com/renyuneyun/Easer", "show")</f>
        <v>show</v>
      </c>
      <c r="H8902" t="str">
        <f>HYPERLINK("https://github.com/renyuneyun/Easer/releases", "show")</f>
        <v>show</v>
      </c>
      <c r="I8902">
        <v>1</v>
      </c>
      <c r="J8902">
        <v>0</v>
      </c>
      <c r="K8902">
        <v>0</v>
      </c>
      <c r="L8902">
        <v>0</v>
      </c>
      <c r="M8902" t="s">
        <v>17</v>
      </c>
    </row>
    <row r="8903" spans="1:13" hidden="1" x14ac:dyDescent="0.15">
      <c r="A8903" t="s">
        <v>27978</v>
      </c>
      <c r="B8903" t="s">
        <v>27979</v>
      </c>
      <c r="C8903" t="s">
        <v>27980</v>
      </c>
      <c r="D8903" t="s">
        <v>27977</v>
      </c>
      <c r="E8903">
        <v>0</v>
      </c>
      <c r="F8903" t="str">
        <f>HYPERLINK("https://github.com/ankidroid/Anki-Android/issues/5067", "show")</f>
        <v>show</v>
      </c>
      <c r="G8903" t="str">
        <f>HYPERLINK("https://github.com/ankidroid/Anki-Android", "show")</f>
        <v>show</v>
      </c>
      <c r="H8903" t="str">
        <f>HYPERLINK("https://github.com/ankidroid/Anki-Android/releases", "show")</f>
        <v>show</v>
      </c>
      <c r="I8903">
        <v>0</v>
      </c>
      <c r="J8903">
        <v>0</v>
      </c>
      <c r="K8903">
        <v>1</v>
      </c>
      <c r="L8903">
        <v>0</v>
      </c>
      <c r="M8903" t="s">
        <v>122</v>
      </c>
    </row>
    <row r="8904" spans="1:13" hidden="1" x14ac:dyDescent="0.15">
      <c r="A8904" t="s">
        <v>27981</v>
      </c>
      <c r="B8904" t="s">
        <v>27982</v>
      </c>
      <c r="D8904" t="s">
        <v>27977</v>
      </c>
      <c r="E8904">
        <v>0</v>
      </c>
      <c r="F8904" t="str">
        <f>HYPERLINK("https://github.com/ojacquemart/vlilleChecker/issues/122", "show")</f>
        <v>show</v>
      </c>
      <c r="G8904" t="str">
        <f>HYPERLINK("https://github.com/ojacquemart/vlilleChecker", "show")</f>
        <v>show</v>
      </c>
      <c r="H8904" t="str">
        <f>HYPERLINK("https://github.com/ojacquemart/vlilleChecker/releases", "show")</f>
        <v>show</v>
      </c>
      <c r="I8904">
        <v>0</v>
      </c>
      <c r="J8904">
        <v>0</v>
      </c>
      <c r="K8904">
        <v>0</v>
      </c>
      <c r="L8904">
        <v>0</v>
      </c>
      <c r="M8904" t="s">
        <v>43</v>
      </c>
    </row>
    <row r="8905" spans="1:13" hidden="1" x14ac:dyDescent="0.15">
      <c r="A8905" t="s">
        <v>27983</v>
      </c>
      <c r="B8905" t="s">
        <v>27984</v>
      </c>
      <c r="D8905" t="s">
        <v>27977</v>
      </c>
      <c r="E8905">
        <v>0</v>
      </c>
      <c r="F8905" t="str">
        <f>HYPERLINK("https://github.com/ojacquemart/vlilleChecker/issues/121", "show")</f>
        <v>show</v>
      </c>
      <c r="G8905" t="str">
        <f>HYPERLINK("https://github.com/ojacquemart/vlilleChecker", "show")</f>
        <v>show</v>
      </c>
      <c r="H8905" t="str">
        <f>HYPERLINK("https://github.com/ojacquemart/vlilleChecker/releases", "show")</f>
        <v>show</v>
      </c>
      <c r="I8905">
        <v>1</v>
      </c>
      <c r="J8905">
        <v>0</v>
      </c>
      <c r="K8905">
        <v>0</v>
      </c>
      <c r="L8905">
        <v>0</v>
      </c>
      <c r="M8905" t="s">
        <v>17</v>
      </c>
    </row>
    <row r="8906" spans="1:13" hidden="1" x14ac:dyDescent="0.15">
      <c r="A8906" t="s">
        <v>27985</v>
      </c>
      <c r="B8906" t="s">
        <v>27986</v>
      </c>
      <c r="C8906" t="s">
        <v>27987</v>
      </c>
      <c r="D8906" t="s">
        <v>27988</v>
      </c>
      <c r="E8906">
        <v>1</v>
      </c>
      <c r="F8906" t="str">
        <f>HYPERLINK("https://github.com/react-native-camera/react-native-camera/issues/1861", "show")</f>
        <v>show</v>
      </c>
      <c r="G8906" t="str">
        <f>HYPERLINK("https://github.com/react-native-camera/react-native-camera", "show")</f>
        <v>show</v>
      </c>
      <c r="H8906" t="str">
        <f>HYPERLINK("https://github.com/react-native-camera/react-native-camera/releases", "show")</f>
        <v>show</v>
      </c>
      <c r="I8906">
        <v>1</v>
      </c>
      <c r="J8906">
        <v>0</v>
      </c>
      <c r="K8906">
        <v>0</v>
      </c>
      <c r="L8906">
        <v>1</v>
      </c>
      <c r="M8906" t="s">
        <v>29</v>
      </c>
    </row>
    <row r="8907" spans="1:13" hidden="1" x14ac:dyDescent="0.15">
      <c r="A8907" t="s">
        <v>27989</v>
      </c>
      <c r="B8907" t="s">
        <v>27990</v>
      </c>
      <c r="C8907" t="s">
        <v>27991</v>
      </c>
      <c r="D8907" t="s">
        <v>27992</v>
      </c>
      <c r="E8907">
        <v>30</v>
      </c>
      <c r="F8907" t="str">
        <f>HYPERLINK("https://github.com/awslabs/aws-mobile-appsync-sdk-android/issues/51", "show")</f>
        <v>show</v>
      </c>
      <c r="G8907" t="str">
        <f>HYPERLINK("https://github.com/awslabs/aws-mobile-appsync-sdk-android", "show")</f>
        <v>show</v>
      </c>
      <c r="H8907" t="str">
        <f>HYPERLINK("https://github.com/awslabs/aws-mobile-appsync-sdk-android/releases", "show")</f>
        <v>show</v>
      </c>
      <c r="I8907">
        <v>0</v>
      </c>
      <c r="J8907">
        <v>0</v>
      </c>
      <c r="K8907">
        <v>1</v>
      </c>
      <c r="L8907">
        <v>0</v>
      </c>
      <c r="M8907" t="s">
        <v>122</v>
      </c>
    </row>
    <row r="8908" spans="1:13" hidden="1" x14ac:dyDescent="0.15">
      <c r="A8908" t="s">
        <v>27993</v>
      </c>
      <c r="B8908" t="s">
        <v>27994</v>
      </c>
      <c r="C8908" t="s">
        <v>27995</v>
      </c>
      <c r="D8908" t="s">
        <v>27992</v>
      </c>
      <c r="E8908">
        <v>569</v>
      </c>
      <c r="F8908" t="str">
        <f>HYPERLINK("https://github.com/nextcloud/android/issues/3151", "show")</f>
        <v>show</v>
      </c>
      <c r="G8908" t="str">
        <f>HYPERLINK("https://github.com/nextcloud/android", "show")</f>
        <v>show</v>
      </c>
      <c r="H8908" t="str">
        <f>HYPERLINK("https://github.com/nextcloud/android/releases", "show")</f>
        <v>show</v>
      </c>
      <c r="I8908">
        <v>1</v>
      </c>
      <c r="J8908">
        <v>0</v>
      </c>
      <c r="K8908">
        <v>1</v>
      </c>
      <c r="L8908">
        <v>0</v>
      </c>
      <c r="M8908" t="s">
        <v>64</v>
      </c>
    </row>
    <row r="8909" spans="1:13" hidden="1" x14ac:dyDescent="0.15">
      <c r="A8909" t="s">
        <v>27996</v>
      </c>
      <c r="B8909" t="s">
        <v>27997</v>
      </c>
      <c r="D8909" t="s">
        <v>27998</v>
      </c>
      <c r="E8909">
        <v>14</v>
      </c>
      <c r="F8909" t="str">
        <f>HYPERLINK("https://github.com/inaturalist/iNaturalistAndroid/issues/599", "show")</f>
        <v>show</v>
      </c>
      <c r="G8909" t="str">
        <f>HYPERLINK("https://github.com/inaturalist/iNaturalistAndroid", "show")</f>
        <v>show</v>
      </c>
      <c r="H8909" t="str">
        <f>HYPERLINK("https://github.com/inaturalist/iNaturalistAndroid/releases", "show")</f>
        <v>show</v>
      </c>
      <c r="I8909">
        <v>0</v>
      </c>
      <c r="J8909">
        <v>0</v>
      </c>
      <c r="K8909">
        <v>1</v>
      </c>
      <c r="L8909">
        <v>0</v>
      </c>
      <c r="M8909" t="s">
        <v>122</v>
      </c>
    </row>
    <row r="8910" spans="1:13" hidden="1" x14ac:dyDescent="0.15">
      <c r="A8910" t="s">
        <v>27999</v>
      </c>
      <c r="B8910" t="s">
        <v>28000</v>
      </c>
      <c r="C8910" t="s">
        <v>28001</v>
      </c>
      <c r="D8910" t="s">
        <v>27998</v>
      </c>
      <c r="E8910">
        <v>2</v>
      </c>
      <c r="F8910" t="str">
        <f>HYPERLINK("https://github.com/NordicSemiconductor/Android-DFU-Library/issues/129", "show")</f>
        <v>show</v>
      </c>
      <c r="G8910" t="str">
        <f>HYPERLINK("https://github.com/NordicSemiconductor/Android-DFU-Library", "show")</f>
        <v>show</v>
      </c>
      <c r="H8910" t="str">
        <f>HYPERLINK("https://github.com/NordicSemiconductor/Android-DFU-Library/releases", "show")</f>
        <v>show</v>
      </c>
      <c r="I8910">
        <v>0</v>
      </c>
      <c r="J8910">
        <v>0</v>
      </c>
      <c r="K8910">
        <v>1</v>
      </c>
      <c r="L8910">
        <v>0</v>
      </c>
      <c r="M8910" t="s">
        <v>122</v>
      </c>
    </row>
    <row r="8911" spans="1:13" hidden="1" x14ac:dyDescent="0.15">
      <c r="A8911" t="s">
        <v>28002</v>
      </c>
      <c r="B8911" t="s">
        <v>28003</v>
      </c>
      <c r="C8911" t="s">
        <v>28004</v>
      </c>
      <c r="D8911" t="s">
        <v>27998</v>
      </c>
      <c r="E8911">
        <v>56</v>
      </c>
      <c r="F8911" t="str">
        <f>HYPERLINK("https://github.com/react-native-svg/react-native-svg/issues/812", "show")</f>
        <v>show</v>
      </c>
      <c r="G8911" t="str">
        <f>HYPERLINK("https://github.com/react-native-svg/react-native-svg", "show")</f>
        <v>show</v>
      </c>
      <c r="H8911" t="str">
        <f>HYPERLINK("https://github.com/react-native-svg/react-native-svg/releases", "show")</f>
        <v>show</v>
      </c>
      <c r="I8911">
        <v>1</v>
      </c>
      <c r="J8911">
        <v>0</v>
      </c>
      <c r="K8911">
        <v>1</v>
      </c>
      <c r="L8911">
        <v>0</v>
      </c>
      <c r="M8911" t="s">
        <v>64</v>
      </c>
    </row>
    <row r="8912" spans="1:13" hidden="1" x14ac:dyDescent="0.15">
      <c r="A8912" t="s">
        <v>28005</v>
      </c>
      <c r="B8912" t="s">
        <v>28006</v>
      </c>
      <c r="C8912" t="s">
        <v>28007</v>
      </c>
      <c r="D8912" t="s">
        <v>27998</v>
      </c>
      <c r="E8912">
        <v>3</v>
      </c>
      <c r="F8912" t="str">
        <f>HYPERLINK("https://github.com/code4romania/monitorizare-vot-android/issues/73", "show")</f>
        <v>show</v>
      </c>
      <c r="G8912" t="str">
        <f>HYPERLINK("https://github.com/code4romania/monitorizare-vot-android", "show")</f>
        <v>show</v>
      </c>
      <c r="H8912" t="str">
        <f>HYPERLINK("https://github.com/code4romania/monitorizare-vot-android/releases", "show")</f>
        <v>show</v>
      </c>
      <c r="I8912">
        <v>1</v>
      </c>
      <c r="J8912">
        <v>0</v>
      </c>
      <c r="K8912">
        <v>0</v>
      </c>
      <c r="L8912">
        <v>0</v>
      </c>
      <c r="M8912" t="s">
        <v>17</v>
      </c>
    </row>
    <row r="8913" spans="1:13" x14ac:dyDescent="0.15">
      <c r="A8913" t="s">
        <v>28008</v>
      </c>
      <c r="B8913" t="s">
        <v>28009</v>
      </c>
      <c r="C8913" t="s">
        <v>28010</v>
      </c>
      <c r="D8913" t="s">
        <v>28011</v>
      </c>
      <c r="E8913">
        <v>199</v>
      </c>
      <c r="F8913" t="str">
        <f>HYPERLINK("https://github.com/khalid-hussain/HisnulMuslim/issues/62", "show")</f>
        <v>show</v>
      </c>
      <c r="G8913" t="str">
        <f>HYPERLINK("https://github.com/khalid-hussain/HisnulMuslim", "show")</f>
        <v>show</v>
      </c>
      <c r="H8913" t="str">
        <f>HYPERLINK("https://github.com/khalid-hussain/HisnulMuslim/releases", "show")</f>
        <v>show</v>
      </c>
      <c r="I8913">
        <v>0</v>
      </c>
      <c r="J8913">
        <v>1</v>
      </c>
      <c r="K8913">
        <v>0</v>
      </c>
      <c r="L8913">
        <v>0</v>
      </c>
      <c r="M8913" t="s">
        <v>139</v>
      </c>
    </row>
    <row r="8914" spans="1:13" hidden="1" x14ac:dyDescent="0.15">
      <c r="A8914" t="s">
        <v>28012</v>
      </c>
      <c r="B8914" t="s">
        <v>28013</v>
      </c>
      <c r="C8914" t="s">
        <v>28014</v>
      </c>
      <c r="D8914" t="s">
        <v>28015</v>
      </c>
      <c r="E8914">
        <v>223</v>
      </c>
      <c r="F8914" t="str">
        <f>HYPERLINK("https://github.com/nextcloud/android/issues/3139", "show")</f>
        <v>show</v>
      </c>
      <c r="G8914" t="str">
        <f>HYPERLINK("https://github.com/nextcloud/android", "show")</f>
        <v>show</v>
      </c>
      <c r="H8914" t="str">
        <f>HYPERLINK("https://github.com/nextcloud/android/releases", "show")</f>
        <v>show</v>
      </c>
      <c r="I8914">
        <v>1</v>
      </c>
      <c r="J8914">
        <v>1</v>
      </c>
      <c r="K8914">
        <v>0</v>
      </c>
      <c r="L8914">
        <v>1</v>
      </c>
      <c r="M8914" t="s">
        <v>1894</v>
      </c>
    </row>
    <row r="8915" spans="1:13" hidden="1" x14ac:dyDescent="0.15">
      <c r="A8915" t="s">
        <v>28016</v>
      </c>
      <c r="B8915" t="s">
        <v>28017</v>
      </c>
      <c r="C8915" t="s">
        <v>28018</v>
      </c>
      <c r="D8915" t="s">
        <v>28019</v>
      </c>
      <c r="E8915">
        <v>725</v>
      </c>
      <c r="F8915" t="str">
        <f>HYPERLINK("https://github.com/k9mail/k-9/issues/3659", "show")</f>
        <v>show</v>
      </c>
      <c r="G8915" t="str">
        <f>HYPERLINK("https://github.com/k9mail/k-9", "show")</f>
        <v>show</v>
      </c>
      <c r="H8915" t="str">
        <f>HYPERLINK("https://github.com/k9mail/k-9/releases", "show")</f>
        <v>show</v>
      </c>
      <c r="I8915">
        <v>1</v>
      </c>
      <c r="J8915">
        <v>0</v>
      </c>
      <c r="K8915">
        <v>0</v>
      </c>
      <c r="L8915">
        <v>0</v>
      </c>
      <c r="M8915" t="s">
        <v>17</v>
      </c>
    </row>
    <row r="8916" spans="1:13" hidden="1" x14ac:dyDescent="0.15">
      <c r="A8916" t="s">
        <v>28020</v>
      </c>
      <c r="B8916" t="s">
        <v>28021</v>
      </c>
      <c r="C8916" t="s">
        <v>28022</v>
      </c>
      <c r="D8916" t="s">
        <v>28019</v>
      </c>
      <c r="E8916">
        <v>16</v>
      </c>
      <c r="F8916" t="str">
        <f>HYPERLINK("https://github.com/commons-app/apps-android-commons/issues/1930", "show")</f>
        <v>show</v>
      </c>
      <c r="G8916" t="str">
        <f>HYPERLINK("https://github.com/commons-app/apps-android-commons", "show")</f>
        <v>show</v>
      </c>
      <c r="H8916" t="str">
        <f>HYPERLINK("https://github.com/commons-app/apps-android-commons/releases", "show")</f>
        <v>show</v>
      </c>
      <c r="I8916">
        <v>1</v>
      </c>
      <c r="J8916">
        <v>0</v>
      </c>
      <c r="K8916">
        <v>1</v>
      </c>
      <c r="L8916">
        <v>0</v>
      </c>
      <c r="M8916" t="s">
        <v>64</v>
      </c>
    </row>
    <row r="8917" spans="1:13" hidden="1" x14ac:dyDescent="0.15">
      <c r="A8917" t="s">
        <v>28023</v>
      </c>
      <c r="B8917" t="s">
        <v>28024</v>
      </c>
      <c r="C8917" t="s">
        <v>28025</v>
      </c>
      <c r="D8917" t="s">
        <v>28019</v>
      </c>
      <c r="E8917">
        <v>2</v>
      </c>
      <c r="F8917" t="str">
        <f>HYPERLINK("https://github.com/yeriomin/YalpStore/issues/541", "show")</f>
        <v>show</v>
      </c>
      <c r="G8917" t="str">
        <f>HYPERLINK("https://github.com/yeriomin/YalpStore", "show")</f>
        <v>show</v>
      </c>
      <c r="H8917" t="str">
        <f>HYPERLINK("https://github.com/yeriomin/YalpStore/releases", "show")</f>
        <v>show</v>
      </c>
      <c r="I8917">
        <v>1</v>
      </c>
      <c r="J8917">
        <v>1</v>
      </c>
      <c r="K8917">
        <v>1</v>
      </c>
      <c r="L8917">
        <v>0</v>
      </c>
      <c r="M8917" t="s">
        <v>59</v>
      </c>
    </row>
    <row r="8918" spans="1:13" hidden="1" x14ac:dyDescent="0.15">
      <c r="A8918" t="s">
        <v>28026</v>
      </c>
      <c r="B8918" t="s">
        <v>28027</v>
      </c>
      <c r="C8918" t="s">
        <v>28028</v>
      </c>
      <c r="D8918" t="s">
        <v>28019</v>
      </c>
      <c r="E8918">
        <v>0</v>
      </c>
      <c r="F8918" t="str">
        <f>HYPERLINK("https://github.com/Barista-Analytics/Barista-Analytics/issues/7", "show")</f>
        <v>show</v>
      </c>
      <c r="G8918" t="str">
        <f>HYPERLINK("https://github.com/Barista-Analytics/Barista-Analytics", "show")</f>
        <v>show</v>
      </c>
      <c r="H8918" t="str">
        <f>HYPERLINK("https://github.com/Barista-Analytics/Barista-Analytics/releases", "show")</f>
        <v>show</v>
      </c>
      <c r="I8918">
        <v>1</v>
      </c>
      <c r="J8918">
        <v>0</v>
      </c>
      <c r="K8918">
        <v>0</v>
      </c>
      <c r="L8918">
        <v>0</v>
      </c>
      <c r="M8918" t="s">
        <v>17</v>
      </c>
    </row>
    <row r="8919" spans="1:13" hidden="1" x14ac:dyDescent="0.15">
      <c r="A8919" t="s">
        <v>28029</v>
      </c>
      <c r="B8919" t="s">
        <v>28030</v>
      </c>
      <c r="C8919" t="s">
        <v>28031</v>
      </c>
      <c r="D8919" t="s">
        <v>28019</v>
      </c>
      <c r="E8919">
        <v>13</v>
      </c>
      <c r="F8919" t="str">
        <f>HYPERLINK("https://github.com/Barista-Analytics/Barista-Analytics/issues/6", "show")</f>
        <v>show</v>
      </c>
      <c r="G8919" t="str">
        <f>HYPERLINK("https://github.com/Barista-Analytics/Barista-Analytics", "show")</f>
        <v>show</v>
      </c>
      <c r="H8919" t="str">
        <f>HYPERLINK("https://github.com/Barista-Analytics/Barista-Analytics/releases", "show")</f>
        <v>show</v>
      </c>
      <c r="I8919">
        <v>0</v>
      </c>
      <c r="J8919">
        <v>0</v>
      </c>
      <c r="K8919">
        <v>0</v>
      </c>
      <c r="L8919">
        <v>0</v>
      </c>
      <c r="M8919" t="s">
        <v>43</v>
      </c>
    </row>
    <row r="8920" spans="1:13" hidden="1" x14ac:dyDescent="0.15">
      <c r="A8920" t="s">
        <v>28032</v>
      </c>
      <c r="B8920" t="s">
        <v>28033</v>
      </c>
      <c r="D8920" t="s">
        <v>28034</v>
      </c>
      <c r="E8920">
        <v>4</v>
      </c>
      <c r="F8920" t="str">
        <f>HYPERLINK("https://github.com/COMP30022-18/NaviBee/issues/88", "show")</f>
        <v>show</v>
      </c>
      <c r="G8920" t="str">
        <f>HYPERLINK("https://github.com/COMP30022-18/NaviBee", "show")</f>
        <v>show</v>
      </c>
      <c r="H8920" t="str">
        <f>HYPERLINK("https://github.com/COMP30022-18/NaviBee/releases", "show")</f>
        <v>show</v>
      </c>
      <c r="I8920">
        <v>0</v>
      </c>
      <c r="J8920">
        <v>0</v>
      </c>
      <c r="K8920">
        <v>0</v>
      </c>
      <c r="L8920">
        <v>0</v>
      </c>
      <c r="M8920" t="s">
        <v>43</v>
      </c>
    </row>
    <row r="8921" spans="1:13" x14ac:dyDescent="0.15">
      <c r="A8921" t="s">
        <v>28035</v>
      </c>
      <c r="B8921" t="s">
        <v>28036</v>
      </c>
      <c r="C8921" t="s">
        <v>28037</v>
      </c>
      <c r="D8921" t="s">
        <v>28034</v>
      </c>
      <c r="E8921">
        <v>1</v>
      </c>
      <c r="F8921" t="str">
        <f>HYPERLINK("https://github.com/ankidroid/Anki-Android/issues/5047", "show")</f>
        <v>show</v>
      </c>
      <c r="G8921" t="str">
        <f>HYPERLINK("https://github.com/ankidroid/Anki-Android", "show")</f>
        <v>show</v>
      </c>
      <c r="H8921" t="str">
        <f>HYPERLINK("https://github.com/ankidroid/Anki-Android/releases", "show")</f>
        <v>show</v>
      </c>
      <c r="I8921">
        <v>0</v>
      </c>
      <c r="J8921">
        <v>1</v>
      </c>
      <c r="K8921">
        <v>0</v>
      </c>
      <c r="L8921">
        <v>0</v>
      </c>
      <c r="M8921" t="s">
        <v>139</v>
      </c>
    </row>
    <row r="8922" spans="1:13" x14ac:dyDescent="0.15">
      <c r="A8922" t="s">
        <v>28038</v>
      </c>
      <c r="B8922" t="s">
        <v>28039</v>
      </c>
      <c r="C8922" t="s">
        <v>28040</v>
      </c>
      <c r="D8922" t="s">
        <v>28034</v>
      </c>
      <c r="E8922">
        <v>19</v>
      </c>
      <c r="F8922" t="str">
        <f>HYPERLINK("https://github.com/twilio/video-quickstart-android/issues/341", "show")</f>
        <v>show</v>
      </c>
      <c r="G8922" t="str">
        <f>HYPERLINK("https://github.com/twilio/video-quickstart-android", "show")</f>
        <v>show</v>
      </c>
      <c r="H8922" t="str">
        <f>HYPERLINK("https://github.com/twilio/video-quickstart-android/releases", "show")</f>
        <v>show</v>
      </c>
      <c r="I8922">
        <v>0</v>
      </c>
      <c r="J8922">
        <v>1</v>
      </c>
      <c r="K8922">
        <v>0</v>
      </c>
      <c r="L8922">
        <v>0</v>
      </c>
      <c r="M8922" t="s">
        <v>139</v>
      </c>
    </row>
    <row r="8923" spans="1:13" hidden="1" x14ac:dyDescent="0.15">
      <c r="A8923" t="s">
        <v>28041</v>
      </c>
      <c r="B8923" t="s">
        <v>28042</v>
      </c>
      <c r="C8923" t="s">
        <v>28043</v>
      </c>
      <c r="D8923" t="s">
        <v>28034</v>
      </c>
      <c r="E8923">
        <v>517</v>
      </c>
      <c r="F8923" t="str">
        <f>HYPERLINK("https://github.com/nextcloud/android/issues/3131", "show")</f>
        <v>show</v>
      </c>
      <c r="G8923" t="str">
        <f>HYPERLINK("https://github.com/nextcloud/android", "show")</f>
        <v>show</v>
      </c>
      <c r="H8923" t="str">
        <f>HYPERLINK("https://github.com/nextcloud/android/releases", "show")</f>
        <v>show</v>
      </c>
      <c r="I8923">
        <v>1</v>
      </c>
      <c r="J8923">
        <v>1</v>
      </c>
      <c r="K8923">
        <v>0</v>
      </c>
      <c r="L8923">
        <v>0</v>
      </c>
      <c r="M8923" t="s">
        <v>48</v>
      </c>
    </row>
    <row r="8924" spans="1:13" hidden="1" x14ac:dyDescent="0.15">
      <c r="A8924" t="s">
        <v>28044</v>
      </c>
      <c r="B8924" t="s">
        <v>28045</v>
      </c>
      <c r="C8924" t="s">
        <v>28046</v>
      </c>
      <c r="D8924" t="s">
        <v>28034</v>
      </c>
      <c r="E8924">
        <v>240</v>
      </c>
      <c r="F8924" t="str">
        <f>HYPERLINK("https://github.com/react-native-camera/react-native-camera/issues/1848", "show")</f>
        <v>show</v>
      </c>
      <c r="G8924" t="str">
        <f>HYPERLINK("https://github.com/react-native-camera/react-native-camera", "show")</f>
        <v>show</v>
      </c>
      <c r="H8924" t="str">
        <f>HYPERLINK("https://github.com/react-native-camera/react-native-camera/releases", "show")</f>
        <v>show</v>
      </c>
      <c r="I8924">
        <v>1</v>
      </c>
      <c r="J8924">
        <v>0</v>
      </c>
      <c r="K8924">
        <v>0</v>
      </c>
      <c r="L8924">
        <v>0</v>
      </c>
      <c r="M8924" t="s">
        <v>17</v>
      </c>
    </row>
    <row r="8925" spans="1:13" hidden="1" x14ac:dyDescent="0.15">
      <c r="A8925" t="s">
        <v>28047</v>
      </c>
      <c r="B8925" t="s">
        <v>28048</v>
      </c>
      <c r="C8925" t="s">
        <v>28049</v>
      </c>
      <c r="D8925" t="s">
        <v>28034</v>
      </c>
      <c r="E8925">
        <v>1</v>
      </c>
      <c r="F8925" t="str">
        <f>HYPERLINK("https://github.com/AniTrend/anitrend-app/issues/88", "show")</f>
        <v>show</v>
      </c>
      <c r="G8925" t="str">
        <f>HYPERLINK("https://github.com/AniTrend/anitrend-app", "show")</f>
        <v>show</v>
      </c>
      <c r="H8925" t="str">
        <f>HYPERLINK("https://github.com/AniTrend/anitrend-app/releases", "show")</f>
        <v>show</v>
      </c>
      <c r="I8925">
        <v>1</v>
      </c>
      <c r="J8925">
        <v>1</v>
      </c>
      <c r="K8925">
        <v>1</v>
      </c>
      <c r="L8925">
        <v>0</v>
      </c>
      <c r="M8925" t="s">
        <v>59</v>
      </c>
    </row>
    <row r="8926" spans="1:13" hidden="1" x14ac:dyDescent="0.15">
      <c r="A8926" t="s">
        <v>28050</v>
      </c>
      <c r="B8926" t="s">
        <v>28051</v>
      </c>
      <c r="C8926" t="s">
        <v>28052</v>
      </c>
      <c r="D8926" t="s">
        <v>28034</v>
      </c>
      <c r="E8926">
        <v>24</v>
      </c>
      <c r="F8926" t="str">
        <f>HYPERLINK("https://github.com/koral--/android-gif-drawable/issues/597", "show")</f>
        <v>show</v>
      </c>
      <c r="G8926" t="str">
        <f>HYPERLINK("https://github.com/koral--/android-gif-drawable", "show")</f>
        <v>show</v>
      </c>
      <c r="H8926" t="str">
        <f>HYPERLINK("https://github.com/koral--/android-gif-drawable/releases", "show")</f>
        <v>show</v>
      </c>
      <c r="I8926">
        <v>0</v>
      </c>
      <c r="J8926">
        <v>0</v>
      </c>
      <c r="K8926">
        <v>0</v>
      </c>
      <c r="L8926">
        <v>0</v>
      </c>
      <c r="M8926" t="s">
        <v>43</v>
      </c>
    </row>
    <row r="8927" spans="1:13" hidden="1" x14ac:dyDescent="0.15">
      <c r="A8927" t="s">
        <v>28053</v>
      </c>
      <c r="B8927" t="s">
        <v>28054</v>
      </c>
      <c r="C8927" t="s">
        <v>28055</v>
      </c>
      <c r="D8927" t="s">
        <v>28056</v>
      </c>
      <c r="E8927">
        <v>266</v>
      </c>
      <c r="F8927" t="str">
        <f>HYPERLINK("https://github.com/MozillaReality/FirefoxReality/issues/610", "show")</f>
        <v>show</v>
      </c>
      <c r="G8927" t="str">
        <f>HYPERLINK("https://github.com/MozillaReality/FirefoxReality", "show")</f>
        <v>show</v>
      </c>
      <c r="H8927" t="str">
        <f>HYPERLINK("https://github.com/MozillaReality/FirefoxReality/releases", "show")</f>
        <v>show</v>
      </c>
      <c r="I8927">
        <v>1</v>
      </c>
      <c r="J8927">
        <v>1</v>
      </c>
      <c r="K8927">
        <v>0</v>
      </c>
      <c r="L8927">
        <v>0</v>
      </c>
      <c r="M8927" t="s">
        <v>48</v>
      </c>
    </row>
    <row r="8928" spans="1:13" hidden="1" x14ac:dyDescent="0.15">
      <c r="A8928" t="s">
        <v>28057</v>
      </c>
      <c r="B8928" t="s">
        <v>28058</v>
      </c>
      <c r="C8928" t="s">
        <v>28059</v>
      </c>
      <c r="D8928" t="s">
        <v>28056</v>
      </c>
      <c r="E8928">
        <v>1</v>
      </c>
      <c r="F8928" t="str">
        <f>HYPERLINK("https://github.com/AniTrend/anitrend-app/issues/87", "show")</f>
        <v>show</v>
      </c>
      <c r="G8928" t="str">
        <f>HYPERLINK("https://github.com/AniTrend/anitrend-app", "show")</f>
        <v>show</v>
      </c>
      <c r="H8928" t="str">
        <f>HYPERLINK("https://github.com/AniTrend/anitrend-app/releases", "show")</f>
        <v>show</v>
      </c>
      <c r="I8928">
        <v>1</v>
      </c>
      <c r="J8928">
        <v>1</v>
      </c>
      <c r="K8928">
        <v>0</v>
      </c>
      <c r="L8928">
        <v>0</v>
      </c>
      <c r="M8928" t="s">
        <v>48</v>
      </c>
    </row>
    <row r="8929" spans="1:13" hidden="1" x14ac:dyDescent="0.15">
      <c r="A8929" t="s">
        <v>28060</v>
      </c>
      <c r="B8929" t="s">
        <v>28061</v>
      </c>
      <c r="C8929" t="s">
        <v>28062</v>
      </c>
      <c r="D8929" t="s">
        <v>28056</v>
      </c>
      <c r="E8929">
        <v>72</v>
      </c>
      <c r="F8929" t="str">
        <f>HYPERLINK("https://github.com/nextcloud/android/issues/3127", "show")</f>
        <v>show</v>
      </c>
      <c r="G8929" t="str">
        <f>HYPERLINK("https://github.com/nextcloud/android", "show")</f>
        <v>show</v>
      </c>
      <c r="H8929" t="str">
        <f>HYPERLINK("https://github.com/nextcloud/android/releases", "show")</f>
        <v>show</v>
      </c>
      <c r="I8929">
        <v>1</v>
      </c>
      <c r="J8929">
        <v>1</v>
      </c>
      <c r="K8929">
        <v>0</v>
      </c>
      <c r="L8929">
        <v>0</v>
      </c>
      <c r="M8929" t="s">
        <v>48</v>
      </c>
    </row>
    <row r="8930" spans="1:13" hidden="1" x14ac:dyDescent="0.15">
      <c r="A8930" t="s">
        <v>28063</v>
      </c>
      <c r="B8930" t="s">
        <v>28064</v>
      </c>
      <c r="C8930" t="s">
        <v>28065</v>
      </c>
      <c r="D8930" t="s">
        <v>28056</v>
      </c>
      <c r="E8930">
        <v>298</v>
      </c>
      <c r="F8930" t="str">
        <f>HYPERLINK("https://github.com/niccokunzmann/mundraub-android/issues/189", "show")</f>
        <v>show</v>
      </c>
      <c r="G8930" t="str">
        <f>HYPERLINK("https://github.com/niccokunzmann/mundraub-android", "show")</f>
        <v>show</v>
      </c>
      <c r="H8930" t="str">
        <f>HYPERLINK("https://github.com/niccokunzmann/mundraub-android/releases", "show")</f>
        <v>show</v>
      </c>
      <c r="I8930">
        <v>0</v>
      </c>
      <c r="J8930">
        <v>0</v>
      </c>
      <c r="K8930">
        <v>0</v>
      </c>
      <c r="L8930">
        <v>0</v>
      </c>
      <c r="M8930" t="s">
        <v>43</v>
      </c>
    </row>
    <row r="8931" spans="1:13" hidden="1" x14ac:dyDescent="0.15">
      <c r="A8931" t="s">
        <v>28066</v>
      </c>
      <c r="B8931" t="s">
        <v>28067</v>
      </c>
      <c r="C8931" t="s">
        <v>28068</v>
      </c>
      <c r="D8931" t="s">
        <v>28056</v>
      </c>
      <c r="E8931">
        <v>0</v>
      </c>
      <c r="F8931" t="str">
        <f>HYPERLINK("https://github.com/niccokunzmann/mundraub-android/issues/188", "show")</f>
        <v>show</v>
      </c>
      <c r="G8931" t="str">
        <f>HYPERLINK("https://github.com/niccokunzmann/mundraub-android", "show")</f>
        <v>show</v>
      </c>
      <c r="H8931" t="str">
        <f>HYPERLINK("https://github.com/niccokunzmann/mundraub-android/releases", "show")</f>
        <v>show</v>
      </c>
      <c r="I8931">
        <v>0</v>
      </c>
      <c r="J8931">
        <v>0</v>
      </c>
      <c r="K8931">
        <v>0</v>
      </c>
      <c r="L8931">
        <v>0</v>
      </c>
      <c r="M8931" t="s">
        <v>43</v>
      </c>
    </row>
    <row r="8932" spans="1:13" hidden="1" x14ac:dyDescent="0.15">
      <c r="A8932" t="s">
        <v>28069</v>
      </c>
      <c r="B8932" t="s">
        <v>28070</v>
      </c>
      <c r="C8932" t="s">
        <v>28071</v>
      </c>
      <c r="D8932" t="s">
        <v>28072</v>
      </c>
      <c r="E8932">
        <v>1</v>
      </c>
      <c r="F8932" t="str">
        <f>HYPERLINK("https://github.com/niccokunzmann/mundraub-android/issues/187", "show")</f>
        <v>show</v>
      </c>
      <c r="G8932" t="str">
        <f>HYPERLINK("https://github.com/niccokunzmann/mundraub-android", "show")</f>
        <v>show</v>
      </c>
      <c r="H8932" t="str">
        <f>HYPERLINK("https://github.com/niccokunzmann/mundraub-android/releases", "show")</f>
        <v>show</v>
      </c>
      <c r="I8932">
        <v>0</v>
      </c>
      <c r="J8932">
        <v>0</v>
      </c>
      <c r="K8932">
        <v>0</v>
      </c>
      <c r="L8932">
        <v>0</v>
      </c>
      <c r="M8932" t="s">
        <v>43</v>
      </c>
    </row>
    <row r="8933" spans="1:13" hidden="1" x14ac:dyDescent="0.15">
      <c r="A8933" t="s">
        <v>28073</v>
      </c>
      <c r="B8933" t="s">
        <v>28074</v>
      </c>
      <c r="C8933" t="s">
        <v>28075</v>
      </c>
      <c r="D8933" t="s">
        <v>28072</v>
      </c>
      <c r="E8933">
        <v>30</v>
      </c>
      <c r="F8933" t="str">
        <f>HYPERLINK("https://github.com/mapbox/mapbox-events-android/issues/234", "show")</f>
        <v>show</v>
      </c>
      <c r="G8933" t="str">
        <f>HYPERLINK("https://github.com/mapbox/mapbox-events-android", "show")</f>
        <v>show</v>
      </c>
      <c r="H8933" t="str">
        <f>HYPERLINK("https://github.com/mapbox/mapbox-events-android/releases", "show")</f>
        <v>show</v>
      </c>
      <c r="I8933">
        <v>1</v>
      </c>
      <c r="J8933">
        <v>0</v>
      </c>
      <c r="K8933">
        <v>0</v>
      </c>
      <c r="L8933">
        <v>1</v>
      </c>
      <c r="M8933" t="s">
        <v>29</v>
      </c>
    </row>
    <row r="8934" spans="1:13" hidden="1" x14ac:dyDescent="0.15">
      <c r="A8934" t="s">
        <v>28076</v>
      </c>
      <c r="B8934" t="s">
        <v>28077</v>
      </c>
      <c r="C8934" t="s">
        <v>28078</v>
      </c>
      <c r="D8934" t="s">
        <v>28072</v>
      </c>
      <c r="E8934">
        <v>715</v>
      </c>
      <c r="F8934" t="str">
        <f>HYPERLINK("https://github.com/k9mail/k-9/issues/3653", "show")</f>
        <v>show</v>
      </c>
      <c r="G8934" t="str">
        <f>HYPERLINK("https://github.com/k9mail/k-9", "show")</f>
        <v>show</v>
      </c>
      <c r="H8934" t="str">
        <f>HYPERLINK("https://github.com/k9mail/k-9/releases", "show")</f>
        <v>show</v>
      </c>
      <c r="I8934">
        <v>1</v>
      </c>
      <c r="J8934">
        <v>1</v>
      </c>
      <c r="K8934">
        <v>0</v>
      </c>
      <c r="L8934">
        <v>0</v>
      </c>
      <c r="M8934" t="s">
        <v>48</v>
      </c>
    </row>
    <row r="8935" spans="1:13" hidden="1" x14ac:dyDescent="0.15">
      <c r="A8935" t="s">
        <v>28079</v>
      </c>
      <c r="B8935" t="s">
        <v>28080</v>
      </c>
      <c r="D8935" t="s">
        <v>28072</v>
      </c>
      <c r="E8935">
        <v>324</v>
      </c>
      <c r="F8935" t="str">
        <f>HYPERLINK("https://github.com/MiEcosystem/NewXmPluginSDK/issues/46", "show")</f>
        <v>show</v>
      </c>
      <c r="G8935" t="str">
        <f>HYPERLINK("https://github.com/MiEcosystem/NewXmPluginSDK", "show")</f>
        <v>show</v>
      </c>
      <c r="H8935" t="str">
        <f>HYPERLINK("https://github.com/MiEcosystem/NewXmPluginSDK/releases", "show")</f>
        <v>show</v>
      </c>
      <c r="I8935">
        <v>0</v>
      </c>
      <c r="J8935">
        <v>0</v>
      </c>
      <c r="K8935">
        <v>0</v>
      </c>
      <c r="L8935">
        <v>1</v>
      </c>
      <c r="M8935" t="s">
        <v>581</v>
      </c>
    </row>
    <row r="8936" spans="1:13" hidden="1" x14ac:dyDescent="0.15">
      <c r="A8936" t="s">
        <v>28081</v>
      </c>
      <c r="B8936" t="s">
        <v>28082</v>
      </c>
      <c r="C8936" t="s">
        <v>28083</v>
      </c>
      <c r="D8936" t="s">
        <v>28072</v>
      </c>
      <c r="E8936">
        <v>320</v>
      </c>
      <c r="F8936" t="str">
        <f>HYPERLINK("https://github.com/GreatApo/GreatFit/issues/16", "show")</f>
        <v>show</v>
      </c>
      <c r="G8936" t="str">
        <f>HYPERLINK("https://github.com/GreatApo/GreatFit", "show")</f>
        <v>show</v>
      </c>
      <c r="H8936" t="str">
        <f>HYPERLINK("https://github.com/GreatApo/GreatFit/releases", "show")</f>
        <v>show</v>
      </c>
      <c r="I8936">
        <v>1</v>
      </c>
      <c r="J8936">
        <v>0</v>
      </c>
      <c r="K8936">
        <v>0</v>
      </c>
      <c r="L8936">
        <v>0</v>
      </c>
      <c r="M8936" t="s">
        <v>17</v>
      </c>
    </row>
    <row r="8937" spans="1:13" hidden="1" x14ac:dyDescent="0.15">
      <c r="A8937" t="s">
        <v>28084</v>
      </c>
      <c r="B8937" t="s">
        <v>28085</v>
      </c>
      <c r="C8937" t="s">
        <v>28086</v>
      </c>
      <c r="D8937" t="s">
        <v>28087</v>
      </c>
      <c r="E8937">
        <v>0</v>
      </c>
      <c r="F8937" t="str">
        <f>HYPERLINK("https://github.com/niccokunzmann/mundraub-android/issues/186", "show")</f>
        <v>show</v>
      </c>
      <c r="G8937" t="str">
        <f>HYPERLINK("https://github.com/niccokunzmann/mundraub-android", "show")</f>
        <v>show</v>
      </c>
      <c r="H8937" t="str">
        <f>HYPERLINK("https://github.com/niccokunzmann/mundraub-android/releases", "show")</f>
        <v>show</v>
      </c>
      <c r="I8937">
        <v>0</v>
      </c>
      <c r="J8937">
        <v>0</v>
      </c>
      <c r="K8937">
        <v>0</v>
      </c>
      <c r="L8937">
        <v>0</v>
      </c>
      <c r="M8937" t="s">
        <v>43</v>
      </c>
    </row>
    <row r="8938" spans="1:13" hidden="1" x14ac:dyDescent="0.15">
      <c r="A8938" t="s">
        <v>28088</v>
      </c>
      <c r="B8938" t="s">
        <v>28089</v>
      </c>
      <c r="C8938" t="s">
        <v>28090</v>
      </c>
      <c r="D8938" t="s">
        <v>28087</v>
      </c>
      <c r="E8938">
        <v>258</v>
      </c>
      <c r="F8938" t="str">
        <f>HYPERLINK("https://github.com/ZeusWPI/hydra-android/issues/279", "show")</f>
        <v>show</v>
      </c>
      <c r="G8938" t="str">
        <f>HYPERLINK("https://github.com/ZeusWPI/hydra-android", "show")</f>
        <v>show</v>
      </c>
      <c r="H8938" t="str">
        <f>HYPERLINK("https://github.com/ZeusWPI/hydra-android/releases", "show")</f>
        <v>show</v>
      </c>
      <c r="I8938">
        <v>1</v>
      </c>
      <c r="J8938">
        <v>0</v>
      </c>
      <c r="K8938">
        <v>0</v>
      </c>
      <c r="L8938">
        <v>0</v>
      </c>
      <c r="M8938" t="s">
        <v>17</v>
      </c>
    </row>
    <row r="8939" spans="1:13" hidden="1" x14ac:dyDescent="0.15">
      <c r="A8939" t="s">
        <v>28091</v>
      </c>
      <c r="B8939" t="s">
        <v>28092</v>
      </c>
      <c r="C8939" t="s">
        <v>28093</v>
      </c>
      <c r="D8939" t="s">
        <v>28087</v>
      </c>
      <c r="E8939">
        <v>0</v>
      </c>
      <c r="F8939" t="str">
        <f>HYPERLINK("https://github.com/barbeau/gpstest/issues/221", "show")</f>
        <v>show</v>
      </c>
      <c r="G8939" t="str">
        <f>HYPERLINK("https://github.com/barbeau/gpstest", "show")</f>
        <v>show</v>
      </c>
      <c r="H8939" t="str">
        <f>HYPERLINK("https://github.com/barbeau/gpstest/releases", "show")</f>
        <v>show</v>
      </c>
      <c r="I8939">
        <v>1</v>
      </c>
      <c r="J8939">
        <v>0</v>
      </c>
      <c r="K8939">
        <v>0</v>
      </c>
      <c r="L8939">
        <v>0</v>
      </c>
      <c r="M8939" t="s">
        <v>17</v>
      </c>
    </row>
    <row r="8940" spans="1:13" hidden="1" x14ac:dyDescent="0.15">
      <c r="A8940" t="s">
        <v>28094</v>
      </c>
      <c r="B8940" t="s">
        <v>28095</v>
      </c>
      <c r="D8940" t="s">
        <v>28087</v>
      </c>
      <c r="E8940">
        <v>1063</v>
      </c>
      <c r="F8940" t="str">
        <f>HYPERLINK("https://github.com/ValleZ/Paper-Wallet/issues/38", "show")</f>
        <v>show</v>
      </c>
      <c r="G8940" t="str">
        <f>HYPERLINK("https://github.com/ValleZ/Paper-Wallet", "show")</f>
        <v>show</v>
      </c>
      <c r="H8940" t="str">
        <f>HYPERLINK("https://github.com/ValleZ/Paper-Wallet/releases", "show")</f>
        <v>show</v>
      </c>
      <c r="I8940">
        <v>0</v>
      </c>
      <c r="J8940">
        <v>0</v>
      </c>
      <c r="K8940">
        <v>0</v>
      </c>
      <c r="L8940">
        <v>0</v>
      </c>
      <c r="M8940" t="s">
        <v>43</v>
      </c>
    </row>
    <row r="8941" spans="1:13" hidden="1" x14ac:dyDescent="0.15">
      <c r="A8941" t="s">
        <v>28096</v>
      </c>
      <c r="B8941" t="s">
        <v>28097</v>
      </c>
      <c r="C8941" t="s">
        <v>28098</v>
      </c>
      <c r="D8941" t="s">
        <v>28087</v>
      </c>
      <c r="E8941">
        <v>1</v>
      </c>
      <c r="F8941" t="str">
        <f>HYPERLINK("https://github.com/akvo/akvo-flow-mobile/issues/1230", "show")</f>
        <v>show</v>
      </c>
      <c r="G8941" t="str">
        <f>HYPERLINK("https://github.com/akvo/akvo-flow-mobile", "show")</f>
        <v>show</v>
      </c>
      <c r="H8941" t="str">
        <f>HYPERLINK("https://github.com/akvo/akvo-flow-mobile/releases", "show")</f>
        <v>show</v>
      </c>
      <c r="I8941">
        <v>0</v>
      </c>
      <c r="J8941">
        <v>0</v>
      </c>
      <c r="K8941">
        <v>0</v>
      </c>
      <c r="L8941">
        <v>0</v>
      </c>
      <c r="M8941" t="s">
        <v>43</v>
      </c>
    </row>
    <row r="8942" spans="1:13" hidden="1" x14ac:dyDescent="0.15">
      <c r="A8942" t="s">
        <v>28099</v>
      </c>
      <c r="B8942" t="s">
        <v>28100</v>
      </c>
      <c r="C8942" t="s">
        <v>28101</v>
      </c>
      <c r="D8942" t="s">
        <v>28087</v>
      </c>
      <c r="E8942">
        <v>51</v>
      </c>
      <c r="F8942" t="str">
        <f>HYPERLINK("https://github.com/k9mail/k-9/issues/3652", "show")</f>
        <v>show</v>
      </c>
      <c r="G8942" t="str">
        <f>HYPERLINK("https://github.com/k9mail/k-9", "show")</f>
        <v>show</v>
      </c>
      <c r="H8942" t="str">
        <f>HYPERLINK("https://github.com/k9mail/k-9/releases", "show")</f>
        <v>show</v>
      </c>
      <c r="I8942">
        <v>1</v>
      </c>
      <c r="J8942">
        <v>1</v>
      </c>
      <c r="K8942">
        <v>0</v>
      </c>
      <c r="L8942">
        <v>0</v>
      </c>
      <c r="M8942" t="s">
        <v>48</v>
      </c>
    </row>
    <row r="8943" spans="1:13" hidden="1" x14ac:dyDescent="0.15">
      <c r="A8943" t="s">
        <v>28102</v>
      </c>
      <c r="B8943" t="s">
        <v>28103</v>
      </c>
      <c r="C8943" t="s">
        <v>28104</v>
      </c>
      <c r="D8943" t="s">
        <v>28087</v>
      </c>
      <c r="E8943">
        <v>958</v>
      </c>
      <c r="F8943" t="str">
        <f>HYPERLINK("https://github.com/ankidroid/Anki-Android/issues/5029", "show")</f>
        <v>show</v>
      </c>
      <c r="G8943" t="str">
        <f>HYPERLINK("https://github.com/ankidroid/Anki-Android", "show")</f>
        <v>show</v>
      </c>
      <c r="H8943" t="str">
        <f>HYPERLINK("https://github.com/ankidroid/Anki-Android/releases", "show")</f>
        <v>show</v>
      </c>
      <c r="I8943">
        <v>0</v>
      </c>
      <c r="J8943">
        <v>1</v>
      </c>
      <c r="K8943">
        <v>1</v>
      </c>
      <c r="L8943">
        <v>0</v>
      </c>
      <c r="M8943" t="s">
        <v>699</v>
      </c>
    </row>
    <row r="8944" spans="1:13" hidden="1" x14ac:dyDescent="0.15">
      <c r="A8944" t="s">
        <v>28105</v>
      </c>
      <c r="B8944" t="s">
        <v>28106</v>
      </c>
      <c r="C8944" t="s">
        <v>28107</v>
      </c>
      <c r="D8944" t="s">
        <v>28108</v>
      </c>
      <c r="E8944">
        <v>38</v>
      </c>
      <c r="F8944" t="str">
        <f>HYPERLINK("https://github.com/mapbox/mapbox-events-android/issues/230", "show")</f>
        <v>show</v>
      </c>
      <c r="G8944" t="str">
        <f>HYPERLINK("https://github.com/mapbox/mapbox-events-android", "show")</f>
        <v>show</v>
      </c>
      <c r="H8944" t="str">
        <f>HYPERLINK("https://github.com/mapbox/mapbox-events-android/releases", "show")</f>
        <v>show</v>
      </c>
      <c r="I8944">
        <v>1</v>
      </c>
      <c r="J8944">
        <v>0</v>
      </c>
      <c r="K8944">
        <v>1</v>
      </c>
      <c r="L8944">
        <v>0</v>
      </c>
      <c r="M8944" t="s">
        <v>64</v>
      </c>
    </row>
    <row r="8945" spans="1:13" x14ac:dyDescent="0.15">
      <c r="A8945" t="s">
        <v>28109</v>
      </c>
      <c r="B8945" t="s">
        <v>28110</v>
      </c>
      <c r="C8945" t="s">
        <v>28111</v>
      </c>
      <c r="D8945" t="s">
        <v>28108</v>
      </c>
      <c r="E8945">
        <v>9</v>
      </c>
      <c r="F8945" t="str">
        <f>HYPERLINK("https://github.com/gsantner/markor/issues/389", "show")</f>
        <v>show</v>
      </c>
      <c r="G8945" t="str">
        <f>HYPERLINK("https://github.com/gsantner/markor", "show")</f>
        <v>show</v>
      </c>
      <c r="H8945" t="str">
        <f>HYPERLINK("https://github.com/gsantner/markor/releases", "show")</f>
        <v>show</v>
      </c>
      <c r="I8945">
        <v>0</v>
      </c>
      <c r="J8945">
        <v>1</v>
      </c>
      <c r="K8945">
        <v>0</v>
      </c>
      <c r="L8945">
        <v>0</v>
      </c>
      <c r="M8945" t="s">
        <v>139</v>
      </c>
    </row>
    <row r="8946" spans="1:13" hidden="1" x14ac:dyDescent="0.15">
      <c r="A8946" t="s">
        <v>28112</v>
      </c>
      <c r="B8946" t="s">
        <v>28113</v>
      </c>
      <c r="C8946" t="s">
        <v>28114</v>
      </c>
      <c r="D8946" t="s">
        <v>28115</v>
      </c>
      <c r="E8946">
        <v>26</v>
      </c>
      <c r="F8946" t="str">
        <f>HYPERLINK("https://github.com/commons-app/apps-android-commons/issues/1917", "show")</f>
        <v>show</v>
      </c>
      <c r="G8946" t="str">
        <f>HYPERLINK("https://github.com/commons-app/apps-android-commons", "show")</f>
        <v>show</v>
      </c>
      <c r="H8946" t="str">
        <f>HYPERLINK("https://github.com/commons-app/apps-android-commons/releases", "show")</f>
        <v>show</v>
      </c>
      <c r="I8946">
        <v>1</v>
      </c>
      <c r="J8946">
        <v>0</v>
      </c>
      <c r="K8946">
        <v>1</v>
      </c>
      <c r="L8946">
        <v>0</v>
      </c>
      <c r="M8946" t="s">
        <v>64</v>
      </c>
    </row>
    <row r="8947" spans="1:13" hidden="1" x14ac:dyDescent="0.15">
      <c r="A8947" t="s">
        <v>28116</v>
      </c>
      <c r="B8947" t="s">
        <v>28117</v>
      </c>
      <c r="C8947" t="s">
        <v>28118</v>
      </c>
      <c r="D8947" t="s">
        <v>28119</v>
      </c>
      <c r="E8947">
        <v>485</v>
      </c>
      <c r="F8947" t="str">
        <f>HYPERLINK("https://github.com/yayaa/LocationManager/issues/90", "show")</f>
        <v>show</v>
      </c>
      <c r="G8947" t="str">
        <f>HYPERLINK("https://github.com/yayaa/LocationManager", "show")</f>
        <v>show</v>
      </c>
      <c r="H8947" t="str">
        <f>HYPERLINK("https://github.com/yayaa/LocationManager/releases", "show")</f>
        <v>show</v>
      </c>
      <c r="I8947">
        <v>1</v>
      </c>
      <c r="J8947">
        <v>0</v>
      </c>
      <c r="K8947">
        <v>1</v>
      </c>
      <c r="L8947">
        <v>0</v>
      </c>
      <c r="M8947" t="s">
        <v>64</v>
      </c>
    </row>
    <row r="8948" spans="1:13" hidden="1" x14ac:dyDescent="0.15">
      <c r="A8948" t="s">
        <v>28120</v>
      </c>
      <c r="B8948" t="s">
        <v>28121</v>
      </c>
      <c r="C8948" t="s">
        <v>28122</v>
      </c>
      <c r="D8948" t="s">
        <v>28119</v>
      </c>
      <c r="E8948">
        <v>161</v>
      </c>
      <c r="F8948" t="str">
        <f>HYPERLINK("https://github.com/Swati4star/Images-to-PDF/issues/454", "show")</f>
        <v>show</v>
      </c>
      <c r="G8948" t="str">
        <f>HYPERLINK("https://github.com/Swati4star/Images-to-PDF", "show")</f>
        <v>show</v>
      </c>
      <c r="H8948" t="str">
        <f>HYPERLINK("https://github.com/Swati4star/Images-to-PDF/releases", "show")</f>
        <v>show</v>
      </c>
      <c r="I8948">
        <v>1</v>
      </c>
      <c r="J8948">
        <v>0</v>
      </c>
      <c r="K8948">
        <v>1</v>
      </c>
      <c r="L8948">
        <v>0</v>
      </c>
      <c r="M8948" t="s">
        <v>64</v>
      </c>
    </row>
    <row r="8949" spans="1:13" hidden="1" x14ac:dyDescent="0.15">
      <c r="A8949" t="s">
        <v>28123</v>
      </c>
      <c r="B8949" t="s">
        <v>28124</v>
      </c>
      <c r="C8949" t="s">
        <v>28125</v>
      </c>
      <c r="D8949" t="s">
        <v>28119</v>
      </c>
      <c r="E8949">
        <v>617</v>
      </c>
      <c r="F8949" t="str">
        <f>HYPERLINK("https://github.com/ankidroid/Anki-Android/issues/5011", "show")</f>
        <v>show</v>
      </c>
      <c r="G8949" t="str">
        <f>HYPERLINK("https://github.com/ankidroid/Anki-Android", "show")</f>
        <v>show</v>
      </c>
      <c r="H8949" t="str">
        <f>HYPERLINK("https://github.com/ankidroid/Anki-Android/releases", "show")</f>
        <v>show</v>
      </c>
      <c r="I8949">
        <v>1</v>
      </c>
      <c r="J8949">
        <v>1</v>
      </c>
      <c r="K8949">
        <v>1</v>
      </c>
      <c r="L8949">
        <v>0</v>
      </c>
      <c r="M8949" t="s">
        <v>59</v>
      </c>
    </row>
    <row r="8950" spans="1:13" hidden="1" x14ac:dyDescent="0.15">
      <c r="A8950" t="s">
        <v>28126</v>
      </c>
      <c r="B8950" t="s">
        <v>28127</v>
      </c>
      <c r="C8950" t="s">
        <v>28128</v>
      </c>
      <c r="D8950" t="s">
        <v>28129</v>
      </c>
      <c r="E8950">
        <v>24</v>
      </c>
      <c r="F8950" t="str">
        <f>HYPERLINK("https://github.com/fossasia/phimpme-android/issues/2194", "show")</f>
        <v>show</v>
      </c>
      <c r="G8950" t="str">
        <f>HYPERLINK("https://github.com/fossasia/phimpme-android", "show")</f>
        <v>show</v>
      </c>
      <c r="H8950" t="str">
        <f>HYPERLINK("https://github.com/fossasia/phimpme-android/releases", "show")</f>
        <v>show</v>
      </c>
      <c r="I8950">
        <v>1</v>
      </c>
      <c r="J8950">
        <v>1</v>
      </c>
      <c r="K8950">
        <v>0</v>
      </c>
      <c r="L8950">
        <v>0</v>
      </c>
      <c r="M8950" t="s">
        <v>48</v>
      </c>
    </row>
    <row r="8951" spans="1:13" hidden="1" x14ac:dyDescent="0.15">
      <c r="A8951" t="s">
        <v>28130</v>
      </c>
      <c r="B8951" t="s">
        <v>28131</v>
      </c>
      <c r="C8951" t="s">
        <v>28132</v>
      </c>
      <c r="D8951" t="s">
        <v>28129</v>
      </c>
      <c r="E8951">
        <v>1</v>
      </c>
      <c r="F8951" t="str">
        <f>HYPERLINK("https://github.com/jMonkeyEngine/jmonkeyengine/issues/928", "show")</f>
        <v>show</v>
      </c>
      <c r="G8951" t="str">
        <f>HYPERLINK("https://github.com/jMonkeyEngine/jmonkeyengine", "show")</f>
        <v>show</v>
      </c>
      <c r="H8951" t="str">
        <f>HYPERLINK("https://github.com/jMonkeyEngine/jmonkeyengine/releases", "show")</f>
        <v>show</v>
      </c>
      <c r="I8951">
        <v>1</v>
      </c>
      <c r="J8951">
        <v>0</v>
      </c>
      <c r="K8951">
        <v>0</v>
      </c>
      <c r="L8951">
        <v>0</v>
      </c>
      <c r="M8951" t="s">
        <v>17</v>
      </c>
    </row>
    <row r="8952" spans="1:13" hidden="1" x14ac:dyDescent="0.15">
      <c r="A8952" t="s">
        <v>28133</v>
      </c>
      <c r="B8952" t="s">
        <v>28134</v>
      </c>
      <c r="C8952" t="s">
        <v>28135</v>
      </c>
      <c r="D8952" t="s">
        <v>28129</v>
      </c>
      <c r="E8952">
        <v>1</v>
      </c>
      <c r="F8952" t="str">
        <f>HYPERLINK("https://github.com/pvarry/intra42/issues/13", "show")</f>
        <v>show</v>
      </c>
      <c r="G8952" t="str">
        <f>HYPERLINK("https://github.com/pvarry/intra42", "show")</f>
        <v>show</v>
      </c>
      <c r="H8952" t="str">
        <f>HYPERLINK("https://github.com/pvarry/intra42/releases", "show")</f>
        <v>show</v>
      </c>
      <c r="I8952">
        <v>1</v>
      </c>
      <c r="J8952">
        <v>0</v>
      </c>
      <c r="K8952">
        <v>0</v>
      </c>
      <c r="L8952">
        <v>0</v>
      </c>
      <c r="M8952" t="s">
        <v>17</v>
      </c>
    </row>
    <row r="8953" spans="1:13" hidden="1" x14ac:dyDescent="0.15">
      <c r="A8953" t="s">
        <v>28136</v>
      </c>
      <c r="B8953" t="s">
        <v>28137</v>
      </c>
      <c r="C8953" t="s">
        <v>28138</v>
      </c>
      <c r="D8953" t="s">
        <v>28129</v>
      </c>
      <c r="E8953">
        <v>12</v>
      </c>
      <c r="F8953" t="str">
        <f>HYPERLINK("https://github.com/inaturalist/iNaturalistAndroid/issues/587", "show")</f>
        <v>show</v>
      </c>
      <c r="G8953" t="str">
        <f>HYPERLINK("https://github.com/inaturalist/iNaturalistAndroid", "show")</f>
        <v>show</v>
      </c>
      <c r="H8953" t="str">
        <f>HYPERLINK("https://github.com/inaturalist/iNaturalistAndroid/releases", "show")</f>
        <v>show</v>
      </c>
      <c r="I8953">
        <v>0</v>
      </c>
      <c r="J8953">
        <v>0</v>
      </c>
      <c r="K8953">
        <v>1</v>
      </c>
      <c r="L8953">
        <v>0</v>
      </c>
      <c r="M8953" t="s">
        <v>122</v>
      </c>
    </row>
    <row r="8954" spans="1:13" hidden="1" x14ac:dyDescent="0.15">
      <c r="A8954" t="s">
        <v>28139</v>
      </c>
      <c r="B8954" t="s">
        <v>28140</v>
      </c>
      <c r="C8954" t="s">
        <v>28141</v>
      </c>
      <c r="D8954" t="s">
        <v>28129</v>
      </c>
      <c r="E8954">
        <v>102</v>
      </c>
      <c r="F8954" t="str">
        <f>HYPERLINK("https://github.com/fossasia/phimpme-android/issues/2192", "show")</f>
        <v>show</v>
      </c>
      <c r="G8954" t="str">
        <f>HYPERLINK("https://github.com/fossasia/phimpme-android", "show")</f>
        <v>show</v>
      </c>
      <c r="H8954" t="str">
        <f>HYPERLINK("https://github.com/fossasia/phimpme-android/releases", "show")</f>
        <v>show</v>
      </c>
      <c r="I8954">
        <v>1</v>
      </c>
      <c r="J8954">
        <v>1</v>
      </c>
      <c r="K8954">
        <v>0</v>
      </c>
      <c r="L8954">
        <v>0</v>
      </c>
      <c r="M8954" t="s">
        <v>48</v>
      </c>
    </row>
    <row r="8955" spans="1:13" hidden="1" x14ac:dyDescent="0.15">
      <c r="A8955" t="s">
        <v>28142</v>
      </c>
      <c r="B8955" t="s">
        <v>28143</v>
      </c>
      <c r="C8955" t="s">
        <v>28144</v>
      </c>
      <c r="D8955" t="s">
        <v>28129</v>
      </c>
      <c r="E8955">
        <v>4</v>
      </c>
      <c r="F8955" t="str">
        <f>HYPERLINK("https://github.com/fossasia/phimpme-android/issues/2191", "show")</f>
        <v>show</v>
      </c>
      <c r="G8955" t="str">
        <f>HYPERLINK("https://github.com/fossasia/phimpme-android", "show")</f>
        <v>show</v>
      </c>
      <c r="H8955" t="str">
        <f>HYPERLINK("https://github.com/fossasia/phimpme-android/releases", "show")</f>
        <v>show</v>
      </c>
      <c r="I8955">
        <v>1</v>
      </c>
      <c r="J8955">
        <v>1</v>
      </c>
      <c r="K8955">
        <v>0</v>
      </c>
      <c r="L8955">
        <v>1</v>
      </c>
      <c r="M8955" t="s">
        <v>1894</v>
      </c>
    </row>
    <row r="8956" spans="1:13" hidden="1" x14ac:dyDescent="0.15">
      <c r="A8956" t="s">
        <v>28145</v>
      </c>
      <c r="B8956" t="s">
        <v>28146</v>
      </c>
      <c r="C8956" t="s">
        <v>28147</v>
      </c>
      <c r="D8956" t="s">
        <v>28129</v>
      </c>
      <c r="E8956">
        <v>260</v>
      </c>
      <c r="F8956" t="str">
        <f>HYPERLINK("https://github.com/Intelehealth/Android-Mobile-Client/issues/537", "show")</f>
        <v>show</v>
      </c>
      <c r="G8956" t="str">
        <f>HYPERLINK("https://github.com/Intelehealth/Android-Mobile-Client", "show")</f>
        <v>show</v>
      </c>
      <c r="H8956" t="str">
        <f>HYPERLINK("https://github.com/Intelehealth/Android-Mobile-Client/releases", "show")</f>
        <v>show</v>
      </c>
      <c r="I8956">
        <v>0</v>
      </c>
      <c r="J8956">
        <v>0</v>
      </c>
      <c r="K8956">
        <v>1</v>
      </c>
      <c r="L8956">
        <v>0</v>
      </c>
      <c r="M8956" t="s">
        <v>122</v>
      </c>
    </row>
    <row r="8957" spans="1:13" hidden="1" x14ac:dyDescent="0.15">
      <c r="A8957" t="s">
        <v>28148</v>
      </c>
      <c r="B8957" t="s">
        <v>28149</v>
      </c>
      <c r="C8957" t="s">
        <v>28150</v>
      </c>
      <c r="D8957" t="s">
        <v>28129</v>
      </c>
      <c r="E8957">
        <v>1</v>
      </c>
      <c r="F8957" t="str">
        <f>HYPERLINK("https://github.com/mgks/Android-SmartWebView/issues/47", "show")</f>
        <v>show</v>
      </c>
      <c r="G8957" t="str">
        <f>HYPERLINK("https://github.com/mgks/Android-SmartWebView", "show")</f>
        <v>show</v>
      </c>
      <c r="H8957" t="str">
        <f>HYPERLINK("https://github.com/mgks/Android-SmartWebView/releases", "show")</f>
        <v>show</v>
      </c>
      <c r="I8957">
        <v>1</v>
      </c>
      <c r="J8957">
        <v>0</v>
      </c>
      <c r="K8957">
        <v>0</v>
      </c>
      <c r="L8957">
        <v>0</v>
      </c>
      <c r="M8957" t="s">
        <v>17</v>
      </c>
    </row>
    <row r="8958" spans="1:13" x14ac:dyDescent="0.15">
      <c r="A8958" t="s">
        <v>28151</v>
      </c>
      <c r="B8958" t="s">
        <v>28152</v>
      </c>
      <c r="C8958" t="s">
        <v>28153</v>
      </c>
      <c r="D8958" t="s">
        <v>28129</v>
      </c>
      <c r="E8958">
        <v>0</v>
      </c>
      <c r="F8958" t="str">
        <f>HYPERLINK("https://github.com/niccokunzmann/mundraub-android/issues/175", "show")</f>
        <v>show</v>
      </c>
      <c r="G8958" t="str">
        <f>HYPERLINK("https://github.com/niccokunzmann/mundraub-android", "show")</f>
        <v>show</v>
      </c>
      <c r="H8958" t="str">
        <f>HYPERLINK("https://github.com/niccokunzmann/mundraub-android/releases", "show")</f>
        <v>show</v>
      </c>
      <c r="I8958">
        <v>0</v>
      </c>
      <c r="J8958">
        <v>1</v>
      </c>
      <c r="K8958">
        <v>0</v>
      </c>
      <c r="L8958">
        <v>0</v>
      </c>
      <c r="M8958" t="s">
        <v>139</v>
      </c>
    </row>
    <row r="8959" spans="1:13" hidden="1" x14ac:dyDescent="0.15">
      <c r="A8959" t="s">
        <v>28154</v>
      </c>
      <c r="B8959" t="s">
        <v>28155</v>
      </c>
      <c r="C8959" t="s">
        <v>28156</v>
      </c>
      <c r="D8959" t="s">
        <v>28129</v>
      </c>
      <c r="E8959">
        <v>0</v>
      </c>
      <c r="F8959" t="str">
        <f>HYPERLINK("https://github.com/niccokunzmann/mundraub-android/issues/174", "show")</f>
        <v>show</v>
      </c>
      <c r="G8959" t="str">
        <f>HYPERLINK("https://github.com/niccokunzmann/mundraub-android", "show")</f>
        <v>show</v>
      </c>
      <c r="H8959" t="str">
        <f>HYPERLINK("https://github.com/niccokunzmann/mundraub-android/releases", "show")</f>
        <v>show</v>
      </c>
      <c r="I8959">
        <v>0</v>
      </c>
      <c r="J8959">
        <v>0</v>
      </c>
      <c r="K8959">
        <v>0</v>
      </c>
      <c r="L8959">
        <v>0</v>
      </c>
      <c r="M8959" t="s">
        <v>43</v>
      </c>
    </row>
    <row r="8960" spans="1:13" hidden="1" x14ac:dyDescent="0.15">
      <c r="A8960" t="s">
        <v>28157</v>
      </c>
      <c r="B8960" t="s">
        <v>28158</v>
      </c>
      <c r="C8960" t="s">
        <v>28159</v>
      </c>
      <c r="D8960" t="s">
        <v>28160</v>
      </c>
      <c r="E8960">
        <v>1</v>
      </c>
      <c r="F8960" t="str">
        <f>HYPERLINK("https://github.com/ankidroid/Anki-Android/issues/5002", "show")</f>
        <v>show</v>
      </c>
      <c r="G8960" t="str">
        <f>HYPERLINK("https://github.com/ankidroid/Anki-Android", "show")</f>
        <v>show</v>
      </c>
      <c r="H8960" t="str">
        <f>HYPERLINK("https://github.com/ankidroid/Anki-Android/releases", "show")</f>
        <v>show</v>
      </c>
      <c r="I8960">
        <v>0</v>
      </c>
      <c r="J8960">
        <v>0</v>
      </c>
      <c r="K8960">
        <v>1</v>
      </c>
      <c r="L8960">
        <v>0</v>
      </c>
      <c r="M8960" t="s">
        <v>122</v>
      </c>
    </row>
    <row r="8961" spans="1:13" hidden="1" x14ac:dyDescent="0.15">
      <c r="A8961" t="s">
        <v>28161</v>
      </c>
      <c r="B8961" t="s">
        <v>28162</v>
      </c>
      <c r="C8961" t="s">
        <v>28163</v>
      </c>
      <c r="D8961" t="s">
        <v>28160</v>
      </c>
      <c r="E8961">
        <v>1</v>
      </c>
      <c r="F8961" t="str">
        <f>HYPERLINK("https://github.com/niccokunzmann/mundraub-android/issues/173", "show")</f>
        <v>show</v>
      </c>
      <c r="G8961" t="str">
        <f>HYPERLINK("https://github.com/niccokunzmann/mundraub-android", "show")</f>
        <v>show</v>
      </c>
      <c r="H8961" t="str">
        <f>HYPERLINK("https://github.com/niccokunzmann/mundraub-android/releases", "show")</f>
        <v>show</v>
      </c>
      <c r="I8961">
        <v>0</v>
      </c>
      <c r="J8961">
        <v>0</v>
      </c>
      <c r="K8961">
        <v>0</v>
      </c>
      <c r="L8961">
        <v>0</v>
      </c>
      <c r="M8961" t="s">
        <v>43</v>
      </c>
    </row>
    <row r="8962" spans="1:13" hidden="1" x14ac:dyDescent="0.15">
      <c r="A8962" t="s">
        <v>28164</v>
      </c>
      <c r="B8962" t="s">
        <v>28165</v>
      </c>
      <c r="C8962" t="s">
        <v>28166</v>
      </c>
      <c r="D8962" t="s">
        <v>28160</v>
      </c>
      <c r="E8962">
        <v>21</v>
      </c>
      <c r="F8962" t="str">
        <f>HYPERLINK("https://github.com/novoda/merlin/issues/171", "show")</f>
        <v>show</v>
      </c>
      <c r="G8962" t="str">
        <f>HYPERLINK("https://github.com/novoda/merlin", "show")</f>
        <v>show</v>
      </c>
      <c r="H8962" t="str">
        <f>HYPERLINK("https://github.com/novoda/merlin/releases", "show")</f>
        <v>show</v>
      </c>
      <c r="I8962">
        <v>1</v>
      </c>
      <c r="J8962">
        <v>0</v>
      </c>
      <c r="K8962">
        <v>0</v>
      </c>
      <c r="L8962">
        <v>0</v>
      </c>
      <c r="M8962" t="s">
        <v>17</v>
      </c>
    </row>
    <row r="8963" spans="1:13" hidden="1" x14ac:dyDescent="0.15">
      <c r="A8963" t="s">
        <v>28167</v>
      </c>
      <c r="B8963" t="s">
        <v>28168</v>
      </c>
      <c r="C8963" t="s">
        <v>28169</v>
      </c>
      <c r="D8963" t="s">
        <v>28160</v>
      </c>
      <c r="E8963">
        <v>0</v>
      </c>
      <c r="F8963" t="str">
        <f>HYPERLINK("https://github.com/Barista-Analytics/Barista-Analytics/issues/3", "show")</f>
        <v>show</v>
      </c>
      <c r="G8963" t="str">
        <f>HYPERLINK("https://github.com/Barista-Analytics/Barista-Analytics", "show")</f>
        <v>show</v>
      </c>
      <c r="H8963" t="str">
        <f>HYPERLINK("https://github.com/Barista-Analytics/Barista-Analytics/releases", "show")</f>
        <v>show</v>
      </c>
      <c r="I8963">
        <v>1</v>
      </c>
      <c r="J8963">
        <v>0</v>
      </c>
      <c r="K8963">
        <v>0</v>
      </c>
      <c r="L8963">
        <v>0</v>
      </c>
      <c r="M8963" t="s">
        <v>17</v>
      </c>
    </row>
    <row r="8964" spans="1:13" hidden="1" x14ac:dyDescent="0.15">
      <c r="A8964" t="s">
        <v>28170</v>
      </c>
      <c r="B8964" t="s">
        <v>28171</v>
      </c>
      <c r="C8964" t="s">
        <v>28172</v>
      </c>
      <c r="D8964" t="s">
        <v>28160</v>
      </c>
      <c r="E8964">
        <v>5</v>
      </c>
      <c r="F8964" t="str">
        <f>HYPERLINK("https://github.com/nextcloud/news-android/issues/665", "show")</f>
        <v>show</v>
      </c>
      <c r="G8964" t="str">
        <f>HYPERLINK("https://github.com/nextcloud/news-android", "show")</f>
        <v>show</v>
      </c>
      <c r="H8964" t="str">
        <f>HYPERLINK("https://github.com/nextcloud/news-android/releases", "show")</f>
        <v>show</v>
      </c>
      <c r="I8964">
        <v>1</v>
      </c>
      <c r="J8964">
        <v>0</v>
      </c>
      <c r="K8964">
        <v>1</v>
      </c>
      <c r="L8964">
        <v>0</v>
      </c>
      <c r="M8964" t="s">
        <v>64</v>
      </c>
    </row>
    <row r="8965" spans="1:13" hidden="1" x14ac:dyDescent="0.15">
      <c r="A8965" t="s">
        <v>28173</v>
      </c>
      <c r="B8965" t="s">
        <v>28174</v>
      </c>
      <c r="C8965" t="s">
        <v>28175</v>
      </c>
      <c r="D8965" t="s">
        <v>28160</v>
      </c>
      <c r="E8965">
        <v>0</v>
      </c>
      <c r="F8965" t="str">
        <f>HYPERLINK("https://github.com/Barista-Analytics/Barista-Analytics/issues/2", "show")</f>
        <v>show</v>
      </c>
      <c r="G8965" t="str">
        <f>HYPERLINK("https://github.com/Barista-Analytics/Barista-Analytics", "show")</f>
        <v>show</v>
      </c>
      <c r="H8965" t="str">
        <f>HYPERLINK("https://github.com/Barista-Analytics/Barista-Analytics/releases", "show")</f>
        <v>show</v>
      </c>
      <c r="I8965">
        <v>0</v>
      </c>
      <c r="J8965">
        <v>0</v>
      </c>
      <c r="K8965">
        <v>0</v>
      </c>
      <c r="L8965">
        <v>0</v>
      </c>
      <c r="M8965" t="s">
        <v>43</v>
      </c>
    </row>
    <row r="8966" spans="1:13" hidden="1" x14ac:dyDescent="0.15">
      <c r="A8966" t="s">
        <v>28176</v>
      </c>
      <c r="B8966" t="s">
        <v>28177</v>
      </c>
      <c r="C8966" t="s">
        <v>28178</v>
      </c>
      <c r="D8966" t="s">
        <v>28160</v>
      </c>
      <c r="E8966">
        <v>309</v>
      </c>
      <c r="F8966" t="str">
        <f>HYPERLINK("https://github.com/react-native-camera/react-native-camera/issues/1829", "show")</f>
        <v>show</v>
      </c>
      <c r="G8966" t="str">
        <f>HYPERLINK("https://github.com/react-native-camera/react-native-camera", "show")</f>
        <v>show</v>
      </c>
      <c r="H8966" t="str">
        <f>HYPERLINK("https://github.com/react-native-camera/react-native-camera/releases", "show")</f>
        <v>show</v>
      </c>
      <c r="I8966">
        <v>0</v>
      </c>
      <c r="J8966">
        <v>0</v>
      </c>
      <c r="K8966">
        <v>0</v>
      </c>
      <c r="L8966">
        <v>0</v>
      </c>
      <c r="M8966" t="s">
        <v>43</v>
      </c>
    </row>
    <row r="8967" spans="1:13" hidden="1" x14ac:dyDescent="0.15">
      <c r="A8967" t="s">
        <v>28179</v>
      </c>
      <c r="B8967" t="s">
        <v>28180</v>
      </c>
      <c r="C8967" t="s">
        <v>28181</v>
      </c>
      <c r="D8967" t="s">
        <v>28160</v>
      </c>
      <c r="E8967">
        <v>0</v>
      </c>
      <c r="F8967" t="str">
        <f>HYPERLINK("https://github.com/roseacademies/hedhihelp/issues/1", "show")</f>
        <v>show</v>
      </c>
      <c r="G8967" t="str">
        <f>HYPERLINK("https://github.com/roseacademies/hedhihelp", "show")</f>
        <v>show</v>
      </c>
      <c r="H8967" t="str">
        <f>HYPERLINK("https://github.com/roseacademies/hedhihelp/releases", "show")</f>
        <v>show</v>
      </c>
      <c r="I8967">
        <v>1</v>
      </c>
      <c r="J8967">
        <v>0</v>
      </c>
      <c r="K8967">
        <v>0</v>
      </c>
      <c r="L8967">
        <v>0</v>
      </c>
      <c r="M8967" t="s">
        <v>17</v>
      </c>
    </row>
    <row r="8968" spans="1:13" hidden="1" x14ac:dyDescent="0.15">
      <c r="A8968" t="s">
        <v>28182</v>
      </c>
      <c r="B8968" t="s">
        <v>28183</v>
      </c>
      <c r="C8968" t="s">
        <v>28184</v>
      </c>
      <c r="D8968" t="s">
        <v>28185</v>
      </c>
      <c r="E8968">
        <v>1</v>
      </c>
      <c r="F8968" t="str">
        <f>HYPERLINK("https://github.com/MozillaReality/FirefoxReality/issues/589", "show")</f>
        <v>show</v>
      </c>
      <c r="G8968" t="str">
        <f>HYPERLINK("https://github.com/MozillaReality/FirefoxReality", "show")</f>
        <v>show</v>
      </c>
      <c r="H8968" t="str">
        <f>HYPERLINK("https://github.com/MozillaReality/FirefoxReality/releases", "show")</f>
        <v>show</v>
      </c>
      <c r="I8968">
        <v>0</v>
      </c>
      <c r="J8968">
        <v>0</v>
      </c>
      <c r="K8968">
        <v>1</v>
      </c>
      <c r="L8968">
        <v>0</v>
      </c>
      <c r="M8968" t="s">
        <v>122</v>
      </c>
    </row>
    <row r="8969" spans="1:13" hidden="1" x14ac:dyDescent="0.15">
      <c r="A8969" t="s">
        <v>28186</v>
      </c>
      <c r="B8969" t="s">
        <v>28187</v>
      </c>
      <c r="C8969" t="s">
        <v>28188</v>
      </c>
      <c r="D8969" t="s">
        <v>28185</v>
      </c>
      <c r="E8969">
        <v>40</v>
      </c>
      <c r="F8969" t="str">
        <f>HYPERLINK("https://github.com/gateship-one/odyssey/issues/167", "show")</f>
        <v>show</v>
      </c>
      <c r="G8969" t="str">
        <f>HYPERLINK("https://github.com/gateship-one/odyssey", "show")</f>
        <v>show</v>
      </c>
      <c r="H8969" t="str">
        <f>HYPERLINK("https://github.com/gateship-one/odyssey/releases", "show")</f>
        <v>show</v>
      </c>
      <c r="I8969">
        <v>1</v>
      </c>
      <c r="J8969">
        <v>0</v>
      </c>
      <c r="K8969">
        <v>0</v>
      </c>
      <c r="L8969">
        <v>0</v>
      </c>
      <c r="M8969" t="s">
        <v>17</v>
      </c>
    </row>
    <row r="8970" spans="1:13" hidden="1" x14ac:dyDescent="0.15">
      <c r="A8970" t="s">
        <v>28189</v>
      </c>
      <c r="B8970" t="s">
        <v>28190</v>
      </c>
      <c r="C8970" t="s">
        <v>28191</v>
      </c>
      <c r="D8970" t="s">
        <v>28185</v>
      </c>
      <c r="E8970">
        <v>0</v>
      </c>
      <c r="F8970" t="str">
        <f>HYPERLINK("https://github.com/ZeevoX/Ocquarium/issues/49", "show")</f>
        <v>show</v>
      </c>
      <c r="G8970" t="str">
        <f>HYPERLINK("https://github.com/ZeevoX/Ocquarium", "show")</f>
        <v>show</v>
      </c>
      <c r="H8970" t="str">
        <f>HYPERLINK("https://github.com/ZeevoX/Ocquarium/releases", "show")</f>
        <v>show</v>
      </c>
      <c r="I8970">
        <v>0</v>
      </c>
      <c r="J8970">
        <v>0</v>
      </c>
      <c r="K8970">
        <v>0</v>
      </c>
      <c r="L8970">
        <v>0</v>
      </c>
      <c r="M8970" t="s">
        <v>43</v>
      </c>
    </row>
    <row r="8971" spans="1:13" hidden="1" x14ac:dyDescent="0.15">
      <c r="A8971" t="s">
        <v>28192</v>
      </c>
      <c r="B8971" t="s">
        <v>28193</v>
      </c>
      <c r="C8971" t="s">
        <v>28194</v>
      </c>
      <c r="D8971" t="s">
        <v>28185</v>
      </c>
      <c r="E8971">
        <v>6</v>
      </c>
      <c r="F8971" t="str">
        <f>HYPERLINK("https://github.com/NineWorlds/serenity-android/issues/377", "show")</f>
        <v>show</v>
      </c>
      <c r="G8971" t="str">
        <f>HYPERLINK("https://github.com/NineWorlds/serenity-android", "show")</f>
        <v>show</v>
      </c>
      <c r="H8971" t="str">
        <f>HYPERLINK("https://github.com/NineWorlds/serenity-android/releases", "show")</f>
        <v>show</v>
      </c>
      <c r="I8971">
        <v>1</v>
      </c>
      <c r="J8971">
        <v>1</v>
      </c>
      <c r="K8971">
        <v>0</v>
      </c>
      <c r="L8971">
        <v>0</v>
      </c>
      <c r="M8971" t="s">
        <v>48</v>
      </c>
    </row>
    <row r="8972" spans="1:13" x14ac:dyDescent="0.15">
      <c r="A8972" t="s">
        <v>28195</v>
      </c>
      <c r="B8972" t="s">
        <v>28196</v>
      </c>
      <c r="C8972" t="s">
        <v>28197</v>
      </c>
      <c r="D8972" t="s">
        <v>28185</v>
      </c>
      <c r="E8972">
        <v>215</v>
      </c>
      <c r="F8972" t="str">
        <f>HYPERLINK("https://github.com/nikita36078/J2ME-Loader/issues/387", "show")</f>
        <v>show</v>
      </c>
      <c r="G8972" t="str">
        <f>HYPERLINK("https://github.com/nikita36078/J2ME-Loader", "show")</f>
        <v>show</v>
      </c>
      <c r="H8972" t="str">
        <f>HYPERLINK("https://github.com/nikita36078/J2ME-Loader/releases", "show")</f>
        <v>show</v>
      </c>
      <c r="I8972">
        <v>0</v>
      </c>
      <c r="J8972">
        <v>1</v>
      </c>
      <c r="K8972">
        <v>0</v>
      </c>
      <c r="L8972">
        <v>0</v>
      </c>
      <c r="M8972" t="s">
        <v>139</v>
      </c>
    </row>
    <row r="8973" spans="1:13" hidden="1" x14ac:dyDescent="0.15">
      <c r="A8973" t="s">
        <v>28198</v>
      </c>
      <c r="B8973" t="s">
        <v>28199</v>
      </c>
      <c r="C8973" t="s">
        <v>28200</v>
      </c>
      <c r="D8973" t="s">
        <v>28201</v>
      </c>
      <c r="E8973">
        <v>2</v>
      </c>
      <c r="F8973" t="str">
        <f>HYPERLINK("https://github.com/brodeurlv/fastnfitness/issues/42", "show")</f>
        <v>show</v>
      </c>
      <c r="G8973" t="str">
        <f>HYPERLINK("https://github.com/brodeurlv/fastnfitness", "show")</f>
        <v>show</v>
      </c>
      <c r="H8973" t="str">
        <f>HYPERLINK("https://github.com/brodeurlv/fastnfitness/releases", "show")</f>
        <v>show</v>
      </c>
      <c r="I8973">
        <v>1</v>
      </c>
      <c r="J8973">
        <v>0</v>
      </c>
      <c r="K8973">
        <v>0</v>
      </c>
      <c r="L8973">
        <v>0</v>
      </c>
      <c r="M8973" t="s">
        <v>17</v>
      </c>
    </row>
    <row r="8974" spans="1:13" hidden="1" x14ac:dyDescent="0.15">
      <c r="A8974" t="s">
        <v>28202</v>
      </c>
      <c r="B8974" t="s">
        <v>28203</v>
      </c>
      <c r="C8974" t="s">
        <v>28204</v>
      </c>
      <c r="D8974" t="s">
        <v>28201</v>
      </c>
      <c r="E8974">
        <v>7</v>
      </c>
      <c r="F8974" t="str">
        <f>HYPERLINK("https://github.com/yeriomin/YalpStore/issues/532", "show")</f>
        <v>show</v>
      </c>
      <c r="G8974" t="str">
        <f>HYPERLINK("https://github.com/yeriomin/YalpStore", "show")</f>
        <v>show</v>
      </c>
      <c r="H8974" t="str">
        <f>HYPERLINK("https://github.com/yeriomin/YalpStore/releases", "show")</f>
        <v>show</v>
      </c>
      <c r="I8974">
        <v>1</v>
      </c>
      <c r="J8974">
        <v>0</v>
      </c>
      <c r="K8974">
        <v>1</v>
      </c>
      <c r="L8974">
        <v>0</v>
      </c>
      <c r="M8974" t="s">
        <v>64</v>
      </c>
    </row>
    <row r="8975" spans="1:13" hidden="1" x14ac:dyDescent="0.15">
      <c r="A8975" t="s">
        <v>28205</v>
      </c>
      <c r="B8975" t="s">
        <v>28206</v>
      </c>
      <c r="C8975" t="s">
        <v>28207</v>
      </c>
      <c r="D8975" t="s">
        <v>28201</v>
      </c>
      <c r="E8975">
        <v>0</v>
      </c>
      <c r="F8975" t="str">
        <f>HYPERLINK("https://github.com/ankidroid/Anki-Android/issues/5000", "show")</f>
        <v>show</v>
      </c>
      <c r="G8975" t="str">
        <f>HYPERLINK("https://github.com/ankidroid/Anki-Android", "show")</f>
        <v>show</v>
      </c>
      <c r="H8975" t="str">
        <f>HYPERLINK("https://github.com/ankidroid/Anki-Android/releases", "show")</f>
        <v>show</v>
      </c>
      <c r="I8975">
        <v>0</v>
      </c>
      <c r="J8975">
        <v>1</v>
      </c>
      <c r="K8975">
        <v>1</v>
      </c>
      <c r="L8975">
        <v>0</v>
      </c>
      <c r="M8975" t="s">
        <v>699</v>
      </c>
    </row>
    <row r="8976" spans="1:13" hidden="1" x14ac:dyDescent="0.15">
      <c r="A8976" t="s">
        <v>28208</v>
      </c>
      <c r="B8976" t="s">
        <v>28209</v>
      </c>
      <c r="C8976" t="s">
        <v>28210</v>
      </c>
      <c r="D8976" t="s">
        <v>28211</v>
      </c>
      <c r="E8976">
        <v>0</v>
      </c>
      <c r="F8976" t="str">
        <f>HYPERLINK("https://github.com/niccokunzmann/mundraub-android/issues/171", "show")</f>
        <v>show</v>
      </c>
      <c r="G8976" t="str">
        <f>HYPERLINK("https://github.com/niccokunzmann/mundraub-android", "show")</f>
        <v>show</v>
      </c>
      <c r="H8976" t="str">
        <f>HYPERLINK("https://github.com/niccokunzmann/mundraub-android/releases", "show")</f>
        <v>show</v>
      </c>
      <c r="I8976">
        <v>1</v>
      </c>
      <c r="J8976">
        <v>0</v>
      </c>
      <c r="K8976">
        <v>0</v>
      </c>
      <c r="L8976">
        <v>0</v>
      </c>
      <c r="M8976" t="s">
        <v>17</v>
      </c>
    </row>
    <row r="8977" spans="1:13" hidden="1" x14ac:dyDescent="0.15">
      <c r="A8977" t="s">
        <v>28212</v>
      </c>
      <c r="B8977" t="s">
        <v>28213</v>
      </c>
      <c r="C8977" t="s">
        <v>28214</v>
      </c>
      <c r="D8977" t="s">
        <v>28211</v>
      </c>
      <c r="E8977">
        <v>5</v>
      </c>
      <c r="F8977" t="str">
        <f>HYPERLINK("https://github.com/niccokunzmann/mundraub-android/issues/170", "show")</f>
        <v>show</v>
      </c>
      <c r="G8977" t="str">
        <f>HYPERLINK("https://github.com/niccokunzmann/mundraub-android", "show")</f>
        <v>show</v>
      </c>
      <c r="H8977" t="str">
        <f>HYPERLINK("https://github.com/niccokunzmann/mundraub-android/releases", "show")</f>
        <v>show</v>
      </c>
      <c r="I8977">
        <v>0</v>
      </c>
      <c r="J8977">
        <v>0</v>
      </c>
      <c r="K8977">
        <v>1</v>
      </c>
      <c r="L8977">
        <v>0</v>
      </c>
      <c r="M8977" t="s">
        <v>122</v>
      </c>
    </row>
    <row r="8978" spans="1:13" hidden="1" x14ac:dyDescent="0.15">
      <c r="A8978" t="s">
        <v>28215</v>
      </c>
      <c r="B8978" t="s">
        <v>28216</v>
      </c>
      <c r="C8978" t="s">
        <v>28217</v>
      </c>
      <c r="D8978" t="s">
        <v>28211</v>
      </c>
      <c r="E8978">
        <v>5</v>
      </c>
      <c r="F8978" t="str">
        <f>HYPERLINK("https://github.com/niccokunzmann/mundraub-android/issues/169", "show")</f>
        <v>show</v>
      </c>
      <c r="G8978" t="str">
        <f>HYPERLINK("https://github.com/niccokunzmann/mundraub-android", "show")</f>
        <v>show</v>
      </c>
      <c r="H8978" t="str">
        <f>HYPERLINK("https://github.com/niccokunzmann/mundraub-android/releases", "show")</f>
        <v>show</v>
      </c>
      <c r="I8978">
        <v>1</v>
      </c>
      <c r="J8978">
        <v>0</v>
      </c>
      <c r="K8978">
        <v>0</v>
      </c>
      <c r="L8978">
        <v>0</v>
      </c>
      <c r="M8978" t="s">
        <v>17</v>
      </c>
    </row>
    <row r="8979" spans="1:13" hidden="1" x14ac:dyDescent="0.15">
      <c r="A8979" t="s">
        <v>28218</v>
      </c>
      <c r="B8979" t="s">
        <v>28219</v>
      </c>
      <c r="C8979" t="s">
        <v>28220</v>
      </c>
      <c r="D8979" t="s">
        <v>28211</v>
      </c>
      <c r="E8979">
        <v>0</v>
      </c>
      <c r="F8979" t="str">
        <f>HYPERLINK("https://github.com/niccokunzmann/mundraub-android/issues/168", "show")</f>
        <v>show</v>
      </c>
      <c r="G8979" t="str">
        <f>HYPERLINK("https://github.com/niccokunzmann/mundraub-android", "show")</f>
        <v>show</v>
      </c>
      <c r="H8979" t="str">
        <f>HYPERLINK("https://github.com/niccokunzmann/mundraub-android/releases", "show")</f>
        <v>show</v>
      </c>
      <c r="I8979">
        <v>0</v>
      </c>
      <c r="J8979">
        <v>0</v>
      </c>
      <c r="K8979">
        <v>0</v>
      </c>
      <c r="L8979">
        <v>0</v>
      </c>
      <c r="M8979" t="s">
        <v>43</v>
      </c>
    </row>
    <row r="8980" spans="1:13" hidden="1" x14ac:dyDescent="0.15">
      <c r="A8980" t="s">
        <v>28221</v>
      </c>
      <c r="B8980" t="s">
        <v>28222</v>
      </c>
      <c r="C8980" t="s">
        <v>28223</v>
      </c>
      <c r="D8980" t="s">
        <v>28224</v>
      </c>
      <c r="E8980">
        <v>18</v>
      </c>
      <c r="F8980" t="str">
        <f>HYPERLINK("https://github.com/Swati4star/Images-to-PDF/issues/438", "show")</f>
        <v>show</v>
      </c>
      <c r="G8980" t="str">
        <f>HYPERLINK("https://github.com/Swati4star/Images-to-PDF", "show")</f>
        <v>show</v>
      </c>
      <c r="H8980" t="str">
        <f>HYPERLINK("https://github.com/Swati4star/Images-to-PDF/releases", "show")</f>
        <v>show</v>
      </c>
      <c r="I8980">
        <v>0</v>
      </c>
      <c r="J8980">
        <v>1</v>
      </c>
      <c r="K8980">
        <v>1</v>
      </c>
      <c r="L8980">
        <v>0</v>
      </c>
      <c r="M8980" t="s">
        <v>699</v>
      </c>
    </row>
    <row r="8981" spans="1:13" hidden="1" x14ac:dyDescent="0.15">
      <c r="A8981" t="s">
        <v>28225</v>
      </c>
      <c r="B8981" t="s">
        <v>28226</v>
      </c>
      <c r="C8981" t="s">
        <v>28227</v>
      </c>
      <c r="D8981" t="s">
        <v>28228</v>
      </c>
      <c r="E8981">
        <v>610</v>
      </c>
      <c r="F8981" t="str">
        <f>HYPERLINK("https://github.com/MozillaReality/FirefoxReality/issues/586", "show")</f>
        <v>show</v>
      </c>
      <c r="G8981" t="str">
        <f>HYPERLINK("https://github.com/MozillaReality/FirefoxReality", "show")</f>
        <v>show</v>
      </c>
      <c r="H8981" t="str">
        <f>HYPERLINK("https://github.com/MozillaReality/FirefoxReality/releases", "show")</f>
        <v>show</v>
      </c>
      <c r="I8981">
        <v>1</v>
      </c>
      <c r="J8981">
        <v>0</v>
      </c>
      <c r="K8981">
        <v>0</v>
      </c>
      <c r="L8981">
        <v>0</v>
      </c>
      <c r="M8981" t="s">
        <v>17</v>
      </c>
    </row>
    <row r="8982" spans="1:13" hidden="1" x14ac:dyDescent="0.15">
      <c r="A8982" t="s">
        <v>28229</v>
      </c>
      <c r="B8982" t="s">
        <v>28230</v>
      </c>
      <c r="C8982" t="s">
        <v>28231</v>
      </c>
      <c r="D8982" t="s">
        <v>28232</v>
      </c>
      <c r="E8982">
        <v>2</v>
      </c>
      <c r="F8982" t="str">
        <f>HYPERLINK("https://github.com/ThmmyNoLife/mTHMMY/issues/56", "show")</f>
        <v>show</v>
      </c>
      <c r="G8982" t="str">
        <f>HYPERLINK("https://github.com/ThmmyNoLife/mTHMMY", "show")</f>
        <v>show</v>
      </c>
      <c r="H8982" t="str">
        <f>HYPERLINK("https://github.com/ThmmyNoLife/mTHMMY/releases", "show")</f>
        <v>show</v>
      </c>
      <c r="I8982">
        <v>1</v>
      </c>
      <c r="J8982">
        <v>1</v>
      </c>
      <c r="K8982">
        <v>0</v>
      </c>
      <c r="L8982">
        <v>0</v>
      </c>
      <c r="M8982" t="s">
        <v>48</v>
      </c>
    </row>
    <row r="8983" spans="1:13" hidden="1" x14ac:dyDescent="0.15">
      <c r="A8983" t="s">
        <v>28233</v>
      </c>
      <c r="B8983" t="s">
        <v>28234</v>
      </c>
      <c r="C8983" t="s">
        <v>28235</v>
      </c>
      <c r="D8983" t="s">
        <v>28232</v>
      </c>
      <c r="E8983">
        <v>2</v>
      </c>
      <c r="F8983" t="str">
        <f>HYPERLINK("https://github.com/niccokunzmann/mundraub-android/issues/162", "show")</f>
        <v>show</v>
      </c>
      <c r="G8983" t="str">
        <f>HYPERLINK("https://github.com/niccokunzmann/mundraub-android", "show")</f>
        <v>show</v>
      </c>
      <c r="H8983" t="str">
        <f>HYPERLINK("https://github.com/niccokunzmann/mundraub-android/releases", "show")</f>
        <v>show</v>
      </c>
      <c r="I8983">
        <v>0</v>
      </c>
      <c r="J8983">
        <v>0</v>
      </c>
      <c r="K8983">
        <v>0</v>
      </c>
      <c r="L8983">
        <v>0</v>
      </c>
      <c r="M8983" t="s">
        <v>43</v>
      </c>
    </row>
    <row r="8984" spans="1:13" x14ac:dyDescent="0.15">
      <c r="A8984" t="s">
        <v>28236</v>
      </c>
      <c r="B8984" t="s">
        <v>28237</v>
      </c>
      <c r="C8984" t="s">
        <v>28238</v>
      </c>
      <c r="D8984" t="s">
        <v>28232</v>
      </c>
      <c r="E8984">
        <v>0</v>
      </c>
      <c r="F8984" t="str">
        <f>HYPERLINK("https://github.com/niccokunzmann/mundraub-android/issues/161", "show")</f>
        <v>show</v>
      </c>
      <c r="G8984" t="str">
        <f>HYPERLINK("https://github.com/niccokunzmann/mundraub-android", "show")</f>
        <v>show</v>
      </c>
      <c r="H8984" t="str">
        <f>HYPERLINK("https://github.com/niccokunzmann/mundraub-android/releases", "show")</f>
        <v>show</v>
      </c>
      <c r="I8984">
        <v>0</v>
      </c>
      <c r="J8984">
        <v>1</v>
      </c>
      <c r="K8984">
        <v>0</v>
      </c>
      <c r="L8984">
        <v>0</v>
      </c>
      <c r="M8984" t="s">
        <v>139</v>
      </c>
    </row>
    <row r="8985" spans="1:13" hidden="1" x14ac:dyDescent="0.15">
      <c r="A8985" t="s">
        <v>28239</v>
      </c>
      <c r="B8985" t="s">
        <v>28240</v>
      </c>
      <c r="C8985" t="s">
        <v>28241</v>
      </c>
      <c r="D8985" t="s">
        <v>28232</v>
      </c>
      <c r="E8985">
        <v>0</v>
      </c>
      <c r="F8985" t="str">
        <f>HYPERLINK("https://github.com/niccokunzmann/mundraub-android/issues/157", "show")</f>
        <v>show</v>
      </c>
      <c r="G8985" t="str">
        <f>HYPERLINK("https://github.com/niccokunzmann/mundraub-android", "show")</f>
        <v>show</v>
      </c>
      <c r="H8985" t="str">
        <f>HYPERLINK("https://github.com/niccokunzmann/mundraub-android/releases", "show")</f>
        <v>show</v>
      </c>
      <c r="I8985">
        <v>0</v>
      </c>
      <c r="J8985">
        <v>0</v>
      </c>
      <c r="K8985">
        <v>0</v>
      </c>
      <c r="L8985">
        <v>0</v>
      </c>
      <c r="M8985" t="s">
        <v>43</v>
      </c>
    </row>
    <row r="8986" spans="1:13" hidden="1" x14ac:dyDescent="0.15">
      <c r="A8986" t="s">
        <v>28242</v>
      </c>
      <c r="B8986" t="s">
        <v>28243</v>
      </c>
      <c r="C8986" t="s">
        <v>28244</v>
      </c>
      <c r="D8986" t="s">
        <v>28232</v>
      </c>
      <c r="E8986">
        <v>0</v>
      </c>
      <c r="F8986" t="str">
        <f>HYPERLINK("https://github.com/flyve-mdm/android-inventory-library/issues/162", "show")</f>
        <v>show</v>
      </c>
      <c r="G8986" t="str">
        <f>HYPERLINK("https://github.com/flyve-mdm/android-inventory-library", "show")</f>
        <v>show</v>
      </c>
      <c r="H8986" t="str">
        <f>HYPERLINK("https://github.com/flyve-mdm/android-inventory-library/releases", "show")</f>
        <v>show</v>
      </c>
      <c r="I8986">
        <v>1</v>
      </c>
      <c r="J8986">
        <v>0</v>
      </c>
      <c r="K8986">
        <v>0</v>
      </c>
      <c r="L8986">
        <v>0</v>
      </c>
      <c r="M8986" t="s">
        <v>17</v>
      </c>
    </row>
    <row r="8987" spans="1:13" hidden="1" x14ac:dyDescent="0.15">
      <c r="A8987" t="s">
        <v>28245</v>
      </c>
      <c r="B8987" t="s">
        <v>28246</v>
      </c>
      <c r="C8987" t="s">
        <v>28247</v>
      </c>
      <c r="D8987" t="s">
        <v>28248</v>
      </c>
      <c r="E8987">
        <v>13</v>
      </c>
      <c r="F8987" t="str">
        <f>HYPERLINK("https://github.com/mapbox/mapbox-events-android/issues/222", "show")</f>
        <v>show</v>
      </c>
      <c r="G8987" t="str">
        <f>HYPERLINK("https://github.com/mapbox/mapbox-events-android", "show")</f>
        <v>show</v>
      </c>
      <c r="H8987" t="str">
        <f>HYPERLINK("https://github.com/mapbox/mapbox-events-android/releases", "show")</f>
        <v>show</v>
      </c>
      <c r="I8987">
        <v>0</v>
      </c>
      <c r="J8987">
        <v>0</v>
      </c>
      <c r="K8987">
        <v>0</v>
      </c>
      <c r="L8987">
        <v>0</v>
      </c>
      <c r="M8987" t="s">
        <v>43</v>
      </c>
    </row>
    <row r="8988" spans="1:13" hidden="1" x14ac:dyDescent="0.15">
      <c r="A8988" t="s">
        <v>28249</v>
      </c>
      <c r="B8988" t="s">
        <v>28250</v>
      </c>
      <c r="C8988" t="s">
        <v>28251</v>
      </c>
      <c r="D8988" t="s">
        <v>28248</v>
      </c>
      <c r="E8988">
        <v>0</v>
      </c>
      <c r="F8988" t="str">
        <f>HYPERLINK("https://github.com/mapbox/mapbox-events-android/issues/221", "show")</f>
        <v>show</v>
      </c>
      <c r="G8988" t="str">
        <f>HYPERLINK("https://github.com/mapbox/mapbox-events-android", "show")</f>
        <v>show</v>
      </c>
      <c r="H8988" t="str">
        <f>HYPERLINK("https://github.com/mapbox/mapbox-events-android/releases", "show")</f>
        <v>show</v>
      </c>
      <c r="I8988">
        <v>1</v>
      </c>
      <c r="J8988">
        <v>0</v>
      </c>
      <c r="K8988">
        <v>0</v>
      </c>
      <c r="L8988">
        <v>0</v>
      </c>
      <c r="M8988" t="s">
        <v>17</v>
      </c>
    </row>
    <row r="8989" spans="1:13" hidden="1" x14ac:dyDescent="0.15">
      <c r="A8989" t="s">
        <v>28252</v>
      </c>
      <c r="B8989" t="s">
        <v>28253</v>
      </c>
      <c r="C8989" t="s">
        <v>28254</v>
      </c>
      <c r="D8989" t="s">
        <v>28248</v>
      </c>
      <c r="E8989">
        <v>77</v>
      </c>
      <c r="F8989" t="str">
        <f>HYPERLINK("https://github.com/google/mobly-bundled-snippets/issues/101", "show")</f>
        <v>show</v>
      </c>
      <c r="G8989" t="str">
        <f>HYPERLINK("https://github.com/google/mobly-bundled-snippets", "show")</f>
        <v>show</v>
      </c>
      <c r="H8989" t="str">
        <f>HYPERLINK("https://github.com/google/mobly-bundled-snippets/releases", "show")</f>
        <v>show</v>
      </c>
      <c r="I8989">
        <v>0</v>
      </c>
      <c r="J8989">
        <v>0</v>
      </c>
      <c r="K8989">
        <v>0</v>
      </c>
      <c r="L8989">
        <v>0</v>
      </c>
      <c r="M8989" t="s">
        <v>43</v>
      </c>
    </row>
    <row r="8990" spans="1:13" hidden="1" x14ac:dyDescent="0.15">
      <c r="A8990" t="s">
        <v>28255</v>
      </c>
      <c r="B8990" t="s">
        <v>28256</v>
      </c>
      <c r="C8990" t="s">
        <v>28257</v>
      </c>
      <c r="D8990" t="s">
        <v>28248</v>
      </c>
      <c r="E8990">
        <v>106</v>
      </c>
      <c r="F8990" t="str">
        <f>HYPERLINK("https://github.com/medyo/android-about-page/issues/119", "show")</f>
        <v>show</v>
      </c>
      <c r="G8990" t="str">
        <f>HYPERLINK("https://github.com/medyo/android-about-page", "show")</f>
        <v>show</v>
      </c>
      <c r="H8990" t="str">
        <f>HYPERLINK("https://github.com/medyo/android-about-page/releases", "show")</f>
        <v>show</v>
      </c>
      <c r="I8990">
        <v>1</v>
      </c>
      <c r="J8990">
        <v>0</v>
      </c>
      <c r="K8990">
        <v>1</v>
      </c>
      <c r="L8990">
        <v>0</v>
      </c>
      <c r="M8990" t="s">
        <v>64</v>
      </c>
    </row>
    <row r="8991" spans="1:13" hidden="1" x14ac:dyDescent="0.15">
      <c r="A8991" t="s">
        <v>28258</v>
      </c>
      <c r="B8991" t="s">
        <v>28259</v>
      </c>
      <c r="C8991" t="s">
        <v>28260</v>
      </c>
      <c r="D8991" t="s">
        <v>28261</v>
      </c>
      <c r="E8991">
        <v>78</v>
      </c>
      <c r="F8991" t="str">
        <f>HYPERLINK("https://github.com/DigitalCampus/oppia-mobile-android/issues/738", "show")</f>
        <v>show</v>
      </c>
      <c r="G8991" t="str">
        <f>HYPERLINK("https://github.com/DigitalCampus/oppia-mobile-android", "show")</f>
        <v>show</v>
      </c>
      <c r="H8991" t="str">
        <f>HYPERLINK("https://github.com/DigitalCampus/oppia-mobile-android/releases", "show")</f>
        <v>show</v>
      </c>
      <c r="I8991">
        <v>1</v>
      </c>
      <c r="J8991">
        <v>0</v>
      </c>
      <c r="K8991">
        <v>0</v>
      </c>
      <c r="L8991">
        <v>0</v>
      </c>
      <c r="M8991" t="s">
        <v>17</v>
      </c>
    </row>
    <row r="8992" spans="1:13" hidden="1" x14ac:dyDescent="0.15">
      <c r="A8992" t="s">
        <v>28262</v>
      </c>
      <c r="B8992" t="s">
        <v>28263</v>
      </c>
      <c r="C8992" t="s">
        <v>28264</v>
      </c>
      <c r="D8992" t="s">
        <v>28261</v>
      </c>
      <c r="E8992">
        <v>2</v>
      </c>
      <c r="F8992" t="str">
        <f>HYPERLINK("https://github.com/jMonkeyEngine/jmonkeyengine/issues/908", "show")</f>
        <v>show</v>
      </c>
      <c r="G8992" t="str">
        <f>HYPERLINK("https://github.com/jMonkeyEngine/jmonkeyengine", "show")</f>
        <v>show</v>
      </c>
      <c r="H8992" t="str">
        <f>HYPERLINK("https://github.com/jMonkeyEngine/jmonkeyengine/releases", "show")</f>
        <v>show</v>
      </c>
      <c r="I8992">
        <v>0</v>
      </c>
      <c r="J8992">
        <v>0</v>
      </c>
      <c r="K8992">
        <v>0</v>
      </c>
      <c r="L8992">
        <v>0</v>
      </c>
      <c r="M8992" t="s">
        <v>43</v>
      </c>
    </row>
    <row r="8993" spans="1:13" hidden="1" x14ac:dyDescent="0.15">
      <c r="A8993" t="s">
        <v>28265</v>
      </c>
      <c r="B8993" t="s">
        <v>28266</v>
      </c>
      <c r="C8993" t="s">
        <v>28267</v>
      </c>
      <c r="D8993" t="s">
        <v>28268</v>
      </c>
      <c r="E8993">
        <v>25</v>
      </c>
      <c r="F8993" t="str">
        <f>HYPERLINK("https://github.com/asuc-octo/berkeley-mobile-android/issues/82", "show")</f>
        <v>show</v>
      </c>
      <c r="G8993" t="str">
        <f>HYPERLINK("https://github.com/asuc-octo/berkeley-mobile-android", "show")</f>
        <v>show</v>
      </c>
      <c r="H8993" t="str">
        <f>HYPERLINK("https://github.com/asuc-octo/berkeley-mobile-android/releases", "show")</f>
        <v>show</v>
      </c>
      <c r="I8993">
        <v>1</v>
      </c>
      <c r="J8993">
        <v>0</v>
      </c>
      <c r="K8993">
        <v>0</v>
      </c>
      <c r="L8993">
        <v>0</v>
      </c>
      <c r="M8993" t="s">
        <v>17</v>
      </c>
    </row>
    <row r="8994" spans="1:13" hidden="1" x14ac:dyDescent="0.15">
      <c r="A8994" t="s">
        <v>28269</v>
      </c>
      <c r="B8994" t="s">
        <v>28270</v>
      </c>
      <c r="C8994" t="s">
        <v>28271</v>
      </c>
      <c r="D8994" t="s">
        <v>28268</v>
      </c>
      <c r="E8994">
        <v>10</v>
      </c>
      <c r="F8994" t="str">
        <f>HYPERLINK("https://github.com/niccokunzmann/mundraub-android/issues/153", "show")</f>
        <v>show</v>
      </c>
      <c r="G8994" t="str">
        <f>HYPERLINK("https://github.com/niccokunzmann/mundraub-android", "show")</f>
        <v>show</v>
      </c>
      <c r="H8994" t="str">
        <f>HYPERLINK("https://github.com/niccokunzmann/mundraub-android/releases", "show")</f>
        <v>show</v>
      </c>
      <c r="I8994">
        <v>0</v>
      </c>
      <c r="J8994">
        <v>0</v>
      </c>
      <c r="K8994">
        <v>0</v>
      </c>
      <c r="L8994">
        <v>0</v>
      </c>
      <c r="M8994" t="s">
        <v>43</v>
      </c>
    </row>
    <row r="8995" spans="1:13" hidden="1" x14ac:dyDescent="0.15">
      <c r="A8995" t="s">
        <v>28272</v>
      </c>
      <c r="B8995" t="s">
        <v>28273</v>
      </c>
      <c r="C8995" t="s">
        <v>28274</v>
      </c>
      <c r="D8995" t="s">
        <v>28275</v>
      </c>
      <c r="E8995">
        <v>186</v>
      </c>
      <c r="F8995" t="str">
        <f>HYPERLINK("https://github.com/fossasia/phimpme-android/issues/2174", "show")</f>
        <v>show</v>
      </c>
      <c r="G8995" t="str">
        <f>HYPERLINK("https://github.com/fossasia/phimpme-android", "show")</f>
        <v>show</v>
      </c>
      <c r="H8995" t="str">
        <f>HYPERLINK("https://github.com/fossasia/phimpme-android/releases", "show")</f>
        <v>show</v>
      </c>
      <c r="I8995">
        <v>1</v>
      </c>
      <c r="J8995">
        <v>1</v>
      </c>
      <c r="K8995">
        <v>0</v>
      </c>
      <c r="L8995">
        <v>0</v>
      </c>
      <c r="M8995" t="s">
        <v>48</v>
      </c>
    </row>
    <row r="8996" spans="1:13" hidden="1" x14ac:dyDescent="0.15">
      <c r="A8996" t="s">
        <v>28276</v>
      </c>
      <c r="B8996" t="s">
        <v>28277</v>
      </c>
      <c r="C8996" t="s">
        <v>28278</v>
      </c>
      <c r="D8996" t="s">
        <v>28275</v>
      </c>
      <c r="E8996">
        <v>732</v>
      </c>
      <c r="F8996" t="str">
        <f>HYPERLINK("https://github.com/cgeo/cgeo/issues/7142", "show")</f>
        <v>show</v>
      </c>
      <c r="G8996" t="str">
        <f>HYPERLINK("https://github.com/cgeo/cgeo", "show")</f>
        <v>show</v>
      </c>
      <c r="H8996" t="str">
        <f>HYPERLINK("https://github.com/cgeo/cgeo/releases", "show")</f>
        <v>show</v>
      </c>
      <c r="I8996">
        <v>1</v>
      </c>
      <c r="J8996">
        <v>1</v>
      </c>
      <c r="K8996">
        <v>0</v>
      </c>
      <c r="L8996">
        <v>0</v>
      </c>
      <c r="M8996" t="s">
        <v>48</v>
      </c>
    </row>
    <row r="8997" spans="1:13" hidden="1" x14ac:dyDescent="0.15">
      <c r="A8997" t="s">
        <v>28279</v>
      </c>
      <c r="B8997" t="s">
        <v>28280</v>
      </c>
      <c r="C8997" t="s">
        <v>28281</v>
      </c>
      <c r="D8997" t="s">
        <v>28275</v>
      </c>
      <c r="E8997">
        <v>371</v>
      </c>
      <c r="F8997" t="str">
        <f>HYPERLINK("https://github.com/react-native-svg/react-native-svg/issues/789", "show")</f>
        <v>show</v>
      </c>
      <c r="G8997" t="str">
        <f>HYPERLINK("https://github.com/react-native-svg/react-native-svg", "show")</f>
        <v>show</v>
      </c>
      <c r="H8997" t="str">
        <f>HYPERLINK("https://github.com/react-native-svg/react-native-svg/releases", "show")</f>
        <v>show</v>
      </c>
      <c r="I8997">
        <v>1</v>
      </c>
      <c r="J8997">
        <v>1</v>
      </c>
      <c r="K8997">
        <v>0</v>
      </c>
      <c r="L8997">
        <v>0</v>
      </c>
      <c r="M8997" t="s">
        <v>48</v>
      </c>
    </row>
    <row r="8998" spans="1:13" hidden="1" x14ac:dyDescent="0.15">
      <c r="A8998" t="s">
        <v>28282</v>
      </c>
      <c r="B8998" t="s">
        <v>28283</v>
      </c>
      <c r="C8998" t="s">
        <v>28284</v>
      </c>
      <c r="D8998" t="s">
        <v>28285</v>
      </c>
      <c r="E8998">
        <v>1</v>
      </c>
      <c r="F8998" t="str">
        <f>HYPERLINK("https://github.com/niccokunzmann/mundraub-android/issues/151", "show")</f>
        <v>show</v>
      </c>
      <c r="G8998" t="str">
        <f>HYPERLINK("https://github.com/niccokunzmann/mundraub-android", "show")</f>
        <v>show</v>
      </c>
      <c r="H8998" t="str">
        <f>HYPERLINK("https://github.com/niccokunzmann/mundraub-android/releases", "show")</f>
        <v>show</v>
      </c>
      <c r="I8998">
        <v>0</v>
      </c>
      <c r="J8998">
        <v>0</v>
      </c>
      <c r="K8998">
        <v>0</v>
      </c>
      <c r="L8998">
        <v>0</v>
      </c>
      <c r="M8998" t="s">
        <v>43</v>
      </c>
    </row>
    <row r="8999" spans="1:13" hidden="1" x14ac:dyDescent="0.15">
      <c r="A8999" t="s">
        <v>28286</v>
      </c>
      <c r="B8999" t="s">
        <v>28287</v>
      </c>
      <c r="C8999" t="s">
        <v>28288</v>
      </c>
      <c r="D8999" t="s">
        <v>28285</v>
      </c>
      <c r="E8999">
        <v>25</v>
      </c>
      <c r="F8999" t="str">
        <f>HYPERLINK("https://github.com/MozillaReality/FirefoxReality/issues/564", "show")</f>
        <v>show</v>
      </c>
      <c r="G8999" t="str">
        <f>HYPERLINK("https://github.com/MozillaReality/FirefoxReality", "show")</f>
        <v>show</v>
      </c>
      <c r="H8999" t="str">
        <f>HYPERLINK("https://github.com/MozillaReality/FirefoxReality/releases", "show")</f>
        <v>show</v>
      </c>
      <c r="I8999">
        <v>1</v>
      </c>
      <c r="J8999">
        <v>1</v>
      </c>
      <c r="K8999">
        <v>0</v>
      </c>
      <c r="L8999">
        <v>0</v>
      </c>
      <c r="M8999" t="s">
        <v>48</v>
      </c>
    </row>
    <row r="9000" spans="1:13" hidden="1" x14ac:dyDescent="0.15">
      <c r="A9000" t="s">
        <v>28289</v>
      </c>
      <c r="B9000" t="s">
        <v>28290</v>
      </c>
      <c r="C9000" t="s">
        <v>28291</v>
      </c>
      <c r="D9000" t="s">
        <v>28285</v>
      </c>
      <c r="E9000">
        <v>1103</v>
      </c>
      <c r="F9000" t="str">
        <f>HYPERLINK("https://github.com/nikita36078/J2ME-Loader/issues/384", "show")</f>
        <v>show</v>
      </c>
      <c r="G9000" t="str">
        <f>HYPERLINK("https://github.com/nikita36078/J2ME-Loader", "show")</f>
        <v>show</v>
      </c>
      <c r="H9000" t="str">
        <f>HYPERLINK("https://github.com/nikita36078/J2ME-Loader/releases", "show")</f>
        <v>show</v>
      </c>
      <c r="I9000">
        <v>1</v>
      </c>
      <c r="J9000">
        <v>0</v>
      </c>
      <c r="K9000">
        <v>0</v>
      </c>
      <c r="L9000">
        <v>0</v>
      </c>
      <c r="M9000" t="s">
        <v>17</v>
      </c>
    </row>
    <row r="9001" spans="1:13" hidden="1" x14ac:dyDescent="0.15">
      <c r="A9001" t="s">
        <v>28292</v>
      </c>
      <c r="B9001" t="s">
        <v>28293</v>
      </c>
      <c r="C9001" t="s">
        <v>28294</v>
      </c>
      <c r="D9001" t="s">
        <v>28285</v>
      </c>
      <c r="E9001">
        <v>8</v>
      </c>
      <c r="F9001" t="str">
        <f>HYPERLINK("https://github.com/niccokunzmann/mundraub-android/issues/150", "show")</f>
        <v>show</v>
      </c>
      <c r="G9001" t="str">
        <f>HYPERLINK("https://github.com/niccokunzmann/mundraub-android", "show")</f>
        <v>show</v>
      </c>
      <c r="H9001" t="str">
        <f>HYPERLINK("https://github.com/niccokunzmann/mundraub-android/releases", "show")</f>
        <v>show</v>
      </c>
      <c r="I9001">
        <v>0</v>
      </c>
      <c r="J9001">
        <v>0</v>
      </c>
      <c r="K9001">
        <v>0</v>
      </c>
      <c r="L9001">
        <v>0</v>
      </c>
      <c r="M9001" t="s">
        <v>43</v>
      </c>
    </row>
    <row r="9002" spans="1:13" hidden="1" x14ac:dyDescent="0.15">
      <c r="A9002" t="s">
        <v>28295</v>
      </c>
      <c r="B9002" t="s">
        <v>28296</v>
      </c>
      <c r="C9002" t="s">
        <v>28297</v>
      </c>
      <c r="D9002" t="s">
        <v>28285</v>
      </c>
      <c r="E9002">
        <v>0</v>
      </c>
      <c r="F9002" t="str">
        <f>HYPERLINK("https://github.com/niccokunzmann/mundraub-android/issues/149", "show")</f>
        <v>show</v>
      </c>
      <c r="G9002" t="str">
        <f>HYPERLINK("https://github.com/niccokunzmann/mundraub-android", "show")</f>
        <v>show</v>
      </c>
      <c r="H9002" t="str">
        <f>HYPERLINK("https://github.com/niccokunzmann/mundraub-android/releases", "show")</f>
        <v>show</v>
      </c>
      <c r="I9002">
        <v>0</v>
      </c>
      <c r="J9002">
        <v>0</v>
      </c>
      <c r="K9002">
        <v>0</v>
      </c>
      <c r="L9002">
        <v>0</v>
      </c>
      <c r="M9002" t="s">
        <v>43</v>
      </c>
    </row>
    <row r="9003" spans="1:13" hidden="1" x14ac:dyDescent="0.15">
      <c r="A9003" t="s">
        <v>28298</v>
      </c>
      <c r="B9003" t="s">
        <v>28299</v>
      </c>
      <c r="D9003" t="s">
        <v>28285</v>
      </c>
      <c r="E9003">
        <v>0</v>
      </c>
      <c r="F9003" t="str">
        <f>HYPERLINK("https://github.com/NordicSemiconductor/Android-nRF-Mesh-Library/issues/66", "show")</f>
        <v>show</v>
      </c>
      <c r="G9003" t="str">
        <f>HYPERLINK("https://github.com/NordicSemiconductor/Android-nRF-Mesh-Library", "show")</f>
        <v>show</v>
      </c>
      <c r="H9003" t="str">
        <f>HYPERLINK("https://github.com/NordicSemiconductor/Android-nRF-Mesh-Library/releases", "show")</f>
        <v>show</v>
      </c>
      <c r="I9003">
        <v>0</v>
      </c>
      <c r="J9003">
        <v>0</v>
      </c>
      <c r="K9003">
        <v>0</v>
      </c>
      <c r="L9003">
        <v>0</v>
      </c>
      <c r="M9003" t="s">
        <v>43</v>
      </c>
    </row>
    <row r="9004" spans="1:13" hidden="1" x14ac:dyDescent="0.15">
      <c r="A9004" t="s">
        <v>28300</v>
      </c>
      <c r="B9004" t="s">
        <v>28301</v>
      </c>
      <c r="C9004" t="s">
        <v>28302</v>
      </c>
      <c r="D9004" t="s">
        <v>28285</v>
      </c>
      <c r="E9004">
        <v>231</v>
      </c>
      <c r="F9004" t="str">
        <f>HYPERLINK("https://github.com/nextcloud/android/issues/3073", "show")</f>
        <v>show</v>
      </c>
      <c r="G9004" t="str">
        <f>HYPERLINK("https://github.com/nextcloud/android", "show")</f>
        <v>show</v>
      </c>
      <c r="H9004" t="str">
        <f>HYPERLINK("https://github.com/nextcloud/android/releases", "show")</f>
        <v>show</v>
      </c>
      <c r="I9004">
        <v>1</v>
      </c>
      <c r="J9004">
        <v>1</v>
      </c>
      <c r="K9004">
        <v>0</v>
      </c>
      <c r="L9004">
        <v>0</v>
      </c>
      <c r="M9004" t="s">
        <v>48</v>
      </c>
    </row>
    <row r="9005" spans="1:13" hidden="1" x14ac:dyDescent="0.15">
      <c r="A9005" t="s">
        <v>28303</v>
      </c>
      <c r="B9005" t="s">
        <v>28304</v>
      </c>
      <c r="C9005" t="s">
        <v>28305</v>
      </c>
      <c r="D9005" t="s">
        <v>28306</v>
      </c>
      <c r="E9005">
        <v>12</v>
      </c>
      <c r="F9005" t="str">
        <f>HYPERLINK("https://github.com/matejpoliacek/GalileoGameApp/issues/32", "show")</f>
        <v>show</v>
      </c>
      <c r="G9005" t="str">
        <f>HYPERLINK("https://github.com/matejpoliacek/GalileoGameApp", "show")</f>
        <v>show</v>
      </c>
      <c r="H9005" t="str">
        <f>HYPERLINK("https://github.com/matejpoliacek/GalileoGameApp/releases", "show")</f>
        <v>show</v>
      </c>
      <c r="I9005">
        <v>0</v>
      </c>
      <c r="J9005">
        <v>0</v>
      </c>
      <c r="K9005">
        <v>1</v>
      </c>
      <c r="L9005">
        <v>0</v>
      </c>
      <c r="M9005" t="s">
        <v>122</v>
      </c>
    </row>
    <row r="9006" spans="1:13" hidden="1" x14ac:dyDescent="0.15">
      <c r="A9006" t="s">
        <v>28307</v>
      </c>
      <c r="B9006" t="s">
        <v>28308</v>
      </c>
      <c r="C9006" t="s">
        <v>28309</v>
      </c>
      <c r="D9006" t="s">
        <v>28306</v>
      </c>
      <c r="E9006">
        <v>0</v>
      </c>
      <c r="F9006" t="str">
        <f>HYPERLINK("https://github.com/flyve-mdm/android-inventory-library/issues/156", "show")</f>
        <v>show</v>
      </c>
      <c r="G9006" t="str">
        <f>HYPERLINK("https://github.com/flyve-mdm/android-inventory-library", "show")</f>
        <v>show</v>
      </c>
      <c r="H9006" t="str">
        <f>HYPERLINK("https://github.com/flyve-mdm/android-inventory-library/releases", "show")</f>
        <v>show</v>
      </c>
      <c r="I9006">
        <v>1</v>
      </c>
      <c r="J9006">
        <v>0</v>
      </c>
      <c r="K9006">
        <v>0</v>
      </c>
      <c r="L9006">
        <v>0</v>
      </c>
      <c r="M9006" t="s">
        <v>17</v>
      </c>
    </row>
    <row r="9007" spans="1:13" hidden="1" x14ac:dyDescent="0.15">
      <c r="A9007" t="s">
        <v>28310</v>
      </c>
      <c r="B9007" t="s">
        <v>28311</v>
      </c>
      <c r="C9007" t="s">
        <v>28312</v>
      </c>
      <c r="D9007" t="s">
        <v>28306</v>
      </c>
      <c r="E9007">
        <v>3</v>
      </c>
      <c r="F9007" t="str">
        <f>HYPERLINK("https://github.com/niccokunzmann/mundraub-android/issues/144", "show")</f>
        <v>show</v>
      </c>
      <c r="G9007" t="str">
        <f>HYPERLINK("https://github.com/niccokunzmann/mundraub-android", "show")</f>
        <v>show</v>
      </c>
      <c r="H9007" t="str">
        <f>HYPERLINK("https://github.com/niccokunzmann/mundraub-android/releases", "show")</f>
        <v>show</v>
      </c>
      <c r="I9007">
        <v>0</v>
      </c>
      <c r="J9007">
        <v>0</v>
      </c>
      <c r="K9007">
        <v>0</v>
      </c>
      <c r="L9007">
        <v>0</v>
      </c>
      <c r="M9007" t="s">
        <v>43</v>
      </c>
    </row>
    <row r="9008" spans="1:13" hidden="1" x14ac:dyDescent="0.15">
      <c r="A9008" t="s">
        <v>28313</v>
      </c>
      <c r="B9008" t="s">
        <v>28314</v>
      </c>
      <c r="C9008" t="s">
        <v>28315</v>
      </c>
      <c r="D9008" t="s">
        <v>28306</v>
      </c>
      <c r="E9008">
        <v>0</v>
      </c>
      <c r="F9008" t="str">
        <f>HYPERLINK("https://github.com/niccokunzmann/mundraub-android/issues/143", "show")</f>
        <v>show</v>
      </c>
      <c r="G9008" t="str">
        <f>HYPERLINK("https://github.com/niccokunzmann/mundraub-android", "show")</f>
        <v>show</v>
      </c>
      <c r="H9008" t="str">
        <f>HYPERLINK("https://github.com/niccokunzmann/mundraub-android/releases", "show")</f>
        <v>show</v>
      </c>
      <c r="I9008">
        <v>0</v>
      </c>
      <c r="J9008">
        <v>0</v>
      </c>
      <c r="K9008">
        <v>0</v>
      </c>
      <c r="L9008">
        <v>0</v>
      </c>
      <c r="M9008" t="s">
        <v>43</v>
      </c>
    </row>
    <row r="9009" spans="1:13" hidden="1" x14ac:dyDescent="0.15">
      <c r="A9009" t="s">
        <v>28316</v>
      </c>
      <c r="B9009" t="s">
        <v>28317</v>
      </c>
      <c r="C9009" t="s">
        <v>28318</v>
      </c>
      <c r="D9009" t="s">
        <v>28306</v>
      </c>
      <c r="E9009">
        <v>4</v>
      </c>
      <c r="F9009" t="str">
        <f>HYPERLINK("https://github.com/getodk/collect/issues/2552", "show")</f>
        <v>show</v>
      </c>
      <c r="G9009" t="str">
        <f>HYPERLINK("https://github.com/getodk/collect", "show")</f>
        <v>show</v>
      </c>
      <c r="H9009" t="str">
        <f>HYPERLINK("https://github.com/getodk/collect/releases", "show")</f>
        <v>show</v>
      </c>
      <c r="I9009">
        <v>1</v>
      </c>
      <c r="J9009">
        <v>0</v>
      </c>
      <c r="K9009">
        <v>1</v>
      </c>
      <c r="L9009">
        <v>0</v>
      </c>
      <c r="M9009" t="s">
        <v>64</v>
      </c>
    </row>
    <row r="9010" spans="1:13" hidden="1" x14ac:dyDescent="0.15">
      <c r="A9010" t="s">
        <v>28319</v>
      </c>
      <c r="B9010" t="s">
        <v>28320</v>
      </c>
      <c r="C9010" t="s">
        <v>28321</v>
      </c>
      <c r="D9010" t="s">
        <v>28322</v>
      </c>
      <c r="E9010">
        <v>7</v>
      </c>
      <c r="F9010" t="str">
        <f>HYPERLINK("https://github.com/MozillaReality/FirefoxReality/issues/556", "show")</f>
        <v>show</v>
      </c>
      <c r="G9010" t="str">
        <f>HYPERLINK("https://github.com/MozillaReality/FirefoxReality", "show")</f>
        <v>show</v>
      </c>
      <c r="H9010" t="str">
        <f>HYPERLINK("https://github.com/MozillaReality/FirefoxReality/releases", "show")</f>
        <v>show</v>
      </c>
      <c r="I9010">
        <v>0</v>
      </c>
      <c r="J9010">
        <v>0</v>
      </c>
      <c r="K9010">
        <v>1</v>
      </c>
      <c r="L9010">
        <v>0</v>
      </c>
      <c r="M9010" t="s">
        <v>122</v>
      </c>
    </row>
    <row r="9011" spans="1:13" x14ac:dyDescent="0.15">
      <c r="A9011" t="s">
        <v>28323</v>
      </c>
      <c r="B9011" t="s">
        <v>28324</v>
      </c>
      <c r="C9011" t="s">
        <v>28325</v>
      </c>
      <c r="D9011" t="s">
        <v>28326</v>
      </c>
      <c r="E9011">
        <v>624</v>
      </c>
      <c r="F9011" t="str">
        <f>HYPERLINK("https://github.com/ankidroid/Anki-Android/issues/4981", "show")</f>
        <v>show</v>
      </c>
      <c r="G9011" t="str">
        <f>HYPERLINK("https://github.com/ankidroid/Anki-Android", "show")</f>
        <v>show</v>
      </c>
      <c r="H9011" t="str">
        <f>HYPERLINK("https://github.com/ankidroid/Anki-Android/releases", "show")</f>
        <v>show</v>
      </c>
      <c r="I9011">
        <v>0</v>
      </c>
      <c r="J9011">
        <v>1</v>
      </c>
      <c r="K9011">
        <v>0</v>
      </c>
      <c r="L9011">
        <v>0</v>
      </c>
      <c r="M9011" t="s">
        <v>139</v>
      </c>
    </row>
    <row r="9012" spans="1:13" hidden="1" x14ac:dyDescent="0.15">
      <c r="A9012" t="s">
        <v>28327</v>
      </c>
      <c r="B9012" t="s">
        <v>28328</v>
      </c>
      <c r="D9012" t="s">
        <v>28326</v>
      </c>
      <c r="E9012">
        <v>43</v>
      </c>
      <c r="F9012" t="str">
        <f>HYPERLINK("https://github.com/iFixit/dozuki-android/issues/14", "show")</f>
        <v>show</v>
      </c>
      <c r="G9012" t="str">
        <f>HYPERLINK("https://github.com/iFixit/dozuki-android", "show")</f>
        <v>show</v>
      </c>
      <c r="H9012" t="str">
        <f>HYPERLINK("https://github.com/iFixit/dozuki-android/releases", "show")</f>
        <v>show</v>
      </c>
      <c r="I9012">
        <v>1</v>
      </c>
      <c r="J9012">
        <v>0</v>
      </c>
      <c r="K9012">
        <v>0</v>
      </c>
      <c r="L9012">
        <v>0</v>
      </c>
      <c r="M9012" t="s">
        <v>17</v>
      </c>
    </row>
    <row r="9013" spans="1:13" hidden="1" x14ac:dyDescent="0.15">
      <c r="A9013" t="s">
        <v>28329</v>
      </c>
      <c r="B9013" t="s">
        <v>28330</v>
      </c>
      <c r="C9013" t="s">
        <v>28331</v>
      </c>
      <c r="D9013" t="s">
        <v>28326</v>
      </c>
      <c r="E9013">
        <v>41</v>
      </c>
      <c r="F9013" t="str">
        <f>HYPERLINK("https://github.com/iFixit/dozuki-android/issues/13", "show")</f>
        <v>show</v>
      </c>
      <c r="G9013" t="str">
        <f>HYPERLINK("https://github.com/iFixit/dozuki-android", "show")</f>
        <v>show</v>
      </c>
      <c r="H9013" t="str">
        <f>HYPERLINK("https://github.com/iFixit/dozuki-android/releases", "show")</f>
        <v>show</v>
      </c>
      <c r="I9013">
        <v>0</v>
      </c>
      <c r="J9013">
        <v>0</v>
      </c>
      <c r="K9013">
        <v>0</v>
      </c>
      <c r="L9013">
        <v>0</v>
      </c>
      <c r="M9013" t="s">
        <v>43</v>
      </c>
    </row>
    <row r="9014" spans="1:13" hidden="1" x14ac:dyDescent="0.15">
      <c r="A9014" t="s">
        <v>28332</v>
      </c>
      <c r="B9014" t="s">
        <v>28333</v>
      </c>
      <c r="C9014" t="s">
        <v>28334</v>
      </c>
      <c r="D9014" t="s">
        <v>28326</v>
      </c>
      <c r="E9014">
        <v>39</v>
      </c>
      <c r="F9014" t="str">
        <f>HYPERLINK("https://github.com/0xpr03/VocableTrainer-Android/issues/40", "show")</f>
        <v>show</v>
      </c>
      <c r="G9014" t="str">
        <f>HYPERLINK("https://github.com/0xpr03/VocableTrainer-Android", "show")</f>
        <v>show</v>
      </c>
      <c r="H9014" t="str">
        <f>HYPERLINK("https://github.com/0xpr03/VocableTrainer-Android/releases", "show")</f>
        <v>show</v>
      </c>
      <c r="I9014">
        <v>1</v>
      </c>
      <c r="J9014">
        <v>1</v>
      </c>
      <c r="K9014">
        <v>0</v>
      </c>
      <c r="L9014">
        <v>0</v>
      </c>
      <c r="M9014" t="s">
        <v>48</v>
      </c>
    </row>
    <row r="9015" spans="1:13" hidden="1" x14ac:dyDescent="0.15">
      <c r="A9015" t="s">
        <v>28335</v>
      </c>
      <c r="B9015" t="s">
        <v>28336</v>
      </c>
      <c r="C9015" t="s">
        <v>28337</v>
      </c>
      <c r="D9015" t="s">
        <v>28326</v>
      </c>
      <c r="E9015">
        <v>15</v>
      </c>
      <c r="F9015" t="str">
        <f>HYPERLINK("https://github.com/dariuszseweryn/RxAndroidBle/issues/482", "show")</f>
        <v>show</v>
      </c>
      <c r="G9015" t="str">
        <f>HYPERLINK("https://github.com/dariuszseweryn/RxAndroidBle", "show")</f>
        <v>show</v>
      </c>
      <c r="H9015" t="str">
        <f>HYPERLINK("https://github.com/dariuszseweryn/RxAndroidBle/releases", "show")</f>
        <v>show</v>
      </c>
      <c r="I9015">
        <v>0</v>
      </c>
      <c r="J9015">
        <v>0</v>
      </c>
      <c r="K9015">
        <v>1</v>
      </c>
      <c r="L9015">
        <v>0</v>
      </c>
      <c r="M9015" t="s">
        <v>122</v>
      </c>
    </row>
    <row r="9016" spans="1:13" hidden="1" x14ac:dyDescent="0.15">
      <c r="A9016" t="s">
        <v>28338</v>
      </c>
      <c r="B9016" t="s">
        <v>28339</v>
      </c>
      <c r="C9016" t="s">
        <v>28340</v>
      </c>
      <c r="D9016" t="s">
        <v>28341</v>
      </c>
      <c r="E9016">
        <v>1</v>
      </c>
      <c r="F9016" t="str">
        <f>HYPERLINK("https://github.com/nextcloud/android/issues/3049", "show")</f>
        <v>show</v>
      </c>
      <c r="G9016" t="str">
        <f>HYPERLINK("https://github.com/nextcloud/android", "show")</f>
        <v>show</v>
      </c>
      <c r="H9016" t="str">
        <f>HYPERLINK("https://github.com/nextcloud/android/releases", "show")</f>
        <v>show</v>
      </c>
      <c r="I9016">
        <v>1</v>
      </c>
      <c r="J9016">
        <v>0</v>
      </c>
      <c r="K9016">
        <v>0</v>
      </c>
      <c r="L9016">
        <v>0</v>
      </c>
      <c r="M9016" t="s">
        <v>17</v>
      </c>
    </row>
    <row r="9017" spans="1:13" hidden="1" x14ac:dyDescent="0.15">
      <c r="A9017" t="s">
        <v>28342</v>
      </c>
      <c r="B9017" t="s">
        <v>28343</v>
      </c>
      <c r="C9017" t="s">
        <v>28344</v>
      </c>
      <c r="D9017" t="s">
        <v>28341</v>
      </c>
      <c r="E9017">
        <v>0</v>
      </c>
      <c r="F9017" t="str">
        <f>HYPERLINK("https://github.com/niccokunzmann/mundraub-android/issues/136", "show")</f>
        <v>show</v>
      </c>
      <c r="G9017" t="str">
        <f>HYPERLINK("https://github.com/niccokunzmann/mundraub-android", "show")</f>
        <v>show</v>
      </c>
      <c r="H9017" t="str">
        <f>HYPERLINK("https://github.com/niccokunzmann/mundraub-android/releases", "show")</f>
        <v>show</v>
      </c>
      <c r="I9017">
        <v>0</v>
      </c>
      <c r="J9017">
        <v>0</v>
      </c>
      <c r="K9017">
        <v>0</v>
      </c>
      <c r="L9017">
        <v>0</v>
      </c>
      <c r="M9017" t="s">
        <v>43</v>
      </c>
    </row>
    <row r="9018" spans="1:13" hidden="1" x14ac:dyDescent="0.15">
      <c r="A9018" t="s">
        <v>28345</v>
      </c>
      <c r="B9018" t="s">
        <v>28346</v>
      </c>
      <c r="C9018" t="s">
        <v>28347</v>
      </c>
      <c r="D9018" t="s">
        <v>28341</v>
      </c>
      <c r="E9018">
        <v>0</v>
      </c>
      <c r="F9018" t="str">
        <f>HYPERLINK("https://github.com/niccokunzmann/mundraub-android/issues/135", "show")</f>
        <v>show</v>
      </c>
      <c r="G9018" t="str">
        <f>HYPERLINK("https://github.com/niccokunzmann/mundraub-android", "show")</f>
        <v>show</v>
      </c>
      <c r="H9018" t="str">
        <f>HYPERLINK("https://github.com/niccokunzmann/mundraub-android/releases", "show")</f>
        <v>show</v>
      </c>
      <c r="I9018">
        <v>0</v>
      </c>
      <c r="J9018">
        <v>0</v>
      </c>
      <c r="K9018">
        <v>0</v>
      </c>
      <c r="L9018">
        <v>0</v>
      </c>
      <c r="M9018" t="s">
        <v>43</v>
      </c>
    </row>
    <row r="9019" spans="1:13" hidden="1" x14ac:dyDescent="0.15">
      <c r="A9019" t="s">
        <v>28348</v>
      </c>
      <c r="B9019" t="s">
        <v>28349</v>
      </c>
      <c r="C9019" t="s">
        <v>28350</v>
      </c>
      <c r="D9019" t="s">
        <v>28341</v>
      </c>
      <c r="E9019">
        <v>3</v>
      </c>
      <c r="F9019" t="str">
        <f>HYPERLINK("https://github.com/ankidroid/Anki-Android/issues/4977", "show")</f>
        <v>show</v>
      </c>
      <c r="G9019" t="str">
        <f>HYPERLINK("https://github.com/ankidroid/Anki-Android", "show")</f>
        <v>show</v>
      </c>
      <c r="H9019" t="str">
        <f>HYPERLINK("https://github.com/ankidroid/Anki-Android/releases", "show")</f>
        <v>show</v>
      </c>
      <c r="I9019">
        <v>1</v>
      </c>
      <c r="J9019">
        <v>1</v>
      </c>
      <c r="K9019">
        <v>1</v>
      </c>
      <c r="L9019">
        <v>0</v>
      </c>
      <c r="M9019" t="s">
        <v>59</v>
      </c>
    </row>
    <row r="9020" spans="1:13" hidden="1" x14ac:dyDescent="0.15">
      <c r="A9020" t="s">
        <v>28351</v>
      </c>
      <c r="B9020" t="s">
        <v>28352</v>
      </c>
      <c r="C9020" t="s">
        <v>28353</v>
      </c>
      <c r="D9020" t="s">
        <v>28354</v>
      </c>
      <c r="E9020">
        <v>35</v>
      </c>
      <c r="F9020" t="str">
        <f>HYPERLINK("https://github.com/MCMrARM/revolution-irc/issues/156", "show")</f>
        <v>show</v>
      </c>
      <c r="G9020" t="str">
        <f>HYPERLINK("https://github.com/MCMrARM/revolution-irc", "show")</f>
        <v>show</v>
      </c>
      <c r="H9020" t="str">
        <f>HYPERLINK("https://github.com/MCMrARM/revolution-irc/releases", "show")</f>
        <v>show</v>
      </c>
      <c r="I9020">
        <v>1</v>
      </c>
      <c r="J9020">
        <v>0</v>
      </c>
      <c r="K9020">
        <v>0</v>
      </c>
      <c r="L9020">
        <v>0</v>
      </c>
      <c r="M9020" t="s">
        <v>17</v>
      </c>
    </row>
    <row r="9021" spans="1:13" hidden="1" x14ac:dyDescent="0.15">
      <c r="A9021" t="s">
        <v>28355</v>
      </c>
      <c r="B9021" t="s">
        <v>28356</v>
      </c>
      <c r="C9021" t="s">
        <v>28357</v>
      </c>
      <c r="D9021" t="s">
        <v>28354</v>
      </c>
      <c r="E9021">
        <v>433</v>
      </c>
      <c r="F9021" t="str">
        <f>HYPERLINK("https://github.com/TeamNewPipe/NewPipe/issues/1727", "show")</f>
        <v>show</v>
      </c>
      <c r="G9021" t="str">
        <f>HYPERLINK("https://github.com/TeamNewPipe/NewPipe", "show")</f>
        <v>show</v>
      </c>
      <c r="H9021" t="str">
        <f>HYPERLINK("https://github.com/TeamNewPipe/NewPipe/releases", "show")</f>
        <v>show</v>
      </c>
      <c r="I9021">
        <v>0</v>
      </c>
      <c r="J9021">
        <v>0</v>
      </c>
      <c r="K9021">
        <v>1</v>
      </c>
      <c r="L9021">
        <v>0</v>
      </c>
      <c r="M9021" t="s">
        <v>122</v>
      </c>
    </row>
    <row r="9022" spans="1:13" hidden="1" x14ac:dyDescent="0.15">
      <c r="A9022" t="s">
        <v>28358</v>
      </c>
      <c r="B9022" t="s">
        <v>28359</v>
      </c>
      <c r="C9022" t="s">
        <v>28360</v>
      </c>
      <c r="D9022" t="s">
        <v>28361</v>
      </c>
      <c r="E9022">
        <v>461</v>
      </c>
      <c r="F9022" t="str">
        <f>HYPERLINK("https://github.com/stefan-niedermann/nextcloud-notes/issues/477", "show")</f>
        <v>show</v>
      </c>
      <c r="G9022" t="str">
        <f>HYPERLINK("https://github.com/stefan-niedermann/nextcloud-notes", "show")</f>
        <v>show</v>
      </c>
      <c r="H9022" t="str">
        <f>HYPERLINK("https://github.com/stefan-niedermann/nextcloud-notes/releases", "show")</f>
        <v>show</v>
      </c>
      <c r="I9022">
        <v>1</v>
      </c>
      <c r="J9022">
        <v>1</v>
      </c>
      <c r="K9022">
        <v>0</v>
      </c>
      <c r="L9022">
        <v>0</v>
      </c>
      <c r="M9022" t="s">
        <v>48</v>
      </c>
    </row>
    <row r="9023" spans="1:13" hidden="1" x14ac:dyDescent="0.15">
      <c r="A9023" t="s">
        <v>28362</v>
      </c>
      <c r="B9023" t="s">
        <v>28363</v>
      </c>
      <c r="C9023" t="s">
        <v>28364</v>
      </c>
      <c r="D9023" t="s">
        <v>28361</v>
      </c>
      <c r="E9023">
        <v>7</v>
      </c>
      <c r="F9023" t="str">
        <f>HYPERLINK("https://github.com/nextcloud/android/issues/3046", "show")</f>
        <v>show</v>
      </c>
      <c r="G9023" t="str">
        <f>HYPERLINK("https://github.com/nextcloud/android", "show")</f>
        <v>show</v>
      </c>
      <c r="H9023" t="str">
        <f>HYPERLINK("https://github.com/nextcloud/android/releases", "show")</f>
        <v>show</v>
      </c>
      <c r="I9023">
        <v>1</v>
      </c>
      <c r="J9023">
        <v>1</v>
      </c>
      <c r="K9023">
        <v>0</v>
      </c>
      <c r="L9023">
        <v>0</v>
      </c>
      <c r="M9023" t="s">
        <v>48</v>
      </c>
    </row>
    <row r="9024" spans="1:13" hidden="1" x14ac:dyDescent="0.15">
      <c r="A9024" t="s">
        <v>28365</v>
      </c>
      <c r="B9024" t="s">
        <v>28366</v>
      </c>
      <c r="C9024" t="s">
        <v>28367</v>
      </c>
      <c r="D9024" t="s">
        <v>28361</v>
      </c>
      <c r="E9024">
        <v>0</v>
      </c>
      <c r="F9024" t="str">
        <f>HYPERLINK("https://github.com/Catfriend1/syncthing-android/issues/55", "show")</f>
        <v>show</v>
      </c>
      <c r="G9024" t="str">
        <f>HYPERLINK("https://github.com/Catfriend1/syncthing-android", "show")</f>
        <v>show</v>
      </c>
      <c r="H9024" t="str">
        <f>HYPERLINK("https://github.com/Catfriend1/syncthing-android/releases", "show")</f>
        <v>show</v>
      </c>
      <c r="I9024">
        <v>0</v>
      </c>
      <c r="J9024">
        <v>0</v>
      </c>
      <c r="K9024">
        <v>1</v>
      </c>
      <c r="L9024">
        <v>0</v>
      </c>
      <c r="M9024" t="s">
        <v>122</v>
      </c>
    </row>
    <row r="9025" spans="1:13" hidden="1" x14ac:dyDescent="0.15">
      <c r="A9025" t="s">
        <v>28368</v>
      </c>
      <c r="B9025" t="s">
        <v>28369</v>
      </c>
      <c r="C9025" t="s">
        <v>28370</v>
      </c>
      <c r="D9025" t="s">
        <v>28361</v>
      </c>
      <c r="E9025">
        <v>0</v>
      </c>
      <c r="F9025" t="str">
        <f>HYPERLINK("https://github.com/Catfriend1/syncthing-android/issues/50", "show")</f>
        <v>show</v>
      </c>
      <c r="G9025" t="str">
        <f>HYPERLINK("https://github.com/Catfriend1/syncthing-android", "show")</f>
        <v>show</v>
      </c>
      <c r="H9025" t="str">
        <f>HYPERLINK("https://github.com/Catfriend1/syncthing-android/releases", "show")</f>
        <v>show</v>
      </c>
      <c r="I9025">
        <v>1</v>
      </c>
      <c r="J9025">
        <v>0</v>
      </c>
      <c r="K9025">
        <v>0</v>
      </c>
      <c r="L9025">
        <v>0</v>
      </c>
      <c r="M9025" t="s">
        <v>17</v>
      </c>
    </row>
    <row r="9026" spans="1:13" hidden="1" x14ac:dyDescent="0.15">
      <c r="A9026" t="s">
        <v>28371</v>
      </c>
      <c r="B9026" t="s">
        <v>28372</v>
      </c>
      <c r="C9026" t="s">
        <v>28373</v>
      </c>
      <c r="D9026" t="s">
        <v>28374</v>
      </c>
      <c r="E9026">
        <v>10</v>
      </c>
      <c r="F9026" t="str">
        <f>HYPERLINK("https://github.com/google/ExoPlayer/issues/4814", "show")</f>
        <v>show</v>
      </c>
      <c r="G9026" t="str">
        <f>HYPERLINK("https://github.com/google/ExoPlayer", "show")</f>
        <v>show</v>
      </c>
      <c r="H9026" t="str">
        <f>HYPERLINK("https://github.com/google/ExoPlayer/releases", "show")</f>
        <v>show</v>
      </c>
      <c r="I9026">
        <v>0</v>
      </c>
      <c r="J9026">
        <v>1</v>
      </c>
      <c r="K9026">
        <v>1</v>
      </c>
      <c r="L9026">
        <v>0</v>
      </c>
      <c r="M9026" t="s">
        <v>699</v>
      </c>
    </row>
    <row r="9027" spans="1:13" hidden="1" x14ac:dyDescent="0.15">
      <c r="A9027" t="s">
        <v>28375</v>
      </c>
      <c r="B9027" t="s">
        <v>28376</v>
      </c>
      <c r="C9027" t="s">
        <v>28377</v>
      </c>
      <c r="D9027" t="s">
        <v>28374</v>
      </c>
      <c r="E9027">
        <v>0</v>
      </c>
      <c r="F9027" t="str">
        <f>HYPERLINK("https://github.com/niccokunzmann/mundraub-android/issues/124", "show")</f>
        <v>show</v>
      </c>
      <c r="G9027" t="str">
        <f>HYPERLINK("https://github.com/niccokunzmann/mundraub-android", "show")</f>
        <v>show</v>
      </c>
      <c r="H9027" t="str">
        <f>HYPERLINK("https://github.com/niccokunzmann/mundraub-android/releases", "show")</f>
        <v>show</v>
      </c>
      <c r="I9027">
        <v>0</v>
      </c>
      <c r="J9027">
        <v>0</v>
      </c>
      <c r="K9027">
        <v>0</v>
      </c>
      <c r="L9027">
        <v>0</v>
      </c>
      <c r="M9027" t="s">
        <v>43</v>
      </c>
    </row>
    <row r="9028" spans="1:13" hidden="1" x14ac:dyDescent="0.15">
      <c r="A9028" t="s">
        <v>28378</v>
      </c>
      <c r="B9028" t="s">
        <v>28379</v>
      </c>
      <c r="C9028" t="s">
        <v>28380</v>
      </c>
      <c r="D9028" t="s">
        <v>28374</v>
      </c>
      <c r="E9028">
        <v>4</v>
      </c>
      <c r="F9028" t="str">
        <f>HYPERLINK("https://github.com/ankidroid/Anki-Android/issues/4959", "show")</f>
        <v>show</v>
      </c>
      <c r="G9028" t="str">
        <f>HYPERLINK("https://github.com/ankidroid/Anki-Android", "show")</f>
        <v>show</v>
      </c>
      <c r="H9028" t="str">
        <f>HYPERLINK("https://github.com/ankidroid/Anki-Android/releases", "show")</f>
        <v>show</v>
      </c>
      <c r="I9028">
        <v>1</v>
      </c>
      <c r="J9028">
        <v>0</v>
      </c>
      <c r="K9028">
        <v>1</v>
      </c>
      <c r="L9028">
        <v>0</v>
      </c>
      <c r="M9028" t="s">
        <v>64</v>
      </c>
    </row>
    <row r="9029" spans="1:13" hidden="1" x14ac:dyDescent="0.15">
      <c r="A9029" t="s">
        <v>28381</v>
      </c>
      <c r="B9029" t="s">
        <v>28382</v>
      </c>
      <c r="C9029" t="s">
        <v>28383</v>
      </c>
      <c r="D9029" t="s">
        <v>28384</v>
      </c>
      <c r="E9029">
        <v>0</v>
      </c>
      <c r="F9029" t="str">
        <f>HYPERLINK("https://github.com/AniTrend/anitrend-app/issues/84", "show")</f>
        <v>show</v>
      </c>
      <c r="G9029" t="str">
        <f>HYPERLINK("https://github.com/AniTrend/anitrend-app", "show")</f>
        <v>show</v>
      </c>
      <c r="H9029" t="str">
        <f>HYPERLINK("https://github.com/AniTrend/anitrend-app/releases", "show")</f>
        <v>show</v>
      </c>
      <c r="I9029">
        <v>1</v>
      </c>
      <c r="J9029">
        <v>1</v>
      </c>
      <c r="K9029">
        <v>1</v>
      </c>
      <c r="L9029">
        <v>0</v>
      </c>
      <c r="M9029" t="s">
        <v>59</v>
      </c>
    </row>
    <row r="9030" spans="1:13" hidden="1" x14ac:dyDescent="0.15">
      <c r="A9030" t="s">
        <v>28385</v>
      </c>
      <c r="B9030" t="s">
        <v>28386</v>
      </c>
      <c r="C9030" t="s">
        <v>28387</v>
      </c>
      <c r="D9030" t="s">
        <v>28384</v>
      </c>
      <c r="E9030">
        <v>754</v>
      </c>
      <c r="F9030" t="str">
        <f>HYPERLINK("https://github.com/k9mail/k-9/issues/3614", "show")</f>
        <v>show</v>
      </c>
      <c r="G9030" t="str">
        <f>HYPERLINK("https://github.com/k9mail/k-9", "show")</f>
        <v>show</v>
      </c>
      <c r="H9030" t="str">
        <f>HYPERLINK("https://github.com/k9mail/k-9/releases", "show")</f>
        <v>show</v>
      </c>
      <c r="I9030">
        <v>1</v>
      </c>
      <c r="J9030">
        <v>1</v>
      </c>
      <c r="K9030">
        <v>0</v>
      </c>
      <c r="L9030">
        <v>0</v>
      </c>
      <c r="M9030" t="s">
        <v>48</v>
      </c>
    </row>
    <row r="9031" spans="1:13" hidden="1" x14ac:dyDescent="0.15">
      <c r="A9031" t="s">
        <v>28388</v>
      </c>
      <c r="B9031" t="s">
        <v>28389</v>
      </c>
      <c r="C9031" t="s">
        <v>28390</v>
      </c>
      <c r="D9031" t="s">
        <v>28391</v>
      </c>
      <c r="E9031">
        <v>131</v>
      </c>
      <c r="F9031" t="str">
        <f>HYPERLINK("https://github.com/deltachat/deltachat-android/issues/542", "show")</f>
        <v>show</v>
      </c>
      <c r="G9031" t="str">
        <f>HYPERLINK("https://github.com/deltachat/deltachat-android", "show")</f>
        <v>show</v>
      </c>
      <c r="H9031" t="str">
        <f>HYPERLINK("https://github.com/deltachat/deltachat-android/releases", "show")</f>
        <v>show</v>
      </c>
      <c r="I9031">
        <v>1</v>
      </c>
      <c r="J9031">
        <v>0</v>
      </c>
      <c r="K9031">
        <v>0</v>
      </c>
      <c r="L9031">
        <v>0</v>
      </c>
      <c r="M9031" t="s">
        <v>17</v>
      </c>
    </row>
    <row r="9032" spans="1:13" hidden="1" x14ac:dyDescent="0.15">
      <c r="A9032" t="s">
        <v>28392</v>
      </c>
      <c r="B9032" t="s">
        <v>28393</v>
      </c>
      <c r="C9032" t="s">
        <v>28394</v>
      </c>
      <c r="D9032" t="s">
        <v>28391</v>
      </c>
      <c r="E9032">
        <v>18</v>
      </c>
      <c r="F9032" t="str">
        <f>HYPERLINK("https://github.com/mendhak/gpslogger/issues/675", "show")</f>
        <v>show</v>
      </c>
      <c r="G9032" t="str">
        <f>HYPERLINK("https://github.com/mendhak/gpslogger", "show")</f>
        <v>show</v>
      </c>
      <c r="H9032" t="str">
        <f>HYPERLINK("https://github.com/mendhak/gpslogger/releases", "show")</f>
        <v>show</v>
      </c>
      <c r="I9032">
        <v>1</v>
      </c>
      <c r="J9032">
        <v>0</v>
      </c>
      <c r="K9032">
        <v>1</v>
      </c>
      <c r="L9032">
        <v>0</v>
      </c>
      <c r="M9032" t="s">
        <v>64</v>
      </c>
    </row>
    <row r="9033" spans="1:13" hidden="1" x14ac:dyDescent="0.15">
      <c r="A9033" t="s">
        <v>28395</v>
      </c>
      <c r="B9033" t="s">
        <v>28396</v>
      </c>
      <c r="C9033" t="s">
        <v>28397</v>
      </c>
      <c r="D9033" t="s">
        <v>28391</v>
      </c>
      <c r="E9033">
        <v>5</v>
      </c>
      <c r="F9033" t="str">
        <f>HYPERLINK("https://github.com/TheRedSpy15/LTECleanerFOSS/issues/22", "show")</f>
        <v>show</v>
      </c>
      <c r="G9033" t="str">
        <f>HYPERLINK("https://github.com/TheRedSpy15/LTECleanerFOSS", "show")</f>
        <v>show</v>
      </c>
      <c r="H9033" t="str">
        <f>HYPERLINK("https://github.com/TheRedSpy15/LTECleanerFOSS/releases", "show")</f>
        <v>show</v>
      </c>
      <c r="I9033">
        <v>1</v>
      </c>
      <c r="J9033">
        <v>0</v>
      </c>
      <c r="K9033">
        <v>0</v>
      </c>
      <c r="L9033">
        <v>1</v>
      </c>
      <c r="M9033" t="s">
        <v>29</v>
      </c>
    </row>
    <row r="9034" spans="1:13" hidden="1" x14ac:dyDescent="0.15">
      <c r="A9034" t="s">
        <v>28398</v>
      </c>
      <c r="B9034" t="s">
        <v>28399</v>
      </c>
      <c r="C9034" t="s">
        <v>28400</v>
      </c>
      <c r="D9034" t="s">
        <v>28391</v>
      </c>
      <c r="E9034">
        <v>12</v>
      </c>
      <c r="F9034" t="str">
        <f>HYPERLINK("https://github.com/0xpr03/VocableTrainer-Android/issues/39", "show")</f>
        <v>show</v>
      </c>
      <c r="G9034" t="str">
        <f>HYPERLINK("https://github.com/0xpr03/VocableTrainer-Android", "show")</f>
        <v>show</v>
      </c>
      <c r="H9034" t="str">
        <f>HYPERLINK("https://github.com/0xpr03/VocableTrainer-Android/releases", "show")</f>
        <v>show</v>
      </c>
      <c r="I9034">
        <v>1</v>
      </c>
      <c r="J9034">
        <v>1</v>
      </c>
      <c r="K9034">
        <v>0</v>
      </c>
      <c r="L9034">
        <v>0</v>
      </c>
      <c r="M9034" t="s">
        <v>48</v>
      </c>
    </row>
    <row r="9035" spans="1:13" hidden="1" x14ac:dyDescent="0.15">
      <c r="A9035" t="s">
        <v>28401</v>
      </c>
      <c r="B9035" t="s">
        <v>28402</v>
      </c>
      <c r="C9035" t="s">
        <v>28403</v>
      </c>
      <c r="D9035" t="s">
        <v>28391</v>
      </c>
      <c r="E9035">
        <v>393</v>
      </c>
      <c r="F9035" t="str">
        <f>HYPERLINK("https://github.com/martykan/forecastie/issues/287", "show")</f>
        <v>show</v>
      </c>
      <c r="G9035" t="str">
        <f>HYPERLINK("https://github.com/martykan/forecastie", "show")</f>
        <v>show</v>
      </c>
      <c r="H9035" t="str">
        <f>HYPERLINK("https://github.com/martykan/forecastie/releases", "show")</f>
        <v>show</v>
      </c>
      <c r="I9035">
        <v>1</v>
      </c>
      <c r="J9035">
        <v>0</v>
      </c>
      <c r="K9035">
        <v>0</v>
      </c>
      <c r="L9035">
        <v>0</v>
      </c>
      <c r="M9035" t="s">
        <v>17</v>
      </c>
    </row>
    <row r="9036" spans="1:13" hidden="1" x14ac:dyDescent="0.15">
      <c r="A9036" t="s">
        <v>28404</v>
      </c>
      <c r="B9036" t="s">
        <v>28405</v>
      </c>
      <c r="C9036" t="s">
        <v>28406</v>
      </c>
      <c r="D9036" t="s">
        <v>28407</v>
      </c>
      <c r="E9036">
        <v>9</v>
      </c>
      <c r="F9036" t="str">
        <f>HYPERLINK("https://github.com/nextcloud/android/issues/3021", "show")</f>
        <v>show</v>
      </c>
      <c r="G9036" t="str">
        <f>HYPERLINK("https://github.com/nextcloud/android", "show")</f>
        <v>show</v>
      </c>
      <c r="H9036" t="str">
        <f>HYPERLINK("https://github.com/nextcloud/android/releases", "show")</f>
        <v>show</v>
      </c>
      <c r="I9036">
        <v>0</v>
      </c>
      <c r="J9036">
        <v>1</v>
      </c>
      <c r="K9036">
        <v>1</v>
      </c>
      <c r="L9036">
        <v>0</v>
      </c>
      <c r="M9036" t="s">
        <v>699</v>
      </c>
    </row>
    <row r="9037" spans="1:13" hidden="1" x14ac:dyDescent="0.15">
      <c r="A9037" t="s">
        <v>28408</v>
      </c>
      <c r="B9037" t="s">
        <v>28409</v>
      </c>
      <c r="C9037" t="s">
        <v>504</v>
      </c>
      <c r="D9037" t="s">
        <v>28407</v>
      </c>
      <c r="E9037">
        <v>99</v>
      </c>
      <c r="F9037" t="str">
        <f>HYPERLINK("https://github.com/niclabs/adkintunmobile-androidclient/issues/197", "show")</f>
        <v>show</v>
      </c>
      <c r="G9037" t="str">
        <f>HYPERLINK("https://github.com/niclabs/adkintunmobile-androidclient", "show")</f>
        <v>show</v>
      </c>
      <c r="H9037" t="str">
        <f>HYPERLINK("https://github.com/niclabs/adkintunmobile-androidclient/releases", "show")</f>
        <v>show</v>
      </c>
      <c r="I9037">
        <v>1</v>
      </c>
      <c r="J9037">
        <v>0</v>
      </c>
      <c r="K9037">
        <v>0</v>
      </c>
      <c r="L9037">
        <v>0</v>
      </c>
      <c r="M9037" t="s">
        <v>17</v>
      </c>
    </row>
    <row r="9038" spans="1:13" hidden="1" x14ac:dyDescent="0.15">
      <c r="A9038" t="s">
        <v>28410</v>
      </c>
      <c r="B9038" t="s">
        <v>28411</v>
      </c>
      <c r="C9038" t="s">
        <v>28412</v>
      </c>
      <c r="D9038" t="s">
        <v>28407</v>
      </c>
      <c r="E9038">
        <v>255</v>
      </c>
      <c r="F9038" t="str">
        <f>HYPERLINK("https://github.com/nextcloud/android/issues/3019", "show")</f>
        <v>show</v>
      </c>
      <c r="G9038" t="str">
        <f>HYPERLINK("https://github.com/nextcloud/android", "show")</f>
        <v>show</v>
      </c>
      <c r="H9038" t="str">
        <f>HYPERLINK("https://github.com/nextcloud/android/releases", "show")</f>
        <v>show</v>
      </c>
      <c r="I9038">
        <v>1</v>
      </c>
      <c r="J9038">
        <v>1</v>
      </c>
      <c r="K9038">
        <v>1</v>
      </c>
      <c r="L9038">
        <v>0</v>
      </c>
      <c r="M9038" t="s">
        <v>59</v>
      </c>
    </row>
    <row r="9039" spans="1:13" hidden="1" x14ac:dyDescent="0.15">
      <c r="A9039" t="s">
        <v>28413</v>
      </c>
      <c r="B9039" t="s">
        <v>28414</v>
      </c>
      <c r="C9039" t="s">
        <v>28415</v>
      </c>
      <c r="D9039" t="s">
        <v>28407</v>
      </c>
      <c r="E9039">
        <v>0</v>
      </c>
      <c r="F9039" t="str">
        <f>HYPERLINK("https://github.com/sazid/aiub-app/issues/1", "show")</f>
        <v>show</v>
      </c>
      <c r="G9039" t="str">
        <f>HYPERLINK("https://github.com/sazid/aiub-app", "show")</f>
        <v>show</v>
      </c>
      <c r="H9039" t="str">
        <f>HYPERLINK("https://github.com/sazid/aiub-app/releases", "show")</f>
        <v>show</v>
      </c>
      <c r="I9039">
        <v>1</v>
      </c>
      <c r="J9039">
        <v>0</v>
      </c>
      <c r="K9039">
        <v>0</v>
      </c>
      <c r="L9039">
        <v>0</v>
      </c>
      <c r="M9039" t="s">
        <v>17</v>
      </c>
    </row>
    <row r="9040" spans="1:13" hidden="1" x14ac:dyDescent="0.15">
      <c r="A9040" t="s">
        <v>28416</v>
      </c>
      <c r="B9040" t="s">
        <v>28417</v>
      </c>
      <c r="C9040" t="s">
        <v>28418</v>
      </c>
      <c r="D9040" t="s">
        <v>28407</v>
      </c>
      <c r="E9040">
        <v>489</v>
      </c>
      <c r="F9040" t="str">
        <f>HYPERLINK("https://github.com/lottie-react-native/lottie-react-native/issues/381", "show")</f>
        <v>show</v>
      </c>
      <c r="G9040" t="str">
        <f>HYPERLINK("https://github.com/lottie-react-native/lottie-react-native", "show")</f>
        <v>show</v>
      </c>
      <c r="H9040" t="str">
        <f>HYPERLINK("https://github.com/lottie-react-native/lottie-react-native/releases", "show")</f>
        <v>show</v>
      </c>
      <c r="I9040">
        <v>0</v>
      </c>
      <c r="J9040">
        <v>0</v>
      </c>
      <c r="K9040">
        <v>0</v>
      </c>
      <c r="L9040">
        <v>1</v>
      </c>
      <c r="M9040" t="s">
        <v>581</v>
      </c>
    </row>
    <row r="9041" spans="1:13" hidden="1" x14ac:dyDescent="0.15">
      <c r="A9041" t="s">
        <v>28419</v>
      </c>
      <c r="B9041" t="s">
        <v>28420</v>
      </c>
      <c r="C9041" t="s">
        <v>28421</v>
      </c>
      <c r="D9041" t="s">
        <v>28407</v>
      </c>
      <c r="E9041">
        <v>607</v>
      </c>
      <c r="F9041" t="str">
        <f>HYPERLINK("https://github.com/TeamNewPipe/NewPipe/issues/1706", "show")</f>
        <v>show</v>
      </c>
      <c r="G9041" t="str">
        <f>HYPERLINK("https://github.com/TeamNewPipe/NewPipe", "show")</f>
        <v>show</v>
      </c>
      <c r="H9041" t="str">
        <f>HYPERLINK("https://github.com/TeamNewPipe/NewPipe/releases", "show")</f>
        <v>show</v>
      </c>
      <c r="I9041">
        <v>0</v>
      </c>
      <c r="J9041">
        <v>0</v>
      </c>
      <c r="K9041">
        <v>1</v>
      </c>
      <c r="L9041">
        <v>0</v>
      </c>
      <c r="M9041" t="s">
        <v>122</v>
      </c>
    </row>
    <row r="9042" spans="1:13" hidden="1" x14ac:dyDescent="0.15">
      <c r="A9042" t="s">
        <v>28422</v>
      </c>
      <c r="B9042" t="s">
        <v>28423</v>
      </c>
      <c r="C9042" t="s">
        <v>28424</v>
      </c>
      <c r="D9042" t="s">
        <v>28425</v>
      </c>
      <c r="E9042">
        <v>2</v>
      </c>
      <c r="F9042" t="str">
        <f>HYPERLINK("https://github.com/jMonkeyEngine/jmonkeyengine/issues/898", "show")</f>
        <v>show</v>
      </c>
      <c r="G9042" t="str">
        <f>HYPERLINK("https://github.com/jMonkeyEngine/jmonkeyengine", "show")</f>
        <v>show</v>
      </c>
      <c r="H9042" t="str">
        <f>HYPERLINK("https://github.com/jMonkeyEngine/jmonkeyengine/releases", "show")</f>
        <v>show</v>
      </c>
      <c r="I9042">
        <v>1</v>
      </c>
      <c r="J9042">
        <v>0</v>
      </c>
      <c r="K9042">
        <v>1</v>
      </c>
      <c r="L9042">
        <v>0</v>
      </c>
      <c r="M9042" t="s">
        <v>64</v>
      </c>
    </row>
    <row r="9043" spans="1:13" hidden="1" x14ac:dyDescent="0.15">
      <c r="A9043" t="s">
        <v>28426</v>
      </c>
      <c r="B9043" t="s">
        <v>28427</v>
      </c>
      <c r="C9043" t="s">
        <v>28428</v>
      </c>
      <c r="D9043" t="s">
        <v>28425</v>
      </c>
      <c r="E9043">
        <v>94</v>
      </c>
      <c r="F9043" t="str">
        <f>HYPERLINK("https://github.com/nextcloud/android/issues/3011", "show")</f>
        <v>show</v>
      </c>
      <c r="G9043" t="str">
        <f>HYPERLINK("https://github.com/nextcloud/android", "show")</f>
        <v>show</v>
      </c>
      <c r="H9043" t="str">
        <f>HYPERLINK("https://github.com/nextcloud/android/releases", "show")</f>
        <v>show</v>
      </c>
      <c r="I9043">
        <v>1</v>
      </c>
      <c r="J9043">
        <v>0</v>
      </c>
      <c r="K9043">
        <v>0</v>
      </c>
      <c r="L9043">
        <v>0</v>
      </c>
      <c r="M9043" t="s">
        <v>17</v>
      </c>
    </row>
    <row r="9044" spans="1:13" hidden="1" x14ac:dyDescent="0.15">
      <c r="A9044" t="s">
        <v>28429</v>
      </c>
      <c r="B9044" t="s">
        <v>28430</v>
      </c>
      <c r="C9044" t="s">
        <v>28431</v>
      </c>
      <c r="D9044" t="s">
        <v>28425</v>
      </c>
      <c r="E9044">
        <v>107</v>
      </c>
      <c r="F9044" t="str">
        <f>HYPERLINK("https://github.com/react-native-camera/react-native-camera/issues/1785", "show")</f>
        <v>show</v>
      </c>
      <c r="G9044" t="str">
        <f>HYPERLINK("https://github.com/react-native-camera/react-native-camera", "show")</f>
        <v>show</v>
      </c>
      <c r="H9044" t="str">
        <f>HYPERLINK("https://github.com/react-native-camera/react-native-camera/releases", "show")</f>
        <v>show</v>
      </c>
      <c r="I9044">
        <v>0</v>
      </c>
      <c r="J9044">
        <v>0</v>
      </c>
      <c r="K9044">
        <v>1</v>
      </c>
      <c r="L9044">
        <v>0</v>
      </c>
      <c r="M9044" t="s">
        <v>122</v>
      </c>
    </row>
    <row r="9045" spans="1:13" hidden="1" x14ac:dyDescent="0.15">
      <c r="A9045" t="s">
        <v>28432</v>
      </c>
      <c r="B9045" t="s">
        <v>28433</v>
      </c>
      <c r="C9045" t="s">
        <v>28434</v>
      </c>
      <c r="D9045" t="s">
        <v>28435</v>
      </c>
      <c r="E9045">
        <v>610</v>
      </c>
      <c r="F9045" t="str">
        <f>HYPERLINK("https://github.com/TeamNewPipe/NewPipe/issues/1680", "show")</f>
        <v>show</v>
      </c>
      <c r="G9045" t="str">
        <f>HYPERLINK("https://github.com/TeamNewPipe/NewPipe", "show")</f>
        <v>show</v>
      </c>
      <c r="H9045" t="str">
        <f>HYPERLINK("https://github.com/TeamNewPipe/NewPipe/releases", "show")</f>
        <v>show</v>
      </c>
      <c r="I9045">
        <v>0</v>
      </c>
      <c r="J9045">
        <v>0</v>
      </c>
      <c r="K9045">
        <v>1</v>
      </c>
      <c r="L9045">
        <v>0</v>
      </c>
      <c r="M9045" t="s">
        <v>122</v>
      </c>
    </row>
    <row r="9046" spans="1:13" hidden="1" x14ac:dyDescent="0.15">
      <c r="A9046" t="s">
        <v>28436</v>
      </c>
      <c r="B9046" t="s">
        <v>28437</v>
      </c>
      <c r="C9046" t="s">
        <v>28438</v>
      </c>
      <c r="D9046" t="s">
        <v>28435</v>
      </c>
      <c r="E9046">
        <v>45</v>
      </c>
      <c r="F9046" t="str">
        <f>HYPERLINK("https://github.com/federicoiosue/Omni-Notes/issues/592", "show")</f>
        <v>show</v>
      </c>
      <c r="G9046" t="str">
        <f>HYPERLINK("https://github.com/federicoiosue/Omni-Notes", "show")</f>
        <v>show</v>
      </c>
      <c r="H9046" t="str">
        <f>HYPERLINK("https://github.com/federicoiosue/Omni-Notes/releases", "show")</f>
        <v>show</v>
      </c>
      <c r="I9046">
        <v>1</v>
      </c>
      <c r="J9046">
        <v>1</v>
      </c>
      <c r="K9046">
        <v>0</v>
      </c>
      <c r="L9046">
        <v>0</v>
      </c>
      <c r="M9046" t="s">
        <v>48</v>
      </c>
    </row>
    <row r="9047" spans="1:13" hidden="1" x14ac:dyDescent="0.15">
      <c r="A9047" t="s">
        <v>28439</v>
      </c>
      <c r="B9047" t="s">
        <v>28440</v>
      </c>
      <c r="C9047" t="s">
        <v>28441</v>
      </c>
      <c r="D9047" t="s">
        <v>28435</v>
      </c>
      <c r="E9047">
        <v>613</v>
      </c>
      <c r="F9047" t="str">
        <f>HYPERLINK("https://github.com/TeamNewPipe/NewPipe/issues/1674", "show")</f>
        <v>show</v>
      </c>
      <c r="G9047" t="str">
        <f>HYPERLINK("https://github.com/TeamNewPipe/NewPipe", "show")</f>
        <v>show</v>
      </c>
      <c r="H9047" t="str">
        <f>HYPERLINK("https://github.com/TeamNewPipe/NewPipe/releases", "show")</f>
        <v>show</v>
      </c>
      <c r="I9047">
        <v>0</v>
      </c>
      <c r="J9047">
        <v>0</v>
      </c>
      <c r="K9047">
        <v>1</v>
      </c>
      <c r="L9047">
        <v>1</v>
      </c>
      <c r="M9047" t="s">
        <v>351</v>
      </c>
    </row>
    <row r="9048" spans="1:13" hidden="1" x14ac:dyDescent="0.15">
      <c r="A9048" t="s">
        <v>28442</v>
      </c>
      <c r="B9048" t="s">
        <v>28443</v>
      </c>
      <c r="C9048" t="s">
        <v>28444</v>
      </c>
      <c r="D9048" t="s">
        <v>28445</v>
      </c>
      <c r="E9048">
        <v>1</v>
      </c>
      <c r="F9048" t="str">
        <f>HYPERLINK("https://github.com/marksuth/indigenous-android/issues/99", "show")</f>
        <v>show</v>
      </c>
      <c r="G9048" t="str">
        <f>HYPERLINK("https://github.com/marksuth/indigenous-android", "show")</f>
        <v>show</v>
      </c>
      <c r="H9048" t="str">
        <f>HYPERLINK("https://github.com/marksuth/indigenous-android/releases", "show")</f>
        <v>show</v>
      </c>
      <c r="I9048">
        <v>1</v>
      </c>
      <c r="J9048">
        <v>0</v>
      </c>
      <c r="K9048">
        <v>0</v>
      </c>
      <c r="L9048">
        <v>0</v>
      </c>
      <c r="M9048" t="s">
        <v>17</v>
      </c>
    </row>
    <row r="9049" spans="1:13" hidden="1" x14ac:dyDescent="0.15">
      <c r="A9049" t="s">
        <v>28446</v>
      </c>
      <c r="B9049" t="s">
        <v>28447</v>
      </c>
      <c r="D9049" t="s">
        <v>28445</v>
      </c>
      <c r="E9049">
        <v>4</v>
      </c>
      <c r="F9049" t="str">
        <f>HYPERLINK("https://github.com/forrestguice/SuntimesWidget/issues/243", "show")</f>
        <v>show</v>
      </c>
      <c r="G9049" t="str">
        <f>HYPERLINK("https://github.com/forrestguice/SuntimesWidget", "show")</f>
        <v>show</v>
      </c>
      <c r="H9049" t="str">
        <f>HYPERLINK("https://github.com/forrestguice/SuntimesWidget/releases", "show")</f>
        <v>show</v>
      </c>
      <c r="I9049">
        <v>0</v>
      </c>
      <c r="J9049">
        <v>0</v>
      </c>
      <c r="K9049">
        <v>0</v>
      </c>
      <c r="L9049">
        <v>0</v>
      </c>
      <c r="M9049" t="s">
        <v>43</v>
      </c>
    </row>
    <row r="9050" spans="1:13" hidden="1" x14ac:dyDescent="0.15">
      <c r="A9050" t="s">
        <v>28448</v>
      </c>
      <c r="B9050" t="s">
        <v>28449</v>
      </c>
      <c r="C9050" t="s">
        <v>28450</v>
      </c>
      <c r="D9050" t="s">
        <v>28445</v>
      </c>
      <c r="E9050">
        <v>10</v>
      </c>
      <c r="F9050" t="str">
        <f>HYPERLINK("https://github.com/matejpoliacek/GalileoGameApp/issues/21", "show")</f>
        <v>show</v>
      </c>
      <c r="G9050" t="str">
        <f>HYPERLINK("https://github.com/matejpoliacek/GalileoGameApp", "show")</f>
        <v>show</v>
      </c>
      <c r="H9050" t="str">
        <f>HYPERLINK("https://github.com/matejpoliacek/GalileoGameApp/releases", "show")</f>
        <v>show</v>
      </c>
      <c r="I9050">
        <v>0</v>
      </c>
      <c r="J9050">
        <v>0</v>
      </c>
      <c r="K9050">
        <v>0</v>
      </c>
      <c r="L9050">
        <v>0</v>
      </c>
      <c r="M9050" t="s">
        <v>43</v>
      </c>
    </row>
    <row r="9051" spans="1:13" hidden="1" x14ac:dyDescent="0.15">
      <c r="A9051" t="s">
        <v>28451</v>
      </c>
      <c r="B9051" t="s">
        <v>28452</v>
      </c>
      <c r="C9051" t="s">
        <v>28453</v>
      </c>
      <c r="D9051" t="s">
        <v>28454</v>
      </c>
      <c r="E9051">
        <v>0</v>
      </c>
      <c r="F9051" t="str">
        <f>HYPERLINK("https://github.com/google/blockly-android/issues/743", "show")</f>
        <v>show</v>
      </c>
      <c r="G9051" t="str">
        <f>HYPERLINK("https://github.com/google/blockly-android", "show")</f>
        <v>show</v>
      </c>
      <c r="H9051" t="str">
        <f>HYPERLINK("https://github.com/google/blockly-android/releases", "show")</f>
        <v>show</v>
      </c>
      <c r="I9051">
        <v>1</v>
      </c>
      <c r="J9051">
        <v>0</v>
      </c>
      <c r="K9051">
        <v>1</v>
      </c>
      <c r="L9051">
        <v>0</v>
      </c>
      <c r="M9051" t="s">
        <v>64</v>
      </c>
    </row>
    <row r="9052" spans="1:13" hidden="1" x14ac:dyDescent="0.15">
      <c r="A9052" t="s">
        <v>28455</v>
      </c>
      <c r="B9052" t="s">
        <v>28456</v>
      </c>
      <c r="C9052" t="s">
        <v>28457</v>
      </c>
      <c r="D9052" t="s">
        <v>28454</v>
      </c>
      <c r="E9052">
        <v>2</v>
      </c>
      <c r="F9052" t="str">
        <f>HYPERLINK("https://github.com/niccokunzmann/mundraub-android/issues/99", "show")</f>
        <v>show</v>
      </c>
      <c r="G9052" t="str">
        <f>HYPERLINK("https://github.com/niccokunzmann/mundraub-android", "show")</f>
        <v>show</v>
      </c>
      <c r="H9052" t="str">
        <f>HYPERLINK("https://github.com/niccokunzmann/mundraub-android/releases", "show")</f>
        <v>show</v>
      </c>
      <c r="I9052">
        <v>0</v>
      </c>
      <c r="J9052">
        <v>0</v>
      </c>
      <c r="K9052">
        <v>0</v>
      </c>
      <c r="L9052">
        <v>0</v>
      </c>
      <c r="M9052" t="s">
        <v>43</v>
      </c>
    </row>
    <row r="9053" spans="1:13" hidden="1" x14ac:dyDescent="0.15">
      <c r="A9053" t="s">
        <v>28458</v>
      </c>
      <c r="B9053" t="s">
        <v>28459</v>
      </c>
      <c r="C9053" t="s">
        <v>28460</v>
      </c>
      <c r="D9053" t="s">
        <v>28454</v>
      </c>
      <c r="E9053">
        <v>333</v>
      </c>
      <c r="F9053" t="str">
        <f>HYPERLINK("https://github.com/niccokunzmann/mundraub-android/issues/97", "show")</f>
        <v>show</v>
      </c>
      <c r="G9053" t="str">
        <f>HYPERLINK("https://github.com/niccokunzmann/mundraub-android", "show")</f>
        <v>show</v>
      </c>
      <c r="H9053" t="str">
        <f>HYPERLINK("https://github.com/niccokunzmann/mundraub-android/releases", "show")</f>
        <v>show</v>
      </c>
      <c r="I9053">
        <v>0</v>
      </c>
      <c r="J9053">
        <v>0</v>
      </c>
      <c r="K9053">
        <v>0</v>
      </c>
      <c r="L9053">
        <v>0</v>
      </c>
      <c r="M9053" t="s">
        <v>43</v>
      </c>
    </row>
    <row r="9054" spans="1:13" hidden="1" x14ac:dyDescent="0.15">
      <c r="A9054" t="s">
        <v>28461</v>
      </c>
      <c r="B9054" t="s">
        <v>28462</v>
      </c>
      <c r="C9054" t="s">
        <v>28463</v>
      </c>
      <c r="D9054" t="s">
        <v>28454</v>
      </c>
      <c r="E9054">
        <v>15</v>
      </c>
      <c r="F9054" t="str">
        <f>HYPERLINK("https://github.com/wdullaer/MaterialDateTimePicker/issues/522", "show")</f>
        <v>show</v>
      </c>
      <c r="G9054" t="str">
        <f>HYPERLINK("https://github.com/wdullaer/MaterialDateTimePicker", "show")</f>
        <v>show</v>
      </c>
      <c r="H9054" t="str">
        <f>HYPERLINK("https://github.com/wdullaer/MaterialDateTimePicker/releases", "show")</f>
        <v>show</v>
      </c>
      <c r="I9054">
        <v>1</v>
      </c>
      <c r="J9054">
        <v>0</v>
      </c>
      <c r="K9054">
        <v>1</v>
      </c>
      <c r="L9054">
        <v>1</v>
      </c>
      <c r="M9054" t="s">
        <v>1259</v>
      </c>
    </row>
    <row r="9055" spans="1:13" hidden="1" x14ac:dyDescent="0.15">
      <c r="A9055" t="s">
        <v>28464</v>
      </c>
      <c r="B9055" t="s">
        <v>28465</v>
      </c>
      <c r="C9055" t="s">
        <v>28466</v>
      </c>
      <c r="D9055" t="s">
        <v>28454</v>
      </c>
      <c r="E9055">
        <v>100</v>
      </c>
      <c r="F9055" t="str">
        <f>HYPERLINK("https://github.com/commons-app/apps-android-commons/issues/1882", "show")</f>
        <v>show</v>
      </c>
      <c r="G9055" t="str">
        <f>HYPERLINK("https://github.com/commons-app/apps-android-commons", "show")</f>
        <v>show</v>
      </c>
      <c r="H9055" t="str">
        <f>HYPERLINK("https://github.com/commons-app/apps-android-commons/releases", "show")</f>
        <v>show</v>
      </c>
      <c r="I9055">
        <v>1</v>
      </c>
      <c r="J9055">
        <v>0</v>
      </c>
      <c r="K9055">
        <v>0</v>
      </c>
      <c r="L9055">
        <v>0</v>
      </c>
      <c r="M9055" t="s">
        <v>17</v>
      </c>
    </row>
    <row r="9056" spans="1:13" hidden="1" x14ac:dyDescent="0.15">
      <c r="A9056" t="s">
        <v>28467</v>
      </c>
      <c r="B9056" t="s">
        <v>28468</v>
      </c>
      <c r="C9056" t="s">
        <v>28469</v>
      </c>
      <c r="D9056" t="s">
        <v>28454</v>
      </c>
      <c r="E9056">
        <v>2</v>
      </c>
      <c r="F9056" t="str">
        <f>HYPERLINK("https://github.com/aws-amplify/aws-sdk-android/issues/525", "show")</f>
        <v>show</v>
      </c>
      <c r="G9056" t="str">
        <f>HYPERLINK("https://github.com/aws-amplify/aws-sdk-android", "show")</f>
        <v>show</v>
      </c>
      <c r="H9056" t="str">
        <f>HYPERLINK("https://github.com/aws-amplify/aws-sdk-android/releases", "show")</f>
        <v>show</v>
      </c>
      <c r="I9056">
        <v>1</v>
      </c>
      <c r="J9056">
        <v>0</v>
      </c>
      <c r="K9056">
        <v>1</v>
      </c>
      <c r="L9056">
        <v>0</v>
      </c>
      <c r="M9056" t="s">
        <v>64</v>
      </c>
    </row>
    <row r="9057" spans="1:13" hidden="1" x14ac:dyDescent="0.15">
      <c r="A9057" t="s">
        <v>28470</v>
      </c>
      <c r="B9057" t="s">
        <v>28471</v>
      </c>
      <c r="C9057" t="s">
        <v>28472</v>
      </c>
      <c r="D9057" t="s">
        <v>28454</v>
      </c>
      <c r="E9057">
        <v>595</v>
      </c>
      <c r="F9057" t="str">
        <f>HYPERLINK("https://github.com/segmentio/analytics-android/issues/592", "show")</f>
        <v>show</v>
      </c>
      <c r="G9057" t="str">
        <f>HYPERLINK("https://github.com/segmentio/analytics-android", "show")</f>
        <v>show</v>
      </c>
      <c r="H9057" t="str">
        <f>HYPERLINK("https://github.com/segmentio/analytics-android/releases", "show")</f>
        <v>show</v>
      </c>
      <c r="I9057">
        <v>1</v>
      </c>
      <c r="J9057">
        <v>0</v>
      </c>
      <c r="K9057">
        <v>1</v>
      </c>
      <c r="L9057">
        <v>0</v>
      </c>
      <c r="M9057" t="s">
        <v>64</v>
      </c>
    </row>
    <row r="9058" spans="1:13" hidden="1" x14ac:dyDescent="0.15">
      <c r="A9058" t="s">
        <v>28473</v>
      </c>
      <c r="B9058" t="s">
        <v>28474</v>
      </c>
      <c r="C9058" t="s">
        <v>28475</v>
      </c>
      <c r="D9058" t="s">
        <v>28476</v>
      </c>
      <c r="E9058">
        <v>20</v>
      </c>
      <c r="F9058" t="str">
        <f>HYPERLINK("https://github.com/ZeusWPI/hydra-android/issues/277", "show")</f>
        <v>show</v>
      </c>
      <c r="G9058" t="str">
        <f>HYPERLINK("https://github.com/ZeusWPI/hydra-android", "show")</f>
        <v>show</v>
      </c>
      <c r="H9058" t="str">
        <f>HYPERLINK("https://github.com/ZeusWPI/hydra-android/releases", "show")</f>
        <v>show</v>
      </c>
      <c r="I9058">
        <v>0</v>
      </c>
      <c r="J9058">
        <v>0</v>
      </c>
      <c r="K9058">
        <v>0</v>
      </c>
      <c r="L9058">
        <v>0</v>
      </c>
      <c r="M9058" t="s">
        <v>43</v>
      </c>
    </row>
    <row r="9059" spans="1:13" hidden="1" x14ac:dyDescent="0.15">
      <c r="A9059" t="s">
        <v>28477</v>
      </c>
      <c r="B9059" t="s">
        <v>28478</v>
      </c>
      <c r="C9059" t="s">
        <v>28479</v>
      </c>
      <c r="D9059" t="s">
        <v>28476</v>
      </c>
      <c r="E9059">
        <v>78</v>
      </c>
      <c r="F9059" t="str">
        <f>HYPERLINK("https://github.com/mycelium-com/wallet-android/issues/475", "show")</f>
        <v>show</v>
      </c>
      <c r="G9059" t="str">
        <f>HYPERLINK("https://github.com/mycelium-com/wallet-android", "show")</f>
        <v>show</v>
      </c>
      <c r="H9059" t="str">
        <f>HYPERLINK("https://github.com/mycelium-com/wallet-android/releases", "show")</f>
        <v>show</v>
      </c>
      <c r="I9059">
        <v>1</v>
      </c>
      <c r="J9059">
        <v>1</v>
      </c>
      <c r="K9059">
        <v>0</v>
      </c>
      <c r="L9059">
        <v>0</v>
      </c>
      <c r="M9059" t="s">
        <v>48</v>
      </c>
    </row>
    <row r="9060" spans="1:13" hidden="1" x14ac:dyDescent="0.15">
      <c r="A9060" t="s">
        <v>28480</v>
      </c>
      <c r="B9060" t="s">
        <v>28481</v>
      </c>
      <c r="C9060" t="s">
        <v>28482</v>
      </c>
      <c r="D9060" t="s">
        <v>28476</v>
      </c>
      <c r="E9060">
        <v>158</v>
      </c>
      <c r="F9060" t="str">
        <f>HYPERLINK("https://github.com/Intelehealth/Android-Mobile-Client/issues/516", "show")</f>
        <v>show</v>
      </c>
      <c r="G9060" t="str">
        <f>HYPERLINK("https://github.com/Intelehealth/Android-Mobile-Client", "show")</f>
        <v>show</v>
      </c>
      <c r="H9060" t="str">
        <f>HYPERLINK("https://github.com/Intelehealth/Android-Mobile-Client/releases", "show")</f>
        <v>show</v>
      </c>
      <c r="I9060">
        <v>0</v>
      </c>
      <c r="J9060">
        <v>0</v>
      </c>
      <c r="K9060">
        <v>1</v>
      </c>
      <c r="L9060">
        <v>0</v>
      </c>
      <c r="M9060" t="s">
        <v>122</v>
      </c>
    </row>
    <row r="9061" spans="1:13" hidden="1" x14ac:dyDescent="0.15">
      <c r="A9061" t="s">
        <v>28483</v>
      </c>
      <c r="B9061" t="s">
        <v>28484</v>
      </c>
      <c r="C9061" t="s">
        <v>28485</v>
      </c>
      <c r="D9061" t="s">
        <v>28476</v>
      </c>
      <c r="E9061">
        <v>23</v>
      </c>
      <c r="F9061" t="str">
        <f>HYPERLINK("https://github.com/commons-app/apps-android-commons/issues/1877", "show")</f>
        <v>show</v>
      </c>
      <c r="G9061" t="str">
        <f>HYPERLINK("https://github.com/commons-app/apps-android-commons", "show")</f>
        <v>show</v>
      </c>
      <c r="H9061" t="str">
        <f>HYPERLINK("https://github.com/commons-app/apps-android-commons/releases", "show")</f>
        <v>show</v>
      </c>
      <c r="I9061">
        <v>1</v>
      </c>
      <c r="J9061">
        <v>0</v>
      </c>
      <c r="K9061">
        <v>1</v>
      </c>
      <c r="L9061">
        <v>0</v>
      </c>
      <c r="M9061" t="s">
        <v>64</v>
      </c>
    </row>
    <row r="9062" spans="1:13" hidden="1" x14ac:dyDescent="0.15">
      <c r="A9062" t="s">
        <v>28486</v>
      </c>
      <c r="B9062" t="s">
        <v>28487</v>
      </c>
      <c r="C9062" t="s">
        <v>28488</v>
      </c>
      <c r="D9062" t="s">
        <v>28476</v>
      </c>
      <c r="E9062">
        <v>3</v>
      </c>
      <c r="F9062" t="str">
        <f>HYPERLINK("https://github.com/nextcloud/android/issues/2957", "show")</f>
        <v>show</v>
      </c>
      <c r="G9062" t="str">
        <f>HYPERLINK("https://github.com/nextcloud/android", "show")</f>
        <v>show</v>
      </c>
      <c r="H9062" t="str">
        <f>HYPERLINK("https://github.com/nextcloud/android/releases", "show")</f>
        <v>show</v>
      </c>
      <c r="I9062">
        <v>1</v>
      </c>
      <c r="J9062">
        <v>1</v>
      </c>
      <c r="K9062">
        <v>0</v>
      </c>
      <c r="L9062">
        <v>0</v>
      </c>
      <c r="M9062" t="s">
        <v>48</v>
      </c>
    </row>
    <row r="9063" spans="1:13" hidden="1" x14ac:dyDescent="0.15">
      <c r="A9063" t="s">
        <v>28489</v>
      </c>
      <c r="B9063" t="s">
        <v>28490</v>
      </c>
      <c r="C9063" t="s">
        <v>28491</v>
      </c>
      <c r="D9063" t="s">
        <v>28492</v>
      </c>
      <c r="E9063">
        <v>339</v>
      </c>
      <c r="F9063" t="str">
        <f>HYPERLINK("https://github.com/Exodus-Privacy/exodus-android-app/issues/34", "show")</f>
        <v>show</v>
      </c>
      <c r="G9063" t="str">
        <f>HYPERLINK("https://github.com/Exodus-Privacy/exodus-android-app", "show")</f>
        <v>show</v>
      </c>
      <c r="H9063" t="str">
        <f>HYPERLINK("https://github.com/Exodus-Privacy/exodus-android-app/releases", "show")</f>
        <v>show</v>
      </c>
      <c r="I9063">
        <v>1</v>
      </c>
      <c r="J9063">
        <v>0</v>
      </c>
      <c r="K9063">
        <v>1</v>
      </c>
      <c r="L9063">
        <v>0</v>
      </c>
      <c r="M9063" t="s">
        <v>64</v>
      </c>
    </row>
    <row r="9064" spans="1:13" hidden="1" x14ac:dyDescent="0.15">
      <c r="A9064" t="s">
        <v>28493</v>
      </c>
      <c r="B9064" t="s">
        <v>28494</v>
      </c>
      <c r="C9064" t="s">
        <v>28495</v>
      </c>
      <c r="D9064" t="s">
        <v>28492</v>
      </c>
      <c r="E9064">
        <v>0</v>
      </c>
      <c r="F9064" t="str">
        <f>HYPERLINK("https://github.com/nearit/Android-UI-Bindings/issues/21", "show")</f>
        <v>show</v>
      </c>
      <c r="G9064" t="str">
        <f>HYPERLINK("https://github.com/nearit/Android-UI-Bindings", "show")</f>
        <v>show</v>
      </c>
      <c r="H9064" t="str">
        <f>HYPERLINK("https://github.com/nearit/Android-UI-Bindings/releases", "show")</f>
        <v>show</v>
      </c>
      <c r="I9064">
        <v>1</v>
      </c>
      <c r="J9064">
        <v>1</v>
      </c>
      <c r="K9064">
        <v>0</v>
      </c>
      <c r="L9064">
        <v>0</v>
      </c>
      <c r="M9064" t="s">
        <v>48</v>
      </c>
    </row>
    <row r="9065" spans="1:13" hidden="1" x14ac:dyDescent="0.15">
      <c r="A9065" t="s">
        <v>28496</v>
      </c>
      <c r="B9065" t="s">
        <v>28497</v>
      </c>
      <c r="C9065" t="s">
        <v>28498</v>
      </c>
      <c r="D9065" t="s">
        <v>28492</v>
      </c>
      <c r="E9065">
        <v>3</v>
      </c>
      <c r="F9065" t="str">
        <f>HYPERLINK("https://github.com/commons-app/apps-android-commons/issues/1876", "show")</f>
        <v>show</v>
      </c>
      <c r="G9065" t="str">
        <f>HYPERLINK("https://github.com/commons-app/apps-android-commons", "show")</f>
        <v>show</v>
      </c>
      <c r="H9065" t="str">
        <f>HYPERLINK("https://github.com/commons-app/apps-android-commons/releases", "show")</f>
        <v>show</v>
      </c>
      <c r="I9065">
        <v>0</v>
      </c>
      <c r="J9065">
        <v>0</v>
      </c>
      <c r="K9065">
        <v>1</v>
      </c>
      <c r="L9065">
        <v>0</v>
      </c>
      <c r="M9065" t="s">
        <v>122</v>
      </c>
    </row>
    <row r="9066" spans="1:13" hidden="1" x14ac:dyDescent="0.15">
      <c r="A9066" t="s">
        <v>28499</v>
      </c>
      <c r="B9066" t="s">
        <v>28500</v>
      </c>
      <c r="C9066" t="s">
        <v>28501</v>
      </c>
      <c r="D9066" t="s">
        <v>28492</v>
      </c>
      <c r="E9066">
        <v>26</v>
      </c>
      <c r="F9066" t="str">
        <f>HYPERLINK("https://github.com/niccokunzmann/mundraub-android/issues/88", "show")</f>
        <v>show</v>
      </c>
      <c r="G9066" t="str">
        <f>HYPERLINK("https://github.com/niccokunzmann/mundraub-android", "show")</f>
        <v>show</v>
      </c>
      <c r="H9066" t="str">
        <f>HYPERLINK("https://github.com/niccokunzmann/mundraub-android/releases", "show")</f>
        <v>show</v>
      </c>
      <c r="I9066">
        <v>0</v>
      </c>
      <c r="J9066">
        <v>0</v>
      </c>
      <c r="K9066">
        <v>0</v>
      </c>
      <c r="L9066">
        <v>0</v>
      </c>
      <c r="M9066" t="s">
        <v>43</v>
      </c>
    </row>
    <row r="9067" spans="1:13" x14ac:dyDescent="0.15">
      <c r="A9067" t="s">
        <v>28502</v>
      </c>
      <c r="B9067" t="s">
        <v>28503</v>
      </c>
      <c r="C9067" t="s">
        <v>28504</v>
      </c>
      <c r="D9067" t="s">
        <v>28492</v>
      </c>
      <c r="E9067">
        <v>0</v>
      </c>
      <c r="F9067" t="str">
        <f>HYPERLINK("https://github.com/niccokunzmann/mundraub-android/issues/86", "show")</f>
        <v>show</v>
      </c>
      <c r="G9067" t="str">
        <f>HYPERLINK("https://github.com/niccokunzmann/mundraub-android", "show")</f>
        <v>show</v>
      </c>
      <c r="H9067" t="str">
        <f>HYPERLINK("https://github.com/niccokunzmann/mundraub-android/releases", "show")</f>
        <v>show</v>
      </c>
      <c r="I9067">
        <v>0</v>
      </c>
      <c r="J9067">
        <v>1</v>
      </c>
      <c r="K9067">
        <v>0</v>
      </c>
      <c r="L9067">
        <v>0</v>
      </c>
      <c r="M9067" t="s">
        <v>139</v>
      </c>
    </row>
    <row r="9068" spans="1:13" hidden="1" x14ac:dyDescent="0.15">
      <c r="A9068" t="s">
        <v>28505</v>
      </c>
      <c r="B9068" t="s">
        <v>28506</v>
      </c>
      <c r="C9068" t="s">
        <v>28507</v>
      </c>
      <c r="D9068" t="s">
        <v>28508</v>
      </c>
      <c r="E9068">
        <v>0</v>
      </c>
      <c r="F9068" t="str">
        <f>HYPERLINK("https://github.com/niccokunzmann/mundraub-android/issues/82", "show")</f>
        <v>show</v>
      </c>
      <c r="G9068" t="str">
        <f>HYPERLINK("https://github.com/niccokunzmann/mundraub-android", "show")</f>
        <v>show</v>
      </c>
      <c r="H9068" t="str">
        <f>HYPERLINK("https://github.com/niccokunzmann/mundraub-android/releases", "show")</f>
        <v>show</v>
      </c>
      <c r="I9068">
        <v>0</v>
      </c>
      <c r="J9068">
        <v>0</v>
      </c>
      <c r="K9068">
        <v>0</v>
      </c>
      <c r="L9068">
        <v>0</v>
      </c>
      <c r="M9068" t="s">
        <v>43</v>
      </c>
    </row>
    <row r="9069" spans="1:13" hidden="1" x14ac:dyDescent="0.15">
      <c r="A9069" t="s">
        <v>28509</v>
      </c>
      <c r="B9069" t="s">
        <v>28510</v>
      </c>
      <c r="C9069" t="s">
        <v>28511</v>
      </c>
      <c r="D9069" t="s">
        <v>28508</v>
      </c>
      <c r="E9069">
        <v>2</v>
      </c>
      <c r="F9069" t="str">
        <f>HYPERLINK("https://github.com/niccokunzmann/mundraub-android/issues/79", "show")</f>
        <v>show</v>
      </c>
      <c r="G9069" t="str">
        <f>HYPERLINK("https://github.com/niccokunzmann/mundraub-android", "show")</f>
        <v>show</v>
      </c>
      <c r="H9069" t="str">
        <f>HYPERLINK("https://github.com/niccokunzmann/mundraub-android/releases", "show")</f>
        <v>show</v>
      </c>
      <c r="I9069">
        <v>0</v>
      </c>
      <c r="J9069">
        <v>0</v>
      </c>
      <c r="K9069">
        <v>0</v>
      </c>
      <c r="L9069">
        <v>0</v>
      </c>
      <c r="M9069" t="s">
        <v>43</v>
      </c>
    </row>
    <row r="9070" spans="1:13" hidden="1" x14ac:dyDescent="0.15">
      <c r="A9070" t="s">
        <v>28512</v>
      </c>
      <c r="B9070" t="s">
        <v>28513</v>
      </c>
      <c r="C9070" t="s">
        <v>28514</v>
      </c>
      <c r="D9070" t="s">
        <v>28508</v>
      </c>
      <c r="E9070">
        <v>3</v>
      </c>
      <c r="F9070" t="str">
        <f>HYPERLINK("https://github.com/nextcloud/android/issues/2946", "show")</f>
        <v>show</v>
      </c>
      <c r="G9070" t="str">
        <f>HYPERLINK("https://github.com/nextcloud/android", "show")</f>
        <v>show</v>
      </c>
      <c r="H9070" t="str">
        <f>HYPERLINK("https://github.com/nextcloud/android/releases", "show")</f>
        <v>show</v>
      </c>
      <c r="I9070">
        <v>1</v>
      </c>
      <c r="J9070">
        <v>0</v>
      </c>
      <c r="K9070">
        <v>1</v>
      </c>
      <c r="L9070">
        <v>0</v>
      </c>
      <c r="M9070" t="s">
        <v>64</v>
      </c>
    </row>
    <row r="9071" spans="1:13" x14ac:dyDescent="0.15">
      <c r="A9071" t="s">
        <v>28515</v>
      </c>
      <c r="B9071" t="s">
        <v>28516</v>
      </c>
      <c r="C9071" t="s">
        <v>28517</v>
      </c>
      <c r="D9071" t="s">
        <v>28508</v>
      </c>
      <c r="E9071">
        <v>8</v>
      </c>
      <c r="F9071" t="str">
        <f>HYPERLINK("https://github.com/Haptic-Apps/Slide/issues/2847", "show")</f>
        <v>show</v>
      </c>
      <c r="G9071" t="str">
        <f>HYPERLINK("https://github.com/Haptic-Apps/Slide", "show")</f>
        <v>show</v>
      </c>
      <c r="H9071" t="str">
        <f>HYPERLINK("https://github.com/Haptic-Apps/Slide/releases", "show")</f>
        <v>show</v>
      </c>
      <c r="I9071">
        <v>0</v>
      </c>
      <c r="J9071">
        <v>1</v>
      </c>
      <c r="K9071">
        <v>0</v>
      </c>
      <c r="L9071">
        <v>0</v>
      </c>
      <c r="M9071" t="s">
        <v>139</v>
      </c>
    </row>
    <row r="9072" spans="1:13" hidden="1" x14ac:dyDescent="0.15">
      <c r="A9072" t="s">
        <v>28518</v>
      </c>
      <c r="B9072" t="s">
        <v>28519</v>
      </c>
      <c r="C9072" t="s">
        <v>28520</v>
      </c>
      <c r="D9072" t="s">
        <v>28521</v>
      </c>
      <c r="E9072">
        <v>15</v>
      </c>
      <c r="F9072" t="str">
        <f>HYPERLINK("https://github.com/codex-iter/AWOL/issues/10", "show")</f>
        <v>show</v>
      </c>
      <c r="G9072" t="str">
        <f>HYPERLINK("https://github.com/codex-iter/AWOL", "show")</f>
        <v>show</v>
      </c>
      <c r="H9072" t="str">
        <f>HYPERLINK("https://github.com/codex-iter/AWOL/releases", "show")</f>
        <v>show</v>
      </c>
      <c r="I9072">
        <v>1</v>
      </c>
      <c r="J9072">
        <v>0</v>
      </c>
      <c r="K9072">
        <v>0</v>
      </c>
      <c r="L9072">
        <v>0</v>
      </c>
      <c r="M9072" t="s">
        <v>17</v>
      </c>
    </row>
    <row r="9073" spans="1:13" hidden="1" x14ac:dyDescent="0.15">
      <c r="A9073" t="s">
        <v>28522</v>
      </c>
      <c r="B9073" t="s">
        <v>28523</v>
      </c>
      <c r="D9073" t="s">
        <v>28524</v>
      </c>
      <c r="E9073">
        <v>1</v>
      </c>
      <c r="F9073" t="str">
        <f>HYPERLINK("https://github.com/DiscordTime/sticky-sessions-android/issues/61", "show")</f>
        <v>show</v>
      </c>
      <c r="G9073" t="str">
        <f>HYPERLINK("https://github.com/DiscordTime/sticky-sessions-android", "show")</f>
        <v>show</v>
      </c>
      <c r="H9073" t="str">
        <f>HYPERLINK("https://github.com/DiscordTime/sticky-sessions-android/releases", "show")</f>
        <v>show</v>
      </c>
      <c r="I9073">
        <v>0</v>
      </c>
      <c r="J9073">
        <v>0</v>
      </c>
      <c r="K9073">
        <v>0</v>
      </c>
      <c r="L9073">
        <v>0</v>
      </c>
      <c r="M9073" t="s">
        <v>43</v>
      </c>
    </row>
    <row r="9074" spans="1:13" hidden="1" x14ac:dyDescent="0.15">
      <c r="A9074" t="s">
        <v>28525</v>
      </c>
      <c r="B9074" t="s">
        <v>28526</v>
      </c>
      <c r="C9074" t="s">
        <v>28527</v>
      </c>
      <c r="D9074" t="s">
        <v>28524</v>
      </c>
      <c r="E9074">
        <v>32</v>
      </c>
      <c r="F9074" t="str">
        <f>HYPERLINK("https://github.com/openid/AppAuth-Android/issues/402", "show")</f>
        <v>show</v>
      </c>
      <c r="G9074" t="str">
        <f>HYPERLINK("https://github.com/openid/AppAuth-Android", "show")</f>
        <v>show</v>
      </c>
      <c r="H9074" t="str">
        <f>HYPERLINK("https://github.com/openid/AppAuth-Android/releases", "show")</f>
        <v>show</v>
      </c>
      <c r="I9074">
        <v>1</v>
      </c>
      <c r="J9074">
        <v>0</v>
      </c>
      <c r="K9074">
        <v>1</v>
      </c>
      <c r="L9074">
        <v>0</v>
      </c>
      <c r="M9074" t="s">
        <v>64</v>
      </c>
    </row>
    <row r="9075" spans="1:13" hidden="1" x14ac:dyDescent="0.15">
      <c r="A9075" t="s">
        <v>28528</v>
      </c>
      <c r="B9075" t="s">
        <v>28529</v>
      </c>
      <c r="C9075" t="s">
        <v>28530</v>
      </c>
      <c r="D9075" t="s">
        <v>28524</v>
      </c>
      <c r="E9075">
        <v>0</v>
      </c>
      <c r="F9075" t="str">
        <f>HYPERLINK("https://github.com/DiscordTime/sticky-sessions-android/issues/57", "show")</f>
        <v>show</v>
      </c>
      <c r="G9075" t="str">
        <f>HYPERLINK("https://github.com/DiscordTime/sticky-sessions-android", "show")</f>
        <v>show</v>
      </c>
      <c r="H9075" t="str">
        <f>HYPERLINK("https://github.com/DiscordTime/sticky-sessions-android/releases", "show")</f>
        <v>show</v>
      </c>
      <c r="I9075">
        <v>1</v>
      </c>
      <c r="J9075">
        <v>0</v>
      </c>
      <c r="K9075">
        <v>0</v>
      </c>
      <c r="L9075">
        <v>0</v>
      </c>
      <c r="M9075" t="s">
        <v>17</v>
      </c>
    </row>
    <row r="9076" spans="1:13" hidden="1" x14ac:dyDescent="0.15">
      <c r="A9076" t="s">
        <v>28531</v>
      </c>
      <c r="B9076" t="s">
        <v>28532</v>
      </c>
      <c r="C9076" t="s">
        <v>28533</v>
      </c>
      <c r="D9076" t="s">
        <v>28524</v>
      </c>
      <c r="E9076">
        <v>23</v>
      </c>
      <c r="F9076" t="str">
        <f>HYPERLINK("https://github.com/Etar-Group/Etar-Calendar/issues/363", "show")</f>
        <v>show</v>
      </c>
      <c r="G9076" t="str">
        <f>HYPERLINK("https://github.com/Etar-Group/Etar-Calendar", "show")</f>
        <v>show</v>
      </c>
      <c r="H9076" t="str">
        <f>HYPERLINK("https://github.com/Etar-Group/Etar-Calendar/releases", "show")</f>
        <v>show</v>
      </c>
      <c r="I9076">
        <v>1</v>
      </c>
      <c r="J9076">
        <v>0</v>
      </c>
      <c r="K9076">
        <v>1</v>
      </c>
      <c r="L9076">
        <v>0</v>
      </c>
      <c r="M9076" t="s">
        <v>64</v>
      </c>
    </row>
    <row r="9077" spans="1:13" hidden="1" x14ac:dyDescent="0.15">
      <c r="A9077" t="s">
        <v>28534</v>
      </c>
      <c r="B9077" t="s">
        <v>28535</v>
      </c>
      <c r="C9077" t="s">
        <v>28536</v>
      </c>
      <c r="D9077" t="s">
        <v>28524</v>
      </c>
      <c r="E9077">
        <v>159</v>
      </c>
      <c r="F9077" t="str">
        <f>HYPERLINK("https://github.com/nextcloud/android/issues/2941", "show")</f>
        <v>show</v>
      </c>
      <c r="G9077" t="str">
        <f>HYPERLINK("https://github.com/nextcloud/android", "show")</f>
        <v>show</v>
      </c>
      <c r="H9077" t="str">
        <f>HYPERLINK("https://github.com/nextcloud/android/releases", "show")</f>
        <v>show</v>
      </c>
      <c r="I9077">
        <v>0</v>
      </c>
      <c r="J9077">
        <v>1</v>
      </c>
      <c r="K9077">
        <v>1</v>
      </c>
      <c r="L9077">
        <v>0</v>
      </c>
      <c r="M9077" t="s">
        <v>699</v>
      </c>
    </row>
    <row r="9078" spans="1:13" hidden="1" x14ac:dyDescent="0.15">
      <c r="A9078" t="s">
        <v>28537</v>
      </c>
      <c r="B9078" t="s">
        <v>28538</v>
      </c>
      <c r="C9078" t="s">
        <v>28539</v>
      </c>
      <c r="D9078" t="s">
        <v>28524</v>
      </c>
      <c r="E9078">
        <v>290</v>
      </c>
      <c r="F9078" t="str">
        <f>HYPERLINK("https://github.com/react-native-camera/react-native-camera/issues/1768", "show")</f>
        <v>show</v>
      </c>
      <c r="G9078" t="str">
        <f>HYPERLINK("https://github.com/react-native-camera/react-native-camera", "show")</f>
        <v>show</v>
      </c>
      <c r="H9078" t="str">
        <f>HYPERLINK("https://github.com/react-native-camera/react-native-camera/releases", "show")</f>
        <v>show</v>
      </c>
      <c r="I9078">
        <v>1</v>
      </c>
      <c r="J9078">
        <v>1</v>
      </c>
      <c r="K9078">
        <v>0</v>
      </c>
      <c r="L9078">
        <v>0</v>
      </c>
      <c r="M9078" t="s">
        <v>48</v>
      </c>
    </row>
    <row r="9079" spans="1:13" hidden="1" x14ac:dyDescent="0.15">
      <c r="A9079" t="s">
        <v>28540</v>
      </c>
      <c r="B9079" t="s">
        <v>28541</v>
      </c>
      <c r="C9079" t="s">
        <v>28542</v>
      </c>
      <c r="D9079" t="s">
        <v>28543</v>
      </c>
      <c r="E9079">
        <v>7</v>
      </c>
      <c r="F9079" t="str">
        <f>HYPERLINK("https://github.com/TeamNewPipe/NewPipe/issues/1641", "show")</f>
        <v>show</v>
      </c>
      <c r="G9079" t="str">
        <f>HYPERLINK("https://github.com/TeamNewPipe/NewPipe", "show")</f>
        <v>show</v>
      </c>
      <c r="H9079" t="str">
        <f>HYPERLINK("https://github.com/TeamNewPipe/NewPipe/releases", "show")</f>
        <v>show</v>
      </c>
      <c r="I9079">
        <v>1</v>
      </c>
      <c r="J9079">
        <v>0</v>
      </c>
      <c r="K9079">
        <v>1</v>
      </c>
      <c r="L9079">
        <v>0</v>
      </c>
      <c r="M9079" t="s">
        <v>64</v>
      </c>
    </row>
    <row r="9080" spans="1:13" x14ac:dyDescent="0.15">
      <c r="A9080" t="s">
        <v>28544</v>
      </c>
      <c r="B9080" t="s">
        <v>28545</v>
      </c>
      <c r="C9080" t="s">
        <v>28546</v>
      </c>
      <c r="D9080" t="s">
        <v>28543</v>
      </c>
      <c r="E9080">
        <v>268</v>
      </c>
      <c r="F9080" t="str">
        <f>HYPERLINK("https://github.com/nextcloud/android/issues/2939", "show")</f>
        <v>show</v>
      </c>
      <c r="G9080" t="str">
        <f>HYPERLINK("https://github.com/nextcloud/android", "show")</f>
        <v>show</v>
      </c>
      <c r="H9080" t="str">
        <f>HYPERLINK("https://github.com/nextcloud/android/releases", "show")</f>
        <v>show</v>
      </c>
      <c r="I9080">
        <v>0</v>
      </c>
      <c r="J9080">
        <v>1</v>
      </c>
      <c r="K9080">
        <v>0</v>
      </c>
      <c r="L9080">
        <v>0</v>
      </c>
      <c r="M9080" t="s">
        <v>139</v>
      </c>
    </row>
    <row r="9081" spans="1:13" hidden="1" x14ac:dyDescent="0.15">
      <c r="A9081" t="s">
        <v>28547</v>
      </c>
      <c r="B9081" t="s">
        <v>28548</v>
      </c>
      <c r="C9081" t="s">
        <v>28549</v>
      </c>
      <c r="D9081" t="s">
        <v>28543</v>
      </c>
      <c r="E9081">
        <v>81</v>
      </c>
      <c r="F9081" t="str">
        <f>HYPERLINK("https://github.com/HenriDellal/emerald-dialer/issues/1", "show")</f>
        <v>show</v>
      </c>
      <c r="G9081" t="str">
        <f>HYPERLINK("https://github.com/HenriDellal/emerald-dialer", "show")</f>
        <v>show</v>
      </c>
      <c r="H9081" t="str">
        <f>HYPERLINK("https://github.com/HenriDellal/emerald-dialer/releases", "show")</f>
        <v>show</v>
      </c>
      <c r="I9081">
        <v>1</v>
      </c>
      <c r="J9081">
        <v>0</v>
      </c>
      <c r="K9081">
        <v>0</v>
      </c>
      <c r="L9081">
        <v>0</v>
      </c>
      <c r="M9081" t="s">
        <v>17</v>
      </c>
    </row>
    <row r="9082" spans="1:13" hidden="1" x14ac:dyDescent="0.15">
      <c r="A9082" t="s">
        <v>28550</v>
      </c>
      <c r="B9082" t="s">
        <v>28551</v>
      </c>
      <c r="C9082" t="s">
        <v>28552</v>
      </c>
      <c r="D9082" t="s">
        <v>28543</v>
      </c>
      <c r="E9082">
        <v>44</v>
      </c>
      <c r="F9082" t="str">
        <f>HYPERLINK("https://github.com/nextcloud/android/issues/2934", "show")</f>
        <v>show</v>
      </c>
      <c r="G9082" t="str">
        <f>HYPERLINK("https://github.com/nextcloud/android", "show")</f>
        <v>show</v>
      </c>
      <c r="H9082" t="str">
        <f>HYPERLINK("https://github.com/nextcloud/android/releases", "show")</f>
        <v>show</v>
      </c>
      <c r="I9082">
        <v>0</v>
      </c>
      <c r="J9082">
        <v>0</v>
      </c>
      <c r="K9082">
        <v>0</v>
      </c>
      <c r="L9082">
        <v>0</v>
      </c>
      <c r="M9082" t="s">
        <v>43</v>
      </c>
    </row>
    <row r="9083" spans="1:13" hidden="1" x14ac:dyDescent="0.15">
      <c r="A9083" t="s">
        <v>28553</v>
      </c>
      <c r="B9083" t="s">
        <v>28554</v>
      </c>
      <c r="C9083" t="s">
        <v>28555</v>
      </c>
      <c r="D9083" t="s">
        <v>28556</v>
      </c>
      <c r="E9083">
        <v>2</v>
      </c>
      <c r="F9083" t="str">
        <f>HYPERLINK("https://github.com/nikita36078/J2ME-Loader/issues/369", "show")</f>
        <v>show</v>
      </c>
      <c r="G9083" t="str">
        <f>HYPERLINK("https://github.com/nikita36078/J2ME-Loader", "show")</f>
        <v>show</v>
      </c>
      <c r="H9083" t="str">
        <f>HYPERLINK("https://github.com/nikita36078/J2ME-Loader/releases", "show")</f>
        <v>show</v>
      </c>
      <c r="I9083">
        <v>0</v>
      </c>
      <c r="J9083">
        <v>0</v>
      </c>
      <c r="K9083">
        <v>0</v>
      </c>
      <c r="L9083">
        <v>0</v>
      </c>
      <c r="M9083" t="s">
        <v>43</v>
      </c>
    </row>
    <row r="9084" spans="1:13" hidden="1" x14ac:dyDescent="0.15">
      <c r="A9084" t="s">
        <v>28557</v>
      </c>
      <c r="B9084" t="s">
        <v>28558</v>
      </c>
      <c r="D9084" t="s">
        <v>28559</v>
      </c>
      <c r="E9084">
        <v>24</v>
      </c>
      <c r="F9084" t="str">
        <f>HYPERLINK("https://github.com/DiscordTime/sticky-sessions-android/issues/51", "show")</f>
        <v>show</v>
      </c>
      <c r="G9084" t="str">
        <f>HYPERLINK("https://github.com/DiscordTime/sticky-sessions-android", "show")</f>
        <v>show</v>
      </c>
      <c r="H9084" t="str">
        <f>HYPERLINK("https://github.com/DiscordTime/sticky-sessions-android/releases", "show")</f>
        <v>show</v>
      </c>
      <c r="I9084">
        <v>1</v>
      </c>
      <c r="J9084">
        <v>0</v>
      </c>
      <c r="K9084">
        <v>0</v>
      </c>
      <c r="L9084">
        <v>0</v>
      </c>
      <c r="M9084" t="s">
        <v>17</v>
      </c>
    </row>
    <row r="9085" spans="1:13" hidden="1" x14ac:dyDescent="0.15">
      <c r="A9085" t="s">
        <v>28560</v>
      </c>
      <c r="B9085" t="s">
        <v>28561</v>
      </c>
      <c r="C9085" t="s">
        <v>28562</v>
      </c>
      <c r="D9085" t="s">
        <v>28559</v>
      </c>
      <c r="E9085">
        <v>10</v>
      </c>
      <c r="F9085" t="str">
        <f>HYPERLINK("https://github.com/commons-app/apps-android-commons/issues/1864", "show")</f>
        <v>show</v>
      </c>
      <c r="G9085" t="str">
        <f>HYPERLINK("https://github.com/commons-app/apps-android-commons", "show")</f>
        <v>show</v>
      </c>
      <c r="H9085" t="str">
        <f>HYPERLINK("https://github.com/commons-app/apps-android-commons/releases", "show")</f>
        <v>show</v>
      </c>
      <c r="I9085">
        <v>1</v>
      </c>
      <c r="J9085">
        <v>0</v>
      </c>
      <c r="K9085">
        <v>1</v>
      </c>
      <c r="L9085">
        <v>0</v>
      </c>
      <c r="M9085" t="s">
        <v>64</v>
      </c>
    </row>
    <row r="9086" spans="1:13" hidden="1" x14ac:dyDescent="0.15">
      <c r="A9086" t="s">
        <v>28563</v>
      </c>
      <c r="B9086" t="s">
        <v>28564</v>
      </c>
      <c r="C9086" t="s">
        <v>28565</v>
      </c>
      <c r="D9086" t="s">
        <v>28559</v>
      </c>
      <c r="E9086">
        <v>80</v>
      </c>
      <c r="F9086" t="str">
        <f>HYPERLINK("https://github.com/dimagi/commcare-android/issues/2033", "show")</f>
        <v>show</v>
      </c>
      <c r="G9086" t="str">
        <f>HYPERLINK("https://github.com/dimagi/commcare-android", "show")</f>
        <v>show</v>
      </c>
      <c r="H9086" t="str">
        <f>HYPERLINK("https://github.com/dimagi/commcare-android/releases", "show")</f>
        <v>show</v>
      </c>
      <c r="I9086">
        <v>0</v>
      </c>
      <c r="J9086">
        <v>0</v>
      </c>
      <c r="K9086">
        <v>0</v>
      </c>
      <c r="L9086">
        <v>0</v>
      </c>
      <c r="M9086" t="s">
        <v>43</v>
      </c>
    </row>
    <row r="9087" spans="1:13" hidden="1" x14ac:dyDescent="0.15">
      <c r="A9087" t="s">
        <v>28566</v>
      </c>
      <c r="B9087" t="s">
        <v>28567</v>
      </c>
      <c r="C9087" t="s">
        <v>28568</v>
      </c>
      <c r="D9087" t="s">
        <v>28559</v>
      </c>
      <c r="E9087">
        <v>0</v>
      </c>
      <c r="F9087" t="str">
        <f>HYPERLINK("https://github.com/wiglenet/wigle-wifi-wardriving/issues/268", "show")</f>
        <v>show</v>
      </c>
      <c r="G9087" t="str">
        <f>HYPERLINK("https://github.com/wiglenet/wigle-wifi-wardriving", "show")</f>
        <v>show</v>
      </c>
      <c r="H9087" t="str">
        <f>HYPERLINK("https://github.com/wiglenet/wigle-wifi-wardriving/releases", "show")</f>
        <v>show</v>
      </c>
      <c r="I9087">
        <v>1</v>
      </c>
      <c r="J9087">
        <v>0</v>
      </c>
      <c r="K9087">
        <v>0</v>
      </c>
      <c r="L9087">
        <v>0</v>
      </c>
      <c r="M9087" t="s">
        <v>17</v>
      </c>
    </row>
    <row r="9088" spans="1:13" hidden="1" x14ac:dyDescent="0.15">
      <c r="A9088" t="s">
        <v>28569</v>
      </c>
      <c r="B9088" t="s">
        <v>28570</v>
      </c>
      <c r="C9088" t="s">
        <v>28571</v>
      </c>
      <c r="D9088" t="s">
        <v>28572</v>
      </c>
      <c r="E9088">
        <v>50</v>
      </c>
      <c r="F9088" t="str">
        <f>HYPERLINK("https://github.com/niccokunzmann/mundraub-android/issues/69", "show")</f>
        <v>show</v>
      </c>
      <c r="G9088" t="str">
        <f>HYPERLINK("https://github.com/niccokunzmann/mundraub-android", "show")</f>
        <v>show</v>
      </c>
      <c r="H9088" t="str">
        <f>HYPERLINK("https://github.com/niccokunzmann/mundraub-android/releases", "show")</f>
        <v>show</v>
      </c>
      <c r="I9088">
        <v>0</v>
      </c>
      <c r="J9088">
        <v>0</v>
      </c>
      <c r="K9088">
        <v>0</v>
      </c>
      <c r="L9088">
        <v>0</v>
      </c>
      <c r="M9088" t="s">
        <v>43</v>
      </c>
    </row>
    <row r="9089" spans="1:13" hidden="1" x14ac:dyDescent="0.15">
      <c r="A9089" t="s">
        <v>28573</v>
      </c>
      <c r="B9089" t="s">
        <v>28574</v>
      </c>
      <c r="C9089" t="s">
        <v>28575</v>
      </c>
      <c r="D9089" t="s">
        <v>28572</v>
      </c>
      <c r="E9089">
        <v>0</v>
      </c>
      <c r="F9089" t="str">
        <f>HYPERLINK("https://github.com/niccokunzmann/mundraub-android/issues/67", "show")</f>
        <v>show</v>
      </c>
      <c r="G9089" t="str">
        <f>HYPERLINK("https://github.com/niccokunzmann/mundraub-android", "show")</f>
        <v>show</v>
      </c>
      <c r="H9089" t="str">
        <f>HYPERLINK("https://github.com/niccokunzmann/mundraub-android/releases", "show")</f>
        <v>show</v>
      </c>
      <c r="I9089">
        <v>0</v>
      </c>
      <c r="J9089">
        <v>0</v>
      </c>
      <c r="K9089">
        <v>0</v>
      </c>
      <c r="L9089">
        <v>0</v>
      </c>
      <c r="M9089" t="s">
        <v>43</v>
      </c>
    </row>
    <row r="9090" spans="1:13" hidden="1" x14ac:dyDescent="0.15">
      <c r="A9090" t="s">
        <v>28576</v>
      </c>
      <c r="B9090" t="s">
        <v>6008</v>
      </c>
      <c r="C9090" t="s">
        <v>28577</v>
      </c>
      <c r="D9090" t="s">
        <v>28578</v>
      </c>
      <c r="E9090">
        <v>15</v>
      </c>
      <c r="F9090" t="str">
        <f>HYPERLINK("https://github.com/SkyTubeTeam/SkyTube/issues/342", "show")</f>
        <v>show</v>
      </c>
      <c r="G9090" t="str">
        <f>HYPERLINK("https://github.com/SkyTubeTeam/SkyTube", "show")</f>
        <v>show</v>
      </c>
      <c r="H9090" t="str">
        <f>HYPERLINK("https://github.com/SkyTubeTeam/SkyTube/releases", "show")</f>
        <v>show</v>
      </c>
      <c r="I9090">
        <v>1</v>
      </c>
      <c r="J9090">
        <v>1</v>
      </c>
      <c r="K9090">
        <v>0</v>
      </c>
      <c r="L9090">
        <v>0</v>
      </c>
      <c r="M9090" t="s">
        <v>48</v>
      </c>
    </row>
    <row r="9091" spans="1:13" hidden="1" x14ac:dyDescent="0.15">
      <c r="A9091" t="s">
        <v>28579</v>
      </c>
      <c r="B9091" t="s">
        <v>16175</v>
      </c>
      <c r="C9091" t="s">
        <v>28580</v>
      </c>
      <c r="D9091" t="s">
        <v>28581</v>
      </c>
      <c r="E9091">
        <v>5</v>
      </c>
      <c r="F9091" t="str">
        <f>HYPERLINK("https://github.com/niccokunzmann/mundraub-android/issues/65", "show")</f>
        <v>show</v>
      </c>
      <c r="G9091" t="str">
        <f>HYPERLINK("https://github.com/niccokunzmann/mundraub-android", "show")</f>
        <v>show</v>
      </c>
      <c r="H9091" t="str">
        <f>HYPERLINK("https://github.com/niccokunzmann/mundraub-android/releases", "show")</f>
        <v>show</v>
      </c>
      <c r="I9091">
        <v>1</v>
      </c>
      <c r="J9091">
        <v>0</v>
      </c>
      <c r="K9091">
        <v>0</v>
      </c>
      <c r="L9091">
        <v>0</v>
      </c>
      <c r="M9091" t="s">
        <v>17</v>
      </c>
    </row>
    <row r="9092" spans="1:13" hidden="1" x14ac:dyDescent="0.15">
      <c r="A9092" t="s">
        <v>28582</v>
      </c>
      <c r="B9092" t="s">
        <v>28583</v>
      </c>
      <c r="C9092" t="s">
        <v>28584</v>
      </c>
      <c r="D9092" t="s">
        <v>28581</v>
      </c>
      <c r="E9092">
        <v>3</v>
      </c>
      <c r="F9092" t="str">
        <f>HYPERLINK("https://github.com/AmazMod/AmazMod/issues/160", "show")</f>
        <v>show</v>
      </c>
      <c r="G9092" t="str">
        <f>HYPERLINK("https://github.com/AmazMod/AmazMod", "show")</f>
        <v>show</v>
      </c>
      <c r="H9092" t="str">
        <f>HYPERLINK("https://github.com/AmazMod/AmazMod/releases", "show")</f>
        <v>show</v>
      </c>
      <c r="I9092">
        <v>0</v>
      </c>
      <c r="J9092">
        <v>0</v>
      </c>
      <c r="K9092">
        <v>1</v>
      </c>
      <c r="L9092">
        <v>0</v>
      </c>
      <c r="M9092" t="s">
        <v>122</v>
      </c>
    </row>
    <row r="9093" spans="1:13" hidden="1" x14ac:dyDescent="0.15">
      <c r="A9093" t="s">
        <v>28585</v>
      </c>
      <c r="B9093" t="s">
        <v>28586</v>
      </c>
      <c r="C9093" t="s">
        <v>28587</v>
      </c>
      <c r="D9093" t="s">
        <v>28588</v>
      </c>
      <c r="E9093">
        <v>274</v>
      </c>
      <c r="F9093" t="str">
        <f>HYPERLINK("https://github.com/nextcloud/android/issues/2920", "show")</f>
        <v>show</v>
      </c>
      <c r="G9093" t="str">
        <f>HYPERLINK("https://github.com/nextcloud/android", "show")</f>
        <v>show</v>
      </c>
      <c r="H9093" t="str">
        <f>HYPERLINK("https://github.com/nextcloud/android/releases", "show")</f>
        <v>show</v>
      </c>
      <c r="I9093">
        <v>1</v>
      </c>
      <c r="J9093">
        <v>0</v>
      </c>
      <c r="K9093">
        <v>0</v>
      </c>
      <c r="L9093">
        <v>0</v>
      </c>
      <c r="M9093" t="s">
        <v>17</v>
      </c>
    </row>
    <row r="9094" spans="1:13" hidden="1" x14ac:dyDescent="0.15">
      <c r="A9094" t="s">
        <v>28589</v>
      </c>
      <c r="B9094" t="s">
        <v>28590</v>
      </c>
      <c r="C9094" t="s">
        <v>28591</v>
      </c>
      <c r="D9094" t="s">
        <v>28588</v>
      </c>
      <c r="E9094">
        <v>0</v>
      </c>
      <c r="F9094" t="str">
        <f>HYPERLINK("https://github.com/Catfriend1/syncthing-android/issues/26", "show")</f>
        <v>show</v>
      </c>
      <c r="G9094" t="str">
        <f>HYPERLINK("https://github.com/Catfriend1/syncthing-android", "show")</f>
        <v>show</v>
      </c>
      <c r="H9094" t="str">
        <f>HYPERLINK("https://github.com/Catfriend1/syncthing-android/releases", "show")</f>
        <v>show</v>
      </c>
      <c r="I9094">
        <v>1</v>
      </c>
      <c r="J9094">
        <v>1</v>
      </c>
      <c r="K9094">
        <v>0</v>
      </c>
      <c r="L9094">
        <v>0</v>
      </c>
      <c r="M9094" t="s">
        <v>48</v>
      </c>
    </row>
    <row r="9095" spans="1:13" hidden="1" x14ac:dyDescent="0.15">
      <c r="A9095" t="s">
        <v>28592</v>
      </c>
      <c r="B9095" t="s">
        <v>28593</v>
      </c>
      <c r="C9095" t="s">
        <v>28594</v>
      </c>
      <c r="D9095" t="s">
        <v>28588</v>
      </c>
      <c r="E9095">
        <v>0</v>
      </c>
      <c r="F9095" t="str">
        <f>HYPERLINK("https://github.com/Catfriend1/syncthing-android/issues/25", "show")</f>
        <v>show</v>
      </c>
      <c r="G9095" t="str">
        <f>HYPERLINK("https://github.com/Catfriend1/syncthing-android", "show")</f>
        <v>show</v>
      </c>
      <c r="H9095" t="str">
        <f>HYPERLINK("https://github.com/Catfriend1/syncthing-android/releases", "show")</f>
        <v>show</v>
      </c>
      <c r="I9095">
        <v>1</v>
      </c>
      <c r="J9095">
        <v>0</v>
      </c>
      <c r="K9095">
        <v>0</v>
      </c>
      <c r="L9095">
        <v>0</v>
      </c>
      <c r="M9095" t="s">
        <v>17</v>
      </c>
    </row>
    <row r="9096" spans="1:13" hidden="1" x14ac:dyDescent="0.15">
      <c r="A9096" t="s">
        <v>28595</v>
      </c>
      <c r="B9096" t="s">
        <v>28596</v>
      </c>
      <c r="C9096" t="s">
        <v>28597</v>
      </c>
      <c r="D9096" t="s">
        <v>28588</v>
      </c>
      <c r="E9096">
        <v>349</v>
      </c>
      <c r="F9096" t="str">
        <f>HYPERLINK("https://github.com/react-native-camera/react-native-camera/issues/1754", "show")</f>
        <v>show</v>
      </c>
      <c r="G9096" t="str">
        <f>HYPERLINK("https://github.com/react-native-camera/react-native-camera", "show")</f>
        <v>show</v>
      </c>
      <c r="H9096" t="str">
        <f>HYPERLINK("https://github.com/react-native-camera/react-native-camera/releases", "show")</f>
        <v>show</v>
      </c>
      <c r="I9096">
        <v>1</v>
      </c>
      <c r="J9096">
        <v>0</v>
      </c>
      <c r="K9096">
        <v>0</v>
      </c>
      <c r="L9096">
        <v>1</v>
      </c>
      <c r="M9096" t="s">
        <v>29</v>
      </c>
    </row>
    <row r="9097" spans="1:13" hidden="1" x14ac:dyDescent="0.15">
      <c r="A9097" t="s">
        <v>28598</v>
      </c>
      <c r="B9097" t="s">
        <v>28599</v>
      </c>
      <c r="C9097" t="s">
        <v>28600</v>
      </c>
      <c r="D9097" t="s">
        <v>28588</v>
      </c>
      <c r="E9097">
        <v>41</v>
      </c>
      <c r="F9097" t="str">
        <f>HYPERLINK("https://github.com/CalebFenton/simplify/issues/111", "show")</f>
        <v>show</v>
      </c>
      <c r="G9097" t="str">
        <f>HYPERLINK("https://github.com/CalebFenton/simplify", "show")</f>
        <v>show</v>
      </c>
      <c r="H9097" t="str">
        <f>HYPERLINK("https://github.com/CalebFenton/simplify/releases", "show")</f>
        <v>show</v>
      </c>
      <c r="I9097">
        <v>0</v>
      </c>
      <c r="J9097">
        <v>0</v>
      </c>
      <c r="K9097">
        <v>1</v>
      </c>
      <c r="L9097">
        <v>0</v>
      </c>
      <c r="M9097" t="s">
        <v>122</v>
      </c>
    </row>
    <row r="9098" spans="1:13" hidden="1" x14ac:dyDescent="0.15">
      <c r="A9098" t="s">
        <v>28601</v>
      </c>
      <c r="B9098" t="s">
        <v>28602</v>
      </c>
      <c r="C9098" t="s">
        <v>28603</v>
      </c>
      <c r="D9098" t="s">
        <v>28604</v>
      </c>
      <c r="E9098">
        <v>2</v>
      </c>
      <c r="F9098" t="str">
        <f>HYPERLINK("https://github.com/kontalk/androidclient/issues/1208", "show")</f>
        <v>show</v>
      </c>
      <c r="G9098" t="str">
        <f>HYPERLINK("https://github.com/kontalk/androidclient", "show")</f>
        <v>show</v>
      </c>
      <c r="H9098" t="str">
        <f>HYPERLINK("https://github.com/kontalk/androidclient/releases", "show")</f>
        <v>show</v>
      </c>
      <c r="I9098">
        <v>0</v>
      </c>
      <c r="J9098">
        <v>0</v>
      </c>
      <c r="K9098">
        <v>1</v>
      </c>
      <c r="L9098">
        <v>0</v>
      </c>
      <c r="M9098" t="s">
        <v>122</v>
      </c>
    </row>
    <row r="9099" spans="1:13" hidden="1" x14ac:dyDescent="0.15">
      <c r="A9099" t="s">
        <v>28605</v>
      </c>
      <c r="B9099" t="s">
        <v>28606</v>
      </c>
      <c r="C9099" t="s">
        <v>28607</v>
      </c>
      <c r="D9099" t="s">
        <v>28608</v>
      </c>
      <c r="E9099">
        <v>670</v>
      </c>
      <c r="F9099" t="str">
        <f>HYPERLINK("https://github.com/commons-app/apps-android-commons/issues/1846", "show")</f>
        <v>show</v>
      </c>
      <c r="G9099" t="str">
        <f>HYPERLINK("https://github.com/commons-app/apps-android-commons", "show")</f>
        <v>show</v>
      </c>
      <c r="H9099" t="str">
        <f>HYPERLINK("https://github.com/commons-app/apps-android-commons/releases", "show")</f>
        <v>show</v>
      </c>
      <c r="I9099">
        <v>1</v>
      </c>
      <c r="J9099">
        <v>1</v>
      </c>
      <c r="K9099">
        <v>1</v>
      </c>
      <c r="L9099">
        <v>0</v>
      </c>
      <c r="M9099" t="s">
        <v>59</v>
      </c>
    </row>
    <row r="9100" spans="1:13" hidden="1" x14ac:dyDescent="0.15">
      <c r="A9100" t="s">
        <v>28609</v>
      </c>
      <c r="B9100" t="s">
        <v>28610</v>
      </c>
      <c r="D9100" t="s">
        <v>28608</v>
      </c>
      <c r="E9100">
        <v>1</v>
      </c>
      <c r="F9100" t="str">
        <f>HYPERLINK("https://github.com/mcastillof/FakeTraveler/issues/16", "show")</f>
        <v>show</v>
      </c>
      <c r="G9100" t="str">
        <f>HYPERLINK("https://github.com/mcastillof/FakeTraveler", "show")</f>
        <v>show</v>
      </c>
      <c r="H9100" t="str">
        <f>HYPERLINK("https://github.com/mcastillof/FakeTraveler/releases", "show")</f>
        <v>show</v>
      </c>
      <c r="I9100">
        <v>0</v>
      </c>
      <c r="J9100">
        <v>0</v>
      </c>
      <c r="K9100">
        <v>0</v>
      </c>
      <c r="L9100">
        <v>0</v>
      </c>
      <c r="M9100" t="s">
        <v>43</v>
      </c>
    </row>
    <row r="9101" spans="1:13" hidden="1" x14ac:dyDescent="0.15">
      <c r="A9101" t="s">
        <v>28611</v>
      </c>
      <c r="B9101" t="s">
        <v>28612</v>
      </c>
      <c r="C9101" t="s">
        <v>28613</v>
      </c>
      <c r="D9101" t="s">
        <v>28608</v>
      </c>
      <c r="E9101">
        <v>0</v>
      </c>
      <c r="F9101" t="str">
        <f>HYPERLINK("https://github.com/nextcloud/android/issues/2905", "show")</f>
        <v>show</v>
      </c>
      <c r="G9101" t="str">
        <f>HYPERLINK("https://github.com/nextcloud/android", "show")</f>
        <v>show</v>
      </c>
      <c r="H9101" t="str">
        <f>HYPERLINK("https://github.com/nextcloud/android/releases", "show")</f>
        <v>show</v>
      </c>
      <c r="I9101">
        <v>0</v>
      </c>
      <c r="J9101">
        <v>0</v>
      </c>
      <c r="K9101">
        <v>0</v>
      </c>
      <c r="L9101">
        <v>0</v>
      </c>
      <c r="M9101" t="s">
        <v>43</v>
      </c>
    </row>
    <row r="9102" spans="1:13" hidden="1" x14ac:dyDescent="0.15">
      <c r="A9102" t="s">
        <v>28614</v>
      </c>
      <c r="B9102" t="s">
        <v>28615</v>
      </c>
      <c r="C9102" t="s">
        <v>28616</v>
      </c>
      <c r="D9102" t="s">
        <v>28608</v>
      </c>
      <c r="E9102">
        <v>110</v>
      </c>
      <c r="F9102" t="str">
        <f>HYPERLINK("https://github.com/Tencent/tinker/issues/910", "show")</f>
        <v>show</v>
      </c>
      <c r="G9102" t="str">
        <f>HYPERLINK("https://github.com/Tencent/tinker", "show")</f>
        <v>show</v>
      </c>
      <c r="H9102" t="str">
        <f>HYPERLINK("https://github.com/Tencent/tinker/releases", "show")</f>
        <v>show</v>
      </c>
      <c r="I9102">
        <v>0</v>
      </c>
      <c r="J9102">
        <v>0</v>
      </c>
      <c r="K9102">
        <v>1</v>
      </c>
      <c r="L9102">
        <v>0</v>
      </c>
      <c r="M9102" t="s">
        <v>122</v>
      </c>
    </row>
    <row r="9103" spans="1:13" hidden="1" x14ac:dyDescent="0.15">
      <c r="A9103" t="s">
        <v>28617</v>
      </c>
      <c r="B9103" t="s">
        <v>28618</v>
      </c>
      <c r="C9103" t="s">
        <v>28619</v>
      </c>
      <c r="D9103" t="s">
        <v>28608</v>
      </c>
      <c r="E9103">
        <v>0</v>
      </c>
      <c r="F9103" t="str">
        <f>HYPERLINK("https://github.com/nextcloud/android/issues/2904", "show")</f>
        <v>show</v>
      </c>
      <c r="G9103" t="str">
        <f>HYPERLINK("https://github.com/nextcloud/android", "show")</f>
        <v>show</v>
      </c>
      <c r="H9103" t="str">
        <f>HYPERLINK("https://github.com/nextcloud/android/releases", "show")</f>
        <v>show</v>
      </c>
      <c r="I9103">
        <v>1</v>
      </c>
      <c r="J9103">
        <v>1</v>
      </c>
      <c r="K9103">
        <v>0</v>
      </c>
      <c r="L9103">
        <v>0</v>
      </c>
      <c r="M9103" t="s">
        <v>48</v>
      </c>
    </row>
    <row r="9104" spans="1:13" hidden="1" x14ac:dyDescent="0.15">
      <c r="A9104" t="s">
        <v>28620</v>
      </c>
      <c r="B9104" t="s">
        <v>28621</v>
      </c>
      <c r="C9104" t="s">
        <v>504</v>
      </c>
      <c r="D9104" t="s">
        <v>28622</v>
      </c>
      <c r="E9104">
        <v>121</v>
      </c>
      <c r="F9104" t="str">
        <f>HYPERLINK("https://github.com/niclabs/adkintunmobile-androidclient/issues/196", "show")</f>
        <v>show</v>
      </c>
      <c r="G9104" t="str">
        <f>HYPERLINK("https://github.com/niclabs/adkintunmobile-androidclient", "show")</f>
        <v>show</v>
      </c>
      <c r="H9104" t="str">
        <f>HYPERLINK("https://github.com/niclabs/adkintunmobile-androidclient/releases", "show")</f>
        <v>show</v>
      </c>
      <c r="I9104">
        <v>1</v>
      </c>
      <c r="J9104">
        <v>0</v>
      </c>
      <c r="K9104">
        <v>0</v>
      </c>
      <c r="L9104">
        <v>0</v>
      </c>
      <c r="M9104" t="s">
        <v>17</v>
      </c>
    </row>
    <row r="9105" spans="1:13" hidden="1" x14ac:dyDescent="0.15">
      <c r="A9105" t="s">
        <v>28623</v>
      </c>
      <c r="B9105" t="s">
        <v>28624</v>
      </c>
      <c r="C9105" t="s">
        <v>28625</v>
      </c>
      <c r="D9105" t="s">
        <v>28622</v>
      </c>
      <c r="E9105">
        <v>8</v>
      </c>
      <c r="F9105" t="str">
        <f>HYPERLINK("https://github.com/cgeo/cgeo/issues/7122", "show")</f>
        <v>show</v>
      </c>
      <c r="G9105" t="str">
        <f>HYPERLINK("https://github.com/cgeo/cgeo", "show")</f>
        <v>show</v>
      </c>
      <c r="H9105" t="str">
        <f>HYPERLINK("https://github.com/cgeo/cgeo/releases", "show")</f>
        <v>show</v>
      </c>
      <c r="I9105">
        <v>1</v>
      </c>
      <c r="J9105">
        <v>0</v>
      </c>
      <c r="K9105">
        <v>1</v>
      </c>
      <c r="L9105">
        <v>0</v>
      </c>
      <c r="M9105" t="s">
        <v>64</v>
      </c>
    </row>
    <row r="9106" spans="1:13" hidden="1" x14ac:dyDescent="0.15">
      <c r="A9106" t="s">
        <v>28626</v>
      </c>
      <c r="B9106" t="s">
        <v>28627</v>
      </c>
      <c r="C9106" t="s">
        <v>28628</v>
      </c>
      <c r="D9106" t="s">
        <v>28629</v>
      </c>
      <c r="E9106">
        <v>8</v>
      </c>
      <c r="F9106" t="str">
        <f>HYPERLINK("https://github.com/gsantner/markor/issues/314", "show")</f>
        <v>show</v>
      </c>
      <c r="G9106" t="str">
        <f>HYPERLINK("https://github.com/gsantner/markor", "show")</f>
        <v>show</v>
      </c>
      <c r="H9106" t="str">
        <f>HYPERLINK("https://github.com/gsantner/markor/releases", "show")</f>
        <v>show</v>
      </c>
      <c r="I9106">
        <v>0</v>
      </c>
      <c r="J9106">
        <v>1</v>
      </c>
      <c r="K9106">
        <v>0</v>
      </c>
      <c r="L9106">
        <v>1</v>
      </c>
      <c r="M9106" t="s">
        <v>1732</v>
      </c>
    </row>
    <row r="9107" spans="1:13" hidden="1" x14ac:dyDescent="0.15">
      <c r="A9107" t="s">
        <v>28630</v>
      </c>
      <c r="B9107" t="s">
        <v>28631</v>
      </c>
      <c r="C9107" t="s">
        <v>28632</v>
      </c>
      <c r="D9107" t="s">
        <v>28629</v>
      </c>
      <c r="E9107">
        <v>0</v>
      </c>
      <c r="F9107" t="str">
        <f>HYPERLINK("https://github.com/noahwc/CompositionCollector/issues/1", "show")</f>
        <v>show</v>
      </c>
      <c r="G9107" t="str">
        <f>HYPERLINK("https://github.com/noahwc/CompositionCollector", "show")</f>
        <v>show</v>
      </c>
      <c r="H9107" t="str">
        <f>HYPERLINK("https://github.com/noahwc/CompositionCollector/releases", "show")</f>
        <v>show</v>
      </c>
      <c r="I9107">
        <v>1</v>
      </c>
      <c r="J9107">
        <v>0</v>
      </c>
      <c r="K9107">
        <v>0</v>
      </c>
      <c r="L9107">
        <v>0</v>
      </c>
      <c r="M9107" t="s">
        <v>17</v>
      </c>
    </row>
    <row r="9108" spans="1:13" hidden="1" x14ac:dyDescent="0.15">
      <c r="A9108" t="s">
        <v>28633</v>
      </c>
      <c r="B9108" t="s">
        <v>28634</v>
      </c>
      <c r="C9108" t="s">
        <v>28635</v>
      </c>
      <c r="D9108" t="s">
        <v>28636</v>
      </c>
      <c r="E9108">
        <v>0</v>
      </c>
      <c r="F9108" t="str">
        <f>HYPERLINK("https://github.com/fossasia/pslab-android/issues/1374", "show")</f>
        <v>show</v>
      </c>
      <c r="G9108" t="str">
        <f>HYPERLINK("https://github.com/fossasia/pslab-android", "show")</f>
        <v>show</v>
      </c>
      <c r="H9108" t="str">
        <f>HYPERLINK("https://github.com/fossasia/pslab-android/releases", "show")</f>
        <v>show</v>
      </c>
      <c r="I9108">
        <v>1</v>
      </c>
      <c r="J9108">
        <v>0</v>
      </c>
      <c r="K9108">
        <v>1</v>
      </c>
      <c r="L9108">
        <v>0</v>
      </c>
      <c r="M9108" t="s">
        <v>64</v>
      </c>
    </row>
    <row r="9109" spans="1:13" hidden="1" x14ac:dyDescent="0.15">
      <c r="A9109" t="s">
        <v>28637</v>
      </c>
      <c r="B9109" t="s">
        <v>28638</v>
      </c>
      <c r="C9109" t="s">
        <v>28639</v>
      </c>
      <c r="D9109" t="s">
        <v>28636</v>
      </c>
      <c r="E9109">
        <v>1</v>
      </c>
      <c r="F9109" t="str">
        <f>HYPERLINK("https://github.com/commons-app/apps-android-commons/issues/1834", "show")</f>
        <v>show</v>
      </c>
      <c r="G9109" t="str">
        <f>HYPERLINK("https://github.com/commons-app/apps-android-commons", "show")</f>
        <v>show</v>
      </c>
      <c r="H9109" t="str">
        <f>HYPERLINK("https://github.com/commons-app/apps-android-commons/releases", "show")</f>
        <v>show</v>
      </c>
      <c r="I9109">
        <v>1</v>
      </c>
      <c r="J9109">
        <v>0</v>
      </c>
      <c r="K9109">
        <v>1</v>
      </c>
      <c r="L9109">
        <v>0</v>
      </c>
      <c r="M9109" t="s">
        <v>64</v>
      </c>
    </row>
    <row r="9110" spans="1:13" hidden="1" x14ac:dyDescent="0.15">
      <c r="A9110" t="s">
        <v>28640</v>
      </c>
      <c r="B9110" t="s">
        <v>28641</v>
      </c>
      <c r="C9110" t="s">
        <v>28642</v>
      </c>
      <c r="D9110" t="s">
        <v>28643</v>
      </c>
      <c r="E9110">
        <v>69</v>
      </c>
      <c r="F9110" t="str">
        <f>HYPERLINK("https://github.com/commons-app/apps-android-commons/issues/1833", "show")</f>
        <v>show</v>
      </c>
      <c r="G9110" t="str">
        <f>HYPERLINK("https://github.com/commons-app/apps-android-commons", "show")</f>
        <v>show</v>
      </c>
      <c r="H9110" t="str">
        <f>HYPERLINK("https://github.com/commons-app/apps-android-commons/releases", "show")</f>
        <v>show</v>
      </c>
      <c r="I9110">
        <v>1</v>
      </c>
      <c r="J9110">
        <v>0</v>
      </c>
      <c r="K9110">
        <v>0</v>
      </c>
      <c r="L9110">
        <v>0</v>
      </c>
      <c r="M9110" t="s">
        <v>17</v>
      </c>
    </row>
    <row r="9111" spans="1:13" hidden="1" x14ac:dyDescent="0.15">
      <c r="A9111" t="s">
        <v>28644</v>
      </c>
      <c r="B9111" t="s">
        <v>28645</v>
      </c>
      <c r="C9111" t="s">
        <v>28646</v>
      </c>
      <c r="D9111" t="s">
        <v>28647</v>
      </c>
      <c r="E9111">
        <v>30</v>
      </c>
      <c r="F9111" t="str">
        <f>HYPERLINK("https://github.com/davideas/FlexibleAdapter/issues/651", "show")</f>
        <v>show</v>
      </c>
      <c r="G9111" t="str">
        <f>HYPERLINK("https://github.com/davideas/FlexibleAdapter", "show")</f>
        <v>show</v>
      </c>
      <c r="H9111" t="str">
        <f>HYPERLINK("https://github.com/davideas/FlexibleAdapter/releases", "show")</f>
        <v>show</v>
      </c>
      <c r="I9111">
        <v>1</v>
      </c>
      <c r="J9111">
        <v>1</v>
      </c>
      <c r="K9111">
        <v>1</v>
      </c>
      <c r="L9111">
        <v>0</v>
      </c>
      <c r="M9111" t="s">
        <v>59</v>
      </c>
    </row>
    <row r="9112" spans="1:13" hidden="1" x14ac:dyDescent="0.15">
      <c r="A9112" t="s">
        <v>28648</v>
      </c>
      <c r="B9112" t="s">
        <v>28649</v>
      </c>
      <c r="C9112" t="s">
        <v>28650</v>
      </c>
      <c r="D9112" t="s">
        <v>28651</v>
      </c>
      <c r="E9112">
        <v>0</v>
      </c>
      <c r="F9112" t="str">
        <f>HYPERLINK("https://github.com/StAResComp/sifids/issues/212", "show")</f>
        <v>show</v>
      </c>
      <c r="G9112" t="str">
        <f>HYPERLINK("https://github.com/StAResComp/sifids", "show")</f>
        <v>show</v>
      </c>
      <c r="H9112" t="str">
        <f>HYPERLINK("https://github.com/StAResComp/sifids/releases", "show")</f>
        <v>show</v>
      </c>
      <c r="I9112">
        <v>1</v>
      </c>
      <c r="J9112">
        <v>0</v>
      </c>
      <c r="K9112">
        <v>0</v>
      </c>
      <c r="L9112">
        <v>0</v>
      </c>
      <c r="M9112" t="s">
        <v>17</v>
      </c>
    </row>
    <row r="9113" spans="1:13" hidden="1" x14ac:dyDescent="0.15">
      <c r="A9113" t="s">
        <v>28652</v>
      </c>
      <c r="B9113" t="s">
        <v>6772</v>
      </c>
      <c r="C9113" t="s">
        <v>28653</v>
      </c>
      <c r="D9113" t="s">
        <v>28651</v>
      </c>
      <c r="E9113">
        <v>11</v>
      </c>
      <c r="F9113" t="str">
        <f>HYPERLINK("https://github.com/7LPdWcaW/GrowTracker-Android/issues/64", "show")</f>
        <v>show</v>
      </c>
      <c r="G9113" t="str">
        <f>HYPERLINK("https://github.com/7LPdWcaW/GrowTracker-Android", "show")</f>
        <v>show</v>
      </c>
      <c r="H9113" t="str">
        <f>HYPERLINK("https://github.com/7LPdWcaW/GrowTracker-Android/releases", "show")</f>
        <v>show</v>
      </c>
      <c r="I9113">
        <v>1</v>
      </c>
      <c r="J9113">
        <v>0</v>
      </c>
      <c r="K9113">
        <v>0</v>
      </c>
      <c r="L9113">
        <v>0</v>
      </c>
      <c r="M9113" t="s">
        <v>17</v>
      </c>
    </row>
    <row r="9114" spans="1:13" hidden="1" x14ac:dyDescent="0.15">
      <c r="A9114" t="s">
        <v>28654</v>
      </c>
      <c r="B9114" t="s">
        <v>28655</v>
      </c>
      <c r="C9114" t="s">
        <v>28656</v>
      </c>
      <c r="D9114" t="s">
        <v>28651</v>
      </c>
      <c r="E9114">
        <v>12</v>
      </c>
      <c r="F9114" t="str">
        <f>HYPERLINK("https://github.com/cgeo/cgeo/issues/7116", "show")</f>
        <v>show</v>
      </c>
      <c r="G9114" t="str">
        <f>HYPERLINK("https://github.com/cgeo/cgeo", "show")</f>
        <v>show</v>
      </c>
      <c r="H9114" t="str">
        <f>HYPERLINK("https://github.com/cgeo/cgeo/releases", "show")</f>
        <v>show</v>
      </c>
      <c r="I9114">
        <v>0</v>
      </c>
      <c r="J9114">
        <v>0</v>
      </c>
      <c r="K9114">
        <v>1</v>
      </c>
      <c r="L9114">
        <v>0</v>
      </c>
      <c r="M9114" t="s">
        <v>122</v>
      </c>
    </row>
    <row r="9115" spans="1:13" hidden="1" x14ac:dyDescent="0.15">
      <c r="A9115" t="s">
        <v>28657</v>
      </c>
      <c r="B9115" t="s">
        <v>28658</v>
      </c>
      <c r="C9115" t="s">
        <v>28659</v>
      </c>
      <c r="D9115" t="s">
        <v>28660</v>
      </c>
      <c r="E9115">
        <v>19</v>
      </c>
      <c r="F9115" t="str">
        <f>HYPERLINK("https://github.com/ThmmyNoLife/mTHMMY/issues/41", "show")</f>
        <v>show</v>
      </c>
      <c r="G9115" t="str">
        <f>HYPERLINK("https://github.com/ThmmyNoLife/mTHMMY", "show")</f>
        <v>show</v>
      </c>
      <c r="H9115" t="str">
        <f>HYPERLINK("https://github.com/ThmmyNoLife/mTHMMY/releases", "show")</f>
        <v>show</v>
      </c>
      <c r="I9115">
        <v>1</v>
      </c>
      <c r="J9115">
        <v>0</v>
      </c>
      <c r="K9115">
        <v>0</v>
      </c>
      <c r="L9115">
        <v>0</v>
      </c>
      <c r="M9115" t="s">
        <v>17</v>
      </c>
    </row>
    <row r="9116" spans="1:13" hidden="1" x14ac:dyDescent="0.15">
      <c r="A9116" t="s">
        <v>28661</v>
      </c>
      <c r="B9116" t="s">
        <v>28662</v>
      </c>
      <c r="C9116" t="s">
        <v>28663</v>
      </c>
      <c r="D9116" t="s">
        <v>28660</v>
      </c>
      <c r="E9116">
        <v>223</v>
      </c>
      <c r="F9116" t="str">
        <f>HYPERLINK("https://github.com/andybalaam/rabbit-escape/issues/551", "show")</f>
        <v>show</v>
      </c>
      <c r="G9116" t="str">
        <f>HYPERLINK("https://github.com/andybalaam/rabbit-escape", "show")</f>
        <v>show</v>
      </c>
      <c r="H9116" t="str">
        <f>HYPERLINK("https://github.com/andybalaam/rabbit-escape/releases", "show")</f>
        <v>show</v>
      </c>
      <c r="I9116">
        <v>1</v>
      </c>
      <c r="J9116">
        <v>0</v>
      </c>
      <c r="K9116">
        <v>1</v>
      </c>
      <c r="L9116">
        <v>0</v>
      </c>
      <c r="M9116" t="s">
        <v>64</v>
      </c>
    </row>
    <row r="9117" spans="1:13" hidden="1" x14ac:dyDescent="0.15">
      <c r="A9117" t="s">
        <v>28664</v>
      </c>
      <c r="B9117" t="s">
        <v>28665</v>
      </c>
      <c r="C9117" t="s">
        <v>504</v>
      </c>
      <c r="D9117" t="s">
        <v>28660</v>
      </c>
      <c r="E9117">
        <v>127</v>
      </c>
      <c r="F9117" t="str">
        <f>HYPERLINK("https://github.com/niclabs/adkintunmobile-androidclient/issues/195", "show")</f>
        <v>show</v>
      </c>
      <c r="G9117" t="str">
        <f>HYPERLINK("https://github.com/niclabs/adkintunmobile-androidclient", "show")</f>
        <v>show</v>
      </c>
      <c r="H9117" t="str">
        <f>HYPERLINK("https://github.com/niclabs/adkintunmobile-androidclient/releases", "show")</f>
        <v>show</v>
      </c>
      <c r="I9117">
        <v>1</v>
      </c>
      <c r="J9117">
        <v>0</v>
      </c>
      <c r="K9117">
        <v>0</v>
      </c>
      <c r="L9117">
        <v>0</v>
      </c>
      <c r="M9117" t="s">
        <v>17</v>
      </c>
    </row>
    <row r="9118" spans="1:13" hidden="1" x14ac:dyDescent="0.15">
      <c r="A9118" t="s">
        <v>28666</v>
      </c>
      <c r="B9118" t="s">
        <v>28667</v>
      </c>
      <c r="C9118" t="s">
        <v>28668</v>
      </c>
      <c r="D9118" t="s">
        <v>28669</v>
      </c>
      <c r="E9118">
        <v>1</v>
      </c>
      <c r="F9118" t="str">
        <f>HYPERLINK("https://github.com/hzi-braunschweig/SORMAS-Project/issues/760", "show")</f>
        <v>show</v>
      </c>
      <c r="G9118" t="str">
        <f>HYPERLINK("https://github.com/hzi-braunschweig/SORMAS-Project", "show")</f>
        <v>show</v>
      </c>
      <c r="H9118" t="str">
        <f>HYPERLINK("https://github.com/hzi-braunschweig/SORMAS-Project/releases", "show")</f>
        <v>show</v>
      </c>
      <c r="I9118">
        <v>0</v>
      </c>
      <c r="J9118">
        <v>0</v>
      </c>
      <c r="K9118">
        <v>0</v>
      </c>
      <c r="L9118">
        <v>0</v>
      </c>
      <c r="M9118" t="s">
        <v>43</v>
      </c>
    </row>
    <row r="9119" spans="1:13" hidden="1" x14ac:dyDescent="0.15">
      <c r="A9119" t="s">
        <v>28670</v>
      </c>
      <c r="B9119" t="s">
        <v>28671</v>
      </c>
      <c r="C9119" t="s">
        <v>28672</v>
      </c>
      <c r="D9119" t="s">
        <v>28669</v>
      </c>
      <c r="E9119">
        <v>725</v>
      </c>
      <c r="F9119" t="str">
        <f>HYPERLINK("https://github.com/freeotp/freeotp-android/issues/200", "show")</f>
        <v>show</v>
      </c>
      <c r="G9119" t="str">
        <f>HYPERLINK("https://github.com/freeotp/freeotp-android", "show")</f>
        <v>show</v>
      </c>
      <c r="H9119" t="str">
        <f>HYPERLINK("https://github.com/freeotp/freeotp-android/releases", "show")</f>
        <v>show</v>
      </c>
      <c r="I9119">
        <v>1</v>
      </c>
      <c r="J9119">
        <v>0</v>
      </c>
      <c r="K9119">
        <v>0</v>
      </c>
      <c r="L9119">
        <v>1</v>
      </c>
      <c r="M9119" t="s">
        <v>29</v>
      </c>
    </row>
    <row r="9120" spans="1:13" hidden="1" x14ac:dyDescent="0.15">
      <c r="A9120" t="s">
        <v>28673</v>
      </c>
      <c r="B9120" t="s">
        <v>28674</v>
      </c>
      <c r="C9120" t="s">
        <v>28675</v>
      </c>
      <c r="D9120" t="s">
        <v>28669</v>
      </c>
      <c r="E9120">
        <v>83</v>
      </c>
      <c r="F9120" t="str">
        <f>HYPERLINK("https://github.com/square/okhttp/issues/4208", "show")</f>
        <v>show</v>
      </c>
      <c r="G9120" t="str">
        <f>HYPERLINK("https://github.com/square/okhttp", "show")</f>
        <v>show</v>
      </c>
      <c r="H9120" t="str">
        <f>HYPERLINK("https://github.com/square/okhttp/releases", "show")</f>
        <v>show</v>
      </c>
      <c r="I9120">
        <v>1</v>
      </c>
      <c r="J9120">
        <v>0</v>
      </c>
      <c r="K9120">
        <v>1</v>
      </c>
      <c r="L9120">
        <v>0</v>
      </c>
      <c r="M9120" t="s">
        <v>64</v>
      </c>
    </row>
    <row r="9121" spans="1:13" hidden="1" x14ac:dyDescent="0.15">
      <c r="A9121" t="s">
        <v>28676</v>
      </c>
      <c r="B9121" t="s">
        <v>28677</v>
      </c>
      <c r="C9121" t="s">
        <v>28678</v>
      </c>
      <c r="D9121" t="s">
        <v>28669</v>
      </c>
      <c r="E9121">
        <v>0</v>
      </c>
      <c r="F9121" t="str">
        <f>HYPERLINK("https://github.com/AmazMod/AmazMod/issues/101", "show")</f>
        <v>show</v>
      </c>
      <c r="G9121" t="str">
        <f>HYPERLINK("https://github.com/AmazMod/AmazMod", "show")</f>
        <v>show</v>
      </c>
      <c r="H9121" t="str">
        <f>HYPERLINK("https://github.com/AmazMod/AmazMod/releases", "show")</f>
        <v>show</v>
      </c>
      <c r="I9121">
        <v>1</v>
      </c>
      <c r="J9121">
        <v>0</v>
      </c>
      <c r="K9121">
        <v>0</v>
      </c>
      <c r="L9121">
        <v>1</v>
      </c>
      <c r="M9121" t="s">
        <v>29</v>
      </c>
    </row>
    <row r="9122" spans="1:13" hidden="1" x14ac:dyDescent="0.15">
      <c r="A9122" t="s">
        <v>28679</v>
      </c>
      <c r="B9122" t="s">
        <v>28680</v>
      </c>
      <c r="C9122" t="s">
        <v>504</v>
      </c>
      <c r="D9122" t="s">
        <v>28669</v>
      </c>
      <c r="E9122">
        <v>3</v>
      </c>
      <c r="F9122" t="str">
        <f>HYPERLINK("https://github.com/itachi1706/SingBuses/issues/116", "show")</f>
        <v>show</v>
      </c>
      <c r="G9122" t="str">
        <f>HYPERLINK("https://github.com/itachi1706/SingBuses", "show")</f>
        <v>show</v>
      </c>
      <c r="H9122" t="str">
        <f>HYPERLINK("https://github.com/itachi1706/SingBuses/releases", "show")</f>
        <v>show</v>
      </c>
      <c r="I9122">
        <v>1</v>
      </c>
      <c r="J9122">
        <v>0</v>
      </c>
      <c r="K9122">
        <v>0</v>
      </c>
      <c r="L9122">
        <v>0</v>
      </c>
      <c r="M9122" t="s">
        <v>17</v>
      </c>
    </row>
    <row r="9123" spans="1:13" hidden="1" x14ac:dyDescent="0.15">
      <c r="A9123" t="s">
        <v>28681</v>
      </c>
      <c r="B9123" t="s">
        <v>28682</v>
      </c>
      <c r="C9123" t="s">
        <v>28683</v>
      </c>
      <c r="D9123" t="s">
        <v>28684</v>
      </c>
      <c r="E9123">
        <v>50</v>
      </c>
      <c r="F9123" t="str">
        <f>HYPERLINK("https://github.com/fossasia/pslab-android/issues/1365", "show")</f>
        <v>show</v>
      </c>
      <c r="G9123" t="str">
        <f>HYPERLINK("https://github.com/fossasia/pslab-android", "show")</f>
        <v>show</v>
      </c>
      <c r="H9123" t="str">
        <f>HYPERLINK("https://github.com/fossasia/pslab-android/releases", "show")</f>
        <v>show</v>
      </c>
      <c r="I9123">
        <v>1</v>
      </c>
      <c r="J9123">
        <v>0</v>
      </c>
      <c r="K9123">
        <v>1</v>
      </c>
      <c r="L9123">
        <v>1</v>
      </c>
      <c r="M9123" t="s">
        <v>1259</v>
      </c>
    </row>
    <row r="9124" spans="1:13" hidden="1" x14ac:dyDescent="0.15">
      <c r="A9124" t="s">
        <v>28685</v>
      </c>
      <c r="B9124" t="s">
        <v>28686</v>
      </c>
      <c r="C9124" t="s">
        <v>28687</v>
      </c>
      <c r="D9124" t="s">
        <v>28684</v>
      </c>
      <c r="E9124">
        <v>26</v>
      </c>
      <c r="F9124" t="str">
        <f>HYPERLINK("https://github.com/Neamar/KISS/issues/1044", "show")</f>
        <v>show</v>
      </c>
      <c r="G9124" t="str">
        <f>HYPERLINK("https://github.com/Neamar/KISS", "show")</f>
        <v>show</v>
      </c>
      <c r="H9124" t="str">
        <f>HYPERLINK("https://github.com/Neamar/KISS/releases", "show")</f>
        <v>show</v>
      </c>
      <c r="I9124">
        <v>1</v>
      </c>
      <c r="J9124">
        <v>0</v>
      </c>
      <c r="K9124">
        <v>1</v>
      </c>
      <c r="L9124">
        <v>0</v>
      </c>
      <c r="M9124" t="s">
        <v>64</v>
      </c>
    </row>
    <row r="9125" spans="1:13" hidden="1" x14ac:dyDescent="0.15">
      <c r="A9125" t="s">
        <v>28688</v>
      </c>
      <c r="B9125" t="s">
        <v>28689</v>
      </c>
      <c r="C9125" t="s">
        <v>28690</v>
      </c>
      <c r="D9125" t="s">
        <v>28684</v>
      </c>
      <c r="E9125">
        <v>5</v>
      </c>
      <c r="F9125" t="str">
        <f>HYPERLINK("https://github.com/nextcloud/android/issues/2877", "show")</f>
        <v>show</v>
      </c>
      <c r="G9125" t="str">
        <f>HYPERLINK("https://github.com/nextcloud/android", "show")</f>
        <v>show</v>
      </c>
      <c r="H9125" t="str">
        <f>HYPERLINK("https://github.com/nextcloud/android/releases", "show")</f>
        <v>show</v>
      </c>
      <c r="I9125">
        <v>1</v>
      </c>
      <c r="J9125">
        <v>1</v>
      </c>
      <c r="K9125">
        <v>0</v>
      </c>
      <c r="L9125">
        <v>0</v>
      </c>
      <c r="M9125" t="s">
        <v>48</v>
      </c>
    </row>
    <row r="9126" spans="1:13" hidden="1" x14ac:dyDescent="0.15">
      <c r="A9126" t="s">
        <v>28691</v>
      </c>
      <c r="B9126" t="s">
        <v>28692</v>
      </c>
      <c r="C9126" t="s">
        <v>28693</v>
      </c>
      <c r="D9126" t="s">
        <v>28694</v>
      </c>
      <c r="E9126">
        <v>1</v>
      </c>
      <c r="F9126" t="str">
        <f>HYPERLINK("https://github.com/fossasia/phimpme-android/issues/2147", "show")</f>
        <v>show</v>
      </c>
      <c r="G9126" t="str">
        <f>HYPERLINK("https://github.com/fossasia/phimpme-android", "show")</f>
        <v>show</v>
      </c>
      <c r="H9126" t="str">
        <f>HYPERLINK("https://github.com/fossasia/phimpme-android/releases", "show")</f>
        <v>show</v>
      </c>
      <c r="I9126">
        <v>0</v>
      </c>
      <c r="J9126">
        <v>0</v>
      </c>
      <c r="K9126">
        <v>0</v>
      </c>
      <c r="L9126">
        <v>0</v>
      </c>
      <c r="M9126" t="s">
        <v>43</v>
      </c>
    </row>
    <row r="9127" spans="1:13" hidden="1" x14ac:dyDescent="0.15">
      <c r="A9127" t="s">
        <v>28695</v>
      </c>
      <c r="B9127" t="s">
        <v>28696</v>
      </c>
      <c r="C9127" t="s">
        <v>28697</v>
      </c>
      <c r="D9127" t="s">
        <v>28694</v>
      </c>
      <c r="E9127">
        <v>56</v>
      </c>
      <c r="F9127" t="str">
        <f>HYPERLINK("https://github.com/Intelehealth/Android-Mobile-Client/issues/511", "show")</f>
        <v>show</v>
      </c>
      <c r="G9127" t="str">
        <f>HYPERLINK("https://github.com/Intelehealth/Android-Mobile-Client", "show")</f>
        <v>show</v>
      </c>
      <c r="H9127" t="str">
        <f>HYPERLINK("https://github.com/Intelehealth/Android-Mobile-Client/releases", "show")</f>
        <v>show</v>
      </c>
      <c r="I9127">
        <v>0</v>
      </c>
      <c r="J9127">
        <v>0</v>
      </c>
      <c r="K9127">
        <v>0</v>
      </c>
      <c r="L9127">
        <v>0</v>
      </c>
      <c r="M9127" t="s">
        <v>43</v>
      </c>
    </row>
    <row r="9128" spans="1:13" hidden="1" x14ac:dyDescent="0.15">
      <c r="A9128" t="s">
        <v>28698</v>
      </c>
      <c r="B9128" t="s">
        <v>28699</v>
      </c>
      <c r="C9128" t="s">
        <v>28700</v>
      </c>
      <c r="D9128" t="s">
        <v>28694</v>
      </c>
      <c r="E9128">
        <v>56</v>
      </c>
      <c r="F9128" t="str">
        <f>HYPERLINK("https://github.com/Intelehealth/Android-Mobile-Client/issues/510", "show")</f>
        <v>show</v>
      </c>
      <c r="G9128" t="str">
        <f>HYPERLINK("https://github.com/Intelehealth/Android-Mobile-Client", "show")</f>
        <v>show</v>
      </c>
      <c r="H9128" t="str">
        <f>HYPERLINK("https://github.com/Intelehealth/Android-Mobile-Client/releases", "show")</f>
        <v>show</v>
      </c>
      <c r="I9128">
        <v>0</v>
      </c>
      <c r="J9128">
        <v>0</v>
      </c>
      <c r="K9128">
        <v>0</v>
      </c>
      <c r="L9128">
        <v>0</v>
      </c>
      <c r="M9128" t="s">
        <v>43</v>
      </c>
    </row>
    <row r="9129" spans="1:13" hidden="1" x14ac:dyDescent="0.15">
      <c r="A9129" t="s">
        <v>28701</v>
      </c>
      <c r="B9129" t="s">
        <v>28702</v>
      </c>
      <c r="C9129" t="s">
        <v>28703</v>
      </c>
      <c r="D9129" t="s">
        <v>28694</v>
      </c>
      <c r="E9129">
        <v>61</v>
      </c>
      <c r="F9129" t="str">
        <f>HYPERLINK("https://github.com/Intelehealth/Android-Mobile-Client/issues/509", "show")</f>
        <v>show</v>
      </c>
      <c r="G9129" t="str">
        <f>HYPERLINK("https://github.com/Intelehealth/Android-Mobile-Client", "show")</f>
        <v>show</v>
      </c>
      <c r="H9129" t="str">
        <f>HYPERLINK("https://github.com/Intelehealth/Android-Mobile-Client/releases", "show")</f>
        <v>show</v>
      </c>
      <c r="I9129">
        <v>1</v>
      </c>
      <c r="J9129">
        <v>0</v>
      </c>
      <c r="K9129">
        <v>0</v>
      </c>
      <c r="L9129">
        <v>0</v>
      </c>
      <c r="M9129" t="s">
        <v>17</v>
      </c>
    </row>
    <row r="9130" spans="1:13" hidden="1" x14ac:dyDescent="0.15">
      <c r="A9130" t="s">
        <v>28704</v>
      </c>
      <c r="B9130" t="s">
        <v>28705</v>
      </c>
      <c r="C9130" t="s">
        <v>28706</v>
      </c>
      <c r="D9130" t="s">
        <v>28694</v>
      </c>
      <c r="E9130">
        <v>6</v>
      </c>
      <c r="F9130" t="str">
        <f>HYPERLINK("https://github.com/AniTrend/anitrend-app/issues/69", "show")</f>
        <v>show</v>
      </c>
      <c r="G9130" t="str">
        <f>HYPERLINK("https://github.com/AniTrend/anitrend-app", "show")</f>
        <v>show</v>
      </c>
      <c r="H9130" t="str">
        <f>HYPERLINK("https://github.com/AniTrend/anitrend-app/releases", "show")</f>
        <v>show</v>
      </c>
      <c r="I9130">
        <v>0</v>
      </c>
      <c r="J9130">
        <v>0</v>
      </c>
      <c r="K9130">
        <v>0</v>
      </c>
      <c r="L9130">
        <v>0</v>
      </c>
      <c r="M9130" t="s">
        <v>43</v>
      </c>
    </row>
    <row r="9131" spans="1:13" hidden="1" x14ac:dyDescent="0.15">
      <c r="A9131" t="s">
        <v>28707</v>
      </c>
      <c r="B9131" t="s">
        <v>28708</v>
      </c>
      <c r="C9131" t="s">
        <v>28709</v>
      </c>
      <c r="D9131" t="s">
        <v>28694</v>
      </c>
      <c r="E9131">
        <v>314</v>
      </c>
      <c r="F9131" t="str">
        <f>HYPERLINK("https://github.com/Intelehealth/Android-Mobile-Client/issues/508", "show")</f>
        <v>show</v>
      </c>
      <c r="G9131" t="str">
        <f>HYPERLINK("https://github.com/Intelehealth/Android-Mobile-Client", "show")</f>
        <v>show</v>
      </c>
      <c r="H9131" t="str">
        <f>HYPERLINK("https://github.com/Intelehealth/Android-Mobile-Client/releases", "show")</f>
        <v>show</v>
      </c>
      <c r="I9131">
        <v>0</v>
      </c>
      <c r="J9131">
        <v>0</v>
      </c>
      <c r="K9131">
        <v>0</v>
      </c>
      <c r="L9131">
        <v>0</v>
      </c>
      <c r="M9131" t="s">
        <v>43</v>
      </c>
    </row>
    <row r="9132" spans="1:13" hidden="1" x14ac:dyDescent="0.15">
      <c r="A9132" t="s">
        <v>28710</v>
      </c>
      <c r="B9132" t="s">
        <v>28711</v>
      </c>
      <c r="C9132" t="s">
        <v>28712</v>
      </c>
      <c r="D9132" t="s">
        <v>28694</v>
      </c>
      <c r="E9132">
        <v>61</v>
      </c>
      <c r="F9132" t="str">
        <f>HYPERLINK("https://github.com/Intelehealth/Android-Mobile-Client/issues/507", "show")</f>
        <v>show</v>
      </c>
      <c r="G9132" t="str">
        <f>HYPERLINK("https://github.com/Intelehealth/Android-Mobile-Client", "show")</f>
        <v>show</v>
      </c>
      <c r="H9132" t="str">
        <f>HYPERLINK("https://github.com/Intelehealth/Android-Mobile-Client/releases", "show")</f>
        <v>show</v>
      </c>
      <c r="I9132">
        <v>0</v>
      </c>
      <c r="J9132">
        <v>0</v>
      </c>
      <c r="K9132">
        <v>0</v>
      </c>
      <c r="L9132">
        <v>0</v>
      </c>
      <c r="M9132" t="s">
        <v>43</v>
      </c>
    </row>
    <row r="9133" spans="1:13" hidden="1" x14ac:dyDescent="0.15">
      <c r="A9133" t="s">
        <v>28713</v>
      </c>
      <c r="B9133" t="s">
        <v>28714</v>
      </c>
      <c r="C9133" t="s">
        <v>28715</v>
      </c>
      <c r="D9133" t="s">
        <v>28694</v>
      </c>
      <c r="E9133">
        <v>170</v>
      </c>
      <c r="F9133" t="str">
        <f>HYPERLINK("https://github.com/Haptic-Apps/Slide/issues/2835", "show")</f>
        <v>show</v>
      </c>
      <c r="G9133" t="str">
        <f>HYPERLINK("https://github.com/Haptic-Apps/Slide", "show")</f>
        <v>show</v>
      </c>
      <c r="H9133" t="str">
        <f>HYPERLINK("https://github.com/Haptic-Apps/Slide/releases", "show")</f>
        <v>show</v>
      </c>
      <c r="I9133">
        <v>1</v>
      </c>
      <c r="J9133">
        <v>0</v>
      </c>
      <c r="K9133">
        <v>1</v>
      </c>
      <c r="L9133">
        <v>0</v>
      </c>
      <c r="M9133" t="s">
        <v>64</v>
      </c>
    </row>
    <row r="9134" spans="1:13" hidden="1" x14ac:dyDescent="0.15">
      <c r="A9134" t="s">
        <v>28716</v>
      </c>
      <c r="B9134" t="s">
        <v>28717</v>
      </c>
      <c r="C9134" t="s">
        <v>28718</v>
      </c>
      <c r="D9134" t="s">
        <v>28694</v>
      </c>
      <c r="E9134">
        <v>56</v>
      </c>
      <c r="F9134" t="str">
        <f>HYPERLINK("https://github.com/Intelehealth/Android-Mobile-Client/issues/505", "show")</f>
        <v>show</v>
      </c>
      <c r="G9134" t="str">
        <f t="shared" ref="G9134:G9139" si="34">HYPERLINK("https://github.com/Intelehealth/Android-Mobile-Client", "show")</f>
        <v>show</v>
      </c>
      <c r="H9134" t="str">
        <f t="shared" ref="H9134:H9139" si="35">HYPERLINK("https://github.com/Intelehealth/Android-Mobile-Client/releases", "show")</f>
        <v>show</v>
      </c>
      <c r="I9134">
        <v>1</v>
      </c>
      <c r="J9134">
        <v>0</v>
      </c>
      <c r="K9134">
        <v>0</v>
      </c>
      <c r="L9134">
        <v>0</v>
      </c>
      <c r="M9134" t="s">
        <v>17</v>
      </c>
    </row>
    <row r="9135" spans="1:13" hidden="1" x14ac:dyDescent="0.15">
      <c r="A9135" t="s">
        <v>28719</v>
      </c>
      <c r="B9135" t="s">
        <v>28720</v>
      </c>
      <c r="C9135" t="s">
        <v>28721</v>
      </c>
      <c r="D9135" t="s">
        <v>28694</v>
      </c>
      <c r="E9135">
        <v>56</v>
      </c>
      <c r="F9135" t="str">
        <f>HYPERLINK("https://github.com/Intelehealth/Android-Mobile-Client/issues/504", "show")</f>
        <v>show</v>
      </c>
      <c r="G9135" t="str">
        <f t="shared" si="34"/>
        <v>show</v>
      </c>
      <c r="H9135" t="str">
        <f t="shared" si="35"/>
        <v>show</v>
      </c>
      <c r="I9135">
        <v>1</v>
      </c>
      <c r="J9135">
        <v>0</v>
      </c>
      <c r="K9135">
        <v>0</v>
      </c>
      <c r="L9135">
        <v>0</v>
      </c>
      <c r="M9135" t="s">
        <v>17</v>
      </c>
    </row>
    <row r="9136" spans="1:13" hidden="1" x14ac:dyDescent="0.15">
      <c r="A9136" t="s">
        <v>28722</v>
      </c>
      <c r="B9136" t="s">
        <v>28723</v>
      </c>
      <c r="C9136" t="s">
        <v>28724</v>
      </c>
      <c r="D9136" t="s">
        <v>28694</v>
      </c>
      <c r="E9136">
        <v>56</v>
      </c>
      <c r="F9136" t="str">
        <f>HYPERLINK("https://github.com/Intelehealth/Android-Mobile-Client/issues/503", "show")</f>
        <v>show</v>
      </c>
      <c r="G9136" t="str">
        <f t="shared" si="34"/>
        <v>show</v>
      </c>
      <c r="H9136" t="str">
        <f t="shared" si="35"/>
        <v>show</v>
      </c>
      <c r="I9136">
        <v>0</v>
      </c>
      <c r="J9136">
        <v>0</v>
      </c>
      <c r="K9136">
        <v>0</v>
      </c>
      <c r="L9136">
        <v>0</v>
      </c>
      <c r="M9136" t="s">
        <v>43</v>
      </c>
    </row>
    <row r="9137" spans="1:13" hidden="1" x14ac:dyDescent="0.15">
      <c r="A9137" t="s">
        <v>28725</v>
      </c>
      <c r="B9137" t="s">
        <v>28726</v>
      </c>
      <c r="C9137" t="s">
        <v>28727</v>
      </c>
      <c r="D9137" t="s">
        <v>28694</v>
      </c>
      <c r="E9137">
        <v>314</v>
      </c>
      <c r="F9137" t="str">
        <f>HYPERLINK("https://github.com/Intelehealth/Android-Mobile-Client/issues/502", "show")</f>
        <v>show</v>
      </c>
      <c r="G9137" t="str">
        <f t="shared" si="34"/>
        <v>show</v>
      </c>
      <c r="H9137" t="str">
        <f t="shared" si="35"/>
        <v>show</v>
      </c>
      <c r="I9137">
        <v>0</v>
      </c>
      <c r="J9137">
        <v>0</v>
      </c>
      <c r="K9137">
        <v>0</v>
      </c>
      <c r="L9137">
        <v>0</v>
      </c>
      <c r="M9137" t="s">
        <v>43</v>
      </c>
    </row>
    <row r="9138" spans="1:13" hidden="1" x14ac:dyDescent="0.15">
      <c r="A9138" t="s">
        <v>28728</v>
      </c>
      <c r="B9138" t="s">
        <v>28729</v>
      </c>
      <c r="C9138" t="s">
        <v>28730</v>
      </c>
      <c r="D9138" t="s">
        <v>28694</v>
      </c>
      <c r="E9138">
        <v>56</v>
      </c>
      <c r="F9138" t="str">
        <f>HYPERLINK("https://github.com/Intelehealth/Android-Mobile-Client/issues/501", "show")</f>
        <v>show</v>
      </c>
      <c r="G9138" t="str">
        <f t="shared" si="34"/>
        <v>show</v>
      </c>
      <c r="H9138" t="str">
        <f t="shared" si="35"/>
        <v>show</v>
      </c>
      <c r="I9138">
        <v>0</v>
      </c>
      <c r="J9138">
        <v>0</v>
      </c>
      <c r="K9138">
        <v>0</v>
      </c>
      <c r="L9138">
        <v>0</v>
      </c>
      <c r="M9138" t="s">
        <v>43</v>
      </c>
    </row>
    <row r="9139" spans="1:13" hidden="1" x14ac:dyDescent="0.15">
      <c r="A9139" t="s">
        <v>28731</v>
      </c>
      <c r="B9139" t="s">
        <v>28732</v>
      </c>
      <c r="C9139" t="s">
        <v>28733</v>
      </c>
      <c r="D9139" t="s">
        <v>28734</v>
      </c>
      <c r="E9139">
        <v>315</v>
      </c>
      <c r="F9139" t="str">
        <f>HYPERLINK("https://github.com/Intelehealth/Android-Mobile-Client/issues/500", "show")</f>
        <v>show</v>
      </c>
      <c r="G9139" t="str">
        <f t="shared" si="34"/>
        <v>show</v>
      </c>
      <c r="H9139" t="str">
        <f t="shared" si="35"/>
        <v>show</v>
      </c>
      <c r="I9139">
        <v>1</v>
      </c>
      <c r="J9139">
        <v>0</v>
      </c>
      <c r="K9139">
        <v>0</v>
      </c>
      <c r="L9139">
        <v>0</v>
      </c>
      <c r="M9139" t="s">
        <v>17</v>
      </c>
    </row>
    <row r="9140" spans="1:13" hidden="1" x14ac:dyDescent="0.15">
      <c r="A9140" t="s">
        <v>28735</v>
      </c>
      <c r="B9140" t="s">
        <v>28736</v>
      </c>
      <c r="C9140" t="s">
        <v>28737</v>
      </c>
      <c r="D9140" t="s">
        <v>28734</v>
      </c>
      <c r="E9140">
        <v>29</v>
      </c>
      <c r="F9140" t="str">
        <f>HYPERLINK("https://github.com/google/ExoPlayer/issues/4634", "show")</f>
        <v>show</v>
      </c>
      <c r="G9140" t="str">
        <f>HYPERLINK("https://github.com/google/ExoPlayer", "show")</f>
        <v>show</v>
      </c>
      <c r="H9140" t="str">
        <f>HYPERLINK("https://github.com/google/ExoPlayer/releases", "show")</f>
        <v>show</v>
      </c>
      <c r="I9140">
        <v>0</v>
      </c>
      <c r="J9140">
        <v>0</v>
      </c>
      <c r="K9140">
        <v>1</v>
      </c>
      <c r="L9140">
        <v>0</v>
      </c>
      <c r="M9140" t="s">
        <v>122</v>
      </c>
    </row>
    <row r="9141" spans="1:13" hidden="1" x14ac:dyDescent="0.15">
      <c r="A9141" t="s">
        <v>28738</v>
      </c>
      <c r="B9141" t="s">
        <v>28739</v>
      </c>
      <c r="C9141" t="s">
        <v>28740</v>
      </c>
      <c r="D9141" t="s">
        <v>28741</v>
      </c>
      <c r="E9141">
        <v>6</v>
      </c>
      <c r="F9141" t="str">
        <f>HYPERLINK("https://github.com/lineargs/WatchNextApp/issues/42", "show")</f>
        <v>show</v>
      </c>
      <c r="G9141" t="str">
        <f>HYPERLINK("https://github.com/lineargs/WatchNextApp", "show")</f>
        <v>show</v>
      </c>
      <c r="H9141" t="str">
        <f>HYPERLINK("https://github.com/lineargs/WatchNextApp/releases", "show")</f>
        <v>show</v>
      </c>
      <c r="I9141">
        <v>1</v>
      </c>
      <c r="J9141">
        <v>0</v>
      </c>
      <c r="K9141">
        <v>0</v>
      </c>
      <c r="L9141">
        <v>0</v>
      </c>
      <c r="M9141" t="s">
        <v>17</v>
      </c>
    </row>
    <row r="9142" spans="1:13" hidden="1" x14ac:dyDescent="0.15">
      <c r="A9142" t="s">
        <v>28742</v>
      </c>
      <c r="B9142" t="s">
        <v>28743</v>
      </c>
      <c r="C9142" t="s">
        <v>28744</v>
      </c>
      <c r="D9142" t="s">
        <v>28741</v>
      </c>
      <c r="E9142">
        <v>1</v>
      </c>
      <c r="F9142" t="str">
        <f>HYPERLINK("https://github.com/fossasia/phimpme-android/issues/2144", "show")</f>
        <v>show</v>
      </c>
      <c r="G9142" t="str">
        <f>HYPERLINK("https://github.com/fossasia/phimpme-android", "show")</f>
        <v>show</v>
      </c>
      <c r="H9142" t="str">
        <f>HYPERLINK("https://github.com/fossasia/phimpme-android/releases", "show")</f>
        <v>show</v>
      </c>
      <c r="I9142">
        <v>1</v>
      </c>
      <c r="J9142">
        <v>0</v>
      </c>
      <c r="K9142">
        <v>0</v>
      </c>
      <c r="L9142">
        <v>0</v>
      </c>
      <c r="M9142" t="s">
        <v>17</v>
      </c>
    </row>
    <row r="9143" spans="1:13" hidden="1" x14ac:dyDescent="0.15">
      <c r="A9143" t="s">
        <v>28745</v>
      </c>
      <c r="B9143" t="s">
        <v>28746</v>
      </c>
      <c r="C9143" t="s">
        <v>28747</v>
      </c>
      <c r="D9143" t="s">
        <v>28741</v>
      </c>
      <c r="E9143">
        <v>97</v>
      </c>
      <c r="F9143" t="str">
        <f>HYPERLINK("https://github.com/Haptic-Apps/Slide/issues/2832", "show")</f>
        <v>show</v>
      </c>
      <c r="G9143" t="str">
        <f>HYPERLINK("https://github.com/Haptic-Apps/Slide", "show")</f>
        <v>show</v>
      </c>
      <c r="H9143" t="str">
        <f>HYPERLINK("https://github.com/Haptic-Apps/Slide/releases", "show")</f>
        <v>show</v>
      </c>
      <c r="I9143">
        <v>1</v>
      </c>
      <c r="J9143">
        <v>0</v>
      </c>
      <c r="K9143">
        <v>0</v>
      </c>
      <c r="L9143">
        <v>0</v>
      </c>
      <c r="M9143" t="s">
        <v>17</v>
      </c>
    </row>
    <row r="9144" spans="1:13" hidden="1" x14ac:dyDescent="0.15">
      <c r="A9144" t="s">
        <v>28748</v>
      </c>
      <c r="B9144" t="s">
        <v>28749</v>
      </c>
      <c r="C9144" t="s">
        <v>28750</v>
      </c>
      <c r="D9144" t="s">
        <v>28741</v>
      </c>
      <c r="E9144">
        <v>253</v>
      </c>
      <c r="F9144" t="str">
        <f>HYPERLINK("https://github.com/react-native-camera/react-native-camera/issues/1737", "show")</f>
        <v>show</v>
      </c>
      <c r="G9144" t="str">
        <f>HYPERLINK("https://github.com/react-native-camera/react-native-camera", "show")</f>
        <v>show</v>
      </c>
      <c r="H9144" t="str">
        <f>HYPERLINK("https://github.com/react-native-camera/react-native-camera/releases", "show")</f>
        <v>show</v>
      </c>
      <c r="I9144">
        <v>0</v>
      </c>
      <c r="J9144">
        <v>0</v>
      </c>
      <c r="K9144">
        <v>1</v>
      </c>
      <c r="L9144">
        <v>0</v>
      </c>
      <c r="M9144" t="s">
        <v>122</v>
      </c>
    </row>
    <row r="9145" spans="1:13" hidden="1" x14ac:dyDescent="0.15">
      <c r="A9145" t="s">
        <v>28751</v>
      </c>
      <c r="B9145" t="s">
        <v>28752</v>
      </c>
      <c r="D9145" t="s">
        <v>28741</v>
      </c>
      <c r="E9145">
        <v>1</v>
      </c>
      <c r="F9145" t="str">
        <f>HYPERLINK("https://github.com/MarMigMon/doof/issues/162", "show")</f>
        <v>show</v>
      </c>
      <c r="G9145" t="str">
        <f>HYPERLINK("https://github.com/MarMigMon/doof", "show")</f>
        <v>show</v>
      </c>
      <c r="H9145" t="str">
        <f>HYPERLINK("https://github.com/MarMigMon/doof/releases", "show")</f>
        <v>show</v>
      </c>
      <c r="I9145">
        <v>0</v>
      </c>
      <c r="J9145">
        <v>0</v>
      </c>
      <c r="K9145">
        <v>0</v>
      </c>
      <c r="L9145">
        <v>0</v>
      </c>
      <c r="M9145" t="s">
        <v>43</v>
      </c>
    </row>
    <row r="9146" spans="1:13" hidden="1" x14ac:dyDescent="0.15">
      <c r="A9146" t="s">
        <v>28753</v>
      </c>
      <c r="B9146" t="s">
        <v>28754</v>
      </c>
      <c r="D9146" t="s">
        <v>28741</v>
      </c>
      <c r="E9146">
        <v>3</v>
      </c>
      <c r="F9146" t="str">
        <f>HYPERLINK("https://github.com/gkontos89/Beacon/issues/44", "show")</f>
        <v>show</v>
      </c>
      <c r="G9146" t="str">
        <f>HYPERLINK("https://github.com/gkontos89/Beacon", "show")</f>
        <v>show</v>
      </c>
      <c r="H9146" t="str">
        <f>HYPERLINK("https://github.com/gkontos89/Beacon/releases", "show")</f>
        <v>show</v>
      </c>
      <c r="I9146">
        <v>1</v>
      </c>
      <c r="J9146">
        <v>0</v>
      </c>
      <c r="K9146">
        <v>0</v>
      </c>
      <c r="L9146">
        <v>0</v>
      </c>
      <c r="M9146" t="s">
        <v>17</v>
      </c>
    </row>
    <row r="9147" spans="1:13" hidden="1" x14ac:dyDescent="0.15">
      <c r="A9147" t="s">
        <v>28755</v>
      </c>
      <c r="B9147" t="s">
        <v>28756</v>
      </c>
      <c r="C9147" t="s">
        <v>28757</v>
      </c>
      <c r="D9147" t="s">
        <v>28758</v>
      </c>
      <c r="E9147">
        <v>0</v>
      </c>
      <c r="F9147" t="str">
        <f>HYPERLINK("https://github.com/MarMigMon/doof/issues/153", "show")</f>
        <v>show</v>
      </c>
      <c r="G9147" t="str">
        <f>HYPERLINK("https://github.com/MarMigMon/doof", "show")</f>
        <v>show</v>
      </c>
      <c r="H9147" t="str">
        <f>HYPERLINK("https://github.com/MarMigMon/doof/releases", "show")</f>
        <v>show</v>
      </c>
      <c r="I9147">
        <v>1</v>
      </c>
      <c r="J9147">
        <v>0</v>
      </c>
      <c r="K9147">
        <v>0</v>
      </c>
      <c r="L9147">
        <v>1</v>
      </c>
      <c r="M9147" t="s">
        <v>29</v>
      </c>
    </row>
    <row r="9148" spans="1:13" hidden="1" x14ac:dyDescent="0.15">
      <c r="A9148" t="s">
        <v>28759</v>
      </c>
      <c r="B9148" t="s">
        <v>28760</v>
      </c>
      <c r="C9148" t="s">
        <v>28761</v>
      </c>
      <c r="D9148" t="s">
        <v>28758</v>
      </c>
      <c r="E9148">
        <v>0</v>
      </c>
      <c r="F9148" t="str">
        <f>HYPERLINK("https://github.com/MarMigMon/doof/issues/146", "show")</f>
        <v>show</v>
      </c>
      <c r="G9148" t="str">
        <f>HYPERLINK("https://github.com/MarMigMon/doof", "show")</f>
        <v>show</v>
      </c>
      <c r="H9148" t="str">
        <f>HYPERLINK("https://github.com/MarMigMon/doof/releases", "show")</f>
        <v>show</v>
      </c>
      <c r="I9148">
        <v>0</v>
      </c>
      <c r="J9148">
        <v>0</v>
      </c>
      <c r="K9148">
        <v>0</v>
      </c>
      <c r="L9148">
        <v>1</v>
      </c>
      <c r="M9148" t="s">
        <v>581</v>
      </c>
    </row>
    <row r="9149" spans="1:13" hidden="1" x14ac:dyDescent="0.15">
      <c r="A9149" t="s">
        <v>28762</v>
      </c>
      <c r="B9149" t="s">
        <v>28763</v>
      </c>
      <c r="C9149" t="s">
        <v>28764</v>
      </c>
      <c r="D9149" t="s">
        <v>28758</v>
      </c>
      <c r="E9149">
        <v>0</v>
      </c>
      <c r="F9149" t="str">
        <f>HYPERLINK("https://github.com/MarMigMon/doof/issues/145", "show")</f>
        <v>show</v>
      </c>
      <c r="G9149" t="str">
        <f>HYPERLINK("https://github.com/MarMigMon/doof", "show")</f>
        <v>show</v>
      </c>
      <c r="H9149" t="str">
        <f>HYPERLINK("https://github.com/MarMigMon/doof/releases", "show")</f>
        <v>show</v>
      </c>
      <c r="I9149">
        <v>0</v>
      </c>
      <c r="J9149">
        <v>0</v>
      </c>
      <c r="K9149">
        <v>0</v>
      </c>
      <c r="L9149">
        <v>1</v>
      </c>
      <c r="M9149" t="s">
        <v>581</v>
      </c>
    </row>
    <row r="9150" spans="1:13" hidden="1" x14ac:dyDescent="0.15">
      <c r="A9150" t="s">
        <v>28765</v>
      </c>
      <c r="B9150" t="s">
        <v>28766</v>
      </c>
      <c r="D9150" t="s">
        <v>28758</v>
      </c>
      <c r="E9150">
        <v>0</v>
      </c>
      <c r="F9150" t="str">
        <f>HYPERLINK("https://github.com/MarMigMon/doof/issues/144", "show")</f>
        <v>show</v>
      </c>
      <c r="G9150" t="str">
        <f>HYPERLINK("https://github.com/MarMigMon/doof", "show")</f>
        <v>show</v>
      </c>
      <c r="H9150" t="str">
        <f>HYPERLINK("https://github.com/MarMigMon/doof/releases", "show")</f>
        <v>show</v>
      </c>
      <c r="I9150">
        <v>1</v>
      </c>
      <c r="J9150">
        <v>0</v>
      </c>
      <c r="K9150">
        <v>0</v>
      </c>
      <c r="L9150">
        <v>0</v>
      </c>
      <c r="M9150" t="s">
        <v>17</v>
      </c>
    </row>
    <row r="9151" spans="1:13" hidden="1" x14ac:dyDescent="0.15">
      <c r="A9151" t="s">
        <v>28767</v>
      </c>
      <c r="B9151" t="s">
        <v>28768</v>
      </c>
      <c r="C9151" t="s">
        <v>28769</v>
      </c>
      <c r="D9151" t="s">
        <v>28758</v>
      </c>
      <c r="E9151">
        <v>22</v>
      </c>
      <c r="F9151" t="str">
        <f>HYPERLINK("https://github.com/apache/cordova-android/issues/473", "show")</f>
        <v>show</v>
      </c>
      <c r="G9151" t="str">
        <f>HYPERLINK("https://github.com/apache/cordova-android", "show")</f>
        <v>show</v>
      </c>
      <c r="H9151" t="str">
        <f>HYPERLINK("https://github.com/apache/cordova-android/releases", "show")</f>
        <v>show</v>
      </c>
      <c r="I9151">
        <v>1</v>
      </c>
      <c r="J9151">
        <v>0</v>
      </c>
      <c r="K9151">
        <v>1</v>
      </c>
      <c r="L9151">
        <v>0</v>
      </c>
      <c r="M9151" t="s">
        <v>64</v>
      </c>
    </row>
    <row r="9152" spans="1:13" hidden="1" x14ac:dyDescent="0.15">
      <c r="A9152" t="s">
        <v>28770</v>
      </c>
      <c r="B9152" t="s">
        <v>28771</v>
      </c>
      <c r="C9152" t="s">
        <v>28772</v>
      </c>
      <c r="D9152" t="s">
        <v>28758</v>
      </c>
      <c r="E9152">
        <v>0</v>
      </c>
      <c r="F9152" t="str">
        <f>HYPERLINK("https://github.com/knjk04/Bookshelf/issues/5", "show")</f>
        <v>show</v>
      </c>
      <c r="G9152" t="str">
        <f>HYPERLINK("https://github.com/knjk04/Bookshelf", "show")</f>
        <v>show</v>
      </c>
      <c r="H9152" t="str">
        <f>HYPERLINK("https://github.com/knjk04/Bookshelf/releases", "show")</f>
        <v>show</v>
      </c>
      <c r="I9152">
        <v>0</v>
      </c>
      <c r="J9152">
        <v>0</v>
      </c>
      <c r="K9152">
        <v>0</v>
      </c>
      <c r="L9152">
        <v>0</v>
      </c>
      <c r="M9152" t="s">
        <v>43</v>
      </c>
    </row>
    <row r="9153" spans="1:13" hidden="1" x14ac:dyDescent="0.15">
      <c r="A9153" t="s">
        <v>28773</v>
      </c>
      <c r="B9153" t="s">
        <v>28774</v>
      </c>
      <c r="C9153" t="s">
        <v>28775</v>
      </c>
      <c r="D9153" t="s">
        <v>28758</v>
      </c>
      <c r="E9153">
        <v>0</v>
      </c>
      <c r="F9153" t="str">
        <f>HYPERLINK("https://github.com/MarMigMon/doof/issues/143", "show")</f>
        <v>show</v>
      </c>
      <c r="G9153" t="str">
        <f>HYPERLINK("https://github.com/MarMigMon/doof", "show")</f>
        <v>show</v>
      </c>
      <c r="H9153" t="str">
        <f>HYPERLINK("https://github.com/MarMigMon/doof/releases", "show")</f>
        <v>show</v>
      </c>
      <c r="I9153">
        <v>1</v>
      </c>
      <c r="J9153">
        <v>0</v>
      </c>
      <c r="K9153">
        <v>0</v>
      </c>
      <c r="L9153">
        <v>0</v>
      </c>
      <c r="M9153" t="s">
        <v>17</v>
      </c>
    </row>
    <row r="9154" spans="1:13" hidden="1" x14ac:dyDescent="0.15">
      <c r="A9154" t="s">
        <v>28776</v>
      </c>
      <c r="B9154" t="s">
        <v>28777</v>
      </c>
      <c r="C9154" t="s">
        <v>28778</v>
      </c>
      <c r="D9154" t="s">
        <v>28758</v>
      </c>
      <c r="E9154">
        <v>163</v>
      </c>
      <c r="F9154" t="str">
        <f>HYPERLINK("https://github.com/Jay-Goo/RangeSeekBar/issues/55", "show")</f>
        <v>show</v>
      </c>
      <c r="G9154" t="str">
        <f>HYPERLINK("https://github.com/Jay-Goo/RangeSeekBar", "show")</f>
        <v>show</v>
      </c>
      <c r="H9154" t="str">
        <f>HYPERLINK("https://github.com/Jay-Goo/RangeSeekBar/releases", "show")</f>
        <v>show</v>
      </c>
      <c r="I9154">
        <v>1</v>
      </c>
      <c r="J9154">
        <v>0</v>
      </c>
      <c r="K9154">
        <v>1</v>
      </c>
      <c r="L9154">
        <v>0</v>
      </c>
      <c r="M9154" t="s">
        <v>64</v>
      </c>
    </row>
    <row r="9155" spans="1:13" hidden="1" x14ac:dyDescent="0.15">
      <c r="A9155" t="s">
        <v>28779</v>
      </c>
      <c r="B9155" t="s">
        <v>28780</v>
      </c>
      <c r="C9155" t="s">
        <v>28781</v>
      </c>
      <c r="D9155" t="s">
        <v>28782</v>
      </c>
      <c r="E9155">
        <v>1</v>
      </c>
      <c r="F9155" t="str">
        <f>HYPERLINK("https://github.com/rollbar/rollbar-java/issues/161", "show")</f>
        <v>show</v>
      </c>
      <c r="G9155" t="str">
        <f>HYPERLINK("https://github.com/rollbar/rollbar-java", "show")</f>
        <v>show</v>
      </c>
      <c r="H9155" t="str">
        <f>HYPERLINK("https://github.com/rollbar/rollbar-java/releases", "show")</f>
        <v>show</v>
      </c>
      <c r="I9155">
        <v>1</v>
      </c>
      <c r="J9155">
        <v>0</v>
      </c>
      <c r="K9155">
        <v>1</v>
      </c>
      <c r="L9155">
        <v>0</v>
      </c>
      <c r="M9155" t="s">
        <v>64</v>
      </c>
    </row>
    <row r="9156" spans="1:13" hidden="1" x14ac:dyDescent="0.15">
      <c r="A9156" t="s">
        <v>28783</v>
      </c>
      <c r="B9156" t="s">
        <v>28784</v>
      </c>
      <c r="C9156" t="s">
        <v>28785</v>
      </c>
      <c r="D9156" t="s">
        <v>28782</v>
      </c>
      <c r="E9156">
        <v>0</v>
      </c>
      <c r="F9156" t="str">
        <f>HYPERLINK("https://github.com/fossasia/phimpme-android/issues/2141", "show")</f>
        <v>show</v>
      </c>
      <c r="G9156" t="str">
        <f>HYPERLINK("https://github.com/fossasia/phimpme-android", "show")</f>
        <v>show</v>
      </c>
      <c r="H9156" t="str">
        <f>HYPERLINK("https://github.com/fossasia/phimpme-android/releases", "show")</f>
        <v>show</v>
      </c>
      <c r="I9156">
        <v>1</v>
      </c>
      <c r="J9156">
        <v>0</v>
      </c>
      <c r="K9156">
        <v>0</v>
      </c>
      <c r="L9156">
        <v>0</v>
      </c>
      <c r="M9156" t="s">
        <v>17</v>
      </c>
    </row>
    <row r="9157" spans="1:13" hidden="1" x14ac:dyDescent="0.15">
      <c r="A9157" t="s">
        <v>28786</v>
      </c>
      <c r="B9157" t="s">
        <v>28787</v>
      </c>
      <c r="C9157" t="s">
        <v>28788</v>
      </c>
      <c r="D9157" t="s">
        <v>28782</v>
      </c>
      <c r="E9157">
        <v>22</v>
      </c>
      <c r="F9157" t="str">
        <f>HYPERLINK("https://github.com/ThmmyNoLife/mTHMMY/issues/39", "show")</f>
        <v>show</v>
      </c>
      <c r="G9157" t="str">
        <f>HYPERLINK("https://github.com/ThmmyNoLife/mTHMMY", "show")</f>
        <v>show</v>
      </c>
      <c r="H9157" t="str">
        <f>HYPERLINK("https://github.com/ThmmyNoLife/mTHMMY/releases", "show")</f>
        <v>show</v>
      </c>
      <c r="I9157">
        <v>1</v>
      </c>
      <c r="J9157">
        <v>1</v>
      </c>
      <c r="K9157">
        <v>0</v>
      </c>
      <c r="L9157">
        <v>0</v>
      </c>
      <c r="M9157" t="s">
        <v>48</v>
      </c>
    </row>
    <row r="9158" spans="1:13" hidden="1" x14ac:dyDescent="0.15">
      <c r="A9158" t="s">
        <v>28789</v>
      </c>
      <c r="B9158" t="s">
        <v>28790</v>
      </c>
      <c r="C9158" t="s">
        <v>28791</v>
      </c>
      <c r="D9158" t="s">
        <v>28782</v>
      </c>
      <c r="E9158">
        <v>0</v>
      </c>
      <c r="F9158" t="str">
        <f>HYPERLINK("https://github.com/novoda/storage-path-finder/issues/9", "show")</f>
        <v>show</v>
      </c>
      <c r="G9158" t="str">
        <f>HYPERLINK("https://github.com/novoda/storage-path-finder", "show")</f>
        <v>show</v>
      </c>
      <c r="H9158" t="str">
        <f>HYPERLINK("https://github.com/novoda/storage-path-finder/releases", "show")</f>
        <v>show</v>
      </c>
      <c r="I9158">
        <v>1</v>
      </c>
      <c r="J9158">
        <v>0</v>
      </c>
      <c r="K9158">
        <v>0</v>
      </c>
      <c r="L9158">
        <v>1</v>
      </c>
      <c r="M9158" t="s">
        <v>29</v>
      </c>
    </row>
    <row r="9159" spans="1:13" hidden="1" x14ac:dyDescent="0.15">
      <c r="A9159" t="s">
        <v>28792</v>
      </c>
      <c r="B9159" t="s">
        <v>28793</v>
      </c>
      <c r="C9159" t="s">
        <v>28794</v>
      </c>
      <c r="D9159" t="s">
        <v>28795</v>
      </c>
      <c r="E9159">
        <v>4</v>
      </c>
      <c r="F9159" t="str">
        <f>HYPERLINK("https://github.com/project-travel-mate/Travel-Mate/issues/410", "show")</f>
        <v>show</v>
      </c>
      <c r="G9159" t="str">
        <f>HYPERLINK("https://github.com/project-travel-mate/Travel-Mate", "show")</f>
        <v>show</v>
      </c>
      <c r="H9159" t="str">
        <f>HYPERLINK("https://github.com/project-travel-mate/Travel-Mate/releases", "show")</f>
        <v>show</v>
      </c>
      <c r="I9159">
        <v>1</v>
      </c>
      <c r="J9159">
        <v>0</v>
      </c>
      <c r="K9159">
        <v>1</v>
      </c>
      <c r="L9159">
        <v>0</v>
      </c>
      <c r="M9159" t="s">
        <v>64</v>
      </c>
    </row>
    <row r="9160" spans="1:13" hidden="1" x14ac:dyDescent="0.15">
      <c r="A9160" t="s">
        <v>28796</v>
      </c>
      <c r="B9160" t="s">
        <v>28797</v>
      </c>
      <c r="C9160" t="s">
        <v>28798</v>
      </c>
      <c r="D9160" t="s">
        <v>28799</v>
      </c>
      <c r="E9160">
        <v>632</v>
      </c>
      <c r="F9160" t="str">
        <f>HYPERLINK("https://github.com/morenoh149/react-native-contacts/issues/318", "show")</f>
        <v>show</v>
      </c>
      <c r="G9160" t="str">
        <f>HYPERLINK("https://github.com/morenoh149/react-native-contacts", "show")</f>
        <v>show</v>
      </c>
      <c r="H9160" t="str">
        <f>HYPERLINK("https://github.com/morenoh149/react-native-contacts/releases", "show")</f>
        <v>show</v>
      </c>
      <c r="I9160">
        <v>0</v>
      </c>
      <c r="J9160">
        <v>0</v>
      </c>
      <c r="K9160">
        <v>0</v>
      </c>
      <c r="L9160">
        <v>0</v>
      </c>
      <c r="M9160" t="s">
        <v>43</v>
      </c>
    </row>
    <row r="9161" spans="1:13" hidden="1" x14ac:dyDescent="0.15">
      <c r="A9161" t="s">
        <v>28800</v>
      </c>
      <c r="B9161" t="s">
        <v>28801</v>
      </c>
      <c r="D9161" t="s">
        <v>28799</v>
      </c>
      <c r="E9161">
        <v>15</v>
      </c>
      <c r="F9161" t="str">
        <f>HYPERLINK("https://github.com/AlphaWallet/alpha-wallet-android/issues/286", "show")</f>
        <v>show</v>
      </c>
      <c r="G9161" t="str">
        <f>HYPERLINK("https://github.com/AlphaWallet/alpha-wallet-android", "show")</f>
        <v>show</v>
      </c>
      <c r="H9161" t="str">
        <f>HYPERLINK("https://github.com/AlphaWallet/alpha-wallet-android/releases", "show")</f>
        <v>show</v>
      </c>
      <c r="I9161">
        <v>1</v>
      </c>
      <c r="J9161">
        <v>0</v>
      </c>
      <c r="K9161">
        <v>0</v>
      </c>
      <c r="L9161">
        <v>0</v>
      </c>
      <c r="M9161" t="s">
        <v>17</v>
      </c>
    </row>
    <row r="9162" spans="1:13" x14ac:dyDescent="0.15">
      <c r="A9162" t="s">
        <v>28802</v>
      </c>
      <c r="B9162" t="s">
        <v>28803</v>
      </c>
      <c r="C9162" t="s">
        <v>28804</v>
      </c>
      <c r="D9162" t="s">
        <v>28799</v>
      </c>
      <c r="E9162">
        <v>279</v>
      </c>
      <c r="F9162" t="str">
        <f>HYPERLINK("https://github.com/nextcloud/android/issues/2862", "show")</f>
        <v>show</v>
      </c>
      <c r="G9162" t="str">
        <f>HYPERLINK("https://github.com/nextcloud/android", "show")</f>
        <v>show</v>
      </c>
      <c r="H9162" t="str">
        <f>HYPERLINK("https://github.com/nextcloud/android/releases", "show")</f>
        <v>show</v>
      </c>
      <c r="I9162">
        <v>0</v>
      </c>
      <c r="J9162">
        <v>1</v>
      </c>
      <c r="K9162">
        <v>0</v>
      </c>
      <c r="L9162">
        <v>0</v>
      </c>
      <c r="M9162" t="s">
        <v>139</v>
      </c>
    </row>
    <row r="9163" spans="1:13" hidden="1" x14ac:dyDescent="0.15">
      <c r="A9163" t="s">
        <v>28805</v>
      </c>
      <c r="B9163" t="s">
        <v>28806</v>
      </c>
      <c r="D9163" t="s">
        <v>28807</v>
      </c>
      <c r="E9163">
        <v>4</v>
      </c>
      <c r="F9163" t="str">
        <f>HYPERLINK("https://github.com/MarMigMon/doof/issues/127", "show")</f>
        <v>show</v>
      </c>
      <c r="G9163" t="str">
        <f>HYPERLINK("https://github.com/MarMigMon/doof", "show")</f>
        <v>show</v>
      </c>
      <c r="H9163" t="str">
        <f>HYPERLINK("https://github.com/MarMigMon/doof/releases", "show")</f>
        <v>show</v>
      </c>
      <c r="I9163">
        <v>1</v>
      </c>
      <c r="J9163">
        <v>0</v>
      </c>
      <c r="K9163">
        <v>0</v>
      </c>
      <c r="L9163">
        <v>0</v>
      </c>
      <c r="M9163" t="s">
        <v>17</v>
      </c>
    </row>
    <row r="9164" spans="1:13" hidden="1" x14ac:dyDescent="0.15">
      <c r="A9164" t="s">
        <v>28808</v>
      </c>
      <c r="B9164" t="s">
        <v>28809</v>
      </c>
      <c r="D9164" t="s">
        <v>28807</v>
      </c>
      <c r="E9164">
        <v>0</v>
      </c>
      <c r="F9164" t="str">
        <f>HYPERLINK("https://github.com/MarMigMon/doof/issues/126", "show")</f>
        <v>show</v>
      </c>
      <c r="G9164" t="str">
        <f>HYPERLINK("https://github.com/MarMigMon/doof", "show")</f>
        <v>show</v>
      </c>
      <c r="H9164" t="str">
        <f>HYPERLINK("https://github.com/MarMigMon/doof/releases", "show")</f>
        <v>show</v>
      </c>
      <c r="I9164">
        <v>0</v>
      </c>
      <c r="J9164">
        <v>0</v>
      </c>
      <c r="K9164">
        <v>0</v>
      </c>
      <c r="L9164">
        <v>0</v>
      </c>
      <c r="M9164" t="s">
        <v>43</v>
      </c>
    </row>
    <row r="9165" spans="1:13" hidden="1" x14ac:dyDescent="0.15">
      <c r="A9165" t="s">
        <v>28810</v>
      </c>
      <c r="B9165" t="s">
        <v>28811</v>
      </c>
      <c r="D9165" t="s">
        <v>28807</v>
      </c>
      <c r="E9165">
        <v>3</v>
      </c>
      <c r="F9165" t="str">
        <f>HYPERLINK("https://github.com/MarMigMon/doof/issues/125", "show")</f>
        <v>show</v>
      </c>
      <c r="G9165" t="str">
        <f>HYPERLINK("https://github.com/MarMigMon/doof", "show")</f>
        <v>show</v>
      </c>
      <c r="H9165" t="str">
        <f>HYPERLINK("https://github.com/MarMigMon/doof/releases", "show")</f>
        <v>show</v>
      </c>
      <c r="I9165">
        <v>1</v>
      </c>
      <c r="J9165">
        <v>0</v>
      </c>
      <c r="K9165">
        <v>0</v>
      </c>
      <c r="L9165">
        <v>0</v>
      </c>
      <c r="M9165" t="s">
        <v>17</v>
      </c>
    </row>
    <row r="9166" spans="1:13" hidden="1" x14ac:dyDescent="0.15">
      <c r="A9166" t="s">
        <v>28812</v>
      </c>
      <c r="B9166" t="s">
        <v>28813</v>
      </c>
      <c r="C9166" t="s">
        <v>28814</v>
      </c>
      <c r="D9166" t="s">
        <v>28807</v>
      </c>
      <c r="E9166">
        <v>8</v>
      </c>
      <c r="F9166" t="str">
        <f>HYPERLINK("https://github.com/andyrozman/RileyLinkAAPS/issues/49", "show")</f>
        <v>show</v>
      </c>
      <c r="G9166" t="str">
        <f>HYPERLINK("https://github.com/andyrozman/RileyLinkAAPS", "show")</f>
        <v>show</v>
      </c>
      <c r="H9166" t="str">
        <f>HYPERLINK("https://github.com/andyrozman/RileyLinkAAPS/releases", "show")</f>
        <v>show</v>
      </c>
      <c r="I9166">
        <v>1</v>
      </c>
      <c r="J9166">
        <v>0</v>
      </c>
      <c r="K9166">
        <v>1</v>
      </c>
      <c r="L9166">
        <v>0</v>
      </c>
      <c r="M9166" t="s">
        <v>64</v>
      </c>
    </row>
    <row r="9167" spans="1:13" hidden="1" x14ac:dyDescent="0.15">
      <c r="A9167" t="s">
        <v>28815</v>
      </c>
      <c r="B9167" t="s">
        <v>28816</v>
      </c>
      <c r="C9167" t="s">
        <v>28817</v>
      </c>
      <c r="D9167" t="s">
        <v>28818</v>
      </c>
      <c r="E9167">
        <v>13</v>
      </c>
      <c r="F9167" t="str">
        <f>HYPERLINK("https://github.com/seemoo-lab/fitness-app/issues/50", "show")</f>
        <v>show</v>
      </c>
      <c r="G9167" t="str">
        <f>HYPERLINK("https://github.com/seemoo-lab/fitness-app", "show")</f>
        <v>show</v>
      </c>
      <c r="H9167" t="str">
        <f>HYPERLINK("https://github.com/seemoo-lab/fitness-app/releases", "show")</f>
        <v>show</v>
      </c>
      <c r="I9167">
        <v>1</v>
      </c>
      <c r="J9167">
        <v>0</v>
      </c>
      <c r="K9167">
        <v>0</v>
      </c>
      <c r="L9167">
        <v>0</v>
      </c>
      <c r="M9167" t="s">
        <v>17</v>
      </c>
    </row>
    <row r="9168" spans="1:13" hidden="1" x14ac:dyDescent="0.15">
      <c r="A9168" t="s">
        <v>28819</v>
      </c>
      <c r="B9168" t="s">
        <v>28820</v>
      </c>
      <c r="C9168" t="s">
        <v>28821</v>
      </c>
      <c r="D9168" t="s">
        <v>28818</v>
      </c>
      <c r="E9168">
        <v>54</v>
      </c>
      <c r="F9168" t="str">
        <f>HYPERLINK("https://github.com/react-native-camera/react-native-camera/issues/1727", "show")</f>
        <v>show</v>
      </c>
      <c r="G9168" t="str">
        <f>HYPERLINK("https://github.com/react-native-camera/react-native-camera", "show")</f>
        <v>show</v>
      </c>
      <c r="H9168" t="str">
        <f>HYPERLINK("https://github.com/react-native-camera/react-native-camera/releases", "show")</f>
        <v>show</v>
      </c>
      <c r="I9168">
        <v>1</v>
      </c>
      <c r="J9168">
        <v>0</v>
      </c>
      <c r="K9168">
        <v>0</v>
      </c>
      <c r="L9168">
        <v>0</v>
      </c>
      <c r="M9168" t="s">
        <v>17</v>
      </c>
    </row>
    <row r="9169" spans="1:13" hidden="1" x14ac:dyDescent="0.15">
      <c r="A9169" t="s">
        <v>28822</v>
      </c>
      <c r="B9169" t="s">
        <v>28823</v>
      </c>
      <c r="C9169" t="s">
        <v>28824</v>
      </c>
      <c r="D9169" t="s">
        <v>28818</v>
      </c>
      <c r="E9169">
        <v>53</v>
      </c>
      <c r="F9169" t="str">
        <f>HYPERLINK("https://github.com/evernote/android-job/issues/511", "show")</f>
        <v>show</v>
      </c>
      <c r="G9169" t="str">
        <f>HYPERLINK("https://github.com/evernote/android-job", "show")</f>
        <v>show</v>
      </c>
      <c r="H9169" t="str">
        <f>HYPERLINK("https://github.com/evernote/android-job/releases", "show")</f>
        <v>show</v>
      </c>
      <c r="I9169">
        <v>1</v>
      </c>
      <c r="J9169">
        <v>0</v>
      </c>
      <c r="K9169">
        <v>1</v>
      </c>
      <c r="L9169">
        <v>0</v>
      </c>
      <c r="M9169" t="s">
        <v>64</v>
      </c>
    </row>
    <row r="9170" spans="1:13" hidden="1" x14ac:dyDescent="0.15">
      <c r="A9170" t="s">
        <v>28825</v>
      </c>
      <c r="B9170" t="s">
        <v>28826</v>
      </c>
      <c r="D9170" t="s">
        <v>28827</v>
      </c>
      <c r="E9170">
        <v>0</v>
      </c>
      <c r="F9170" t="str">
        <f>HYPERLINK("https://github.com/eurofurence/ef-app_android/issues/209", "show")</f>
        <v>show</v>
      </c>
      <c r="G9170" t="str">
        <f>HYPERLINK("https://github.com/eurofurence/ef-app_android", "show")</f>
        <v>show</v>
      </c>
      <c r="H9170" t="str">
        <f>HYPERLINK("https://github.com/eurofurence/ef-app_android/releases", "show")</f>
        <v>show</v>
      </c>
      <c r="I9170">
        <v>1</v>
      </c>
      <c r="J9170">
        <v>0</v>
      </c>
      <c r="K9170">
        <v>0</v>
      </c>
      <c r="L9170">
        <v>0</v>
      </c>
      <c r="M9170" t="s">
        <v>17</v>
      </c>
    </row>
    <row r="9171" spans="1:13" hidden="1" x14ac:dyDescent="0.15">
      <c r="A9171" t="s">
        <v>28828</v>
      </c>
      <c r="B9171" t="s">
        <v>28829</v>
      </c>
      <c r="C9171" t="s">
        <v>28830</v>
      </c>
      <c r="D9171" t="s">
        <v>28831</v>
      </c>
      <c r="E9171">
        <v>160</v>
      </c>
      <c r="F9171" t="str">
        <f>HYPERLINK("https://github.com/mycelium-com/wallet-android/issues/474", "show")</f>
        <v>show</v>
      </c>
      <c r="G9171" t="str">
        <f>HYPERLINK("https://github.com/mycelium-com/wallet-android", "show")</f>
        <v>show</v>
      </c>
      <c r="H9171" t="str">
        <f>HYPERLINK("https://github.com/mycelium-com/wallet-android/releases", "show")</f>
        <v>show</v>
      </c>
      <c r="I9171">
        <v>1</v>
      </c>
      <c r="J9171">
        <v>0</v>
      </c>
      <c r="K9171">
        <v>1</v>
      </c>
      <c r="L9171">
        <v>0</v>
      </c>
      <c r="M9171" t="s">
        <v>64</v>
      </c>
    </row>
    <row r="9172" spans="1:13" hidden="1" x14ac:dyDescent="0.15">
      <c r="A9172" t="s">
        <v>28832</v>
      </c>
      <c r="B9172" t="s">
        <v>28833</v>
      </c>
      <c r="C9172" t="s">
        <v>28834</v>
      </c>
      <c r="D9172" t="s">
        <v>28831</v>
      </c>
      <c r="E9172">
        <v>35</v>
      </c>
      <c r="F9172" t="str">
        <f>HYPERLINK("https://github.com/kontalk/androidclient/issues/1199", "show")</f>
        <v>show</v>
      </c>
      <c r="G9172" t="str">
        <f>HYPERLINK("https://github.com/kontalk/androidclient", "show")</f>
        <v>show</v>
      </c>
      <c r="H9172" t="str">
        <f>HYPERLINK("https://github.com/kontalk/androidclient/releases", "show")</f>
        <v>show</v>
      </c>
      <c r="I9172">
        <v>1</v>
      </c>
      <c r="J9172">
        <v>0</v>
      </c>
      <c r="K9172">
        <v>1</v>
      </c>
      <c r="L9172">
        <v>0</v>
      </c>
      <c r="M9172" t="s">
        <v>64</v>
      </c>
    </row>
    <row r="9173" spans="1:13" hidden="1" x14ac:dyDescent="0.15">
      <c r="A9173" t="s">
        <v>28835</v>
      </c>
      <c r="B9173" t="s">
        <v>28836</v>
      </c>
      <c r="C9173" t="s">
        <v>28837</v>
      </c>
      <c r="D9173" t="s">
        <v>28831</v>
      </c>
      <c r="E9173">
        <v>0</v>
      </c>
      <c r="F9173" t="str">
        <f>HYPERLINK("https://github.com/eurofurence/ef-app_android/issues/204", "show")</f>
        <v>show</v>
      </c>
      <c r="G9173" t="str">
        <f>HYPERLINK("https://github.com/eurofurence/ef-app_android", "show")</f>
        <v>show</v>
      </c>
      <c r="H9173" t="str">
        <f>HYPERLINK("https://github.com/eurofurence/ef-app_android/releases", "show")</f>
        <v>show</v>
      </c>
      <c r="I9173">
        <v>1</v>
      </c>
      <c r="J9173">
        <v>0</v>
      </c>
      <c r="K9173">
        <v>0</v>
      </c>
      <c r="L9173">
        <v>0</v>
      </c>
      <c r="M9173" t="s">
        <v>17</v>
      </c>
    </row>
    <row r="9174" spans="1:13" hidden="1" x14ac:dyDescent="0.15">
      <c r="A9174" t="s">
        <v>28838</v>
      </c>
      <c r="B9174" t="s">
        <v>28839</v>
      </c>
      <c r="C9174" t="s">
        <v>28840</v>
      </c>
      <c r="D9174" t="s">
        <v>28841</v>
      </c>
      <c r="E9174">
        <v>133</v>
      </c>
      <c r="F9174" t="str">
        <f>HYPERLINK("https://github.com/inaturalist/iNaturalistAndroid/issues/563", "show")</f>
        <v>show</v>
      </c>
      <c r="G9174" t="str">
        <f>HYPERLINK("https://github.com/inaturalist/iNaturalistAndroid", "show")</f>
        <v>show</v>
      </c>
      <c r="H9174" t="str">
        <f>HYPERLINK("https://github.com/inaturalist/iNaturalistAndroid/releases", "show")</f>
        <v>show</v>
      </c>
      <c r="I9174">
        <v>1</v>
      </c>
      <c r="J9174">
        <v>0</v>
      </c>
      <c r="K9174">
        <v>0</v>
      </c>
      <c r="L9174">
        <v>0</v>
      </c>
      <c r="M9174" t="s">
        <v>17</v>
      </c>
    </row>
    <row r="9175" spans="1:13" hidden="1" x14ac:dyDescent="0.15">
      <c r="A9175" t="s">
        <v>28842</v>
      </c>
      <c r="B9175" t="s">
        <v>28843</v>
      </c>
      <c r="C9175" t="s">
        <v>28844</v>
      </c>
      <c r="D9175" t="s">
        <v>28841</v>
      </c>
      <c r="E9175">
        <v>71</v>
      </c>
      <c r="F9175" t="str">
        <f>HYPERLINK("https://github.com/inaturalist/iNaturalistAndroid/issues/562", "show")</f>
        <v>show</v>
      </c>
      <c r="G9175" t="str">
        <f>HYPERLINK("https://github.com/inaturalist/iNaturalistAndroid", "show")</f>
        <v>show</v>
      </c>
      <c r="H9175" t="str">
        <f>HYPERLINK("https://github.com/inaturalist/iNaturalistAndroid/releases", "show")</f>
        <v>show</v>
      </c>
      <c r="I9175">
        <v>1</v>
      </c>
      <c r="J9175">
        <v>0</v>
      </c>
      <c r="K9175">
        <v>1</v>
      </c>
      <c r="L9175">
        <v>0</v>
      </c>
      <c r="M9175" t="s">
        <v>64</v>
      </c>
    </row>
    <row r="9176" spans="1:13" hidden="1" x14ac:dyDescent="0.15">
      <c r="A9176" t="s">
        <v>28845</v>
      </c>
      <c r="B9176" t="s">
        <v>28846</v>
      </c>
      <c r="C9176" t="s">
        <v>28847</v>
      </c>
      <c r="D9176" t="s">
        <v>28841</v>
      </c>
      <c r="E9176">
        <v>23</v>
      </c>
      <c r="F9176" t="str">
        <f>HYPERLINK("https://github.com/bitstadium/HockeySDK-Android/issues/389", "show")</f>
        <v>show</v>
      </c>
      <c r="G9176" t="str">
        <f>HYPERLINK("https://github.com/bitstadium/HockeySDK-Android", "show")</f>
        <v>show</v>
      </c>
      <c r="H9176" t="str">
        <f>HYPERLINK("https://github.com/bitstadium/HockeySDK-Android/releases", "show")</f>
        <v>show</v>
      </c>
      <c r="I9176">
        <v>1</v>
      </c>
      <c r="J9176">
        <v>0</v>
      </c>
      <c r="K9176">
        <v>1</v>
      </c>
      <c r="L9176">
        <v>0</v>
      </c>
      <c r="M9176" t="s">
        <v>64</v>
      </c>
    </row>
    <row r="9177" spans="1:13" hidden="1" x14ac:dyDescent="0.15">
      <c r="A9177" t="s">
        <v>28848</v>
      </c>
      <c r="B9177" t="s">
        <v>28849</v>
      </c>
      <c r="D9177" t="s">
        <v>28841</v>
      </c>
      <c r="E9177">
        <v>12</v>
      </c>
      <c r="F9177" t="str">
        <f>HYPERLINK("https://github.com/WatShout/watshout-android/issues/94", "show")</f>
        <v>show</v>
      </c>
      <c r="G9177" t="str">
        <f>HYPERLINK("https://github.com/WatShout/watshout-android", "show")</f>
        <v>show</v>
      </c>
      <c r="H9177" t="str">
        <f>HYPERLINK("https://github.com/WatShout/watshout-android/releases", "show")</f>
        <v>show</v>
      </c>
      <c r="I9177">
        <v>1</v>
      </c>
      <c r="J9177">
        <v>0</v>
      </c>
      <c r="K9177">
        <v>0</v>
      </c>
      <c r="L9177">
        <v>0</v>
      </c>
      <c r="M9177" t="s">
        <v>17</v>
      </c>
    </row>
    <row r="9178" spans="1:13" hidden="1" x14ac:dyDescent="0.15">
      <c r="A9178" t="s">
        <v>28850</v>
      </c>
      <c r="B9178" t="s">
        <v>28851</v>
      </c>
      <c r="C9178" t="s">
        <v>28852</v>
      </c>
      <c r="D9178" t="s">
        <v>28841</v>
      </c>
      <c r="E9178">
        <v>1</v>
      </c>
      <c r="F9178" t="str">
        <f>HYPERLINK("https://github.com/MozillaReality/FirefoxReality/issues/278", "show")</f>
        <v>show</v>
      </c>
      <c r="G9178" t="str">
        <f>HYPERLINK("https://github.com/MozillaReality/FirefoxReality", "show")</f>
        <v>show</v>
      </c>
      <c r="H9178" t="str">
        <f>HYPERLINK("https://github.com/MozillaReality/FirefoxReality/releases", "show")</f>
        <v>show</v>
      </c>
      <c r="I9178">
        <v>0</v>
      </c>
      <c r="J9178">
        <v>0</v>
      </c>
      <c r="K9178">
        <v>0</v>
      </c>
      <c r="L9178">
        <v>0</v>
      </c>
      <c r="M9178" t="s">
        <v>43</v>
      </c>
    </row>
    <row r="9179" spans="1:13" hidden="1" x14ac:dyDescent="0.15">
      <c r="A9179" t="s">
        <v>28853</v>
      </c>
      <c r="B9179" t="s">
        <v>28854</v>
      </c>
      <c r="C9179" t="s">
        <v>28855</v>
      </c>
      <c r="D9179" t="s">
        <v>28841</v>
      </c>
      <c r="E9179">
        <v>107</v>
      </c>
      <c r="F9179" t="str">
        <f>HYPERLINK("https://github.com/Haptic-Apps/Slide/issues/2821", "show")</f>
        <v>show</v>
      </c>
      <c r="G9179" t="str">
        <f>HYPERLINK("https://github.com/Haptic-Apps/Slide", "show")</f>
        <v>show</v>
      </c>
      <c r="H9179" t="str">
        <f>HYPERLINK("https://github.com/Haptic-Apps/Slide/releases", "show")</f>
        <v>show</v>
      </c>
      <c r="I9179">
        <v>1</v>
      </c>
      <c r="J9179">
        <v>0</v>
      </c>
      <c r="K9179">
        <v>0</v>
      </c>
      <c r="L9179">
        <v>0</v>
      </c>
      <c r="M9179" t="s">
        <v>17</v>
      </c>
    </row>
    <row r="9180" spans="1:13" hidden="1" x14ac:dyDescent="0.15">
      <c r="A9180" t="s">
        <v>28856</v>
      </c>
      <c r="B9180" t="s">
        <v>28857</v>
      </c>
      <c r="C9180" t="s">
        <v>28858</v>
      </c>
      <c r="D9180" t="s">
        <v>28859</v>
      </c>
      <c r="E9180">
        <v>3</v>
      </c>
      <c r="F9180" t="str">
        <f>HYPERLINK("https://github.com/eurofurence/ef-app_android/issues/191", "show")</f>
        <v>show</v>
      </c>
      <c r="G9180" t="str">
        <f>HYPERLINK("https://github.com/eurofurence/ef-app_android", "show")</f>
        <v>show</v>
      </c>
      <c r="H9180" t="str">
        <f>HYPERLINK("https://github.com/eurofurence/ef-app_android/releases", "show")</f>
        <v>show</v>
      </c>
      <c r="I9180">
        <v>1</v>
      </c>
      <c r="J9180">
        <v>0</v>
      </c>
      <c r="K9180">
        <v>0</v>
      </c>
      <c r="L9180">
        <v>0</v>
      </c>
      <c r="M9180" t="s">
        <v>17</v>
      </c>
    </row>
    <row r="9181" spans="1:13" hidden="1" x14ac:dyDescent="0.15">
      <c r="A9181" t="s">
        <v>28860</v>
      </c>
      <c r="B9181" t="s">
        <v>28861</v>
      </c>
      <c r="C9181" t="s">
        <v>28862</v>
      </c>
      <c r="D9181" t="s">
        <v>28859</v>
      </c>
      <c r="E9181">
        <v>3</v>
      </c>
      <c r="F9181" t="str">
        <f>HYPERLINK("https://github.com/eurofurence/ef-app_android/issues/190", "show")</f>
        <v>show</v>
      </c>
      <c r="G9181" t="str">
        <f>HYPERLINK("https://github.com/eurofurence/ef-app_android", "show")</f>
        <v>show</v>
      </c>
      <c r="H9181" t="str">
        <f>HYPERLINK("https://github.com/eurofurence/ef-app_android/releases", "show")</f>
        <v>show</v>
      </c>
      <c r="I9181">
        <v>1</v>
      </c>
      <c r="J9181">
        <v>0</v>
      </c>
      <c r="K9181">
        <v>0</v>
      </c>
      <c r="L9181">
        <v>0</v>
      </c>
      <c r="M9181" t="s">
        <v>17</v>
      </c>
    </row>
    <row r="9182" spans="1:13" hidden="1" x14ac:dyDescent="0.15">
      <c r="A9182" t="s">
        <v>28863</v>
      </c>
      <c r="B9182" t="s">
        <v>28864</v>
      </c>
      <c r="C9182" t="s">
        <v>28865</v>
      </c>
      <c r="D9182" t="s">
        <v>28859</v>
      </c>
      <c r="E9182">
        <v>3</v>
      </c>
      <c r="F9182" t="str">
        <f>HYPERLINK("https://github.com/MozillaReality/FirefoxReality/issues/273", "show")</f>
        <v>show</v>
      </c>
      <c r="G9182" t="str">
        <f>HYPERLINK("https://github.com/MozillaReality/FirefoxReality", "show")</f>
        <v>show</v>
      </c>
      <c r="H9182" t="str">
        <f>HYPERLINK("https://github.com/MozillaReality/FirefoxReality/releases", "show")</f>
        <v>show</v>
      </c>
      <c r="I9182">
        <v>1</v>
      </c>
      <c r="J9182">
        <v>1</v>
      </c>
      <c r="K9182">
        <v>0</v>
      </c>
      <c r="L9182">
        <v>0</v>
      </c>
      <c r="M9182" t="s">
        <v>48</v>
      </c>
    </row>
    <row r="9183" spans="1:13" hidden="1" x14ac:dyDescent="0.15">
      <c r="A9183" t="s">
        <v>28866</v>
      </c>
      <c r="B9183" t="s">
        <v>28867</v>
      </c>
      <c r="C9183" t="s">
        <v>28868</v>
      </c>
      <c r="D9183" t="s">
        <v>28869</v>
      </c>
      <c r="E9183">
        <v>0</v>
      </c>
      <c r="F9183" t="str">
        <f>HYPERLINK("https://github.com/hzi-braunschweig/SORMAS-Project/issues/714", "show")</f>
        <v>show</v>
      </c>
      <c r="G9183" t="str">
        <f>HYPERLINK("https://github.com/hzi-braunschweig/SORMAS-Project", "show")</f>
        <v>show</v>
      </c>
      <c r="H9183" t="str">
        <f>HYPERLINK("https://github.com/hzi-braunschweig/SORMAS-Project/releases", "show")</f>
        <v>show</v>
      </c>
      <c r="I9183">
        <v>1</v>
      </c>
      <c r="J9183">
        <v>0</v>
      </c>
      <c r="K9183">
        <v>0</v>
      </c>
      <c r="L9183">
        <v>1</v>
      </c>
      <c r="M9183" t="s">
        <v>29</v>
      </c>
    </row>
    <row r="9184" spans="1:13" hidden="1" x14ac:dyDescent="0.15">
      <c r="A9184" t="s">
        <v>28870</v>
      </c>
      <c r="B9184" t="s">
        <v>28871</v>
      </c>
      <c r="C9184" t="s">
        <v>28872</v>
      </c>
      <c r="D9184" t="s">
        <v>28869</v>
      </c>
      <c r="E9184">
        <v>7</v>
      </c>
      <c r="F9184" t="str">
        <f>HYPERLINK("https://github.com/commons-app/apps-android-commons/issues/1753", "show")</f>
        <v>show</v>
      </c>
      <c r="G9184" t="str">
        <f>HYPERLINK("https://github.com/commons-app/apps-android-commons", "show")</f>
        <v>show</v>
      </c>
      <c r="H9184" t="str">
        <f>HYPERLINK("https://github.com/commons-app/apps-android-commons/releases", "show")</f>
        <v>show</v>
      </c>
      <c r="I9184">
        <v>1</v>
      </c>
      <c r="J9184">
        <v>0</v>
      </c>
      <c r="K9184">
        <v>1</v>
      </c>
      <c r="L9184">
        <v>0</v>
      </c>
      <c r="M9184" t="s">
        <v>64</v>
      </c>
    </row>
    <row r="9185" spans="1:13" hidden="1" x14ac:dyDescent="0.15">
      <c r="A9185" t="s">
        <v>28873</v>
      </c>
      <c r="B9185" t="s">
        <v>28874</v>
      </c>
      <c r="C9185" t="s">
        <v>28875</v>
      </c>
      <c r="D9185" t="s">
        <v>28876</v>
      </c>
      <c r="E9185">
        <v>15</v>
      </c>
      <c r="F9185" t="str">
        <f>HYPERLINK("https://github.com/commons-app/apps-android-commons/issues/1750", "show")</f>
        <v>show</v>
      </c>
      <c r="G9185" t="str">
        <f>HYPERLINK("https://github.com/commons-app/apps-android-commons", "show")</f>
        <v>show</v>
      </c>
      <c r="H9185" t="str">
        <f>HYPERLINK("https://github.com/commons-app/apps-android-commons/releases", "show")</f>
        <v>show</v>
      </c>
      <c r="I9185">
        <v>1</v>
      </c>
      <c r="J9185">
        <v>0</v>
      </c>
      <c r="K9185">
        <v>1</v>
      </c>
      <c r="L9185">
        <v>0</v>
      </c>
      <c r="M9185" t="s">
        <v>64</v>
      </c>
    </row>
    <row r="9186" spans="1:13" hidden="1" x14ac:dyDescent="0.15">
      <c r="A9186" t="s">
        <v>28877</v>
      </c>
      <c r="B9186" t="s">
        <v>28878</v>
      </c>
      <c r="C9186" t="s">
        <v>28879</v>
      </c>
      <c r="D9186" t="s">
        <v>28876</v>
      </c>
      <c r="E9186">
        <v>13</v>
      </c>
      <c r="F9186" t="str">
        <f>HYPERLINK("https://github.com/MozillaReality/FirefoxReality/issues/263", "show")</f>
        <v>show</v>
      </c>
      <c r="G9186" t="str">
        <f>HYPERLINK("https://github.com/MozillaReality/FirefoxReality", "show")</f>
        <v>show</v>
      </c>
      <c r="H9186" t="str">
        <f>HYPERLINK("https://github.com/MozillaReality/FirefoxReality/releases", "show")</f>
        <v>show</v>
      </c>
      <c r="I9186">
        <v>1</v>
      </c>
      <c r="J9186">
        <v>1</v>
      </c>
      <c r="K9186">
        <v>0</v>
      </c>
      <c r="L9186">
        <v>0</v>
      </c>
      <c r="M9186" t="s">
        <v>48</v>
      </c>
    </row>
    <row r="9187" spans="1:13" hidden="1" x14ac:dyDescent="0.15">
      <c r="A9187" t="s">
        <v>28880</v>
      </c>
      <c r="B9187" t="s">
        <v>28881</v>
      </c>
      <c r="C9187" t="s">
        <v>28882</v>
      </c>
      <c r="D9187" t="s">
        <v>28876</v>
      </c>
      <c r="E9187">
        <v>4</v>
      </c>
      <c r="F9187" t="str">
        <f>HYPERLINK("https://github.com/Devsoc-BPGC/DoJMA/issues/137", "show")</f>
        <v>show</v>
      </c>
      <c r="G9187" t="str">
        <f>HYPERLINK("https://github.com/Devsoc-BPGC/DoJMA", "show")</f>
        <v>show</v>
      </c>
      <c r="H9187" t="str">
        <f>HYPERLINK("https://github.com/Devsoc-BPGC/DoJMA/releases", "show")</f>
        <v>show</v>
      </c>
      <c r="I9187">
        <v>0</v>
      </c>
      <c r="J9187">
        <v>0</v>
      </c>
      <c r="K9187">
        <v>0</v>
      </c>
      <c r="L9187">
        <v>0</v>
      </c>
      <c r="M9187" t="s">
        <v>43</v>
      </c>
    </row>
    <row r="9188" spans="1:13" hidden="1" x14ac:dyDescent="0.15">
      <c r="A9188" t="s">
        <v>28883</v>
      </c>
      <c r="B9188" t="s">
        <v>28884</v>
      </c>
      <c r="C9188" t="s">
        <v>28885</v>
      </c>
      <c r="D9188" t="s">
        <v>28876</v>
      </c>
      <c r="E9188">
        <v>1</v>
      </c>
      <c r="F9188" t="str">
        <f>HYPERLINK("https://github.com/commons-app/apps-android-commons/issues/1747", "show")</f>
        <v>show</v>
      </c>
      <c r="G9188" t="str">
        <f>HYPERLINK("https://github.com/commons-app/apps-android-commons", "show")</f>
        <v>show</v>
      </c>
      <c r="H9188" t="str">
        <f>HYPERLINK("https://github.com/commons-app/apps-android-commons/releases", "show")</f>
        <v>show</v>
      </c>
      <c r="I9188">
        <v>0</v>
      </c>
      <c r="J9188">
        <v>0</v>
      </c>
      <c r="K9188">
        <v>1</v>
      </c>
      <c r="L9188">
        <v>0</v>
      </c>
      <c r="M9188" t="s">
        <v>122</v>
      </c>
    </row>
    <row r="9189" spans="1:13" hidden="1" x14ac:dyDescent="0.15">
      <c r="A9189" t="s">
        <v>28886</v>
      </c>
      <c r="B9189" t="s">
        <v>28887</v>
      </c>
      <c r="C9189" t="s">
        <v>28888</v>
      </c>
      <c r="D9189" t="s">
        <v>28876</v>
      </c>
      <c r="E9189">
        <v>0</v>
      </c>
      <c r="F9189" t="str">
        <f>HYPERLINK("https://github.com/syncthing/syncthing-android/issues/1197", "show")</f>
        <v>show</v>
      </c>
      <c r="G9189" t="str">
        <f>HYPERLINK("https://github.com/syncthing/syncthing-android", "show")</f>
        <v>show</v>
      </c>
      <c r="H9189" t="str">
        <f>HYPERLINK("https://github.com/syncthing/syncthing-android/releases", "show")</f>
        <v>show</v>
      </c>
      <c r="I9189">
        <v>0</v>
      </c>
      <c r="J9189">
        <v>0</v>
      </c>
      <c r="K9189">
        <v>0</v>
      </c>
      <c r="L9189">
        <v>0</v>
      </c>
      <c r="M9189" t="s">
        <v>43</v>
      </c>
    </row>
    <row r="9190" spans="1:13" hidden="1" x14ac:dyDescent="0.15">
      <c r="A9190" t="s">
        <v>28889</v>
      </c>
      <c r="B9190" t="s">
        <v>28890</v>
      </c>
      <c r="C9190" t="s">
        <v>28891</v>
      </c>
      <c r="D9190" t="s">
        <v>28876</v>
      </c>
      <c r="E9190">
        <v>0</v>
      </c>
      <c r="F9190" t="str">
        <f>HYPERLINK("https://github.com/syncthing/syncthing-android/issues/1196", "show")</f>
        <v>show</v>
      </c>
      <c r="G9190" t="str">
        <f>HYPERLINK("https://github.com/syncthing/syncthing-android", "show")</f>
        <v>show</v>
      </c>
      <c r="H9190" t="str">
        <f>HYPERLINK("https://github.com/syncthing/syncthing-android/releases", "show")</f>
        <v>show</v>
      </c>
      <c r="I9190">
        <v>0</v>
      </c>
      <c r="J9190">
        <v>0</v>
      </c>
      <c r="K9190">
        <v>0</v>
      </c>
      <c r="L9190">
        <v>0</v>
      </c>
      <c r="M9190" t="s">
        <v>43</v>
      </c>
    </row>
    <row r="9191" spans="1:13" hidden="1" x14ac:dyDescent="0.15">
      <c r="A9191" t="s">
        <v>28892</v>
      </c>
      <c r="B9191" t="s">
        <v>28893</v>
      </c>
      <c r="C9191" t="s">
        <v>28894</v>
      </c>
      <c r="D9191" t="s">
        <v>28876</v>
      </c>
      <c r="E9191">
        <v>13</v>
      </c>
      <c r="F9191" t="str">
        <f>HYPERLINK("https://github.com/MozillaReality/FirefoxReality/issues/260", "show")</f>
        <v>show</v>
      </c>
      <c r="G9191" t="str">
        <f>HYPERLINK("https://github.com/MozillaReality/FirefoxReality", "show")</f>
        <v>show</v>
      </c>
      <c r="H9191" t="str">
        <f>HYPERLINK("https://github.com/MozillaReality/FirefoxReality/releases", "show")</f>
        <v>show</v>
      </c>
      <c r="I9191">
        <v>0</v>
      </c>
      <c r="J9191">
        <v>0</v>
      </c>
      <c r="K9191">
        <v>0</v>
      </c>
      <c r="L9191">
        <v>0</v>
      </c>
      <c r="M9191" t="s">
        <v>43</v>
      </c>
    </row>
    <row r="9192" spans="1:13" hidden="1" x14ac:dyDescent="0.15">
      <c r="A9192" t="s">
        <v>28895</v>
      </c>
      <c r="B9192" t="s">
        <v>28896</v>
      </c>
      <c r="C9192" t="s">
        <v>28897</v>
      </c>
      <c r="D9192" t="s">
        <v>28898</v>
      </c>
      <c r="E9192">
        <v>3</v>
      </c>
      <c r="F9192" t="str">
        <f>HYPERLINK("https://github.com/eurofurence/ef-app_android/issues/160", "show")</f>
        <v>show</v>
      </c>
      <c r="G9192" t="str">
        <f>HYPERLINK("https://github.com/eurofurence/ef-app_android", "show")</f>
        <v>show</v>
      </c>
      <c r="H9192" t="str">
        <f>HYPERLINK("https://github.com/eurofurence/ef-app_android/releases", "show")</f>
        <v>show</v>
      </c>
      <c r="I9192">
        <v>1</v>
      </c>
      <c r="J9192">
        <v>0</v>
      </c>
      <c r="K9192">
        <v>0</v>
      </c>
      <c r="L9192">
        <v>0</v>
      </c>
      <c r="M9192" t="s">
        <v>17</v>
      </c>
    </row>
    <row r="9193" spans="1:13" hidden="1" x14ac:dyDescent="0.15">
      <c r="A9193" t="s">
        <v>28899</v>
      </c>
      <c r="B9193" t="s">
        <v>28900</v>
      </c>
      <c r="C9193" t="s">
        <v>28901</v>
      </c>
      <c r="D9193" t="s">
        <v>28898</v>
      </c>
      <c r="E9193">
        <v>0</v>
      </c>
      <c r="F9193" t="str">
        <f>HYPERLINK("https://github.com/abrenoch/hyperion-android-grabber/issues/88", "show")</f>
        <v>show</v>
      </c>
      <c r="G9193" t="str">
        <f>HYPERLINK("https://github.com/abrenoch/hyperion-android-grabber", "show")</f>
        <v>show</v>
      </c>
      <c r="H9193" t="str">
        <f>HYPERLINK("https://github.com/abrenoch/hyperion-android-grabber/releases", "show")</f>
        <v>show</v>
      </c>
      <c r="I9193">
        <v>1</v>
      </c>
      <c r="J9193">
        <v>0</v>
      </c>
      <c r="K9193">
        <v>0</v>
      </c>
      <c r="L9193">
        <v>0</v>
      </c>
      <c r="M9193" t="s">
        <v>17</v>
      </c>
    </row>
    <row r="9194" spans="1:13" hidden="1" x14ac:dyDescent="0.15">
      <c r="A9194" t="s">
        <v>28902</v>
      </c>
      <c r="B9194" t="s">
        <v>28903</v>
      </c>
      <c r="C9194" t="s">
        <v>28904</v>
      </c>
      <c r="D9194" t="s">
        <v>28898</v>
      </c>
      <c r="E9194">
        <v>0</v>
      </c>
      <c r="F9194" t="str">
        <f>HYPERLINK("https://github.com/novoda/download-manager/issues/421", "show")</f>
        <v>show</v>
      </c>
      <c r="G9194" t="str">
        <f>HYPERLINK("https://github.com/novoda/download-manager", "show")</f>
        <v>show</v>
      </c>
      <c r="H9194" t="str">
        <f>HYPERLINK("https://github.com/novoda/download-manager/releases", "show")</f>
        <v>show</v>
      </c>
      <c r="I9194">
        <v>1</v>
      </c>
      <c r="J9194">
        <v>0</v>
      </c>
      <c r="K9194">
        <v>0</v>
      </c>
      <c r="L9194">
        <v>0</v>
      </c>
      <c r="M9194" t="s">
        <v>17</v>
      </c>
    </row>
    <row r="9195" spans="1:13" hidden="1" x14ac:dyDescent="0.15">
      <c r="A9195" t="s">
        <v>28905</v>
      </c>
      <c r="B9195" t="s">
        <v>28906</v>
      </c>
      <c r="C9195" t="s">
        <v>28907</v>
      </c>
      <c r="D9195" t="s">
        <v>28898</v>
      </c>
      <c r="E9195">
        <v>317</v>
      </c>
      <c r="F9195" t="str">
        <f>HYPERLINK("https://github.com/react-native-camera/react-native-camera/issues/1708", "show")</f>
        <v>show</v>
      </c>
      <c r="G9195" t="str">
        <f>HYPERLINK("https://github.com/react-native-camera/react-native-camera", "show")</f>
        <v>show</v>
      </c>
      <c r="H9195" t="str">
        <f>HYPERLINK("https://github.com/react-native-camera/react-native-camera/releases", "show")</f>
        <v>show</v>
      </c>
      <c r="I9195">
        <v>1</v>
      </c>
      <c r="J9195">
        <v>1</v>
      </c>
      <c r="K9195">
        <v>1</v>
      </c>
      <c r="L9195">
        <v>1</v>
      </c>
      <c r="M9195" t="s">
        <v>2875</v>
      </c>
    </row>
    <row r="9196" spans="1:13" hidden="1" x14ac:dyDescent="0.15">
      <c r="A9196" t="s">
        <v>28908</v>
      </c>
      <c r="B9196" t="s">
        <v>28909</v>
      </c>
      <c r="C9196" t="s">
        <v>28910</v>
      </c>
      <c r="D9196" t="s">
        <v>28898</v>
      </c>
      <c r="E9196">
        <v>1</v>
      </c>
      <c r="F9196" t="str">
        <f>HYPERLINK("https://github.com/syncthing/syncthing-android/issues/1190", "show")</f>
        <v>show</v>
      </c>
      <c r="G9196" t="str">
        <f>HYPERLINK("https://github.com/syncthing/syncthing-android", "show")</f>
        <v>show</v>
      </c>
      <c r="H9196" t="str">
        <f>HYPERLINK("https://github.com/syncthing/syncthing-android/releases", "show")</f>
        <v>show</v>
      </c>
      <c r="I9196">
        <v>0</v>
      </c>
      <c r="J9196">
        <v>0</v>
      </c>
      <c r="K9196">
        <v>1</v>
      </c>
      <c r="L9196">
        <v>0</v>
      </c>
      <c r="M9196" t="s">
        <v>122</v>
      </c>
    </row>
    <row r="9197" spans="1:13" hidden="1" x14ac:dyDescent="0.15">
      <c r="A9197" t="s">
        <v>28911</v>
      </c>
      <c r="B9197" t="s">
        <v>28912</v>
      </c>
      <c r="C9197" t="s">
        <v>28913</v>
      </c>
      <c r="D9197" t="s">
        <v>28898</v>
      </c>
      <c r="E9197">
        <v>100</v>
      </c>
      <c r="F9197" t="str">
        <f>HYPERLINK("https://github.com/facundomedica/fast_qr_reader_view/issues/3", "show")</f>
        <v>show</v>
      </c>
      <c r="G9197" t="str">
        <f>HYPERLINK("https://github.com/facundomedica/fast_qr_reader_view", "show")</f>
        <v>show</v>
      </c>
      <c r="H9197" t="str">
        <f>HYPERLINK("https://github.com/facundomedica/fast_qr_reader_view/releases", "show")</f>
        <v>show</v>
      </c>
      <c r="I9197">
        <v>1</v>
      </c>
      <c r="J9197">
        <v>0</v>
      </c>
      <c r="K9197">
        <v>0</v>
      </c>
      <c r="L9197">
        <v>0</v>
      </c>
      <c r="M9197" t="s">
        <v>17</v>
      </c>
    </row>
    <row r="9198" spans="1:13" hidden="1" x14ac:dyDescent="0.15">
      <c r="A9198" t="s">
        <v>28914</v>
      </c>
      <c r="B9198" t="s">
        <v>28915</v>
      </c>
      <c r="D9198" t="s">
        <v>28898</v>
      </c>
      <c r="E9198">
        <v>31</v>
      </c>
      <c r="F9198" t="str">
        <f>HYPERLINK("https://github.com/culturemesh/CultureMeshAndroid/issues/54", "show")</f>
        <v>show</v>
      </c>
      <c r="G9198" t="str">
        <f>HYPERLINK("https://github.com/culturemesh/CultureMeshAndroid", "show")</f>
        <v>show</v>
      </c>
      <c r="H9198" t="str">
        <f>HYPERLINK("https://github.com/culturemesh/CultureMeshAndroid/releases", "show")</f>
        <v>show</v>
      </c>
      <c r="I9198">
        <v>1</v>
      </c>
      <c r="J9198">
        <v>0</v>
      </c>
      <c r="K9198">
        <v>0</v>
      </c>
      <c r="L9198">
        <v>0</v>
      </c>
      <c r="M9198" t="s">
        <v>17</v>
      </c>
    </row>
    <row r="9199" spans="1:13" hidden="1" x14ac:dyDescent="0.15">
      <c r="A9199" t="s">
        <v>28916</v>
      </c>
      <c r="B9199" t="s">
        <v>28917</v>
      </c>
      <c r="C9199" t="s">
        <v>28918</v>
      </c>
      <c r="D9199" t="s">
        <v>28898</v>
      </c>
      <c r="E9199">
        <v>3</v>
      </c>
      <c r="F9199" t="str">
        <f>HYPERLINK("https://github.com/fossasia/pslab-android/issues/1295", "show")</f>
        <v>show</v>
      </c>
      <c r="G9199" t="str">
        <f>HYPERLINK("https://github.com/fossasia/pslab-android", "show")</f>
        <v>show</v>
      </c>
      <c r="H9199" t="str">
        <f>HYPERLINK("https://github.com/fossasia/pslab-android/releases", "show")</f>
        <v>show</v>
      </c>
      <c r="I9199">
        <v>0</v>
      </c>
      <c r="J9199">
        <v>0</v>
      </c>
      <c r="K9199">
        <v>0</v>
      </c>
      <c r="L9199">
        <v>0</v>
      </c>
      <c r="M9199" t="s">
        <v>43</v>
      </c>
    </row>
    <row r="9200" spans="1:13" hidden="1" x14ac:dyDescent="0.15">
      <c r="A9200" t="s">
        <v>28919</v>
      </c>
      <c r="B9200" t="s">
        <v>28920</v>
      </c>
      <c r="C9200" t="s">
        <v>28921</v>
      </c>
      <c r="D9200" t="s">
        <v>28922</v>
      </c>
      <c r="E9200">
        <v>1</v>
      </c>
      <c r="F9200" t="str">
        <f>HYPERLINK("https://github.com/MozillaReality/FirefoxReality/issues/242", "show")</f>
        <v>show</v>
      </c>
      <c r="G9200" t="str">
        <f>HYPERLINK("https://github.com/MozillaReality/FirefoxReality", "show")</f>
        <v>show</v>
      </c>
      <c r="H9200" t="str">
        <f>HYPERLINK("https://github.com/MozillaReality/FirefoxReality/releases", "show")</f>
        <v>show</v>
      </c>
      <c r="I9200">
        <v>1</v>
      </c>
      <c r="J9200">
        <v>0</v>
      </c>
      <c r="K9200">
        <v>0</v>
      </c>
      <c r="L9200">
        <v>0</v>
      </c>
      <c r="M9200" t="s">
        <v>17</v>
      </c>
    </row>
    <row r="9201" spans="1:13" hidden="1" x14ac:dyDescent="0.15">
      <c r="A9201" t="s">
        <v>28923</v>
      </c>
      <c r="B9201" t="s">
        <v>28924</v>
      </c>
      <c r="C9201" t="s">
        <v>28925</v>
      </c>
      <c r="D9201" t="s">
        <v>28922</v>
      </c>
      <c r="E9201">
        <v>304</v>
      </c>
      <c r="F9201" t="str">
        <f>HYPERLINK("https://github.com/nextcloud/android/issues/2848", "show")</f>
        <v>show</v>
      </c>
      <c r="G9201" t="str">
        <f>HYPERLINK("https://github.com/nextcloud/android", "show")</f>
        <v>show</v>
      </c>
      <c r="H9201" t="str">
        <f>HYPERLINK("https://github.com/nextcloud/android/releases", "show")</f>
        <v>show</v>
      </c>
      <c r="I9201">
        <v>0</v>
      </c>
      <c r="J9201">
        <v>0</v>
      </c>
      <c r="K9201">
        <v>0</v>
      </c>
      <c r="L9201">
        <v>0</v>
      </c>
      <c r="M9201" t="s">
        <v>43</v>
      </c>
    </row>
    <row r="9202" spans="1:13" hidden="1" x14ac:dyDescent="0.15">
      <c r="A9202" t="s">
        <v>28926</v>
      </c>
      <c r="B9202" t="s">
        <v>28927</v>
      </c>
      <c r="C9202" t="s">
        <v>28928</v>
      </c>
      <c r="D9202" t="s">
        <v>28922</v>
      </c>
      <c r="E9202">
        <v>0</v>
      </c>
      <c r="F9202" t="str">
        <f>HYPERLINK("https://github.com/tonyofrancis/Fetch/issues/201", "show")</f>
        <v>show</v>
      </c>
      <c r="G9202" t="str">
        <f>HYPERLINK("https://github.com/tonyofrancis/Fetch", "show")</f>
        <v>show</v>
      </c>
      <c r="H9202" t="str">
        <f>HYPERLINK("https://github.com/tonyofrancis/Fetch/releases", "show")</f>
        <v>show</v>
      </c>
      <c r="I9202">
        <v>1</v>
      </c>
      <c r="J9202">
        <v>0</v>
      </c>
      <c r="K9202">
        <v>0</v>
      </c>
      <c r="L9202">
        <v>0</v>
      </c>
      <c r="M9202" t="s">
        <v>17</v>
      </c>
    </row>
    <row r="9203" spans="1:13" hidden="1" x14ac:dyDescent="0.15">
      <c r="A9203" t="s">
        <v>28929</v>
      </c>
      <c r="B9203" t="s">
        <v>28930</v>
      </c>
      <c r="C9203" t="s">
        <v>28931</v>
      </c>
      <c r="D9203" t="s">
        <v>28922</v>
      </c>
      <c r="E9203">
        <v>705</v>
      </c>
      <c r="F9203" t="str">
        <f>HYPERLINK("https://github.com/zo0r/react-native-push-notification/issues/803", "show")</f>
        <v>show</v>
      </c>
      <c r="G9203" t="str">
        <f>HYPERLINK("https://github.com/zo0r/react-native-push-notification", "show")</f>
        <v>show</v>
      </c>
      <c r="H9203" t="str">
        <f>HYPERLINK("https://github.com/zo0r/react-native-push-notification/releases", "show")</f>
        <v>show</v>
      </c>
      <c r="I9203">
        <v>1</v>
      </c>
      <c r="J9203">
        <v>0</v>
      </c>
      <c r="K9203">
        <v>0</v>
      </c>
      <c r="L9203">
        <v>0</v>
      </c>
      <c r="M9203" t="s">
        <v>17</v>
      </c>
    </row>
    <row r="9204" spans="1:13" hidden="1" x14ac:dyDescent="0.15">
      <c r="A9204" t="s">
        <v>28932</v>
      </c>
      <c r="B9204" t="s">
        <v>28933</v>
      </c>
      <c r="C9204" t="s">
        <v>28934</v>
      </c>
      <c r="D9204" t="s">
        <v>28935</v>
      </c>
      <c r="E9204">
        <v>1</v>
      </c>
      <c r="F9204" t="str">
        <f>HYPERLINK("https://github.com/WatShout/watshout-android/issues/66", "show")</f>
        <v>show</v>
      </c>
      <c r="G9204" t="str">
        <f>HYPERLINK("https://github.com/WatShout/watshout-android", "show")</f>
        <v>show</v>
      </c>
      <c r="H9204" t="str">
        <f>HYPERLINK("https://github.com/WatShout/watshout-android/releases", "show")</f>
        <v>show</v>
      </c>
      <c r="I9204">
        <v>1</v>
      </c>
      <c r="J9204">
        <v>0</v>
      </c>
      <c r="K9204">
        <v>0</v>
      </c>
      <c r="L9204">
        <v>0</v>
      </c>
      <c r="M9204" t="s">
        <v>17</v>
      </c>
    </row>
    <row r="9205" spans="1:13" hidden="1" x14ac:dyDescent="0.15">
      <c r="A9205" t="s">
        <v>28936</v>
      </c>
      <c r="B9205" t="s">
        <v>28937</v>
      </c>
      <c r="C9205" t="s">
        <v>28938</v>
      </c>
      <c r="D9205" t="s">
        <v>28935</v>
      </c>
      <c r="E9205">
        <v>2</v>
      </c>
      <c r="F9205" t="str">
        <f>HYPERLINK("https://github.com/getodk/collect/issues/2401", "show")</f>
        <v>show</v>
      </c>
      <c r="G9205" t="str">
        <f>HYPERLINK("https://github.com/getodk/collect", "show")</f>
        <v>show</v>
      </c>
      <c r="H9205" t="str">
        <f>HYPERLINK("https://github.com/getodk/collect/releases", "show")</f>
        <v>show</v>
      </c>
      <c r="I9205">
        <v>1</v>
      </c>
      <c r="J9205">
        <v>1</v>
      </c>
      <c r="K9205">
        <v>1</v>
      </c>
      <c r="L9205">
        <v>0</v>
      </c>
      <c r="M9205" t="s">
        <v>59</v>
      </c>
    </row>
    <row r="9206" spans="1:13" hidden="1" x14ac:dyDescent="0.15">
      <c r="A9206" t="s">
        <v>28939</v>
      </c>
      <c r="B9206" t="s">
        <v>28940</v>
      </c>
      <c r="C9206" t="s">
        <v>28941</v>
      </c>
      <c r="D9206" t="s">
        <v>28942</v>
      </c>
      <c r="E9206">
        <v>13</v>
      </c>
      <c r="F9206" t="str">
        <f>HYPERLINK("https://github.com/commons-app/apps-android-commons/issues/1735", "show")</f>
        <v>show</v>
      </c>
      <c r="G9206" t="str">
        <f>HYPERLINK("https://github.com/commons-app/apps-android-commons", "show")</f>
        <v>show</v>
      </c>
      <c r="H9206" t="str">
        <f>HYPERLINK("https://github.com/commons-app/apps-android-commons/releases", "show")</f>
        <v>show</v>
      </c>
      <c r="I9206">
        <v>1</v>
      </c>
      <c r="J9206">
        <v>0</v>
      </c>
      <c r="K9206">
        <v>1</v>
      </c>
      <c r="L9206">
        <v>0</v>
      </c>
      <c r="M9206" t="s">
        <v>64</v>
      </c>
    </row>
    <row r="9207" spans="1:13" hidden="1" x14ac:dyDescent="0.15">
      <c r="A9207" t="s">
        <v>28943</v>
      </c>
      <c r="B9207" t="s">
        <v>28944</v>
      </c>
      <c r="C9207" t="s">
        <v>28945</v>
      </c>
      <c r="D9207" t="s">
        <v>28942</v>
      </c>
      <c r="E9207">
        <v>12</v>
      </c>
      <c r="F9207" t="str">
        <f>HYPERLINK("https://github.com/commons-app/apps-android-commons/issues/1734", "show")</f>
        <v>show</v>
      </c>
      <c r="G9207" t="str">
        <f>HYPERLINK("https://github.com/commons-app/apps-android-commons", "show")</f>
        <v>show</v>
      </c>
      <c r="H9207" t="str">
        <f>HYPERLINK("https://github.com/commons-app/apps-android-commons/releases", "show")</f>
        <v>show</v>
      </c>
      <c r="I9207">
        <v>1</v>
      </c>
      <c r="J9207">
        <v>0</v>
      </c>
      <c r="K9207">
        <v>1</v>
      </c>
      <c r="L9207">
        <v>0</v>
      </c>
      <c r="M9207" t="s">
        <v>64</v>
      </c>
    </row>
    <row r="9208" spans="1:13" hidden="1" x14ac:dyDescent="0.15">
      <c r="A9208" t="s">
        <v>28946</v>
      </c>
      <c r="B9208" t="s">
        <v>28947</v>
      </c>
      <c r="C9208" t="s">
        <v>28948</v>
      </c>
      <c r="D9208" t="s">
        <v>28949</v>
      </c>
      <c r="E9208">
        <v>4</v>
      </c>
      <c r="F9208" t="str">
        <f>HYPERLINK("https://github.com/fossasia/pslab-android/issues/1277", "show")</f>
        <v>show</v>
      </c>
      <c r="G9208" t="str">
        <f>HYPERLINK("https://github.com/fossasia/pslab-android", "show")</f>
        <v>show</v>
      </c>
      <c r="H9208" t="str">
        <f>HYPERLINK("https://github.com/fossasia/pslab-android/releases", "show")</f>
        <v>show</v>
      </c>
      <c r="I9208">
        <v>0</v>
      </c>
      <c r="J9208">
        <v>0</v>
      </c>
      <c r="K9208">
        <v>0</v>
      </c>
      <c r="L9208">
        <v>0</v>
      </c>
      <c r="M9208" t="s">
        <v>43</v>
      </c>
    </row>
    <row r="9209" spans="1:13" hidden="1" x14ac:dyDescent="0.15">
      <c r="A9209" t="s">
        <v>28950</v>
      </c>
      <c r="B9209" t="s">
        <v>28951</v>
      </c>
      <c r="C9209" t="s">
        <v>28952</v>
      </c>
      <c r="D9209" t="s">
        <v>28949</v>
      </c>
      <c r="E9209">
        <v>15</v>
      </c>
      <c r="F9209" t="str">
        <f>HYPERLINK("https://github.com/renyuneyun/Easer/issues/147", "show")</f>
        <v>show</v>
      </c>
      <c r="G9209" t="str">
        <f>HYPERLINK("https://github.com/renyuneyun/Easer", "show")</f>
        <v>show</v>
      </c>
      <c r="H9209" t="str">
        <f>HYPERLINK("https://github.com/renyuneyun/Easer/releases", "show")</f>
        <v>show</v>
      </c>
      <c r="I9209">
        <v>1</v>
      </c>
      <c r="J9209">
        <v>1</v>
      </c>
      <c r="K9209">
        <v>1</v>
      </c>
      <c r="L9209">
        <v>0</v>
      </c>
      <c r="M9209" t="s">
        <v>59</v>
      </c>
    </row>
    <row r="9210" spans="1:13" hidden="1" x14ac:dyDescent="0.15">
      <c r="A9210" t="s">
        <v>28953</v>
      </c>
      <c r="B9210" t="s">
        <v>28954</v>
      </c>
      <c r="C9210" t="s">
        <v>28955</v>
      </c>
      <c r="D9210" t="s">
        <v>28956</v>
      </c>
      <c r="E9210">
        <v>1</v>
      </c>
      <c r="F9210" t="str">
        <f>HYPERLINK("https://github.com/coding-blocks/Chatter/issues/117", "show")</f>
        <v>show</v>
      </c>
      <c r="G9210" t="str">
        <f>HYPERLINK("https://github.com/coding-blocks/Chatter", "show")</f>
        <v>show</v>
      </c>
      <c r="H9210" t="str">
        <f>HYPERLINK("https://github.com/coding-blocks/Chatter/releases", "show")</f>
        <v>show</v>
      </c>
      <c r="I9210">
        <v>1</v>
      </c>
      <c r="J9210">
        <v>0</v>
      </c>
      <c r="K9210">
        <v>1</v>
      </c>
      <c r="L9210">
        <v>0</v>
      </c>
      <c r="M9210" t="s">
        <v>64</v>
      </c>
    </row>
    <row r="9211" spans="1:13" hidden="1" x14ac:dyDescent="0.15">
      <c r="A9211" t="s">
        <v>28957</v>
      </c>
      <c r="B9211" t="s">
        <v>28958</v>
      </c>
      <c r="C9211" t="s">
        <v>28959</v>
      </c>
      <c r="D9211" t="s">
        <v>28956</v>
      </c>
      <c r="E9211">
        <v>58</v>
      </c>
      <c r="F9211" t="str">
        <f>HYPERLINK("https://github.com/matejpoliacek/GalileoGameApp/issues/19", "show")</f>
        <v>show</v>
      </c>
      <c r="G9211" t="str">
        <f>HYPERLINK("https://github.com/matejpoliacek/GalileoGameApp", "show")</f>
        <v>show</v>
      </c>
      <c r="H9211" t="str">
        <f>HYPERLINK("https://github.com/matejpoliacek/GalileoGameApp/releases", "show")</f>
        <v>show</v>
      </c>
      <c r="I9211">
        <v>1</v>
      </c>
      <c r="J9211">
        <v>0</v>
      </c>
      <c r="K9211">
        <v>0</v>
      </c>
      <c r="L9211">
        <v>0</v>
      </c>
      <c r="M9211" t="s">
        <v>17</v>
      </c>
    </row>
    <row r="9212" spans="1:13" hidden="1" x14ac:dyDescent="0.15">
      <c r="A9212" t="s">
        <v>28960</v>
      </c>
      <c r="B9212" t="s">
        <v>28961</v>
      </c>
      <c r="C9212" t="s">
        <v>28962</v>
      </c>
      <c r="D9212" t="s">
        <v>28956</v>
      </c>
      <c r="E9212">
        <v>41</v>
      </c>
      <c r="F9212" t="str">
        <f>HYPERLINK("https://github.com/JDLK7/ChatbotClient-TFG/issues/4", "show")</f>
        <v>show</v>
      </c>
      <c r="G9212" t="str">
        <f>HYPERLINK("https://github.com/JDLK7/ChatbotClient-TFG", "show")</f>
        <v>show</v>
      </c>
      <c r="H9212" t="str">
        <f>HYPERLINK("https://github.com/JDLK7/ChatbotClient-TFG/releases", "show")</f>
        <v>show</v>
      </c>
      <c r="I9212">
        <v>0</v>
      </c>
      <c r="J9212">
        <v>0</v>
      </c>
      <c r="K9212">
        <v>0</v>
      </c>
      <c r="L9212">
        <v>0</v>
      </c>
      <c r="M9212" t="s">
        <v>43</v>
      </c>
    </row>
    <row r="9213" spans="1:13" hidden="1" x14ac:dyDescent="0.15">
      <c r="A9213" t="s">
        <v>28963</v>
      </c>
      <c r="B9213" t="s">
        <v>28964</v>
      </c>
      <c r="C9213" t="s">
        <v>28965</v>
      </c>
      <c r="D9213" t="s">
        <v>28966</v>
      </c>
      <c r="E9213">
        <v>13</v>
      </c>
      <c r="F9213" t="str">
        <f>HYPERLINK("https://github.com/google/ExoPlayer/issues/4535", "show")</f>
        <v>show</v>
      </c>
      <c r="G9213" t="str">
        <f>HYPERLINK("https://github.com/google/ExoPlayer", "show")</f>
        <v>show</v>
      </c>
      <c r="H9213" t="str">
        <f>HYPERLINK("https://github.com/google/ExoPlayer/releases", "show")</f>
        <v>show</v>
      </c>
      <c r="I9213">
        <v>1</v>
      </c>
      <c r="J9213">
        <v>0</v>
      </c>
      <c r="K9213">
        <v>0</v>
      </c>
      <c r="L9213">
        <v>0</v>
      </c>
      <c r="M9213" t="s">
        <v>17</v>
      </c>
    </row>
    <row r="9214" spans="1:13" hidden="1" x14ac:dyDescent="0.15">
      <c r="A9214" t="s">
        <v>28967</v>
      </c>
      <c r="B9214" t="s">
        <v>28968</v>
      </c>
      <c r="C9214" t="s">
        <v>28969</v>
      </c>
      <c r="D9214" t="s">
        <v>28966</v>
      </c>
      <c r="E9214">
        <v>0</v>
      </c>
      <c r="F9214" t="str">
        <f>HYPERLINK("https://github.com/project-travel-mate/Travel-Mate/issues/308", "show")</f>
        <v>show</v>
      </c>
      <c r="G9214" t="str">
        <f>HYPERLINK("https://github.com/project-travel-mate/Travel-Mate", "show")</f>
        <v>show</v>
      </c>
      <c r="H9214" t="str">
        <f>HYPERLINK("https://github.com/project-travel-mate/Travel-Mate/releases", "show")</f>
        <v>show</v>
      </c>
      <c r="I9214">
        <v>0</v>
      </c>
      <c r="J9214">
        <v>0</v>
      </c>
      <c r="K9214">
        <v>1</v>
      </c>
      <c r="L9214">
        <v>0</v>
      </c>
      <c r="M9214" t="s">
        <v>122</v>
      </c>
    </row>
    <row r="9215" spans="1:13" hidden="1" x14ac:dyDescent="0.15">
      <c r="A9215" t="s">
        <v>28970</v>
      </c>
      <c r="B9215" t="s">
        <v>28971</v>
      </c>
      <c r="C9215" t="s">
        <v>28972</v>
      </c>
      <c r="D9215" t="s">
        <v>28973</v>
      </c>
      <c r="E9215">
        <v>5</v>
      </c>
      <c r="F9215" t="str">
        <f>HYPERLINK("https://github.com/mapbox/mapbox-events-android/issues/184", "show")</f>
        <v>show</v>
      </c>
      <c r="G9215" t="str">
        <f>HYPERLINK("https://github.com/mapbox/mapbox-events-android", "show")</f>
        <v>show</v>
      </c>
      <c r="H9215" t="str">
        <f>HYPERLINK("https://github.com/mapbox/mapbox-events-android/releases", "show")</f>
        <v>show</v>
      </c>
      <c r="I9215">
        <v>1</v>
      </c>
      <c r="J9215">
        <v>0</v>
      </c>
      <c r="K9215">
        <v>0</v>
      </c>
      <c r="L9215">
        <v>0</v>
      </c>
      <c r="M9215" t="s">
        <v>17</v>
      </c>
    </row>
    <row r="9216" spans="1:13" hidden="1" x14ac:dyDescent="0.15">
      <c r="A9216" t="s">
        <v>28974</v>
      </c>
      <c r="B9216" t="s">
        <v>28975</v>
      </c>
      <c r="C9216" t="s">
        <v>28976</v>
      </c>
      <c r="D9216" t="s">
        <v>28977</v>
      </c>
      <c r="E9216">
        <v>631</v>
      </c>
      <c r="F9216" t="str">
        <f>HYPERLINK("https://github.com/Karumi/Dexter/issues/212", "show")</f>
        <v>show</v>
      </c>
      <c r="G9216" t="str">
        <f>HYPERLINK("https://github.com/Karumi/Dexter", "show")</f>
        <v>show</v>
      </c>
      <c r="H9216" t="str">
        <f>HYPERLINK("https://github.com/Karumi/Dexter/releases", "show")</f>
        <v>show</v>
      </c>
      <c r="I9216">
        <v>0</v>
      </c>
      <c r="J9216">
        <v>0</v>
      </c>
      <c r="K9216">
        <v>0</v>
      </c>
      <c r="L9216">
        <v>0</v>
      </c>
      <c r="M9216" t="s">
        <v>43</v>
      </c>
    </row>
    <row r="9217" spans="1:13" hidden="1" x14ac:dyDescent="0.15">
      <c r="A9217" t="s">
        <v>28978</v>
      </c>
      <c r="B9217" t="s">
        <v>28979</v>
      </c>
      <c r="C9217" t="s">
        <v>504</v>
      </c>
      <c r="D9217" t="s">
        <v>28977</v>
      </c>
      <c r="E9217">
        <v>0</v>
      </c>
      <c r="F9217" t="str">
        <f>HYPERLINK("https://github.com/itachi1706/SingBuses/issues/112", "show")</f>
        <v>show</v>
      </c>
      <c r="G9217" t="str">
        <f>HYPERLINK("https://github.com/itachi1706/SingBuses", "show")</f>
        <v>show</v>
      </c>
      <c r="H9217" t="str">
        <f>HYPERLINK("https://github.com/itachi1706/SingBuses/releases", "show")</f>
        <v>show</v>
      </c>
      <c r="I9217">
        <v>1</v>
      </c>
      <c r="J9217">
        <v>0</v>
      </c>
      <c r="K9217">
        <v>0</v>
      </c>
      <c r="L9217">
        <v>0</v>
      </c>
      <c r="M9217" t="s">
        <v>17</v>
      </c>
    </row>
    <row r="9218" spans="1:13" hidden="1" x14ac:dyDescent="0.15">
      <c r="A9218" t="s">
        <v>28980</v>
      </c>
      <c r="B9218" t="s">
        <v>28981</v>
      </c>
      <c r="C9218" t="s">
        <v>28982</v>
      </c>
      <c r="D9218" t="s">
        <v>28977</v>
      </c>
      <c r="E9218">
        <v>0</v>
      </c>
      <c r="F9218" t="str">
        <f>HYPERLINK("https://github.com/lineargs/WatchNextApp/issues/35", "show")</f>
        <v>show</v>
      </c>
      <c r="G9218" t="str">
        <f>HYPERLINK("https://github.com/lineargs/WatchNextApp", "show")</f>
        <v>show</v>
      </c>
      <c r="H9218" t="str">
        <f>HYPERLINK("https://github.com/lineargs/WatchNextApp/releases", "show")</f>
        <v>show</v>
      </c>
      <c r="I9218">
        <v>1</v>
      </c>
      <c r="J9218">
        <v>0</v>
      </c>
      <c r="K9218">
        <v>0</v>
      </c>
      <c r="L9218">
        <v>0</v>
      </c>
      <c r="M9218" t="s">
        <v>17</v>
      </c>
    </row>
    <row r="9219" spans="1:13" hidden="1" x14ac:dyDescent="0.15">
      <c r="A9219" t="s">
        <v>28983</v>
      </c>
      <c r="B9219" t="s">
        <v>28984</v>
      </c>
      <c r="C9219" t="s">
        <v>28985</v>
      </c>
      <c r="D9219" t="s">
        <v>28986</v>
      </c>
      <c r="E9219">
        <v>395</v>
      </c>
      <c r="F9219" t="str">
        <f>HYPERLINK("https://github.com/USDepartmentofLabor/Child-Labor-Android/issues/71", "show")</f>
        <v>show</v>
      </c>
      <c r="G9219" t="str">
        <f>HYPERLINK("https://github.com/USDepartmentofLabor/Child-Labor-Android", "show")</f>
        <v>show</v>
      </c>
      <c r="H9219" t="str">
        <f>HYPERLINK("https://github.com/USDepartmentofLabor/Child-Labor-Android/releases", "show")</f>
        <v>show</v>
      </c>
      <c r="I9219">
        <v>1</v>
      </c>
      <c r="J9219">
        <v>0</v>
      </c>
      <c r="K9219">
        <v>0</v>
      </c>
      <c r="L9219">
        <v>0</v>
      </c>
      <c r="M9219" t="s">
        <v>17</v>
      </c>
    </row>
    <row r="9220" spans="1:13" hidden="1" x14ac:dyDescent="0.15">
      <c r="A9220" t="s">
        <v>28987</v>
      </c>
      <c r="B9220" t="s">
        <v>28988</v>
      </c>
      <c r="C9220" t="s">
        <v>28989</v>
      </c>
      <c r="D9220" t="s">
        <v>28986</v>
      </c>
      <c r="E9220">
        <v>3</v>
      </c>
      <c r="F9220" t="str">
        <f>HYPERLINK("https://github.com/neXenio/BLE-Indoor-Positioning/issues/105", "show")</f>
        <v>show</v>
      </c>
      <c r="G9220" t="str">
        <f>HYPERLINK("https://github.com/neXenio/BLE-Indoor-Positioning", "show")</f>
        <v>show</v>
      </c>
      <c r="H9220" t="str">
        <f>HYPERLINK("https://github.com/neXenio/BLE-Indoor-Positioning/releases", "show")</f>
        <v>show</v>
      </c>
      <c r="I9220">
        <v>0</v>
      </c>
      <c r="J9220">
        <v>0</v>
      </c>
      <c r="K9220">
        <v>0</v>
      </c>
      <c r="L9220">
        <v>0</v>
      </c>
      <c r="M9220" t="s">
        <v>43</v>
      </c>
    </row>
    <row r="9221" spans="1:13" x14ac:dyDescent="0.15">
      <c r="A9221" t="s">
        <v>28990</v>
      </c>
      <c r="B9221" t="s">
        <v>28991</v>
      </c>
      <c r="C9221" t="s">
        <v>28992</v>
      </c>
      <c r="D9221" t="s">
        <v>28986</v>
      </c>
      <c r="E9221">
        <v>77</v>
      </c>
      <c r="F9221" t="str">
        <f>HYPERLINK("https://github.com/MozillaReality/FirefoxReality/issues/167", "show")</f>
        <v>show</v>
      </c>
      <c r="G9221" t="str">
        <f>HYPERLINK("https://github.com/MozillaReality/FirefoxReality", "show")</f>
        <v>show</v>
      </c>
      <c r="H9221" t="str">
        <f>HYPERLINK("https://github.com/MozillaReality/FirefoxReality/releases", "show")</f>
        <v>show</v>
      </c>
      <c r="I9221">
        <v>0</v>
      </c>
      <c r="J9221">
        <v>1</v>
      </c>
      <c r="K9221">
        <v>0</v>
      </c>
      <c r="L9221">
        <v>0</v>
      </c>
      <c r="M9221" t="s">
        <v>139</v>
      </c>
    </row>
    <row r="9222" spans="1:13" x14ac:dyDescent="0.15">
      <c r="A9222" t="s">
        <v>28993</v>
      </c>
      <c r="B9222" t="s">
        <v>28994</v>
      </c>
      <c r="C9222" t="s">
        <v>28995</v>
      </c>
      <c r="D9222" t="s">
        <v>28986</v>
      </c>
      <c r="E9222">
        <v>71</v>
      </c>
      <c r="F9222" t="str">
        <f>HYPERLINK("https://github.com/MozillaReality/FirefoxReality/issues/166", "show")</f>
        <v>show</v>
      </c>
      <c r="G9222" t="str">
        <f>HYPERLINK("https://github.com/MozillaReality/FirefoxReality", "show")</f>
        <v>show</v>
      </c>
      <c r="H9222" t="str">
        <f>HYPERLINK("https://github.com/MozillaReality/FirefoxReality/releases", "show")</f>
        <v>show</v>
      </c>
      <c r="I9222">
        <v>0</v>
      </c>
      <c r="J9222">
        <v>1</v>
      </c>
      <c r="K9222">
        <v>0</v>
      </c>
      <c r="L9222">
        <v>0</v>
      </c>
      <c r="M9222" t="s">
        <v>139</v>
      </c>
    </row>
    <row r="9223" spans="1:13" hidden="1" x14ac:dyDescent="0.15">
      <c r="A9223" t="s">
        <v>28996</v>
      </c>
      <c r="B9223" t="s">
        <v>28997</v>
      </c>
      <c r="C9223" t="s">
        <v>28998</v>
      </c>
      <c r="D9223" t="s">
        <v>28999</v>
      </c>
      <c r="E9223">
        <v>25</v>
      </c>
      <c r="F9223" t="str">
        <f>HYPERLINK("https://github.com/mapbox/mapbox-events-android/issues/181", "show")</f>
        <v>show</v>
      </c>
      <c r="G9223" t="str">
        <f>HYPERLINK("https://github.com/mapbox/mapbox-events-android", "show")</f>
        <v>show</v>
      </c>
      <c r="H9223" t="str">
        <f>HYPERLINK("https://github.com/mapbox/mapbox-events-android/releases", "show")</f>
        <v>show</v>
      </c>
      <c r="I9223">
        <v>1</v>
      </c>
      <c r="J9223">
        <v>0</v>
      </c>
      <c r="K9223">
        <v>1</v>
      </c>
      <c r="L9223">
        <v>0</v>
      </c>
      <c r="M9223" t="s">
        <v>64</v>
      </c>
    </row>
    <row r="9224" spans="1:13" hidden="1" x14ac:dyDescent="0.15">
      <c r="A9224" t="s">
        <v>29000</v>
      </c>
      <c r="B9224" t="s">
        <v>29001</v>
      </c>
      <c r="C9224" t="s">
        <v>29002</v>
      </c>
      <c r="D9224" t="s">
        <v>29003</v>
      </c>
      <c r="E9224">
        <v>870</v>
      </c>
      <c r="F9224" t="str">
        <f>HYPERLINK("https://github.com/iBotPeaches/Apktool/issues/1838", "show")</f>
        <v>show</v>
      </c>
      <c r="G9224" t="str">
        <f>HYPERLINK("https://github.com/iBotPeaches/Apktool", "show")</f>
        <v>show</v>
      </c>
      <c r="H9224" t="str">
        <f>HYPERLINK("https://github.com/iBotPeaches/Apktool/releases", "show")</f>
        <v>show</v>
      </c>
      <c r="I9224">
        <v>0</v>
      </c>
      <c r="J9224">
        <v>1</v>
      </c>
      <c r="K9224">
        <v>1</v>
      </c>
      <c r="L9224">
        <v>0</v>
      </c>
      <c r="M9224" t="s">
        <v>699</v>
      </c>
    </row>
    <row r="9225" spans="1:13" hidden="1" x14ac:dyDescent="0.15">
      <c r="A9225" t="s">
        <v>29004</v>
      </c>
      <c r="B9225" t="s">
        <v>29005</v>
      </c>
      <c r="C9225" t="s">
        <v>29006</v>
      </c>
      <c r="D9225" t="s">
        <v>29003</v>
      </c>
      <c r="E9225">
        <v>94</v>
      </c>
      <c r="F9225" t="str">
        <f>HYPERLINK("https://github.com/recruit-lifestyle/FloatingView/issues/89", "show")</f>
        <v>show</v>
      </c>
      <c r="G9225" t="str">
        <f>HYPERLINK("https://github.com/recruit-lifestyle/FloatingView", "show")</f>
        <v>show</v>
      </c>
      <c r="H9225" t="str">
        <f>HYPERLINK("https://github.com/recruit-lifestyle/FloatingView/releases", "show")</f>
        <v>show</v>
      </c>
      <c r="I9225">
        <v>0</v>
      </c>
      <c r="J9225">
        <v>0</v>
      </c>
      <c r="K9225">
        <v>1</v>
      </c>
      <c r="L9225">
        <v>0</v>
      </c>
      <c r="M9225" t="s">
        <v>122</v>
      </c>
    </row>
    <row r="9226" spans="1:13" hidden="1" x14ac:dyDescent="0.15">
      <c r="A9226" t="s">
        <v>29007</v>
      </c>
      <c r="B9226" t="s">
        <v>29008</v>
      </c>
      <c r="C9226" t="s">
        <v>29009</v>
      </c>
      <c r="D9226" t="s">
        <v>29003</v>
      </c>
      <c r="E9226">
        <v>14</v>
      </c>
      <c r="F9226" t="str">
        <f>HYPERLINK("https://github.com/WatShout/watshout-android/issues/51", "show")</f>
        <v>show</v>
      </c>
      <c r="G9226" t="str">
        <f>HYPERLINK("https://github.com/WatShout/watshout-android", "show")</f>
        <v>show</v>
      </c>
      <c r="H9226" t="str">
        <f>HYPERLINK("https://github.com/WatShout/watshout-android/releases", "show")</f>
        <v>show</v>
      </c>
      <c r="I9226">
        <v>1</v>
      </c>
      <c r="J9226">
        <v>0</v>
      </c>
      <c r="K9226">
        <v>0</v>
      </c>
      <c r="L9226">
        <v>0</v>
      </c>
      <c r="M9226" t="s">
        <v>17</v>
      </c>
    </row>
    <row r="9227" spans="1:13" hidden="1" x14ac:dyDescent="0.15">
      <c r="A9227" t="s">
        <v>29010</v>
      </c>
      <c r="B9227" t="s">
        <v>29011</v>
      </c>
      <c r="C9227" t="s">
        <v>29012</v>
      </c>
      <c r="D9227" t="s">
        <v>29003</v>
      </c>
      <c r="E9227">
        <v>14</v>
      </c>
      <c r="F9227" t="str">
        <f>HYPERLINK("https://github.com/WatShout/watshout-android/issues/49", "show")</f>
        <v>show</v>
      </c>
      <c r="G9227" t="str">
        <f>HYPERLINK("https://github.com/WatShout/watshout-android", "show")</f>
        <v>show</v>
      </c>
      <c r="H9227" t="str">
        <f>HYPERLINK("https://github.com/WatShout/watshout-android/releases", "show")</f>
        <v>show</v>
      </c>
      <c r="I9227">
        <v>1</v>
      </c>
      <c r="J9227">
        <v>0</v>
      </c>
      <c r="K9227">
        <v>0</v>
      </c>
      <c r="L9227">
        <v>0</v>
      </c>
      <c r="M9227" t="s">
        <v>17</v>
      </c>
    </row>
    <row r="9228" spans="1:13" hidden="1" x14ac:dyDescent="0.15">
      <c r="A9228" t="s">
        <v>29013</v>
      </c>
      <c r="B9228" t="s">
        <v>29014</v>
      </c>
      <c r="C9228" t="s">
        <v>29015</v>
      </c>
      <c r="D9228" t="s">
        <v>29016</v>
      </c>
      <c r="E9228">
        <v>5</v>
      </c>
      <c r="F9228" t="str">
        <f>HYPERLINK("https://github.com/mapbox/mapbox-events-android/issues/178", "show")</f>
        <v>show</v>
      </c>
      <c r="G9228" t="str">
        <f>HYPERLINK("https://github.com/mapbox/mapbox-events-android", "show")</f>
        <v>show</v>
      </c>
      <c r="H9228" t="str">
        <f>HYPERLINK("https://github.com/mapbox/mapbox-events-android/releases", "show")</f>
        <v>show</v>
      </c>
      <c r="I9228">
        <v>1</v>
      </c>
      <c r="J9228">
        <v>0</v>
      </c>
      <c r="K9228">
        <v>0</v>
      </c>
      <c r="L9228">
        <v>0</v>
      </c>
      <c r="M9228" t="s">
        <v>17</v>
      </c>
    </row>
    <row r="9229" spans="1:13" hidden="1" x14ac:dyDescent="0.15">
      <c r="A9229" t="s">
        <v>29017</v>
      </c>
      <c r="B9229" t="s">
        <v>29018</v>
      </c>
      <c r="C9229" t="s">
        <v>29019</v>
      </c>
      <c r="D9229" t="s">
        <v>29016</v>
      </c>
      <c r="E9229">
        <v>1</v>
      </c>
      <c r="F9229" t="str">
        <f>HYPERLINK("https://github.com/fossasia/pslab-android/issues/1215", "show")</f>
        <v>show</v>
      </c>
      <c r="G9229" t="str">
        <f>HYPERLINK("https://github.com/fossasia/pslab-android", "show")</f>
        <v>show</v>
      </c>
      <c r="H9229" t="str">
        <f>HYPERLINK("https://github.com/fossasia/pslab-android/releases", "show")</f>
        <v>show</v>
      </c>
      <c r="I9229">
        <v>1</v>
      </c>
      <c r="J9229">
        <v>0</v>
      </c>
      <c r="K9229">
        <v>1</v>
      </c>
      <c r="L9229">
        <v>1</v>
      </c>
      <c r="M9229" t="s">
        <v>1259</v>
      </c>
    </row>
    <row r="9230" spans="1:13" hidden="1" x14ac:dyDescent="0.15">
      <c r="A9230" t="s">
        <v>29020</v>
      </c>
      <c r="B9230" t="s">
        <v>29021</v>
      </c>
      <c r="C9230" t="s">
        <v>29022</v>
      </c>
      <c r="D9230" t="s">
        <v>29016</v>
      </c>
      <c r="E9230">
        <v>0</v>
      </c>
      <c r="F9230" t="str">
        <f>HYPERLINK("https://github.com/flyve-mdm/android-mdm-agent/issues/501", "show")</f>
        <v>show</v>
      </c>
      <c r="G9230" t="str">
        <f>HYPERLINK("https://github.com/flyve-mdm/android-mdm-agent", "show")</f>
        <v>show</v>
      </c>
      <c r="H9230" t="str">
        <f>HYPERLINK("https://github.com/flyve-mdm/android-mdm-agent/releases", "show")</f>
        <v>show</v>
      </c>
      <c r="I9230">
        <v>1</v>
      </c>
      <c r="J9230">
        <v>1</v>
      </c>
      <c r="K9230">
        <v>0</v>
      </c>
      <c r="L9230">
        <v>1</v>
      </c>
      <c r="M9230" t="s">
        <v>1894</v>
      </c>
    </row>
    <row r="9231" spans="1:13" hidden="1" x14ac:dyDescent="0.15">
      <c r="A9231" t="s">
        <v>29023</v>
      </c>
      <c r="B9231" t="s">
        <v>29024</v>
      </c>
      <c r="C9231" t="s">
        <v>29025</v>
      </c>
      <c r="D9231" t="s">
        <v>29026</v>
      </c>
      <c r="E9231">
        <v>1</v>
      </c>
      <c r="F9231" t="str">
        <f>HYPERLINK("https://github.com/getodk/collect/issues/2360", "show")</f>
        <v>show</v>
      </c>
      <c r="G9231" t="str">
        <f>HYPERLINK("https://github.com/getodk/collect", "show")</f>
        <v>show</v>
      </c>
      <c r="H9231" t="str">
        <f>HYPERLINK("https://github.com/getodk/collect/releases", "show")</f>
        <v>show</v>
      </c>
      <c r="I9231">
        <v>1</v>
      </c>
      <c r="J9231">
        <v>1</v>
      </c>
      <c r="K9231">
        <v>0</v>
      </c>
      <c r="L9231">
        <v>0</v>
      </c>
      <c r="M9231" t="s">
        <v>48</v>
      </c>
    </row>
    <row r="9232" spans="1:13" hidden="1" x14ac:dyDescent="0.15">
      <c r="A9232" t="s">
        <v>29027</v>
      </c>
      <c r="B9232" t="s">
        <v>29028</v>
      </c>
      <c r="C9232" t="s">
        <v>29029</v>
      </c>
      <c r="D9232" t="s">
        <v>29030</v>
      </c>
      <c r="E9232">
        <v>9</v>
      </c>
      <c r="F9232" t="str">
        <f>HYPERLINK("https://github.com/oliexdev/openScale/issues/306", "show")</f>
        <v>show</v>
      </c>
      <c r="G9232" t="str">
        <f>HYPERLINK("https://github.com/oliexdev/openScale", "show")</f>
        <v>show</v>
      </c>
      <c r="H9232" t="str">
        <f>HYPERLINK("https://github.com/oliexdev/openScale/releases", "show")</f>
        <v>show</v>
      </c>
      <c r="I9232">
        <v>1</v>
      </c>
      <c r="J9232">
        <v>0</v>
      </c>
      <c r="K9232">
        <v>1</v>
      </c>
      <c r="L9232">
        <v>0</v>
      </c>
      <c r="M9232" t="s">
        <v>64</v>
      </c>
    </row>
    <row r="9233" spans="1:13" hidden="1" x14ac:dyDescent="0.15">
      <c r="A9233" t="s">
        <v>29031</v>
      </c>
      <c r="B9233" t="s">
        <v>29032</v>
      </c>
      <c r="C9233" t="s">
        <v>29033</v>
      </c>
      <c r="D9233" t="s">
        <v>29030</v>
      </c>
      <c r="E9233">
        <v>33</v>
      </c>
      <c r="F9233" t="str">
        <f>HYPERLINK("https://github.com/processing/processing-android/issues/473", "show")</f>
        <v>show</v>
      </c>
      <c r="G9233" t="str">
        <f>HYPERLINK("https://github.com/processing/processing-android", "show")</f>
        <v>show</v>
      </c>
      <c r="H9233" t="str">
        <f>HYPERLINK("https://github.com/processing/processing-android/releases", "show")</f>
        <v>show</v>
      </c>
      <c r="I9233">
        <v>1</v>
      </c>
      <c r="J9233">
        <v>0</v>
      </c>
      <c r="K9233">
        <v>0</v>
      </c>
      <c r="L9233">
        <v>0</v>
      </c>
      <c r="M9233" t="s">
        <v>17</v>
      </c>
    </row>
    <row r="9234" spans="1:13" hidden="1" x14ac:dyDescent="0.15">
      <c r="A9234" t="s">
        <v>29034</v>
      </c>
      <c r="B9234" t="s">
        <v>29035</v>
      </c>
      <c r="D9234" t="s">
        <v>29030</v>
      </c>
      <c r="E9234">
        <v>23</v>
      </c>
      <c r="F9234" t="str">
        <f>HYPERLINK("https://github.com/tchapgouv/tchap-android-legacy/issues/323", "show")</f>
        <v>show</v>
      </c>
      <c r="G9234" t="str">
        <f>HYPERLINK("https://github.com/tchapgouv/tchap-android-legacy", "show")</f>
        <v>show</v>
      </c>
      <c r="H9234" t="str">
        <f>HYPERLINK("https://github.com/tchapgouv/tchap-android-legacy/releases", "show")</f>
        <v>show</v>
      </c>
      <c r="I9234">
        <v>1</v>
      </c>
      <c r="J9234">
        <v>0</v>
      </c>
      <c r="K9234">
        <v>0</v>
      </c>
      <c r="L9234">
        <v>0</v>
      </c>
      <c r="M9234" t="s">
        <v>17</v>
      </c>
    </row>
    <row r="9235" spans="1:13" hidden="1" x14ac:dyDescent="0.15">
      <c r="A9235" t="s">
        <v>29036</v>
      </c>
      <c r="B9235" t="s">
        <v>29037</v>
      </c>
      <c r="C9235" t="s">
        <v>29038</v>
      </c>
      <c r="D9235" t="s">
        <v>29030</v>
      </c>
      <c r="E9235">
        <v>53</v>
      </c>
      <c r="F9235" t="str">
        <f>HYPERLINK("https://github.com/nikita36078/J2ME-Loader/issues/354", "show")</f>
        <v>show</v>
      </c>
      <c r="G9235" t="str">
        <f>HYPERLINK("https://github.com/nikita36078/J2ME-Loader", "show")</f>
        <v>show</v>
      </c>
      <c r="H9235" t="str">
        <f>HYPERLINK("https://github.com/nikita36078/J2ME-Loader/releases", "show")</f>
        <v>show</v>
      </c>
      <c r="I9235">
        <v>1</v>
      </c>
      <c r="J9235">
        <v>0</v>
      </c>
      <c r="K9235">
        <v>0</v>
      </c>
      <c r="L9235">
        <v>0</v>
      </c>
      <c r="M9235" t="s">
        <v>17</v>
      </c>
    </row>
    <row r="9236" spans="1:13" hidden="1" x14ac:dyDescent="0.15">
      <c r="A9236" t="s">
        <v>29039</v>
      </c>
      <c r="B9236" t="s">
        <v>29040</v>
      </c>
      <c r="C9236" t="s">
        <v>29041</v>
      </c>
      <c r="D9236" t="s">
        <v>29030</v>
      </c>
      <c r="E9236">
        <v>242</v>
      </c>
      <c r="F9236" t="str">
        <f>HYPERLINK("https://github.com/k9mail/k-9/issues/3493", "show")</f>
        <v>show</v>
      </c>
      <c r="G9236" t="str">
        <f>HYPERLINK("https://github.com/k9mail/k-9", "show")</f>
        <v>show</v>
      </c>
      <c r="H9236" t="str">
        <f>HYPERLINK("https://github.com/k9mail/k-9/releases", "show")</f>
        <v>show</v>
      </c>
      <c r="I9236">
        <v>1</v>
      </c>
      <c r="J9236">
        <v>1</v>
      </c>
      <c r="K9236">
        <v>0</v>
      </c>
      <c r="L9236">
        <v>0</v>
      </c>
      <c r="M9236" t="s">
        <v>48</v>
      </c>
    </row>
    <row r="9237" spans="1:13" hidden="1" x14ac:dyDescent="0.15">
      <c r="A9237" t="s">
        <v>29042</v>
      </c>
      <c r="B9237" t="s">
        <v>29043</v>
      </c>
      <c r="C9237" t="s">
        <v>29044</v>
      </c>
      <c r="D9237" t="s">
        <v>29030</v>
      </c>
      <c r="E9237">
        <v>5</v>
      </c>
      <c r="F9237" t="str">
        <f>HYPERLINK("https://github.com/ThmmyNoLife/mTHMMY/issues/26", "show")</f>
        <v>show</v>
      </c>
      <c r="G9237" t="str">
        <f>HYPERLINK("https://github.com/ThmmyNoLife/mTHMMY", "show")</f>
        <v>show</v>
      </c>
      <c r="H9237" t="str">
        <f>HYPERLINK("https://github.com/ThmmyNoLife/mTHMMY/releases", "show")</f>
        <v>show</v>
      </c>
      <c r="I9237">
        <v>1</v>
      </c>
      <c r="J9237">
        <v>0</v>
      </c>
      <c r="K9237">
        <v>0</v>
      </c>
      <c r="L9237">
        <v>0</v>
      </c>
      <c r="M9237" t="s">
        <v>17</v>
      </c>
    </row>
    <row r="9238" spans="1:13" hidden="1" x14ac:dyDescent="0.15">
      <c r="A9238" t="s">
        <v>29045</v>
      </c>
      <c r="B9238" t="s">
        <v>9639</v>
      </c>
      <c r="C9238" t="s">
        <v>29046</v>
      </c>
      <c r="D9238" t="s">
        <v>29030</v>
      </c>
      <c r="E9238">
        <v>0</v>
      </c>
      <c r="F9238" t="str">
        <f>HYPERLINK("https://github.com/StAResComp/sifids/issues/176", "show")</f>
        <v>show</v>
      </c>
      <c r="G9238" t="str">
        <f>HYPERLINK("https://github.com/StAResComp/sifids", "show")</f>
        <v>show</v>
      </c>
      <c r="H9238" t="str">
        <f>HYPERLINK("https://github.com/StAResComp/sifids/releases", "show")</f>
        <v>show</v>
      </c>
      <c r="I9238">
        <v>1</v>
      </c>
      <c r="J9238">
        <v>1</v>
      </c>
      <c r="K9238">
        <v>0</v>
      </c>
      <c r="L9238">
        <v>0</v>
      </c>
      <c r="M9238" t="s">
        <v>48</v>
      </c>
    </row>
    <row r="9239" spans="1:13" hidden="1" x14ac:dyDescent="0.15">
      <c r="A9239" t="s">
        <v>29047</v>
      </c>
      <c r="B9239" t="s">
        <v>29048</v>
      </c>
      <c r="C9239" t="s">
        <v>29049</v>
      </c>
      <c r="D9239" t="s">
        <v>29030</v>
      </c>
      <c r="E9239">
        <v>4</v>
      </c>
      <c r="F9239" t="str">
        <f>HYPERLINK("https://github.com/project-travel-mate/Travel-Mate/issues/225", "show")</f>
        <v>show</v>
      </c>
      <c r="G9239" t="str">
        <f>HYPERLINK("https://github.com/project-travel-mate/Travel-Mate", "show")</f>
        <v>show</v>
      </c>
      <c r="H9239" t="str">
        <f>HYPERLINK("https://github.com/project-travel-mate/Travel-Mate/releases", "show")</f>
        <v>show</v>
      </c>
      <c r="I9239">
        <v>0</v>
      </c>
      <c r="J9239">
        <v>0</v>
      </c>
      <c r="K9239">
        <v>0</v>
      </c>
      <c r="L9239">
        <v>0</v>
      </c>
      <c r="M9239" t="s">
        <v>43</v>
      </c>
    </row>
    <row r="9240" spans="1:13" hidden="1" x14ac:dyDescent="0.15">
      <c r="A9240" t="s">
        <v>29050</v>
      </c>
      <c r="B9240" t="s">
        <v>29051</v>
      </c>
      <c r="D9240" t="s">
        <v>29052</v>
      </c>
      <c r="E9240">
        <v>2</v>
      </c>
      <c r="F9240" t="str">
        <f>HYPERLINK("https://github.com/Gear61/Random-Number-Generator/issues/27", "show")</f>
        <v>show</v>
      </c>
      <c r="G9240" t="str">
        <f>HYPERLINK("https://github.com/Gear61/Random-Number-Generator", "show")</f>
        <v>show</v>
      </c>
      <c r="H9240" t="str">
        <f>HYPERLINK("https://github.com/Gear61/Random-Number-Generator/releases", "show")</f>
        <v>show</v>
      </c>
      <c r="I9240">
        <v>0</v>
      </c>
      <c r="J9240">
        <v>0</v>
      </c>
      <c r="K9240">
        <v>0</v>
      </c>
      <c r="L9240">
        <v>0</v>
      </c>
      <c r="M9240" t="s">
        <v>43</v>
      </c>
    </row>
    <row r="9241" spans="1:13" hidden="1" x14ac:dyDescent="0.15">
      <c r="A9241" t="s">
        <v>29053</v>
      </c>
      <c r="B9241" t="s">
        <v>29054</v>
      </c>
      <c r="C9241" t="s">
        <v>29055</v>
      </c>
      <c r="D9241" t="s">
        <v>29056</v>
      </c>
      <c r="E9241">
        <v>769</v>
      </c>
      <c r="F9241" t="str">
        <f>HYPERLINK("https://github.com/commons-app/apps-android-commons/issues/1694", "show")</f>
        <v>show</v>
      </c>
      <c r="G9241" t="str">
        <f>HYPERLINK("https://github.com/commons-app/apps-android-commons", "show")</f>
        <v>show</v>
      </c>
      <c r="H9241" t="str">
        <f>HYPERLINK("https://github.com/commons-app/apps-android-commons/releases", "show")</f>
        <v>show</v>
      </c>
      <c r="I9241">
        <v>1</v>
      </c>
      <c r="J9241">
        <v>0</v>
      </c>
      <c r="K9241">
        <v>0</v>
      </c>
      <c r="L9241">
        <v>1</v>
      </c>
      <c r="M9241" t="s">
        <v>29</v>
      </c>
    </row>
    <row r="9242" spans="1:13" hidden="1" x14ac:dyDescent="0.15">
      <c r="A9242" t="s">
        <v>29057</v>
      </c>
      <c r="B9242" t="s">
        <v>29058</v>
      </c>
      <c r="C9242" t="s">
        <v>29059</v>
      </c>
      <c r="D9242" t="s">
        <v>29056</v>
      </c>
      <c r="E9242">
        <v>1</v>
      </c>
      <c r="F9242" t="str">
        <f>HYPERLINK("https://github.com/fossasia/open-event-organizer-android/issues/1170", "show")</f>
        <v>show</v>
      </c>
      <c r="G9242" t="str">
        <f>HYPERLINK("https://github.com/fossasia/open-event-organizer-android", "show")</f>
        <v>show</v>
      </c>
      <c r="H9242" t="str">
        <f>HYPERLINK("https://github.com/fossasia/open-event-organizer-android/releases", "show")</f>
        <v>show</v>
      </c>
      <c r="I9242">
        <v>0</v>
      </c>
      <c r="J9242">
        <v>1</v>
      </c>
      <c r="K9242">
        <v>1</v>
      </c>
      <c r="L9242">
        <v>0</v>
      </c>
      <c r="M9242" t="s">
        <v>699</v>
      </c>
    </row>
    <row r="9243" spans="1:13" hidden="1" x14ac:dyDescent="0.15">
      <c r="A9243" t="s">
        <v>29060</v>
      </c>
      <c r="B9243" t="s">
        <v>29061</v>
      </c>
      <c r="C9243" t="s">
        <v>29062</v>
      </c>
      <c r="D9243" t="s">
        <v>29063</v>
      </c>
      <c r="E9243">
        <v>11</v>
      </c>
      <c r="F9243" t="str">
        <f>HYPERLINK("https://github.com/fossasia/phimpme-android/issues/2080", "show")</f>
        <v>show</v>
      </c>
      <c r="G9243" t="str">
        <f>HYPERLINK("https://github.com/fossasia/phimpme-android", "show")</f>
        <v>show</v>
      </c>
      <c r="H9243" t="str">
        <f>HYPERLINK("https://github.com/fossasia/phimpme-android/releases", "show")</f>
        <v>show</v>
      </c>
      <c r="I9243">
        <v>1</v>
      </c>
      <c r="J9243">
        <v>0</v>
      </c>
      <c r="K9243">
        <v>0</v>
      </c>
      <c r="L9243">
        <v>0</v>
      </c>
      <c r="M9243" t="s">
        <v>17</v>
      </c>
    </row>
    <row r="9244" spans="1:13" hidden="1" x14ac:dyDescent="0.15">
      <c r="A9244" t="s">
        <v>29064</v>
      </c>
      <c r="B9244" t="s">
        <v>29065</v>
      </c>
      <c r="C9244" t="s">
        <v>29066</v>
      </c>
      <c r="D9244" t="s">
        <v>29063</v>
      </c>
      <c r="E9244">
        <v>10</v>
      </c>
      <c r="F9244" t="str">
        <f>HYPERLINK("https://github.com/mapbox/mapbox-events-android/issues/174", "show")</f>
        <v>show</v>
      </c>
      <c r="G9244" t="str">
        <f>HYPERLINK("https://github.com/mapbox/mapbox-events-android", "show")</f>
        <v>show</v>
      </c>
      <c r="H9244" t="str">
        <f>HYPERLINK("https://github.com/mapbox/mapbox-events-android/releases", "show")</f>
        <v>show</v>
      </c>
      <c r="I9244">
        <v>0</v>
      </c>
      <c r="J9244">
        <v>0</v>
      </c>
      <c r="K9244">
        <v>0</v>
      </c>
      <c r="L9244">
        <v>0</v>
      </c>
      <c r="M9244" t="s">
        <v>43</v>
      </c>
    </row>
    <row r="9245" spans="1:13" hidden="1" x14ac:dyDescent="0.15">
      <c r="A9245" t="s">
        <v>29067</v>
      </c>
      <c r="B9245" t="s">
        <v>29068</v>
      </c>
      <c r="C9245" t="s">
        <v>29069</v>
      </c>
      <c r="D9245" t="s">
        <v>29070</v>
      </c>
      <c r="E9245">
        <v>4</v>
      </c>
      <c r="F9245" t="str">
        <f>HYPERLINK("https://github.com/dimagi/commcare-android/issues/2017", "show")</f>
        <v>show</v>
      </c>
      <c r="G9245" t="str">
        <f>HYPERLINK("https://github.com/dimagi/commcare-android", "show")</f>
        <v>show</v>
      </c>
      <c r="H9245" t="str">
        <f>HYPERLINK("https://github.com/dimagi/commcare-android/releases", "show")</f>
        <v>show</v>
      </c>
      <c r="I9245">
        <v>0</v>
      </c>
      <c r="J9245">
        <v>0</v>
      </c>
      <c r="K9245">
        <v>0</v>
      </c>
      <c r="L9245">
        <v>0</v>
      </c>
      <c r="M9245" t="s">
        <v>43</v>
      </c>
    </row>
    <row r="9246" spans="1:13" hidden="1" x14ac:dyDescent="0.15">
      <c r="A9246" t="s">
        <v>29071</v>
      </c>
      <c r="B9246" t="s">
        <v>29072</v>
      </c>
      <c r="C9246" t="s">
        <v>29073</v>
      </c>
      <c r="D9246" t="s">
        <v>29070</v>
      </c>
      <c r="E9246">
        <v>35</v>
      </c>
      <c r="F9246" t="str">
        <f>HYPERLINK("https://github.com/andyrozman/RileyLinkAAPS/issues/40", "show")</f>
        <v>show</v>
      </c>
      <c r="G9246" t="str">
        <f>HYPERLINK("https://github.com/andyrozman/RileyLinkAAPS", "show")</f>
        <v>show</v>
      </c>
      <c r="H9246" t="str">
        <f>HYPERLINK("https://github.com/andyrozman/RileyLinkAAPS/releases", "show")</f>
        <v>show</v>
      </c>
      <c r="I9246">
        <v>0</v>
      </c>
      <c r="J9246">
        <v>0</v>
      </c>
      <c r="K9246">
        <v>1</v>
      </c>
      <c r="L9246">
        <v>0</v>
      </c>
      <c r="M9246" t="s">
        <v>122</v>
      </c>
    </row>
    <row r="9247" spans="1:13" hidden="1" x14ac:dyDescent="0.15">
      <c r="A9247" t="s">
        <v>29074</v>
      </c>
      <c r="B9247" t="s">
        <v>29075</v>
      </c>
      <c r="C9247" t="s">
        <v>29076</v>
      </c>
      <c r="D9247" t="s">
        <v>29070</v>
      </c>
      <c r="E9247">
        <v>81</v>
      </c>
      <c r="F9247" t="str">
        <f>HYPERLINK("https://github.com/0xpr03/VocableTrainer-Android/issues/35", "show")</f>
        <v>show</v>
      </c>
      <c r="G9247" t="str">
        <f>HYPERLINK("https://github.com/0xpr03/VocableTrainer-Android", "show")</f>
        <v>show</v>
      </c>
      <c r="H9247" t="str">
        <f>HYPERLINK("https://github.com/0xpr03/VocableTrainer-Android/releases", "show")</f>
        <v>show</v>
      </c>
      <c r="I9247">
        <v>1</v>
      </c>
      <c r="J9247">
        <v>1</v>
      </c>
      <c r="K9247">
        <v>0</v>
      </c>
      <c r="L9247">
        <v>0</v>
      </c>
      <c r="M9247" t="s">
        <v>48</v>
      </c>
    </row>
    <row r="9248" spans="1:13" hidden="1" x14ac:dyDescent="0.15">
      <c r="A9248" t="s">
        <v>29077</v>
      </c>
      <c r="B9248" t="s">
        <v>29078</v>
      </c>
      <c r="C9248" t="s">
        <v>29079</v>
      </c>
      <c r="D9248" t="s">
        <v>29070</v>
      </c>
      <c r="E9248">
        <v>11</v>
      </c>
      <c r="F9248" t="str">
        <f>HYPERLINK("https://github.com/osmdroid/osmdroid/issues/1079", "show")</f>
        <v>show</v>
      </c>
      <c r="G9248" t="str">
        <f>HYPERLINK("https://github.com/osmdroid/osmdroid", "show")</f>
        <v>show</v>
      </c>
      <c r="H9248" t="str">
        <f>HYPERLINK("https://github.com/osmdroid/osmdroid/releases", "show")</f>
        <v>show</v>
      </c>
      <c r="I9248">
        <v>1</v>
      </c>
      <c r="J9248">
        <v>0</v>
      </c>
      <c r="K9248">
        <v>0</v>
      </c>
      <c r="L9248">
        <v>0</v>
      </c>
      <c r="M9248" t="s">
        <v>17</v>
      </c>
    </row>
    <row r="9249" spans="1:13" hidden="1" x14ac:dyDescent="0.15">
      <c r="A9249" t="s">
        <v>29080</v>
      </c>
      <c r="B9249" t="s">
        <v>29081</v>
      </c>
      <c r="C9249" t="s">
        <v>29082</v>
      </c>
      <c r="D9249" t="s">
        <v>29070</v>
      </c>
      <c r="E9249">
        <v>16</v>
      </c>
      <c r="F9249" t="str">
        <f>HYPERLINK("https://github.com/evernote/android-job/issues/492", "show")</f>
        <v>show</v>
      </c>
      <c r="G9249" t="str">
        <f>HYPERLINK("https://github.com/evernote/android-job", "show")</f>
        <v>show</v>
      </c>
      <c r="H9249" t="str">
        <f>HYPERLINK("https://github.com/evernote/android-job/releases", "show")</f>
        <v>show</v>
      </c>
      <c r="I9249">
        <v>0</v>
      </c>
      <c r="J9249">
        <v>0</v>
      </c>
      <c r="K9249">
        <v>0</v>
      </c>
      <c r="L9249">
        <v>0</v>
      </c>
      <c r="M9249" t="s">
        <v>43</v>
      </c>
    </row>
    <row r="9250" spans="1:13" hidden="1" x14ac:dyDescent="0.15">
      <c r="A9250" t="s">
        <v>29083</v>
      </c>
      <c r="B9250" t="s">
        <v>29084</v>
      </c>
      <c r="C9250" t="s">
        <v>29085</v>
      </c>
      <c r="D9250" t="s">
        <v>29086</v>
      </c>
      <c r="E9250">
        <v>103</v>
      </c>
      <c r="F9250" t="str">
        <f>HYPERLINK("https://github.com/andOTP/andOTP/issues/197", "show")</f>
        <v>show</v>
      </c>
      <c r="G9250" t="str">
        <f>HYPERLINK("https://github.com/andOTP/andOTP", "show")</f>
        <v>show</v>
      </c>
      <c r="H9250" t="str">
        <f>HYPERLINK("https://github.com/andOTP/andOTP/releases", "show")</f>
        <v>show</v>
      </c>
      <c r="I9250">
        <v>1</v>
      </c>
      <c r="J9250">
        <v>0</v>
      </c>
      <c r="K9250">
        <v>0</v>
      </c>
      <c r="L9250">
        <v>0</v>
      </c>
      <c r="M9250" t="s">
        <v>17</v>
      </c>
    </row>
    <row r="9251" spans="1:13" hidden="1" x14ac:dyDescent="0.15">
      <c r="A9251" t="s">
        <v>29087</v>
      </c>
      <c r="B9251" t="s">
        <v>29088</v>
      </c>
      <c r="C9251" t="s">
        <v>29089</v>
      </c>
      <c r="D9251" t="s">
        <v>29090</v>
      </c>
      <c r="E9251">
        <v>117</v>
      </c>
      <c r="F9251" t="str">
        <f>HYPERLINK("https://github.com/jaredrummler/ColorPicker/issues/57", "show")</f>
        <v>show</v>
      </c>
      <c r="G9251" t="str">
        <f>HYPERLINK("https://github.com/jaredrummler/ColorPicker", "show")</f>
        <v>show</v>
      </c>
      <c r="H9251" t="str">
        <f>HYPERLINK("https://github.com/jaredrummler/ColorPicker/releases", "show")</f>
        <v>show</v>
      </c>
      <c r="I9251">
        <v>0</v>
      </c>
      <c r="J9251">
        <v>0</v>
      </c>
      <c r="K9251">
        <v>1</v>
      </c>
      <c r="L9251">
        <v>1</v>
      </c>
      <c r="M9251" t="s">
        <v>351</v>
      </c>
    </row>
    <row r="9252" spans="1:13" hidden="1" x14ac:dyDescent="0.15">
      <c r="A9252" t="s">
        <v>29091</v>
      </c>
      <c r="B9252" t="s">
        <v>29092</v>
      </c>
      <c r="C9252" t="s">
        <v>29093</v>
      </c>
      <c r="D9252" t="s">
        <v>29090</v>
      </c>
      <c r="E9252">
        <v>159</v>
      </c>
      <c r="F9252" t="str">
        <f>HYPERLINK("https://github.com/Tencent/tinker/issues/876", "show")</f>
        <v>show</v>
      </c>
      <c r="G9252" t="str">
        <f>HYPERLINK("https://github.com/Tencent/tinker", "show")</f>
        <v>show</v>
      </c>
      <c r="H9252" t="str">
        <f>HYPERLINK("https://github.com/Tencent/tinker/releases", "show")</f>
        <v>show</v>
      </c>
      <c r="I9252">
        <v>0</v>
      </c>
      <c r="J9252">
        <v>0</v>
      </c>
      <c r="K9252">
        <v>0</v>
      </c>
      <c r="L9252">
        <v>0</v>
      </c>
      <c r="M9252" t="s">
        <v>43</v>
      </c>
    </row>
    <row r="9253" spans="1:13" hidden="1" x14ac:dyDescent="0.15">
      <c r="A9253" t="s">
        <v>29094</v>
      </c>
      <c r="B9253" t="s">
        <v>29095</v>
      </c>
      <c r="C9253" t="s">
        <v>29096</v>
      </c>
      <c r="D9253" t="s">
        <v>29090</v>
      </c>
      <c r="E9253">
        <v>560</v>
      </c>
      <c r="F9253" t="str">
        <f>HYPERLINK("https://github.com/aksh4y/CS5520_MAD/issues/3", "show")</f>
        <v>show</v>
      </c>
      <c r="G9253" t="str">
        <f>HYPERLINK("https://github.com/aksh4y/CS5520_MAD", "show")</f>
        <v>show</v>
      </c>
      <c r="H9253" t="str">
        <f>HYPERLINK("https://github.com/aksh4y/CS5520_MAD/releases", "show")</f>
        <v>show</v>
      </c>
      <c r="I9253">
        <v>0</v>
      </c>
      <c r="J9253">
        <v>0</v>
      </c>
      <c r="K9253">
        <v>0</v>
      </c>
      <c r="L9253">
        <v>0</v>
      </c>
      <c r="M9253" t="s">
        <v>43</v>
      </c>
    </row>
    <row r="9254" spans="1:13" hidden="1" x14ac:dyDescent="0.15">
      <c r="A9254" t="s">
        <v>29097</v>
      </c>
      <c r="B9254" t="s">
        <v>29098</v>
      </c>
      <c r="C9254" t="s">
        <v>29099</v>
      </c>
      <c r="D9254" t="s">
        <v>29100</v>
      </c>
      <c r="E9254">
        <v>846</v>
      </c>
      <c r="F9254" t="str">
        <f>HYPERLINK("https://github.com/d4rken/gplay-batchtool/issues/2", "show")</f>
        <v>show</v>
      </c>
      <c r="G9254" t="str">
        <f>HYPERLINK("https://github.com/d4rken/gplay-batchtool", "show")</f>
        <v>show</v>
      </c>
      <c r="H9254" t="str">
        <f>HYPERLINK("https://github.com/d4rken/gplay-batchtool/releases", "show")</f>
        <v>show</v>
      </c>
      <c r="I9254">
        <v>1</v>
      </c>
      <c r="J9254">
        <v>0</v>
      </c>
      <c r="K9254">
        <v>0</v>
      </c>
      <c r="L9254">
        <v>0</v>
      </c>
      <c r="M9254" t="s">
        <v>17</v>
      </c>
    </row>
    <row r="9255" spans="1:13" hidden="1" x14ac:dyDescent="0.15">
      <c r="A9255" t="s">
        <v>29101</v>
      </c>
      <c r="B9255" t="s">
        <v>29102</v>
      </c>
      <c r="C9255" t="s">
        <v>29103</v>
      </c>
      <c r="D9255" t="s">
        <v>29100</v>
      </c>
      <c r="E9255">
        <v>9</v>
      </c>
      <c r="F9255" t="str">
        <f>HYPERLINK("https://github.com/fossasia/pslab-android/issues/1177", "show")</f>
        <v>show</v>
      </c>
      <c r="G9255" t="str">
        <f>HYPERLINK("https://github.com/fossasia/pslab-android", "show")</f>
        <v>show</v>
      </c>
      <c r="H9255" t="str">
        <f>HYPERLINK("https://github.com/fossasia/pslab-android/releases", "show")</f>
        <v>show</v>
      </c>
      <c r="I9255">
        <v>1</v>
      </c>
      <c r="J9255">
        <v>1</v>
      </c>
      <c r="K9255">
        <v>0</v>
      </c>
      <c r="L9255">
        <v>1</v>
      </c>
      <c r="M9255" t="s">
        <v>1894</v>
      </c>
    </row>
    <row r="9256" spans="1:13" hidden="1" x14ac:dyDescent="0.15">
      <c r="A9256" t="s">
        <v>29104</v>
      </c>
      <c r="B9256" t="s">
        <v>29105</v>
      </c>
      <c r="C9256" t="s">
        <v>29106</v>
      </c>
      <c r="D9256" t="s">
        <v>29100</v>
      </c>
      <c r="E9256">
        <v>0</v>
      </c>
      <c r="F9256" t="str">
        <f>HYPERLINK("https://github.com/novoda/storage-path-finder/issues/8", "show")</f>
        <v>show</v>
      </c>
      <c r="G9256" t="str">
        <f>HYPERLINK("https://github.com/novoda/storage-path-finder", "show")</f>
        <v>show</v>
      </c>
      <c r="H9256" t="str">
        <f>HYPERLINK("https://github.com/novoda/storage-path-finder/releases", "show")</f>
        <v>show</v>
      </c>
      <c r="I9256">
        <v>1</v>
      </c>
      <c r="J9256">
        <v>0</v>
      </c>
      <c r="K9256">
        <v>0</v>
      </c>
      <c r="L9256">
        <v>0</v>
      </c>
      <c r="M9256" t="s">
        <v>17</v>
      </c>
    </row>
    <row r="9257" spans="1:13" hidden="1" x14ac:dyDescent="0.15">
      <c r="A9257" t="s">
        <v>29107</v>
      </c>
      <c r="B9257" t="s">
        <v>29108</v>
      </c>
      <c r="C9257" t="s">
        <v>29109</v>
      </c>
      <c r="D9257" t="s">
        <v>29100</v>
      </c>
      <c r="E9257">
        <v>4</v>
      </c>
      <c r="F9257" t="str">
        <f>HYPERLINK("https://github.com/OneBusAway/onebusaway-android/issues/898", "show")</f>
        <v>show</v>
      </c>
      <c r="G9257" t="str">
        <f>HYPERLINK("https://github.com/OneBusAway/onebusaway-android", "show")</f>
        <v>show</v>
      </c>
      <c r="H9257" t="str">
        <f>HYPERLINK("https://github.com/OneBusAway/onebusaway-android/releases", "show")</f>
        <v>show</v>
      </c>
      <c r="I9257">
        <v>0</v>
      </c>
      <c r="J9257">
        <v>0</v>
      </c>
      <c r="K9257">
        <v>1</v>
      </c>
      <c r="L9257">
        <v>0</v>
      </c>
      <c r="M9257" t="s">
        <v>122</v>
      </c>
    </row>
    <row r="9258" spans="1:13" hidden="1" x14ac:dyDescent="0.15">
      <c r="A9258" t="s">
        <v>29110</v>
      </c>
      <c r="B9258" t="s">
        <v>29111</v>
      </c>
      <c r="C9258" t="s">
        <v>29112</v>
      </c>
      <c r="D9258" t="s">
        <v>29100</v>
      </c>
      <c r="E9258">
        <v>1</v>
      </c>
      <c r="F9258" t="str">
        <f>HYPERLINK("https://github.com/dimagi/commcare-android/issues/2014", "show")</f>
        <v>show</v>
      </c>
      <c r="G9258" t="str">
        <f>HYPERLINK("https://github.com/dimagi/commcare-android", "show")</f>
        <v>show</v>
      </c>
      <c r="H9258" t="str">
        <f>HYPERLINK("https://github.com/dimagi/commcare-android/releases", "show")</f>
        <v>show</v>
      </c>
      <c r="I9258">
        <v>1</v>
      </c>
      <c r="J9258">
        <v>0</v>
      </c>
      <c r="K9258">
        <v>1</v>
      </c>
      <c r="L9258">
        <v>0</v>
      </c>
      <c r="M9258" t="s">
        <v>64</v>
      </c>
    </row>
    <row r="9259" spans="1:13" hidden="1" x14ac:dyDescent="0.15">
      <c r="A9259" t="s">
        <v>29113</v>
      </c>
      <c r="B9259" t="s">
        <v>29114</v>
      </c>
      <c r="C9259" t="s">
        <v>29115</v>
      </c>
      <c r="D9259" t="s">
        <v>29100</v>
      </c>
      <c r="E9259">
        <v>10</v>
      </c>
      <c r="F9259" t="str">
        <f>HYPERLINK("https://github.com/hzi-braunschweig/SORMAS-Project/issues/683", "show")</f>
        <v>show</v>
      </c>
      <c r="G9259" t="str">
        <f>HYPERLINK("https://github.com/hzi-braunschweig/SORMAS-Project", "show")</f>
        <v>show</v>
      </c>
      <c r="H9259" t="str">
        <f>HYPERLINK("https://github.com/hzi-braunschweig/SORMAS-Project/releases", "show")</f>
        <v>show</v>
      </c>
      <c r="I9259">
        <v>1</v>
      </c>
      <c r="J9259">
        <v>0</v>
      </c>
      <c r="K9259">
        <v>0</v>
      </c>
      <c r="L9259">
        <v>0</v>
      </c>
      <c r="M9259" t="s">
        <v>17</v>
      </c>
    </row>
    <row r="9260" spans="1:13" hidden="1" x14ac:dyDescent="0.15">
      <c r="A9260" t="s">
        <v>29116</v>
      </c>
      <c r="B9260" t="s">
        <v>8468</v>
      </c>
      <c r="C9260" t="s">
        <v>29117</v>
      </c>
      <c r="D9260" t="s">
        <v>29100</v>
      </c>
      <c r="E9260">
        <v>326</v>
      </c>
      <c r="F9260" t="str">
        <f>HYPERLINK("https://github.com/nextcloud/android/issues/2779", "show")</f>
        <v>show</v>
      </c>
      <c r="G9260" t="str">
        <f>HYPERLINK("https://github.com/nextcloud/android", "show")</f>
        <v>show</v>
      </c>
      <c r="H9260" t="str">
        <f>HYPERLINK("https://github.com/nextcloud/android/releases", "show")</f>
        <v>show</v>
      </c>
      <c r="I9260">
        <v>0</v>
      </c>
      <c r="J9260">
        <v>0</v>
      </c>
      <c r="K9260">
        <v>0</v>
      </c>
      <c r="L9260">
        <v>0</v>
      </c>
      <c r="M9260" t="s">
        <v>43</v>
      </c>
    </row>
    <row r="9261" spans="1:13" hidden="1" x14ac:dyDescent="0.15">
      <c r="A9261" t="s">
        <v>29118</v>
      </c>
      <c r="B9261" t="s">
        <v>29119</v>
      </c>
      <c r="C9261" t="s">
        <v>29120</v>
      </c>
      <c r="D9261" t="s">
        <v>29121</v>
      </c>
      <c r="E9261">
        <v>80</v>
      </c>
      <c r="F9261" t="str">
        <f>HYPERLINK("https://github.com/cgeo/cgeo/issues/7073", "show")</f>
        <v>show</v>
      </c>
      <c r="G9261" t="str">
        <f>HYPERLINK("https://github.com/cgeo/cgeo", "show")</f>
        <v>show</v>
      </c>
      <c r="H9261" t="str">
        <f>HYPERLINK("https://github.com/cgeo/cgeo/releases", "show")</f>
        <v>show</v>
      </c>
      <c r="I9261">
        <v>0</v>
      </c>
      <c r="J9261">
        <v>0</v>
      </c>
      <c r="K9261">
        <v>0</v>
      </c>
      <c r="L9261">
        <v>0</v>
      </c>
      <c r="M9261" t="s">
        <v>43</v>
      </c>
    </row>
    <row r="9262" spans="1:13" hidden="1" x14ac:dyDescent="0.15">
      <c r="A9262" t="s">
        <v>29122</v>
      </c>
      <c r="B9262" t="s">
        <v>19886</v>
      </c>
      <c r="C9262" t="s">
        <v>29123</v>
      </c>
      <c r="D9262" t="s">
        <v>29121</v>
      </c>
      <c r="E9262">
        <v>57</v>
      </c>
      <c r="F9262" t="str">
        <f>HYPERLINK("https://github.com/7LPdWcaW/GrowTracker-Android/issues/61", "show")</f>
        <v>show</v>
      </c>
      <c r="G9262" t="str">
        <f>HYPERLINK("https://github.com/7LPdWcaW/GrowTracker-Android", "show")</f>
        <v>show</v>
      </c>
      <c r="H9262" t="str">
        <f>HYPERLINK("https://github.com/7LPdWcaW/GrowTracker-Android/releases", "show")</f>
        <v>show</v>
      </c>
      <c r="I9262">
        <v>0</v>
      </c>
      <c r="J9262">
        <v>0</v>
      </c>
      <c r="K9262">
        <v>0</v>
      </c>
      <c r="L9262">
        <v>0</v>
      </c>
      <c r="M9262" t="s">
        <v>43</v>
      </c>
    </row>
    <row r="9263" spans="1:13" hidden="1" x14ac:dyDescent="0.15">
      <c r="A9263" t="s">
        <v>29124</v>
      </c>
      <c r="B9263" t="s">
        <v>29125</v>
      </c>
      <c r="C9263" t="s">
        <v>29126</v>
      </c>
      <c r="D9263" t="s">
        <v>29127</v>
      </c>
      <c r="E9263">
        <v>164</v>
      </c>
      <c r="F9263" t="str">
        <f>HYPERLINK("https://github.com/google-ar/sceneform-android-sdk/issues/149", "show")</f>
        <v>show</v>
      </c>
      <c r="G9263" t="str">
        <f>HYPERLINK("https://github.com/google-ar/sceneform-android-sdk", "show")</f>
        <v>show</v>
      </c>
      <c r="H9263" t="str">
        <f>HYPERLINK("https://github.com/google-ar/sceneform-android-sdk/releases", "show")</f>
        <v>show</v>
      </c>
      <c r="I9263">
        <v>1</v>
      </c>
      <c r="J9263">
        <v>1</v>
      </c>
      <c r="K9263">
        <v>0</v>
      </c>
      <c r="L9263">
        <v>0</v>
      </c>
      <c r="M9263" t="s">
        <v>48</v>
      </c>
    </row>
    <row r="9264" spans="1:13" hidden="1" x14ac:dyDescent="0.15">
      <c r="A9264" t="s">
        <v>29128</v>
      </c>
      <c r="B9264" t="s">
        <v>29129</v>
      </c>
      <c r="C9264" t="s">
        <v>29130</v>
      </c>
      <c r="D9264" t="s">
        <v>29127</v>
      </c>
      <c r="E9264">
        <v>5</v>
      </c>
      <c r="F9264" t="str">
        <f>HYPERLINK("https://github.com/react-native-share/react-native-share/issues/293", "show")</f>
        <v>show</v>
      </c>
      <c r="G9264" t="str">
        <f>HYPERLINK("https://github.com/react-native-share/react-native-share", "show")</f>
        <v>show</v>
      </c>
      <c r="H9264" t="str">
        <f>HYPERLINK("https://github.com/react-native-share/react-native-share/releases", "show")</f>
        <v>show</v>
      </c>
      <c r="I9264">
        <v>1</v>
      </c>
      <c r="J9264">
        <v>0</v>
      </c>
      <c r="K9264">
        <v>0</v>
      </c>
      <c r="L9264">
        <v>1</v>
      </c>
      <c r="M9264" t="s">
        <v>29</v>
      </c>
    </row>
    <row r="9265" spans="1:13" hidden="1" x14ac:dyDescent="0.15">
      <c r="A9265" t="s">
        <v>29131</v>
      </c>
      <c r="B9265" t="s">
        <v>29132</v>
      </c>
      <c r="C9265" t="s">
        <v>29133</v>
      </c>
      <c r="D9265" t="s">
        <v>29134</v>
      </c>
      <c r="E9265">
        <v>35</v>
      </c>
      <c r="F9265" t="str">
        <f>HYPERLINK("https://github.com/butterproject/butter-android/issues/286", "show")</f>
        <v>show</v>
      </c>
      <c r="G9265" t="str">
        <f>HYPERLINK("https://github.com/butterproject/butter-android", "show")</f>
        <v>show</v>
      </c>
      <c r="H9265" t="str">
        <f>HYPERLINK("https://github.com/butterproject/butter-android/releases", "show")</f>
        <v>show</v>
      </c>
      <c r="I9265">
        <v>1</v>
      </c>
      <c r="J9265">
        <v>0</v>
      </c>
      <c r="K9265">
        <v>1</v>
      </c>
      <c r="L9265">
        <v>0</v>
      </c>
      <c r="M9265" t="s">
        <v>64</v>
      </c>
    </row>
    <row r="9266" spans="1:13" hidden="1" x14ac:dyDescent="0.15">
      <c r="A9266" t="s">
        <v>29135</v>
      </c>
      <c r="B9266" t="s">
        <v>29136</v>
      </c>
      <c r="C9266" t="s">
        <v>29137</v>
      </c>
      <c r="D9266" t="s">
        <v>29134</v>
      </c>
      <c r="E9266">
        <v>53</v>
      </c>
      <c r="F9266" t="str">
        <f>HYPERLINK("https://github.com/commons-app/apps-android-commons/issues/1678", "show")</f>
        <v>show</v>
      </c>
      <c r="G9266" t="str">
        <f>HYPERLINK("https://github.com/commons-app/apps-android-commons", "show")</f>
        <v>show</v>
      </c>
      <c r="H9266" t="str">
        <f>HYPERLINK("https://github.com/commons-app/apps-android-commons/releases", "show")</f>
        <v>show</v>
      </c>
      <c r="I9266">
        <v>1</v>
      </c>
      <c r="J9266">
        <v>1</v>
      </c>
      <c r="K9266">
        <v>1</v>
      </c>
      <c r="L9266">
        <v>0</v>
      </c>
      <c r="M9266" t="s">
        <v>59</v>
      </c>
    </row>
    <row r="9267" spans="1:13" x14ac:dyDescent="0.15">
      <c r="A9267" t="s">
        <v>29138</v>
      </c>
      <c r="B9267" t="s">
        <v>29139</v>
      </c>
      <c r="C9267" t="s">
        <v>29140</v>
      </c>
      <c r="D9267" t="s">
        <v>29134</v>
      </c>
      <c r="E9267">
        <v>0</v>
      </c>
      <c r="F9267" t="str">
        <f>HYPERLINK("https://github.com/syncthing/syncthing-android/issues/1174", "show")</f>
        <v>show</v>
      </c>
      <c r="G9267" t="str">
        <f>HYPERLINK("https://github.com/syncthing/syncthing-android", "show")</f>
        <v>show</v>
      </c>
      <c r="H9267" t="str">
        <f>HYPERLINK("https://github.com/syncthing/syncthing-android/releases", "show")</f>
        <v>show</v>
      </c>
      <c r="I9267">
        <v>0</v>
      </c>
      <c r="J9267">
        <v>1</v>
      </c>
      <c r="K9267">
        <v>0</v>
      </c>
      <c r="L9267">
        <v>0</v>
      </c>
      <c r="M9267" t="s">
        <v>139</v>
      </c>
    </row>
    <row r="9268" spans="1:13" hidden="1" x14ac:dyDescent="0.15">
      <c r="A9268" t="s">
        <v>29141</v>
      </c>
      <c r="B9268" t="s">
        <v>29142</v>
      </c>
      <c r="C9268" t="s">
        <v>29143</v>
      </c>
      <c r="D9268" t="s">
        <v>29144</v>
      </c>
      <c r="E9268">
        <v>56</v>
      </c>
      <c r="F9268" t="str">
        <f>HYPERLINK("https://github.com/commons-app/apps-android-commons/issues/1669", "show")</f>
        <v>show</v>
      </c>
      <c r="G9268" t="str">
        <f>HYPERLINK("https://github.com/commons-app/apps-android-commons", "show")</f>
        <v>show</v>
      </c>
      <c r="H9268" t="str">
        <f>HYPERLINK("https://github.com/commons-app/apps-android-commons/releases", "show")</f>
        <v>show</v>
      </c>
      <c r="I9268">
        <v>1</v>
      </c>
      <c r="J9268">
        <v>0</v>
      </c>
      <c r="K9268">
        <v>1</v>
      </c>
      <c r="L9268">
        <v>0</v>
      </c>
      <c r="M9268" t="s">
        <v>64</v>
      </c>
    </row>
    <row r="9269" spans="1:13" x14ac:dyDescent="0.15">
      <c r="A9269" t="s">
        <v>29145</v>
      </c>
      <c r="B9269" t="s">
        <v>29146</v>
      </c>
      <c r="C9269" t="s">
        <v>29147</v>
      </c>
      <c r="D9269" t="s">
        <v>29144</v>
      </c>
      <c r="E9269">
        <v>2</v>
      </c>
      <c r="F9269" t="str">
        <f>HYPERLINK("https://github.com/yeriomin/YalpStore/issues/493", "show")</f>
        <v>show</v>
      </c>
      <c r="G9269" t="str">
        <f>HYPERLINK("https://github.com/yeriomin/YalpStore", "show")</f>
        <v>show</v>
      </c>
      <c r="H9269" t="str">
        <f>HYPERLINK("https://github.com/yeriomin/YalpStore/releases", "show")</f>
        <v>show</v>
      </c>
      <c r="I9269">
        <v>0</v>
      </c>
      <c r="J9269">
        <v>1</v>
      </c>
      <c r="K9269">
        <v>0</v>
      </c>
      <c r="L9269">
        <v>0</v>
      </c>
      <c r="M9269" t="s">
        <v>139</v>
      </c>
    </row>
    <row r="9270" spans="1:13" hidden="1" x14ac:dyDescent="0.15">
      <c r="A9270" t="s">
        <v>29148</v>
      </c>
      <c r="B9270" t="s">
        <v>29149</v>
      </c>
      <c r="C9270" t="s">
        <v>29150</v>
      </c>
      <c r="D9270" t="s">
        <v>29151</v>
      </c>
      <c r="E9270">
        <v>348</v>
      </c>
      <c r="F9270" t="str">
        <f>HYPERLINK("https://github.com/fossasia/open-event-organizer-android/issues/1131", "show")</f>
        <v>show</v>
      </c>
      <c r="G9270" t="str">
        <f>HYPERLINK("https://github.com/fossasia/open-event-organizer-android", "show")</f>
        <v>show</v>
      </c>
      <c r="H9270" t="str">
        <f>HYPERLINK("https://github.com/fossasia/open-event-organizer-android/releases", "show")</f>
        <v>show</v>
      </c>
      <c r="I9270">
        <v>1</v>
      </c>
      <c r="J9270">
        <v>0</v>
      </c>
      <c r="K9270">
        <v>1</v>
      </c>
      <c r="L9270">
        <v>1</v>
      </c>
      <c r="M9270" t="s">
        <v>1259</v>
      </c>
    </row>
    <row r="9271" spans="1:13" hidden="1" x14ac:dyDescent="0.15">
      <c r="A9271" t="s">
        <v>29152</v>
      </c>
      <c r="B9271" t="s">
        <v>29153</v>
      </c>
      <c r="C9271" t="s">
        <v>29154</v>
      </c>
      <c r="D9271" t="s">
        <v>29151</v>
      </c>
      <c r="E9271">
        <v>111</v>
      </c>
      <c r="F9271" t="str">
        <f>HYPERLINK("https://github.com/renyuneyun/Easer/issues/131", "show")</f>
        <v>show</v>
      </c>
      <c r="G9271" t="str">
        <f>HYPERLINK("https://github.com/renyuneyun/Easer", "show")</f>
        <v>show</v>
      </c>
      <c r="H9271" t="str">
        <f>HYPERLINK("https://github.com/renyuneyun/Easer/releases", "show")</f>
        <v>show</v>
      </c>
      <c r="I9271">
        <v>1</v>
      </c>
      <c r="J9271">
        <v>0</v>
      </c>
      <c r="K9271">
        <v>0</v>
      </c>
      <c r="L9271">
        <v>0</v>
      </c>
      <c r="M9271" t="s">
        <v>17</v>
      </c>
    </row>
    <row r="9272" spans="1:13" hidden="1" x14ac:dyDescent="0.15">
      <c r="A9272" t="s">
        <v>29155</v>
      </c>
      <c r="B9272" t="s">
        <v>29156</v>
      </c>
      <c r="C9272" t="s">
        <v>29157</v>
      </c>
      <c r="D9272" t="s">
        <v>29158</v>
      </c>
      <c r="E9272">
        <v>164</v>
      </c>
      <c r="F9272" t="str">
        <f>HYPERLINK("https://github.com/timusus/Shuttle/issues/358", "show")</f>
        <v>show</v>
      </c>
      <c r="G9272" t="str">
        <f>HYPERLINK("https://github.com/timusus/Shuttle", "show")</f>
        <v>show</v>
      </c>
      <c r="H9272" t="str">
        <f>HYPERLINK("https://github.com/timusus/Shuttle/releases", "show")</f>
        <v>show</v>
      </c>
      <c r="I9272">
        <v>1</v>
      </c>
      <c r="J9272">
        <v>0</v>
      </c>
      <c r="K9272">
        <v>0</v>
      </c>
      <c r="L9272">
        <v>0</v>
      </c>
      <c r="M9272" t="s">
        <v>17</v>
      </c>
    </row>
    <row r="9273" spans="1:13" hidden="1" x14ac:dyDescent="0.15">
      <c r="A9273" t="s">
        <v>29159</v>
      </c>
      <c r="B9273" t="s">
        <v>29160</v>
      </c>
      <c r="C9273" t="s">
        <v>29161</v>
      </c>
      <c r="D9273" t="s">
        <v>29158</v>
      </c>
      <c r="E9273">
        <v>13</v>
      </c>
      <c r="F9273" t="str">
        <f>HYPERLINK("https://github.com/edufolly/flutter_mobile_vision/issues/7", "show")</f>
        <v>show</v>
      </c>
      <c r="G9273" t="str">
        <f>HYPERLINK("https://github.com/edufolly/flutter_mobile_vision", "show")</f>
        <v>show</v>
      </c>
      <c r="H9273" t="str">
        <f>HYPERLINK("https://github.com/edufolly/flutter_mobile_vision/releases", "show")</f>
        <v>show</v>
      </c>
      <c r="I9273">
        <v>1</v>
      </c>
      <c r="J9273">
        <v>0</v>
      </c>
      <c r="K9273">
        <v>0</v>
      </c>
      <c r="L9273">
        <v>0</v>
      </c>
      <c r="M9273" t="s">
        <v>17</v>
      </c>
    </row>
    <row r="9274" spans="1:13" hidden="1" x14ac:dyDescent="0.15">
      <c r="A9274" t="s">
        <v>29162</v>
      </c>
      <c r="B9274" t="s">
        <v>29163</v>
      </c>
      <c r="C9274" t="s">
        <v>29164</v>
      </c>
      <c r="D9274" t="s">
        <v>29165</v>
      </c>
      <c r="E9274">
        <v>12</v>
      </c>
      <c r="F9274" t="str">
        <f>HYPERLINK("https://github.com/commons-app/apps-android-commons/issues/1660", "show")</f>
        <v>show</v>
      </c>
      <c r="G9274" t="str">
        <f>HYPERLINK("https://github.com/commons-app/apps-android-commons", "show")</f>
        <v>show</v>
      </c>
      <c r="H9274" t="str">
        <f>HYPERLINK("https://github.com/commons-app/apps-android-commons/releases", "show")</f>
        <v>show</v>
      </c>
      <c r="I9274">
        <v>1</v>
      </c>
      <c r="J9274">
        <v>1</v>
      </c>
      <c r="K9274">
        <v>1</v>
      </c>
      <c r="L9274">
        <v>0</v>
      </c>
      <c r="M9274" t="s">
        <v>59</v>
      </c>
    </row>
    <row r="9275" spans="1:13" hidden="1" x14ac:dyDescent="0.15">
      <c r="A9275" t="s">
        <v>29166</v>
      </c>
      <c r="B9275" t="s">
        <v>29167</v>
      </c>
      <c r="C9275" t="s">
        <v>29168</v>
      </c>
      <c r="D9275" t="s">
        <v>29165</v>
      </c>
      <c r="E9275">
        <v>31</v>
      </c>
      <c r="F9275" t="str">
        <f>HYPERLINK("https://github.com/kontalk/androidclient/issues/1186", "show")</f>
        <v>show</v>
      </c>
      <c r="G9275" t="str">
        <f>HYPERLINK("https://github.com/kontalk/androidclient", "show")</f>
        <v>show</v>
      </c>
      <c r="H9275" t="str">
        <f>HYPERLINK("https://github.com/kontalk/androidclient/releases", "show")</f>
        <v>show</v>
      </c>
      <c r="I9275">
        <v>1</v>
      </c>
      <c r="J9275">
        <v>0</v>
      </c>
      <c r="K9275">
        <v>0</v>
      </c>
      <c r="L9275">
        <v>0</v>
      </c>
      <c r="M9275" t="s">
        <v>17</v>
      </c>
    </row>
    <row r="9276" spans="1:13" hidden="1" x14ac:dyDescent="0.15">
      <c r="A9276" t="s">
        <v>29169</v>
      </c>
      <c r="B9276" t="s">
        <v>29170</v>
      </c>
      <c r="C9276" t="s">
        <v>29171</v>
      </c>
      <c r="D9276" t="s">
        <v>29165</v>
      </c>
      <c r="E9276">
        <v>5</v>
      </c>
      <c r="F9276" t="str">
        <f>HYPERLINK("https://github.com/nextcloud/android/issues/2756", "show")</f>
        <v>show</v>
      </c>
      <c r="G9276" t="str">
        <f>HYPERLINK("https://github.com/nextcloud/android", "show")</f>
        <v>show</v>
      </c>
      <c r="H9276" t="str">
        <f>HYPERLINK("https://github.com/nextcloud/android/releases", "show")</f>
        <v>show</v>
      </c>
      <c r="I9276">
        <v>1</v>
      </c>
      <c r="J9276">
        <v>0</v>
      </c>
      <c r="K9276">
        <v>1</v>
      </c>
      <c r="L9276">
        <v>0</v>
      </c>
      <c r="M9276" t="s">
        <v>64</v>
      </c>
    </row>
    <row r="9277" spans="1:13" hidden="1" x14ac:dyDescent="0.15">
      <c r="A9277" t="s">
        <v>29172</v>
      </c>
      <c r="B9277" t="s">
        <v>29173</v>
      </c>
      <c r="C9277" t="s">
        <v>29174</v>
      </c>
      <c r="D9277" t="s">
        <v>29165</v>
      </c>
      <c r="E9277">
        <v>10</v>
      </c>
      <c r="F9277" t="str">
        <f>HYPERLINK("https://github.com/mit-cml/appinventor-sources/issues/1288", "show")</f>
        <v>show</v>
      </c>
      <c r="G9277" t="str">
        <f>HYPERLINK("https://github.com/mit-cml/appinventor-sources", "show")</f>
        <v>show</v>
      </c>
      <c r="H9277" t="str">
        <f>HYPERLINK("https://github.com/mit-cml/appinventor-sources/releases", "show")</f>
        <v>show</v>
      </c>
      <c r="I9277">
        <v>0</v>
      </c>
      <c r="J9277">
        <v>0</v>
      </c>
      <c r="K9277">
        <v>0</v>
      </c>
      <c r="L9277">
        <v>0</v>
      </c>
      <c r="M9277" t="s">
        <v>43</v>
      </c>
    </row>
    <row r="9278" spans="1:13" hidden="1" x14ac:dyDescent="0.15">
      <c r="A9278" t="s">
        <v>29175</v>
      </c>
      <c r="B9278" t="s">
        <v>29176</v>
      </c>
      <c r="C9278" t="s">
        <v>29177</v>
      </c>
      <c r="D9278" t="s">
        <v>29178</v>
      </c>
      <c r="E9278">
        <v>219</v>
      </c>
      <c r="F9278" t="str">
        <f>HYPERLINK("https://github.com/Haptic-Apps/Slide/issues/2808", "show")</f>
        <v>show</v>
      </c>
      <c r="G9278" t="str">
        <f>HYPERLINK("https://github.com/Haptic-Apps/Slide", "show")</f>
        <v>show</v>
      </c>
      <c r="H9278" t="str">
        <f>HYPERLINK("https://github.com/Haptic-Apps/Slide/releases", "show")</f>
        <v>show</v>
      </c>
      <c r="I9278">
        <v>1</v>
      </c>
      <c r="J9278">
        <v>0</v>
      </c>
      <c r="K9278">
        <v>0</v>
      </c>
      <c r="L9278">
        <v>0</v>
      </c>
      <c r="M9278" t="s">
        <v>17</v>
      </c>
    </row>
    <row r="9279" spans="1:13" hidden="1" x14ac:dyDescent="0.15">
      <c r="A9279" t="s">
        <v>29179</v>
      </c>
      <c r="B9279" t="s">
        <v>29180</v>
      </c>
      <c r="C9279" t="s">
        <v>29181</v>
      </c>
      <c r="D9279" t="s">
        <v>29178</v>
      </c>
      <c r="E9279">
        <v>3</v>
      </c>
      <c r="F9279" t="str">
        <f>HYPERLINK("https://github.com/datastreamsio/moby-tracking-sdk/issues/3", "show")</f>
        <v>show</v>
      </c>
      <c r="G9279" t="str">
        <f>HYPERLINK("https://github.com/datastreamsio/moby-tracking-sdk", "show")</f>
        <v>show</v>
      </c>
      <c r="H9279" t="str">
        <f>HYPERLINK("https://github.com/datastreamsio/moby-tracking-sdk/releases", "show")</f>
        <v>show</v>
      </c>
      <c r="I9279">
        <v>1</v>
      </c>
      <c r="J9279">
        <v>0</v>
      </c>
      <c r="K9279">
        <v>0</v>
      </c>
      <c r="L9279">
        <v>0</v>
      </c>
      <c r="M9279" t="s">
        <v>17</v>
      </c>
    </row>
    <row r="9280" spans="1:13" hidden="1" x14ac:dyDescent="0.15">
      <c r="A9280" t="s">
        <v>29182</v>
      </c>
      <c r="B9280" t="s">
        <v>29183</v>
      </c>
      <c r="C9280" t="s">
        <v>29184</v>
      </c>
      <c r="D9280" t="s">
        <v>29185</v>
      </c>
      <c r="E9280">
        <v>183</v>
      </c>
      <c r="F9280" t="str">
        <f>HYPERLINK("https://github.com/commons-app/apps-android-commons/issues/1653", "show")</f>
        <v>show</v>
      </c>
      <c r="G9280" t="str">
        <f>HYPERLINK("https://github.com/commons-app/apps-android-commons", "show")</f>
        <v>show</v>
      </c>
      <c r="H9280" t="str">
        <f>HYPERLINK("https://github.com/commons-app/apps-android-commons/releases", "show")</f>
        <v>show</v>
      </c>
      <c r="I9280">
        <v>1</v>
      </c>
      <c r="J9280">
        <v>1</v>
      </c>
      <c r="K9280">
        <v>0</v>
      </c>
      <c r="L9280">
        <v>0</v>
      </c>
      <c r="M9280" t="s">
        <v>48</v>
      </c>
    </row>
    <row r="9281" spans="1:13" hidden="1" x14ac:dyDescent="0.15">
      <c r="A9281" t="s">
        <v>29186</v>
      </c>
      <c r="B9281" t="s">
        <v>29187</v>
      </c>
      <c r="C9281" t="s">
        <v>29188</v>
      </c>
      <c r="D9281" t="s">
        <v>29185</v>
      </c>
      <c r="E9281">
        <v>21</v>
      </c>
      <c r="F9281" t="str">
        <f>HYPERLINK("https://github.com/commons-app/apps-android-commons/issues/1648", "show")</f>
        <v>show</v>
      </c>
      <c r="G9281" t="str">
        <f>HYPERLINK("https://github.com/commons-app/apps-android-commons", "show")</f>
        <v>show</v>
      </c>
      <c r="H9281" t="str">
        <f>HYPERLINK("https://github.com/commons-app/apps-android-commons/releases", "show")</f>
        <v>show</v>
      </c>
      <c r="I9281">
        <v>0</v>
      </c>
      <c r="J9281">
        <v>0</v>
      </c>
      <c r="K9281">
        <v>1</v>
      </c>
      <c r="L9281">
        <v>0</v>
      </c>
      <c r="M9281" t="s">
        <v>122</v>
      </c>
    </row>
    <row r="9282" spans="1:13" hidden="1" x14ac:dyDescent="0.15">
      <c r="A9282" t="s">
        <v>29189</v>
      </c>
      <c r="B9282" t="s">
        <v>29190</v>
      </c>
      <c r="C9282" t="s">
        <v>29191</v>
      </c>
      <c r="D9282" t="s">
        <v>29185</v>
      </c>
      <c r="E9282">
        <v>0</v>
      </c>
      <c r="F9282" t="str">
        <f>HYPERLINK("https://github.com/innoveit/react-native-ble-manager/issues/343", "show")</f>
        <v>show</v>
      </c>
      <c r="G9282" t="str">
        <f>HYPERLINK("https://github.com/innoveit/react-native-ble-manager", "show")</f>
        <v>show</v>
      </c>
      <c r="H9282" t="str">
        <f>HYPERLINK("https://github.com/innoveit/react-native-ble-manager/releases", "show")</f>
        <v>show</v>
      </c>
      <c r="I9282">
        <v>0</v>
      </c>
      <c r="J9282">
        <v>0</v>
      </c>
      <c r="K9282">
        <v>1</v>
      </c>
      <c r="L9282">
        <v>0</v>
      </c>
      <c r="M9282" t="s">
        <v>122</v>
      </c>
    </row>
    <row r="9283" spans="1:13" hidden="1" x14ac:dyDescent="0.15">
      <c r="A9283" t="s">
        <v>29192</v>
      </c>
      <c r="B9283" t="s">
        <v>29193</v>
      </c>
      <c r="C9283" t="s">
        <v>29194</v>
      </c>
      <c r="D9283" t="s">
        <v>29195</v>
      </c>
      <c r="E9283">
        <v>15</v>
      </c>
      <c r="F9283" t="str">
        <f>HYPERLINK("https://github.com/Tinkoff/ScrollingPagerIndicator/issues/10", "show")</f>
        <v>show</v>
      </c>
      <c r="G9283" t="str">
        <f>HYPERLINK("https://github.com/Tinkoff/ScrollingPagerIndicator", "show")</f>
        <v>show</v>
      </c>
      <c r="H9283" t="str">
        <f>HYPERLINK("https://github.com/Tinkoff/ScrollingPagerIndicator/releases", "show")</f>
        <v>show</v>
      </c>
      <c r="I9283">
        <v>1</v>
      </c>
      <c r="J9283">
        <v>0</v>
      </c>
      <c r="K9283">
        <v>1</v>
      </c>
      <c r="L9283">
        <v>0</v>
      </c>
      <c r="M9283" t="s">
        <v>64</v>
      </c>
    </row>
    <row r="9284" spans="1:13" hidden="1" x14ac:dyDescent="0.15">
      <c r="A9284" t="s">
        <v>29196</v>
      </c>
      <c r="B9284" t="s">
        <v>29197</v>
      </c>
      <c r="C9284" t="s">
        <v>29198</v>
      </c>
      <c r="D9284" t="s">
        <v>29195</v>
      </c>
      <c r="E9284">
        <v>0</v>
      </c>
      <c r="F9284" t="str">
        <f>HYPERLINK("https://github.com/neXenio/BLE-Indoor-Positioning/issues/94", "show")</f>
        <v>show</v>
      </c>
      <c r="G9284" t="str">
        <f>HYPERLINK("https://github.com/neXenio/BLE-Indoor-Positioning", "show")</f>
        <v>show</v>
      </c>
      <c r="H9284" t="str">
        <f>HYPERLINK("https://github.com/neXenio/BLE-Indoor-Positioning/releases", "show")</f>
        <v>show</v>
      </c>
      <c r="I9284">
        <v>1</v>
      </c>
      <c r="J9284">
        <v>0</v>
      </c>
      <c r="K9284">
        <v>0</v>
      </c>
      <c r="L9284">
        <v>0</v>
      </c>
      <c r="M9284" t="s">
        <v>17</v>
      </c>
    </row>
    <row r="9285" spans="1:13" hidden="1" x14ac:dyDescent="0.15">
      <c r="A9285" t="s">
        <v>29199</v>
      </c>
      <c r="B9285" t="s">
        <v>29200</v>
      </c>
      <c r="C9285" t="s">
        <v>29201</v>
      </c>
      <c r="D9285" t="s">
        <v>29195</v>
      </c>
      <c r="E9285">
        <v>0</v>
      </c>
      <c r="F9285" t="str">
        <f>HYPERLINK("https://github.com/google/ExoPlayer/issues/4396", "show")</f>
        <v>show</v>
      </c>
      <c r="G9285" t="str">
        <f>HYPERLINK("https://github.com/google/ExoPlayer", "show")</f>
        <v>show</v>
      </c>
      <c r="H9285" t="str">
        <f>HYPERLINK("https://github.com/google/ExoPlayer/releases", "show")</f>
        <v>show</v>
      </c>
      <c r="I9285">
        <v>0</v>
      </c>
      <c r="J9285">
        <v>0</v>
      </c>
      <c r="K9285">
        <v>0</v>
      </c>
      <c r="L9285">
        <v>0</v>
      </c>
      <c r="M9285" t="s">
        <v>43</v>
      </c>
    </row>
    <row r="9286" spans="1:13" hidden="1" x14ac:dyDescent="0.15">
      <c r="A9286" t="s">
        <v>29202</v>
      </c>
      <c r="B9286" t="s">
        <v>29203</v>
      </c>
      <c r="C9286" t="s">
        <v>29204</v>
      </c>
      <c r="D9286" t="s">
        <v>29195</v>
      </c>
      <c r="E9286">
        <v>0</v>
      </c>
      <c r="F9286" t="str">
        <f>HYPERLINK("https://github.com/abrenoch/hyperion-android-grabber/issues/53", "show")</f>
        <v>show</v>
      </c>
      <c r="G9286" t="str">
        <f>HYPERLINK("https://github.com/abrenoch/hyperion-android-grabber", "show")</f>
        <v>show</v>
      </c>
      <c r="H9286" t="str">
        <f>HYPERLINK("https://github.com/abrenoch/hyperion-android-grabber/releases", "show")</f>
        <v>show</v>
      </c>
      <c r="I9286">
        <v>1</v>
      </c>
      <c r="J9286">
        <v>0</v>
      </c>
      <c r="K9286">
        <v>0</v>
      </c>
      <c r="L9286">
        <v>0</v>
      </c>
      <c r="M9286" t="s">
        <v>17</v>
      </c>
    </row>
    <row r="9287" spans="1:13" hidden="1" x14ac:dyDescent="0.15">
      <c r="A9287" t="s">
        <v>29205</v>
      </c>
      <c r="B9287" t="s">
        <v>29206</v>
      </c>
      <c r="D9287" t="s">
        <v>29207</v>
      </c>
      <c r="E9287">
        <v>4</v>
      </c>
      <c r="F9287" t="str">
        <f>HYPERLINK("https://github.com/Technion236272/2018b-StudyGroup/issues/80", "show")</f>
        <v>show</v>
      </c>
      <c r="G9287" t="str">
        <f>HYPERLINK("https://github.com/Technion236272/2018b-StudyGroup", "show")</f>
        <v>show</v>
      </c>
      <c r="H9287" t="str">
        <f>HYPERLINK("https://github.com/Technion236272/2018b-StudyGroup/releases", "show")</f>
        <v>show</v>
      </c>
      <c r="I9287">
        <v>1</v>
      </c>
      <c r="J9287">
        <v>0</v>
      </c>
      <c r="K9287">
        <v>0</v>
      </c>
      <c r="L9287">
        <v>0</v>
      </c>
      <c r="M9287" t="s">
        <v>17</v>
      </c>
    </row>
    <row r="9288" spans="1:13" hidden="1" x14ac:dyDescent="0.15">
      <c r="A9288" t="s">
        <v>29208</v>
      </c>
      <c r="B9288" t="s">
        <v>29209</v>
      </c>
      <c r="D9288" t="s">
        <v>29207</v>
      </c>
      <c r="E9288">
        <v>0</v>
      </c>
      <c r="F9288" t="str">
        <f>HYPERLINK("https://github.com/TsimpDim/PassBuy/issues/113", "show")</f>
        <v>show</v>
      </c>
      <c r="G9288" t="str">
        <f>HYPERLINK("https://github.com/TsimpDim/PassBuy", "show")</f>
        <v>show</v>
      </c>
      <c r="H9288" t="str">
        <f>HYPERLINK("https://github.com/TsimpDim/PassBuy/releases", "show")</f>
        <v>show</v>
      </c>
      <c r="I9288">
        <v>0</v>
      </c>
      <c r="J9288">
        <v>0</v>
      </c>
      <c r="K9288">
        <v>0</v>
      </c>
      <c r="L9288">
        <v>0</v>
      </c>
      <c r="M9288" t="s">
        <v>43</v>
      </c>
    </row>
    <row r="9289" spans="1:13" hidden="1" x14ac:dyDescent="0.15">
      <c r="A9289" t="s">
        <v>29210</v>
      </c>
      <c r="B9289" t="s">
        <v>29211</v>
      </c>
      <c r="C9289" t="s">
        <v>29212</v>
      </c>
      <c r="D9289" t="s">
        <v>29207</v>
      </c>
      <c r="E9289">
        <v>142</v>
      </c>
      <c r="F9289" t="str">
        <f>HYPERLINK("https://github.com/patrickfav/armadillo/issues/6", "show")</f>
        <v>show</v>
      </c>
      <c r="G9289" t="str">
        <f>HYPERLINK("https://github.com/patrickfav/armadillo", "show")</f>
        <v>show</v>
      </c>
      <c r="H9289" t="str">
        <f>HYPERLINK("https://github.com/patrickfav/armadillo/releases", "show")</f>
        <v>show</v>
      </c>
      <c r="I9289">
        <v>0</v>
      </c>
      <c r="J9289">
        <v>0</v>
      </c>
      <c r="K9289">
        <v>0</v>
      </c>
      <c r="L9289">
        <v>0</v>
      </c>
      <c r="M9289" t="s">
        <v>43</v>
      </c>
    </row>
    <row r="9290" spans="1:13" hidden="1" x14ac:dyDescent="0.15">
      <c r="A9290" t="s">
        <v>29213</v>
      </c>
      <c r="B9290" t="s">
        <v>29214</v>
      </c>
      <c r="C9290" t="s">
        <v>29215</v>
      </c>
      <c r="D9290" t="s">
        <v>29207</v>
      </c>
      <c r="E9290">
        <v>0</v>
      </c>
      <c r="F9290" t="str">
        <f>HYPERLINK("https://github.com/lgallard/qBittorrent-Controller/issues/164", "show")</f>
        <v>show</v>
      </c>
      <c r="G9290" t="str">
        <f>HYPERLINK("https://github.com/lgallard/qBittorrent-Controller", "show")</f>
        <v>show</v>
      </c>
      <c r="H9290" t="str">
        <f>HYPERLINK("https://github.com/lgallard/qBittorrent-Controller/releases", "show")</f>
        <v>show</v>
      </c>
      <c r="I9290">
        <v>1</v>
      </c>
      <c r="J9290">
        <v>0</v>
      </c>
      <c r="K9290">
        <v>0</v>
      </c>
      <c r="L9290">
        <v>0</v>
      </c>
      <c r="M9290" t="s">
        <v>17</v>
      </c>
    </row>
    <row r="9291" spans="1:13" hidden="1" x14ac:dyDescent="0.15">
      <c r="A9291" t="s">
        <v>29216</v>
      </c>
      <c r="B9291" t="s">
        <v>29217</v>
      </c>
      <c r="C9291" t="s">
        <v>29218</v>
      </c>
      <c r="D9291" t="s">
        <v>29219</v>
      </c>
      <c r="E9291">
        <v>11</v>
      </c>
      <c r="F9291" t="str">
        <f>HYPERLINK("https://github.com/react-native-camera/react-native-camera/issues/1646", "show")</f>
        <v>show</v>
      </c>
      <c r="G9291" t="str">
        <f>HYPERLINK("https://github.com/react-native-camera/react-native-camera", "show")</f>
        <v>show</v>
      </c>
      <c r="H9291" t="str">
        <f>HYPERLINK("https://github.com/react-native-camera/react-native-camera/releases", "show")</f>
        <v>show</v>
      </c>
      <c r="I9291">
        <v>0</v>
      </c>
      <c r="J9291">
        <v>0</v>
      </c>
      <c r="K9291">
        <v>1</v>
      </c>
      <c r="L9291">
        <v>0</v>
      </c>
      <c r="M9291" t="s">
        <v>122</v>
      </c>
    </row>
    <row r="9292" spans="1:13" hidden="1" x14ac:dyDescent="0.15">
      <c r="A9292" t="s">
        <v>29220</v>
      </c>
      <c r="B9292" t="s">
        <v>29221</v>
      </c>
      <c r="C9292" t="s">
        <v>29222</v>
      </c>
      <c r="D9292" t="s">
        <v>29219</v>
      </c>
      <c r="E9292">
        <v>1</v>
      </c>
      <c r="F9292" t="str">
        <f>HYPERLINK("https://github.com/commons-app/apps-android-commons/issues/1635", "show")</f>
        <v>show</v>
      </c>
      <c r="G9292" t="str">
        <f>HYPERLINK("https://github.com/commons-app/apps-android-commons", "show")</f>
        <v>show</v>
      </c>
      <c r="H9292" t="str">
        <f>HYPERLINK("https://github.com/commons-app/apps-android-commons/releases", "show")</f>
        <v>show</v>
      </c>
      <c r="I9292">
        <v>1</v>
      </c>
      <c r="J9292">
        <v>1</v>
      </c>
      <c r="K9292">
        <v>1</v>
      </c>
      <c r="L9292">
        <v>0</v>
      </c>
      <c r="M9292" t="s">
        <v>59</v>
      </c>
    </row>
    <row r="9293" spans="1:13" hidden="1" x14ac:dyDescent="0.15">
      <c r="A9293" t="s">
        <v>29223</v>
      </c>
      <c r="B9293" t="s">
        <v>29224</v>
      </c>
      <c r="C9293" t="s">
        <v>29225</v>
      </c>
      <c r="D9293" t="s">
        <v>29226</v>
      </c>
      <c r="E9293">
        <v>80</v>
      </c>
      <c r="F9293" t="str">
        <f>HYPERLINK("https://github.com/firebirdberlin/nightdream/issues/145", "show")</f>
        <v>show</v>
      </c>
      <c r="G9293" t="str">
        <f>HYPERLINK("https://github.com/firebirdberlin/nightdream", "show")</f>
        <v>show</v>
      </c>
      <c r="H9293" t="str">
        <f>HYPERLINK("https://github.com/firebirdberlin/nightdream/releases", "show")</f>
        <v>show</v>
      </c>
      <c r="I9293">
        <v>0</v>
      </c>
      <c r="J9293">
        <v>0</v>
      </c>
      <c r="K9293">
        <v>0</v>
      </c>
      <c r="L9293">
        <v>0</v>
      </c>
      <c r="M9293" t="s">
        <v>43</v>
      </c>
    </row>
    <row r="9294" spans="1:13" hidden="1" x14ac:dyDescent="0.15">
      <c r="A9294" t="s">
        <v>29227</v>
      </c>
      <c r="B9294" t="s">
        <v>29228</v>
      </c>
      <c r="C9294" t="s">
        <v>29229</v>
      </c>
      <c r="D9294" t="s">
        <v>29230</v>
      </c>
      <c r="E9294">
        <v>1</v>
      </c>
      <c r="F9294" t="str">
        <f>HYPERLINK("https://github.com/fossasia/pslab-android/issues/1059", "show")</f>
        <v>show</v>
      </c>
      <c r="G9294" t="str">
        <f>HYPERLINK("https://github.com/fossasia/pslab-android", "show")</f>
        <v>show</v>
      </c>
      <c r="H9294" t="str">
        <f>HYPERLINK("https://github.com/fossasia/pslab-android/releases", "show")</f>
        <v>show</v>
      </c>
      <c r="I9294">
        <v>1</v>
      </c>
      <c r="J9294">
        <v>1</v>
      </c>
      <c r="K9294">
        <v>1</v>
      </c>
      <c r="L9294">
        <v>0</v>
      </c>
      <c r="M9294" t="s">
        <v>59</v>
      </c>
    </row>
    <row r="9295" spans="1:13" hidden="1" x14ac:dyDescent="0.15">
      <c r="A9295" t="s">
        <v>29231</v>
      </c>
      <c r="B9295" t="s">
        <v>26910</v>
      </c>
      <c r="C9295" t="s">
        <v>29232</v>
      </c>
      <c r="D9295" t="s">
        <v>29233</v>
      </c>
      <c r="E9295">
        <v>244</v>
      </c>
      <c r="F9295" t="str">
        <f>HYPERLINK("https://github.com/particle-iot/spark-sdk-android/issues/50", "show")</f>
        <v>show</v>
      </c>
      <c r="G9295" t="str">
        <f>HYPERLINK("https://github.com/particle-iot/spark-sdk-android", "show")</f>
        <v>show</v>
      </c>
      <c r="H9295" t="str">
        <f>HYPERLINK("https://github.com/particle-iot/spark-sdk-android/releases", "show")</f>
        <v>show</v>
      </c>
      <c r="I9295">
        <v>1</v>
      </c>
      <c r="J9295">
        <v>0</v>
      </c>
      <c r="K9295">
        <v>0</v>
      </c>
      <c r="L9295">
        <v>0</v>
      </c>
      <c r="M9295" t="s">
        <v>17</v>
      </c>
    </row>
    <row r="9296" spans="1:13" hidden="1" x14ac:dyDescent="0.15">
      <c r="A9296" t="s">
        <v>29234</v>
      </c>
      <c r="B9296" t="s">
        <v>29235</v>
      </c>
      <c r="C9296" t="s">
        <v>29236</v>
      </c>
      <c r="D9296" t="s">
        <v>29233</v>
      </c>
      <c r="E9296">
        <v>0</v>
      </c>
      <c r="F9296" t="str">
        <f>HYPERLINK("https://github.com/TsimpDim/PassBuy/issues/100", "show")</f>
        <v>show</v>
      </c>
      <c r="G9296" t="str">
        <f>HYPERLINK("https://github.com/TsimpDim/PassBuy", "show")</f>
        <v>show</v>
      </c>
      <c r="H9296" t="str">
        <f>HYPERLINK("https://github.com/TsimpDim/PassBuy/releases", "show")</f>
        <v>show</v>
      </c>
      <c r="I9296">
        <v>0</v>
      </c>
      <c r="J9296">
        <v>0</v>
      </c>
      <c r="K9296">
        <v>0</v>
      </c>
      <c r="L9296">
        <v>0</v>
      </c>
      <c r="M9296" t="s">
        <v>43</v>
      </c>
    </row>
    <row r="9297" spans="1:13" hidden="1" x14ac:dyDescent="0.15">
      <c r="A9297" t="s">
        <v>29237</v>
      </c>
      <c r="B9297" t="s">
        <v>29238</v>
      </c>
      <c r="C9297" t="s">
        <v>29239</v>
      </c>
      <c r="D9297" t="s">
        <v>29240</v>
      </c>
      <c r="E9297">
        <v>34</v>
      </c>
      <c r="F9297" t="str">
        <f>HYPERLINK("https://github.com/hzi-braunschweig/SORMAS-Project/issues/638", "show")</f>
        <v>show</v>
      </c>
      <c r="G9297" t="str">
        <f>HYPERLINK("https://github.com/hzi-braunschweig/SORMAS-Project", "show")</f>
        <v>show</v>
      </c>
      <c r="H9297" t="str">
        <f>HYPERLINK("https://github.com/hzi-braunschweig/SORMAS-Project/releases", "show")</f>
        <v>show</v>
      </c>
      <c r="I9297">
        <v>1</v>
      </c>
      <c r="J9297">
        <v>0</v>
      </c>
      <c r="K9297">
        <v>0</v>
      </c>
      <c r="L9297">
        <v>0</v>
      </c>
      <c r="M9297" t="s">
        <v>17</v>
      </c>
    </row>
    <row r="9298" spans="1:13" hidden="1" x14ac:dyDescent="0.15">
      <c r="A9298" t="s">
        <v>29241</v>
      </c>
      <c r="B9298" t="s">
        <v>29242</v>
      </c>
      <c r="C9298" t="s">
        <v>29243</v>
      </c>
      <c r="D9298" t="s">
        <v>29240</v>
      </c>
      <c r="E9298">
        <v>246</v>
      </c>
      <c r="F9298" t="str">
        <f>HYPERLINK("https://github.com/dariuszseweryn/RxAndroidBle/issues/443", "show")</f>
        <v>show</v>
      </c>
      <c r="G9298" t="str">
        <f>HYPERLINK("https://github.com/dariuszseweryn/RxAndroidBle", "show")</f>
        <v>show</v>
      </c>
      <c r="H9298" t="str">
        <f>HYPERLINK("https://github.com/dariuszseweryn/RxAndroidBle/releases", "show")</f>
        <v>show</v>
      </c>
      <c r="I9298">
        <v>0</v>
      </c>
      <c r="J9298">
        <v>0</v>
      </c>
      <c r="K9298">
        <v>1</v>
      </c>
      <c r="L9298">
        <v>0</v>
      </c>
      <c r="M9298" t="s">
        <v>122</v>
      </c>
    </row>
    <row r="9299" spans="1:13" hidden="1" x14ac:dyDescent="0.15">
      <c r="A9299" t="s">
        <v>29244</v>
      </c>
      <c r="B9299" t="s">
        <v>29245</v>
      </c>
      <c r="C9299" t="s">
        <v>29246</v>
      </c>
      <c r="D9299" t="s">
        <v>29247</v>
      </c>
      <c r="E9299">
        <v>28</v>
      </c>
      <c r="F9299" t="str">
        <f>HYPERLINK("https://github.com/consp1racy/android-support-preference/issues/110", "show")</f>
        <v>show</v>
      </c>
      <c r="G9299" t="str">
        <f>HYPERLINK("https://github.com/consp1racy/android-support-preference", "show")</f>
        <v>show</v>
      </c>
      <c r="H9299" t="str">
        <f>HYPERLINK("https://github.com/consp1racy/android-support-preference/releases", "show")</f>
        <v>show</v>
      </c>
      <c r="I9299">
        <v>1</v>
      </c>
      <c r="J9299">
        <v>0</v>
      </c>
      <c r="K9299">
        <v>0</v>
      </c>
      <c r="L9299">
        <v>0</v>
      </c>
      <c r="M9299" t="s">
        <v>17</v>
      </c>
    </row>
    <row r="9300" spans="1:13" hidden="1" x14ac:dyDescent="0.15">
      <c r="A9300" t="s">
        <v>29248</v>
      </c>
      <c r="B9300" t="s">
        <v>29249</v>
      </c>
      <c r="C9300" t="s">
        <v>29250</v>
      </c>
      <c r="D9300" t="s">
        <v>29247</v>
      </c>
      <c r="E9300">
        <v>0</v>
      </c>
      <c r="F9300" t="str">
        <f>HYPERLINK("https://github.com/WeAreFairphone/FP2-Launcher/issues/28", "show")</f>
        <v>show</v>
      </c>
      <c r="G9300" t="str">
        <f>HYPERLINK("https://github.com/WeAreFairphone/FP2-Launcher", "show")</f>
        <v>show</v>
      </c>
      <c r="H9300" t="str">
        <f>HYPERLINK("https://github.com/WeAreFairphone/FP2-Launcher/releases", "show")</f>
        <v>show</v>
      </c>
      <c r="I9300">
        <v>1</v>
      </c>
      <c r="J9300">
        <v>1</v>
      </c>
      <c r="K9300">
        <v>0</v>
      </c>
      <c r="L9300">
        <v>1</v>
      </c>
      <c r="M9300" t="s">
        <v>1894</v>
      </c>
    </row>
    <row r="9301" spans="1:13" hidden="1" x14ac:dyDescent="0.15">
      <c r="A9301" t="s">
        <v>29251</v>
      </c>
      <c r="B9301" t="s">
        <v>29252</v>
      </c>
      <c r="D9301" t="s">
        <v>29247</v>
      </c>
      <c r="E9301">
        <v>0</v>
      </c>
      <c r="F9301" t="str">
        <f>HYPERLINK("https://github.com/Technion236272/2018b-StudyGroup/issues/74", "show")</f>
        <v>show</v>
      </c>
      <c r="G9301" t="str">
        <f>HYPERLINK("https://github.com/Technion236272/2018b-StudyGroup", "show")</f>
        <v>show</v>
      </c>
      <c r="H9301" t="str">
        <f>HYPERLINK("https://github.com/Technion236272/2018b-StudyGroup/releases", "show")</f>
        <v>show</v>
      </c>
      <c r="I9301">
        <v>1</v>
      </c>
      <c r="J9301">
        <v>0</v>
      </c>
      <c r="K9301">
        <v>0</v>
      </c>
      <c r="L9301">
        <v>0</v>
      </c>
      <c r="M9301" t="s">
        <v>17</v>
      </c>
    </row>
    <row r="9302" spans="1:13" hidden="1" x14ac:dyDescent="0.15">
      <c r="A9302" t="s">
        <v>29253</v>
      </c>
      <c r="B9302" t="s">
        <v>29254</v>
      </c>
      <c r="C9302" t="s">
        <v>29255</v>
      </c>
      <c r="D9302" t="s">
        <v>29247</v>
      </c>
      <c r="E9302">
        <v>20</v>
      </c>
      <c r="F9302" t="str">
        <f>HYPERLINK("https://github.com/iamMehedi/Secured-Preference-Store/issues/31", "show")</f>
        <v>show</v>
      </c>
      <c r="G9302" t="str">
        <f>HYPERLINK("https://github.com/iamMehedi/Secured-Preference-Store", "show")</f>
        <v>show</v>
      </c>
      <c r="H9302" t="str">
        <f>HYPERLINK("https://github.com/iamMehedi/Secured-Preference-Store/releases", "show")</f>
        <v>show</v>
      </c>
      <c r="I9302">
        <v>0</v>
      </c>
      <c r="J9302">
        <v>0</v>
      </c>
      <c r="K9302">
        <v>1</v>
      </c>
      <c r="L9302">
        <v>0</v>
      </c>
      <c r="M9302" t="s">
        <v>122</v>
      </c>
    </row>
    <row r="9303" spans="1:13" hidden="1" x14ac:dyDescent="0.15">
      <c r="A9303" t="s">
        <v>29256</v>
      </c>
      <c r="B9303" t="s">
        <v>29257</v>
      </c>
      <c r="C9303" t="s">
        <v>29258</v>
      </c>
      <c r="D9303" t="s">
        <v>29247</v>
      </c>
      <c r="E9303">
        <v>27</v>
      </c>
      <c r="F9303" t="str">
        <f>HYPERLINK("https://github.com/forcedotcom/SalesforceMobileSDK-CordovaPlugin/issues/407", "show")</f>
        <v>show</v>
      </c>
      <c r="G9303" t="str">
        <f>HYPERLINK("https://github.com/forcedotcom/SalesforceMobileSDK-CordovaPlugin", "show")</f>
        <v>show</v>
      </c>
      <c r="H9303" t="str">
        <f>HYPERLINK("https://github.com/forcedotcom/SalesforceMobileSDK-CordovaPlugin/releases", "show")</f>
        <v>show</v>
      </c>
      <c r="I9303">
        <v>1</v>
      </c>
      <c r="J9303">
        <v>0</v>
      </c>
      <c r="K9303">
        <v>0</v>
      </c>
      <c r="L9303">
        <v>1</v>
      </c>
      <c r="M9303" t="s">
        <v>29</v>
      </c>
    </row>
    <row r="9304" spans="1:13" hidden="1" x14ac:dyDescent="0.15">
      <c r="A9304" t="s">
        <v>29259</v>
      </c>
      <c r="B9304" t="s">
        <v>29260</v>
      </c>
      <c r="C9304" t="s">
        <v>29261</v>
      </c>
      <c r="D9304" t="s">
        <v>29247</v>
      </c>
      <c r="E9304">
        <v>469</v>
      </c>
      <c r="F9304" t="str">
        <f>HYPERLINK("https://github.com/TeamNewPipe/NewPipe/issues/1477", "show")</f>
        <v>show</v>
      </c>
      <c r="G9304" t="str">
        <f>HYPERLINK("https://github.com/TeamNewPipe/NewPipe", "show")</f>
        <v>show</v>
      </c>
      <c r="H9304" t="str">
        <f>HYPERLINK("https://github.com/TeamNewPipe/NewPipe/releases", "show")</f>
        <v>show</v>
      </c>
      <c r="I9304">
        <v>1</v>
      </c>
      <c r="J9304">
        <v>0</v>
      </c>
      <c r="K9304">
        <v>1</v>
      </c>
      <c r="L9304">
        <v>0</v>
      </c>
      <c r="M9304" t="s">
        <v>64</v>
      </c>
    </row>
    <row r="9305" spans="1:13" hidden="1" x14ac:dyDescent="0.15">
      <c r="A9305" t="s">
        <v>29262</v>
      </c>
      <c r="B9305" t="s">
        <v>29263</v>
      </c>
      <c r="C9305" t="s">
        <v>29264</v>
      </c>
      <c r="D9305" t="s">
        <v>29265</v>
      </c>
      <c r="E9305">
        <v>29</v>
      </c>
      <c r="F9305" t="str">
        <f>HYPERLINK("https://github.com/fossasia/pslab-android/issues/1022", "show")</f>
        <v>show</v>
      </c>
      <c r="G9305" t="str">
        <f>HYPERLINK("https://github.com/fossasia/pslab-android", "show")</f>
        <v>show</v>
      </c>
      <c r="H9305" t="str">
        <f>HYPERLINK("https://github.com/fossasia/pslab-android/releases", "show")</f>
        <v>show</v>
      </c>
      <c r="I9305">
        <v>1</v>
      </c>
      <c r="J9305">
        <v>0</v>
      </c>
      <c r="K9305">
        <v>0</v>
      </c>
      <c r="L9305">
        <v>0</v>
      </c>
      <c r="M9305" t="s">
        <v>17</v>
      </c>
    </row>
    <row r="9306" spans="1:13" hidden="1" x14ac:dyDescent="0.15">
      <c r="A9306" t="s">
        <v>29266</v>
      </c>
      <c r="B9306" t="s">
        <v>29267</v>
      </c>
      <c r="C9306" t="s">
        <v>29268</v>
      </c>
      <c r="D9306" t="s">
        <v>29265</v>
      </c>
      <c r="E9306">
        <v>5</v>
      </c>
      <c r="F9306" t="str">
        <f>HYPERLINK("https://github.com/syncthing/syncthing-android/issues/1133", "show")</f>
        <v>show</v>
      </c>
      <c r="G9306" t="str">
        <f>HYPERLINK("https://github.com/syncthing/syncthing-android", "show")</f>
        <v>show</v>
      </c>
      <c r="H9306" t="str">
        <f>HYPERLINK("https://github.com/syncthing/syncthing-android/releases", "show")</f>
        <v>show</v>
      </c>
      <c r="I9306">
        <v>1</v>
      </c>
      <c r="J9306">
        <v>0</v>
      </c>
      <c r="K9306">
        <v>0</v>
      </c>
      <c r="L9306">
        <v>0</v>
      </c>
      <c r="M9306" t="s">
        <v>17</v>
      </c>
    </row>
    <row r="9307" spans="1:13" hidden="1" x14ac:dyDescent="0.15">
      <c r="A9307" t="s">
        <v>29269</v>
      </c>
      <c r="B9307" t="s">
        <v>29270</v>
      </c>
      <c r="C9307" t="s">
        <v>29271</v>
      </c>
      <c r="D9307" t="s">
        <v>29265</v>
      </c>
      <c r="E9307">
        <v>0</v>
      </c>
      <c r="F9307" t="str">
        <f>HYPERLINK("https://github.com/novoda/download-manager/issues/398", "show")</f>
        <v>show</v>
      </c>
      <c r="G9307" t="str">
        <f>HYPERLINK("https://github.com/novoda/download-manager", "show")</f>
        <v>show</v>
      </c>
      <c r="H9307" t="str">
        <f>HYPERLINK("https://github.com/novoda/download-manager/releases", "show")</f>
        <v>show</v>
      </c>
      <c r="I9307">
        <v>1</v>
      </c>
      <c r="J9307">
        <v>0</v>
      </c>
      <c r="K9307">
        <v>0</v>
      </c>
      <c r="L9307">
        <v>0</v>
      </c>
      <c r="M9307" t="s">
        <v>17</v>
      </c>
    </row>
    <row r="9308" spans="1:13" hidden="1" x14ac:dyDescent="0.15">
      <c r="A9308" t="s">
        <v>29272</v>
      </c>
      <c r="B9308" t="s">
        <v>29273</v>
      </c>
      <c r="C9308" t="s">
        <v>29274</v>
      </c>
      <c r="D9308" t="s">
        <v>29265</v>
      </c>
      <c r="E9308">
        <v>39</v>
      </c>
      <c r="F9308" t="str">
        <f>HYPERLINK("https://github.com/evernote/android-job/issues/477", "show")</f>
        <v>show</v>
      </c>
      <c r="G9308" t="str">
        <f>HYPERLINK("https://github.com/evernote/android-job", "show")</f>
        <v>show</v>
      </c>
      <c r="H9308" t="str">
        <f>HYPERLINK("https://github.com/evernote/android-job/releases", "show")</f>
        <v>show</v>
      </c>
      <c r="I9308">
        <v>1</v>
      </c>
      <c r="J9308">
        <v>0</v>
      </c>
      <c r="K9308">
        <v>1</v>
      </c>
      <c r="L9308">
        <v>0</v>
      </c>
      <c r="M9308" t="s">
        <v>64</v>
      </c>
    </row>
    <row r="9309" spans="1:13" hidden="1" x14ac:dyDescent="0.15">
      <c r="A9309" t="s">
        <v>29275</v>
      </c>
      <c r="B9309" t="s">
        <v>29276</v>
      </c>
      <c r="C9309" t="s">
        <v>29277</v>
      </c>
      <c r="D9309" t="s">
        <v>29265</v>
      </c>
      <c r="E9309">
        <v>2</v>
      </c>
      <c r="F9309" t="str">
        <f>HYPERLINK("https://github.com/nextcloud/android/issues/2702", "show")</f>
        <v>show</v>
      </c>
      <c r="G9309" t="str">
        <f>HYPERLINK("https://github.com/nextcloud/android", "show")</f>
        <v>show</v>
      </c>
      <c r="H9309" t="str">
        <f>HYPERLINK("https://github.com/nextcloud/android/releases", "show")</f>
        <v>show</v>
      </c>
      <c r="I9309">
        <v>0</v>
      </c>
      <c r="J9309">
        <v>0</v>
      </c>
      <c r="K9309">
        <v>0</v>
      </c>
      <c r="L9309">
        <v>0</v>
      </c>
      <c r="M9309" t="s">
        <v>43</v>
      </c>
    </row>
    <row r="9310" spans="1:13" hidden="1" x14ac:dyDescent="0.15">
      <c r="A9310" t="s">
        <v>29278</v>
      </c>
      <c r="B9310" t="s">
        <v>29279</v>
      </c>
      <c r="C9310" t="s">
        <v>29280</v>
      </c>
      <c r="D9310" t="s">
        <v>29265</v>
      </c>
      <c r="E9310">
        <v>105</v>
      </c>
      <c r="F9310" t="str">
        <f>HYPERLINK("https://github.com/yayaa/LocationManager/issues/84", "show")</f>
        <v>show</v>
      </c>
      <c r="G9310" t="str">
        <f>HYPERLINK("https://github.com/yayaa/LocationManager", "show")</f>
        <v>show</v>
      </c>
      <c r="H9310" t="str">
        <f>HYPERLINK("https://github.com/yayaa/LocationManager/releases", "show")</f>
        <v>show</v>
      </c>
      <c r="I9310">
        <v>1</v>
      </c>
      <c r="J9310">
        <v>0</v>
      </c>
      <c r="K9310">
        <v>1</v>
      </c>
      <c r="L9310">
        <v>0</v>
      </c>
      <c r="M9310" t="s">
        <v>64</v>
      </c>
    </row>
    <row r="9311" spans="1:13" hidden="1" x14ac:dyDescent="0.15">
      <c r="A9311" t="s">
        <v>29281</v>
      </c>
      <c r="B9311" t="s">
        <v>29282</v>
      </c>
      <c r="C9311" t="s">
        <v>29283</v>
      </c>
      <c r="D9311" t="s">
        <v>29284</v>
      </c>
      <c r="E9311">
        <v>36</v>
      </c>
      <c r="F9311" t="str">
        <f>HYPERLINK("https://github.com/amirzaidi/Launcher3/issues/510", "show")</f>
        <v>show</v>
      </c>
      <c r="G9311" t="str">
        <f>HYPERLINK("https://github.com/amirzaidi/Launcher3", "show")</f>
        <v>show</v>
      </c>
      <c r="H9311" t="str">
        <f>HYPERLINK("https://github.com/amirzaidi/Launcher3/releases", "show")</f>
        <v>show</v>
      </c>
      <c r="I9311">
        <v>1</v>
      </c>
      <c r="J9311">
        <v>0</v>
      </c>
      <c r="K9311">
        <v>1</v>
      </c>
      <c r="L9311">
        <v>0</v>
      </c>
      <c r="M9311" t="s">
        <v>64</v>
      </c>
    </row>
    <row r="9312" spans="1:13" hidden="1" x14ac:dyDescent="0.15">
      <c r="A9312" t="s">
        <v>29285</v>
      </c>
      <c r="B9312" t="s">
        <v>29286</v>
      </c>
      <c r="D9312" t="s">
        <v>29284</v>
      </c>
      <c r="E9312">
        <v>7</v>
      </c>
      <c r="F9312" t="str">
        <f>HYPERLINK("https://github.com/maks/MGit/issues/367", "show")</f>
        <v>show</v>
      </c>
      <c r="G9312" t="str">
        <f>HYPERLINK("https://github.com/maks/MGit", "show")</f>
        <v>show</v>
      </c>
      <c r="H9312" t="str">
        <f>HYPERLINK("https://github.com/maks/MGit/releases", "show")</f>
        <v>show</v>
      </c>
      <c r="I9312">
        <v>1</v>
      </c>
      <c r="J9312">
        <v>0</v>
      </c>
      <c r="K9312">
        <v>0</v>
      </c>
      <c r="L9312">
        <v>0</v>
      </c>
      <c r="M9312" t="s">
        <v>17</v>
      </c>
    </row>
    <row r="9313" spans="1:13" hidden="1" x14ac:dyDescent="0.15">
      <c r="A9313" t="s">
        <v>29287</v>
      </c>
      <c r="B9313" t="s">
        <v>29288</v>
      </c>
      <c r="C9313" t="s">
        <v>29289</v>
      </c>
      <c r="D9313" t="s">
        <v>29284</v>
      </c>
      <c r="E9313">
        <v>34</v>
      </c>
      <c r="F9313" t="str">
        <f>HYPERLINK("https://github.com/maks/MGit/issues/366", "show")</f>
        <v>show</v>
      </c>
      <c r="G9313" t="str">
        <f>HYPERLINK("https://github.com/maks/MGit", "show")</f>
        <v>show</v>
      </c>
      <c r="H9313" t="str">
        <f>HYPERLINK("https://github.com/maks/MGit/releases", "show")</f>
        <v>show</v>
      </c>
      <c r="I9313">
        <v>1</v>
      </c>
      <c r="J9313">
        <v>0</v>
      </c>
      <c r="K9313">
        <v>1</v>
      </c>
      <c r="L9313">
        <v>0</v>
      </c>
      <c r="M9313" t="s">
        <v>64</v>
      </c>
    </row>
    <row r="9314" spans="1:13" hidden="1" x14ac:dyDescent="0.15">
      <c r="A9314" t="s">
        <v>29290</v>
      </c>
      <c r="B9314" t="s">
        <v>29291</v>
      </c>
      <c r="C9314" t="s">
        <v>29292</v>
      </c>
      <c r="D9314" t="s">
        <v>29284</v>
      </c>
      <c r="E9314">
        <v>0</v>
      </c>
      <c r="F9314" t="str">
        <f>HYPERLINK("https://github.com/neXenio/BLE-Indoor-Positioning/issues/86", "show")</f>
        <v>show</v>
      </c>
      <c r="G9314" t="str">
        <f>HYPERLINK("https://github.com/neXenio/BLE-Indoor-Positioning", "show")</f>
        <v>show</v>
      </c>
      <c r="H9314" t="str">
        <f>HYPERLINK("https://github.com/neXenio/BLE-Indoor-Positioning/releases", "show")</f>
        <v>show</v>
      </c>
      <c r="I9314">
        <v>1</v>
      </c>
      <c r="J9314">
        <v>0</v>
      </c>
      <c r="K9314">
        <v>0</v>
      </c>
      <c r="L9314">
        <v>0</v>
      </c>
      <c r="M9314" t="s">
        <v>17</v>
      </c>
    </row>
    <row r="9315" spans="1:13" hidden="1" x14ac:dyDescent="0.15">
      <c r="A9315" t="s">
        <v>29293</v>
      </c>
      <c r="B9315" t="s">
        <v>29294</v>
      </c>
      <c r="C9315" t="s">
        <v>29295</v>
      </c>
      <c r="D9315" t="s">
        <v>29284</v>
      </c>
      <c r="E9315">
        <v>88</v>
      </c>
      <c r="F9315" t="str">
        <f>HYPERLINK("https://github.com/lfuelling/lrkFM/issues/24", "show")</f>
        <v>show</v>
      </c>
      <c r="G9315" t="str">
        <f>HYPERLINK("https://github.com/lfuelling/lrkFM", "show")</f>
        <v>show</v>
      </c>
      <c r="H9315" t="str">
        <f>HYPERLINK("https://github.com/lfuelling/lrkFM/releases", "show")</f>
        <v>show</v>
      </c>
      <c r="I9315">
        <v>1</v>
      </c>
      <c r="J9315">
        <v>0</v>
      </c>
      <c r="K9315">
        <v>1</v>
      </c>
      <c r="L9315">
        <v>0</v>
      </c>
      <c r="M9315" t="s">
        <v>64</v>
      </c>
    </row>
    <row r="9316" spans="1:13" hidden="1" x14ac:dyDescent="0.15">
      <c r="A9316" t="s">
        <v>29296</v>
      </c>
      <c r="B9316" t="s">
        <v>29297</v>
      </c>
      <c r="C9316" t="s">
        <v>29298</v>
      </c>
      <c r="D9316" t="s">
        <v>29284</v>
      </c>
      <c r="E9316">
        <v>32</v>
      </c>
      <c r="F9316" t="str">
        <f>HYPERLINK("https://github.com/fossasia/pslab-android/issues/1011", "show")</f>
        <v>show</v>
      </c>
      <c r="G9316" t="str">
        <f>HYPERLINK("https://github.com/fossasia/pslab-android", "show")</f>
        <v>show</v>
      </c>
      <c r="H9316" t="str">
        <f>HYPERLINK("https://github.com/fossasia/pslab-android/releases", "show")</f>
        <v>show</v>
      </c>
      <c r="I9316">
        <v>1</v>
      </c>
      <c r="J9316">
        <v>0</v>
      </c>
      <c r="K9316">
        <v>1</v>
      </c>
      <c r="L9316">
        <v>1</v>
      </c>
      <c r="M9316" t="s">
        <v>1259</v>
      </c>
    </row>
    <row r="9317" spans="1:13" hidden="1" x14ac:dyDescent="0.15">
      <c r="A9317" t="s">
        <v>29299</v>
      </c>
      <c r="B9317" t="s">
        <v>29300</v>
      </c>
      <c r="C9317" t="s">
        <v>504</v>
      </c>
      <c r="D9317" t="s">
        <v>29301</v>
      </c>
      <c r="E9317">
        <v>192</v>
      </c>
      <c r="F9317" t="str">
        <f>HYPERLINK("https://github.com/niclabs/adkintunmobile-androidclient/issues/194", "show")</f>
        <v>show</v>
      </c>
      <c r="G9317" t="str">
        <f>HYPERLINK("https://github.com/niclabs/adkintunmobile-androidclient", "show")</f>
        <v>show</v>
      </c>
      <c r="H9317" t="str">
        <f>HYPERLINK("https://github.com/niclabs/adkintunmobile-androidclient/releases", "show")</f>
        <v>show</v>
      </c>
      <c r="I9317">
        <v>1</v>
      </c>
      <c r="J9317">
        <v>0</v>
      </c>
      <c r="K9317">
        <v>0</v>
      </c>
      <c r="L9317">
        <v>0</v>
      </c>
      <c r="M9317" t="s">
        <v>17</v>
      </c>
    </row>
    <row r="9318" spans="1:13" hidden="1" x14ac:dyDescent="0.15">
      <c r="A9318" t="s">
        <v>29302</v>
      </c>
      <c r="B9318" t="s">
        <v>29303</v>
      </c>
      <c r="C9318" t="s">
        <v>29304</v>
      </c>
      <c r="D9318" t="s">
        <v>29301</v>
      </c>
      <c r="E9318">
        <v>443</v>
      </c>
      <c r="F9318" t="str">
        <f>HYPERLINK("https://github.com/TeamNewPipe/NewPipe/issues/1467", "show")</f>
        <v>show</v>
      </c>
      <c r="G9318" t="str">
        <f>HYPERLINK("https://github.com/TeamNewPipe/NewPipe", "show")</f>
        <v>show</v>
      </c>
      <c r="H9318" t="str">
        <f>HYPERLINK("https://github.com/TeamNewPipe/NewPipe/releases", "show")</f>
        <v>show</v>
      </c>
      <c r="I9318">
        <v>1</v>
      </c>
      <c r="J9318">
        <v>0</v>
      </c>
      <c r="K9318">
        <v>0</v>
      </c>
      <c r="L9318">
        <v>0</v>
      </c>
      <c r="M9318" t="s">
        <v>17</v>
      </c>
    </row>
    <row r="9319" spans="1:13" hidden="1" x14ac:dyDescent="0.15">
      <c r="A9319" t="s">
        <v>29305</v>
      </c>
      <c r="B9319" t="s">
        <v>29306</v>
      </c>
      <c r="C9319" t="s">
        <v>29307</v>
      </c>
      <c r="D9319" t="s">
        <v>29308</v>
      </c>
      <c r="E9319">
        <v>2</v>
      </c>
      <c r="F9319" t="str">
        <f>HYPERLINK("https://github.com/nextcloud/android/issues/2695", "show")</f>
        <v>show</v>
      </c>
      <c r="G9319" t="str">
        <f>HYPERLINK("https://github.com/nextcloud/android", "show")</f>
        <v>show</v>
      </c>
      <c r="H9319" t="str">
        <f>HYPERLINK("https://github.com/nextcloud/android/releases", "show")</f>
        <v>show</v>
      </c>
      <c r="I9319">
        <v>1</v>
      </c>
      <c r="J9319">
        <v>1</v>
      </c>
      <c r="K9319">
        <v>1</v>
      </c>
      <c r="L9319">
        <v>0</v>
      </c>
      <c r="M9319" t="s">
        <v>59</v>
      </c>
    </row>
    <row r="9320" spans="1:13" hidden="1" x14ac:dyDescent="0.15">
      <c r="A9320" t="s">
        <v>29309</v>
      </c>
      <c r="B9320" t="s">
        <v>29310</v>
      </c>
      <c r="C9320" t="s">
        <v>29311</v>
      </c>
      <c r="D9320" t="s">
        <v>29308</v>
      </c>
      <c r="E9320">
        <v>279</v>
      </c>
      <c r="F9320" t="str">
        <f>HYPERLINK("https://github.com/commons-app/apps-android-commons/issues/1600", "show")</f>
        <v>show</v>
      </c>
      <c r="G9320" t="str">
        <f>HYPERLINK("https://github.com/commons-app/apps-android-commons", "show")</f>
        <v>show</v>
      </c>
      <c r="H9320" t="str">
        <f>HYPERLINK("https://github.com/commons-app/apps-android-commons/releases", "show")</f>
        <v>show</v>
      </c>
      <c r="I9320">
        <v>0</v>
      </c>
      <c r="J9320">
        <v>0</v>
      </c>
      <c r="K9320">
        <v>1</v>
      </c>
      <c r="L9320">
        <v>0</v>
      </c>
      <c r="M9320" t="s">
        <v>122</v>
      </c>
    </row>
    <row r="9321" spans="1:13" hidden="1" x14ac:dyDescent="0.15">
      <c r="A9321" t="s">
        <v>29312</v>
      </c>
      <c r="B9321" t="s">
        <v>29313</v>
      </c>
      <c r="C9321" t="s">
        <v>29314</v>
      </c>
      <c r="D9321" t="s">
        <v>29308</v>
      </c>
      <c r="E9321">
        <v>56</v>
      </c>
      <c r="F9321" t="str">
        <f>HYPERLINK("https://github.com/react-native-camera/react-native-camera/issues/1617", "show")</f>
        <v>show</v>
      </c>
      <c r="G9321" t="str">
        <f>HYPERLINK("https://github.com/react-native-camera/react-native-camera", "show")</f>
        <v>show</v>
      </c>
      <c r="H9321" t="str">
        <f>HYPERLINK("https://github.com/react-native-camera/react-native-camera/releases", "show")</f>
        <v>show</v>
      </c>
      <c r="I9321">
        <v>1</v>
      </c>
      <c r="J9321">
        <v>1</v>
      </c>
      <c r="K9321">
        <v>0</v>
      </c>
      <c r="L9321">
        <v>1</v>
      </c>
      <c r="M9321" t="s">
        <v>1894</v>
      </c>
    </row>
    <row r="9322" spans="1:13" hidden="1" x14ac:dyDescent="0.15">
      <c r="A9322" t="s">
        <v>29315</v>
      </c>
      <c r="B9322" t="s">
        <v>29316</v>
      </c>
      <c r="C9322" t="s">
        <v>29317</v>
      </c>
      <c r="D9322" t="s">
        <v>29308</v>
      </c>
      <c r="E9322">
        <v>10</v>
      </c>
      <c r="F9322" t="str">
        <f>HYPERLINK("https://github.com/Pulimet/ExoPlayer-Wrapper/issues/2", "show")</f>
        <v>show</v>
      </c>
      <c r="G9322" t="str">
        <f>HYPERLINK("https://github.com/Pulimet/ExoPlayer-Wrapper", "show")</f>
        <v>show</v>
      </c>
      <c r="H9322" t="str">
        <f>HYPERLINK("https://github.com/Pulimet/ExoPlayer-Wrapper/releases", "show")</f>
        <v>show</v>
      </c>
      <c r="I9322">
        <v>1</v>
      </c>
      <c r="J9322">
        <v>0</v>
      </c>
      <c r="K9322">
        <v>1</v>
      </c>
      <c r="L9322">
        <v>0</v>
      </c>
      <c r="M9322" t="s">
        <v>64</v>
      </c>
    </row>
    <row r="9323" spans="1:13" hidden="1" x14ac:dyDescent="0.15">
      <c r="A9323" t="s">
        <v>29318</v>
      </c>
      <c r="B9323" t="s">
        <v>29319</v>
      </c>
      <c r="C9323" t="s">
        <v>29320</v>
      </c>
      <c r="D9323" t="s">
        <v>29308</v>
      </c>
      <c r="E9323">
        <v>378</v>
      </c>
      <c r="F9323" t="str">
        <f>HYPERLINK("https://github.com/Intelehealth/Android-Mobile-Client/issues/468", "show")</f>
        <v>show</v>
      </c>
      <c r="G9323" t="str">
        <f>HYPERLINK("https://github.com/Intelehealth/Android-Mobile-Client", "show")</f>
        <v>show</v>
      </c>
      <c r="H9323" t="str">
        <f>HYPERLINK("https://github.com/Intelehealth/Android-Mobile-Client/releases", "show")</f>
        <v>show</v>
      </c>
      <c r="I9323">
        <v>1</v>
      </c>
      <c r="J9323">
        <v>0</v>
      </c>
      <c r="K9323">
        <v>0</v>
      </c>
      <c r="L9323">
        <v>0</v>
      </c>
      <c r="M9323" t="s">
        <v>17</v>
      </c>
    </row>
    <row r="9324" spans="1:13" hidden="1" x14ac:dyDescent="0.15">
      <c r="A9324" t="s">
        <v>29321</v>
      </c>
      <c r="B9324" t="s">
        <v>29322</v>
      </c>
      <c r="C9324" t="s">
        <v>29323</v>
      </c>
      <c r="D9324" t="s">
        <v>29324</v>
      </c>
      <c r="E9324">
        <v>275</v>
      </c>
      <c r="F9324" t="str">
        <f>HYPERLINK("https://github.com/k9mail/k-9/issues/3431", "show")</f>
        <v>show</v>
      </c>
      <c r="G9324" t="str">
        <f>HYPERLINK("https://github.com/k9mail/k-9", "show")</f>
        <v>show</v>
      </c>
      <c r="H9324" t="str">
        <f>HYPERLINK("https://github.com/k9mail/k-9/releases", "show")</f>
        <v>show</v>
      </c>
      <c r="I9324">
        <v>1</v>
      </c>
      <c r="J9324">
        <v>1</v>
      </c>
      <c r="K9324">
        <v>0</v>
      </c>
      <c r="L9324">
        <v>0</v>
      </c>
      <c r="M9324" t="s">
        <v>48</v>
      </c>
    </row>
    <row r="9325" spans="1:13" hidden="1" x14ac:dyDescent="0.15">
      <c r="A9325" t="s">
        <v>29325</v>
      </c>
      <c r="B9325" t="s">
        <v>29326</v>
      </c>
      <c r="C9325" t="s">
        <v>29327</v>
      </c>
      <c r="D9325" t="s">
        <v>29324</v>
      </c>
      <c r="E9325">
        <v>367</v>
      </c>
      <c r="F9325" t="str">
        <f>HYPERLINK("https://github.com/react-native-camera/react-native-camera/issues/1613", "show")</f>
        <v>show</v>
      </c>
      <c r="G9325" t="str">
        <f>HYPERLINK("https://github.com/react-native-camera/react-native-camera", "show")</f>
        <v>show</v>
      </c>
      <c r="H9325" t="str">
        <f>HYPERLINK("https://github.com/react-native-camera/react-native-camera/releases", "show")</f>
        <v>show</v>
      </c>
      <c r="I9325">
        <v>1</v>
      </c>
      <c r="J9325">
        <v>1</v>
      </c>
      <c r="K9325">
        <v>0</v>
      </c>
      <c r="L9325">
        <v>0</v>
      </c>
      <c r="M9325" t="s">
        <v>48</v>
      </c>
    </row>
    <row r="9326" spans="1:13" hidden="1" x14ac:dyDescent="0.15">
      <c r="A9326" t="s">
        <v>29328</v>
      </c>
      <c r="B9326" t="s">
        <v>29329</v>
      </c>
      <c r="C9326" t="s">
        <v>29330</v>
      </c>
      <c r="D9326" t="s">
        <v>29324</v>
      </c>
      <c r="E9326">
        <v>5</v>
      </c>
      <c r="F9326" t="str">
        <f>HYPERLINK("https://github.com/project-travel-mate/Travel-Mate/issues/65", "show")</f>
        <v>show</v>
      </c>
      <c r="G9326" t="str">
        <f>HYPERLINK("https://github.com/project-travel-mate/Travel-Mate", "show")</f>
        <v>show</v>
      </c>
      <c r="H9326" t="str">
        <f>HYPERLINK("https://github.com/project-travel-mate/Travel-Mate/releases", "show")</f>
        <v>show</v>
      </c>
      <c r="I9326">
        <v>1</v>
      </c>
      <c r="J9326">
        <v>0</v>
      </c>
      <c r="K9326">
        <v>0</v>
      </c>
      <c r="L9326">
        <v>0</v>
      </c>
      <c r="M9326" t="s">
        <v>17</v>
      </c>
    </row>
    <row r="9327" spans="1:13" hidden="1" x14ac:dyDescent="0.15">
      <c r="A9327" t="s">
        <v>29331</v>
      </c>
      <c r="B9327" t="s">
        <v>29332</v>
      </c>
      <c r="C9327" t="s">
        <v>29333</v>
      </c>
      <c r="D9327" t="s">
        <v>29324</v>
      </c>
      <c r="E9327">
        <v>0</v>
      </c>
      <c r="F9327" t="str">
        <f>HYPERLINK("https://github.com/UglyShirtTrio/SummerSunSet/issues/1", "show")</f>
        <v>show</v>
      </c>
      <c r="G9327" t="str">
        <f>HYPERLINK("https://github.com/UglyShirtTrio/SummerSunSet", "show")</f>
        <v>show</v>
      </c>
      <c r="H9327" t="str">
        <f>HYPERLINK("https://github.com/UglyShirtTrio/SummerSunSet/releases", "show")</f>
        <v>show</v>
      </c>
      <c r="I9327">
        <v>1</v>
      </c>
      <c r="J9327">
        <v>0</v>
      </c>
      <c r="K9327">
        <v>0</v>
      </c>
      <c r="L9327">
        <v>0</v>
      </c>
      <c r="M9327" t="s">
        <v>17</v>
      </c>
    </row>
    <row r="9328" spans="1:13" hidden="1" x14ac:dyDescent="0.15">
      <c r="A9328" t="s">
        <v>29334</v>
      </c>
      <c r="B9328" t="s">
        <v>29335</v>
      </c>
      <c r="C9328" t="s">
        <v>29336</v>
      </c>
      <c r="D9328" t="s">
        <v>29324</v>
      </c>
      <c r="E9328">
        <v>2</v>
      </c>
      <c r="F9328" t="str">
        <f>HYPERLINK("https://github.com/forrestguice/SuntimesWidget/issues/212", "show")</f>
        <v>show</v>
      </c>
      <c r="G9328" t="str">
        <f>HYPERLINK("https://github.com/forrestguice/SuntimesWidget", "show")</f>
        <v>show</v>
      </c>
      <c r="H9328" t="str">
        <f>HYPERLINK("https://github.com/forrestguice/SuntimesWidget/releases", "show")</f>
        <v>show</v>
      </c>
      <c r="I9328">
        <v>1</v>
      </c>
      <c r="J9328">
        <v>0</v>
      </c>
      <c r="K9328">
        <v>0</v>
      </c>
      <c r="L9328">
        <v>0</v>
      </c>
      <c r="M9328" t="s">
        <v>17</v>
      </c>
    </row>
    <row r="9329" spans="1:13" x14ac:dyDescent="0.15">
      <c r="A9329" t="s">
        <v>29337</v>
      </c>
      <c r="B9329" t="s">
        <v>29338</v>
      </c>
      <c r="C9329" t="s">
        <v>29339</v>
      </c>
      <c r="D9329" t="s">
        <v>29340</v>
      </c>
      <c r="E9329">
        <v>29</v>
      </c>
      <c r="F9329" t="str">
        <f>HYPERLINK("https://github.com/nextcloud/android/issues/2688", "show")</f>
        <v>show</v>
      </c>
      <c r="G9329" t="str">
        <f>HYPERLINK("https://github.com/nextcloud/android", "show")</f>
        <v>show</v>
      </c>
      <c r="H9329" t="str">
        <f>HYPERLINK("https://github.com/nextcloud/android/releases", "show")</f>
        <v>show</v>
      </c>
      <c r="I9329">
        <v>0</v>
      </c>
      <c r="J9329">
        <v>1</v>
      </c>
      <c r="K9329">
        <v>0</v>
      </c>
      <c r="L9329">
        <v>0</v>
      </c>
      <c r="M9329" t="s">
        <v>139</v>
      </c>
    </row>
    <row r="9330" spans="1:13" hidden="1" x14ac:dyDescent="0.15">
      <c r="A9330" t="s">
        <v>29341</v>
      </c>
      <c r="B9330" t="s">
        <v>29342</v>
      </c>
      <c r="C9330" t="s">
        <v>29343</v>
      </c>
      <c r="D9330" t="s">
        <v>29340</v>
      </c>
      <c r="E9330">
        <v>35</v>
      </c>
      <c r="F9330" t="str">
        <f>HYPERLINK("https://github.com/getodk/collect/issues/2268", "show")</f>
        <v>show</v>
      </c>
      <c r="G9330" t="str">
        <f>HYPERLINK("https://github.com/getodk/collect", "show")</f>
        <v>show</v>
      </c>
      <c r="H9330" t="str">
        <f>HYPERLINK("https://github.com/getodk/collect/releases", "show")</f>
        <v>show</v>
      </c>
      <c r="I9330">
        <v>0</v>
      </c>
      <c r="J9330">
        <v>0</v>
      </c>
      <c r="K9330">
        <v>1</v>
      </c>
      <c r="L9330">
        <v>0</v>
      </c>
      <c r="M9330" t="s">
        <v>122</v>
      </c>
    </row>
    <row r="9331" spans="1:13" hidden="1" x14ac:dyDescent="0.15">
      <c r="A9331" t="s">
        <v>29344</v>
      </c>
      <c r="B9331" t="s">
        <v>29345</v>
      </c>
      <c r="C9331" t="s">
        <v>29346</v>
      </c>
      <c r="D9331" t="s">
        <v>29340</v>
      </c>
      <c r="E9331">
        <v>708</v>
      </c>
      <c r="F9331" t="str">
        <f>HYPERLINK("https://github.com/andOTP/andOTP/issues/188", "show")</f>
        <v>show</v>
      </c>
      <c r="G9331" t="str">
        <f>HYPERLINK("https://github.com/andOTP/andOTP", "show")</f>
        <v>show</v>
      </c>
      <c r="H9331" t="str">
        <f>HYPERLINK("https://github.com/andOTP/andOTP/releases", "show")</f>
        <v>show</v>
      </c>
      <c r="I9331">
        <v>1</v>
      </c>
      <c r="J9331">
        <v>0</v>
      </c>
      <c r="K9331">
        <v>1</v>
      </c>
      <c r="L9331">
        <v>0</v>
      </c>
      <c r="M9331" t="s">
        <v>64</v>
      </c>
    </row>
    <row r="9332" spans="1:13" hidden="1" x14ac:dyDescent="0.15">
      <c r="A9332" t="s">
        <v>29347</v>
      </c>
      <c r="B9332" t="s">
        <v>29348</v>
      </c>
      <c r="C9332" t="s">
        <v>29349</v>
      </c>
      <c r="D9332" t="s">
        <v>29340</v>
      </c>
      <c r="E9332">
        <v>30</v>
      </c>
      <c r="F9332" t="str">
        <f>HYPERLINK("https://github.com/seemoo-lab/fitness-app/issues/21", "show")</f>
        <v>show</v>
      </c>
      <c r="G9332" t="str">
        <f>HYPERLINK("https://github.com/seemoo-lab/fitness-app", "show")</f>
        <v>show</v>
      </c>
      <c r="H9332" t="str">
        <f>HYPERLINK("https://github.com/seemoo-lab/fitness-app/releases", "show")</f>
        <v>show</v>
      </c>
      <c r="I9332">
        <v>1</v>
      </c>
      <c r="J9332">
        <v>0</v>
      </c>
      <c r="K9332">
        <v>0</v>
      </c>
      <c r="L9332">
        <v>0</v>
      </c>
      <c r="M9332" t="s">
        <v>17</v>
      </c>
    </row>
    <row r="9333" spans="1:13" hidden="1" x14ac:dyDescent="0.15">
      <c r="A9333" t="s">
        <v>29350</v>
      </c>
      <c r="B9333" t="s">
        <v>29351</v>
      </c>
      <c r="C9333" t="s">
        <v>29352</v>
      </c>
      <c r="D9333" t="s">
        <v>29340</v>
      </c>
      <c r="E9333">
        <v>4</v>
      </c>
      <c r="F9333" t="str">
        <f>HYPERLINK("https://github.com/nextcloud/android/issues/2687", "show")</f>
        <v>show</v>
      </c>
      <c r="G9333" t="str">
        <f>HYPERLINK("https://github.com/nextcloud/android", "show")</f>
        <v>show</v>
      </c>
      <c r="H9333" t="str">
        <f>HYPERLINK("https://github.com/nextcloud/android/releases", "show")</f>
        <v>show</v>
      </c>
      <c r="I9333">
        <v>1</v>
      </c>
      <c r="J9333">
        <v>0</v>
      </c>
      <c r="K9333">
        <v>1</v>
      </c>
      <c r="L9333">
        <v>0</v>
      </c>
      <c r="M9333" t="s">
        <v>64</v>
      </c>
    </row>
    <row r="9334" spans="1:13" hidden="1" x14ac:dyDescent="0.15">
      <c r="A9334" t="s">
        <v>29353</v>
      </c>
      <c r="B9334" t="s">
        <v>29354</v>
      </c>
      <c r="C9334" t="s">
        <v>29355</v>
      </c>
      <c r="D9334" t="s">
        <v>29340</v>
      </c>
      <c r="E9334">
        <v>801</v>
      </c>
      <c r="F9334" t="str">
        <f>HYPERLINK("https://github.com/commons-app/apps-android-commons/issues/1589", "show")</f>
        <v>show</v>
      </c>
      <c r="G9334" t="str">
        <f>HYPERLINK("https://github.com/commons-app/apps-android-commons", "show")</f>
        <v>show</v>
      </c>
      <c r="H9334" t="str">
        <f>HYPERLINK("https://github.com/commons-app/apps-android-commons/releases", "show")</f>
        <v>show</v>
      </c>
      <c r="I9334">
        <v>1</v>
      </c>
      <c r="J9334">
        <v>0</v>
      </c>
      <c r="K9334">
        <v>1</v>
      </c>
      <c r="L9334">
        <v>1</v>
      </c>
      <c r="M9334" t="s">
        <v>1259</v>
      </c>
    </row>
    <row r="9335" spans="1:13" hidden="1" x14ac:dyDescent="0.15">
      <c r="A9335" t="s">
        <v>29356</v>
      </c>
      <c r="B9335" t="s">
        <v>29357</v>
      </c>
      <c r="C9335" t="s">
        <v>29358</v>
      </c>
      <c r="D9335" t="s">
        <v>29340</v>
      </c>
      <c r="E9335">
        <v>686</v>
      </c>
      <c r="F9335" t="str">
        <f>HYPERLINK("https://github.com/balthazar/react-native-zeroconf/issues/65", "show")</f>
        <v>show</v>
      </c>
      <c r="G9335" t="str">
        <f>HYPERLINK("https://github.com/balthazar/react-native-zeroconf", "show")</f>
        <v>show</v>
      </c>
      <c r="H9335" t="str">
        <f>HYPERLINK("https://github.com/balthazar/react-native-zeroconf/releases", "show")</f>
        <v>show</v>
      </c>
      <c r="I9335">
        <v>1</v>
      </c>
      <c r="J9335">
        <v>0</v>
      </c>
      <c r="K9335">
        <v>0</v>
      </c>
      <c r="L9335">
        <v>1</v>
      </c>
      <c r="M9335" t="s">
        <v>29</v>
      </c>
    </row>
    <row r="9336" spans="1:13" hidden="1" x14ac:dyDescent="0.15">
      <c r="A9336" t="s">
        <v>29359</v>
      </c>
      <c r="B9336" t="s">
        <v>29360</v>
      </c>
      <c r="C9336" t="s">
        <v>29361</v>
      </c>
      <c r="D9336" t="s">
        <v>29340</v>
      </c>
      <c r="E9336">
        <v>7</v>
      </c>
      <c r="F9336" t="str">
        <f>HYPERLINK("https://github.com/geopaparazzi/geopaparazzi/issues/509", "show")</f>
        <v>show</v>
      </c>
      <c r="G9336" t="str">
        <f>HYPERLINK("https://github.com/geopaparazzi/geopaparazzi", "show")</f>
        <v>show</v>
      </c>
      <c r="H9336" t="str">
        <f>HYPERLINK("https://github.com/geopaparazzi/geopaparazzi/releases", "show")</f>
        <v>show</v>
      </c>
      <c r="I9336">
        <v>1</v>
      </c>
      <c r="J9336">
        <v>0</v>
      </c>
      <c r="K9336">
        <v>0</v>
      </c>
      <c r="L9336">
        <v>0</v>
      </c>
      <c r="M9336" t="s">
        <v>17</v>
      </c>
    </row>
    <row r="9337" spans="1:13" hidden="1" x14ac:dyDescent="0.15">
      <c r="A9337" t="s">
        <v>29362</v>
      </c>
      <c r="B9337" t="s">
        <v>29363</v>
      </c>
      <c r="C9337" t="s">
        <v>29364</v>
      </c>
      <c r="D9337" t="s">
        <v>29340</v>
      </c>
      <c r="E9337">
        <v>7</v>
      </c>
      <c r="F9337" t="str">
        <f>HYPERLINK("https://github.com/geopaparazzi/geopaparazzi/issues/508", "show")</f>
        <v>show</v>
      </c>
      <c r="G9337" t="str">
        <f>HYPERLINK("https://github.com/geopaparazzi/geopaparazzi", "show")</f>
        <v>show</v>
      </c>
      <c r="H9337" t="str">
        <f>HYPERLINK("https://github.com/geopaparazzi/geopaparazzi/releases", "show")</f>
        <v>show</v>
      </c>
      <c r="I9337">
        <v>1</v>
      </c>
      <c r="J9337">
        <v>0</v>
      </c>
      <c r="K9337">
        <v>0</v>
      </c>
      <c r="L9337">
        <v>0</v>
      </c>
      <c r="M9337" t="s">
        <v>17</v>
      </c>
    </row>
    <row r="9338" spans="1:13" hidden="1" x14ac:dyDescent="0.15">
      <c r="A9338" t="s">
        <v>29365</v>
      </c>
      <c r="B9338" t="s">
        <v>29366</v>
      </c>
      <c r="C9338" t="s">
        <v>29367</v>
      </c>
      <c r="D9338" t="s">
        <v>29368</v>
      </c>
      <c r="E9338">
        <v>4</v>
      </c>
      <c r="F9338" t="str">
        <f>HYPERLINK("https://github.com/forrestguice/SuntimesWidget/issues/211", "show")</f>
        <v>show</v>
      </c>
      <c r="G9338" t="str">
        <f>HYPERLINK("https://github.com/forrestguice/SuntimesWidget", "show")</f>
        <v>show</v>
      </c>
      <c r="H9338" t="str">
        <f>HYPERLINK("https://github.com/forrestguice/SuntimesWidget/releases", "show")</f>
        <v>show</v>
      </c>
      <c r="I9338">
        <v>1</v>
      </c>
      <c r="J9338">
        <v>0</v>
      </c>
      <c r="K9338">
        <v>0</v>
      </c>
      <c r="L9338">
        <v>0</v>
      </c>
      <c r="M9338" t="s">
        <v>17</v>
      </c>
    </row>
    <row r="9339" spans="1:13" hidden="1" x14ac:dyDescent="0.15">
      <c r="A9339" t="s">
        <v>29369</v>
      </c>
      <c r="B9339" t="s">
        <v>29370</v>
      </c>
      <c r="C9339" t="s">
        <v>29371</v>
      </c>
      <c r="D9339" t="s">
        <v>29368</v>
      </c>
      <c r="E9339">
        <v>855</v>
      </c>
      <c r="F9339" t="str">
        <f>HYPERLINK("https://github.com/k9mail/k-9/issues/3427", "show")</f>
        <v>show</v>
      </c>
      <c r="G9339" t="str">
        <f>HYPERLINK("https://github.com/k9mail/k-9", "show")</f>
        <v>show</v>
      </c>
      <c r="H9339" t="str">
        <f>HYPERLINK("https://github.com/k9mail/k-9/releases", "show")</f>
        <v>show</v>
      </c>
      <c r="I9339">
        <v>1</v>
      </c>
      <c r="J9339">
        <v>1</v>
      </c>
      <c r="K9339">
        <v>0</v>
      </c>
      <c r="L9339">
        <v>1</v>
      </c>
      <c r="M9339" t="s">
        <v>1894</v>
      </c>
    </row>
    <row r="9340" spans="1:13" hidden="1" x14ac:dyDescent="0.15">
      <c r="A9340" t="s">
        <v>29372</v>
      </c>
      <c r="B9340" t="s">
        <v>29373</v>
      </c>
      <c r="C9340" t="s">
        <v>29374</v>
      </c>
      <c r="D9340" t="s">
        <v>29368</v>
      </c>
      <c r="E9340">
        <v>5</v>
      </c>
      <c r="F9340" t="str">
        <f>HYPERLINK("https://github.com/syncthing/syncthing-android/issues/1123", "show")</f>
        <v>show</v>
      </c>
      <c r="G9340" t="str">
        <f>HYPERLINK("https://github.com/syncthing/syncthing-android", "show")</f>
        <v>show</v>
      </c>
      <c r="H9340" t="str">
        <f>HYPERLINK("https://github.com/syncthing/syncthing-android/releases", "show")</f>
        <v>show</v>
      </c>
      <c r="I9340">
        <v>0</v>
      </c>
      <c r="J9340">
        <v>1</v>
      </c>
      <c r="K9340">
        <v>0</v>
      </c>
      <c r="L9340">
        <v>1</v>
      </c>
      <c r="M9340" t="s">
        <v>1732</v>
      </c>
    </row>
    <row r="9341" spans="1:13" hidden="1" x14ac:dyDescent="0.15">
      <c r="A9341" t="s">
        <v>29375</v>
      </c>
      <c r="B9341" t="s">
        <v>29376</v>
      </c>
      <c r="C9341" t="s">
        <v>29377</v>
      </c>
      <c r="D9341" t="s">
        <v>29368</v>
      </c>
      <c r="E9341">
        <v>5</v>
      </c>
      <c r="F9341" t="str">
        <f>HYPERLINK("https://github.com/syncthing/syncthing-android/issues/1122", "show")</f>
        <v>show</v>
      </c>
      <c r="G9341" t="str">
        <f>HYPERLINK("https://github.com/syncthing/syncthing-android", "show")</f>
        <v>show</v>
      </c>
      <c r="H9341" t="str">
        <f>HYPERLINK("https://github.com/syncthing/syncthing-android/releases", "show")</f>
        <v>show</v>
      </c>
      <c r="I9341">
        <v>0</v>
      </c>
      <c r="J9341">
        <v>1</v>
      </c>
      <c r="K9341">
        <v>0</v>
      </c>
      <c r="L9341">
        <v>1</v>
      </c>
      <c r="M9341" t="s">
        <v>1732</v>
      </c>
    </row>
    <row r="9342" spans="1:13" hidden="1" x14ac:dyDescent="0.15">
      <c r="A9342" t="s">
        <v>29378</v>
      </c>
      <c r="B9342" t="s">
        <v>29379</v>
      </c>
      <c r="C9342" t="s">
        <v>29380</v>
      </c>
      <c r="D9342" t="s">
        <v>29368</v>
      </c>
      <c r="E9342">
        <v>5</v>
      </c>
      <c r="F9342" t="str">
        <f>HYPERLINK("https://github.com/syncthing/syncthing-android/issues/1121", "show")</f>
        <v>show</v>
      </c>
      <c r="G9342" t="str">
        <f>HYPERLINK("https://github.com/syncthing/syncthing-android", "show")</f>
        <v>show</v>
      </c>
      <c r="H9342" t="str">
        <f>HYPERLINK("https://github.com/syncthing/syncthing-android/releases", "show")</f>
        <v>show</v>
      </c>
      <c r="I9342">
        <v>0</v>
      </c>
      <c r="J9342">
        <v>1</v>
      </c>
      <c r="K9342">
        <v>0</v>
      </c>
      <c r="L9342">
        <v>1</v>
      </c>
      <c r="M9342" t="s">
        <v>1732</v>
      </c>
    </row>
    <row r="9343" spans="1:13" hidden="1" x14ac:dyDescent="0.15">
      <c r="A9343" t="s">
        <v>29381</v>
      </c>
      <c r="B9343" t="s">
        <v>29382</v>
      </c>
      <c r="C9343" t="s">
        <v>29383</v>
      </c>
      <c r="D9343" t="s">
        <v>29368</v>
      </c>
      <c r="E9343">
        <v>0</v>
      </c>
      <c r="F9343" t="str">
        <f>HYPERLINK("https://github.com/andOTP/andOTP/issues/186", "show")</f>
        <v>show</v>
      </c>
      <c r="G9343" t="str">
        <f>HYPERLINK("https://github.com/andOTP/andOTP", "show")</f>
        <v>show</v>
      </c>
      <c r="H9343" t="str">
        <f>HYPERLINK("https://github.com/andOTP/andOTP/releases", "show")</f>
        <v>show</v>
      </c>
      <c r="I9343">
        <v>1</v>
      </c>
      <c r="J9343">
        <v>0</v>
      </c>
      <c r="K9343">
        <v>0</v>
      </c>
      <c r="L9343">
        <v>0</v>
      </c>
      <c r="M9343" t="s">
        <v>17</v>
      </c>
    </row>
    <row r="9344" spans="1:13" hidden="1" x14ac:dyDescent="0.15">
      <c r="A9344" t="s">
        <v>29384</v>
      </c>
      <c r="B9344" t="s">
        <v>29385</v>
      </c>
      <c r="C9344" t="s">
        <v>29386</v>
      </c>
      <c r="D9344" t="s">
        <v>29368</v>
      </c>
      <c r="E9344">
        <v>7</v>
      </c>
      <c r="F9344" t="str">
        <f>HYPERLINK("https://github.com/AniTrend/anitrend-app/issues/50", "show")</f>
        <v>show</v>
      </c>
      <c r="G9344" t="str">
        <f>HYPERLINK("https://github.com/AniTrend/anitrend-app", "show")</f>
        <v>show</v>
      </c>
      <c r="H9344" t="str">
        <f>HYPERLINK("https://github.com/AniTrend/anitrend-app/releases", "show")</f>
        <v>show</v>
      </c>
      <c r="I9344">
        <v>0</v>
      </c>
      <c r="J9344">
        <v>0</v>
      </c>
      <c r="K9344">
        <v>0</v>
      </c>
      <c r="L9344">
        <v>0</v>
      </c>
      <c r="M9344" t="s">
        <v>43</v>
      </c>
    </row>
    <row r="9345" spans="1:13" hidden="1" x14ac:dyDescent="0.15">
      <c r="A9345" t="s">
        <v>29387</v>
      </c>
      <c r="B9345" t="s">
        <v>29388</v>
      </c>
      <c r="C9345" t="s">
        <v>29389</v>
      </c>
      <c r="D9345" t="s">
        <v>29368</v>
      </c>
      <c r="E9345">
        <v>8</v>
      </c>
      <c r="F9345" t="str">
        <f>HYPERLINK("https://github.com/geopaparazzi/geopaparazzi/issues/504", "show")</f>
        <v>show</v>
      </c>
      <c r="G9345" t="str">
        <f>HYPERLINK("https://github.com/geopaparazzi/geopaparazzi", "show")</f>
        <v>show</v>
      </c>
      <c r="H9345" t="str">
        <f>HYPERLINK("https://github.com/geopaparazzi/geopaparazzi/releases", "show")</f>
        <v>show</v>
      </c>
      <c r="I9345">
        <v>1</v>
      </c>
      <c r="J9345">
        <v>0</v>
      </c>
      <c r="K9345">
        <v>0</v>
      </c>
      <c r="L9345">
        <v>0</v>
      </c>
      <c r="M9345" t="s">
        <v>17</v>
      </c>
    </row>
    <row r="9346" spans="1:13" hidden="1" x14ac:dyDescent="0.15">
      <c r="A9346" t="s">
        <v>29390</v>
      </c>
      <c r="B9346" t="s">
        <v>29391</v>
      </c>
      <c r="C9346" t="s">
        <v>29392</v>
      </c>
      <c r="D9346" t="s">
        <v>29368</v>
      </c>
      <c r="E9346">
        <v>354</v>
      </c>
      <c r="F9346" t="str">
        <f>HYPERLINK("https://github.com/nextcloud/android/issues/2679", "show")</f>
        <v>show</v>
      </c>
      <c r="G9346" t="str">
        <f>HYPERLINK("https://github.com/nextcloud/android", "show")</f>
        <v>show</v>
      </c>
      <c r="H9346" t="str">
        <f>HYPERLINK("https://github.com/nextcloud/android/releases", "show")</f>
        <v>show</v>
      </c>
      <c r="I9346">
        <v>1</v>
      </c>
      <c r="J9346">
        <v>1</v>
      </c>
      <c r="K9346">
        <v>0</v>
      </c>
      <c r="L9346">
        <v>1</v>
      </c>
      <c r="M9346" t="s">
        <v>1894</v>
      </c>
    </row>
    <row r="9347" spans="1:13" hidden="1" x14ac:dyDescent="0.15">
      <c r="A9347" t="s">
        <v>29393</v>
      </c>
      <c r="B9347" t="s">
        <v>29394</v>
      </c>
      <c r="C9347" t="s">
        <v>29395</v>
      </c>
      <c r="D9347" t="s">
        <v>29368</v>
      </c>
      <c r="E9347">
        <v>5</v>
      </c>
      <c r="F9347" t="str">
        <f>HYPERLINK("https://github.com/syncthing/syncthing-android/issues/1119", "show")</f>
        <v>show</v>
      </c>
      <c r="G9347" t="str">
        <f>HYPERLINK("https://github.com/syncthing/syncthing-android", "show")</f>
        <v>show</v>
      </c>
      <c r="H9347" t="str">
        <f>HYPERLINK("https://github.com/syncthing/syncthing-android/releases", "show")</f>
        <v>show</v>
      </c>
      <c r="I9347">
        <v>1</v>
      </c>
      <c r="J9347">
        <v>1</v>
      </c>
      <c r="K9347">
        <v>0</v>
      </c>
      <c r="L9347">
        <v>0</v>
      </c>
      <c r="M9347" t="s">
        <v>48</v>
      </c>
    </row>
    <row r="9348" spans="1:13" hidden="1" x14ac:dyDescent="0.15">
      <c r="A9348" t="s">
        <v>29396</v>
      </c>
      <c r="B9348" t="s">
        <v>29397</v>
      </c>
      <c r="C9348" t="s">
        <v>29398</v>
      </c>
      <c r="D9348" t="s">
        <v>29368</v>
      </c>
      <c r="E9348">
        <v>30</v>
      </c>
      <c r="F9348" t="str">
        <f>HYPERLINK("https://github.com/android-hacker/VirtualXposed/issues/200", "show")</f>
        <v>show</v>
      </c>
      <c r="G9348" t="str">
        <f>HYPERLINK("https://github.com/android-hacker/VirtualXposed", "show")</f>
        <v>show</v>
      </c>
      <c r="H9348" t="str">
        <f>HYPERLINK("https://github.com/android-hacker/VirtualXposed/releases", "show")</f>
        <v>show</v>
      </c>
      <c r="I9348">
        <v>1</v>
      </c>
      <c r="J9348">
        <v>1</v>
      </c>
      <c r="K9348">
        <v>0</v>
      </c>
      <c r="L9348">
        <v>0</v>
      </c>
      <c r="M9348" t="s">
        <v>48</v>
      </c>
    </row>
    <row r="9349" spans="1:13" hidden="1" x14ac:dyDescent="0.15">
      <c r="A9349" t="s">
        <v>29399</v>
      </c>
      <c r="B9349" t="s">
        <v>29400</v>
      </c>
      <c r="C9349" t="s">
        <v>29401</v>
      </c>
      <c r="D9349" t="s">
        <v>29402</v>
      </c>
      <c r="E9349">
        <v>356</v>
      </c>
      <c r="F9349" t="str">
        <f>HYPERLINK("https://github.com/nextcloud/android/issues/2675", "show")</f>
        <v>show</v>
      </c>
      <c r="G9349" t="str">
        <f>HYPERLINK("https://github.com/nextcloud/android", "show")</f>
        <v>show</v>
      </c>
      <c r="H9349" t="str">
        <f>HYPERLINK("https://github.com/nextcloud/android/releases", "show")</f>
        <v>show</v>
      </c>
      <c r="I9349">
        <v>1</v>
      </c>
      <c r="J9349">
        <v>0</v>
      </c>
      <c r="K9349">
        <v>1</v>
      </c>
      <c r="L9349">
        <v>0</v>
      </c>
      <c r="M9349" t="s">
        <v>64</v>
      </c>
    </row>
    <row r="9350" spans="1:13" hidden="1" x14ac:dyDescent="0.15">
      <c r="A9350" t="s">
        <v>29403</v>
      </c>
      <c r="B9350" t="s">
        <v>29404</v>
      </c>
      <c r="C9350" t="s">
        <v>29405</v>
      </c>
      <c r="D9350" t="s">
        <v>29402</v>
      </c>
      <c r="E9350">
        <v>154</v>
      </c>
      <c r="F9350" t="str">
        <f>HYPERLINK("https://github.com/commons-app/apps-android-commons/issues/1581", "show")</f>
        <v>show</v>
      </c>
      <c r="G9350" t="str">
        <f>HYPERLINK("https://github.com/commons-app/apps-android-commons", "show")</f>
        <v>show</v>
      </c>
      <c r="H9350" t="str">
        <f>HYPERLINK("https://github.com/commons-app/apps-android-commons/releases", "show")</f>
        <v>show</v>
      </c>
      <c r="I9350">
        <v>1</v>
      </c>
      <c r="J9350">
        <v>1</v>
      </c>
      <c r="K9350">
        <v>0</v>
      </c>
      <c r="L9350">
        <v>0</v>
      </c>
      <c r="M9350" t="s">
        <v>48</v>
      </c>
    </row>
    <row r="9351" spans="1:13" hidden="1" x14ac:dyDescent="0.15">
      <c r="A9351" t="s">
        <v>29406</v>
      </c>
      <c r="B9351" t="s">
        <v>29407</v>
      </c>
      <c r="C9351" t="s">
        <v>29408</v>
      </c>
      <c r="D9351" t="s">
        <v>29402</v>
      </c>
      <c r="E9351">
        <v>2</v>
      </c>
      <c r="F9351" t="str">
        <f>HYPERLINK("https://github.com/coding-blocks/Chatter/issues/96", "show")</f>
        <v>show</v>
      </c>
      <c r="G9351" t="str">
        <f>HYPERLINK("https://github.com/coding-blocks/Chatter", "show")</f>
        <v>show</v>
      </c>
      <c r="H9351" t="str">
        <f>HYPERLINK("https://github.com/coding-blocks/Chatter/releases", "show")</f>
        <v>show</v>
      </c>
      <c r="I9351">
        <v>1</v>
      </c>
      <c r="J9351">
        <v>0</v>
      </c>
      <c r="K9351">
        <v>0</v>
      </c>
      <c r="L9351">
        <v>0</v>
      </c>
      <c r="M9351" t="s">
        <v>17</v>
      </c>
    </row>
    <row r="9352" spans="1:13" hidden="1" x14ac:dyDescent="0.15">
      <c r="A9352" t="s">
        <v>29409</v>
      </c>
      <c r="B9352" t="s">
        <v>29410</v>
      </c>
      <c r="C9352" t="s">
        <v>29411</v>
      </c>
      <c r="D9352" t="s">
        <v>29402</v>
      </c>
      <c r="E9352">
        <v>74</v>
      </c>
      <c r="F9352" t="str">
        <f>HYPERLINK("https://github.com/zouroboros/filmchecker/issues/12", "show")</f>
        <v>show</v>
      </c>
      <c r="G9352" t="str">
        <f>HYPERLINK("https://github.com/zouroboros/filmchecker", "show")</f>
        <v>show</v>
      </c>
      <c r="H9352" t="str">
        <f>HYPERLINK("https://github.com/zouroboros/filmchecker/releases", "show")</f>
        <v>show</v>
      </c>
      <c r="I9352">
        <v>1</v>
      </c>
      <c r="J9352">
        <v>1</v>
      </c>
      <c r="K9352">
        <v>0</v>
      </c>
      <c r="L9352">
        <v>0</v>
      </c>
      <c r="M9352" t="s">
        <v>48</v>
      </c>
    </row>
    <row r="9353" spans="1:13" hidden="1" x14ac:dyDescent="0.15">
      <c r="A9353" t="s">
        <v>29412</v>
      </c>
      <c r="B9353" t="s">
        <v>29413</v>
      </c>
      <c r="C9353" t="s">
        <v>29414</v>
      </c>
      <c r="D9353" t="s">
        <v>29415</v>
      </c>
      <c r="E9353">
        <v>157</v>
      </c>
      <c r="F9353" t="str">
        <f>HYPERLINK("https://github.com/nextcloud/android/issues/2668", "show")</f>
        <v>show</v>
      </c>
      <c r="G9353" t="str">
        <f>HYPERLINK("https://github.com/nextcloud/android", "show")</f>
        <v>show</v>
      </c>
      <c r="H9353" t="str">
        <f>HYPERLINK("https://github.com/nextcloud/android/releases", "show")</f>
        <v>show</v>
      </c>
      <c r="I9353">
        <v>1</v>
      </c>
      <c r="J9353">
        <v>1</v>
      </c>
      <c r="K9353">
        <v>1</v>
      </c>
      <c r="L9353">
        <v>0</v>
      </c>
      <c r="M9353" t="s">
        <v>59</v>
      </c>
    </row>
    <row r="9354" spans="1:13" hidden="1" x14ac:dyDescent="0.15">
      <c r="A9354" t="s">
        <v>29416</v>
      </c>
      <c r="B9354" t="s">
        <v>29417</v>
      </c>
      <c r="C9354" t="s">
        <v>29418</v>
      </c>
      <c r="D9354" t="s">
        <v>29415</v>
      </c>
      <c r="E9354">
        <v>356</v>
      </c>
      <c r="F9354" t="str">
        <f>HYPERLINK("https://github.com/nextcloud/android/issues/2667", "show")</f>
        <v>show</v>
      </c>
      <c r="G9354" t="str">
        <f>HYPERLINK("https://github.com/nextcloud/android", "show")</f>
        <v>show</v>
      </c>
      <c r="H9354" t="str">
        <f>HYPERLINK("https://github.com/nextcloud/android/releases", "show")</f>
        <v>show</v>
      </c>
      <c r="I9354">
        <v>1</v>
      </c>
      <c r="J9354">
        <v>1</v>
      </c>
      <c r="K9354">
        <v>0</v>
      </c>
      <c r="L9354">
        <v>0</v>
      </c>
      <c r="M9354" t="s">
        <v>48</v>
      </c>
    </row>
    <row r="9355" spans="1:13" hidden="1" x14ac:dyDescent="0.15">
      <c r="A9355" t="s">
        <v>29419</v>
      </c>
      <c r="B9355" t="s">
        <v>29420</v>
      </c>
      <c r="C9355" t="s">
        <v>29421</v>
      </c>
      <c r="D9355" t="s">
        <v>29415</v>
      </c>
      <c r="E9355">
        <v>13</v>
      </c>
      <c r="F9355" t="str">
        <f>HYPERLINK("https://github.com/commons-app/apps-android-commons/issues/1579", "show")</f>
        <v>show</v>
      </c>
      <c r="G9355" t="str">
        <f>HYPERLINK("https://github.com/commons-app/apps-android-commons", "show")</f>
        <v>show</v>
      </c>
      <c r="H9355" t="str">
        <f>HYPERLINK("https://github.com/commons-app/apps-android-commons/releases", "show")</f>
        <v>show</v>
      </c>
      <c r="I9355">
        <v>1</v>
      </c>
      <c r="J9355">
        <v>0</v>
      </c>
      <c r="K9355">
        <v>1</v>
      </c>
      <c r="L9355">
        <v>0</v>
      </c>
      <c r="M9355" t="s">
        <v>64</v>
      </c>
    </row>
    <row r="9356" spans="1:13" hidden="1" x14ac:dyDescent="0.15">
      <c r="A9356" t="s">
        <v>29422</v>
      </c>
      <c r="B9356" t="s">
        <v>29423</v>
      </c>
      <c r="C9356" t="s">
        <v>29424</v>
      </c>
      <c r="D9356" t="s">
        <v>29415</v>
      </c>
      <c r="E9356">
        <v>26</v>
      </c>
      <c r="F9356" t="str">
        <f>HYPERLINK("https://github.com/noties/Markwon/issues/41", "show")</f>
        <v>show</v>
      </c>
      <c r="G9356" t="str">
        <f>HYPERLINK("https://github.com/noties/Markwon", "show")</f>
        <v>show</v>
      </c>
      <c r="H9356" t="str">
        <f>HYPERLINK("https://github.com/noties/Markwon/releases", "show")</f>
        <v>show</v>
      </c>
      <c r="I9356">
        <v>1</v>
      </c>
      <c r="J9356">
        <v>1</v>
      </c>
      <c r="K9356">
        <v>1</v>
      </c>
      <c r="L9356">
        <v>0</v>
      </c>
      <c r="M9356" t="s">
        <v>59</v>
      </c>
    </row>
    <row r="9357" spans="1:13" hidden="1" x14ac:dyDescent="0.15">
      <c r="A9357" t="s">
        <v>29425</v>
      </c>
      <c r="B9357" t="s">
        <v>29426</v>
      </c>
      <c r="C9357" t="s">
        <v>29427</v>
      </c>
      <c r="D9357" t="s">
        <v>29415</v>
      </c>
      <c r="E9357">
        <v>8</v>
      </c>
      <c r="F9357" t="str">
        <f>HYPERLINK("https://github.com/alexstyl/Memento-Calendar/issues/186", "show")</f>
        <v>show</v>
      </c>
      <c r="G9357" t="str">
        <f>HYPERLINK("https://github.com/alexstyl/Memento-Calendar", "show")</f>
        <v>show</v>
      </c>
      <c r="H9357" t="str">
        <f>HYPERLINK("https://github.com/alexstyl/Memento-Calendar/releases", "show")</f>
        <v>show</v>
      </c>
      <c r="I9357">
        <v>1</v>
      </c>
      <c r="J9357">
        <v>1</v>
      </c>
      <c r="K9357">
        <v>1</v>
      </c>
      <c r="L9357">
        <v>0</v>
      </c>
      <c r="M9357" t="s">
        <v>59</v>
      </c>
    </row>
    <row r="9358" spans="1:13" hidden="1" x14ac:dyDescent="0.15">
      <c r="A9358" t="s">
        <v>29428</v>
      </c>
      <c r="B9358" t="s">
        <v>29429</v>
      </c>
      <c r="C9358" t="s">
        <v>29430</v>
      </c>
      <c r="D9358" t="s">
        <v>29431</v>
      </c>
      <c r="E9358">
        <v>148</v>
      </c>
      <c r="F9358" t="str">
        <f>HYPERLINK("https://github.com/subchannel13/EnchantedFortress/issues/50", "show")</f>
        <v>show</v>
      </c>
      <c r="G9358" t="str">
        <f>HYPERLINK("https://github.com/subchannel13/EnchantedFortress", "show")</f>
        <v>show</v>
      </c>
      <c r="H9358" t="str">
        <f>HYPERLINK("https://github.com/subchannel13/EnchantedFortress/releases", "show")</f>
        <v>show</v>
      </c>
      <c r="I9358">
        <v>1</v>
      </c>
      <c r="J9358">
        <v>1</v>
      </c>
      <c r="K9358">
        <v>0</v>
      </c>
      <c r="L9358">
        <v>0</v>
      </c>
      <c r="M9358" t="s">
        <v>48</v>
      </c>
    </row>
    <row r="9359" spans="1:13" hidden="1" x14ac:dyDescent="0.15">
      <c r="A9359" t="s">
        <v>29432</v>
      </c>
      <c r="B9359" t="s">
        <v>29433</v>
      </c>
      <c r="C9359" t="s">
        <v>29434</v>
      </c>
      <c r="D9359" t="s">
        <v>29431</v>
      </c>
      <c r="E9359">
        <v>688</v>
      </c>
      <c r="F9359" t="str">
        <f>HYPERLINK("https://github.com/metinkale38/prayer-times-android/issues/129", "show")</f>
        <v>show</v>
      </c>
      <c r="G9359" t="str">
        <f>HYPERLINK("https://github.com/metinkale38/prayer-times-android", "show")</f>
        <v>show</v>
      </c>
      <c r="H9359" t="str">
        <f>HYPERLINK("https://github.com/metinkale38/prayer-times-android/releases", "show")</f>
        <v>show</v>
      </c>
      <c r="I9359">
        <v>1</v>
      </c>
      <c r="J9359">
        <v>1</v>
      </c>
      <c r="K9359">
        <v>0</v>
      </c>
      <c r="L9359">
        <v>0</v>
      </c>
      <c r="M9359" t="s">
        <v>48</v>
      </c>
    </row>
    <row r="9360" spans="1:13" hidden="1" x14ac:dyDescent="0.15">
      <c r="A9360" t="s">
        <v>29435</v>
      </c>
      <c r="B9360" t="s">
        <v>29436</v>
      </c>
      <c r="C9360" t="s">
        <v>29437</v>
      </c>
      <c r="D9360" t="s">
        <v>29431</v>
      </c>
      <c r="E9360">
        <v>6</v>
      </c>
      <c r="F9360" t="str">
        <f>HYPERLINK("https://github.com/googleads/googleads-consent-sdk-android/issues/59", "show")</f>
        <v>show</v>
      </c>
      <c r="G9360" t="str">
        <f>HYPERLINK("https://github.com/googleads/googleads-consent-sdk-android", "show")</f>
        <v>show</v>
      </c>
      <c r="H9360" t="str">
        <f>HYPERLINK("https://github.com/googleads/googleads-consent-sdk-android/releases", "show")</f>
        <v>show</v>
      </c>
      <c r="I9360">
        <v>1</v>
      </c>
      <c r="J9360">
        <v>0</v>
      </c>
      <c r="K9360">
        <v>0</v>
      </c>
      <c r="L9360">
        <v>0</v>
      </c>
      <c r="M9360" t="s">
        <v>17</v>
      </c>
    </row>
    <row r="9361" spans="1:13" hidden="1" x14ac:dyDescent="0.15">
      <c r="A9361" t="s">
        <v>29438</v>
      </c>
      <c r="B9361" t="s">
        <v>29439</v>
      </c>
      <c r="C9361" t="s">
        <v>29440</v>
      </c>
      <c r="D9361" t="s">
        <v>29441</v>
      </c>
      <c r="E9361">
        <v>689</v>
      </c>
      <c r="F9361" t="str">
        <f>HYPERLINK("https://github.com/metinkale38/prayer-times-android/issues/128", "show")</f>
        <v>show</v>
      </c>
      <c r="G9361" t="str">
        <f>HYPERLINK("https://github.com/metinkale38/prayer-times-android", "show")</f>
        <v>show</v>
      </c>
      <c r="H9361" t="str">
        <f>HYPERLINK("https://github.com/metinkale38/prayer-times-android/releases", "show")</f>
        <v>show</v>
      </c>
      <c r="I9361">
        <v>1</v>
      </c>
      <c r="J9361">
        <v>1</v>
      </c>
      <c r="K9361">
        <v>0</v>
      </c>
      <c r="L9361">
        <v>0</v>
      </c>
      <c r="M9361" t="s">
        <v>48</v>
      </c>
    </row>
    <row r="9362" spans="1:13" hidden="1" x14ac:dyDescent="0.15">
      <c r="A9362" t="s">
        <v>29442</v>
      </c>
      <c r="B9362" t="s">
        <v>29443</v>
      </c>
      <c r="C9362" t="s">
        <v>29444</v>
      </c>
      <c r="D9362" t="s">
        <v>29441</v>
      </c>
      <c r="E9362">
        <v>16</v>
      </c>
      <c r="F9362" t="str">
        <f>HYPERLINK("https://github.com/mapbox/mapbox-events-android/issues/157", "show")</f>
        <v>show</v>
      </c>
      <c r="G9362" t="str">
        <f>HYPERLINK("https://github.com/mapbox/mapbox-events-android", "show")</f>
        <v>show</v>
      </c>
      <c r="H9362" t="str">
        <f>HYPERLINK("https://github.com/mapbox/mapbox-events-android/releases", "show")</f>
        <v>show</v>
      </c>
      <c r="I9362">
        <v>1</v>
      </c>
      <c r="J9362">
        <v>0</v>
      </c>
      <c r="K9362">
        <v>0</v>
      </c>
      <c r="L9362">
        <v>0</v>
      </c>
      <c r="M9362" t="s">
        <v>17</v>
      </c>
    </row>
    <row r="9363" spans="1:13" hidden="1" x14ac:dyDescent="0.15">
      <c r="A9363" t="s">
        <v>29445</v>
      </c>
      <c r="B9363" t="s">
        <v>29446</v>
      </c>
      <c r="C9363" t="s">
        <v>29447</v>
      </c>
      <c r="D9363" t="s">
        <v>29441</v>
      </c>
      <c r="E9363">
        <v>13</v>
      </c>
      <c r="F9363" t="str">
        <f>HYPERLINK("https://github.com/renyuneyun/Easer/issues/117", "show")</f>
        <v>show</v>
      </c>
      <c r="G9363" t="str">
        <f>HYPERLINK("https://github.com/renyuneyun/Easer", "show")</f>
        <v>show</v>
      </c>
      <c r="H9363" t="str">
        <f>HYPERLINK("https://github.com/renyuneyun/Easer/releases", "show")</f>
        <v>show</v>
      </c>
      <c r="I9363">
        <v>1</v>
      </c>
      <c r="J9363">
        <v>1</v>
      </c>
      <c r="K9363">
        <v>1</v>
      </c>
      <c r="L9363">
        <v>0</v>
      </c>
      <c r="M9363" t="s">
        <v>59</v>
      </c>
    </row>
    <row r="9364" spans="1:13" hidden="1" x14ac:dyDescent="0.15">
      <c r="A9364" t="s">
        <v>29448</v>
      </c>
      <c r="B9364" t="s">
        <v>29449</v>
      </c>
      <c r="C9364" t="s">
        <v>29450</v>
      </c>
      <c r="D9364" t="s">
        <v>29441</v>
      </c>
      <c r="E9364">
        <v>0</v>
      </c>
      <c r="F9364" t="str">
        <f>HYPERLINK("https://github.com/ZeevoX/Ocquarium/issues/33", "show")</f>
        <v>show</v>
      </c>
      <c r="G9364" t="str">
        <f>HYPERLINK("https://github.com/ZeevoX/Ocquarium", "show")</f>
        <v>show</v>
      </c>
      <c r="H9364" t="str">
        <f>HYPERLINK("https://github.com/ZeevoX/Ocquarium/releases", "show")</f>
        <v>show</v>
      </c>
      <c r="I9364">
        <v>1</v>
      </c>
      <c r="J9364">
        <v>0</v>
      </c>
      <c r="K9364">
        <v>0</v>
      </c>
      <c r="L9364">
        <v>0</v>
      </c>
      <c r="M9364" t="s">
        <v>17</v>
      </c>
    </row>
    <row r="9365" spans="1:13" hidden="1" x14ac:dyDescent="0.15">
      <c r="A9365" t="s">
        <v>29451</v>
      </c>
      <c r="B9365" t="s">
        <v>29452</v>
      </c>
      <c r="C9365" t="s">
        <v>29453</v>
      </c>
      <c r="D9365" t="s">
        <v>29454</v>
      </c>
      <c r="E9365">
        <v>102</v>
      </c>
      <c r="F9365" t="str">
        <f>HYPERLINK("https://github.com/ramack/ActivityDiary/issues/158", "show")</f>
        <v>show</v>
      </c>
      <c r="G9365" t="str">
        <f>HYPERLINK("https://github.com/ramack/ActivityDiary", "show")</f>
        <v>show</v>
      </c>
      <c r="H9365" t="str">
        <f>HYPERLINK("https://github.com/ramack/ActivityDiary/releases", "show")</f>
        <v>show</v>
      </c>
      <c r="I9365">
        <v>1</v>
      </c>
      <c r="J9365">
        <v>1</v>
      </c>
      <c r="K9365">
        <v>1</v>
      </c>
      <c r="L9365">
        <v>0</v>
      </c>
      <c r="M9365" t="s">
        <v>59</v>
      </c>
    </row>
    <row r="9366" spans="1:13" hidden="1" x14ac:dyDescent="0.15">
      <c r="A9366" t="s">
        <v>29455</v>
      </c>
      <c r="B9366" t="s">
        <v>29456</v>
      </c>
      <c r="C9366" t="s">
        <v>29457</v>
      </c>
      <c r="D9366" t="s">
        <v>29454</v>
      </c>
      <c r="E9366">
        <v>35</v>
      </c>
      <c r="F9366" t="str">
        <f>HYPERLINK("https://github.com/google/ExoPlayer/issues/4321", "show")</f>
        <v>show</v>
      </c>
      <c r="G9366" t="str">
        <f>HYPERLINK("https://github.com/google/ExoPlayer", "show")</f>
        <v>show</v>
      </c>
      <c r="H9366" t="str">
        <f>HYPERLINK("https://github.com/google/ExoPlayer/releases", "show")</f>
        <v>show</v>
      </c>
      <c r="I9366">
        <v>1</v>
      </c>
      <c r="J9366">
        <v>1</v>
      </c>
      <c r="K9366">
        <v>0</v>
      </c>
      <c r="L9366">
        <v>0</v>
      </c>
      <c r="M9366" t="s">
        <v>48</v>
      </c>
    </row>
    <row r="9367" spans="1:13" hidden="1" x14ac:dyDescent="0.15">
      <c r="A9367" t="s">
        <v>29458</v>
      </c>
      <c r="B9367" t="s">
        <v>29459</v>
      </c>
      <c r="C9367" t="s">
        <v>29460</v>
      </c>
      <c r="D9367" t="s">
        <v>29454</v>
      </c>
      <c r="E9367">
        <v>1</v>
      </c>
      <c r="F9367" t="str">
        <f>HYPERLINK("https://github.com/nextcloud/android/issues/2639", "show")</f>
        <v>show</v>
      </c>
      <c r="G9367" t="str">
        <f>HYPERLINK("https://github.com/nextcloud/android", "show")</f>
        <v>show</v>
      </c>
      <c r="H9367" t="str">
        <f>HYPERLINK("https://github.com/nextcloud/android/releases", "show")</f>
        <v>show</v>
      </c>
      <c r="I9367">
        <v>1</v>
      </c>
      <c r="J9367">
        <v>1</v>
      </c>
      <c r="K9367">
        <v>0</v>
      </c>
      <c r="L9367">
        <v>0</v>
      </c>
      <c r="M9367" t="s">
        <v>48</v>
      </c>
    </row>
    <row r="9368" spans="1:13" hidden="1" x14ac:dyDescent="0.15">
      <c r="A9368" t="s">
        <v>29461</v>
      </c>
      <c r="B9368" t="s">
        <v>29462</v>
      </c>
      <c r="C9368" t="s">
        <v>29463</v>
      </c>
      <c r="D9368" t="s">
        <v>29454</v>
      </c>
      <c r="E9368">
        <v>0</v>
      </c>
      <c r="F9368" t="str">
        <f>HYPERLINK("https://github.com/vhaudiquet/blade-player/issues/12", "show")</f>
        <v>show</v>
      </c>
      <c r="G9368" t="str">
        <f>HYPERLINK("https://github.com/vhaudiquet/blade-player", "show")</f>
        <v>show</v>
      </c>
      <c r="H9368" t="str">
        <f>HYPERLINK("https://github.com/vhaudiquet/blade-player/releases", "show")</f>
        <v>show</v>
      </c>
      <c r="I9368">
        <v>1</v>
      </c>
      <c r="J9368">
        <v>1</v>
      </c>
      <c r="K9368">
        <v>0</v>
      </c>
      <c r="L9368">
        <v>0</v>
      </c>
      <c r="M9368" t="s">
        <v>48</v>
      </c>
    </row>
    <row r="9369" spans="1:13" hidden="1" x14ac:dyDescent="0.15">
      <c r="A9369" t="s">
        <v>29464</v>
      </c>
      <c r="B9369" t="s">
        <v>29465</v>
      </c>
      <c r="C9369" t="s">
        <v>29466</v>
      </c>
      <c r="D9369" t="s">
        <v>29454</v>
      </c>
      <c r="E9369">
        <v>408</v>
      </c>
      <c r="F9369" t="str">
        <f>HYPERLINK("https://github.com/konradrenner/kolabnotes-android/issues/186", "show")</f>
        <v>show</v>
      </c>
      <c r="G9369" t="str">
        <f>HYPERLINK("https://github.com/konradrenner/kolabnotes-android", "show")</f>
        <v>show</v>
      </c>
      <c r="H9369" t="str">
        <f>HYPERLINK("https://github.com/konradrenner/kolabnotes-android/releases", "show")</f>
        <v>show</v>
      </c>
      <c r="I9369">
        <v>1</v>
      </c>
      <c r="J9369">
        <v>1</v>
      </c>
      <c r="K9369">
        <v>0</v>
      </c>
      <c r="L9369">
        <v>0</v>
      </c>
      <c r="M9369" t="s">
        <v>48</v>
      </c>
    </row>
    <row r="9370" spans="1:13" hidden="1" x14ac:dyDescent="0.15">
      <c r="A9370" t="s">
        <v>29467</v>
      </c>
      <c r="B9370" t="s">
        <v>29468</v>
      </c>
      <c r="C9370" t="s">
        <v>29469</v>
      </c>
      <c r="D9370" t="s">
        <v>29454</v>
      </c>
      <c r="E9370">
        <v>55</v>
      </c>
      <c r="F9370" t="str">
        <f>HYPERLINK("https://github.com/evernote/android-job/issues/464", "show")</f>
        <v>show</v>
      </c>
      <c r="G9370" t="str">
        <f>HYPERLINK("https://github.com/evernote/android-job", "show")</f>
        <v>show</v>
      </c>
      <c r="H9370" t="str">
        <f>HYPERLINK("https://github.com/evernote/android-job/releases", "show")</f>
        <v>show</v>
      </c>
      <c r="I9370">
        <v>1</v>
      </c>
      <c r="J9370">
        <v>0</v>
      </c>
      <c r="K9370">
        <v>1</v>
      </c>
      <c r="L9370">
        <v>0</v>
      </c>
      <c r="M9370" t="s">
        <v>64</v>
      </c>
    </row>
    <row r="9371" spans="1:13" hidden="1" x14ac:dyDescent="0.15">
      <c r="A9371" t="s">
        <v>29470</v>
      </c>
      <c r="B9371" t="s">
        <v>29471</v>
      </c>
      <c r="C9371" t="s">
        <v>29472</v>
      </c>
      <c r="D9371" t="s">
        <v>29473</v>
      </c>
      <c r="E9371">
        <v>1</v>
      </c>
      <c r="F9371" t="str">
        <f>HYPERLINK("https://github.com/vhaudiquet/blade-player/issues/10", "show")</f>
        <v>show</v>
      </c>
      <c r="G9371" t="str">
        <f>HYPERLINK("https://github.com/vhaudiquet/blade-player", "show")</f>
        <v>show</v>
      </c>
      <c r="H9371" t="str">
        <f>HYPERLINK("https://github.com/vhaudiquet/blade-player/releases", "show")</f>
        <v>show</v>
      </c>
      <c r="I9371">
        <v>1</v>
      </c>
      <c r="J9371">
        <v>1</v>
      </c>
      <c r="K9371">
        <v>0</v>
      </c>
      <c r="L9371">
        <v>0</v>
      </c>
      <c r="M9371" t="s">
        <v>48</v>
      </c>
    </row>
    <row r="9372" spans="1:13" hidden="1" x14ac:dyDescent="0.15">
      <c r="A9372" t="s">
        <v>29474</v>
      </c>
      <c r="B9372" t="s">
        <v>29475</v>
      </c>
      <c r="C9372" t="s">
        <v>29476</v>
      </c>
      <c r="D9372" t="s">
        <v>29473</v>
      </c>
      <c r="E9372">
        <v>0</v>
      </c>
      <c r="F9372" t="str">
        <f>HYPERLINK("https://github.com/oliexdev/openScale/issues/276", "show")</f>
        <v>show</v>
      </c>
      <c r="G9372" t="str">
        <f>HYPERLINK("https://github.com/oliexdev/openScale", "show")</f>
        <v>show</v>
      </c>
      <c r="H9372" t="str">
        <f>HYPERLINK("https://github.com/oliexdev/openScale/releases", "show")</f>
        <v>show</v>
      </c>
      <c r="I9372">
        <v>1</v>
      </c>
      <c r="J9372">
        <v>1</v>
      </c>
      <c r="K9372">
        <v>1</v>
      </c>
      <c r="L9372">
        <v>0</v>
      </c>
      <c r="M9372" t="s">
        <v>59</v>
      </c>
    </row>
    <row r="9373" spans="1:13" hidden="1" x14ac:dyDescent="0.15">
      <c r="A9373" t="s">
        <v>29477</v>
      </c>
      <c r="B9373" t="s">
        <v>29478</v>
      </c>
      <c r="C9373" t="s">
        <v>29479</v>
      </c>
      <c r="D9373" t="s">
        <v>29473</v>
      </c>
      <c r="E9373">
        <v>593</v>
      </c>
      <c r="F9373" t="str">
        <f>HYPERLINK("https://github.com/react-native-camera/react-native-camera/issues/1585", "show")</f>
        <v>show</v>
      </c>
      <c r="G9373" t="str">
        <f>HYPERLINK("https://github.com/react-native-camera/react-native-camera", "show")</f>
        <v>show</v>
      </c>
      <c r="H9373" t="str">
        <f>HYPERLINK("https://github.com/react-native-camera/react-native-camera/releases", "show")</f>
        <v>show</v>
      </c>
      <c r="I9373">
        <v>0</v>
      </c>
      <c r="J9373">
        <v>0</v>
      </c>
      <c r="K9373">
        <v>0</v>
      </c>
      <c r="L9373">
        <v>0</v>
      </c>
      <c r="M9373" t="s">
        <v>43</v>
      </c>
    </row>
    <row r="9374" spans="1:13" hidden="1" x14ac:dyDescent="0.15">
      <c r="A9374" t="s">
        <v>29480</v>
      </c>
      <c r="B9374" t="s">
        <v>29481</v>
      </c>
      <c r="C9374" t="s">
        <v>29482</v>
      </c>
      <c r="D9374" t="s">
        <v>29483</v>
      </c>
      <c r="E9374">
        <v>7</v>
      </c>
      <c r="F9374" t="str">
        <f>HYPERLINK("https://github.com/zouroboros/filmchecker/issues/11", "show")</f>
        <v>show</v>
      </c>
      <c r="G9374" t="str">
        <f>HYPERLINK("https://github.com/zouroboros/filmchecker", "show")</f>
        <v>show</v>
      </c>
      <c r="H9374" t="str">
        <f>HYPERLINK("https://github.com/zouroboros/filmchecker/releases", "show")</f>
        <v>show</v>
      </c>
      <c r="I9374">
        <v>1</v>
      </c>
      <c r="J9374">
        <v>1</v>
      </c>
      <c r="K9374">
        <v>1</v>
      </c>
      <c r="L9374">
        <v>0</v>
      </c>
      <c r="M9374" t="s">
        <v>59</v>
      </c>
    </row>
    <row r="9375" spans="1:13" hidden="1" x14ac:dyDescent="0.15">
      <c r="A9375" t="s">
        <v>29484</v>
      </c>
      <c r="B9375" t="s">
        <v>29485</v>
      </c>
      <c r="C9375" t="s">
        <v>29486</v>
      </c>
      <c r="D9375" t="s">
        <v>29483</v>
      </c>
      <c r="E9375">
        <v>430</v>
      </c>
      <c r="F9375" t="str">
        <f>HYPERLINK("https://github.com/OpenArchive/Save-app-android/issues/66", "show")</f>
        <v>show</v>
      </c>
      <c r="G9375" t="str">
        <f>HYPERLINK("https://github.com/OpenArchive/Save-app-android", "show")</f>
        <v>show</v>
      </c>
      <c r="H9375" t="str">
        <f>HYPERLINK("https://github.com/OpenArchive/Save-app-android/releases", "show")</f>
        <v>show</v>
      </c>
      <c r="I9375">
        <v>1</v>
      </c>
      <c r="J9375">
        <v>1</v>
      </c>
      <c r="K9375">
        <v>1</v>
      </c>
      <c r="L9375">
        <v>0</v>
      </c>
      <c r="M9375" t="s">
        <v>59</v>
      </c>
    </row>
    <row r="9376" spans="1:13" hidden="1" x14ac:dyDescent="0.15">
      <c r="A9376" t="s">
        <v>29487</v>
      </c>
      <c r="B9376" t="s">
        <v>29488</v>
      </c>
      <c r="C9376" t="s">
        <v>29489</v>
      </c>
      <c r="D9376" t="s">
        <v>29483</v>
      </c>
      <c r="E9376">
        <v>10</v>
      </c>
      <c r="F9376" t="str">
        <f>HYPERLINK("https://github.com/googleads/googleads-consent-sdk-android/issues/44", "show")</f>
        <v>show</v>
      </c>
      <c r="G9376" t="str">
        <f>HYPERLINK("https://github.com/googleads/googleads-consent-sdk-android", "show")</f>
        <v>show</v>
      </c>
      <c r="H9376" t="str">
        <f>HYPERLINK("https://github.com/googleads/googleads-consent-sdk-android/releases", "show")</f>
        <v>show</v>
      </c>
      <c r="I9376">
        <v>0</v>
      </c>
      <c r="J9376">
        <v>0</v>
      </c>
      <c r="K9376">
        <v>1</v>
      </c>
      <c r="L9376">
        <v>0</v>
      </c>
      <c r="M9376" t="s">
        <v>122</v>
      </c>
    </row>
    <row r="9377" spans="1:13" hidden="1" x14ac:dyDescent="0.15">
      <c r="A9377" t="s">
        <v>29490</v>
      </c>
      <c r="B9377" t="s">
        <v>29491</v>
      </c>
      <c r="C9377" t="s">
        <v>29492</v>
      </c>
      <c r="D9377" t="s">
        <v>29483</v>
      </c>
      <c r="E9377">
        <v>79</v>
      </c>
      <c r="F9377" t="str">
        <f>HYPERLINK("https://github.com/k3b/APhotoManager/issues/124", "show")</f>
        <v>show</v>
      </c>
      <c r="G9377" t="str">
        <f>HYPERLINK("https://github.com/k3b/APhotoManager", "show")</f>
        <v>show</v>
      </c>
      <c r="H9377" t="str">
        <f>HYPERLINK("https://github.com/k3b/APhotoManager/releases", "show")</f>
        <v>show</v>
      </c>
      <c r="I9377">
        <v>1</v>
      </c>
      <c r="J9377">
        <v>0</v>
      </c>
      <c r="K9377">
        <v>0</v>
      </c>
      <c r="L9377">
        <v>0</v>
      </c>
      <c r="M9377" t="s">
        <v>17</v>
      </c>
    </row>
    <row r="9378" spans="1:13" hidden="1" x14ac:dyDescent="0.15">
      <c r="A9378" t="s">
        <v>29493</v>
      </c>
      <c r="B9378" t="s">
        <v>29494</v>
      </c>
      <c r="C9378" t="s">
        <v>29495</v>
      </c>
      <c r="D9378" t="s">
        <v>29496</v>
      </c>
      <c r="E9378">
        <v>873</v>
      </c>
      <c r="F9378" t="str">
        <f>HYPERLINK("https://github.com/SecUSo/privacy-friendly-netmonitor/issues/57", "show")</f>
        <v>show</v>
      </c>
      <c r="G9378" t="str">
        <f>HYPERLINK("https://github.com/SecUSo/privacy-friendly-netmonitor", "show")</f>
        <v>show</v>
      </c>
      <c r="H9378" t="str">
        <f>HYPERLINK("https://github.com/SecUSo/privacy-friendly-netmonitor/releases", "show")</f>
        <v>show</v>
      </c>
      <c r="I9378">
        <v>0</v>
      </c>
      <c r="J9378">
        <v>0</v>
      </c>
      <c r="K9378">
        <v>0</v>
      </c>
      <c r="L9378">
        <v>0</v>
      </c>
      <c r="M9378" t="s">
        <v>43</v>
      </c>
    </row>
    <row r="9379" spans="1:13" hidden="1" x14ac:dyDescent="0.15">
      <c r="A9379" t="s">
        <v>29497</v>
      </c>
      <c r="B9379" t="s">
        <v>29498</v>
      </c>
      <c r="C9379" t="s">
        <v>29499</v>
      </c>
      <c r="D9379" t="s">
        <v>29496</v>
      </c>
      <c r="E9379">
        <v>68</v>
      </c>
      <c r="F9379" t="str">
        <f>HYPERLINK("https://github.com/MCMrARM/revolution-irc/issues/134", "show")</f>
        <v>show</v>
      </c>
      <c r="G9379" t="str">
        <f>HYPERLINK("https://github.com/MCMrARM/revolution-irc", "show")</f>
        <v>show</v>
      </c>
      <c r="H9379" t="str">
        <f>HYPERLINK("https://github.com/MCMrARM/revolution-irc/releases", "show")</f>
        <v>show</v>
      </c>
      <c r="I9379">
        <v>1</v>
      </c>
      <c r="J9379">
        <v>1</v>
      </c>
      <c r="K9379">
        <v>0</v>
      </c>
      <c r="L9379">
        <v>0</v>
      </c>
      <c r="M9379" t="s">
        <v>48</v>
      </c>
    </row>
    <row r="9380" spans="1:13" hidden="1" x14ac:dyDescent="0.15">
      <c r="A9380" t="s">
        <v>29500</v>
      </c>
      <c r="B9380" t="s">
        <v>29501</v>
      </c>
      <c r="C9380" t="s">
        <v>29502</v>
      </c>
      <c r="D9380" t="s">
        <v>29496</v>
      </c>
      <c r="E9380">
        <v>42</v>
      </c>
      <c r="F9380" t="str">
        <f>HYPERLINK("https://github.com/Fr4gorSoftware/SecScanQR/issues/38", "show")</f>
        <v>show</v>
      </c>
      <c r="G9380" t="str">
        <f>HYPERLINK("https://github.com/Fr4gorSoftware/SecScanQR", "show")</f>
        <v>show</v>
      </c>
      <c r="H9380" t="str">
        <f>HYPERLINK("https://github.com/Fr4gorSoftware/SecScanQR/releases", "show")</f>
        <v>show</v>
      </c>
      <c r="I9380">
        <v>1</v>
      </c>
      <c r="J9380">
        <v>1</v>
      </c>
      <c r="K9380">
        <v>0</v>
      </c>
      <c r="L9380">
        <v>0</v>
      </c>
      <c r="M9380" t="s">
        <v>48</v>
      </c>
    </row>
    <row r="9381" spans="1:13" hidden="1" x14ac:dyDescent="0.15">
      <c r="A9381" t="s">
        <v>29503</v>
      </c>
      <c r="B9381" t="s">
        <v>29504</v>
      </c>
      <c r="C9381" t="s">
        <v>29505</v>
      </c>
      <c r="D9381" t="s">
        <v>29496</v>
      </c>
      <c r="E9381">
        <v>87</v>
      </c>
      <c r="F9381" t="str">
        <f>HYPERLINK("https://github.com/jacob-g/cleveland-rta-next-bus-train/issues/115", "show")</f>
        <v>show</v>
      </c>
      <c r="G9381" t="str">
        <f>HYPERLINK("https://github.com/jacob-g/cleveland-rta-next-bus-train", "show")</f>
        <v>show</v>
      </c>
      <c r="H9381" t="str">
        <f>HYPERLINK("https://github.com/jacob-g/cleveland-rta-next-bus-train/releases", "show")</f>
        <v>show</v>
      </c>
      <c r="I9381">
        <v>0</v>
      </c>
      <c r="J9381">
        <v>0</v>
      </c>
      <c r="K9381">
        <v>0</v>
      </c>
      <c r="L9381">
        <v>0</v>
      </c>
      <c r="M9381" t="s">
        <v>43</v>
      </c>
    </row>
    <row r="9382" spans="1:13" hidden="1" x14ac:dyDescent="0.15">
      <c r="A9382" t="s">
        <v>29506</v>
      </c>
      <c r="B9382" t="s">
        <v>29507</v>
      </c>
      <c r="C9382" t="s">
        <v>29508</v>
      </c>
      <c r="D9382" t="s">
        <v>29509</v>
      </c>
      <c r="E9382">
        <v>1034</v>
      </c>
      <c r="F9382" t="str">
        <f>HYPERLINK("https://github.com/OpenArchive/Save-app-android/issues/63", "show")</f>
        <v>show</v>
      </c>
      <c r="G9382" t="str">
        <f>HYPERLINK("https://github.com/OpenArchive/Save-app-android", "show")</f>
        <v>show</v>
      </c>
      <c r="H9382" t="str">
        <f>HYPERLINK("https://github.com/OpenArchive/Save-app-android/releases", "show")</f>
        <v>show</v>
      </c>
      <c r="I9382">
        <v>1</v>
      </c>
      <c r="J9382">
        <v>0</v>
      </c>
      <c r="K9382">
        <v>0</v>
      </c>
      <c r="L9382">
        <v>0</v>
      </c>
      <c r="M9382" t="s">
        <v>17</v>
      </c>
    </row>
    <row r="9383" spans="1:13" hidden="1" x14ac:dyDescent="0.15">
      <c r="A9383" t="s">
        <v>29510</v>
      </c>
      <c r="B9383" t="s">
        <v>29511</v>
      </c>
      <c r="C9383" t="s">
        <v>29512</v>
      </c>
      <c r="D9383" t="s">
        <v>29509</v>
      </c>
      <c r="E9383">
        <v>6</v>
      </c>
      <c r="F9383" t="str">
        <f>HYPERLINK("https://github.com/amit-bhandari/AB-Music-Player/issues/18", "show")</f>
        <v>show</v>
      </c>
      <c r="G9383" t="str">
        <f>HYPERLINK("https://github.com/amit-bhandari/AB-Music-Player", "show")</f>
        <v>show</v>
      </c>
      <c r="H9383" t="str">
        <f>HYPERLINK("https://github.com/amit-bhandari/AB-Music-Player/releases", "show")</f>
        <v>show</v>
      </c>
      <c r="I9383">
        <v>1</v>
      </c>
      <c r="J9383">
        <v>0</v>
      </c>
      <c r="K9383">
        <v>0</v>
      </c>
      <c r="L9383">
        <v>0</v>
      </c>
      <c r="M9383" t="s">
        <v>17</v>
      </c>
    </row>
    <row r="9384" spans="1:13" hidden="1" x14ac:dyDescent="0.15">
      <c r="A9384" t="s">
        <v>29513</v>
      </c>
      <c r="B9384" t="s">
        <v>29514</v>
      </c>
      <c r="C9384" t="s">
        <v>29515</v>
      </c>
      <c r="D9384" t="s">
        <v>29516</v>
      </c>
      <c r="E9384">
        <v>20</v>
      </c>
      <c r="F9384" t="str">
        <f>HYPERLINK("https://github.com/aionnetwork/aion/issues/505", "show")</f>
        <v>show</v>
      </c>
      <c r="G9384" t="str">
        <f>HYPERLINK("https://github.com/aionnetwork/aion", "show")</f>
        <v>show</v>
      </c>
      <c r="H9384" t="str">
        <f>HYPERLINK("https://github.com/aionnetwork/aion/releases", "show")</f>
        <v>show</v>
      </c>
      <c r="I9384">
        <v>1</v>
      </c>
      <c r="J9384">
        <v>1</v>
      </c>
      <c r="K9384">
        <v>0</v>
      </c>
      <c r="L9384">
        <v>0</v>
      </c>
      <c r="M9384" t="s">
        <v>48</v>
      </c>
    </row>
    <row r="9385" spans="1:13" hidden="1" x14ac:dyDescent="0.15">
      <c r="A9385" t="s">
        <v>29517</v>
      </c>
      <c r="B9385" t="s">
        <v>29518</v>
      </c>
      <c r="C9385" t="s">
        <v>29519</v>
      </c>
      <c r="D9385" t="s">
        <v>29516</v>
      </c>
      <c r="E9385">
        <v>6</v>
      </c>
      <c r="F9385" t="str">
        <f>HYPERLINK("https://github.com/TsimpDim/PassBuy/issues/71", "show")</f>
        <v>show</v>
      </c>
      <c r="G9385" t="str">
        <f>HYPERLINK("https://github.com/TsimpDim/PassBuy", "show")</f>
        <v>show</v>
      </c>
      <c r="H9385" t="str">
        <f>HYPERLINK("https://github.com/TsimpDim/PassBuy/releases", "show")</f>
        <v>show</v>
      </c>
      <c r="I9385">
        <v>1</v>
      </c>
      <c r="J9385">
        <v>0</v>
      </c>
      <c r="K9385">
        <v>0</v>
      </c>
      <c r="L9385">
        <v>0</v>
      </c>
      <c r="M9385" t="s">
        <v>17</v>
      </c>
    </row>
    <row r="9386" spans="1:13" hidden="1" x14ac:dyDescent="0.15">
      <c r="A9386" t="s">
        <v>29520</v>
      </c>
      <c r="B9386" t="s">
        <v>29521</v>
      </c>
      <c r="C9386" t="s">
        <v>29522</v>
      </c>
      <c r="D9386" t="s">
        <v>29516</v>
      </c>
      <c r="E9386">
        <v>0</v>
      </c>
      <c r="F9386" t="str">
        <f>HYPERLINK("https://github.com/Swati4star/Images-to-PDF/issues/66", "show")</f>
        <v>show</v>
      </c>
      <c r="G9386" t="str">
        <f>HYPERLINK("https://github.com/Swati4star/Images-to-PDF", "show")</f>
        <v>show</v>
      </c>
      <c r="H9386" t="str">
        <f>HYPERLINK("https://github.com/Swati4star/Images-to-PDF/releases", "show")</f>
        <v>show</v>
      </c>
      <c r="I9386">
        <v>0</v>
      </c>
      <c r="J9386">
        <v>0</v>
      </c>
      <c r="K9386">
        <v>0</v>
      </c>
      <c r="L9386">
        <v>0</v>
      </c>
      <c r="M9386" t="s">
        <v>43</v>
      </c>
    </row>
    <row r="9387" spans="1:13" hidden="1" x14ac:dyDescent="0.15">
      <c r="A9387" t="s">
        <v>29523</v>
      </c>
      <c r="B9387" t="s">
        <v>29524</v>
      </c>
      <c r="C9387" t="s">
        <v>29525</v>
      </c>
      <c r="D9387" t="s">
        <v>29516</v>
      </c>
      <c r="E9387">
        <v>0</v>
      </c>
      <c r="F9387" t="str">
        <f>HYPERLINK("https://github.com/gini/gini-vision-lib-android/issues/209", "show")</f>
        <v>show</v>
      </c>
      <c r="G9387" t="str">
        <f>HYPERLINK("https://github.com/gini/gini-vision-lib-android", "show")</f>
        <v>show</v>
      </c>
      <c r="H9387" t="str">
        <f>HYPERLINK("https://github.com/gini/gini-vision-lib-android/releases", "show")</f>
        <v>show</v>
      </c>
      <c r="I9387">
        <v>0</v>
      </c>
      <c r="J9387">
        <v>0</v>
      </c>
      <c r="K9387">
        <v>0</v>
      </c>
      <c r="L9387">
        <v>1</v>
      </c>
      <c r="M9387" t="s">
        <v>581</v>
      </c>
    </row>
    <row r="9388" spans="1:13" hidden="1" x14ac:dyDescent="0.15">
      <c r="A9388" t="s">
        <v>29526</v>
      </c>
      <c r="B9388" t="s">
        <v>29527</v>
      </c>
      <c r="C9388" t="s">
        <v>29528</v>
      </c>
      <c r="D9388" t="s">
        <v>29516</v>
      </c>
      <c r="E9388">
        <v>84</v>
      </c>
      <c r="F9388" t="str">
        <f>HYPERLINK("https://github.com/mauron85/react-native-background-geolocation/issues/201", "show")</f>
        <v>show</v>
      </c>
      <c r="G9388" t="str">
        <f>HYPERLINK("https://github.com/mauron85/react-native-background-geolocation", "show")</f>
        <v>show</v>
      </c>
      <c r="H9388" t="str">
        <f>HYPERLINK("https://github.com/mauron85/react-native-background-geolocation/releases", "show")</f>
        <v>show</v>
      </c>
      <c r="I9388">
        <v>1</v>
      </c>
      <c r="J9388">
        <v>0</v>
      </c>
      <c r="K9388">
        <v>0</v>
      </c>
      <c r="L9388">
        <v>0</v>
      </c>
      <c r="M9388" t="s">
        <v>17</v>
      </c>
    </row>
    <row r="9389" spans="1:13" hidden="1" x14ac:dyDescent="0.15">
      <c r="A9389" t="s">
        <v>29529</v>
      </c>
      <c r="B9389" t="s">
        <v>29530</v>
      </c>
      <c r="C9389" t="s">
        <v>504</v>
      </c>
      <c r="D9389" t="s">
        <v>29531</v>
      </c>
      <c r="E9389">
        <v>210</v>
      </c>
      <c r="F9389" t="str">
        <f>HYPERLINK("https://github.com/niclabs/adkintunmobile-androidclient/issues/193", "show")</f>
        <v>show</v>
      </c>
      <c r="G9389" t="str">
        <f>HYPERLINK("https://github.com/niclabs/adkintunmobile-androidclient", "show")</f>
        <v>show</v>
      </c>
      <c r="H9389" t="str">
        <f>HYPERLINK("https://github.com/niclabs/adkintunmobile-androidclient/releases", "show")</f>
        <v>show</v>
      </c>
      <c r="I9389">
        <v>1</v>
      </c>
      <c r="J9389">
        <v>0</v>
      </c>
      <c r="K9389">
        <v>0</v>
      </c>
      <c r="L9389">
        <v>0</v>
      </c>
      <c r="M9389" t="s">
        <v>17</v>
      </c>
    </row>
    <row r="9390" spans="1:13" hidden="1" x14ac:dyDescent="0.15">
      <c r="A9390" t="s">
        <v>29532</v>
      </c>
      <c r="B9390" t="s">
        <v>29533</v>
      </c>
      <c r="C9390" t="s">
        <v>29534</v>
      </c>
      <c r="D9390" t="s">
        <v>29531</v>
      </c>
      <c r="E9390">
        <v>3</v>
      </c>
      <c r="F9390" t="str">
        <f>HYPERLINK("https://github.com/singhrohan62/FriendlyChat/issues/1", "show")</f>
        <v>show</v>
      </c>
      <c r="G9390" t="str">
        <f>HYPERLINK("https://github.com/singhrohan62/FriendlyChat", "show")</f>
        <v>show</v>
      </c>
      <c r="H9390" t="str">
        <f>HYPERLINK("https://github.com/singhrohan62/FriendlyChat/releases", "show")</f>
        <v>show</v>
      </c>
      <c r="I9390">
        <v>0</v>
      </c>
      <c r="J9390">
        <v>0</v>
      </c>
      <c r="K9390">
        <v>0</v>
      </c>
      <c r="L9390">
        <v>0</v>
      </c>
      <c r="M9390" t="s">
        <v>43</v>
      </c>
    </row>
    <row r="9391" spans="1:13" hidden="1" x14ac:dyDescent="0.15">
      <c r="A9391" t="s">
        <v>29535</v>
      </c>
      <c r="B9391" t="s">
        <v>29536</v>
      </c>
      <c r="C9391" t="s">
        <v>29537</v>
      </c>
      <c r="D9391" t="s">
        <v>29531</v>
      </c>
      <c r="E9391">
        <v>47</v>
      </c>
      <c r="F9391" t="str">
        <f>HYPERLINK("https://github.com/twilio/voice-quickstart-android/issues/175", "show")</f>
        <v>show</v>
      </c>
      <c r="G9391" t="str">
        <f>HYPERLINK("https://github.com/twilio/voice-quickstart-android", "show")</f>
        <v>show</v>
      </c>
      <c r="H9391" t="str">
        <f>HYPERLINK("https://github.com/twilio/voice-quickstart-android/releases", "show")</f>
        <v>show</v>
      </c>
      <c r="I9391">
        <v>1</v>
      </c>
      <c r="J9391">
        <v>0</v>
      </c>
      <c r="K9391">
        <v>1</v>
      </c>
      <c r="L9391">
        <v>0</v>
      </c>
      <c r="M9391" t="s">
        <v>64</v>
      </c>
    </row>
    <row r="9392" spans="1:13" hidden="1" x14ac:dyDescent="0.15">
      <c r="A9392" t="s">
        <v>29538</v>
      </c>
      <c r="B9392" t="s">
        <v>29539</v>
      </c>
      <c r="C9392" t="s">
        <v>29540</v>
      </c>
      <c r="D9392" t="s">
        <v>29541</v>
      </c>
      <c r="E9392">
        <v>3</v>
      </c>
      <c r="F9392" t="str">
        <f>HYPERLINK("https://github.com/smartdevicelink/sdl_java_suite/issues/770", "show")</f>
        <v>show</v>
      </c>
      <c r="G9392" t="str">
        <f>HYPERLINK("https://github.com/smartdevicelink/sdl_java_suite", "show")</f>
        <v>show</v>
      </c>
      <c r="H9392" t="str">
        <f>HYPERLINK("https://github.com/smartdevicelink/sdl_java_suite/releases", "show")</f>
        <v>show</v>
      </c>
      <c r="I9392">
        <v>0</v>
      </c>
      <c r="J9392">
        <v>0</v>
      </c>
      <c r="K9392">
        <v>0</v>
      </c>
      <c r="L9392">
        <v>0</v>
      </c>
      <c r="M9392" t="s">
        <v>43</v>
      </c>
    </row>
    <row r="9393" spans="1:13" hidden="1" x14ac:dyDescent="0.15">
      <c r="A9393" t="s">
        <v>29542</v>
      </c>
      <c r="B9393" t="s">
        <v>29543</v>
      </c>
      <c r="C9393" t="s">
        <v>29544</v>
      </c>
      <c r="D9393" t="s">
        <v>29541</v>
      </c>
      <c r="E9393">
        <v>19</v>
      </c>
      <c r="F9393" t="str">
        <f>HYPERLINK("https://github.com/ashwin-phadke/Smart-Home-Security-App/issues/2", "show")</f>
        <v>show</v>
      </c>
      <c r="G9393" t="str">
        <f>HYPERLINK("https://github.com/ashwin-phadke/Smart-Home-Security-App", "show")</f>
        <v>show</v>
      </c>
      <c r="H9393" t="str">
        <f>HYPERLINK("https://github.com/ashwin-phadke/Smart-Home-Security-App/releases", "show")</f>
        <v>show</v>
      </c>
      <c r="I9393">
        <v>1</v>
      </c>
      <c r="J9393">
        <v>1</v>
      </c>
      <c r="K9393">
        <v>0</v>
      </c>
      <c r="L9393">
        <v>0</v>
      </c>
      <c r="M9393" t="s">
        <v>48</v>
      </c>
    </row>
    <row r="9394" spans="1:13" hidden="1" x14ac:dyDescent="0.15">
      <c r="A9394" t="s">
        <v>29545</v>
      </c>
      <c r="B9394" t="s">
        <v>29546</v>
      </c>
      <c r="C9394" t="s">
        <v>29547</v>
      </c>
      <c r="D9394" t="s">
        <v>29548</v>
      </c>
      <c r="E9394">
        <v>4</v>
      </c>
      <c r="F9394" t="str">
        <f>HYPERLINK("https://github.com/TeamNewPipe/NewPipe/issues/1414", "show")</f>
        <v>show</v>
      </c>
      <c r="G9394" t="str">
        <f>HYPERLINK("https://github.com/TeamNewPipe/NewPipe", "show")</f>
        <v>show</v>
      </c>
      <c r="H9394" t="str">
        <f>HYPERLINK("https://github.com/TeamNewPipe/NewPipe/releases", "show")</f>
        <v>show</v>
      </c>
      <c r="I9394">
        <v>1</v>
      </c>
      <c r="J9394">
        <v>0</v>
      </c>
      <c r="K9394">
        <v>0</v>
      </c>
      <c r="L9394">
        <v>0</v>
      </c>
      <c r="M9394" t="s">
        <v>17</v>
      </c>
    </row>
    <row r="9395" spans="1:13" hidden="1" x14ac:dyDescent="0.15">
      <c r="A9395" t="s">
        <v>29549</v>
      </c>
      <c r="B9395" t="s">
        <v>29550</v>
      </c>
      <c r="C9395" t="s">
        <v>29551</v>
      </c>
      <c r="D9395" t="s">
        <v>29548</v>
      </c>
      <c r="E9395">
        <v>214</v>
      </c>
      <c r="F9395" t="str">
        <f>HYPERLINK("https://github.com/commons-app/apps-android-commons/issues/1545", "show")</f>
        <v>show</v>
      </c>
      <c r="G9395" t="str">
        <f>HYPERLINK("https://github.com/commons-app/apps-android-commons", "show")</f>
        <v>show</v>
      </c>
      <c r="H9395" t="str">
        <f>HYPERLINK("https://github.com/commons-app/apps-android-commons/releases", "show")</f>
        <v>show</v>
      </c>
      <c r="I9395">
        <v>1</v>
      </c>
      <c r="J9395">
        <v>0</v>
      </c>
      <c r="K9395">
        <v>1</v>
      </c>
      <c r="L9395">
        <v>0</v>
      </c>
      <c r="M9395" t="s">
        <v>64</v>
      </c>
    </row>
    <row r="9396" spans="1:13" hidden="1" x14ac:dyDescent="0.15">
      <c r="A9396" t="s">
        <v>29552</v>
      </c>
      <c r="B9396" t="s">
        <v>29553</v>
      </c>
      <c r="C9396" t="s">
        <v>29554</v>
      </c>
      <c r="D9396" t="s">
        <v>29548</v>
      </c>
      <c r="E9396">
        <v>528</v>
      </c>
      <c r="F9396" t="str">
        <f>HYPERLINK("https://github.com/eduvpn/android/issues/171", "show")</f>
        <v>show</v>
      </c>
      <c r="G9396" t="str">
        <f>HYPERLINK("https://github.com/eduvpn/android", "show")</f>
        <v>show</v>
      </c>
      <c r="H9396" t="str">
        <f>HYPERLINK("https://github.com/eduvpn/android/releases", "show")</f>
        <v>show</v>
      </c>
      <c r="I9396">
        <v>1</v>
      </c>
      <c r="J9396">
        <v>1</v>
      </c>
      <c r="K9396">
        <v>0</v>
      </c>
      <c r="L9396">
        <v>0</v>
      </c>
      <c r="M9396" t="s">
        <v>48</v>
      </c>
    </row>
    <row r="9397" spans="1:13" hidden="1" x14ac:dyDescent="0.15">
      <c r="A9397" t="s">
        <v>29555</v>
      </c>
      <c r="B9397" t="s">
        <v>29556</v>
      </c>
      <c r="C9397" t="s">
        <v>29557</v>
      </c>
      <c r="D9397" t="s">
        <v>29558</v>
      </c>
      <c r="E9397">
        <v>0</v>
      </c>
      <c r="F9397" t="str">
        <f>HYPERLINK("https://github.com/michael-rapp/ChromeLikeTabSwitcher/issues/16", "show")</f>
        <v>show</v>
      </c>
      <c r="G9397" t="str">
        <f>HYPERLINK("https://github.com/michael-rapp/ChromeLikeTabSwitcher", "show")</f>
        <v>show</v>
      </c>
      <c r="H9397" t="str">
        <f>HYPERLINK("https://github.com/michael-rapp/ChromeLikeTabSwitcher/releases", "show")</f>
        <v>show</v>
      </c>
      <c r="I9397">
        <v>1</v>
      </c>
      <c r="J9397">
        <v>0</v>
      </c>
      <c r="K9397">
        <v>0</v>
      </c>
      <c r="L9397">
        <v>0</v>
      </c>
      <c r="M9397" t="s">
        <v>17</v>
      </c>
    </row>
    <row r="9398" spans="1:13" hidden="1" x14ac:dyDescent="0.15">
      <c r="A9398" t="s">
        <v>29559</v>
      </c>
      <c r="B9398" t="s">
        <v>29560</v>
      </c>
      <c r="C9398" t="s">
        <v>29561</v>
      </c>
      <c r="D9398" t="s">
        <v>29558</v>
      </c>
      <c r="E9398">
        <v>110</v>
      </c>
      <c r="F9398" t="str">
        <f>HYPERLINK("https://github.com/fennifith/Status/issues/128", "show")</f>
        <v>show</v>
      </c>
      <c r="G9398" t="str">
        <f>HYPERLINK("https://github.com/fennifith/Status", "show")</f>
        <v>show</v>
      </c>
      <c r="H9398" t="str">
        <f>HYPERLINK("https://github.com/fennifith/Status/releases", "show")</f>
        <v>show</v>
      </c>
      <c r="I9398">
        <v>1</v>
      </c>
      <c r="J9398">
        <v>1</v>
      </c>
      <c r="K9398">
        <v>1</v>
      </c>
      <c r="L9398">
        <v>0</v>
      </c>
      <c r="M9398" t="s">
        <v>59</v>
      </c>
    </row>
    <row r="9399" spans="1:13" hidden="1" x14ac:dyDescent="0.15">
      <c r="A9399" t="s">
        <v>29562</v>
      </c>
      <c r="B9399" t="s">
        <v>29563</v>
      </c>
      <c r="C9399" t="s">
        <v>29564</v>
      </c>
      <c r="D9399" t="s">
        <v>29558</v>
      </c>
      <c r="E9399">
        <v>111</v>
      </c>
      <c r="F9399" t="str">
        <f>HYPERLINK("https://github.com/fr3ts0n/AndrOBD/issues/58", "show")</f>
        <v>show</v>
      </c>
      <c r="G9399" t="str">
        <f>HYPERLINK("https://github.com/fr3ts0n/AndrOBD", "show")</f>
        <v>show</v>
      </c>
      <c r="H9399" t="str">
        <f>HYPERLINK("https://github.com/fr3ts0n/AndrOBD/releases", "show")</f>
        <v>show</v>
      </c>
      <c r="I9399">
        <v>1</v>
      </c>
      <c r="J9399">
        <v>1</v>
      </c>
      <c r="K9399">
        <v>1</v>
      </c>
      <c r="L9399">
        <v>0</v>
      </c>
      <c r="M9399" t="s">
        <v>59</v>
      </c>
    </row>
    <row r="9400" spans="1:13" hidden="1" x14ac:dyDescent="0.15">
      <c r="A9400" t="s">
        <v>29565</v>
      </c>
      <c r="B9400" t="s">
        <v>29566</v>
      </c>
      <c r="C9400" t="s">
        <v>29567</v>
      </c>
      <c r="D9400" t="s">
        <v>29558</v>
      </c>
      <c r="E9400">
        <v>0</v>
      </c>
      <c r="F9400" t="str">
        <f>HYPERLINK("https://github.com/renyuneyun/Easer/issues/107", "show")</f>
        <v>show</v>
      </c>
      <c r="G9400" t="str">
        <f>HYPERLINK("https://github.com/renyuneyun/Easer", "show")</f>
        <v>show</v>
      </c>
      <c r="H9400" t="str">
        <f>HYPERLINK("https://github.com/renyuneyun/Easer/releases", "show")</f>
        <v>show</v>
      </c>
      <c r="I9400">
        <v>1</v>
      </c>
      <c r="J9400">
        <v>0</v>
      </c>
      <c r="K9400">
        <v>0</v>
      </c>
      <c r="L9400">
        <v>0</v>
      </c>
      <c r="M9400" t="s">
        <v>17</v>
      </c>
    </row>
    <row r="9401" spans="1:13" hidden="1" x14ac:dyDescent="0.15">
      <c r="A9401" t="s">
        <v>29568</v>
      </c>
      <c r="B9401" t="s">
        <v>29569</v>
      </c>
      <c r="C9401" t="s">
        <v>29570</v>
      </c>
      <c r="D9401" t="s">
        <v>29571</v>
      </c>
      <c r="E9401">
        <v>1</v>
      </c>
      <c r="F9401" t="str">
        <f>HYPERLINK("https://github.com/freshollie/UsbGps4Droid/issues/12", "show")</f>
        <v>show</v>
      </c>
      <c r="G9401" t="str">
        <f>HYPERLINK("https://github.com/freshollie/UsbGps4Droid", "show")</f>
        <v>show</v>
      </c>
      <c r="H9401" t="str">
        <f>HYPERLINK("https://github.com/freshollie/UsbGps4Droid/releases", "show")</f>
        <v>show</v>
      </c>
      <c r="I9401">
        <v>1</v>
      </c>
      <c r="J9401">
        <v>1</v>
      </c>
      <c r="K9401">
        <v>0</v>
      </c>
      <c r="L9401">
        <v>0</v>
      </c>
      <c r="M9401" t="s">
        <v>48</v>
      </c>
    </row>
    <row r="9402" spans="1:13" hidden="1" x14ac:dyDescent="0.15">
      <c r="A9402" t="s">
        <v>29572</v>
      </c>
      <c r="B9402" t="s">
        <v>29573</v>
      </c>
      <c r="C9402" t="s">
        <v>29574</v>
      </c>
      <c r="D9402" t="s">
        <v>29571</v>
      </c>
      <c r="E9402">
        <v>871</v>
      </c>
      <c r="F9402" t="str">
        <f>HYPERLINK("https://github.com/k9mail/k-9/issues/3401", "show")</f>
        <v>show</v>
      </c>
      <c r="G9402" t="str">
        <f>HYPERLINK("https://github.com/k9mail/k-9", "show")</f>
        <v>show</v>
      </c>
      <c r="H9402" t="str">
        <f>HYPERLINK("https://github.com/k9mail/k-9/releases", "show")</f>
        <v>show</v>
      </c>
      <c r="I9402">
        <v>1</v>
      </c>
      <c r="J9402">
        <v>1</v>
      </c>
      <c r="K9402">
        <v>1</v>
      </c>
      <c r="L9402">
        <v>0</v>
      </c>
      <c r="M9402" t="s">
        <v>59</v>
      </c>
    </row>
    <row r="9403" spans="1:13" hidden="1" x14ac:dyDescent="0.15">
      <c r="A9403" t="s">
        <v>29575</v>
      </c>
      <c r="B9403" t="s">
        <v>29576</v>
      </c>
      <c r="D9403" t="s">
        <v>29571</v>
      </c>
      <c r="E9403">
        <v>1</v>
      </c>
      <c r="F9403" t="str">
        <f>HYPERLINK("https://github.com/cniesen/morsetrainer/issues/10", "show")</f>
        <v>show</v>
      </c>
      <c r="G9403" t="str">
        <f>HYPERLINK("https://github.com/cniesen/morsetrainer", "show")</f>
        <v>show</v>
      </c>
      <c r="H9403" t="str">
        <f>HYPERLINK("https://github.com/cniesen/morsetrainer/releases", "show")</f>
        <v>show</v>
      </c>
      <c r="I9403">
        <v>1</v>
      </c>
      <c r="J9403">
        <v>0</v>
      </c>
      <c r="K9403">
        <v>0</v>
      </c>
      <c r="L9403">
        <v>0</v>
      </c>
      <c r="M9403" t="s">
        <v>17</v>
      </c>
    </row>
    <row r="9404" spans="1:13" hidden="1" x14ac:dyDescent="0.15">
      <c r="A9404" t="s">
        <v>29577</v>
      </c>
      <c r="B9404" t="s">
        <v>29578</v>
      </c>
      <c r="C9404" t="s">
        <v>29579</v>
      </c>
      <c r="D9404" t="s">
        <v>29571</v>
      </c>
      <c r="E9404">
        <v>26</v>
      </c>
      <c r="F9404" t="str">
        <f>HYPERLINK("https://github.com/ramack/ActivityDiary/issues/153", "show")</f>
        <v>show</v>
      </c>
      <c r="G9404" t="str">
        <f>HYPERLINK("https://github.com/ramack/ActivityDiary", "show")</f>
        <v>show</v>
      </c>
      <c r="H9404" t="str">
        <f>HYPERLINK("https://github.com/ramack/ActivityDiary/releases", "show")</f>
        <v>show</v>
      </c>
      <c r="I9404">
        <v>1</v>
      </c>
      <c r="J9404">
        <v>1</v>
      </c>
      <c r="K9404">
        <v>0</v>
      </c>
      <c r="L9404">
        <v>0</v>
      </c>
      <c r="M9404" t="s">
        <v>48</v>
      </c>
    </row>
    <row r="9405" spans="1:13" hidden="1" x14ac:dyDescent="0.15">
      <c r="A9405" t="s">
        <v>29580</v>
      </c>
      <c r="B9405" t="s">
        <v>29581</v>
      </c>
      <c r="C9405" t="s">
        <v>29582</v>
      </c>
      <c r="D9405" t="s">
        <v>29583</v>
      </c>
      <c r="E9405">
        <v>122</v>
      </c>
      <c r="F9405" t="str">
        <f>HYPERLINK("https://github.com/renyuneyun/Easer/issues/106", "show")</f>
        <v>show</v>
      </c>
      <c r="G9405" t="str">
        <f>HYPERLINK("https://github.com/renyuneyun/Easer", "show")</f>
        <v>show</v>
      </c>
      <c r="H9405" t="str">
        <f>HYPERLINK("https://github.com/renyuneyun/Easer/releases", "show")</f>
        <v>show</v>
      </c>
      <c r="I9405">
        <v>1</v>
      </c>
      <c r="J9405">
        <v>0</v>
      </c>
      <c r="K9405">
        <v>0</v>
      </c>
      <c r="L9405">
        <v>0</v>
      </c>
      <c r="M9405" t="s">
        <v>17</v>
      </c>
    </row>
    <row r="9406" spans="1:13" hidden="1" x14ac:dyDescent="0.15">
      <c r="A9406" t="s">
        <v>29584</v>
      </c>
      <c r="B9406" t="s">
        <v>29585</v>
      </c>
      <c r="C9406" t="s">
        <v>29586</v>
      </c>
      <c r="D9406" t="s">
        <v>29583</v>
      </c>
      <c r="E9406">
        <v>256</v>
      </c>
      <c r="F9406" t="str">
        <f>HYPERLINK("https://github.com/hzi-braunschweig/SORMAS-Project/issues/611", "show")</f>
        <v>show</v>
      </c>
      <c r="G9406" t="str">
        <f>HYPERLINK("https://github.com/hzi-braunschweig/SORMAS-Project", "show")</f>
        <v>show</v>
      </c>
      <c r="H9406" t="str">
        <f>HYPERLINK("https://github.com/hzi-braunschweig/SORMAS-Project/releases", "show")</f>
        <v>show</v>
      </c>
      <c r="I9406">
        <v>1</v>
      </c>
      <c r="J9406">
        <v>0</v>
      </c>
      <c r="K9406">
        <v>0</v>
      </c>
      <c r="L9406">
        <v>0</v>
      </c>
      <c r="M9406" t="s">
        <v>17</v>
      </c>
    </row>
    <row r="9407" spans="1:13" hidden="1" x14ac:dyDescent="0.15">
      <c r="A9407" t="s">
        <v>29587</v>
      </c>
      <c r="B9407" t="s">
        <v>29588</v>
      </c>
      <c r="C9407" t="s">
        <v>29589</v>
      </c>
      <c r="D9407" t="s">
        <v>29583</v>
      </c>
      <c r="E9407">
        <v>158</v>
      </c>
      <c r="F9407" t="str">
        <f>HYPERLINK("https://github.com/citiususc/calendula/issues/118", "show")</f>
        <v>show</v>
      </c>
      <c r="G9407" t="str">
        <f>HYPERLINK("https://github.com/citiususc/calendula", "show")</f>
        <v>show</v>
      </c>
      <c r="H9407" t="str">
        <f>HYPERLINK("https://github.com/citiususc/calendula/releases", "show")</f>
        <v>show</v>
      </c>
      <c r="I9407">
        <v>1</v>
      </c>
      <c r="J9407">
        <v>1</v>
      </c>
      <c r="K9407">
        <v>0</v>
      </c>
      <c r="L9407">
        <v>0</v>
      </c>
      <c r="M9407" t="s">
        <v>48</v>
      </c>
    </row>
    <row r="9408" spans="1:13" hidden="1" x14ac:dyDescent="0.15">
      <c r="A9408" t="s">
        <v>29590</v>
      </c>
      <c r="B9408" t="s">
        <v>29591</v>
      </c>
      <c r="C9408" t="s">
        <v>29592</v>
      </c>
      <c r="D9408" t="s">
        <v>29583</v>
      </c>
      <c r="E9408">
        <v>4</v>
      </c>
      <c r="F9408" t="str">
        <f>HYPERLINK("https://github.com/MrStahlfelge/gdx-gamesvcs/issues/26", "show")</f>
        <v>show</v>
      </c>
      <c r="G9408" t="str">
        <f>HYPERLINK("https://github.com/MrStahlfelge/gdx-gamesvcs", "show")</f>
        <v>show</v>
      </c>
      <c r="H9408" t="str">
        <f>HYPERLINK("https://github.com/MrStahlfelge/gdx-gamesvcs/releases", "show")</f>
        <v>show</v>
      </c>
      <c r="I9408">
        <v>1</v>
      </c>
      <c r="J9408">
        <v>0</v>
      </c>
      <c r="K9408">
        <v>0</v>
      </c>
      <c r="L9408">
        <v>0</v>
      </c>
      <c r="M9408" t="s">
        <v>17</v>
      </c>
    </row>
    <row r="9409" spans="1:13" x14ac:dyDescent="0.15">
      <c r="A9409" t="s">
        <v>29593</v>
      </c>
      <c r="B9409" t="s">
        <v>29594</v>
      </c>
      <c r="C9409" t="s">
        <v>29595</v>
      </c>
      <c r="D9409" t="s">
        <v>29583</v>
      </c>
      <c r="E9409">
        <v>61</v>
      </c>
      <c r="F9409" t="str">
        <f>HYPERLINK("https://github.com/citiususc/calendula/issues/117", "show")</f>
        <v>show</v>
      </c>
      <c r="G9409" t="str">
        <f>HYPERLINK("https://github.com/citiususc/calendula", "show")</f>
        <v>show</v>
      </c>
      <c r="H9409" t="str">
        <f>HYPERLINK("https://github.com/citiususc/calendula/releases", "show")</f>
        <v>show</v>
      </c>
      <c r="I9409">
        <v>0</v>
      </c>
      <c r="J9409">
        <v>1</v>
      </c>
      <c r="K9409">
        <v>0</v>
      </c>
      <c r="L9409">
        <v>0</v>
      </c>
      <c r="M9409" t="s">
        <v>139</v>
      </c>
    </row>
    <row r="9410" spans="1:13" hidden="1" x14ac:dyDescent="0.15">
      <c r="A9410" t="s">
        <v>29596</v>
      </c>
      <c r="B9410" t="s">
        <v>29597</v>
      </c>
      <c r="C9410" t="s">
        <v>29598</v>
      </c>
      <c r="D9410" t="s">
        <v>29583</v>
      </c>
      <c r="E9410">
        <v>0</v>
      </c>
      <c r="F9410" t="str">
        <f>HYPERLINK("https://github.com/lfuelling/lrkFM/issues/17", "show")</f>
        <v>show</v>
      </c>
      <c r="G9410" t="str">
        <f>HYPERLINK("https://github.com/lfuelling/lrkFM", "show")</f>
        <v>show</v>
      </c>
      <c r="H9410" t="str">
        <f>HYPERLINK("https://github.com/lfuelling/lrkFM/releases", "show")</f>
        <v>show</v>
      </c>
      <c r="I9410">
        <v>1</v>
      </c>
      <c r="J9410">
        <v>1</v>
      </c>
      <c r="K9410">
        <v>0</v>
      </c>
      <c r="L9410">
        <v>0</v>
      </c>
      <c r="M9410" t="s">
        <v>48</v>
      </c>
    </row>
    <row r="9411" spans="1:13" hidden="1" x14ac:dyDescent="0.15">
      <c r="A9411" t="s">
        <v>29599</v>
      </c>
      <c r="B9411" t="s">
        <v>29600</v>
      </c>
      <c r="C9411" t="s">
        <v>29601</v>
      </c>
      <c r="D9411" t="s">
        <v>29602</v>
      </c>
      <c r="E9411">
        <v>1</v>
      </c>
      <c r="F9411" t="str">
        <f>HYPERLINK("https://github.com/lfuelling/lrkFM/issues/16", "show")</f>
        <v>show</v>
      </c>
      <c r="G9411" t="str">
        <f>HYPERLINK("https://github.com/lfuelling/lrkFM", "show")</f>
        <v>show</v>
      </c>
      <c r="H9411" t="str">
        <f>HYPERLINK("https://github.com/lfuelling/lrkFM/releases", "show")</f>
        <v>show</v>
      </c>
      <c r="I9411">
        <v>1</v>
      </c>
      <c r="J9411">
        <v>1</v>
      </c>
      <c r="K9411">
        <v>0</v>
      </c>
      <c r="L9411">
        <v>0</v>
      </c>
      <c r="M9411" t="s">
        <v>48</v>
      </c>
    </row>
    <row r="9412" spans="1:13" hidden="1" x14ac:dyDescent="0.15">
      <c r="A9412" t="s">
        <v>29603</v>
      </c>
      <c r="B9412" t="s">
        <v>29604</v>
      </c>
      <c r="C9412" t="s">
        <v>29605</v>
      </c>
      <c r="D9412" t="s">
        <v>29602</v>
      </c>
      <c r="E9412">
        <v>1</v>
      </c>
      <c r="F9412" t="str">
        <f>HYPERLINK("https://github.com/lfuelling/lrkFM/issues/15", "show")</f>
        <v>show</v>
      </c>
      <c r="G9412" t="str">
        <f>HYPERLINK("https://github.com/lfuelling/lrkFM", "show")</f>
        <v>show</v>
      </c>
      <c r="H9412" t="str">
        <f>HYPERLINK("https://github.com/lfuelling/lrkFM/releases", "show")</f>
        <v>show</v>
      </c>
      <c r="I9412">
        <v>1</v>
      </c>
      <c r="J9412">
        <v>1</v>
      </c>
      <c r="K9412">
        <v>0</v>
      </c>
      <c r="L9412">
        <v>0</v>
      </c>
      <c r="M9412" t="s">
        <v>48</v>
      </c>
    </row>
    <row r="9413" spans="1:13" hidden="1" x14ac:dyDescent="0.15">
      <c r="A9413" t="s">
        <v>29606</v>
      </c>
      <c r="B9413" t="s">
        <v>29607</v>
      </c>
      <c r="C9413" t="s">
        <v>29608</v>
      </c>
      <c r="D9413" t="s">
        <v>29602</v>
      </c>
      <c r="E9413">
        <v>1</v>
      </c>
      <c r="F9413" t="str">
        <f>HYPERLINK("https://github.com/dimagi/commcare-android/issues/2005", "show")</f>
        <v>show</v>
      </c>
      <c r="G9413" t="str">
        <f>HYPERLINK("https://github.com/dimagi/commcare-android", "show")</f>
        <v>show</v>
      </c>
      <c r="H9413" t="str">
        <f>HYPERLINK("https://github.com/dimagi/commcare-android/releases", "show")</f>
        <v>show</v>
      </c>
      <c r="I9413">
        <v>1</v>
      </c>
      <c r="J9413">
        <v>0</v>
      </c>
      <c r="K9413">
        <v>0</v>
      </c>
      <c r="L9413">
        <v>0</v>
      </c>
      <c r="M9413" t="s">
        <v>17</v>
      </c>
    </row>
    <row r="9414" spans="1:13" hidden="1" x14ac:dyDescent="0.15">
      <c r="A9414" t="s">
        <v>29609</v>
      </c>
      <c r="B9414" t="s">
        <v>29610</v>
      </c>
      <c r="C9414" t="s">
        <v>29611</v>
      </c>
      <c r="D9414" t="s">
        <v>29602</v>
      </c>
      <c r="E9414">
        <v>1</v>
      </c>
      <c r="F9414" t="str">
        <f>HYPERLINK("https://github.com/react-native-camera/react-native-camera/issues/1567", "show")</f>
        <v>show</v>
      </c>
      <c r="G9414" t="str">
        <f>HYPERLINK("https://github.com/react-native-camera/react-native-camera", "show")</f>
        <v>show</v>
      </c>
      <c r="H9414" t="str">
        <f>HYPERLINK("https://github.com/react-native-camera/react-native-camera/releases", "show")</f>
        <v>show</v>
      </c>
      <c r="I9414">
        <v>1</v>
      </c>
      <c r="J9414">
        <v>1</v>
      </c>
      <c r="K9414">
        <v>0</v>
      </c>
      <c r="L9414">
        <v>1</v>
      </c>
      <c r="M9414" t="s">
        <v>1894</v>
      </c>
    </row>
    <row r="9415" spans="1:13" hidden="1" x14ac:dyDescent="0.15">
      <c r="A9415" t="s">
        <v>29612</v>
      </c>
      <c r="B9415" t="s">
        <v>29613</v>
      </c>
      <c r="C9415" t="s">
        <v>29614</v>
      </c>
      <c r="D9415" t="s">
        <v>29602</v>
      </c>
      <c r="E9415">
        <v>1</v>
      </c>
      <c r="F9415" t="str">
        <f>HYPERLINK("https://github.com/lfuelling/lrkFM/issues/14", "show")</f>
        <v>show</v>
      </c>
      <c r="G9415" t="str">
        <f>HYPERLINK("https://github.com/lfuelling/lrkFM", "show")</f>
        <v>show</v>
      </c>
      <c r="H9415" t="str">
        <f>HYPERLINK("https://github.com/lfuelling/lrkFM/releases", "show")</f>
        <v>show</v>
      </c>
      <c r="I9415">
        <v>1</v>
      </c>
      <c r="J9415">
        <v>1</v>
      </c>
      <c r="K9415">
        <v>1</v>
      </c>
      <c r="L9415">
        <v>0</v>
      </c>
      <c r="M9415" t="s">
        <v>59</v>
      </c>
    </row>
    <row r="9416" spans="1:13" hidden="1" x14ac:dyDescent="0.15">
      <c r="A9416" t="s">
        <v>29615</v>
      </c>
      <c r="B9416" t="s">
        <v>29616</v>
      </c>
      <c r="C9416" t="s">
        <v>29617</v>
      </c>
      <c r="D9416" t="s">
        <v>29602</v>
      </c>
      <c r="E9416">
        <v>5</v>
      </c>
      <c r="F9416" t="str">
        <f>HYPERLINK("https://github.com/itprojects/InboxPager/issues/16", "show")</f>
        <v>show</v>
      </c>
      <c r="G9416" t="str">
        <f>HYPERLINK("https://github.com/itprojects/InboxPager", "show")</f>
        <v>show</v>
      </c>
      <c r="H9416" t="str">
        <f>HYPERLINK("https://github.com/itprojects/InboxPager/releases", "show")</f>
        <v>show</v>
      </c>
      <c r="I9416">
        <v>1</v>
      </c>
      <c r="J9416">
        <v>1</v>
      </c>
      <c r="K9416">
        <v>0</v>
      </c>
      <c r="L9416">
        <v>0</v>
      </c>
      <c r="M9416" t="s">
        <v>48</v>
      </c>
    </row>
    <row r="9417" spans="1:13" x14ac:dyDescent="0.15">
      <c r="A9417" t="s">
        <v>29618</v>
      </c>
      <c r="B9417" t="s">
        <v>29619</v>
      </c>
      <c r="C9417" t="s">
        <v>29620</v>
      </c>
      <c r="D9417" t="s">
        <v>29602</v>
      </c>
      <c r="E9417">
        <v>9</v>
      </c>
      <c r="F9417" t="str">
        <f>HYPERLINK("https://github.com/itprojects/InboxPager/issues/15", "show")</f>
        <v>show</v>
      </c>
      <c r="G9417" t="str">
        <f>HYPERLINK("https://github.com/itprojects/InboxPager", "show")</f>
        <v>show</v>
      </c>
      <c r="H9417" t="str">
        <f>HYPERLINK("https://github.com/itprojects/InboxPager/releases", "show")</f>
        <v>show</v>
      </c>
      <c r="I9417">
        <v>0</v>
      </c>
      <c r="J9417">
        <v>1</v>
      </c>
      <c r="K9417">
        <v>0</v>
      </c>
      <c r="L9417">
        <v>0</v>
      </c>
      <c r="M9417" t="s">
        <v>139</v>
      </c>
    </row>
    <row r="9418" spans="1:13" hidden="1" x14ac:dyDescent="0.15">
      <c r="A9418" t="s">
        <v>29621</v>
      </c>
      <c r="B9418" t="s">
        <v>29619</v>
      </c>
      <c r="C9418" t="s">
        <v>29622</v>
      </c>
      <c r="D9418" t="s">
        <v>29602</v>
      </c>
      <c r="E9418">
        <v>9</v>
      </c>
      <c r="F9418" t="str">
        <f>HYPERLINK("https://github.com/itprojects/InboxPager/issues/13", "show")</f>
        <v>show</v>
      </c>
      <c r="G9418" t="str">
        <f>HYPERLINK("https://github.com/itprojects/InboxPager", "show")</f>
        <v>show</v>
      </c>
      <c r="H9418" t="str">
        <f>HYPERLINK("https://github.com/itprojects/InboxPager/releases", "show")</f>
        <v>show</v>
      </c>
      <c r="I9418">
        <v>1</v>
      </c>
      <c r="J9418">
        <v>1</v>
      </c>
      <c r="K9418">
        <v>0</v>
      </c>
      <c r="L9418">
        <v>0</v>
      </c>
      <c r="M9418" t="s">
        <v>48</v>
      </c>
    </row>
    <row r="9419" spans="1:13" hidden="1" x14ac:dyDescent="0.15">
      <c r="A9419" t="s">
        <v>29623</v>
      </c>
      <c r="B9419" t="s">
        <v>29624</v>
      </c>
      <c r="C9419" t="s">
        <v>29625</v>
      </c>
      <c r="D9419" t="s">
        <v>29602</v>
      </c>
      <c r="E9419">
        <v>135</v>
      </c>
      <c r="F9419" t="str">
        <f>HYPERLINK("https://github.com/square/okhttp/issues/4008", "show")</f>
        <v>show</v>
      </c>
      <c r="G9419" t="str">
        <f>HYPERLINK("https://github.com/square/okhttp", "show")</f>
        <v>show</v>
      </c>
      <c r="H9419" t="str">
        <f>HYPERLINK("https://github.com/square/okhttp/releases", "show")</f>
        <v>show</v>
      </c>
      <c r="I9419">
        <v>0</v>
      </c>
      <c r="J9419">
        <v>0</v>
      </c>
      <c r="K9419">
        <v>1</v>
      </c>
      <c r="L9419">
        <v>0</v>
      </c>
      <c r="M9419" t="s">
        <v>122</v>
      </c>
    </row>
    <row r="9420" spans="1:13" hidden="1" x14ac:dyDescent="0.15">
      <c r="A9420" t="s">
        <v>29626</v>
      </c>
      <c r="B9420" t="s">
        <v>29627</v>
      </c>
      <c r="C9420" t="s">
        <v>29628</v>
      </c>
      <c r="D9420" t="s">
        <v>29602</v>
      </c>
      <c r="E9420">
        <v>169</v>
      </c>
      <c r="F9420" t="str">
        <f>HYPERLINK("https://github.com/k3b/ToGoZip/issues/10", "show")</f>
        <v>show</v>
      </c>
      <c r="G9420" t="str">
        <f>HYPERLINK("https://github.com/k3b/ToGoZip", "show")</f>
        <v>show</v>
      </c>
      <c r="H9420" t="str">
        <f>HYPERLINK("https://github.com/k3b/ToGoZip/releases", "show")</f>
        <v>show</v>
      </c>
      <c r="I9420">
        <v>1</v>
      </c>
      <c r="J9420">
        <v>1</v>
      </c>
      <c r="K9420">
        <v>0</v>
      </c>
      <c r="L9420">
        <v>0</v>
      </c>
      <c r="M9420" t="s">
        <v>48</v>
      </c>
    </row>
    <row r="9421" spans="1:13" hidden="1" x14ac:dyDescent="0.15">
      <c r="A9421" t="s">
        <v>29629</v>
      </c>
      <c r="B9421" t="s">
        <v>29630</v>
      </c>
      <c r="C9421" t="s">
        <v>29631</v>
      </c>
      <c r="D9421" t="s">
        <v>29632</v>
      </c>
      <c r="E9421">
        <v>292</v>
      </c>
      <c r="F9421" t="str">
        <f>HYPERLINK("https://github.com/getodk/collect/issues/2214", "show")</f>
        <v>show</v>
      </c>
      <c r="G9421" t="str">
        <f>HYPERLINK("https://github.com/getodk/collect", "show")</f>
        <v>show</v>
      </c>
      <c r="H9421" t="str">
        <f>HYPERLINK("https://github.com/getodk/collect/releases", "show")</f>
        <v>show</v>
      </c>
      <c r="I9421">
        <v>1</v>
      </c>
      <c r="J9421">
        <v>0</v>
      </c>
      <c r="K9421">
        <v>0</v>
      </c>
      <c r="L9421">
        <v>0</v>
      </c>
      <c r="M9421" t="s">
        <v>17</v>
      </c>
    </row>
    <row r="9422" spans="1:13" hidden="1" x14ac:dyDescent="0.15">
      <c r="A9422" t="s">
        <v>29633</v>
      </c>
      <c r="B9422" t="s">
        <v>29634</v>
      </c>
      <c r="C9422" t="s">
        <v>29635</v>
      </c>
      <c r="D9422" t="s">
        <v>29632</v>
      </c>
      <c r="E9422">
        <v>9</v>
      </c>
      <c r="F9422" t="str">
        <f>HYPERLINK("https://github.com/smartdevicelink/sdl_java_suite/issues/761", "show")</f>
        <v>show</v>
      </c>
      <c r="G9422" t="str">
        <f>HYPERLINK("https://github.com/smartdevicelink/sdl_java_suite", "show")</f>
        <v>show</v>
      </c>
      <c r="H9422" t="str">
        <f>HYPERLINK("https://github.com/smartdevicelink/sdl_java_suite/releases", "show")</f>
        <v>show</v>
      </c>
      <c r="I9422">
        <v>0</v>
      </c>
      <c r="J9422">
        <v>0</v>
      </c>
      <c r="K9422">
        <v>1</v>
      </c>
      <c r="L9422">
        <v>0</v>
      </c>
      <c r="M9422" t="s">
        <v>122</v>
      </c>
    </row>
    <row r="9423" spans="1:13" hidden="1" x14ac:dyDescent="0.15">
      <c r="A9423" t="s">
        <v>29636</v>
      </c>
      <c r="B9423" t="s">
        <v>29637</v>
      </c>
      <c r="C9423" t="s">
        <v>29638</v>
      </c>
      <c r="D9423" t="s">
        <v>29632</v>
      </c>
      <c r="E9423">
        <v>50</v>
      </c>
      <c r="F9423" t="str">
        <f>HYPERLINK("https://github.com/facebook/buck/issues/1890", "show")</f>
        <v>show</v>
      </c>
      <c r="G9423" t="str">
        <f>HYPERLINK("https://github.com/facebook/buck", "show")</f>
        <v>show</v>
      </c>
      <c r="H9423" t="str">
        <f>HYPERLINK("https://github.com/facebook/buck/releases", "show")</f>
        <v>show</v>
      </c>
      <c r="I9423">
        <v>1</v>
      </c>
      <c r="J9423">
        <v>0</v>
      </c>
      <c r="K9423">
        <v>1</v>
      </c>
      <c r="L9423">
        <v>0</v>
      </c>
      <c r="M9423" t="s">
        <v>64</v>
      </c>
    </row>
    <row r="9424" spans="1:13" hidden="1" x14ac:dyDescent="0.15">
      <c r="A9424" t="s">
        <v>29639</v>
      </c>
      <c r="B9424" t="s">
        <v>29640</v>
      </c>
      <c r="C9424" t="s">
        <v>29641</v>
      </c>
      <c r="D9424" t="s">
        <v>29632</v>
      </c>
      <c r="E9424">
        <v>703</v>
      </c>
      <c r="F9424" t="str">
        <f>HYPERLINK("https://github.com/metinkale38/prayer-times-android/issues/121", "show")</f>
        <v>show</v>
      </c>
      <c r="G9424" t="str">
        <f>HYPERLINK("https://github.com/metinkale38/prayer-times-android", "show")</f>
        <v>show</v>
      </c>
      <c r="H9424" t="str">
        <f>HYPERLINK("https://github.com/metinkale38/prayer-times-android/releases", "show")</f>
        <v>show</v>
      </c>
      <c r="I9424">
        <v>1</v>
      </c>
      <c r="J9424">
        <v>1</v>
      </c>
      <c r="K9424">
        <v>1</v>
      </c>
      <c r="L9424">
        <v>0</v>
      </c>
      <c r="M9424" t="s">
        <v>59</v>
      </c>
    </row>
    <row r="9425" spans="1:13" hidden="1" x14ac:dyDescent="0.15">
      <c r="A9425" t="s">
        <v>29642</v>
      </c>
      <c r="B9425" t="s">
        <v>29643</v>
      </c>
      <c r="C9425" t="s">
        <v>504</v>
      </c>
      <c r="D9425" t="s">
        <v>29632</v>
      </c>
      <c r="E9425">
        <v>217</v>
      </c>
      <c r="F9425" t="str">
        <f>HYPERLINK("https://github.com/niclabs/adkintunmobile-androidclient/issues/192", "show")</f>
        <v>show</v>
      </c>
      <c r="G9425" t="str">
        <f>HYPERLINK("https://github.com/niclabs/adkintunmobile-androidclient", "show")</f>
        <v>show</v>
      </c>
      <c r="H9425" t="str">
        <f>HYPERLINK("https://github.com/niclabs/adkintunmobile-androidclient/releases", "show")</f>
        <v>show</v>
      </c>
      <c r="I9425">
        <v>1</v>
      </c>
      <c r="J9425">
        <v>0</v>
      </c>
      <c r="K9425">
        <v>0</v>
      </c>
      <c r="L9425">
        <v>0</v>
      </c>
      <c r="M9425" t="s">
        <v>17</v>
      </c>
    </row>
    <row r="9426" spans="1:13" hidden="1" x14ac:dyDescent="0.15">
      <c r="A9426" t="s">
        <v>29644</v>
      </c>
      <c r="B9426" t="s">
        <v>29645</v>
      </c>
      <c r="C9426" t="s">
        <v>29646</v>
      </c>
      <c r="D9426" t="s">
        <v>29632</v>
      </c>
      <c r="E9426">
        <v>78</v>
      </c>
      <c r="F9426" t="str">
        <f>HYPERLINK("https://github.com/google-ar/sceneform-android-sdk/issues/28", "show")</f>
        <v>show</v>
      </c>
      <c r="G9426" t="str">
        <f>HYPERLINK("https://github.com/google-ar/sceneform-android-sdk", "show")</f>
        <v>show</v>
      </c>
      <c r="H9426" t="str">
        <f>HYPERLINK("https://github.com/google-ar/sceneform-android-sdk/releases", "show")</f>
        <v>show</v>
      </c>
      <c r="I9426">
        <v>1</v>
      </c>
      <c r="J9426">
        <v>0</v>
      </c>
      <c r="K9426">
        <v>0</v>
      </c>
      <c r="L9426">
        <v>1</v>
      </c>
      <c r="M9426" t="s">
        <v>29</v>
      </c>
    </row>
    <row r="9427" spans="1:13" hidden="1" x14ac:dyDescent="0.15">
      <c r="A9427" t="s">
        <v>29647</v>
      </c>
      <c r="B9427" t="s">
        <v>29648</v>
      </c>
      <c r="C9427" t="s">
        <v>29649</v>
      </c>
      <c r="D9427" t="s">
        <v>29632</v>
      </c>
      <c r="E9427">
        <v>8</v>
      </c>
      <c r="F9427" t="str">
        <f>HYPERLINK("https://github.com/syncthing/syncthing-android/issues/1090", "show")</f>
        <v>show</v>
      </c>
      <c r="G9427" t="str">
        <f>HYPERLINK("https://github.com/syncthing/syncthing-android", "show")</f>
        <v>show</v>
      </c>
      <c r="H9427" t="str">
        <f>HYPERLINK("https://github.com/syncthing/syncthing-android/releases", "show")</f>
        <v>show</v>
      </c>
      <c r="I9427">
        <v>1</v>
      </c>
      <c r="J9427">
        <v>1</v>
      </c>
      <c r="K9427">
        <v>0</v>
      </c>
      <c r="L9427">
        <v>0</v>
      </c>
      <c r="M9427" t="s">
        <v>48</v>
      </c>
    </row>
    <row r="9428" spans="1:13" hidden="1" x14ac:dyDescent="0.15">
      <c r="A9428" t="s">
        <v>29650</v>
      </c>
      <c r="B9428" t="s">
        <v>29651</v>
      </c>
      <c r="C9428" t="s">
        <v>29652</v>
      </c>
      <c r="D9428" t="s">
        <v>29632</v>
      </c>
      <c r="E9428">
        <v>382</v>
      </c>
      <c r="F9428" t="str">
        <f>HYPERLINK("https://github.com/renyuneyun/Easer/issues/101", "show")</f>
        <v>show</v>
      </c>
      <c r="G9428" t="str">
        <f>HYPERLINK("https://github.com/renyuneyun/Easer", "show")</f>
        <v>show</v>
      </c>
      <c r="H9428" t="str">
        <f>HYPERLINK("https://github.com/renyuneyun/Easer/releases", "show")</f>
        <v>show</v>
      </c>
      <c r="I9428">
        <v>1</v>
      </c>
      <c r="J9428">
        <v>1</v>
      </c>
      <c r="K9428">
        <v>0</v>
      </c>
      <c r="L9428">
        <v>0</v>
      </c>
      <c r="M9428" t="s">
        <v>48</v>
      </c>
    </row>
    <row r="9429" spans="1:13" hidden="1" x14ac:dyDescent="0.15">
      <c r="A9429" t="s">
        <v>29653</v>
      </c>
      <c r="B9429" t="s">
        <v>29654</v>
      </c>
      <c r="C9429" t="s">
        <v>29655</v>
      </c>
      <c r="D9429" t="s">
        <v>29632</v>
      </c>
      <c r="E9429">
        <v>0</v>
      </c>
      <c r="F9429" t="str">
        <f>HYPERLINK("https://github.com/or-dvir/EasySettings/issues/1", "show")</f>
        <v>show</v>
      </c>
      <c r="G9429" t="str">
        <f>HYPERLINK("https://github.com/or-dvir/EasySettings", "show")</f>
        <v>show</v>
      </c>
      <c r="H9429" t="str">
        <f>HYPERLINK("https://github.com/or-dvir/EasySettings/releases", "show")</f>
        <v>show</v>
      </c>
      <c r="I9429">
        <v>1</v>
      </c>
      <c r="J9429">
        <v>0</v>
      </c>
      <c r="K9429">
        <v>0</v>
      </c>
      <c r="L9429">
        <v>0</v>
      </c>
      <c r="M9429" t="s">
        <v>17</v>
      </c>
    </row>
    <row r="9430" spans="1:13" hidden="1" x14ac:dyDescent="0.15">
      <c r="A9430" t="s">
        <v>29656</v>
      </c>
      <c r="B9430" t="s">
        <v>29657</v>
      </c>
      <c r="C9430" t="s">
        <v>29658</v>
      </c>
      <c r="D9430" t="s">
        <v>29659</v>
      </c>
      <c r="E9430">
        <v>103</v>
      </c>
      <c r="F9430" t="str">
        <f>HYPERLINK("https://github.com/koral--/android-gif-drawable/issues/547", "show")</f>
        <v>show</v>
      </c>
      <c r="G9430" t="str">
        <f>HYPERLINK("https://github.com/koral--/android-gif-drawable", "show")</f>
        <v>show</v>
      </c>
      <c r="H9430" t="str">
        <f>HYPERLINK("https://github.com/koral--/android-gif-drawable/releases", "show")</f>
        <v>show</v>
      </c>
      <c r="I9430">
        <v>1</v>
      </c>
      <c r="J9430">
        <v>0</v>
      </c>
      <c r="K9430">
        <v>0</v>
      </c>
      <c r="L9430">
        <v>0</v>
      </c>
      <c r="M9430" t="s">
        <v>17</v>
      </c>
    </row>
    <row r="9431" spans="1:13" hidden="1" x14ac:dyDescent="0.15">
      <c r="A9431" t="s">
        <v>29660</v>
      </c>
      <c r="B9431" t="s">
        <v>29661</v>
      </c>
      <c r="C9431" t="s">
        <v>29662</v>
      </c>
      <c r="D9431" t="s">
        <v>29659</v>
      </c>
      <c r="E9431">
        <v>29</v>
      </c>
      <c r="F9431" t="str">
        <f>HYPERLINK("https://github.com/coding-blocks/Chatter/issues/26", "show")</f>
        <v>show</v>
      </c>
      <c r="G9431" t="str">
        <f>HYPERLINK("https://github.com/coding-blocks/Chatter", "show")</f>
        <v>show</v>
      </c>
      <c r="H9431" t="str">
        <f>HYPERLINK("https://github.com/coding-blocks/Chatter/releases", "show")</f>
        <v>show</v>
      </c>
      <c r="I9431">
        <v>1</v>
      </c>
      <c r="J9431">
        <v>0</v>
      </c>
      <c r="K9431">
        <v>1</v>
      </c>
      <c r="L9431">
        <v>0</v>
      </c>
      <c r="M9431" t="s">
        <v>64</v>
      </c>
    </row>
    <row r="9432" spans="1:13" hidden="1" x14ac:dyDescent="0.15">
      <c r="A9432" t="s">
        <v>29663</v>
      </c>
      <c r="B9432" t="s">
        <v>29664</v>
      </c>
      <c r="C9432" t="s">
        <v>29665</v>
      </c>
      <c r="D9432" t="s">
        <v>29659</v>
      </c>
      <c r="E9432">
        <v>7</v>
      </c>
      <c r="F9432" t="str">
        <f>HYPERLINK("https://github.com/renyuneyun/Easer/issues/97", "show")</f>
        <v>show</v>
      </c>
      <c r="G9432" t="str">
        <f>HYPERLINK("https://github.com/renyuneyun/Easer", "show")</f>
        <v>show</v>
      </c>
      <c r="H9432" t="str">
        <f>HYPERLINK("https://github.com/renyuneyun/Easer/releases", "show")</f>
        <v>show</v>
      </c>
      <c r="I9432">
        <v>1</v>
      </c>
      <c r="J9432">
        <v>1</v>
      </c>
      <c r="K9432">
        <v>0</v>
      </c>
      <c r="L9432">
        <v>0</v>
      </c>
      <c r="M9432" t="s">
        <v>48</v>
      </c>
    </row>
    <row r="9433" spans="1:13" hidden="1" x14ac:dyDescent="0.15">
      <c r="A9433" t="s">
        <v>29666</v>
      </c>
      <c r="B9433" t="s">
        <v>29667</v>
      </c>
      <c r="C9433" t="s">
        <v>29668</v>
      </c>
      <c r="D9433" t="s">
        <v>29669</v>
      </c>
      <c r="E9433">
        <v>63</v>
      </c>
      <c r="F9433" t="str">
        <f>HYPERLINK("https://github.com/MozillaReality/FirefoxReality/issues/33", "show")</f>
        <v>show</v>
      </c>
      <c r="G9433" t="str">
        <f>HYPERLINK("https://github.com/MozillaReality/FirefoxReality", "show")</f>
        <v>show</v>
      </c>
      <c r="H9433" t="str">
        <f>HYPERLINK("https://github.com/MozillaReality/FirefoxReality/releases", "show")</f>
        <v>show</v>
      </c>
      <c r="I9433">
        <v>0</v>
      </c>
      <c r="J9433">
        <v>0</v>
      </c>
      <c r="K9433">
        <v>0</v>
      </c>
      <c r="L9433">
        <v>0</v>
      </c>
      <c r="M9433" t="s">
        <v>43</v>
      </c>
    </row>
    <row r="9434" spans="1:13" hidden="1" x14ac:dyDescent="0.15">
      <c r="A9434" t="s">
        <v>29670</v>
      </c>
      <c r="B9434" t="s">
        <v>29671</v>
      </c>
      <c r="C9434" t="s">
        <v>29672</v>
      </c>
      <c r="D9434" t="s">
        <v>29673</v>
      </c>
      <c r="E9434">
        <v>233</v>
      </c>
      <c r="F9434" t="str">
        <f>HYPERLINK("https://github.com/Haptic-Apps/Slide/issues/2757", "show")</f>
        <v>show</v>
      </c>
      <c r="G9434" t="str">
        <f>HYPERLINK("https://github.com/Haptic-Apps/Slide", "show")</f>
        <v>show</v>
      </c>
      <c r="H9434" t="str">
        <f>HYPERLINK("https://github.com/Haptic-Apps/Slide/releases", "show")</f>
        <v>show</v>
      </c>
      <c r="I9434">
        <v>1</v>
      </c>
      <c r="J9434">
        <v>0</v>
      </c>
      <c r="K9434">
        <v>0</v>
      </c>
      <c r="L9434">
        <v>0</v>
      </c>
      <c r="M9434" t="s">
        <v>17</v>
      </c>
    </row>
    <row r="9435" spans="1:13" hidden="1" x14ac:dyDescent="0.15">
      <c r="A9435" t="s">
        <v>29674</v>
      </c>
      <c r="B9435" t="s">
        <v>29675</v>
      </c>
      <c r="C9435" t="s">
        <v>29676</v>
      </c>
      <c r="D9435" t="s">
        <v>29673</v>
      </c>
      <c r="E9435">
        <v>40</v>
      </c>
      <c r="F9435" t="str">
        <f>HYPERLINK("https://github.com/fossasia/pslab-android/issues/873", "show")</f>
        <v>show</v>
      </c>
      <c r="G9435" t="str">
        <f>HYPERLINK("https://github.com/fossasia/pslab-android", "show")</f>
        <v>show</v>
      </c>
      <c r="H9435" t="str">
        <f>HYPERLINK("https://github.com/fossasia/pslab-android/releases", "show")</f>
        <v>show</v>
      </c>
      <c r="I9435">
        <v>0</v>
      </c>
      <c r="J9435">
        <v>0</v>
      </c>
      <c r="K9435">
        <v>0</v>
      </c>
      <c r="L9435">
        <v>1</v>
      </c>
      <c r="M9435" t="s">
        <v>581</v>
      </c>
    </row>
    <row r="9436" spans="1:13" hidden="1" x14ac:dyDescent="0.15">
      <c r="A9436" t="s">
        <v>29677</v>
      </c>
      <c r="B9436" t="s">
        <v>29678</v>
      </c>
      <c r="C9436" t="s">
        <v>29679</v>
      </c>
      <c r="D9436" t="s">
        <v>29680</v>
      </c>
      <c r="E9436">
        <v>377</v>
      </c>
      <c r="F9436" t="str">
        <f>HYPERLINK("https://github.com/nextcloud/android/issues/2574", "show")</f>
        <v>show</v>
      </c>
      <c r="G9436" t="str">
        <f>HYPERLINK("https://github.com/nextcloud/android", "show")</f>
        <v>show</v>
      </c>
      <c r="H9436" t="str">
        <f>HYPERLINK("https://github.com/nextcloud/android/releases", "show")</f>
        <v>show</v>
      </c>
      <c r="I9436">
        <v>1</v>
      </c>
      <c r="J9436">
        <v>1</v>
      </c>
      <c r="K9436">
        <v>0</v>
      </c>
      <c r="L9436">
        <v>0</v>
      </c>
      <c r="M9436" t="s">
        <v>48</v>
      </c>
    </row>
    <row r="9437" spans="1:13" hidden="1" x14ac:dyDescent="0.15">
      <c r="A9437" t="s">
        <v>29681</v>
      </c>
      <c r="B9437" t="s">
        <v>29682</v>
      </c>
      <c r="C9437" t="s">
        <v>29683</v>
      </c>
      <c r="D9437" t="s">
        <v>29680</v>
      </c>
      <c r="E9437">
        <v>8</v>
      </c>
      <c r="F9437" t="str">
        <f>HYPERLINK("https://github.com/consp1racy/android-support-preference/issues/105", "show")</f>
        <v>show</v>
      </c>
      <c r="G9437" t="str">
        <f>HYPERLINK("https://github.com/consp1racy/android-support-preference", "show")</f>
        <v>show</v>
      </c>
      <c r="H9437" t="str">
        <f>HYPERLINK("https://github.com/consp1racy/android-support-preference/releases", "show")</f>
        <v>show</v>
      </c>
      <c r="I9437">
        <v>0</v>
      </c>
      <c r="J9437">
        <v>0</v>
      </c>
      <c r="K9437">
        <v>1</v>
      </c>
      <c r="L9437">
        <v>0</v>
      </c>
      <c r="M9437" t="s">
        <v>122</v>
      </c>
    </row>
    <row r="9438" spans="1:13" hidden="1" x14ac:dyDescent="0.15">
      <c r="A9438" t="s">
        <v>29684</v>
      </c>
      <c r="B9438" t="s">
        <v>29685</v>
      </c>
      <c r="C9438" t="s">
        <v>29686</v>
      </c>
      <c r="D9438" t="s">
        <v>29680</v>
      </c>
      <c r="E9438">
        <v>1</v>
      </c>
      <c r="F9438" t="str">
        <f>HYPERLINK("https://github.com/hallsjj08/on-call-manager/issues/4", "show")</f>
        <v>show</v>
      </c>
      <c r="G9438" t="str">
        <f>HYPERLINK("https://github.com/hallsjj08/on-call-manager", "show")</f>
        <v>show</v>
      </c>
      <c r="H9438" t="str">
        <f>HYPERLINK("https://github.com/hallsjj08/on-call-manager/releases", "show")</f>
        <v>show</v>
      </c>
      <c r="I9438">
        <v>1</v>
      </c>
      <c r="J9438">
        <v>0</v>
      </c>
      <c r="K9438">
        <v>0</v>
      </c>
      <c r="L9438">
        <v>0</v>
      </c>
      <c r="M9438" t="s">
        <v>17</v>
      </c>
    </row>
    <row r="9439" spans="1:13" hidden="1" x14ac:dyDescent="0.15">
      <c r="A9439" t="s">
        <v>29687</v>
      </c>
      <c r="B9439" t="s">
        <v>29688</v>
      </c>
      <c r="C9439" t="s">
        <v>29689</v>
      </c>
      <c r="D9439" t="s">
        <v>29690</v>
      </c>
      <c r="E9439">
        <v>28</v>
      </c>
      <c r="F9439" t="str">
        <f>HYPERLINK("https://github.com/JamMarHer/ProjectParadise/issues/18", "show")</f>
        <v>show</v>
      </c>
      <c r="G9439" t="str">
        <f>HYPERLINK("https://github.com/JamMarHer/ProjectParadise", "show")</f>
        <v>show</v>
      </c>
      <c r="H9439" t="str">
        <f>HYPERLINK("https://github.com/JamMarHer/ProjectParadise/releases", "show")</f>
        <v>show</v>
      </c>
      <c r="I9439">
        <v>0</v>
      </c>
      <c r="J9439">
        <v>0</v>
      </c>
      <c r="K9439">
        <v>0</v>
      </c>
      <c r="L9439">
        <v>0</v>
      </c>
      <c r="M9439" t="s">
        <v>43</v>
      </c>
    </row>
    <row r="9440" spans="1:13" hidden="1" x14ac:dyDescent="0.15">
      <c r="A9440" t="s">
        <v>29691</v>
      </c>
      <c r="B9440" t="s">
        <v>29692</v>
      </c>
      <c r="C9440" t="s">
        <v>29693</v>
      </c>
      <c r="D9440" t="s">
        <v>29690</v>
      </c>
      <c r="E9440">
        <v>3</v>
      </c>
      <c r="F9440" t="str">
        <f>HYPERLINK("https://github.com/nextcloud/android/issues/2569", "show")</f>
        <v>show</v>
      </c>
      <c r="G9440" t="str">
        <f>HYPERLINK("https://github.com/nextcloud/android", "show")</f>
        <v>show</v>
      </c>
      <c r="H9440" t="str">
        <f>HYPERLINK("https://github.com/nextcloud/android/releases", "show")</f>
        <v>show</v>
      </c>
      <c r="I9440">
        <v>1</v>
      </c>
      <c r="J9440">
        <v>1</v>
      </c>
      <c r="K9440">
        <v>1</v>
      </c>
      <c r="L9440">
        <v>0</v>
      </c>
      <c r="M9440" t="s">
        <v>59</v>
      </c>
    </row>
    <row r="9441" spans="1:13" hidden="1" x14ac:dyDescent="0.15">
      <c r="A9441" t="s">
        <v>29694</v>
      </c>
      <c r="B9441" t="s">
        <v>29695</v>
      </c>
      <c r="C9441" t="s">
        <v>29696</v>
      </c>
      <c r="D9441" t="s">
        <v>29690</v>
      </c>
      <c r="E9441">
        <v>283</v>
      </c>
      <c r="F9441" t="str">
        <f>HYPERLINK("https://github.com/square/okhttp/issues/3995", "show")</f>
        <v>show</v>
      </c>
      <c r="G9441" t="str">
        <f>HYPERLINK("https://github.com/square/okhttp", "show")</f>
        <v>show</v>
      </c>
      <c r="H9441" t="str">
        <f>HYPERLINK("https://github.com/square/okhttp/releases", "show")</f>
        <v>show</v>
      </c>
      <c r="I9441">
        <v>1</v>
      </c>
      <c r="J9441">
        <v>0</v>
      </c>
      <c r="K9441">
        <v>0</v>
      </c>
      <c r="L9441">
        <v>0</v>
      </c>
      <c r="M9441" t="s">
        <v>17</v>
      </c>
    </row>
    <row r="9442" spans="1:13" hidden="1" x14ac:dyDescent="0.15">
      <c r="A9442" t="s">
        <v>29697</v>
      </c>
      <c r="B9442" t="s">
        <v>29698</v>
      </c>
      <c r="C9442" t="s">
        <v>29699</v>
      </c>
      <c r="D9442" t="s">
        <v>29690</v>
      </c>
      <c r="E9442">
        <v>0</v>
      </c>
      <c r="F9442" t="str">
        <f>HYPERLINK("https://github.com/forrestguice/SuntimesWidget/issues/203", "show")</f>
        <v>show</v>
      </c>
      <c r="G9442" t="str">
        <f>HYPERLINK("https://github.com/forrestguice/SuntimesWidget", "show")</f>
        <v>show</v>
      </c>
      <c r="H9442" t="str">
        <f>HYPERLINK("https://github.com/forrestguice/SuntimesWidget/releases", "show")</f>
        <v>show</v>
      </c>
      <c r="I9442">
        <v>1</v>
      </c>
      <c r="J9442">
        <v>0</v>
      </c>
      <c r="K9442">
        <v>1</v>
      </c>
      <c r="L9442">
        <v>0</v>
      </c>
      <c r="M9442" t="s">
        <v>64</v>
      </c>
    </row>
    <row r="9443" spans="1:13" hidden="1" x14ac:dyDescent="0.15">
      <c r="A9443" t="s">
        <v>29700</v>
      </c>
      <c r="B9443" t="s">
        <v>29701</v>
      </c>
      <c r="C9443" t="s">
        <v>29702</v>
      </c>
      <c r="D9443" t="s">
        <v>29703</v>
      </c>
      <c r="E9443">
        <v>8</v>
      </c>
      <c r="F9443" t="str">
        <f>HYPERLINK("https://github.com/google/ExoPlayer/issues/4238", "show")</f>
        <v>show</v>
      </c>
      <c r="G9443" t="str">
        <f>HYPERLINK("https://github.com/google/ExoPlayer", "show")</f>
        <v>show</v>
      </c>
      <c r="H9443" t="str">
        <f>HYPERLINK("https://github.com/google/ExoPlayer/releases", "show")</f>
        <v>show</v>
      </c>
      <c r="I9443">
        <v>1</v>
      </c>
      <c r="J9443">
        <v>1</v>
      </c>
      <c r="K9443">
        <v>1</v>
      </c>
      <c r="L9443">
        <v>0</v>
      </c>
      <c r="M9443" t="s">
        <v>59</v>
      </c>
    </row>
    <row r="9444" spans="1:13" hidden="1" x14ac:dyDescent="0.15">
      <c r="A9444" t="s">
        <v>29704</v>
      </c>
      <c r="B9444" t="s">
        <v>29705</v>
      </c>
      <c r="C9444" t="s">
        <v>29706</v>
      </c>
      <c r="D9444" t="s">
        <v>29703</v>
      </c>
      <c r="E9444">
        <v>169</v>
      </c>
      <c r="F9444" t="str">
        <f>HYPERLINK("https://github.com/PhilJay/MPAndroidChart/issues/4023", "show")</f>
        <v>show</v>
      </c>
      <c r="G9444" t="str">
        <f>HYPERLINK("https://github.com/PhilJay/MPAndroidChart", "show")</f>
        <v>show</v>
      </c>
      <c r="H9444" t="str">
        <f>HYPERLINK("https://github.com/PhilJay/MPAndroidChart/releases", "show")</f>
        <v>show</v>
      </c>
      <c r="I9444">
        <v>0</v>
      </c>
      <c r="J9444">
        <v>1</v>
      </c>
      <c r="K9444">
        <v>1</v>
      </c>
      <c r="L9444">
        <v>0</v>
      </c>
      <c r="M9444" t="s">
        <v>699</v>
      </c>
    </row>
    <row r="9445" spans="1:13" hidden="1" x14ac:dyDescent="0.15">
      <c r="A9445" t="s">
        <v>29707</v>
      </c>
      <c r="B9445" t="s">
        <v>29708</v>
      </c>
      <c r="C9445" t="s">
        <v>29709</v>
      </c>
      <c r="D9445" t="s">
        <v>29703</v>
      </c>
      <c r="E9445">
        <v>11</v>
      </c>
      <c r="F9445" t="str">
        <f>HYPERLINK("https://github.com/kollerlukas/Camera-Roll-Android-App/issues/188", "show")</f>
        <v>show</v>
      </c>
      <c r="G9445" t="str">
        <f>HYPERLINK("https://github.com/kollerlukas/Camera-Roll-Android-App", "show")</f>
        <v>show</v>
      </c>
      <c r="H9445" t="str">
        <f>HYPERLINK("https://github.com/kollerlukas/Camera-Roll-Android-App/releases", "show")</f>
        <v>show</v>
      </c>
      <c r="I9445">
        <v>1</v>
      </c>
      <c r="J9445">
        <v>0</v>
      </c>
      <c r="K9445">
        <v>0</v>
      </c>
      <c r="L9445">
        <v>0</v>
      </c>
      <c r="M9445" t="s">
        <v>17</v>
      </c>
    </row>
    <row r="9446" spans="1:13" hidden="1" x14ac:dyDescent="0.15">
      <c r="A9446" t="s">
        <v>29710</v>
      </c>
      <c r="B9446" t="s">
        <v>29711</v>
      </c>
      <c r="C9446" t="s">
        <v>29712</v>
      </c>
      <c r="D9446" t="s">
        <v>29703</v>
      </c>
      <c r="E9446">
        <v>28</v>
      </c>
      <c r="F9446" t="str">
        <f>HYPERLINK("https://github.com/nextcloud/android/issues/2567", "show")</f>
        <v>show</v>
      </c>
      <c r="G9446" t="str">
        <f>HYPERLINK("https://github.com/nextcloud/android", "show")</f>
        <v>show</v>
      </c>
      <c r="H9446" t="str">
        <f>HYPERLINK("https://github.com/nextcloud/android/releases", "show")</f>
        <v>show</v>
      </c>
      <c r="I9446">
        <v>1</v>
      </c>
      <c r="J9446">
        <v>0</v>
      </c>
      <c r="K9446">
        <v>0</v>
      </c>
      <c r="L9446">
        <v>0</v>
      </c>
      <c r="M9446" t="s">
        <v>17</v>
      </c>
    </row>
    <row r="9447" spans="1:13" hidden="1" x14ac:dyDescent="0.15">
      <c r="A9447" t="s">
        <v>29713</v>
      </c>
      <c r="B9447" t="s">
        <v>29714</v>
      </c>
      <c r="C9447" t="s">
        <v>29715</v>
      </c>
      <c r="D9447" t="s">
        <v>29703</v>
      </c>
      <c r="E9447">
        <v>3</v>
      </c>
      <c r="F9447" t="str">
        <f>HYPERLINK("https://github.com/TsimpDim/PassBuy/issues/38", "show")</f>
        <v>show</v>
      </c>
      <c r="G9447" t="str">
        <f>HYPERLINK("https://github.com/TsimpDim/PassBuy", "show")</f>
        <v>show</v>
      </c>
      <c r="H9447" t="str">
        <f>HYPERLINK("https://github.com/TsimpDim/PassBuy/releases", "show")</f>
        <v>show</v>
      </c>
      <c r="I9447">
        <v>0</v>
      </c>
      <c r="J9447">
        <v>0</v>
      </c>
      <c r="K9447">
        <v>0</v>
      </c>
      <c r="L9447">
        <v>0</v>
      </c>
      <c r="M9447" t="s">
        <v>43</v>
      </c>
    </row>
    <row r="9448" spans="1:13" hidden="1" x14ac:dyDescent="0.15">
      <c r="A9448" t="s">
        <v>29716</v>
      </c>
      <c r="B9448" t="s">
        <v>29717</v>
      </c>
      <c r="C9448" t="s">
        <v>29718</v>
      </c>
      <c r="D9448" t="s">
        <v>29703</v>
      </c>
      <c r="E9448">
        <v>1</v>
      </c>
      <c r="F9448" t="str">
        <f>HYPERLINK("https://github.com/AlexanderEggers/hitogo/issues/3", "show")</f>
        <v>show</v>
      </c>
      <c r="G9448" t="str">
        <f>HYPERLINK("https://github.com/AlexanderEggers/hitogo", "show")</f>
        <v>show</v>
      </c>
      <c r="H9448" t="str">
        <f>HYPERLINK("https://github.com/AlexanderEggers/hitogo/releases", "show")</f>
        <v>show</v>
      </c>
      <c r="I9448">
        <v>1</v>
      </c>
      <c r="J9448">
        <v>0</v>
      </c>
      <c r="K9448">
        <v>0</v>
      </c>
      <c r="L9448">
        <v>0</v>
      </c>
      <c r="M9448" t="s">
        <v>17</v>
      </c>
    </row>
    <row r="9449" spans="1:13" hidden="1" x14ac:dyDescent="0.15">
      <c r="A9449" t="s">
        <v>29719</v>
      </c>
      <c r="B9449" t="s">
        <v>29720</v>
      </c>
      <c r="C9449" t="s">
        <v>29721</v>
      </c>
      <c r="D9449" t="s">
        <v>29722</v>
      </c>
      <c r="E9449">
        <v>2</v>
      </c>
      <c r="F9449" t="str">
        <f>HYPERLINK("https://github.com/forrestguice/SuntimesWidget/issues/198", "show")</f>
        <v>show</v>
      </c>
      <c r="G9449" t="str">
        <f>HYPERLINK("https://github.com/forrestguice/SuntimesWidget", "show")</f>
        <v>show</v>
      </c>
      <c r="H9449" t="str">
        <f>HYPERLINK("https://github.com/forrestguice/SuntimesWidget/releases", "show")</f>
        <v>show</v>
      </c>
      <c r="I9449">
        <v>1</v>
      </c>
      <c r="J9449">
        <v>0</v>
      </c>
      <c r="K9449">
        <v>0</v>
      </c>
      <c r="L9449">
        <v>0</v>
      </c>
      <c r="M9449" t="s">
        <v>17</v>
      </c>
    </row>
    <row r="9450" spans="1:13" hidden="1" x14ac:dyDescent="0.15">
      <c r="A9450" t="s">
        <v>29723</v>
      </c>
      <c r="B9450" t="s">
        <v>29724</v>
      </c>
      <c r="C9450" t="s">
        <v>29725</v>
      </c>
      <c r="D9450" t="s">
        <v>29722</v>
      </c>
      <c r="E9450">
        <v>10</v>
      </c>
      <c r="F9450" t="str">
        <f>HYPERLINK("https://github.com/WeAreFairphone/FP2-Launcher/issues/9", "show")</f>
        <v>show</v>
      </c>
      <c r="G9450" t="str">
        <f>HYPERLINK("https://github.com/WeAreFairphone/FP2-Launcher", "show")</f>
        <v>show</v>
      </c>
      <c r="H9450" t="str">
        <f>HYPERLINK("https://github.com/WeAreFairphone/FP2-Launcher/releases", "show")</f>
        <v>show</v>
      </c>
      <c r="I9450">
        <v>1</v>
      </c>
      <c r="J9450">
        <v>0</v>
      </c>
      <c r="K9450">
        <v>1</v>
      </c>
      <c r="L9450">
        <v>0</v>
      </c>
      <c r="M9450" t="s">
        <v>64</v>
      </c>
    </row>
    <row r="9451" spans="1:13" x14ac:dyDescent="0.15">
      <c r="A9451" t="s">
        <v>29726</v>
      </c>
      <c r="B9451" t="s">
        <v>29727</v>
      </c>
      <c r="C9451" t="s">
        <v>29728</v>
      </c>
      <c r="D9451" t="s">
        <v>29729</v>
      </c>
      <c r="E9451">
        <v>6</v>
      </c>
      <c r="F9451" t="str">
        <f>HYPERLINK("https://github.com/OneBusAway/onebusaway-android/issues/874", "show")</f>
        <v>show</v>
      </c>
      <c r="G9451" t="str">
        <f>HYPERLINK("https://github.com/OneBusAway/onebusaway-android", "show")</f>
        <v>show</v>
      </c>
      <c r="H9451" t="str">
        <f>HYPERLINK("https://github.com/OneBusAway/onebusaway-android/releases", "show")</f>
        <v>show</v>
      </c>
      <c r="I9451">
        <v>0</v>
      </c>
      <c r="J9451">
        <v>1</v>
      </c>
      <c r="K9451">
        <v>0</v>
      </c>
      <c r="L9451">
        <v>0</v>
      </c>
      <c r="M9451" t="s">
        <v>139</v>
      </c>
    </row>
    <row r="9452" spans="1:13" hidden="1" x14ac:dyDescent="0.15">
      <c r="A9452" t="s">
        <v>29730</v>
      </c>
      <c r="B9452" t="s">
        <v>29731</v>
      </c>
      <c r="C9452" t="s">
        <v>29732</v>
      </c>
      <c r="D9452" t="s">
        <v>29729</v>
      </c>
      <c r="E9452">
        <v>0</v>
      </c>
      <c r="F9452" t="str">
        <f>HYPERLINK("https://github.com/fennifith/Alarmio/issues/2", "show")</f>
        <v>show</v>
      </c>
      <c r="G9452" t="str">
        <f>HYPERLINK("https://github.com/fennifith/Alarmio", "show")</f>
        <v>show</v>
      </c>
      <c r="H9452" t="str">
        <f>HYPERLINK("https://github.com/fennifith/Alarmio/releases", "show")</f>
        <v>show</v>
      </c>
      <c r="I9452">
        <v>1</v>
      </c>
      <c r="J9452">
        <v>0</v>
      </c>
      <c r="K9452">
        <v>0</v>
      </c>
      <c r="L9452">
        <v>0</v>
      </c>
      <c r="M9452" t="s">
        <v>17</v>
      </c>
    </row>
    <row r="9453" spans="1:13" hidden="1" x14ac:dyDescent="0.15">
      <c r="A9453" t="s">
        <v>29733</v>
      </c>
      <c r="B9453" t="s">
        <v>29734</v>
      </c>
      <c r="C9453" t="s">
        <v>29735</v>
      </c>
      <c r="D9453" t="s">
        <v>29729</v>
      </c>
      <c r="E9453">
        <v>0</v>
      </c>
      <c r="F9453" t="str">
        <f>HYPERLINK("https://github.com/dimagi/commcare-android/issues/1994", "show")</f>
        <v>show</v>
      </c>
      <c r="G9453" t="str">
        <f>HYPERLINK("https://github.com/dimagi/commcare-android", "show")</f>
        <v>show</v>
      </c>
      <c r="H9453" t="str">
        <f>HYPERLINK("https://github.com/dimagi/commcare-android/releases", "show")</f>
        <v>show</v>
      </c>
      <c r="I9453">
        <v>1</v>
      </c>
      <c r="J9453">
        <v>0</v>
      </c>
      <c r="K9453">
        <v>0</v>
      </c>
      <c r="L9453">
        <v>0</v>
      </c>
      <c r="M9453" t="s">
        <v>17</v>
      </c>
    </row>
    <row r="9454" spans="1:13" hidden="1" x14ac:dyDescent="0.15">
      <c r="A9454" t="s">
        <v>29736</v>
      </c>
      <c r="B9454" t="s">
        <v>29737</v>
      </c>
      <c r="C9454" t="s">
        <v>29738</v>
      </c>
      <c r="D9454" t="s">
        <v>29729</v>
      </c>
      <c r="E9454">
        <v>36</v>
      </c>
      <c r="F9454" t="str">
        <f>HYPERLINK("https://github.com/react-native-camera/react-native-camera/issues/1550", "show")</f>
        <v>show</v>
      </c>
      <c r="G9454" t="str">
        <f>HYPERLINK("https://github.com/react-native-camera/react-native-camera", "show")</f>
        <v>show</v>
      </c>
      <c r="H9454" t="str">
        <f>HYPERLINK("https://github.com/react-native-camera/react-native-camera/releases", "show")</f>
        <v>show</v>
      </c>
      <c r="I9454">
        <v>1</v>
      </c>
      <c r="J9454">
        <v>0</v>
      </c>
      <c r="K9454">
        <v>0</v>
      </c>
      <c r="L9454">
        <v>0</v>
      </c>
      <c r="M9454" t="s">
        <v>17</v>
      </c>
    </row>
    <row r="9455" spans="1:13" hidden="1" x14ac:dyDescent="0.15">
      <c r="A9455" t="s">
        <v>29739</v>
      </c>
      <c r="B9455" t="s">
        <v>29740</v>
      </c>
      <c r="C9455" t="s">
        <v>29741</v>
      </c>
      <c r="D9455" t="s">
        <v>29742</v>
      </c>
      <c r="E9455">
        <v>1</v>
      </c>
      <c r="F9455" t="str">
        <f>HYPERLINK("https://github.com/mapbox/mapbox-events-android/issues/137", "show")</f>
        <v>show</v>
      </c>
      <c r="G9455" t="str">
        <f>HYPERLINK("https://github.com/mapbox/mapbox-events-android", "show")</f>
        <v>show</v>
      </c>
      <c r="H9455" t="str">
        <f>HYPERLINK("https://github.com/mapbox/mapbox-events-android/releases", "show")</f>
        <v>show</v>
      </c>
      <c r="I9455">
        <v>1</v>
      </c>
      <c r="J9455">
        <v>0</v>
      </c>
      <c r="K9455">
        <v>0</v>
      </c>
      <c r="L9455">
        <v>0</v>
      </c>
      <c r="M9455" t="s">
        <v>17</v>
      </c>
    </row>
    <row r="9456" spans="1:13" hidden="1" x14ac:dyDescent="0.15">
      <c r="A9456" t="s">
        <v>29743</v>
      </c>
      <c r="B9456" t="s">
        <v>29744</v>
      </c>
      <c r="C9456" t="s">
        <v>29745</v>
      </c>
      <c r="D9456" t="s">
        <v>29742</v>
      </c>
      <c r="E9456">
        <v>3</v>
      </c>
      <c r="F9456" t="str">
        <f>HYPERLINK("https://github.com/mapbox/mapbox-events-android/issues/136", "show")</f>
        <v>show</v>
      </c>
      <c r="G9456" t="str">
        <f>HYPERLINK("https://github.com/mapbox/mapbox-events-android", "show")</f>
        <v>show</v>
      </c>
      <c r="H9456" t="str">
        <f>HYPERLINK("https://github.com/mapbox/mapbox-events-android/releases", "show")</f>
        <v>show</v>
      </c>
      <c r="I9456">
        <v>0</v>
      </c>
      <c r="J9456">
        <v>0</v>
      </c>
      <c r="K9456">
        <v>0</v>
      </c>
      <c r="L9456">
        <v>0</v>
      </c>
      <c r="M9456" t="s">
        <v>43</v>
      </c>
    </row>
    <row r="9457" spans="1:13" hidden="1" x14ac:dyDescent="0.15">
      <c r="A9457" t="s">
        <v>29746</v>
      </c>
      <c r="B9457" t="s">
        <v>29747</v>
      </c>
      <c r="C9457" t="s">
        <v>29748</v>
      </c>
      <c r="D9457" t="s">
        <v>29742</v>
      </c>
      <c r="E9457">
        <v>4</v>
      </c>
      <c r="F9457" t="str">
        <f>HYPERLINK("https://github.com/nextcloud/news-android/issues/632", "show")</f>
        <v>show</v>
      </c>
      <c r="G9457" t="str">
        <f>HYPERLINK("https://github.com/nextcloud/news-android", "show")</f>
        <v>show</v>
      </c>
      <c r="H9457" t="str">
        <f>HYPERLINK("https://github.com/nextcloud/news-android/releases", "show")</f>
        <v>show</v>
      </c>
      <c r="I9457">
        <v>1</v>
      </c>
      <c r="J9457">
        <v>0</v>
      </c>
      <c r="K9457">
        <v>0</v>
      </c>
      <c r="L9457">
        <v>0</v>
      </c>
      <c r="M9457" t="s">
        <v>17</v>
      </c>
    </row>
    <row r="9458" spans="1:13" hidden="1" x14ac:dyDescent="0.15">
      <c r="A9458" t="s">
        <v>29749</v>
      </c>
      <c r="B9458" t="s">
        <v>29750</v>
      </c>
      <c r="C9458" t="s">
        <v>29751</v>
      </c>
      <c r="D9458" t="s">
        <v>29742</v>
      </c>
      <c r="E9458">
        <v>0</v>
      </c>
      <c r="F9458" t="str">
        <f>HYPERLINK("https://github.com/nextcloud/android/issues/2556", "show")</f>
        <v>show</v>
      </c>
      <c r="G9458" t="str">
        <f>HYPERLINK("https://github.com/nextcloud/android", "show")</f>
        <v>show</v>
      </c>
      <c r="H9458" t="str">
        <f>HYPERLINK("https://github.com/nextcloud/android/releases", "show")</f>
        <v>show</v>
      </c>
      <c r="I9458">
        <v>1</v>
      </c>
      <c r="J9458">
        <v>1</v>
      </c>
      <c r="K9458">
        <v>0</v>
      </c>
      <c r="L9458">
        <v>0</v>
      </c>
      <c r="M9458" t="s">
        <v>48</v>
      </c>
    </row>
    <row r="9459" spans="1:13" hidden="1" x14ac:dyDescent="0.15">
      <c r="A9459" t="s">
        <v>29752</v>
      </c>
      <c r="B9459" t="s">
        <v>29753</v>
      </c>
      <c r="C9459" t="s">
        <v>29754</v>
      </c>
      <c r="D9459" t="s">
        <v>29755</v>
      </c>
      <c r="E9459">
        <v>0</v>
      </c>
      <c r="F9459" t="str">
        <f>HYPERLINK("https://github.com/phamhongphuc/uit.money/issues/2", "show")</f>
        <v>show</v>
      </c>
      <c r="G9459" t="str">
        <f>HYPERLINK("https://github.com/phamhongphuc/uit.money", "show")</f>
        <v>show</v>
      </c>
      <c r="H9459" t="str">
        <f>HYPERLINK("https://github.com/phamhongphuc/uit.money/releases", "show")</f>
        <v>show</v>
      </c>
      <c r="I9459">
        <v>1</v>
      </c>
      <c r="J9459">
        <v>0</v>
      </c>
      <c r="K9459">
        <v>1</v>
      </c>
      <c r="L9459">
        <v>1</v>
      </c>
      <c r="M9459" t="s">
        <v>1259</v>
      </c>
    </row>
    <row r="9460" spans="1:13" hidden="1" x14ac:dyDescent="0.15">
      <c r="A9460" t="s">
        <v>29756</v>
      </c>
      <c r="B9460" t="s">
        <v>29757</v>
      </c>
      <c r="C9460" t="s">
        <v>29758</v>
      </c>
      <c r="D9460" t="s">
        <v>29759</v>
      </c>
      <c r="E9460">
        <v>14</v>
      </c>
      <c r="F9460" t="str">
        <f>HYPERLINK("https://github.com/EntireNewsProject/Android-App/issues/12", "show")</f>
        <v>show</v>
      </c>
      <c r="G9460" t="str">
        <f>HYPERLINK("https://github.com/EntireNewsProject/Android-App", "show")</f>
        <v>show</v>
      </c>
      <c r="H9460" t="str">
        <f>HYPERLINK("https://github.com/EntireNewsProject/Android-App/releases", "show")</f>
        <v>show</v>
      </c>
      <c r="I9460">
        <v>1</v>
      </c>
      <c r="J9460">
        <v>0</v>
      </c>
      <c r="K9460">
        <v>0</v>
      </c>
      <c r="L9460">
        <v>0</v>
      </c>
      <c r="M9460" t="s">
        <v>17</v>
      </c>
    </row>
    <row r="9461" spans="1:13" hidden="1" x14ac:dyDescent="0.15">
      <c r="A9461" t="s">
        <v>29760</v>
      </c>
      <c r="B9461" t="s">
        <v>29761</v>
      </c>
      <c r="C9461" t="s">
        <v>29762</v>
      </c>
      <c r="D9461" t="s">
        <v>29759</v>
      </c>
      <c r="E9461">
        <v>0</v>
      </c>
      <c r="F9461" t="str">
        <f>HYPERLINK("https://github.com/YoungMaker/iORC/issues/139", "show")</f>
        <v>show</v>
      </c>
      <c r="G9461" t="str">
        <f>HYPERLINK("https://github.com/YoungMaker/iORC", "show")</f>
        <v>show</v>
      </c>
      <c r="H9461" t="str">
        <f>HYPERLINK("https://github.com/YoungMaker/iORC/releases", "show")</f>
        <v>show</v>
      </c>
      <c r="I9461">
        <v>1</v>
      </c>
      <c r="J9461">
        <v>0</v>
      </c>
      <c r="K9461">
        <v>0</v>
      </c>
      <c r="L9461">
        <v>0</v>
      </c>
      <c r="M9461" t="s">
        <v>17</v>
      </c>
    </row>
    <row r="9462" spans="1:13" hidden="1" x14ac:dyDescent="0.15">
      <c r="A9462" t="s">
        <v>29763</v>
      </c>
      <c r="B9462" t="s">
        <v>29764</v>
      </c>
      <c r="C9462" t="s">
        <v>29765</v>
      </c>
      <c r="D9462" t="s">
        <v>29759</v>
      </c>
      <c r="E9462">
        <v>7</v>
      </c>
      <c r="F9462" t="str">
        <f>HYPERLINK("https://github.com/geopaparazzi/geopaparazzi/issues/485", "show")</f>
        <v>show</v>
      </c>
      <c r="G9462" t="str">
        <f>HYPERLINK("https://github.com/geopaparazzi/geopaparazzi", "show")</f>
        <v>show</v>
      </c>
      <c r="H9462" t="str">
        <f>HYPERLINK("https://github.com/geopaparazzi/geopaparazzi/releases", "show")</f>
        <v>show</v>
      </c>
      <c r="I9462">
        <v>1</v>
      </c>
      <c r="J9462">
        <v>0</v>
      </c>
      <c r="K9462">
        <v>0</v>
      </c>
      <c r="L9462">
        <v>0</v>
      </c>
      <c r="M9462" t="s">
        <v>17</v>
      </c>
    </row>
    <row r="9463" spans="1:13" hidden="1" x14ac:dyDescent="0.15">
      <c r="A9463" t="s">
        <v>29766</v>
      </c>
      <c r="B9463" t="s">
        <v>29767</v>
      </c>
      <c r="C9463" t="s">
        <v>29768</v>
      </c>
      <c r="D9463" t="s">
        <v>29769</v>
      </c>
      <c r="E9463">
        <v>10</v>
      </c>
      <c r="F9463" t="str">
        <f>HYPERLINK("https://github.com/getodk/collect/issues/2167", "show")</f>
        <v>show</v>
      </c>
      <c r="G9463" t="str">
        <f>HYPERLINK("https://github.com/getodk/collect", "show")</f>
        <v>show</v>
      </c>
      <c r="H9463" t="str">
        <f>HYPERLINK("https://github.com/getodk/collect/releases", "show")</f>
        <v>show</v>
      </c>
      <c r="I9463">
        <v>0</v>
      </c>
      <c r="J9463">
        <v>1</v>
      </c>
      <c r="K9463">
        <v>1</v>
      </c>
      <c r="L9463">
        <v>1</v>
      </c>
      <c r="M9463" t="s">
        <v>427</v>
      </c>
    </row>
    <row r="9464" spans="1:13" hidden="1" x14ac:dyDescent="0.15">
      <c r="A9464" t="s">
        <v>29770</v>
      </c>
      <c r="B9464" t="s">
        <v>29771</v>
      </c>
      <c r="C9464" t="s">
        <v>29772</v>
      </c>
      <c r="D9464" t="s">
        <v>29769</v>
      </c>
      <c r="E9464">
        <v>203</v>
      </c>
      <c r="F9464" t="str">
        <f>HYPERLINK("https://github.com/dashevo/dash-wallet/issues/107", "show")</f>
        <v>show</v>
      </c>
      <c r="G9464" t="str">
        <f>HYPERLINK("https://github.com/dashevo/dash-wallet", "show")</f>
        <v>show</v>
      </c>
      <c r="H9464" t="str">
        <f>HYPERLINK("https://github.com/dashevo/dash-wallet/releases", "show")</f>
        <v>show</v>
      </c>
      <c r="I9464">
        <v>0</v>
      </c>
      <c r="J9464">
        <v>0</v>
      </c>
      <c r="K9464">
        <v>1</v>
      </c>
      <c r="L9464">
        <v>0</v>
      </c>
      <c r="M9464" t="s">
        <v>122</v>
      </c>
    </row>
    <row r="9465" spans="1:13" hidden="1" x14ac:dyDescent="0.15">
      <c r="A9465" t="s">
        <v>29773</v>
      </c>
      <c r="B9465" t="s">
        <v>29774</v>
      </c>
      <c r="C9465" t="s">
        <v>29775</v>
      </c>
      <c r="D9465" t="s">
        <v>29776</v>
      </c>
      <c r="E9465">
        <v>74</v>
      </c>
      <c r="F9465" t="str">
        <f>HYPERLINK("https://github.com/mapbox/mapbox-events-android/issues/132", "show")</f>
        <v>show</v>
      </c>
      <c r="G9465" t="str">
        <f>HYPERLINK("https://github.com/mapbox/mapbox-events-android", "show")</f>
        <v>show</v>
      </c>
      <c r="H9465" t="str">
        <f>HYPERLINK("https://github.com/mapbox/mapbox-events-android/releases", "show")</f>
        <v>show</v>
      </c>
      <c r="I9465">
        <v>1</v>
      </c>
      <c r="J9465">
        <v>0</v>
      </c>
      <c r="K9465">
        <v>1</v>
      </c>
      <c r="L9465">
        <v>0</v>
      </c>
      <c r="M9465" t="s">
        <v>64</v>
      </c>
    </row>
    <row r="9466" spans="1:13" hidden="1" x14ac:dyDescent="0.15">
      <c r="A9466" t="s">
        <v>29777</v>
      </c>
      <c r="B9466" t="s">
        <v>29778</v>
      </c>
      <c r="C9466" t="s">
        <v>29779</v>
      </c>
      <c r="D9466" t="s">
        <v>29776</v>
      </c>
      <c r="E9466">
        <v>31</v>
      </c>
      <c r="F9466" t="str">
        <f>HYPERLINK("https://github.com/maks/MGit/issues/342", "show")</f>
        <v>show</v>
      </c>
      <c r="G9466" t="str">
        <f>HYPERLINK("https://github.com/maks/MGit", "show")</f>
        <v>show</v>
      </c>
      <c r="H9466" t="str">
        <f>HYPERLINK("https://github.com/maks/MGit/releases", "show")</f>
        <v>show</v>
      </c>
      <c r="I9466">
        <v>1</v>
      </c>
      <c r="J9466">
        <v>0</v>
      </c>
      <c r="K9466">
        <v>0</v>
      </c>
      <c r="L9466">
        <v>0</v>
      </c>
      <c r="M9466" t="s">
        <v>17</v>
      </c>
    </row>
    <row r="9467" spans="1:13" hidden="1" x14ac:dyDescent="0.15">
      <c r="A9467" t="s">
        <v>29780</v>
      </c>
      <c r="B9467" t="s">
        <v>29781</v>
      </c>
      <c r="C9467" t="s">
        <v>29782</v>
      </c>
      <c r="D9467" t="s">
        <v>29776</v>
      </c>
      <c r="E9467">
        <v>13</v>
      </c>
      <c r="F9467" t="str">
        <f>HYPERLINK("https://github.com/mapbox/mapbox-plugins-android/issues/477", "show")</f>
        <v>show</v>
      </c>
      <c r="G9467" t="str">
        <f>HYPERLINK("https://github.com/mapbox/mapbox-plugins-android", "show")</f>
        <v>show</v>
      </c>
      <c r="H9467" t="str">
        <f>HYPERLINK("https://github.com/mapbox/mapbox-plugins-android/releases", "show")</f>
        <v>show</v>
      </c>
      <c r="I9467">
        <v>1</v>
      </c>
      <c r="J9467">
        <v>0</v>
      </c>
      <c r="K9467">
        <v>0</v>
      </c>
      <c r="L9467">
        <v>0</v>
      </c>
      <c r="M9467" t="s">
        <v>17</v>
      </c>
    </row>
    <row r="9468" spans="1:13" hidden="1" x14ac:dyDescent="0.15">
      <c r="A9468" t="s">
        <v>29783</v>
      </c>
      <c r="B9468" t="s">
        <v>29784</v>
      </c>
      <c r="C9468" t="s">
        <v>29785</v>
      </c>
      <c r="D9468" t="s">
        <v>29776</v>
      </c>
      <c r="E9468">
        <v>20</v>
      </c>
      <c r="F9468" t="str">
        <f>HYPERLINK("https://github.com/Maxr1998/MaxLock/issues/136", "show")</f>
        <v>show</v>
      </c>
      <c r="G9468" t="str">
        <f>HYPERLINK("https://github.com/Maxr1998/MaxLock", "show")</f>
        <v>show</v>
      </c>
      <c r="H9468" t="str">
        <f>HYPERLINK("https://github.com/Maxr1998/MaxLock/releases", "show")</f>
        <v>show</v>
      </c>
      <c r="I9468">
        <v>0</v>
      </c>
      <c r="J9468">
        <v>0</v>
      </c>
      <c r="K9468">
        <v>0</v>
      </c>
      <c r="L9468">
        <v>0</v>
      </c>
      <c r="M9468" t="s">
        <v>43</v>
      </c>
    </row>
    <row r="9469" spans="1:13" hidden="1" x14ac:dyDescent="0.15">
      <c r="A9469" t="s">
        <v>29786</v>
      </c>
      <c r="B9469" t="s">
        <v>29787</v>
      </c>
      <c r="C9469" t="s">
        <v>29788</v>
      </c>
      <c r="D9469" t="s">
        <v>29789</v>
      </c>
      <c r="E9469">
        <v>345</v>
      </c>
      <c r="F9469" t="str">
        <f>HYPERLINK("https://github.com/nextcloud/android/issues/2538", "show")</f>
        <v>show</v>
      </c>
      <c r="G9469" t="str">
        <f>HYPERLINK("https://github.com/nextcloud/android", "show")</f>
        <v>show</v>
      </c>
      <c r="H9469" t="str">
        <f>HYPERLINK("https://github.com/nextcloud/android/releases", "show")</f>
        <v>show</v>
      </c>
      <c r="I9469">
        <v>1</v>
      </c>
      <c r="J9469">
        <v>0</v>
      </c>
      <c r="K9469">
        <v>0</v>
      </c>
      <c r="L9469">
        <v>0</v>
      </c>
      <c r="M9469" t="s">
        <v>17</v>
      </c>
    </row>
    <row r="9470" spans="1:13" hidden="1" x14ac:dyDescent="0.15">
      <c r="A9470" t="s">
        <v>29790</v>
      </c>
      <c r="B9470" t="s">
        <v>29791</v>
      </c>
      <c r="C9470" t="s">
        <v>29792</v>
      </c>
      <c r="D9470" t="s">
        <v>29789</v>
      </c>
      <c r="E9470">
        <v>669</v>
      </c>
      <c r="F9470" t="str">
        <f>HYPERLINK("https://github.com/commons-app/apps-android-commons/issues/1483", "show")</f>
        <v>show</v>
      </c>
      <c r="G9470" t="str">
        <f>HYPERLINK("https://github.com/commons-app/apps-android-commons", "show")</f>
        <v>show</v>
      </c>
      <c r="H9470" t="str">
        <f>HYPERLINK("https://github.com/commons-app/apps-android-commons/releases", "show")</f>
        <v>show</v>
      </c>
      <c r="I9470">
        <v>1</v>
      </c>
      <c r="J9470">
        <v>0</v>
      </c>
      <c r="K9470">
        <v>1</v>
      </c>
      <c r="L9470">
        <v>0</v>
      </c>
      <c r="M9470" t="s">
        <v>64</v>
      </c>
    </row>
    <row r="9471" spans="1:13" hidden="1" x14ac:dyDescent="0.15">
      <c r="A9471" t="s">
        <v>29793</v>
      </c>
      <c r="B9471" t="s">
        <v>29794</v>
      </c>
      <c r="C9471" t="s">
        <v>29795</v>
      </c>
      <c r="D9471" t="s">
        <v>29789</v>
      </c>
      <c r="E9471">
        <v>314</v>
      </c>
      <c r="F9471" t="str">
        <f>HYPERLINK("https://github.com/commons-app/apps-android-commons/issues/1480", "show")</f>
        <v>show</v>
      </c>
      <c r="G9471" t="str">
        <f>HYPERLINK("https://github.com/commons-app/apps-android-commons", "show")</f>
        <v>show</v>
      </c>
      <c r="H9471" t="str">
        <f>HYPERLINK("https://github.com/commons-app/apps-android-commons/releases", "show")</f>
        <v>show</v>
      </c>
      <c r="I9471">
        <v>1</v>
      </c>
      <c r="J9471">
        <v>0</v>
      </c>
      <c r="K9471">
        <v>1</v>
      </c>
      <c r="L9471">
        <v>0</v>
      </c>
      <c r="M9471" t="s">
        <v>64</v>
      </c>
    </row>
    <row r="9472" spans="1:13" hidden="1" x14ac:dyDescent="0.15">
      <c r="A9472" t="s">
        <v>29796</v>
      </c>
      <c r="B9472" t="s">
        <v>29797</v>
      </c>
      <c r="C9472" t="s">
        <v>29798</v>
      </c>
      <c r="D9472" t="s">
        <v>29789</v>
      </c>
      <c r="E9472">
        <v>56</v>
      </c>
      <c r="F9472" t="str">
        <f>HYPERLINK("https://github.com/dashevo/dash-wallet/issues/106", "show")</f>
        <v>show</v>
      </c>
      <c r="G9472" t="str">
        <f>HYPERLINK("https://github.com/dashevo/dash-wallet", "show")</f>
        <v>show</v>
      </c>
      <c r="H9472" t="str">
        <f>HYPERLINK("https://github.com/dashevo/dash-wallet/releases", "show")</f>
        <v>show</v>
      </c>
      <c r="I9472">
        <v>1</v>
      </c>
      <c r="J9472">
        <v>0</v>
      </c>
      <c r="K9472">
        <v>1</v>
      </c>
      <c r="L9472">
        <v>0</v>
      </c>
      <c r="M9472" t="s">
        <v>64</v>
      </c>
    </row>
    <row r="9473" spans="1:13" hidden="1" x14ac:dyDescent="0.15">
      <c r="A9473" t="s">
        <v>29799</v>
      </c>
      <c r="B9473" t="s">
        <v>29800</v>
      </c>
      <c r="C9473" t="s">
        <v>29801</v>
      </c>
      <c r="D9473" t="s">
        <v>29802</v>
      </c>
      <c r="E9473">
        <v>1</v>
      </c>
      <c r="F9473" t="str">
        <f>HYPERLINK("https://github.com/eduvpn/android/issues/139", "show")</f>
        <v>show</v>
      </c>
      <c r="G9473" t="str">
        <f>HYPERLINK("https://github.com/eduvpn/android", "show")</f>
        <v>show</v>
      </c>
      <c r="H9473" t="str">
        <f>HYPERLINK("https://github.com/eduvpn/android/releases", "show")</f>
        <v>show</v>
      </c>
      <c r="I9473">
        <v>0</v>
      </c>
      <c r="J9473">
        <v>0</v>
      </c>
      <c r="K9473">
        <v>1</v>
      </c>
      <c r="L9473">
        <v>0</v>
      </c>
      <c r="M9473" t="s">
        <v>122</v>
      </c>
    </row>
    <row r="9474" spans="1:13" hidden="1" x14ac:dyDescent="0.15">
      <c r="A9474" t="s">
        <v>29803</v>
      </c>
      <c r="B9474" t="s">
        <v>29804</v>
      </c>
      <c r="C9474" t="s">
        <v>29805</v>
      </c>
      <c r="D9474" t="s">
        <v>29802</v>
      </c>
      <c r="E9474">
        <v>1</v>
      </c>
      <c r="F9474" t="str">
        <f>HYPERLINK("https://github.com/mapbox/mapbox-plugins-android/issues/474", "show")</f>
        <v>show</v>
      </c>
      <c r="G9474" t="str">
        <f>HYPERLINK("https://github.com/mapbox/mapbox-plugins-android", "show")</f>
        <v>show</v>
      </c>
      <c r="H9474" t="str">
        <f>HYPERLINK("https://github.com/mapbox/mapbox-plugins-android/releases", "show")</f>
        <v>show</v>
      </c>
      <c r="I9474">
        <v>1</v>
      </c>
      <c r="J9474">
        <v>0</v>
      </c>
      <c r="K9474">
        <v>1</v>
      </c>
      <c r="L9474">
        <v>0</v>
      </c>
      <c r="M9474" t="s">
        <v>64</v>
      </c>
    </row>
    <row r="9475" spans="1:13" hidden="1" x14ac:dyDescent="0.15">
      <c r="A9475" t="s">
        <v>29806</v>
      </c>
      <c r="B9475" t="s">
        <v>29807</v>
      </c>
      <c r="C9475" t="s">
        <v>29808</v>
      </c>
      <c r="D9475" t="s">
        <v>29802</v>
      </c>
      <c r="E9475">
        <v>0</v>
      </c>
      <c r="F9475" t="str">
        <f>HYPERLINK("https://github.com/AniTrend/anitrend-app/issues/28", "show")</f>
        <v>show</v>
      </c>
      <c r="G9475" t="str">
        <f>HYPERLINK("https://github.com/AniTrend/anitrend-app", "show")</f>
        <v>show</v>
      </c>
      <c r="H9475" t="str">
        <f>HYPERLINK("https://github.com/AniTrend/anitrend-app/releases", "show")</f>
        <v>show</v>
      </c>
      <c r="I9475">
        <v>1</v>
      </c>
      <c r="J9475">
        <v>0</v>
      </c>
      <c r="K9475">
        <v>0</v>
      </c>
      <c r="L9475">
        <v>0</v>
      </c>
      <c r="M9475" t="s">
        <v>17</v>
      </c>
    </row>
    <row r="9476" spans="1:13" hidden="1" x14ac:dyDescent="0.15">
      <c r="A9476" t="s">
        <v>29809</v>
      </c>
      <c r="B9476" t="s">
        <v>29810</v>
      </c>
      <c r="C9476" t="s">
        <v>29811</v>
      </c>
      <c r="D9476" t="s">
        <v>29812</v>
      </c>
      <c r="E9476">
        <v>28</v>
      </c>
      <c r="F9476" t="str">
        <f>HYPERLINK("https://github.com/evernote/android-job/issues/442", "show")</f>
        <v>show</v>
      </c>
      <c r="G9476" t="str">
        <f>HYPERLINK("https://github.com/evernote/android-job", "show")</f>
        <v>show</v>
      </c>
      <c r="H9476" t="str">
        <f>HYPERLINK("https://github.com/evernote/android-job/releases", "show")</f>
        <v>show</v>
      </c>
      <c r="I9476">
        <v>1</v>
      </c>
      <c r="J9476">
        <v>0</v>
      </c>
      <c r="K9476">
        <v>1</v>
      </c>
      <c r="L9476">
        <v>0</v>
      </c>
      <c r="M9476" t="s">
        <v>64</v>
      </c>
    </row>
    <row r="9477" spans="1:13" hidden="1" x14ac:dyDescent="0.15">
      <c r="A9477" t="s">
        <v>29813</v>
      </c>
      <c r="B9477" t="s">
        <v>29814</v>
      </c>
      <c r="C9477" t="s">
        <v>29815</v>
      </c>
      <c r="D9477" t="s">
        <v>29812</v>
      </c>
      <c r="E9477">
        <v>0</v>
      </c>
      <c r="F9477" t="str">
        <f>HYPERLINK("https://github.com/syncthing/syncthing-android/issues/1075", "show")</f>
        <v>show</v>
      </c>
      <c r="G9477" t="str">
        <f>HYPERLINK("https://github.com/syncthing/syncthing-android", "show")</f>
        <v>show</v>
      </c>
      <c r="H9477" t="str">
        <f>HYPERLINK("https://github.com/syncthing/syncthing-android/releases", "show")</f>
        <v>show</v>
      </c>
      <c r="I9477">
        <v>1</v>
      </c>
      <c r="J9477">
        <v>0</v>
      </c>
      <c r="K9477">
        <v>0</v>
      </c>
      <c r="L9477">
        <v>0</v>
      </c>
      <c r="M9477" t="s">
        <v>17</v>
      </c>
    </row>
    <row r="9478" spans="1:13" hidden="1" x14ac:dyDescent="0.15">
      <c r="A9478" t="s">
        <v>29816</v>
      </c>
      <c r="B9478" t="s">
        <v>29817</v>
      </c>
      <c r="C9478" t="s">
        <v>29818</v>
      </c>
      <c r="D9478" t="s">
        <v>29812</v>
      </c>
      <c r="E9478">
        <v>9</v>
      </c>
      <c r="F9478" t="str">
        <f>HYPERLINK("https://github.com/mapbox/mapbox-plugins-android/issues/470", "show")</f>
        <v>show</v>
      </c>
      <c r="G9478" t="str">
        <f>HYPERLINK("https://github.com/mapbox/mapbox-plugins-android", "show")</f>
        <v>show</v>
      </c>
      <c r="H9478" t="str">
        <f>HYPERLINK("https://github.com/mapbox/mapbox-plugins-android/releases", "show")</f>
        <v>show</v>
      </c>
      <c r="I9478">
        <v>1</v>
      </c>
      <c r="J9478">
        <v>0</v>
      </c>
      <c r="K9478">
        <v>0</v>
      </c>
      <c r="L9478">
        <v>0</v>
      </c>
      <c r="M9478" t="s">
        <v>17</v>
      </c>
    </row>
    <row r="9479" spans="1:13" hidden="1" x14ac:dyDescent="0.15">
      <c r="A9479" t="s">
        <v>29819</v>
      </c>
      <c r="B9479" t="s">
        <v>4312</v>
      </c>
      <c r="C9479" t="s">
        <v>29820</v>
      </c>
      <c r="D9479" t="s">
        <v>29821</v>
      </c>
      <c r="E9479">
        <v>10</v>
      </c>
      <c r="F9479" t="str">
        <f>HYPERLINK("https://github.com/nextcloud/android/issues/2529", "show")</f>
        <v>show</v>
      </c>
      <c r="G9479" t="str">
        <f>HYPERLINK("https://github.com/nextcloud/android", "show")</f>
        <v>show</v>
      </c>
      <c r="H9479" t="str">
        <f>HYPERLINK("https://github.com/nextcloud/android/releases", "show")</f>
        <v>show</v>
      </c>
      <c r="I9479">
        <v>1</v>
      </c>
      <c r="J9479">
        <v>1</v>
      </c>
      <c r="K9479">
        <v>0</v>
      </c>
      <c r="L9479">
        <v>0</v>
      </c>
      <c r="M9479" t="s">
        <v>48</v>
      </c>
    </row>
    <row r="9480" spans="1:13" hidden="1" x14ac:dyDescent="0.15">
      <c r="A9480" t="s">
        <v>29822</v>
      </c>
      <c r="B9480" t="s">
        <v>29823</v>
      </c>
      <c r="C9480" t="s">
        <v>29824</v>
      </c>
      <c r="D9480" t="s">
        <v>29821</v>
      </c>
      <c r="E9480">
        <v>0</v>
      </c>
      <c r="F9480" t="str">
        <f>HYPERLINK("https://github.com/ardevd/habitat/issues/5", "show")</f>
        <v>show</v>
      </c>
      <c r="G9480" t="str">
        <f>HYPERLINK("https://github.com/ardevd/habitat", "show")</f>
        <v>show</v>
      </c>
      <c r="H9480" t="str">
        <f>HYPERLINK("https://github.com/ardevd/habitat/releases", "show")</f>
        <v>show</v>
      </c>
      <c r="I9480">
        <v>1</v>
      </c>
      <c r="J9480">
        <v>0</v>
      </c>
      <c r="K9480">
        <v>0</v>
      </c>
      <c r="L9480">
        <v>0</v>
      </c>
      <c r="M9480" t="s">
        <v>17</v>
      </c>
    </row>
    <row r="9481" spans="1:13" hidden="1" x14ac:dyDescent="0.15">
      <c r="A9481" t="s">
        <v>29825</v>
      </c>
      <c r="B9481" t="s">
        <v>29826</v>
      </c>
      <c r="C9481" t="s">
        <v>29827</v>
      </c>
      <c r="D9481" t="s">
        <v>29828</v>
      </c>
      <c r="E9481">
        <v>11</v>
      </c>
      <c r="F9481" t="str">
        <f>HYPERLINK("https://github.com/nextcloud/android/issues/2527", "show")</f>
        <v>show</v>
      </c>
      <c r="G9481" t="str">
        <f>HYPERLINK("https://github.com/nextcloud/android", "show")</f>
        <v>show</v>
      </c>
      <c r="H9481" t="str">
        <f>HYPERLINK("https://github.com/nextcloud/android/releases", "show")</f>
        <v>show</v>
      </c>
      <c r="I9481">
        <v>1</v>
      </c>
      <c r="J9481">
        <v>1</v>
      </c>
      <c r="K9481">
        <v>0</v>
      </c>
      <c r="L9481">
        <v>0</v>
      </c>
      <c r="M9481" t="s">
        <v>48</v>
      </c>
    </row>
    <row r="9482" spans="1:13" hidden="1" x14ac:dyDescent="0.15">
      <c r="A9482" t="s">
        <v>29829</v>
      </c>
      <c r="B9482" t="s">
        <v>29830</v>
      </c>
      <c r="C9482" t="s">
        <v>29831</v>
      </c>
      <c r="D9482" t="s">
        <v>29832</v>
      </c>
      <c r="E9482">
        <v>286</v>
      </c>
      <c r="F9482" t="str">
        <f>HYPERLINK("https://github.com/twilio/video-quickstart-android/issues/292", "show")</f>
        <v>show</v>
      </c>
      <c r="G9482" t="str">
        <f>HYPERLINK("https://github.com/twilio/video-quickstart-android", "show")</f>
        <v>show</v>
      </c>
      <c r="H9482" t="str">
        <f>HYPERLINK("https://github.com/twilio/video-quickstart-android/releases", "show")</f>
        <v>show</v>
      </c>
      <c r="I9482">
        <v>1</v>
      </c>
      <c r="J9482">
        <v>0</v>
      </c>
      <c r="K9482">
        <v>1</v>
      </c>
      <c r="L9482">
        <v>0</v>
      </c>
      <c r="M9482" t="s">
        <v>64</v>
      </c>
    </row>
    <row r="9483" spans="1:13" hidden="1" x14ac:dyDescent="0.15">
      <c r="A9483" t="s">
        <v>29833</v>
      </c>
      <c r="B9483" t="s">
        <v>29834</v>
      </c>
      <c r="C9483" t="s">
        <v>29835</v>
      </c>
      <c r="D9483" t="s">
        <v>29832</v>
      </c>
      <c r="E9483">
        <v>0</v>
      </c>
      <c r="F9483" t="str">
        <f>HYPERLINK("https://github.com/StepicOrg/stepik-android-adaptive/issues/40", "show")</f>
        <v>show</v>
      </c>
      <c r="G9483" t="str">
        <f>HYPERLINK("https://github.com/StepicOrg/stepik-android-adaptive", "show")</f>
        <v>show</v>
      </c>
      <c r="H9483" t="str">
        <f>HYPERLINK("https://github.com/StepicOrg/stepik-android-adaptive/releases", "show")</f>
        <v>show</v>
      </c>
      <c r="I9483">
        <v>0</v>
      </c>
      <c r="J9483">
        <v>0</v>
      </c>
      <c r="K9483">
        <v>0</v>
      </c>
      <c r="L9483">
        <v>0</v>
      </c>
      <c r="M9483" t="s">
        <v>43</v>
      </c>
    </row>
    <row r="9484" spans="1:13" hidden="1" x14ac:dyDescent="0.15">
      <c r="A9484" t="s">
        <v>29836</v>
      </c>
      <c r="B9484" t="s">
        <v>29837</v>
      </c>
      <c r="C9484" t="s">
        <v>29838</v>
      </c>
      <c r="D9484" t="s">
        <v>29839</v>
      </c>
      <c r="E9484">
        <v>0</v>
      </c>
      <c r="F9484" t="str">
        <f>HYPERLINK("https://github.com/BackyardBrains/Spike-Recorder-Android/issues/88", "show")</f>
        <v>show</v>
      </c>
      <c r="G9484" t="str">
        <f>HYPERLINK("https://github.com/BackyardBrains/Spike-Recorder-Android", "show")</f>
        <v>show</v>
      </c>
      <c r="H9484" t="str">
        <f>HYPERLINK("https://github.com/BackyardBrains/Spike-Recorder-Android/releases", "show")</f>
        <v>show</v>
      </c>
      <c r="I9484">
        <v>1</v>
      </c>
      <c r="J9484">
        <v>0</v>
      </c>
      <c r="K9484">
        <v>0</v>
      </c>
      <c r="L9484">
        <v>0</v>
      </c>
      <c r="M9484" t="s">
        <v>17</v>
      </c>
    </row>
    <row r="9485" spans="1:13" hidden="1" x14ac:dyDescent="0.15">
      <c r="A9485" t="s">
        <v>29840</v>
      </c>
      <c r="B9485" t="s">
        <v>29841</v>
      </c>
      <c r="C9485" t="s">
        <v>29842</v>
      </c>
      <c r="D9485" t="s">
        <v>29839</v>
      </c>
      <c r="E9485">
        <v>0</v>
      </c>
      <c r="F9485" t="str">
        <f>HYPERLINK("https://github.com/BackyardBrains/Spike-Recorder-Android/issues/87", "show")</f>
        <v>show</v>
      </c>
      <c r="G9485" t="str">
        <f>HYPERLINK("https://github.com/BackyardBrains/Spike-Recorder-Android", "show")</f>
        <v>show</v>
      </c>
      <c r="H9485" t="str">
        <f>HYPERLINK("https://github.com/BackyardBrains/Spike-Recorder-Android/releases", "show")</f>
        <v>show</v>
      </c>
      <c r="I9485">
        <v>1</v>
      </c>
      <c r="J9485">
        <v>0</v>
      </c>
      <c r="K9485">
        <v>0</v>
      </c>
      <c r="L9485">
        <v>0</v>
      </c>
      <c r="M9485" t="s">
        <v>17</v>
      </c>
    </row>
    <row r="9486" spans="1:13" hidden="1" x14ac:dyDescent="0.15">
      <c r="A9486" t="s">
        <v>29843</v>
      </c>
      <c r="B9486" t="s">
        <v>29844</v>
      </c>
      <c r="C9486" t="s">
        <v>29845</v>
      </c>
      <c r="D9486" t="s">
        <v>29839</v>
      </c>
      <c r="E9486">
        <v>0</v>
      </c>
      <c r="F9486" t="str">
        <f>HYPERLINK("https://github.com/Aptoide/aptoide-client-v8/issues/524", "show")</f>
        <v>show</v>
      </c>
      <c r="G9486" t="str">
        <f>HYPERLINK("https://github.com/Aptoide/aptoide-client-v8", "show")</f>
        <v>show</v>
      </c>
      <c r="H9486" t="str">
        <f>HYPERLINK("https://github.com/Aptoide/aptoide-client-v8/releases", "show")</f>
        <v>show</v>
      </c>
      <c r="I9486">
        <v>1</v>
      </c>
      <c r="J9486">
        <v>0</v>
      </c>
      <c r="K9486">
        <v>0</v>
      </c>
      <c r="L9486">
        <v>0</v>
      </c>
      <c r="M9486" t="s">
        <v>17</v>
      </c>
    </row>
    <row r="9487" spans="1:13" hidden="1" x14ac:dyDescent="0.15">
      <c r="A9487" t="s">
        <v>29846</v>
      </c>
      <c r="B9487" t="s">
        <v>29847</v>
      </c>
      <c r="C9487" t="s">
        <v>29848</v>
      </c>
      <c r="D9487" t="s">
        <v>29839</v>
      </c>
      <c r="E9487">
        <v>270</v>
      </c>
      <c r="F9487" t="str">
        <f>HYPERLINK("https://github.com/twilio/video-quickstart-android/issues/288", "show")</f>
        <v>show</v>
      </c>
      <c r="G9487" t="str">
        <f>HYPERLINK("https://github.com/twilio/video-quickstart-android", "show")</f>
        <v>show</v>
      </c>
      <c r="H9487" t="str">
        <f>HYPERLINK("https://github.com/twilio/video-quickstart-android/releases", "show")</f>
        <v>show</v>
      </c>
      <c r="I9487">
        <v>1</v>
      </c>
      <c r="J9487">
        <v>0</v>
      </c>
      <c r="K9487">
        <v>1</v>
      </c>
      <c r="L9487">
        <v>0</v>
      </c>
      <c r="M9487" t="s">
        <v>64</v>
      </c>
    </row>
    <row r="9488" spans="1:13" hidden="1" x14ac:dyDescent="0.15">
      <c r="A9488" t="s">
        <v>29849</v>
      </c>
      <c r="B9488" t="s">
        <v>29850</v>
      </c>
      <c r="C9488" t="s">
        <v>29851</v>
      </c>
      <c r="D9488" t="s">
        <v>29839</v>
      </c>
      <c r="E9488">
        <v>109</v>
      </c>
      <c r="F9488" t="str">
        <f>HYPERLINK("https://github.com/hzi-braunschweig/SORMAS-Project/issues/576", "show")</f>
        <v>show</v>
      </c>
      <c r="G9488" t="str">
        <f>HYPERLINK("https://github.com/hzi-braunschweig/SORMAS-Project", "show")</f>
        <v>show</v>
      </c>
      <c r="H9488" t="str">
        <f>HYPERLINK("https://github.com/hzi-braunschweig/SORMAS-Project/releases", "show")</f>
        <v>show</v>
      </c>
      <c r="I9488">
        <v>1</v>
      </c>
      <c r="J9488">
        <v>0</v>
      </c>
      <c r="K9488">
        <v>0</v>
      </c>
      <c r="L9488">
        <v>0</v>
      </c>
      <c r="M9488" t="s">
        <v>17</v>
      </c>
    </row>
    <row r="9489" spans="1:13" hidden="1" x14ac:dyDescent="0.15">
      <c r="A9489" t="s">
        <v>29852</v>
      </c>
      <c r="B9489" t="s">
        <v>29853</v>
      </c>
      <c r="C9489" t="s">
        <v>29854</v>
      </c>
      <c r="D9489" t="s">
        <v>29839</v>
      </c>
      <c r="E9489">
        <v>8</v>
      </c>
      <c r="F9489" t="str">
        <f>HYPERLINK("https://github.com/lingochamp/FileDownloader/issues/1017", "show")</f>
        <v>show</v>
      </c>
      <c r="G9489" t="str">
        <f>HYPERLINK("https://github.com/lingochamp/FileDownloader", "show")</f>
        <v>show</v>
      </c>
      <c r="H9489" t="str">
        <f>HYPERLINK("https://github.com/lingochamp/FileDownloader/releases", "show")</f>
        <v>show</v>
      </c>
      <c r="I9489">
        <v>1</v>
      </c>
      <c r="J9489">
        <v>0</v>
      </c>
      <c r="K9489">
        <v>1</v>
      </c>
      <c r="L9489">
        <v>0</v>
      </c>
      <c r="M9489" t="s">
        <v>64</v>
      </c>
    </row>
    <row r="9490" spans="1:13" hidden="1" x14ac:dyDescent="0.15">
      <c r="A9490" t="s">
        <v>29855</v>
      </c>
      <c r="B9490" t="s">
        <v>29856</v>
      </c>
      <c r="C9490" t="s">
        <v>29857</v>
      </c>
      <c r="D9490" t="s">
        <v>29839</v>
      </c>
      <c r="E9490">
        <v>141</v>
      </c>
      <c r="F9490" t="str">
        <f>HYPERLINK("https://github.com/inaturalist/iNaturalistAndroid/issues/507", "show")</f>
        <v>show</v>
      </c>
      <c r="G9490" t="str">
        <f>HYPERLINK("https://github.com/inaturalist/iNaturalistAndroid", "show")</f>
        <v>show</v>
      </c>
      <c r="H9490" t="str">
        <f>HYPERLINK("https://github.com/inaturalist/iNaturalistAndroid/releases", "show")</f>
        <v>show</v>
      </c>
      <c r="I9490">
        <v>0</v>
      </c>
      <c r="J9490">
        <v>0</v>
      </c>
      <c r="K9490">
        <v>1</v>
      </c>
      <c r="L9490">
        <v>0</v>
      </c>
      <c r="M9490" t="s">
        <v>122</v>
      </c>
    </row>
    <row r="9491" spans="1:13" hidden="1" x14ac:dyDescent="0.15">
      <c r="A9491" t="s">
        <v>29858</v>
      </c>
      <c r="B9491" t="s">
        <v>29859</v>
      </c>
      <c r="C9491" t="s">
        <v>29860</v>
      </c>
      <c r="D9491" t="s">
        <v>29839</v>
      </c>
      <c r="E9491">
        <v>4</v>
      </c>
      <c r="F9491" t="str">
        <f>HYPERLINK("https://github.com/Purdue-ACM-SIGApp/BoilerFaves/issues/51", "show")</f>
        <v>show</v>
      </c>
      <c r="G9491" t="str">
        <f>HYPERLINK("https://github.com/Purdue-ACM-SIGApp/BoilerFaves", "show")</f>
        <v>show</v>
      </c>
      <c r="H9491" t="str">
        <f>HYPERLINK("https://github.com/Purdue-ACM-SIGApp/BoilerFaves/releases", "show")</f>
        <v>show</v>
      </c>
      <c r="I9491">
        <v>1</v>
      </c>
      <c r="J9491">
        <v>0</v>
      </c>
      <c r="K9491">
        <v>0</v>
      </c>
      <c r="L9491">
        <v>0</v>
      </c>
      <c r="M9491" t="s">
        <v>17</v>
      </c>
    </row>
    <row r="9492" spans="1:13" hidden="1" x14ac:dyDescent="0.15">
      <c r="A9492" t="s">
        <v>29861</v>
      </c>
      <c r="B9492" t="s">
        <v>29862</v>
      </c>
      <c r="C9492" t="s">
        <v>29863</v>
      </c>
      <c r="D9492" t="s">
        <v>29864</v>
      </c>
      <c r="E9492">
        <v>228</v>
      </c>
      <c r="F9492" t="str">
        <f>HYPERLINK("https://github.com/gsantner/markor/issues/229", "show")</f>
        <v>show</v>
      </c>
      <c r="G9492" t="str">
        <f>HYPERLINK("https://github.com/gsantner/markor", "show")</f>
        <v>show</v>
      </c>
      <c r="H9492" t="str">
        <f>HYPERLINK("https://github.com/gsantner/markor/releases", "show")</f>
        <v>show</v>
      </c>
      <c r="I9492">
        <v>0</v>
      </c>
      <c r="J9492">
        <v>0</v>
      </c>
      <c r="K9492">
        <v>0</v>
      </c>
      <c r="L9492">
        <v>0</v>
      </c>
      <c r="M9492" t="s">
        <v>43</v>
      </c>
    </row>
    <row r="9493" spans="1:13" hidden="1" x14ac:dyDescent="0.15">
      <c r="A9493" t="s">
        <v>29865</v>
      </c>
      <c r="B9493" t="s">
        <v>29866</v>
      </c>
      <c r="C9493" t="s">
        <v>29867</v>
      </c>
      <c r="D9493" t="s">
        <v>29864</v>
      </c>
      <c r="E9493">
        <v>203</v>
      </c>
      <c r="F9493" t="str">
        <f>HYPERLINK("https://github.com/nextcloud/android/issues/2515", "show")</f>
        <v>show</v>
      </c>
      <c r="G9493" t="str">
        <f>HYPERLINK("https://github.com/nextcloud/android", "show")</f>
        <v>show</v>
      </c>
      <c r="H9493" t="str">
        <f>HYPERLINK("https://github.com/nextcloud/android/releases", "show")</f>
        <v>show</v>
      </c>
      <c r="I9493">
        <v>1</v>
      </c>
      <c r="J9493">
        <v>1</v>
      </c>
      <c r="K9493">
        <v>0</v>
      </c>
      <c r="L9493">
        <v>0</v>
      </c>
      <c r="M9493" t="s">
        <v>48</v>
      </c>
    </row>
    <row r="9494" spans="1:13" hidden="1" x14ac:dyDescent="0.15">
      <c r="A9494" t="s">
        <v>29868</v>
      </c>
      <c r="B9494" t="s">
        <v>29869</v>
      </c>
      <c r="C9494" t="s">
        <v>29870</v>
      </c>
      <c r="D9494" t="s">
        <v>29864</v>
      </c>
      <c r="E9494">
        <v>784</v>
      </c>
      <c r="F9494" t="str">
        <f>HYPERLINK("https://github.com/nikita36078/J2ME-Loader/issues/312", "show")</f>
        <v>show</v>
      </c>
      <c r="G9494" t="str">
        <f>HYPERLINK("https://github.com/nikita36078/J2ME-Loader", "show")</f>
        <v>show</v>
      </c>
      <c r="H9494" t="str">
        <f>HYPERLINK("https://github.com/nikita36078/J2ME-Loader/releases", "show")</f>
        <v>show</v>
      </c>
      <c r="I9494">
        <v>0</v>
      </c>
      <c r="J9494">
        <v>0</v>
      </c>
      <c r="K9494">
        <v>0</v>
      </c>
      <c r="L9494">
        <v>0</v>
      </c>
      <c r="M9494" t="s">
        <v>43</v>
      </c>
    </row>
    <row r="9495" spans="1:13" hidden="1" x14ac:dyDescent="0.15">
      <c r="A9495" t="s">
        <v>29871</v>
      </c>
      <c r="B9495" t="s">
        <v>29872</v>
      </c>
      <c r="C9495" t="s">
        <v>29873</v>
      </c>
      <c r="D9495" t="s">
        <v>29874</v>
      </c>
      <c r="E9495">
        <v>0</v>
      </c>
      <c r="F9495" t="str">
        <f>HYPERLINK("https://github.com/BackyardBrains/Spike-Recorder-Android/issues/86", "show")</f>
        <v>show</v>
      </c>
      <c r="G9495" t="str">
        <f>HYPERLINK("https://github.com/BackyardBrains/Spike-Recorder-Android", "show")</f>
        <v>show</v>
      </c>
      <c r="H9495" t="str">
        <f>HYPERLINK("https://github.com/BackyardBrains/Spike-Recorder-Android/releases", "show")</f>
        <v>show</v>
      </c>
      <c r="I9495">
        <v>1</v>
      </c>
      <c r="J9495">
        <v>0</v>
      </c>
      <c r="K9495">
        <v>0</v>
      </c>
      <c r="L9495">
        <v>0</v>
      </c>
      <c r="M9495" t="s">
        <v>17</v>
      </c>
    </row>
    <row r="9496" spans="1:13" hidden="1" x14ac:dyDescent="0.15">
      <c r="A9496" t="s">
        <v>29875</v>
      </c>
      <c r="B9496" t="s">
        <v>29876</v>
      </c>
      <c r="C9496" t="s">
        <v>29877</v>
      </c>
      <c r="D9496" t="s">
        <v>29874</v>
      </c>
      <c r="E9496">
        <v>0</v>
      </c>
      <c r="F9496" t="str">
        <f>HYPERLINK("https://github.com/BackyardBrains/Spike-Recorder-Android/issues/85", "show")</f>
        <v>show</v>
      </c>
      <c r="G9496" t="str">
        <f>HYPERLINK("https://github.com/BackyardBrains/Spike-Recorder-Android", "show")</f>
        <v>show</v>
      </c>
      <c r="H9496" t="str">
        <f>HYPERLINK("https://github.com/BackyardBrains/Spike-Recorder-Android/releases", "show")</f>
        <v>show</v>
      </c>
      <c r="I9496">
        <v>1</v>
      </c>
      <c r="J9496">
        <v>0</v>
      </c>
      <c r="K9496">
        <v>0</v>
      </c>
      <c r="L9496">
        <v>0</v>
      </c>
      <c r="M9496" t="s">
        <v>17</v>
      </c>
    </row>
    <row r="9497" spans="1:13" hidden="1" x14ac:dyDescent="0.15">
      <c r="A9497" t="s">
        <v>29878</v>
      </c>
      <c r="B9497" t="s">
        <v>29879</v>
      </c>
      <c r="C9497" t="s">
        <v>29880</v>
      </c>
      <c r="D9497" t="s">
        <v>29881</v>
      </c>
      <c r="E9497">
        <v>5</v>
      </c>
      <c r="F9497" t="str">
        <f>HYPERLINK("https://github.com/cgeo/cgeo/issues/6984", "show")</f>
        <v>show</v>
      </c>
      <c r="G9497" t="str">
        <f>HYPERLINK("https://github.com/cgeo/cgeo", "show")</f>
        <v>show</v>
      </c>
      <c r="H9497" t="str">
        <f>HYPERLINK("https://github.com/cgeo/cgeo/releases", "show")</f>
        <v>show</v>
      </c>
      <c r="I9497">
        <v>1</v>
      </c>
      <c r="J9497">
        <v>1</v>
      </c>
      <c r="K9497">
        <v>0</v>
      </c>
      <c r="L9497">
        <v>0</v>
      </c>
      <c r="M9497" t="s">
        <v>48</v>
      </c>
    </row>
    <row r="9498" spans="1:13" hidden="1" x14ac:dyDescent="0.15">
      <c r="A9498" t="s">
        <v>29882</v>
      </c>
      <c r="B9498" t="s">
        <v>29883</v>
      </c>
      <c r="C9498" t="s">
        <v>29884</v>
      </c>
      <c r="D9498" t="s">
        <v>29881</v>
      </c>
      <c r="E9498">
        <v>7</v>
      </c>
      <c r="F9498" t="str">
        <f>HYPERLINK("https://github.com/mapbox/mapbox-events-android/issues/124", "show")</f>
        <v>show</v>
      </c>
      <c r="G9498" t="str">
        <f>HYPERLINK("https://github.com/mapbox/mapbox-events-android", "show")</f>
        <v>show</v>
      </c>
      <c r="H9498" t="str">
        <f>HYPERLINK("https://github.com/mapbox/mapbox-events-android/releases", "show")</f>
        <v>show</v>
      </c>
      <c r="I9498">
        <v>1</v>
      </c>
      <c r="J9498">
        <v>0</v>
      </c>
      <c r="K9498">
        <v>0</v>
      </c>
      <c r="L9498">
        <v>0</v>
      </c>
      <c r="M9498" t="s">
        <v>17</v>
      </c>
    </row>
    <row r="9499" spans="1:13" hidden="1" x14ac:dyDescent="0.15">
      <c r="A9499" t="s">
        <v>29885</v>
      </c>
      <c r="B9499" t="s">
        <v>29886</v>
      </c>
      <c r="C9499" t="s">
        <v>29887</v>
      </c>
      <c r="D9499" t="s">
        <v>29881</v>
      </c>
      <c r="E9499">
        <v>29</v>
      </c>
      <c r="F9499" t="str">
        <f>HYPERLINK("https://github.com/StAResComp/sifids/issues/127", "show")</f>
        <v>show</v>
      </c>
      <c r="G9499" t="str">
        <f>HYPERLINK("https://github.com/StAResComp/sifids", "show")</f>
        <v>show</v>
      </c>
      <c r="H9499" t="str">
        <f>HYPERLINK("https://github.com/StAResComp/sifids/releases", "show")</f>
        <v>show</v>
      </c>
      <c r="I9499">
        <v>1</v>
      </c>
      <c r="J9499">
        <v>0</v>
      </c>
      <c r="K9499">
        <v>0</v>
      </c>
      <c r="L9499">
        <v>0</v>
      </c>
      <c r="M9499" t="s">
        <v>17</v>
      </c>
    </row>
    <row r="9500" spans="1:13" hidden="1" x14ac:dyDescent="0.15">
      <c r="A9500" t="s">
        <v>29888</v>
      </c>
      <c r="B9500" t="s">
        <v>29889</v>
      </c>
      <c r="C9500" t="s">
        <v>29890</v>
      </c>
      <c r="D9500" t="s">
        <v>29881</v>
      </c>
      <c r="E9500">
        <v>1</v>
      </c>
      <c r="F9500" t="str">
        <f>HYPERLINK("https://github.com/nextcloud/android/issues/2502", "show")</f>
        <v>show</v>
      </c>
      <c r="G9500" t="str">
        <f>HYPERLINK("https://github.com/nextcloud/android", "show")</f>
        <v>show</v>
      </c>
      <c r="H9500" t="str">
        <f>HYPERLINK("https://github.com/nextcloud/android/releases", "show")</f>
        <v>show</v>
      </c>
      <c r="I9500">
        <v>1</v>
      </c>
      <c r="J9500">
        <v>0</v>
      </c>
      <c r="K9500">
        <v>0</v>
      </c>
      <c r="L9500">
        <v>0</v>
      </c>
      <c r="M9500" t="s">
        <v>17</v>
      </c>
    </row>
    <row r="9501" spans="1:13" hidden="1" x14ac:dyDescent="0.15">
      <c r="A9501" t="s">
        <v>29891</v>
      </c>
      <c r="B9501" t="s">
        <v>29892</v>
      </c>
      <c r="C9501" t="s">
        <v>29893</v>
      </c>
      <c r="D9501" t="s">
        <v>29894</v>
      </c>
      <c r="E9501">
        <v>672</v>
      </c>
      <c r="F9501" t="str">
        <f>HYPERLINK("https://github.com/Neamar/KISS/issues/959", "show")</f>
        <v>show</v>
      </c>
      <c r="G9501" t="str">
        <f>HYPERLINK("https://github.com/Neamar/KISS", "show")</f>
        <v>show</v>
      </c>
      <c r="H9501" t="str">
        <f>HYPERLINK("https://github.com/Neamar/KISS/releases", "show")</f>
        <v>show</v>
      </c>
      <c r="I9501">
        <v>1</v>
      </c>
      <c r="J9501">
        <v>0</v>
      </c>
      <c r="K9501">
        <v>0</v>
      </c>
      <c r="L9501">
        <v>0</v>
      </c>
      <c r="M9501" t="s">
        <v>17</v>
      </c>
    </row>
    <row r="9502" spans="1:13" hidden="1" x14ac:dyDescent="0.15">
      <c r="A9502" t="s">
        <v>29895</v>
      </c>
      <c r="B9502" t="s">
        <v>29896</v>
      </c>
      <c r="C9502" t="s">
        <v>29897</v>
      </c>
      <c r="D9502" t="s">
        <v>29894</v>
      </c>
      <c r="E9502">
        <v>9</v>
      </c>
      <c r="F9502" t="str">
        <f>HYPERLINK("https://github.com/SCCapstone/Cupboard/issues/107", "show")</f>
        <v>show</v>
      </c>
      <c r="G9502" t="str">
        <f>HYPERLINK("https://github.com/SCCapstone/Cupboard", "show")</f>
        <v>show</v>
      </c>
      <c r="H9502" t="str">
        <f>HYPERLINK("https://github.com/SCCapstone/Cupboard/releases", "show")</f>
        <v>show</v>
      </c>
      <c r="I9502">
        <v>1</v>
      </c>
      <c r="J9502">
        <v>0</v>
      </c>
      <c r="K9502">
        <v>0</v>
      </c>
      <c r="L9502">
        <v>1</v>
      </c>
      <c r="M9502" t="s">
        <v>29</v>
      </c>
    </row>
    <row r="9503" spans="1:13" hidden="1" x14ac:dyDescent="0.15">
      <c r="A9503" t="s">
        <v>29898</v>
      </c>
      <c r="B9503" t="s">
        <v>11825</v>
      </c>
      <c r="C9503" t="s">
        <v>29899</v>
      </c>
      <c r="D9503" t="s">
        <v>29894</v>
      </c>
      <c r="E9503">
        <v>3</v>
      </c>
      <c r="F9503" t="str">
        <f>HYPERLINK("https://github.com/SCCapstone/Cupboard/issues/105", "show")</f>
        <v>show</v>
      </c>
      <c r="G9503" t="str">
        <f>HYPERLINK("https://github.com/SCCapstone/Cupboard", "show")</f>
        <v>show</v>
      </c>
      <c r="H9503" t="str">
        <f>HYPERLINK("https://github.com/SCCapstone/Cupboard/releases", "show")</f>
        <v>show</v>
      </c>
      <c r="I9503">
        <v>1</v>
      </c>
      <c r="J9503">
        <v>0</v>
      </c>
      <c r="K9503">
        <v>0</v>
      </c>
      <c r="L9503">
        <v>1</v>
      </c>
      <c r="M9503" t="s">
        <v>29</v>
      </c>
    </row>
    <row r="9504" spans="1:13" hidden="1" x14ac:dyDescent="0.15">
      <c r="A9504" t="s">
        <v>29900</v>
      </c>
      <c r="B9504" t="s">
        <v>29901</v>
      </c>
      <c r="C9504" t="s">
        <v>29902</v>
      </c>
      <c r="D9504" t="s">
        <v>29894</v>
      </c>
      <c r="E9504">
        <v>0</v>
      </c>
      <c r="F9504" t="str">
        <f>HYPERLINK("https://github.com/lineargs/WatchNextApp/issues/28", "show")</f>
        <v>show</v>
      </c>
      <c r="G9504" t="str">
        <f>HYPERLINK("https://github.com/lineargs/WatchNextApp", "show")</f>
        <v>show</v>
      </c>
      <c r="H9504" t="str">
        <f>HYPERLINK("https://github.com/lineargs/WatchNextApp/releases", "show")</f>
        <v>show</v>
      </c>
      <c r="I9504">
        <v>1</v>
      </c>
      <c r="J9504">
        <v>0</v>
      </c>
      <c r="K9504">
        <v>0</v>
      </c>
      <c r="L9504">
        <v>0</v>
      </c>
      <c r="M9504" t="s">
        <v>17</v>
      </c>
    </row>
    <row r="9505" spans="1:13" hidden="1" x14ac:dyDescent="0.15">
      <c r="A9505" t="s">
        <v>29903</v>
      </c>
      <c r="B9505" t="s">
        <v>29904</v>
      </c>
      <c r="C9505" t="s">
        <v>29905</v>
      </c>
      <c r="D9505" t="s">
        <v>29906</v>
      </c>
      <c r="E9505">
        <v>116</v>
      </c>
      <c r="F9505" t="str">
        <f>HYPERLINK("https://github.com/nextcloud/android/issues/2498", "show")</f>
        <v>show</v>
      </c>
      <c r="G9505" t="str">
        <f>HYPERLINK("https://github.com/nextcloud/android", "show")</f>
        <v>show</v>
      </c>
      <c r="H9505" t="str">
        <f>HYPERLINK("https://github.com/nextcloud/android/releases", "show")</f>
        <v>show</v>
      </c>
      <c r="I9505">
        <v>1</v>
      </c>
      <c r="J9505">
        <v>0</v>
      </c>
      <c r="K9505">
        <v>0</v>
      </c>
      <c r="L9505">
        <v>0</v>
      </c>
      <c r="M9505" t="s">
        <v>17</v>
      </c>
    </row>
    <row r="9506" spans="1:13" hidden="1" x14ac:dyDescent="0.15">
      <c r="A9506" t="s">
        <v>29907</v>
      </c>
      <c r="B9506" t="s">
        <v>29908</v>
      </c>
      <c r="C9506" t="s">
        <v>29909</v>
      </c>
      <c r="D9506" t="s">
        <v>29906</v>
      </c>
      <c r="E9506">
        <v>384</v>
      </c>
      <c r="F9506" t="str">
        <f>HYPERLINK("https://github.com/nextcloud/android/issues/2497", "show")</f>
        <v>show</v>
      </c>
      <c r="G9506" t="str">
        <f>HYPERLINK("https://github.com/nextcloud/android", "show")</f>
        <v>show</v>
      </c>
      <c r="H9506" t="str">
        <f>HYPERLINK("https://github.com/nextcloud/android/releases", "show")</f>
        <v>show</v>
      </c>
      <c r="I9506">
        <v>1</v>
      </c>
      <c r="J9506">
        <v>0</v>
      </c>
      <c r="K9506">
        <v>0</v>
      </c>
      <c r="L9506">
        <v>0</v>
      </c>
      <c r="M9506" t="s">
        <v>17</v>
      </c>
    </row>
    <row r="9507" spans="1:13" hidden="1" x14ac:dyDescent="0.15">
      <c r="A9507" t="s">
        <v>29910</v>
      </c>
      <c r="B9507" t="s">
        <v>29911</v>
      </c>
      <c r="C9507" t="s">
        <v>29912</v>
      </c>
      <c r="D9507" t="s">
        <v>29906</v>
      </c>
      <c r="E9507">
        <v>238</v>
      </c>
      <c r="F9507" t="str">
        <f>HYPERLINK("https://github.com/TeamNewPipe/NewPipe/issues/1338", "show")</f>
        <v>show</v>
      </c>
      <c r="G9507" t="str">
        <f>HYPERLINK("https://github.com/TeamNewPipe/NewPipe", "show")</f>
        <v>show</v>
      </c>
      <c r="H9507" t="str">
        <f>HYPERLINK("https://github.com/TeamNewPipe/NewPipe/releases", "show")</f>
        <v>show</v>
      </c>
      <c r="I9507">
        <v>0</v>
      </c>
      <c r="J9507">
        <v>0</v>
      </c>
      <c r="K9507">
        <v>0</v>
      </c>
      <c r="L9507">
        <v>0</v>
      </c>
      <c r="M9507" t="s">
        <v>43</v>
      </c>
    </row>
    <row r="9508" spans="1:13" hidden="1" x14ac:dyDescent="0.15">
      <c r="A9508" t="s">
        <v>29913</v>
      </c>
      <c r="B9508" t="s">
        <v>29914</v>
      </c>
      <c r="C9508" t="s">
        <v>29915</v>
      </c>
      <c r="D9508" t="s">
        <v>29906</v>
      </c>
      <c r="E9508">
        <v>219</v>
      </c>
      <c r="F9508" t="str">
        <f>HYPERLINK("https://github.com/Azure/azure-iot-sdk-java/issues/229", "show")</f>
        <v>show</v>
      </c>
      <c r="G9508" t="str">
        <f>HYPERLINK("https://github.com/Azure/azure-iot-sdk-java", "show")</f>
        <v>show</v>
      </c>
      <c r="H9508" t="str">
        <f>HYPERLINK("https://github.com/Azure/azure-iot-sdk-java/releases", "show")</f>
        <v>show</v>
      </c>
      <c r="I9508">
        <v>1</v>
      </c>
      <c r="J9508">
        <v>0</v>
      </c>
      <c r="K9508">
        <v>0</v>
      </c>
      <c r="L9508">
        <v>0</v>
      </c>
      <c r="M9508" t="s">
        <v>17</v>
      </c>
    </row>
    <row r="9509" spans="1:13" hidden="1" x14ac:dyDescent="0.15">
      <c r="A9509" t="s">
        <v>29916</v>
      </c>
      <c r="B9509" t="s">
        <v>29917</v>
      </c>
      <c r="C9509" t="s">
        <v>504</v>
      </c>
      <c r="D9509" t="s">
        <v>29906</v>
      </c>
      <c r="E9509">
        <v>242</v>
      </c>
      <c r="F9509" t="str">
        <f>HYPERLINK("https://github.com/niclabs/adkintunmobile-androidclient/issues/191", "show")</f>
        <v>show</v>
      </c>
      <c r="G9509" t="str">
        <f>HYPERLINK("https://github.com/niclabs/adkintunmobile-androidclient", "show")</f>
        <v>show</v>
      </c>
      <c r="H9509" t="str">
        <f>HYPERLINK("https://github.com/niclabs/adkintunmobile-androidclient/releases", "show")</f>
        <v>show</v>
      </c>
      <c r="I9509">
        <v>1</v>
      </c>
      <c r="J9509">
        <v>0</v>
      </c>
      <c r="K9509">
        <v>0</v>
      </c>
      <c r="L9509">
        <v>0</v>
      </c>
      <c r="M9509" t="s">
        <v>17</v>
      </c>
    </row>
    <row r="9510" spans="1:13" hidden="1" x14ac:dyDescent="0.15">
      <c r="A9510" t="s">
        <v>29918</v>
      </c>
      <c r="B9510" t="s">
        <v>29919</v>
      </c>
      <c r="C9510" t="s">
        <v>29920</v>
      </c>
      <c r="D9510" t="s">
        <v>29921</v>
      </c>
      <c r="E9510">
        <v>900</v>
      </c>
      <c r="F9510" t="str">
        <f>HYPERLINK("https://github.com/k9mail/k-9/issues/3351", "show")</f>
        <v>show</v>
      </c>
      <c r="G9510" t="str">
        <f>HYPERLINK("https://github.com/k9mail/k-9", "show")</f>
        <v>show</v>
      </c>
      <c r="H9510" t="str">
        <f>HYPERLINK("https://github.com/k9mail/k-9/releases", "show")</f>
        <v>show</v>
      </c>
      <c r="I9510">
        <v>1</v>
      </c>
      <c r="J9510">
        <v>1</v>
      </c>
      <c r="K9510">
        <v>0</v>
      </c>
      <c r="L9510">
        <v>0</v>
      </c>
      <c r="M9510" t="s">
        <v>48</v>
      </c>
    </row>
    <row r="9511" spans="1:13" hidden="1" x14ac:dyDescent="0.15">
      <c r="A9511" t="s">
        <v>29922</v>
      </c>
      <c r="B9511" t="s">
        <v>29923</v>
      </c>
      <c r="C9511" t="s">
        <v>29924</v>
      </c>
      <c r="D9511" t="s">
        <v>29921</v>
      </c>
      <c r="E9511">
        <v>414</v>
      </c>
      <c r="F9511" t="str">
        <f>HYPERLINK("https://github.com/react-native-camera/react-native-camera/issues/1504", "show")</f>
        <v>show</v>
      </c>
      <c r="G9511" t="str">
        <f>HYPERLINK("https://github.com/react-native-camera/react-native-camera", "show")</f>
        <v>show</v>
      </c>
      <c r="H9511" t="str">
        <f>HYPERLINK("https://github.com/react-native-camera/react-native-camera/releases", "show")</f>
        <v>show</v>
      </c>
      <c r="I9511">
        <v>1</v>
      </c>
      <c r="J9511">
        <v>0</v>
      </c>
      <c r="K9511">
        <v>0</v>
      </c>
      <c r="L9511">
        <v>1</v>
      </c>
      <c r="M9511" t="s">
        <v>29</v>
      </c>
    </row>
    <row r="9512" spans="1:13" hidden="1" x14ac:dyDescent="0.15">
      <c r="A9512" t="s">
        <v>29925</v>
      </c>
      <c r="B9512" t="s">
        <v>29926</v>
      </c>
      <c r="C9512" t="s">
        <v>29927</v>
      </c>
      <c r="D9512" t="s">
        <v>29928</v>
      </c>
      <c r="E9512">
        <v>62</v>
      </c>
      <c r="F9512" t="str">
        <f>HYPERLINK("https://github.com/GCRC/nunaliit_android/issues/41", "show")</f>
        <v>show</v>
      </c>
      <c r="G9512" t="str">
        <f>HYPERLINK("https://github.com/GCRC/nunaliit_android", "show")</f>
        <v>show</v>
      </c>
      <c r="H9512" t="str">
        <f>HYPERLINK("https://github.com/GCRC/nunaliit_android/releases", "show")</f>
        <v>show</v>
      </c>
      <c r="I9512">
        <v>1</v>
      </c>
      <c r="J9512">
        <v>0</v>
      </c>
      <c r="K9512">
        <v>0</v>
      </c>
      <c r="L9512">
        <v>0</v>
      </c>
      <c r="M9512" t="s">
        <v>17</v>
      </c>
    </row>
    <row r="9513" spans="1:13" hidden="1" x14ac:dyDescent="0.15">
      <c r="A9513" t="s">
        <v>29929</v>
      </c>
      <c r="B9513" t="s">
        <v>29930</v>
      </c>
      <c r="C9513" t="s">
        <v>29931</v>
      </c>
      <c r="D9513" t="s">
        <v>29928</v>
      </c>
      <c r="E9513">
        <v>1042</v>
      </c>
      <c r="F9513" t="str">
        <f>HYPERLINK("https://github.com/OneBusAway/onebusaway-android/issues/870", "show")</f>
        <v>show</v>
      </c>
      <c r="G9513" t="str">
        <f>HYPERLINK("https://github.com/OneBusAway/onebusaway-android", "show")</f>
        <v>show</v>
      </c>
      <c r="H9513" t="str">
        <f>HYPERLINK("https://github.com/OneBusAway/onebusaway-android/releases", "show")</f>
        <v>show</v>
      </c>
      <c r="I9513">
        <v>0</v>
      </c>
      <c r="J9513">
        <v>0</v>
      </c>
      <c r="K9513">
        <v>1</v>
      </c>
      <c r="L9513">
        <v>0</v>
      </c>
      <c r="M9513" t="s">
        <v>122</v>
      </c>
    </row>
    <row r="9514" spans="1:13" hidden="1" x14ac:dyDescent="0.15">
      <c r="A9514" t="s">
        <v>29932</v>
      </c>
      <c r="B9514" t="s">
        <v>29933</v>
      </c>
      <c r="C9514" t="s">
        <v>29934</v>
      </c>
      <c r="D9514" t="s">
        <v>29928</v>
      </c>
      <c r="E9514">
        <v>18</v>
      </c>
      <c r="F9514" t="str">
        <f>HYPERLINK("https://github.com/JamMarHer/ProjectParadise/issues/2", "show")</f>
        <v>show</v>
      </c>
      <c r="G9514" t="str">
        <f>HYPERLINK("https://github.com/JamMarHer/ProjectParadise", "show")</f>
        <v>show</v>
      </c>
      <c r="H9514" t="str">
        <f>HYPERLINK("https://github.com/JamMarHer/ProjectParadise/releases", "show")</f>
        <v>show</v>
      </c>
      <c r="I9514">
        <v>1</v>
      </c>
      <c r="J9514">
        <v>0</v>
      </c>
      <c r="K9514">
        <v>0</v>
      </c>
      <c r="L9514">
        <v>0</v>
      </c>
      <c r="M9514" t="s">
        <v>17</v>
      </c>
    </row>
    <row r="9515" spans="1:13" hidden="1" x14ac:dyDescent="0.15">
      <c r="A9515" t="s">
        <v>29935</v>
      </c>
      <c r="B9515" t="s">
        <v>29936</v>
      </c>
      <c r="C9515" t="s">
        <v>29937</v>
      </c>
      <c r="D9515" t="s">
        <v>29928</v>
      </c>
      <c r="E9515">
        <v>78</v>
      </c>
      <c r="F9515" t="str">
        <f>HYPERLINK("https://github.com/square/okhttp/issues/3973", "show")</f>
        <v>show</v>
      </c>
      <c r="G9515" t="str">
        <f>HYPERLINK("https://github.com/square/okhttp", "show")</f>
        <v>show</v>
      </c>
      <c r="H9515" t="str">
        <f>HYPERLINK("https://github.com/square/okhttp/releases", "show")</f>
        <v>show</v>
      </c>
      <c r="I9515">
        <v>0</v>
      </c>
      <c r="J9515">
        <v>0</v>
      </c>
      <c r="K9515">
        <v>1</v>
      </c>
      <c r="L9515">
        <v>0</v>
      </c>
      <c r="M9515" t="s">
        <v>122</v>
      </c>
    </row>
    <row r="9516" spans="1:13" hidden="1" x14ac:dyDescent="0.15">
      <c r="A9516" t="s">
        <v>29938</v>
      </c>
      <c r="B9516" t="s">
        <v>29939</v>
      </c>
      <c r="C9516" t="s">
        <v>29940</v>
      </c>
      <c r="D9516" t="s">
        <v>29941</v>
      </c>
      <c r="E9516">
        <v>191</v>
      </c>
      <c r="F9516" t="str">
        <f>HYPERLINK("https://github.com/PhilJay/MPAndroidChart/issues/3959", "show")</f>
        <v>show</v>
      </c>
      <c r="G9516" t="str">
        <f>HYPERLINK("https://github.com/PhilJay/MPAndroidChart", "show")</f>
        <v>show</v>
      </c>
      <c r="H9516" t="str">
        <f>HYPERLINK("https://github.com/PhilJay/MPAndroidChart/releases", "show")</f>
        <v>show</v>
      </c>
      <c r="I9516">
        <v>0</v>
      </c>
      <c r="J9516">
        <v>0</v>
      </c>
      <c r="K9516">
        <v>0</v>
      </c>
      <c r="L9516">
        <v>0</v>
      </c>
      <c r="M9516" t="s">
        <v>43</v>
      </c>
    </row>
    <row r="9517" spans="1:13" hidden="1" x14ac:dyDescent="0.15">
      <c r="A9517" t="s">
        <v>29942</v>
      </c>
      <c r="B9517" t="s">
        <v>29943</v>
      </c>
      <c r="C9517" t="s">
        <v>29944</v>
      </c>
      <c r="D9517" t="s">
        <v>29941</v>
      </c>
      <c r="E9517">
        <v>198</v>
      </c>
      <c r="F9517" t="str">
        <f>HYPERLINK("https://github.com/inaturalist/iNaturalistAndroid/issues/505", "show")</f>
        <v>show</v>
      </c>
      <c r="G9517" t="str">
        <f>HYPERLINK("https://github.com/inaturalist/iNaturalistAndroid", "show")</f>
        <v>show</v>
      </c>
      <c r="H9517" t="str">
        <f>HYPERLINK("https://github.com/inaturalist/iNaturalistAndroid/releases", "show")</f>
        <v>show</v>
      </c>
      <c r="I9517">
        <v>1</v>
      </c>
      <c r="J9517">
        <v>0</v>
      </c>
      <c r="K9517">
        <v>0</v>
      </c>
      <c r="L9517">
        <v>0</v>
      </c>
      <c r="M9517" t="s">
        <v>17</v>
      </c>
    </row>
    <row r="9518" spans="1:13" hidden="1" x14ac:dyDescent="0.15">
      <c r="A9518" t="s">
        <v>29945</v>
      </c>
      <c r="B9518" t="s">
        <v>29946</v>
      </c>
      <c r="C9518" t="s">
        <v>29947</v>
      </c>
      <c r="D9518" t="s">
        <v>29941</v>
      </c>
      <c r="E9518">
        <v>0</v>
      </c>
      <c r="F9518" t="str">
        <f>HYPERLINK("https://github.com/nextcloud/android/issues/2480", "show")</f>
        <v>show</v>
      </c>
      <c r="G9518" t="str">
        <f>HYPERLINK("https://github.com/nextcloud/android", "show")</f>
        <v>show</v>
      </c>
      <c r="H9518" t="str">
        <f>HYPERLINK("https://github.com/nextcloud/android/releases", "show")</f>
        <v>show</v>
      </c>
      <c r="I9518">
        <v>1</v>
      </c>
      <c r="J9518">
        <v>0</v>
      </c>
      <c r="K9518">
        <v>1</v>
      </c>
      <c r="L9518">
        <v>0</v>
      </c>
      <c r="M9518" t="s">
        <v>64</v>
      </c>
    </row>
    <row r="9519" spans="1:13" hidden="1" x14ac:dyDescent="0.15">
      <c r="A9519" t="s">
        <v>29948</v>
      </c>
      <c r="B9519" t="s">
        <v>29949</v>
      </c>
      <c r="C9519" t="s">
        <v>29950</v>
      </c>
      <c r="D9519" t="s">
        <v>29941</v>
      </c>
      <c r="E9519">
        <v>0</v>
      </c>
      <c r="F9519" t="str">
        <f>HYPERLINK("https://github.com/oliexdev/openScale/issues/245", "show")</f>
        <v>show</v>
      </c>
      <c r="G9519" t="str">
        <f>HYPERLINK("https://github.com/oliexdev/openScale", "show")</f>
        <v>show</v>
      </c>
      <c r="H9519" t="str">
        <f>HYPERLINK("https://github.com/oliexdev/openScale/releases", "show")</f>
        <v>show</v>
      </c>
      <c r="I9519">
        <v>1</v>
      </c>
      <c r="J9519">
        <v>0</v>
      </c>
      <c r="K9519">
        <v>1</v>
      </c>
      <c r="L9519">
        <v>0</v>
      </c>
      <c r="M9519" t="s">
        <v>64</v>
      </c>
    </row>
    <row r="9520" spans="1:13" hidden="1" x14ac:dyDescent="0.15">
      <c r="A9520" t="s">
        <v>29951</v>
      </c>
      <c r="B9520" t="s">
        <v>29952</v>
      </c>
      <c r="C9520" t="s">
        <v>29953</v>
      </c>
      <c r="D9520" t="s">
        <v>29954</v>
      </c>
      <c r="E9520">
        <v>197</v>
      </c>
      <c r="F9520" t="str">
        <f>HYPERLINK("https://github.com/inaturalist/iNaturalistAndroid/issues/503", "show")</f>
        <v>show</v>
      </c>
      <c r="G9520" t="str">
        <f>HYPERLINK("https://github.com/inaturalist/iNaturalistAndroid", "show")</f>
        <v>show</v>
      </c>
      <c r="H9520" t="str">
        <f>HYPERLINK("https://github.com/inaturalist/iNaturalistAndroid/releases", "show")</f>
        <v>show</v>
      </c>
      <c r="I9520">
        <v>0</v>
      </c>
      <c r="J9520">
        <v>0</v>
      </c>
      <c r="K9520">
        <v>0</v>
      </c>
      <c r="L9520">
        <v>0</v>
      </c>
      <c r="M9520" t="s">
        <v>43</v>
      </c>
    </row>
    <row r="9521" spans="1:13" hidden="1" x14ac:dyDescent="0.15">
      <c r="A9521" t="s">
        <v>29955</v>
      </c>
      <c r="B9521" t="s">
        <v>29956</v>
      </c>
      <c r="C9521" t="s">
        <v>29957</v>
      </c>
      <c r="D9521" t="s">
        <v>29958</v>
      </c>
      <c r="E9521">
        <v>14</v>
      </c>
      <c r="F9521" t="str">
        <f>HYPERLINK("https://github.com/Purdue-ACM-SIGApp/BoilerFaves/issues/39", "show")</f>
        <v>show</v>
      </c>
      <c r="G9521" t="str">
        <f>HYPERLINK("https://github.com/Purdue-ACM-SIGApp/BoilerFaves", "show")</f>
        <v>show</v>
      </c>
      <c r="H9521" t="str">
        <f>HYPERLINK("https://github.com/Purdue-ACM-SIGApp/BoilerFaves/releases", "show")</f>
        <v>show</v>
      </c>
      <c r="I9521">
        <v>1</v>
      </c>
      <c r="J9521">
        <v>0</v>
      </c>
      <c r="K9521">
        <v>0</v>
      </c>
      <c r="L9521">
        <v>0</v>
      </c>
      <c r="M9521" t="s">
        <v>17</v>
      </c>
    </row>
    <row r="9522" spans="1:13" hidden="1" x14ac:dyDescent="0.15">
      <c r="A9522" t="s">
        <v>29959</v>
      </c>
      <c r="B9522" t="s">
        <v>29960</v>
      </c>
      <c r="C9522" t="s">
        <v>29961</v>
      </c>
      <c r="D9522" t="s">
        <v>29958</v>
      </c>
      <c r="E9522">
        <v>0</v>
      </c>
      <c r="F9522" t="str">
        <f>HYPERLINK("https://github.com/Purdue-ACM-SIGApp/BoilerFaves/issues/38", "show")</f>
        <v>show</v>
      </c>
      <c r="G9522" t="str">
        <f>HYPERLINK("https://github.com/Purdue-ACM-SIGApp/BoilerFaves", "show")</f>
        <v>show</v>
      </c>
      <c r="H9522" t="str">
        <f>HYPERLINK("https://github.com/Purdue-ACM-SIGApp/BoilerFaves/releases", "show")</f>
        <v>show</v>
      </c>
      <c r="I9522">
        <v>1</v>
      </c>
      <c r="J9522">
        <v>0</v>
      </c>
      <c r="K9522">
        <v>0</v>
      </c>
      <c r="L9522">
        <v>0</v>
      </c>
      <c r="M9522" t="s">
        <v>17</v>
      </c>
    </row>
    <row r="9523" spans="1:13" hidden="1" x14ac:dyDescent="0.15">
      <c r="A9523" t="s">
        <v>29962</v>
      </c>
      <c r="B9523" t="s">
        <v>29963</v>
      </c>
      <c r="C9523" t="s">
        <v>29964</v>
      </c>
      <c r="D9523" t="s">
        <v>29958</v>
      </c>
      <c r="E9523">
        <v>162</v>
      </c>
      <c r="F9523" t="str">
        <f>HYPERLINK("https://github.com/react-native-camera/react-native-camera/issues/1486", "show")</f>
        <v>show</v>
      </c>
      <c r="G9523" t="str">
        <f>HYPERLINK("https://github.com/react-native-camera/react-native-camera", "show")</f>
        <v>show</v>
      </c>
      <c r="H9523" t="str">
        <f>HYPERLINK("https://github.com/react-native-camera/react-native-camera/releases", "show")</f>
        <v>show</v>
      </c>
      <c r="I9523">
        <v>1</v>
      </c>
      <c r="J9523">
        <v>0</v>
      </c>
      <c r="K9523">
        <v>1</v>
      </c>
      <c r="L9523">
        <v>0</v>
      </c>
      <c r="M9523" t="s">
        <v>64</v>
      </c>
    </row>
    <row r="9524" spans="1:13" hidden="1" x14ac:dyDescent="0.15">
      <c r="A9524" t="s">
        <v>29965</v>
      </c>
      <c r="B9524" t="s">
        <v>29966</v>
      </c>
      <c r="C9524" t="s">
        <v>29967</v>
      </c>
      <c r="D9524" t="s">
        <v>29958</v>
      </c>
      <c r="E9524">
        <v>11</v>
      </c>
      <c r="F9524" t="str">
        <f>HYPERLINK("https://github.com/osmdroid/osmdroid/issues/998", "show")</f>
        <v>show</v>
      </c>
      <c r="G9524" t="str">
        <f>HYPERLINK("https://github.com/osmdroid/osmdroid", "show")</f>
        <v>show</v>
      </c>
      <c r="H9524" t="str">
        <f>HYPERLINK("https://github.com/osmdroid/osmdroid/releases", "show")</f>
        <v>show</v>
      </c>
      <c r="I9524">
        <v>1</v>
      </c>
      <c r="J9524">
        <v>1</v>
      </c>
      <c r="K9524">
        <v>1</v>
      </c>
      <c r="L9524">
        <v>0</v>
      </c>
      <c r="M9524" t="s">
        <v>59</v>
      </c>
    </row>
    <row r="9525" spans="1:13" hidden="1" x14ac:dyDescent="0.15">
      <c r="A9525" t="s">
        <v>29968</v>
      </c>
      <c r="B9525" t="s">
        <v>29969</v>
      </c>
      <c r="C9525" t="s">
        <v>29970</v>
      </c>
      <c r="D9525" t="s">
        <v>29958</v>
      </c>
      <c r="E9525">
        <v>0</v>
      </c>
      <c r="F9525" t="str">
        <f>HYPERLINK("https://github.com/mapbox/mapbox-events-android/issues/117", "show")</f>
        <v>show</v>
      </c>
      <c r="G9525" t="str">
        <f>HYPERLINK("https://github.com/mapbox/mapbox-events-android", "show")</f>
        <v>show</v>
      </c>
      <c r="H9525" t="str">
        <f>HYPERLINK("https://github.com/mapbox/mapbox-events-android/releases", "show")</f>
        <v>show</v>
      </c>
      <c r="I9525">
        <v>1</v>
      </c>
      <c r="J9525">
        <v>0</v>
      </c>
      <c r="K9525">
        <v>0</v>
      </c>
      <c r="L9525">
        <v>0</v>
      </c>
      <c r="M9525" t="s">
        <v>17</v>
      </c>
    </row>
    <row r="9526" spans="1:13" hidden="1" x14ac:dyDescent="0.15">
      <c r="A9526" t="s">
        <v>29971</v>
      </c>
      <c r="B9526" t="s">
        <v>29972</v>
      </c>
      <c r="C9526" t="s">
        <v>29973</v>
      </c>
      <c r="D9526" t="s">
        <v>29958</v>
      </c>
      <c r="E9526">
        <v>4</v>
      </c>
      <c r="F9526" t="str">
        <f>HYPERLINK("https://github.com/sraorao/AnimApp/issues/5", "show")</f>
        <v>show</v>
      </c>
      <c r="G9526" t="str">
        <f>HYPERLINK("https://github.com/sraorao/AnimApp", "show")</f>
        <v>show</v>
      </c>
      <c r="H9526" t="str">
        <f>HYPERLINK("https://github.com/sraorao/AnimApp/releases", "show")</f>
        <v>show</v>
      </c>
      <c r="I9526">
        <v>1</v>
      </c>
      <c r="J9526">
        <v>0</v>
      </c>
      <c r="K9526">
        <v>0</v>
      </c>
      <c r="L9526">
        <v>0</v>
      </c>
      <c r="M9526" t="s">
        <v>17</v>
      </c>
    </row>
    <row r="9527" spans="1:13" hidden="1" x14ac:dyDescent="0.15">
      <c r="A9527" t="s">
        <v>29974</v>
      </c>
      <c r="B9527" t="s">
        <v>29975</v>
      </c>
      <c r="C9527" t="s">
        <v>29976</v>
      </c>
      <c r="D9527" t="s">
        <v>29977</v>
      </c>
      <c r="E9527">
        <v>287</v>
      </c>
      <c r="F9527" t="str">
        <f>HYPERLINK("https://github.com/Haptic-Apps/Slide/issues/2720", "show")</f>
        <v>show</v>
      </c>
      <c r="G9527" t="str">
        <f>HYPERLINK("https://github.com/Haptic-Apps/Slide", "show")</f>
        <v>show</v>
      </c>
      <c r="H9527" t="str">
        <f>HYPERLINK("https://github.com/Haptic-Apps/Slide/releases", "show")</f>
        <v>show</v>
      </c>
      <c r="I9527">
        <v>1</v>
      </c>
      <c r="J9527">
        <v>0</v>
      </c>
      <c r="K9527">
        <v>0</v>
      </c>
      <c r="L9527">
        <v>0</v>
      </c>
      <c r="M9527" t="s">
        <v>17</v>
      </c>
    </row>
    <row r="9528" spans="1:13" hidden="1" x14ac:dyDescent="0.15">
      <c r="A9528" t="s">
        <v>29978</v>
      </c>
      <c r="B9528" t="s">
        <v>29979</v>
      </c>
      <c r="C9528" t="s">
        <v>29980</v>
      </c>
      <c r="D9528" t="s">
        <v>29977</v>
      </c>
      <c r="E9528">
        <v>0</v>
      </c>
      <c r="F9528" t="str">
        <f>HYPERLINK("https://github.com/oliexdev/openScale/issues/244", "show")</f>
        <v>show</v>
      </c>
      <c r="G9528" t="str">
        <f>HYPERLINK("https://github.com/oliexdev/openScale", "show")</f>
        <v>show</v>
      </c>
      <c r="H9528" t="str">
        <f>HYPERLINK("https://github.com/oliexdev/openScale/releases", "show")</f>
        <v>show</v>
      </c>
      <c r="I9528">
        <v>1</v>
      </c>
      <c r="J9528">
        <v>0</v>
      </c>
      <c r="K9528">
        <v>1</v>
      </c>
      <c r="L9528">
        <v>0</v>
      </c>
      <c r="M9528" t="s">
        <v>64</v>
      </c>
    </row>
    <row r="9529" spans="1:13" hidden="1" x14ac:dyDescent="0.15">
      <c r="A9529" t="s">
        <v>29981</v>
      </c>
      <c r="B9529" t="s">
        <v>29982</v>
      </c>
      <c r="C9529" t="s">
        <v>29983</v>
      </c>
      <c r="D9529" t="s">
        <v>29984</v>
      </c>
      <c r="E9529">
        <v>5</v>
      </c>
      <c r="F9529" t="str">
        <f>HYPERLINK("https://github.com/UdacityAndroidDevScholarship/blood-donation/issues/28", "show")</f>
        <v>show</v>
      </c>
      <c r="G9529" t="str">
        <f>HYPERLINK("https://github.com/UdacityAndroidDevScholarship/blood-donation", "show")</f>
        <v>show</v>
      </c>
      <c r="H9529" t="str">
        <f>HYPERLINK("https://github.com/UdacityAndroidDevScholarship/blood-donation/releases", "show")</f>
        <v>show</v>
      </c>
      <c r="I9529">
        <v>1</v>
      </c>
      <c r="J9529">
        <v>1</v>
      </c>
      <c r="K9529">
        <v>1</v>
      </c>
      <c r="L9529">
        <v>0</v>
      </c>
      <c r="M9529" t="s">
        <v>59</v>
      </c>
    </row>
    <row r="9530" spans="1:13" hidden="1" x14ac:dyDescent="0.15">
      <c r="A9530" t="s">
        <v>29985</v>
      </c>
      <c r="B9530" t="s">
        <v>29986</v>
      </c>
      <c r="C9530" t="s">
        <v>29987</v>
      </c>
      <c r="D9530" t="s">
        <v>29988</v>
      </c>
      <c r="E9530">
        <v>12</v>
      </c>
      <c r="F9530" t="str">
        <f>HYPERLINK("https://github.com/willowtreeapps/Hyperion-Android/issues/98", "show")</f>
        <v>show</v>
      </c>
      <c r="G9530" t="str">
        <f>HYPERLINK("https://github.com/willowtreeapps/Hyperion-Android", "show")</f>
        <v>show</v>
      </c>
      <c r="H9530" t="str">
        <f>HYPERLINK("https://github.com/willowtreeapps/Hyperion-Android/releases", "show")</f>
        <v>show</v>
      </c>
      <c r="I9530">
        <v>1</v>
      </c>
      <c r="J9530">
        <v>0</v>
      </c>
      <c r="K9530">
        <v>0</v>
      </c>
      <c r="L9530">
        <v>0</v>
      </c>
      <c r="M9530" t="s">
        <v>17</v>
      </c>
    </row>
    <row r="9531" spans="1:13" hidden="1" x14ac:dyDescent="0.15">
      <c r="A9531" t="s">
        <v>29989</v>
      </c>
      <c r="B9531" t="s">
        <v>29990</v>
      </c>
      <c r="C9531" t="s">
        <v>29991</v>
      </c>
      <c r="D9531" t="s">
        <v>29988</v>
      </c>
      <c r="E9531">
        <v>3</v>
      </c>
      <c r="F9531" t="str">
        <f>HYPERLINK("https://github.com/ehubscher/briarproject_390/issues/163", "show")</f>
        <v>show</v>
      </c>
      <c r="G9531" t="str">
        <f>HYPERLINK("https://github.com/ehubscher/briarproject_390", "show")</f>
        <v>show</v>
      </c>
      <c r="H9531" t="str">
        <f>HYPERLINK("https://github.com/ehubscher/briarproject_390/releases", "show")</f>
        <v>show</v>
      </c>
      <c r="I9531">
        <v>1</v>
      </c>
      <c r="J9531">
        <v>0</v>
      </c>
      <c r="K9531">
        <v>1</v>
      </c>
      <c r="L9531">
        <v>0</v>
      </c>
      <c r="M9531" t="s">
        <v>64</v>
      </c>
    </row>
    <row r="9532" spans="1:13" hidden="1" x14ac:dyDescent="0.15">
      <c r="A9532" t="s">
        <v>29992</v>
      </c>
      <c r="B9532" t="s">
        <v>29993</v>
      </c>
      <c r="C9532" t="s">
        <v>29994</v>
      </c>
      <c r="D9532" t="s">
        <v>29988</v>
      </c>
      <c r="E9532">
        <v>10</v>
      </c>
      <c r="F9532" t="str">
        <f>HYPERLINK("https://github.com/FusixGit/WiFiPasswordSearcher/issues/6", "show")</f>
        <v>show</v>
      </c>
      <c r="G9532" t="str">
        <f>HYPERLINK("https://github.com/FusixGit/WiFiPasswordSearcher", "show")</f>
        <v>show</v>
      </c>
      <c r="H9532" t="str">
        <f>HYPERLINK("https://github.com/FusixGit/WiFiPasswordSearcher/releases", "show")</f>
        <v>show</v>
      </c>
      <c r="I9532">
        <v>1</v>
      </c>
      <c r="J9532">
        <v>0</v>
      </c>
      <c r="K9532">
        <v>0</v>
      </c>
      <c r="L9532">
        <v>0</v>
      </c>
      <c r="M9532" t="s">
        <v>17</v>
      </c>
    </row>
    <row r="9533" spans="1:13" hidden="1" x14ac:dyDescent="0.15">
      <c r="A9533" t="s">
        <v>29995</v>
      </c>
      <c r="B9533" t="s">
        <v>29996</v>
      </c>
      <c r="C9533" t="s">
        <v>29997</v>
      </c>
      <c r="D9533" t="s">
        <v>29988</v>
      </c>
      <c r="E9533">
        <v>333</v>
      </c>
      <c r="F9533" t="str">
        <f>HYPERLINK("https://github.com/twilio/video-quickstart-android/issues/284", "show")</f>
        <v>show</v>
      </c>
      <c r="G9533" t="str">
        <f>HYPERLINK("https://github.com/twilio/video-quickstart-android", "show")</f>
        <v>show</v>
      </c>
      <c r="H9533" t="str">
        <f>HYPERLINK("https://github.com/twilio/video-quickstart-android/releases", "show")</f>
        <v>show</v>
      </c>
      <c r="I9533">
        <v>1</v>
      </c>
      <c r="J9533">
        <v>0</v>
      </c>
      <c r="K9533">
        <v>1</v>
      </c>
      <c r="L9533">
        <v>0</v>
      </c>
      <c r="M9533" t="s">
        <v>64</v>
      </c>
    </row>
    <row r="9534" spans="1:13" hidden="1" x14ac:dyDescent="0.15">
      <c r="A9534" t="s">
        <v>29998</v>
      </c>
      <c r="B9534" t="s">
        <v>29999</v>
      </c>
      <c r="D9534" t="s">
        <v>29988</v>
      </c>
      <c r="E9534">
        <v>0</v>
      </c>
      <c r="F9534" t="str">
        <f>HYPERLINK("https://github.com/rjaros87/pm-home-station/issues/24", "show")</f>
        <v>show</v>
      </c>
      <c r="G9534" t="str">
        <f>HYPERLINK("https://github.com/rjaros87/pm-home-station", "show")</f>
        <v>show</v>
      </c>
      <c r="H9534" t="str">
        <f>HYPERLINK("https://github.com/rjaros87/pm-home-station/releases", "show")</f>
        <v>show</v>
      </c>
      <c r="I9534">
        <v>0</v>
      </c>
      <c r="J9534">
        <v>0</v>
      </c>
      <c r="K9534">
        <v>1</v>
      </c>
      <c r="L9534">
        <v>0</v>
      </c>
      <c r="M9534" t="s">
        <v>122</v>
      </c>
    </row>
    <row r="9535" spans="1:13" hidden="1" x14ac:dyDescent="0.15">
      <c r="A9535" t="s">
        <v>30000</v>
      </c>
      <c r="B9535" t="s">
        <v>30001</v>
      </c>
      <c r="C9535" t="s">
        <v>30002</v>
      </c>
      <c r="D9535" t="s">
        <v>30003</v>
      </c>
      <c r="E9535">
        <v>2</v>
      </c>
      <c r="F9535" t="str">
        <f>HYPERLINK("https://github.com/mapsforge/mapsforge/issues/1049", "show")</f>
        <v>show</v>
      </c>
      <c r="G9535" t="str">
        <f>HYPERLINK("https://github.com/mapsforge/mapsforge", "show")</f>
        <v>show</v>
      </c>
      <c r="H9535" t="str">
        <f>HYPERLINK("https://github.com/mapsforge/mapsforge/releases", "show")</f>
        <v>show</v>
      </c>
      <c r="I9535">
        <v>1</v>
      </c>
      <c r="J9535">
        <v>0</v>
      </c>
      <c r="K9535">
        <v>0</v>
      </c>
      <c r="L9535">
        <v>0</v>
      </c>
      <c r="M9535" t="s">
        <v>17</v>
      </c>
    </row>
    <row r="9536" spans="1:13" hidden="1" x14ac:dyDescent="0.15">
      <c r="A9536" t="s">
        <v>30004</v>
      </c>
      <c r="B9536" t="s">
        <v>30005</v>
      </c>
      <c r="C9536" t="s">
        <v>30006</v>
      </c>
      <c r="D9536" t="s">
        <v>30003</v>
      </c>
      <c r="E9536">
        <v>9</v>
      </c>
      <c r="F9536" t="str">
        <f>HYPERLINK("https://github.com/mauron85/cordova-plugin-background-geolocation/issues/403", "show")</f>
        <v>show</v>
      </c>
      <c r="G9536" t="str">
        <f>HYPERLINK("https://github.com/mauron85/cordova-plugin-background-geolocation", "show")</f>
        <v>show</v>
      </c>
      <c r="H9536" t="str">
        <f>HYPERLINK("https://github.com/mauron85/cordova-plugin-background-geolocation/releases", "show")</f>
        <v>show</v>
      </c>
      <c r="I9536">
        <v>0</v>
      </c>
      <c r="J9536">
        <v>0</v>
      </c>
      <c r="K9536">
        <v>1</v>
      </c>
      <c r="L9536">
        <v>0</v>
      </c>
      <c r="M9536" t="s">
        <v>122</v>
      </c>
    </row>
    <row r="9537" spans="1:13" hidden="1" x14ac:dyDescent="0.15">
      <c r="A9537" t="s">
        <v>30007</v>
      </c>
      <c r="B9537" t="s">
        <v>30008</v>
      </c>
      <c r="D9537" t="s">
        <v>30009</v>
      </c>
      <c r="E9537">
        <v>0</v>
      </c>
      <c r="F9537" t="str">
        <f>HYPERLINK("https://github.com/dimagi/commcare-android/issues/1970", "show")</f>
        <v>show</v>
      </c>
      <c r="G9537" t="str">
        <f>HYPERLINK("https://github.com/dimagi/commcare-android", "show")</f>
        <v>show</v>
      </c>
      <c r="H9537" t="str">
        <f>HYPERLINK("https://github.com/dimagi/commcare-android/releases", "show")</f>
        <v>show</v>
      </c>
      <c r="I9537">
        <v>0</v>
      </c>
      <c r="J9537">
        <v>0</v>
      </c>
      <c r="K9537">
        <v>0</v>
      </c>
      <c r="L9537">
        <v>0</v>
      </c>
      <c r="M9537" t="s">
        <v>43</v>
      </c>
    </row>
    <row r="9538" spans="1:13" hidden="1" x14ac:dyDescent="0.15">
      <c r="A9538" t="s">
        <v>30010</v>
      </c>
      <c r="B9538" t="s">
        <v>30011</v>
      </c>
      <c r="C9538" t="s">
        <v>30012</v>
      </c>
      <c r="D9538" t="s">
        <v>30009</v>
      </c>
      <c r="E9538">
        <v>423</v>
      </c>
      <c r="F9538" t="str">
        <f>HYPERLINK("https://github.com/react-native-camera/react-native-camera/issues/1458", "show")</f>
        <v>show</v>
      </c>
      <c r="G9538" t="str">
        <f>HYPERLINK("https://github.com/react-native-camera/react-native-camera", "show")</f>
        <v>show</v>
      </c>
      <c r="H9538" t="str">
        <f>HYPERLINK("https://github.com/react-native-camera/react-native-camera/releases", "show")</f>
        <v>show</v>
      </c>
      <c r="I9538">
        <v>1</v>
      </c>
      <c r="J9538">
        <v>0</v>
      </c>
      <c r="K9538">
        <v>0</v>
      </c>
      <c r="L9538">
        <v>0</v>
      </c>
      <c r="M9538" t="s">
        <v>17</v>
      </c>
    </row>
    <row r="9539" spans="1:13" hidden="1" x14ac:dyDescent="0.15">
      <c r="A9539" t="s">
        <v>30013</v>
      </c>
      <c r="B9539" t="s">
        <v>30014</v>
      </c>
      <c r="C9539" t="s">
        <v>30015</v>
      </c>
      <c r="D9539" t="s">
        <v>30009</v>
      </c>
      <c r="E9539">
        <v>0</v>
      </c>
      <c r="F9539" t="str">
        <f>HYPERLINK("https://github.com/stefan-niedermann/nextcloud-notes/issues/366", "show")</f>
        <v>show</v>
      </c>
      <c r="G9539" t="str">
        <f>HYPERLINK("https://github.com/stefan-niedermann/nextcloud-notes", "show")</f>
        <v>show</v>
      </c>
      <c r="H9539" t="str">
        <f>HYPERLINK("https://github.com/stefan-niedermann/nextcloud-notes/releases", "show")</f>
        <v>show</v>
      </c>
      <c r="I9539">
        <v>1</v>
      </c>
      <c r="J9539">
        <v>0</v>
      </c>
      <c r="K9539">
        <v>0</v>
      </c>
      <c r="L9539">
        <v>0</v>
      </c>
      <c r="M9539" t="s">
        <v>17</v>
      </c>
    </row>
    <row r="9540" spans="1:13" hidden="1" x14ac:dyDescent="0.15">
      <c r="A9540" t="s">
        <v>30016</v>
      </c>
      <c r="B9540" t="s">
        <v>30017</v>
      </c>
      <c r="C9540" t="s">
        <v>30018</v>
      </c>
      <c r="D9540" t="s">
        <v>30009</v>
      </c>
      <c r="E9540">
        <v>67</v>
      </c>
      <c r="F9540" t="str">
        <f>HYPERLINK("https://github.com/stefan-niedermann/nextcloud-notes/issues/365", "show")</f>
        <v>show</v>
      </c>
      <c r="G9540" t="str">
        <f>HYPERLINK("https://github.com/stefan-niedermann/nextcloud-notes", "show")</f>
        <v>show</v>
      </c>
      <c r="H9540" t="str">
        <f>HYPERLINK("https://github.com/stefan-niedermann/nextcloud-notes/releases", "show")</f>
        <v>show</v>
      </c>
      <c r="I9540">
        <v>1</v>
      </c>
      <c r="J9540">
        <v>0</v>
      </c>
      <c r="K9540">
        <v>1</v>
      </c>
      <c r="L9540">
        <v>0</v>
      </c>
      <c r="M9540" t="s">
        <v>64</v>
      </c>
    </row>
    <row r="9541" spans="1:13" hidden="1" x14ac:dyDescent="0.15">
      <c r="A9541" t="s">
        <v>30019</v>
      </c>
      <c r="B9541" t="s">
        <v>119</v>
      </c>
      <c r="C9541" t="s">
        <v>30020</v>
      </c>
      <c r="D9541" t="s">
        <v>30009</v>
      </c>
      <c r="E9541">
        <v>68</v>
      </c>
      <c r="F9541" t="str">
        <f>HYPERLINK("https://github.com/stefan-niedermann/nextcloud-notes/issues/364", "show")</f>
        <v>show</v>
      </c>
      <c r="G9541" t="str">
        <f>HYPERLINK("https://github.com/stefan-niedermann/nextcloud-notes", "show")</f>
        <v>show</v>
      </c>
      <c r="H9541" t="str">
        <f>HYPERLINK("https://github.com/stefan-niedermann/nextcloud-notes/releases", "show")</f>
        <v>show</v>
      </c>
      <c r="I9541">
        <v>1</v>
      </c>
      <c r="J9541">
        <v>0</v>
      </c>
      <c r="K9541">
        <v>0</v>
      </c>
      <c r="L9541">
        <v>0</v>
      </c>
      <c r="M9541" t="s">
        <v>17</v>
      </c>
    </row>
    <row r="9542" spans="1:13" hidden="1" x14ac:dyDescent="0.15">
      <c r="A9542" t="s">
        <v>30021</v>
      </c>
      <c r="B9542" t="s">
        <v>4272</v>
      </c>
      <c r="C9542" t="s">
        <v>30022</v>
      </c>
      <c r="D9542" t="s">
        <v>30009</v>
      </c>
      <c r="E9542">
        <v>38</v>
      </c>
      <c r="F9542" t="str">
        <f>HYPERLINK("https://github.com/yydcdut/RxMarkdown/issues/45", "show")</f>
        <v>show</v>
      </c>
      <c r="G9542" t="str">
        <f>HYPERLINK("https://github.com/yydcdut/RxMarkdown", "show")</f>
        <v>show</v>
      </c>
      <c r="H9542" t="str">
        <f>HYPERLINK("https://github.com/yydcdut/RxMarkdown/releases", "show")</f>
        <v>show</v>
      </c>
      <c r="I9542">
        <v>1</v>
      </c>
      <c r="J9542">
        <v>0</v>
      </c>
      <c r="K9542">
        <v>1</v>
      </c>
      <c r="L9542">
        <v>0</v>
      </c>
      <c r="M9542" t="s">
        <v>64</v>
      </c>
    </row>
    <row r="9543" spans="1:13" hidden="1" x14ac:dyDescent="0.15">
      <c r="A9543" t="s">
        <v>30023</v>
      </c>
      <c r="B9543" t="s">
        <v>30024</v>
      </c>
      <c r="C9543" t="s">
        <v>30025</v>
      </c>
      <c r="D9543" t="s">
        <v>30009</v>
      </c>
      <c r="E9543">
        <v>0</v>
      </c>
      <c r="F9543" t="str">
        <f>HYPERLINK("https://github.com/Teester/Whats-Nearby/issues/19", "show")</f>
        <v>show</v>
      </c>
      <c r="G9543" t="str">
        <f>HYPERLINK("https://github.com/Teester/Whats-Nearby", "show")</f>
        <v>show</v>
      </c>
      <c r="H9543" t="str">
        <f>HYPERLINK("https://github.com/Teester/Whats-Nearby/releases", "show")</f>
        <v>show</v>
      </c>
      <c r="I9543">
        <v>1</v>
      </c>
      <c r="J9543">
        <v>0</v>
      </c>
      <c r="K9543">
        <v>0</v>
      </c>
      <c r="L9543">
        <v>0</v>
      </c>
      <c r="M9543" t="s">
        <v>17</v>
      </c>
    </row>
    <row r="9544" spans="1:13" hidden="1" x14ac:dyDescent="0.15">
      <c r="A9544" t="s">
        <v>30026</v>
      </c>
      <c r="B9544" t="s">
        <v>30027</v>
      </c>
      <c r="C9544" t="s">
        <v>30028</v>
      </c>
      <c r="D9544" t="s">
        <v>30009</v>
      </c>
      <c r="E9544">
        <v>688</v>
      </c>
      <c r="F9544" t="str">
        <f>HYPERLINK("https://github.com/maks/MGit/issues/319", "show")</f>
        <v>show</v>
      </c>
      <c r="G9544" t="str">
        <f>HYPERLINK("https://github.com/maks/MGit", "show")</f>
        <v>show</v>
      </c>
      <c r="H9544" t="str">
        <f>HYPERLINK("https://github.com/maks/MGit/releases", "show")</f>
        <v>show</v>
      </c>
      <c r="I9544">
        <v>1</v>
      </c>
      <c r="J9544">
        <v>0</v>
      </c>
      <c r="K9544">
        <v>1</v>
      </c>
      <c r="L9544">
        <v>0</v>
      </c>
      <c r="M9544" t="s">
        <v>64</v>
      </c>
    </row>
    <row r="9545" spans="1:13" hidden="1" x14ac:dyDescent="0.15">
      <c r="A9545" t="s">
        <v>30029</v>
      </c>
      <c r="B9545" t="s">
        <v>30030</v>
      </c>
      <c r="C9545" t="s">
        <v>30031</v>
      </c>
      <c r="D9545" t="s">
        <v>30009</v>
      </c>
      <c r="E9545">
        <v>26</v>
      </c>
      <c r="F9545" t="str">
        <f>HYPERLINK("https://github.com/uber/AutoDispose/issues/192", "show")</f>
        <v>show</v>
      </c>
      <c r="G9545" t="str">
        <f>HYPERLINK("https://github.com/uber/AutoDispose", "show")</f>
        <v>show</v>
      </c>
      <c r="H9545" t="str">
        <f>HYPERLINK("https://github.com/uber/AutoDispose/releases", "show")</f>
        <v>show</v>
      </c>
      <c r="I9545">
        <v>1</v>
      </c>
      <c r="J9545">
        <v>0</v>
      </c>
      <c r="K9545">
        <v>0</v>
      </c>
      <c r="L9545">
        <v>0</v>
      </c>
      <c r="M9545" t="s">
        <v>17</v>
      </c>
    </row>
    <row r="9546" spans="1:13" hidden="1" x14ac:dyDescent="0.15">
      <c r="A9546" t="s">
        <v>30032</v>
      </c>
      <c r="B9546" t="s">
        <v>30033</v>
      </c>
      <c r="C9546" t="s">
        <v>30034</v>
      </c>
      <c r="D9546" t="s">
        <v>30035</v>
      </c>
      <c r="E9546">
        <v>0</v>
      </c>
      <c r="F9546" t="str">
        <f>HYPERLINK("https://github.com/OneBusAway/onebusaway-android/issues/868", "show")</f>
        <v>show</v>
      </c>
      <c r="G9546" t="str">
        <f>HYPERLINK("https://github.com/OneBusAway/onebusaway-android", "show")</f>
        <v>show</v>
      </c>
      <c r="H9546" t="str">
        <f>HYPERLINK("https://github.com/OneBusAway/onebusaway-android/releases", "show")</f>
        <v>show</v>
      </c>
      <c r="I9546">
        <v>0</v>
      </c>
      <c r="J9546">
        <v>0</v>
      </c>
      <c r="K9546">
        <v>1</v>
      </c>
      <c r="L9546">
        <v>0</v>
      </c>
      <c r="M9546" t="s">
        <v>122</v>
      </c>
    </row>
    <row r="9547" spans="1:13" hidden="1" x14ac:dyDescent="0.15">
      <c r="A9547" t="s">
        <v>30036</v>
      </c>
      <c r="B9547" t="s">
        <v>30037</v>
      </c>
      <c r="C9547" t="s">
        <v>30038</v>
      </c>
      <c r="D9547" t="s">
        <v>30035</v>
      </c>
      <c r="E9547">
        <v>2</v>
      </c>
      <c r="F9547" t="str">
        <f>HYPERLINK("https://github.com/rollbar/rollbar-java/issues/115", "show")</f>
        <v>show</v>
      </c>
      <c r="G9547" t="str">
        <f>HYPERLINK("https://github.com/rollbar/rollbar-java", "show")</f>
        <v>show</v>
      </c>
      <c r="H9547" t="str">
        <f>HYPERLINK("https://github.com/rollbar/rollbar-java/releases", "show")</f>
        <v>show</v>
      </c>
      <c r="I9547">
        <v>1</v>
      </c>
      <c r="J9547">
        <v>0</v>
      </c>
      <c r="K9547">
        <v>0</v>
      </c>
      <c r="L9547">
        <v>0</v>
      </c>
      <c r="M9547" t="s">
        <v>17</v>
      </c>
    </row>
    <row r="9548" spans="1:13" hidden="1" x14ac:dyDescent="0.15">
      <c r="A9548" t="s">
        <v>30039</v>
      </c>
      <c r="B9548" t="s">
        <v>30040</v>
      </c>
      <c r="C9548" t="s">
        <v>30041</v>
      </c>
      <c r="D9548" t="s">
        <v>30035</v>
      </c>
      <c r="E9548">
        <v>1</v>
      </c>
      <c r="F9548" t="str">
        <f>HYPERLINK("https://github.com/matomo-org/matomo-sdk-android/issues/199", "show")</f>
        <v>show</v>
      </c>
      <c r="G9548" t="str">
        <f>HYPERLINK("https://github.com/matomo-org/matomo-sdk-android", "show")</f>
        <v>show</v>
      </c>
      <c r="H9548" t="str">
        <f>HYPERLINK("https://github.com/matomo-org/matomo-sdk-android/releases", "show")</f>
        <v>show</v>
      </c>
      <c r="I9548">
        <v>1</v>
      </c>
      <c r="J9548">
        <v>1</v>
      </c>
      <c r="K9548">
        <v>1</v>
      </c>
      <c r="L9548">
        <v>0</v>
      </c>
      <c r="M9548" t="s">
        <v>59</v>
      </c>
    </row>
    <row r="9549" spans="1:13" hidden="1" x14ac:dyDescent="0.15">
      <c r="A9549" t="s">
        <v>30042</v>
      </c>
      <c r="B9549" t="s">
        <v>30043</v>
      </c>
      <c r="C9549" t="s">
        <v>30044</v>
      </c>
      <c r="D9549" t="s">
        <v>30045</v>
      </c>
      <c r="E9549">
        <v>20</v>
      </c>
      <c r="F9549" t="str">
        <f>HYPERLINK("https://github.com/renyuneyun/Easer/issues/81", "show")</f>
        <v>show</v>
      </c>
      <c r="G9549" t="str">
        <f>HYPERLINK("https://github.com/renyuneyun/Easer", "show")</f>
        <v>show</v>
      </c>
      <c r="H9549" t="str">
        <f>HYPERLINK("https://github.com/renyuneyun/Easer/releases", "show")</f>
        <v>show</v>
      </c>
      <c r="I9549">
        <v>1</v>
      </c>
      <c r="J9549">
        <v>1</v>
      </c>
      <c r="K9549">
        <v>0</v>
      </c>
      <c r="L9549">
        <v>0</v>
      </c>
      <c r="M9549" t="s">
        <v>48</v>
      </c>
    </row>
    <row r="9550" spans="1:13" hidden="1" x14ac:dyDescent="0.15">
      <c r="A9550" t="s">
        <v>30046</v>
      </c>
      <c r="B9550" t="s">
        <v>30047</v>
      </c>
      <c r="C9550" t="s">
        <v>30048</v>
      </c>
      <c r="D9550" t="s">
        <v>30045</v>
      </c>
      <c r="E9550">
        <v>16</v>
      </c>
      <c r="F9550" t="str">
        <f>HYPERLINK("https://github.com/ChaosLeung/PinView/issues/18", "show")</f>
        <v>show</v>
      </c>
      <c r="G9550" t="str">
        <f>HYPERLINK("https://github.com/ChaosLeung/PinView", "show")</f>
        <v>show</v>
      </c>
      <c r="H9550" t="str">
        <f>HYPERLINK("https://github.com/ChaosLeung/PinView/releases", "show")</f>
        <v>show</v>
      </c>
      <c r="I9550">
        <v>1</v>
      </c>
      <c r="J9550">
        <v>0</v>
      </c>
      <c r="K9550">
        <v>0</v>
      </c>
      <c r="L9550">
        <v>0</v>
      </c>
      <c r="M9550" t="s">
        <v>17</v>
      </c>
    </row>
    <row r="9551" spans="1:13" hidden="1" x14ac:dyDescent="0.15">
      <c r="A9551" t="s">
        <v>30049</v>
      </c>
      <c r="B9551" t="s">
        <v>30050</v>
      </c>
      <c r="C9551" t="s">
        <v>30051</v>
      </c>
      <c r="D9551" t="s">
        <v>30045</v>
      </c>
      <c r="E9551">
        <v>7</v>
      </c>
      <c r="F9551" t="str">
        <f>HYPERLINK("https://github.com/google/ExoPlayer/issues/4104", "show")</f>
        <v>show</v>
      </c>
      <c r="G9551" t="str">
        <f>HYPERLINK("https://github.com/google/ExoPlayer", "show")</f>
        <v>show</v>
      </c>
      <c r="H9551" t="str">
        <f>HYPERLINK("https://github.com/google/ExoPlayer/releases", "show")</f>
        <v>show</v>
      </c>
      <c r="I9551">
        <v>1</v>
      </c>
      <c r="J9551">
        <v>0</v>
      </c>
      <c r="K9551">
        <v>0</v>
      </c>
      <c r="L9551">
        <v>0</v>
      </c>
      <c r="M9551" t="s">
        <v>17</v>
      </c>
    </row>
    <row r="9552" spans="1:13" hidden="1" x14ac:dyDescent="0.15">
      <c r="A9552" t="s">
        <v>30052</v>
      </c>
      <c r="B9552" t="s">
        <v>30053</v>
      </c>
      <c r="C9552" t="s">
        <v>30054</v>
      </c>
      <c r="D9552" t="s">
        <v>30045</v>
      </c>
      <c r="E9552">
        <v>961</v>
      </c>
      <c r="F9552" t="str">
        <f>HYPERLINK("https://github.com/julian-klode/dns66/issues/265", "show")</f>
        <v>show</v>
      </c>
      <c r="G9552" t="str">
        <f>HYPERLINK("https://github.com/julian-klode/dns66", "show")</f>
        <v>show</v>
      </c>
      <c r="H9552" t="str">
        <f>HYPERLINK("https://github.com/julian-klode/dns66/releases", "show")</f>
        <v>show</v>
      </c>
      <c r="I9552">
        <v>0</v>
      </c>
      <c r="J9552">
        <v>0</v>
      </c>
      <c r="K9552">
        <v>1</v>
      </c>
      <c r="L9552">
        <v>0</v>
      </c>
      <c r="M9552" t="s">
        <v>122</v>
      </c>
    </row>
    <row r="9553" spans="1:13" hidden="1" x14ac:dyDescent="0.15">
      <c r="A9553" t="s">
        <v>30055</v>
      </c>
      <c r="B9553" t="s">
        <v>30056</v>
      </c>
      <c r="D9553" t="s">
        <v>30045</v>
      </c>
      <c r="E9553">
        <v>0</v>
      </c>
      <c r="F9553" t="str">
        <f>HYPERLINK("https://github.com/UTurista/PRSPY/issues/4", "show")</f>
        <v>show</v>
      </c>
      <c r="G9553" t="str">
        <f>HYPERLINK("https://github.com/UTurista/PRSPY", "show")</f>
        <v>show</v>
      </c>
      <c r="H9553" t="str">
        <f>HYPERLINK("https://github.com/UTurista/PRSPY/releases", "show")</f>
        <v>show</v>
      </c>
      <c r="I9553">
        <v>1</v>
      </c>
      <c r="J9553">
        <v>0</v>
      </c>
      <c r="K9553">
        <v>0</v>
      </c>
      <c r="L9553">
        <v>0</v>
      </c>
      <c r="M9553" t="s">
        <v>17</v>
      </c>
    </row>
    <row r="9554" spans="1:13" hidden="1" x14ac:dyDescent="0.15">
      <c r="A9554" t="s">
        <v>30057</v>
      </c>
      <c r="B9554" t="s">
        <v>30058</v>
      </c>
      <c r="C9554" t="s">
        <v>30059</v>
      </c>
      <c r="D9554" t="s">
        <v>30045</v>
      </c>
      <c r="E9554">
        <v>4</v>
      </c>
      <c r="F9554" t="str">
        <f>HYPERLINK("https://github.com/UTurista/PRSPY/issues/3", "show")</f>
        <v>show</v>
      </c>
      <c r="G9554" t="str">
        <f>HYPERLINK("https://github.com/UTurista/PRSPY", "show")</f>
        <v>show</v>
      </c>
      <c r="H9554" t="str">
        <f>HYPERLINK("https://github.com/UTurista/PRSPY/releases", "show")</f>
        <v>show</v>
      </c>
      <c r="I9554">
        <v>1</v>
      </c>
      <c r="J9554">
        <v>0</v>
      </c>
      <c r="K9554">
        <v>0</v>
      </c>
      <c r="L9554">
        <v>0</v>
      </c>
      <c r="M9554" t="s">
        <v>17</v>
      </c>
    </row>
    <row r="9555" spans="1:13" hidden="1" x14ac:dyDescent="0.15">
      <c r="A9555" t="s">
        <v>30060</v>
      </c>
      <c r="B9555" t="s">
        <v>30061</v>
      </c>
      <c r="D9555" t="s">
        <v>30062</v>
      </c>
      <c r="E9555">
        <v>4</v>
      </c>
      <c r="F9555" t="str">
        <f>HYPERLINK("https://github.com/jameelbrochu/AnyMemo/issues/155", "show")</f>
        <v>show</v>
      </c>
      <c r="G9555" t="str">
        <f>HYPERLINK("https://github.com/jameelbrochu/AnyMemo", "show")</f>
        <v>show</v>
      </c>
      <c r="H9555" t="str">
        <f>HYPERLINK("https://github.com/jameelbrochu/AnyMemo/releases", "show")</f>
        <v>show</v>
      </c>
      <c r="I9555">
        <v>1</v>
      </c>
      <c r="J9555">
        <v>0</v>
      </c>
      <c r="K9555">
        <v>0</v>
      </c>
      <c r="L9555">
        <v>0</v>
      </c>
      <c r="M9555" t="s">
        <v>17</v>
      </c>
    </row>
    <row r="9556" spans="1:13" hidden="1" x14ac:dyDescent="0.15">
      <c r="A9556" t="s">
        <v>30063</v>
      </c>
      <c r="B9556" t="s">
        <v>30064</v>
      </c>
      <c r="C9556" t="s">
        <v>30065</v>
      </c>
      <c r="D9556" t="s">
        <v>30062</v>
      </c>
      <c r="E9556">
        <v>43</v>
      </c>
      <c r="F9556" t="str">
        <f>HYPERLINK("https://github.com/cgeo/cgeo/issues/6969", "show")</f>
        <v>show</v>
      </c>
      <c r="G9556" t="str">
        <f>HYPERLINK("https://github.com/cgeo/cgeo", "show")</f>
        <v>show</v>
      </c>
      <c r="H9556" t="str">
        <f>HYPERLINK("https://github.com/cgeo/cgeo/releases", "show")</f>
        <v>show</v>
      </c>
      <c r="I9556">
        <v>1</v>
      </c>
      <c r="J9556">
        <v>1</v>
      </c>
      <c r="K9556">
        <v>0</v>
      </c>
      <c r="L9556">
        <v>0</v>
      </c>
      <c r="M9556" t="s">
        <v>48</v>
      </c>
    </row>
    <row r="9557" spans="1:13" hidden="1" x14ac:dyDescent="0.15">
      <c r="A9557" t="s">
        <v>30066</v>
      </c>
      <c r="B9557" t="s">
        <v>30067</v>
      </c>
      <c r="C9557" t="s">
        <v>30068</v>
      </c>
      <c r="D9557" t="s">
        <v>30062</v>
      </c>
      <c r="E9557">
        <v>0</v>
      </c>
      <c r="F9557" t="str">
        <f>HYPERLINK("https://github.com/CMPUT301W18T23/GeoTask/issues/54", "show")</f>
        <v>show</v>
      </c>
      <c r="G9557" t="str">
        <f>HYPERLINK("https://github.com/CMPUT301W18T23/GeoTask", "show")</f>
        <v>show</v>
      </c>
      <c r="H9557" t="str">
        <f>HYPERLINK("https://github.com/CMPUT301W18T23/GeoTask/releases", "show")</f>
        <v>show</v>
      </c>
      <c r="I9557">
        <v>1</v>
      </c>
      <c r="J9557">
        <v>0</v>
      </c>
      <c r="K9557">
        <v>0</v>
      </c>
      <c r="L9557">
        <v>0</v>
      </c>
      <c r="M9557" t="s">
        <v>17</v>
      </c>
    </row>
    <row r="9558" spans="1:13" hidden="1" x14ac:dyDescent="0.15">
      <c r="A9558" t="s">
        <v>30069</v>
      </c>
      <c r="B9558" t="s">
        <v>30070</v>
      </c>
      <c r="C9558" t="s">
        <v>30071</v>
      </c>
      <c r="D9558" t="s">
        <v>30072</v>
      </c>
      <c r="E9558">
        <v>0</v>
      </c>
      <c r="F9558" t="str">
        <f>HYPERLINK("https://github.com/lineargs/WatchNextApp/issues/19", "show")</f>
        <v>show</v>
      </c>
      <c r="G9558" t="str">
        <f>HYPERLINK("https://github.com/lineargs/WatchNextApp", "show")</f>
        <v>show</v>
      </c>
      <c r="H9558" t="str">
        <f>HYPERLINK("https://github.com/lineargs/WatchNextApp/releases", "show")</f>
        <v>show</v>
      </c>
      <c r="I9558">
        <v>1</v>
      </c>
      <c r="J9558">
        <v>0</v>
      </c>
      <c r="K9558">
        <v>0</v>
      </c>
      <c r="L9558">
        <v>0</v>
      </c>
      <c r="M9558" t="s">
        <v>17</v>
      </c>
    </row>
    <row r="9559" spans="1:13" hidden="1" x14ac:dyDescent="0.15">
      <c r="A9559" t="s">
        <v>30073</v>
      </c>
      <c r="B9559" t="s">
        <v>30074</v>
      </c>
      <c r="C9559" t="s">
        <v>30075</v>
      </c>
      <c r="D9559" t="s">
        <v>30076</v>
      </c>
      <c r="E9559">
        <v>1</v>
      </c>
      <c r="F9559" t="str">
        <f>HYPERLINK("https://github.com/google/ExoPlayer/issues/4096", "show")</f>
        <v>show</v>
      </c>
      <c r="G9559" t="str">
        <f>HYPERLINK("https://github.com/google/ExoPlayer", "show")</f>
        <v>show</v>
      </c>
      <c r="H9559" t="str">
        <f>HYPERLINK("https://github.com/google/ExoPlayer/releases", "show")</f>
        <v>show</v>
      </c>
      <c r="I9559">
        <v>1</v>
      </c>
      <c r="J9559">
        <v>0</v>
      </c>
      <c r="K9559">
        <v>1</v>
      </c>
      <c r="L9559">
        <v>0</v>
      </c>
      <c r="M9559" t="s">
        <v>64</v>
      </c>
    </row>
    <row r="9560" spans="1:13" hidden="1" x14ac:dyDescent="0.15">
      <c r="A9560" t="s">
        <v>30077</v>
      </c>
      <c r="B9560" t="s">
        <v>30078</v>
      </c>
      <c r="C9560" t="s">
        <v>30079</v>
      </c>
      <c r="D9560" t="s">
        <v>30076</v>
      </c>
      <c r="E9560">
        <v>3</v>
      </c>
      <c r="F9560" t="str">
        <f>HYPERLINK("https://github.com/mapbox/mapbox-gestures-android/issues/38", "show")</f>
        <v>show</v>
      </c>
      <c r="G9560" t="str">
        <f>HYPERLINK("https://github.com/mapbox/mapbox-gestures-android", "show")</f>
        <v>show</v>
      </c>
      <c r="H9560" t="str">
        <f>HYPERLINK("https://github.com/mapbox/mapbox-gestures-android/releases", "show")</f>
        <v>show</v>
      </c>
      <c r="I9560">
        <v>1</v>
      </c>
      <c r="J9560">
        <v>1</v>
      </c>
      <c r="K9560">
        <v>1</v>
      </c>
      <c r="L9560">
        <v>1</v>
      </c>
      <c r="M9560" t="s">
        <v>2875</v>
      </c>
    </row>
    <row r="9561" spans="1:13" hidden="1" x14ac:dyDescent="0.15">
      <c r="A9561" t="s">
        <v>30080</v>
      </c>
      <c r="B9561" t="s">
        <v>30081</v>
      </c>
      <c r="C9561" t="s">
        <v>30082</v>
      </c>
      <c r="D9561" t="s">
        <v>30076</v>
      </c>
      <c r="E9561">
        <v>2</v>
      </c>
      <c r="F9561" t="str">
        <f>HYPERLINK("https://github.com/MarcLeclair/Mini-Cap-AnyMemo/issues/96", "show")</f>
        <v>show</v>
      </c>
      <c r="G9561" t="str">
        <f>HYPERLINK("https://github.com/MarcLeclair/Mini-Cap-AnyMemo", "show")</f>
        <v>show</v>
      </c>
      <c r="H9561" t="str">
        <f>HYPERLINK("https://github.com/MarcLeclair/Mini-Cap-AnyMemo/releases", "show")</f>
        <v>show</v>
      </c>
      <c r="I9561">
        <v>1</v>
      </c>
      <c r="J9561">
        <v>1</v>
      </c>
      <c r="K9561">
        <v>0</v>
      </c>
      <c r="L9561">
        <v>0</v>
      </c>
      <c r="M9561" t="s">
        <v>48</v>
      </c>
    </row>
    <row r="9562" spans="1:13" hidden="1" x14ac:dyDescent="0.15">
      <c r="A9562" t="s">
        <v>30083</v>
      </c>
      <c r="B9562" t="s">
        <v>30084</v>
      </c>
      <c r="C9562" t="s">
        <v>30085</v>
      </c>
      <c r="D9562" t="s">
        <v>30076</v>
      </c>
      <c r="E9562">
        <v>6</v>
      </c>
      <c r="F9562" t="str">
        <f>HYPERLINK("https://github.com/aerogear/aerogear-android-sdk/issues/190", "show")</f>
        <v>show</v>
      </c>
      <c r="G9562" t="str">
        <f>HYPERLINK("https://github.com/aerogear/aerogear-android-sdk", "show")</f>
        <v>show</v>
      </c>
      <c r="H9562" t="str">
        <f>HYPERLINK("https://github.com/aerogear/aerogear-android-sdk/releases", "show")</f>
        <v>show</v>
      </c>
      <c r="I9562">
        <v>1</v>
      </c>
      <c r="J9562">
        <v>0</v>
      </c>
      <c r="K9562">
        <v>1</v>
      </c>
      <c r="L9562">
        <v>0</v>
      </c>
      <c r="M9562" t="s">
        <v>64</v>
      </c>
    </row>
    <row r="9563" spans="1:13" hidden="1" x14ac:dyDescent="0.15">
      <c r="A9563" t="s">
        <v>30086</v>
      </c>
      <c r="B9563" t="s">
        <v>30087</v>
      </c>
      <c r="C9563" t="s">
        <v>30088</v>
      </c>
      <c r="D9563" t="s">
        <v>30076</v>
      </c>
      <c r="E9563">
        <v>40</v>
      </c>
      <c r="F9563" t="str">
        <f>HYPERLINK("https://github.com/aerogear/aerogear-android-sdk/issues/189", "show")</f>
        <v>show</v>
      </c>
      <c r="G9563" t="str">
        <f>HYPERLINK("https://github.com/aerogear/aerogear-android-sdk", "show")</f>
        <v>show</v>
      </c>
      <c r="H9563" t="str">
        <f>HYPERLINK("https://github.com/aerogear/aerogear-android-sdk/releases", "show")</f>
        <v>show</v>
      </c>
      <c r="I9563">
        <v>1</v>
      </c>
      <c r="J9563">
        <v>0</v>
      </c>
      <c r="K9563">
        <v>0</v>
      </c>
      <c r="L9563">
        <v>0</v>
      </c>
      <c r="M9563" t="s">
        <v>17</v>
      </c>
    </row>
    <row r="9564" spans="1:13" hidden="1" x14ac:dyDescent="0.15">
      <c r="A9564" t="s">
        <v>30089</v>
      </c>
      <c r="B9564" t="s">
        <v>30090</v>
      </c>
      <c r="C9564" t="s">
        <v>30091</v>
      </c>
      <c r="D9564" t="s">
        <v>30076</v>
      </c>
      <c r="E9564">
        <v>19</v>
      </c>
      <c r="F9564" t="str">
        <f>HYPERLINK("https://github.com/Fr4gorSoftware/SecScanQR/issues/31", "show")</f>
        <v>show</v>
      </c>
      <c r="G9564" t="str">
        <f>HYPERLINK("https://github.com/Fr4gorSoftware/SecScanQR", "show")</f>
        <v>show</v>
      </c>
      <c r="H9564" t="str">
        <f>HYPERLINK("https://github.com/Fr4gorSoftware/SecScanQR/releases", "show")</f>
        <v>show</v>
      </c>
      <c r="I9564">
        <v>1</v>
      </c>
      <c r="J9564">
        <v>0</v>
      </c>
      <c r="K9564">
        <v>0</v>
      </c>
      <c r="L9564">
        <v>0</v>
      </c>
      <c r="M9564" t="s">
        <v>17</v>
      </c>
    </row>
    <row r="9565" spans="1:13" hidden="1" x14ac:dyDescent="0.15">
      <c r="A9565" t="s">
        <v>30092</v>
      </c>
      <c r="B9565" t="s">
        <v>30093</v>
      </c>
      <c r="C9565" t="s">
        <v>30094</v>
      </c>
      <c r="D9565" t="s">
        <v>30095</v>
      </c>
      <c r="E9565">
        <v>299</v>
      </c>
      <c r="F9565" t="str">
        <f>HYPERLINK("https://github.com/opensensorhub/osh-android/issues/11", "show")</f>
        <v>show</v>
      </c>
      <c r="G9565" t="str">
        <f>HYPERLINK("https://github.com/opensensorhub/osh-android", "show")</f>
        <v>show</v>
      </c>
      <c r="H9565" t="str">
        <f>HYPERLINK("https://github.com/opensensorhub/osh-android/releases", "show")</f>
        <v>show</v>
      </c>
      <c r="I9565">
        <v>1</v>
      </c>
      <c r="J9565">
        <v>0</v>
      </c>
      <c r="K9565">
        <v>0</v>
      </c>
      <c r="L9565">
        <v>0</v>
      </c>
      <c r="M9565" t="s">
        <v>17</v>
      </c>
    </row>
    <row r="9566" spans="1:13" hidden="1" x14ac:dyDescent="0.15">
      <c r="A9566" t="s">
        <v>30096</v>
      </c>
      <c r="B9566" t="s">
        <v>30097</v>
      </c>
      <c r="C9566" t="s">
        <v>30098</v>
      </c>
      <c r="D9566" t="s">
        <v>30095</v>
      </c>
      <c r="E9566">
        <v>0</v>
      </c>
      <c r="F9566" t="str">
        <f>HYPERLINK("https://github.com/alaskalinuxuser/app_JustChess/issues/1", "show")</f>
        <v>show</v>
      </c>
      <c r="G9566" t="str">
        <f>HYPERLINK("https://github.com/alaskalinuxuser/app_JustChess", "show")</f>
        <v>show</v>
      </c>
      <c r="H9566" t="str">
        <f>HYPERLINK("https://github.com/alaskalinuxuser/app_JustChess/releases", "show")</f>
        <v>show</v>
      </c>
      <c r="I9566">
        <v>1</v>
      </c>
      <c r="J9566">
        <v>0</v>
      </c>
      <c r="K9566">
        <v>0</v>
      </c>
      <c r="L9566">
        <v>0</v>
      </c>
      <c r="M9566" t="s">
        <v>17</v>
      </c>
    </row>
    <row r="9567" spans="1:13" hidden="1" x14ac:dyDescent="0.15">
      <c r="A9567" t="s">
        <v>30099</v>
      </c>
      <c r="B9567" t="s">
        <v>30100</v>
      </c>
      <c r="C9567" t="s">
        <v>30101</v>
      </c>
      <c r="D9567" t="s">
        <v>30095</v>
      </c>
      <c r="E9567">
        <v>4</v>
      </c>
      <c r="F9567" t="str">
        <f>HYPERLINK("https://github.com/UTurista/PRSPY/issues/1", "show")</f>
        <v>show</v>
      </c>
      <c r="G9567" t="str">
        <f>HYPERLINK("https://github.com/UTurista/PRSPY", "show")</f>
        <v>show</v>
      </c>
      <c r="H9567" t="str">
        <f>HYPERLINK("https://github.com/UTurista/PRSPY/releases", "show")</f>
        <v>show</v>
      </c>
      <c r="I9567">
        <v>1</v>
      </c>
      <c r="J9567">
        <v>0</v>
      </c>
      <c r="K9567">
        <v>0</v>
      </c>
      <c r="L9567">
        <v>0</v>
      </c>
      <c r="M9567" t="s">
        <v>17</v>
      </c>
    </row>
    <row r="9568" spans="1:13" hidden="1" x14ac:dyDescent="0.15">
      <c r="A9568" t="s">
        <v>30102</v>
      </c>
      <c r="B9568" t="s">
        <v>30103</v>
      </c>
      <c r="C9568" t="s">
        <v>30104</v>
      </c>
      <c r="D9568" t="s">
        <v>30105</v>
      </c>
      <c r="E9568">
        <v>6</v>
      </c>
      <c r="F9568" t="str">
        <f>HYPERLINK("https://github.com/k3b/APhotoManager/issues/119", "show")</f>
        <v>show</v>
      </c>
      <c r="G9568" t="str">
        <f>HYPERLINK("https://github.com/k3b/APhotoManager", "show")</f>
        <v>show</v>
      </c>
      <c r="H9568" t="str">
        <f>HYPERLINK("https://github.com/k3b/APhotoManager/releases", "show")</f>
        <v>show</v>
      </c>
      <c r="I9568">
        <v>1</v>
      </c>
      <c r="J9568">
        <v>1</v>
      </c>
      <c r="K9568">
        <v>0</v>
      </c>
      <c r="L9568">
        <v>1</v>
      </c>
      <c r="M9568" t="s">
        <v>1894</v>
      </c>
    </row>
    <row r="9569" spans="1:13" hidden="1" x14ac:dyDescent="0.15">
      <c r="A9569" t="s">
        <v>30106</v>
      </c>
      <c r="B9569" t="s">
        <v>30107</v>
      </c>
      <c r="C9569" t="s">
        <v>30108</v>
      </c>
      <c r="D9569" t="s">
        <v>30105</v>
      </c>
      <c r="E9569">
        <v>0</v>
      </c>
      <c r="F9569" t="str">
        <f>HYPERLINK("https://github.com/oliexdev/openScale/issues/238", "show")</f>
        <v>show</v>
      </c>
      <c r="G9569" t="str">
        <f>HYPERLINK("https://github.com/oliexdev/openScale", "show")</f>
        <v>show</v>
      </c>
      <c r="H9569" t="str">
        <f>HYPERLINK("https://github.com/oliexdev/openScale/releases", "show")</f>
        <v>show</v>
      </c>
      <c r="I9569">
        <v>1</v>
      </c>
      <c r="J9569">
        <v>0</v>
      </c>
      <c r="K9569">
        <v>1</v>
      </c>
      <c r="L9569">
        <v>0</v>
      </c>
      <c r="M9569" t="s">
        <v>64</v>
      </c>
    </row>
    <row r="9570" spans="1:13" hidden="1" x14ac:dyDescent="0.15">
      <c r="A9570" t="s">
        <v>30109</v>
      </c>
      <c r="B9570" t="s">
        <v>30110</v>
      </c>
      <c r="C9570" t="s">
        <v>30111</v>
      </c>
      <c r="D9570" t="s">
        <v>30105</v>
      </c>
      <c r="E9570">
        <v>6</v>
      </c>
      <c r="F9570" t="str">
        <f>HYPERLINK("https://github.com/jameelbrochu/AnyMemo/issues/138", "show")</f>
        <v>show</v>
      </c>
      <c r="G9570" t="str">
        <f>HYPERLINK("https://github.com/jameelbrochu/AnyMemo", "show")</f>
        <v>show</v>
      </c>
      <c r="H9570" t="str">
        <f>HYPERLINK("https://github.com/jameelbrochu/AnyMemo/releases", "show")</f>
        <v>show</v>
      </c>
      <c r="I9570">
        <v>0</v>
      </c>
      <c r="J9570">
        <v>0</v>
      </c>
      <c r="K9570">
        <v>0</v>
      </c>
      <c r="L9570">
        <v>0</v>
      </c>
      <c r="M9570" t="s">
        <v>43</v>
      </c>
    </row>
    <row r="9571" spans="1:13" hidden="1" x14ac:dyDescent="0.15">
      <c r="A9571" t="s">
        <v>30112</v>
      </c>
      <c r="B9571" t="s">
        <v>30113</v>
      </c>
      <c r="C9571" t="s">
        <v>30114</v>
      </c>
      <c r="D9571" t="s">
        <v>30105</v>
      </c>
      <c r="E9571">
        <v>26</v>
      </c>
      <c r="F9571" t="str">
        <f>HYPERLINK("https://github.com/twilio/video-quickstart-android/issues/278", "show")</f>
        <v>show</v>
      </c>
      <c r="G9571" t="str">
        <f>HYPERLINK("https://github.com/twilio/video-quickstart-android", "show")</f>
        <v>show</v>
      </c>
      <c r="H9571" t="str">
        <f>HYPERLINK("https://github.com/twilio/video-quickstart-android/releases", "show")</f>
        <v>show</v>
      </c>
      <c r="I9571">
        <v>1</v>
      </c>
      <c r="J9571">
        <v>0</v>
      </c>
      <c r="K9571">
        <v>1</v>
      </c>
      <c r="L9571">
        <v>0</v>
      </c>
      <c r="M9571" t="s">
        <v>64</v>
      </c>
    </row>
    <row r="9572" spans="1:13" hidden="1" x14ac:dyDescent="0.15">
      <c r="A9572" t="s">
        <v>30115</v>
      </c>
      <c r="B9572" t="s">
        <v>30116</v>
      </c>
      <c r="C9572" t="s">
        <v>30117</v>
      </c>
      <c r="D9572" t="s">
        <v>30118</v>
      </c>
      <c r="E9572">
        <v>972</v>
      </c>
      <c r="F9572" t="str">
        <f>HYPERLINK("https://github.com/iBotPeaches/Apktool/issues/1761", "show")</f>
        <v>show</v>
      </c>
      <c r="G9572" t="str">
        <f>HYPERLINK("https://github.com/iBotPeaches/Apktool", "show")</f>
        <v>show</v>
      </c>
      <c r="H9572" t="str">
        <f>HYPERLINK("https://github.com/iBotPeaches/Apktool/releases", "show")</f>
        <v>show</v>
      </c>
      <c r="I9572">
        <v>0</v>
      </c>
      <c r="J9572">
        <v>0</v>
      </c>
      <c r="K9572">
        <v>0</v>
      </c>
      <c r="L9572">
        <v>0</v>
      </c>
      <c r="M9572" t="s">
        <v>43</v>
      </c>
    </row>
    <row r="9573" spans="1:13" hidden="1" x14ac:dyDescent="0.15">
      <c r="A9573" t="s">
        <v>30119</v>
      </c>
      <c r="B9573" t="s">
        <v>30120</v>
      </c>
      <c r="C9573" t="s">
        <v>30121</v>
      </c>
      <c r="D9573" t="s">
        <v>30122</v>
      </c>
      <c r="E9573">
        <v>344</v>
      </c>
      <c r="F9573" t="str">
        <f>HYPERLINK("https://github.com/commons-app/apps-android-commons/issues/1412", "show")</f>
        <v>show</v>
      </c>
      <c r="G9573" t="str">
        <f>HYPERLINK("https://github.com/commons-app/apps-android-commons", "show")</f>
        <v>show</v>
      </c>
      <c r="H9573" t="str">
        <f>HYPERLINK("https://github.com/commons-app/apps-android-commons/releases", "show")</f>
        <v>show</v>
      </c>
      <c r="I9573">
        <v>1</v>
      </c>
      <c r="J9573">
        <v>0</v>
      </c>
      <c r="K9573">
        <v>1</v>
      </c>
      <c r="L9573">
        <v>0</v>
      </c>
      <c r="M9573" t="s">
        <v>64</v>
      </c>
    </row>
    <row r="9574" spans="1:13" hidden="1" x14ac:dyDescent="0.15">
      <c r="A9574" t="s">
        <v>30123</v>
      </c>
      <c r="B9574" t="s">
        <v>30124</v>
      </c>
      <c r="C9574" t="s">
        <v>30125</v>
      </c>
      <c r="D9574" t="s">
        <v>30122</v>
      </c>
      <c r="E9574">
        <v>2</v>
      </c>
      <c r="F9574" t="str">
        <f>HYPERLINK("https://github.com/kollerlukas/Camera-Roll-Android-App/issues/169", "show")</f>
        <v>show</v>
      </c>
      <c r="G9574" t="str">
        <f>HYPERLINK("https://github.com/kollerlukas/Camera-Roll-Android-App", "show")</f>
        <v>show</v>
      </c>
      <c r="H9574" t="str">
        <f>HYPERLINK("https://github.com/kollerlukas/Camera-Roll-Android-App/releases", "show")</f>
        <v>show</v>
      </c>
      <c r="I9574">
        <v>1</v>
      </c>
      <c r="J9574">
        <v>1</v>
      </c>
      <c r="K9574">
        <v>0</v>
      </c>
      <c r="L9574">
        <v>0</v>
      </c>
      <c r="M9574" t="s">
        <v>48</v>
      </c>
    </row>
    <row r="9575" spans="1:13" hidden="1" x14ac:dyDescent="0.15">
      <c r="A9575" t="s">
        <v>30126</v>
      </c>
      <c r="B9575" t="s">
        <v>30127</v>
      </c>
      <c r="C9575" t="s">
        <v>30128</v>
      </c>
      <c r="D9575" t="s">
        <v>30129</v>
      </c>
      <c r="E9575">
        <v>910</v>
      </c>
      <c r="F9575" t="str">
        <f>HYPERLINK("https://github.com/TeamNewPipe/NewPipe/issues/1242", "show")</f>
        <v>show</v>
      </c>
      <c r="G9575" t="str">
        <f>HYPERLINK("https://github.com/TeamNewPipe/NewPipe", "show")</f>
        <v>show</v>
      </c>
      <c r="H9575" t="str">
        <f>HYPERLINK("https://github.com/TeamNewPipe/NewPipe/releases", "show")</f>
        <v>show</v>
      </c>
      <c r="I9575">
        <v>1</v>
      </c>
      <c r="J9575">
        <v>0</v>
      </c>
      <c r="K9575">
        <v>0</v>
      </c>
      <c r="L9575">
        <v>0</v>
      </c>
      <c r="M9575" t="s">
        <v>17</v>
      </c>
    </row>
    <row r="9576" spans="1:13" hidden="1" x14ac:dyDescent="0.15">
      <c r="A9576" t="s">
        <v>30130</v>
      </c>
      <c r="B9576" t="s">
        <v>30131</v>
      </c>
      <c r="C9576" t="s">
        <v>30132</v>
      </c>
      <c r="D9576" t="s">
        <v>30129</v>
      </c>
      <c r="E9576">
        <v>262</v>
      </c>
      <c r="F9576" t="str">
        <f>HYPERLINK("https://github.com/commons-app/apps-android-commons/issues/1401", "show")</f>
        <v>show</v>
      </c>
      <c r="G9576" t="str">
        <f>HYPERLINK("https://github.com/commons-app/apps-android-commons", "show")</f>
        <v>show</v>
      </c>
      <c r="H9576" t="str">
        <f>HYPERLINK("https://github.com/commons-app/apps-android-commons/releases", "show")</f>
        <v>show</v>
      </c>
      <c r="I9576">
        <v>1</v>
      </c>
      <c r="J9576">
        <v>0</v>
      </c>
      <c r="K9576">
        <v>0</v>
      </c>
      <c r="L9576">
        <v>0</v>
      </c>
      <c r="M9576" t="s">
        <v>17</v>
      </c>
    </row>
    <row r="9577" spans="1:13" hidden="1" x14ac:dyDescent="0.15">
      <c r="A9577" t="s">
        <v>30133</v>
      </c>
      <c r="B9577" t="s">
        <v>24602</v>
      </c>
      <c r="C9577" t="s">
        <v>30134</v>
      </c>
      <c r="D9577" t="s">
        <v>30129</v>
      </c>
      <c r="E9577">
        <v>22</v>
      </c>
      <c r="F9577" t="str">
        <f>HYPERLINK("https://github.com/yeriomin/YalpStore/issues/412", "show")</f>
        <v>show</v>
      </c>
      <c r="G9577" t="str">
        <f>HYPERLINK("https://github.com/yeriomin/YalpStore", "show")</f>
        <v>show</v>
      </c>
      <c r="H9577" t="str">
        <f>HYPERLINK("https://github.com/yeriomin/YalpStore/releases", "show")</f>
        <v>show</v>
      </c>
      <c r="I9577">
        <v>1</v>
      </c>
      <c r="J9577">
        <v>1</v>
      </c>
      <c r="K9577">
        <v>0</v>
      </c>
      <c r="L9577">
        <v>0</v>
      </c>
      <c r="M9577" t="s">
        <v>48</v>
      </c>
    </row>
    <row r="9578" spans="1:13" x14ac:dyDescent="0.15">
      <c r="A9578" t="s">
        <v>30135</v>
      </c>
      <c r="B9578" t="s">
        <v>30136</v>
      </c>
      <c r="C9578" t="s">
        <v>30137</v>
      </c>
      <c r="D9578" t="s">
        <v>30138</v>
      </c>
      <c r="E9578">
        <v>39</v>
      </c>
      <c r="F9578" t="str">
        <f>HYPERLINK("https://github.com/aionnetwork/aion/issues/319", "show")</f>
        <v>show</v>
      </c>
      <c r="G9578" t="str">
        <f>HYPERLINK("https://github.com/aionnetwork/aion", "show")</f>
        <v>show</v>
      </c>
      <c r="H9578" t="str">
        <f>HYPERLINK("https://github.com/aionnetwork/aion/releases", "show")</f>
        <v>show</v>
      </c>
      <c r="I9578">
        <v>0</v>
      </c>
      <c r="J9578">
        <v>1</v>
      </c>
      <c r="K9578">
        <v>0</v>
      </c>
      <c r="L9578">
        <v>0</v>
      </c>
      <c r="M9578" t="s">
        <v>139</v>
      </c>
    </row>
    <row r="9579" spans="1:13" hidden="1" x14ac:dyDescent="0.15">
      <c r="A9579" t="s">
        <v>30139</v>
      </c>
      <c r="B9579" t="s">
        <v>30140</v>
      </c>
      <c r="C9579" t="s">
        <v>30141</v>
      </c>
      <c r="D9579" t="s">
        <v>30138</v>
      </c>
      <c r="E9579">
        <v>35</v>
      </c>
      <c r="F9579" t="str">
        <f>HYPERLINK("https://github.com/morenoh149/react-native-contacts/issues/279", "show")</f>
        <v>show</v>
      </c>
      <c r="G9579" t="str">
        <f>HYPERLINK("https://github.com/morenoh149/react-native-contacts", "show")</f>
        <v>show</v>
      </c>
      <c r="H9579" t="str">
        <f>HYPERLINK("https://github.com/morenoh149/react-native-contacts/releases", "show")</f>
        <v>show</v>
      </c>
      <c r="I9579">
        <v>1</v>
      </c>
      <c r="J9579">
        <v>1</v>
      </c>
      <c r="K9579">
        <v>0</v>
      </c>
      <c r="L9579">
        <v>0</v>
      </c>
      <c r="M9579" t="s">
        <v>48</v>
      </c>
    </row>
    <row r="9580" spans="1:13" hidden="1" x14ac:dyDescent="0.15">
      <c r="A9580" t="s">
        <v>30142</v>
      </c>
      <c r="B9580" t="s">
        <v>30143</v>
      </c>
      <c r="C9580" t="s">
        <v>30144</v>
      </c>
      <c r="D9580" t="s">
        <v>30138</v>
      </c>
      <c r="E9580">
        <v>320</v>
      </c>
      <c r="F9580" t="str">
        <f>HYPERLINK("https://github.com/nikita36078/J2ME-Loader/issues/267", "show")</f>
        <v>show</v>
      </c>
      <c r="G9580" t="str">
        <f>HYPERLINK("https://github.com/nikita36078/J2ME-Loader", "show")</f>
        <v>show</v>
      </c>
      <c r="H9580" t="str">
        <f>HYPERLINK("https://github.com/nikita36078/J2ME-Loader/releases", "show")</f>
        <v>show</v>
      </c>
      <c r="I9580">
        <v>1</v>
      </c>
      <c r="J9580">
        <v>0</v>
      </c>
      <c r="K9580">
        <v>0</v>
      </c>
      <c r="L9580">
        <v>0</v>
      </c>
      <c r="M9580" t="s">
        <v>17</v>
      </c>
    </row>
    <row r="9581" spans="1:13" hidden="1" x14ac:dyDescent="0.15">
      <c r="A9581" t="s">
        <v>30145</v>
      </c>
      <c r="B9581" t="s">
        <v>30146</v>
      </c>
      <c r="C9581" t="s">
        <v>30147</v>
      </c>
      <c r="D9581" t="s">
        <v>30148</v>
      </c>
      <c r="E9581">
        <v>1</v>
      </c>
      <c r="F9581" t="str">
        <f>HYPERLINK("https://github.com/Devsoc-BPGC/ARD/issues/215", "show")</f>
        <v>show</v>
      </c>
      <c r="G9581" t="str">
        <f>HYPERLINK("https://github.com/Devsoc-BPGC/ARD", "show")</f>
        <v>show</v>
      </c>
      <c r="H9581" t="str">
        <f>HYPERLINK("https://github.com/Devsoc-BPGC/ARD/releases", "show")</f>
        <v>show</v>
      </c>
      <c r="I9581">
        <v>1</v>
      </c>
      <c r="J9581">
        <v>0</v>
      </c>
      <c r="K9581">
        <v>0</v>
      </c>
      <c r="L9581">
        <v>0</v>
      </c>
      <c r="M9581" t="s">
        <v>17</v>
      </c>
    </row>
    <row r="9582" spans="1:13" hidden="1" x14ac:dyDescent="0.15">
      <c r="A9582" t="s">
        <v>30149</v>
      </c>
      <c r="B9582" t="s">
        <v>30150</v>
      </c>
      <c r="C9582" t="s">
        <v>30151</v>
      </c>
      <c r="D9582" t="s">
        <v>30148</v>
      </c>
      <c r="E9582">
        <v>672</v>
      </c>
      <c r="F9582" t="str">
        <f>HYPERLINK("https://github.com/getsentry/sentry-java/issues/572", "show")</f>
        <v>show</v>
      </c>
      <c r="G9582" t="str">
        <f>HYPERLINK("https://github.com/getsentry/sentry-java", "show")</f>
        <v>show</v>
      </c>
      <c r="H9582" t="str">
        <f>HYPERLINK("https://github.com/getsentry/sentry-java/releases", "show")</f>
        <v>show</v>
      </c>
      <c r="I9582">
        <v>1</v>
      </c>
      <c r="J9582">
        <v>1</v>
      </c>
      <c r="K9582">
        <v>0</v>
      </c>
      <c r="L9582">
        <v>0</v>
      </c>
      <c r="M9582" t="s">
        <v>48</v>
      </c>
    </row>
    <row r="9583" spans="1:13" hidden="1" x14ac:dyDescent="0.15">
      <c r="A9583" t="s">
        <v>30152</v>
      </c>
      <c r="B9583" t="s">
        <v>30153</v>
      </c>
      <c r="C9583" t="s">
        <v>30154</v>
      </c>
      <c r="D9583" t="s">
        <v>30148</v>
      </c>
      <c r="E9583">
        <v>4</v>
      </c>
      <c r="F9583" t="str">
        <f>HYPERLINK("https://github.com/Jeremyyiu/BatteryManager/issues/10", "show")</f>
        <v>show</v>
      </c>
      <c r="G9583" t="str">
        <f>HYPERLINK("https://github.com/Jeremyyiu/BatteryManager", "show")</f>
        <v>show</v>
      </c>
      <c r="H9583" t="str">
        <f>HYPERLINK("https://github.com/Jeremyyiu/BatteryManager/releases", "show")</f>
        <v>show</v>
      </c>
      <c r="I9583">
        <v>1</v>
      </c>
      <c r="J9583">
        <v>0</v>
      </c>
      <c r="K9583">
        <v>0</v>
      </c>
      <c r="L9583">
        <v>0</v>
      </c>
      <c r="M9583" t="s">
        <v>17</v>
      </c>
    </row>
    <row r="9584" spans="1:13" hidden="1" x14ac:dyDescent="0.15">
      <c r="A9584" t="s">
        <v>30155</v>
      </c>
      <c r="B9584" t="s">
        <v>30156</v>
      </c>
      <c r="C9584" t="s">
        <v>30157</v>
      </c>
      <c r="D9584" t="s">
        <v>30148</v>
      </c>
      <c r="E9584">
        <v>565</v>
      </c>
      <c r="F9584" t="str">
        <f>HYPERLINK("https://github.com/kazijehangir/BloodHub/issues/44", "show")</f>
        <v>show</v>
      </c>
      <c r="G9584" t="str">
        <f>HYPERLINK("https://github.com/kazijehangir/BloodHub", "show")</f>
        <v>show</v>
      </c>
      <c r="H9584" t="str">
        <f>HYPERLINK("https://github.com/kazijehangir/BloodHub/releases", "show")</f>
        <v>show</v>
      </c>
      <c r="I9584">
        <v>0</v>
      </c>
      <c r="J9584">
        <v>0</v>
      </c>
      <c r="K9584">
        <v>0</v>
      </c>
      <c r="L9584">
        <v>0</v>
      </c>
      <c r="M9584" t="s">
        <v>43</v>
      </c>
    </row>
    <row r="9585" spans="1:13" hidden="1" x14ac:dyDescent="0.15">
      <c r="A9585" t="s">
        <v>30158</v>
      </c>
      <c r="B9585" t="s">
        <v>30159</v>
      </c>
      <c r="C9585" t="s">
        <v>30160</v>
      </c>
      <c r="D9585" t="s">
        <v>30161</v>
      </c>
      <c r="E9585">
        <v>6</v>
      </c>
      <c r="F9585" t="str">
        <f>HYPERLINK("https://github.com/kollerlukas/Camera-Roll-Android-App/issues/167", "show")</f>
        <v>show</v>
      </c>
      <c r="G9585" t="str">
        <f>HYPERLINK("https://github.com/kollerlukas/Camera-Roll-Android-App", "show")</f>
        <v>show</v>
      </c>
      <c r="H9585" t="str">
        <f>HYPERLINK("https://github.com/kollerlukas/Camera-Roll-Android-App/releases", "show")</f>
        <v>show</v>
      </c>
      <c r="I9585">
        <v>1</v>
      </c>
      <c r="J9585">
        <v>1</v>
      </c>
      <c r="K9585">
        <v>0</v>
      </c>
      <c r="L9585">
        <v>0</v>
      </c>
      <c r="M9585" t="s">
        <v>48</v>
      </c>
    </row>
    <row r="9586" spans="1:13" hidden="1" x14ac:dyDescent="0.15">
      <c r="A9586" t="s">
        <v>30162</v>
      </c>
      <c r="B9586" t="s">
        <v>30163</v>
      </c>
      <c r="C9586" t="s">
        <v>30164</v>
      </c>
      <c r="D9586" t="s">
        <v>30161</v>
      </c>
      <c r="E9586">
        <v>298</v>
      </c>
      <c r="F9586" t="str">
        <f>HYPERLINK("https://github.com/twilio/video-quickstart-android/issues/276", "show")</f>
        <v>show</v>
      </c>
      <c r="G9586" t="str">
        <f>HYPERLINK("https://github.com/twilio/video-quickstart-android", "show")</f>
        <v>show</v>
      </c>
      <c r="H9586" t="str">
        <f>HYPERLINK("https://github.com/twilio/video-quickstart-android/releases", "show")</f>
        <v>show</v>
      </c>
      <c r="I9586">
        <v>1</v>
      </c>
      <c r="J9586">
        <v>0</v>
      </c>
      <c r="K9586">
        <v>0</v>
      </c>
      <c r="L9586">
        <v>0</v>
      </c>
      <c r="M9586" t="s">
        <v>17</v>
      </c>
    </row>
    <row r="9587" spans="1:13" hidden="1" x14ac:dyDescent="0.15">
      <c r="A9587" t="s">
        <v>30165</v>
      </c>
      <c r="B9587" t="s">
        <v>30166</v>
      </c>
      <c r="C9587" t="s">
        <v>30167</v>
      </c>
      <c r="D9587" t="s">
        <v>30161</v>
      </c>
      <c r="E9587">
        <v>0</v>
      </c>
      <c r="F9587" t="str">
        <f>HYPERLINK("https://github.com/mapbox/mapbox-events-android/issues/98", "show")</f>
        <v>show</v>
      </c>
      <c r="G9587" t="str">
        <f>HYPERLINK("https://github.com/mapbox/mapbox-events-android", "show")</f>
        <v>show</v>
      </c>
      <c r="H9587" t="str">
        <f>HYPERLINK("https://github.com/mapbox/mapbox-events-android/releases", "show")</f>
        <v>show</v>
      </c>
      <c r="I9587">
        <v>1</v>
      </c>
      <c r="J9587">
        <v>0</v>
      </c>
      <c r="K9587">
        <v>0</v>
      </c>
      <c r="L9587">
        <v>0</v>
      </c>
      <c r="M9587" t="s">
        <v>17</v>
      </c>
    </row>
    <row r="9588" spans="1:13" hidden="1" x14ac:dyDescent="0.15">
      <c r="A9588" t="s">
        <v>30168</v>
      </c>
      <c r="B9588" t="s">
        <v>30169</v>
      </c>
      <c r="D9588" t="s">
        <v>30161</v>
      </c>
      <c r="E9588">
        <v>94</v>
      </c>
      <c r="F9588" t="str">
        <f>HYPERLINK("https://github.com/wncc/instiapp-android/issues/83", "show")</f>
        <v>show</v>
      </c>
      <c r="G9588" t="str">
        <f>HYPERLINK("https://github.com/wncc/instiapp-android", "show")</f>
        <v>show</v>
      </c>
      <c r="H9588" t="str">
        <f>HYPERLINK("https://github.com/wncc/instiapp-android/releases", "show")</f>
        <v>show</v>
      </c>
      <c r="I9588">
        <v>1</v>
      </c>
      <c r="J9588">
        <v>0</v>
      </c>
      <c r="K9588">
        <v>0</v>
      </c>
      <c r="L9588">
        <v>0</v>
      </c>
      <c r="M9588" t="s">
        <v>17</v>
      </c>
    </row>
    <row r="9589" spans="1:13" hidden="1" x14ac:dyDescent="0.15">
      <c r="A9589" t="s">
        <v>30170</v>
      </c>
      <c r="B9589" t="s">
        <v>30171</v>
      </c>
      <c r="C9589" t="s">
        <v>30172</v>
      </c>
      <c r="D9589" t="s">
        <v>30161</v>
      </c>
      <c r="E9589">
        <v>6</v>
      </c>
      <c r="F9589" t="str">
        <f>HYPERLINK("https://github.com/kollerlukas/Camera-Roll-Android-App/issues/166", "show")</f>
        <v>show</v>
      </c>
      <c r="G9589" t="str">
        <f>HYPERLINK("https://github.com/kollerlukas/Camera-Roll-Android-App", "show")</f>
        <v>show</v>
      </c>
      <c r="H9589" t="str">
        <f>HYPERLINK("https://github.com/kollerlukas/Camera-Roll-Android-App/releases", "show")</f>
        <v>show</v>
      </c>
      <c r="I9589">
        <v>1</v>
      </c>
      <c r="J9589">
        <v>1</v>
      </c>
      <c r="K9589">
        <v>0</v>
      </c>
      <c r="L9589">
        <v>0</v>
      </c>
      <c r="M9589" t="s">
        <v>48</v>
      </c>
    </row>
    <row r="9590" spans="1:13" hidden="1" x14ac:dyDescent="0.15">
      <c r="A9590" t="s">
        <v>30173</v>
      </c>
      <c r="B9590" t="s">
        <v>30174</v>
      </c>
      <c r="C9590" t="s">
        <v>30175</v>
      </c>
      <c r="D9590" t="s">
        <v>30161</v>
      </c>
      <c r="E9590">
        <v>0</v>
      </c>
      <c r="F9590" t="str">
        <f>HYPERLINK("https://github.com/mapbox/mapbox-events-android/issues/97", "show")</f>
        <v>show</v>
      </c>
      <c r="G9590" t="str">
        <f>HYPERLINK("https://github.com/mapbox/mapbox-events-android", "show")</f>
        <v>show</v>
      </c>
      <c r="H9590" t="str">
        <f>HYPERLINK("https://github.com/mapbox/mapbox-events-android/releases", "show")</f>
        <v>show</v>
      </c>
      <c r="I9590">
        <v>1</v>
      </c>
      <c r="J9590">
        <v>0</v>
      </c>
      <c r="K9590">
        <v>0</v>
      </c>
      <c r="L9590">
        <v>0</v>
      </c>
      <c r="M9590" t="s">
        <v>17</v>
      </c>
    </row>
    <row r="9591" spans="1:13" hidden="1" x14ac:dyDescent="0.15">
      <c r="A9591" t="s">
        <v>30176</v>
      </c>
      <c r="B9591" t="s">
        <v>30177</v>
      </c>
      <c r="C9591" t="s">
        <v>30178</v>
      </c>
      <c r="D9591" t="s">
        <v>30179</v>
      </c>
      <c r="E9591">
        <v>7</v>
      </c>
      <c r="F9591" t="str">
        <f>HYPERLINK("https://github.com/kollerlukas/Camera-Roll-Android-App/issues/165", "show")</f>
        <v>show</v>
      </c>
      <c r="G9591" t="str">
        <f>HYPERLINK("https://github.com/kollerlukas/Camera-Roll-Android-App", "show")</f>
        <v>show</v>
      </c>
      <c r="H9591" t="str">
        <f>HYPERLINK("https://github.com/kollerlukas/Camera-Roll-Android-App/releases", "show")</f>
        <v>show</v>
      </c>
      <c r="I9591">
        <v>1</v>
      </c>
      <c r="J9591">
        <v>1</v>
      </c>
      <c r="K9591">
        <v>0</v>
      </c>
      <c r="L9591">
        <v>0</v>
      </c>
      <c r="M9591" t="s">
        <v>48</v>
      </c>
    </row>
    <row r="9592" spans="1:13" hidden="1" x14ac:dyDescent="0.15">
      <c r="A9592" t="s">
        <v>30180</v>
      </c>
      <c r="B9592" t="s">
        <v>30181</v>
      </c>
      <c r="C9592" t="s">
        <v>30182</v>
      </c>
      <c r="D9592" t="s">
        <v>30179</v>
      </c>
      <c r="E9592">
        <v>12</v>
      </c>
      <c r="F9592" t="str">
        <f>HYPERLINK("https://github.com/smartnsoft/smartrecyclerview-android/issues/1", "show")</f>
        <v>show</v>
      </c>
      <c r="G9592" t="str">
        <f>HYPERLINK("https://github.com/smartnsoft/smartrecyclerview-android", "show")</f>
        <v>show</v>
      </c>
      <c r="H9592" t="str">
        <f>HYPERLINK("https://github.com/smartnsoft/smartrecyclerview-android/releases", "show")</f>
        <v>show</v>
      </c>
      <c r="I9592">
        <v>0</v>
      </c>
      <c r="J9592">
        <v>1</v>
      </c>
      <c r="K9592">
        <v>1</v>
      </c>
      <c r="L9592">
        <v>0</v>
      </c>
      <c r="M9592" t="s">
        <v>699</v>
      </c>
    </row>
    <row r="9593" spans="1:13" hidden="1" x14ac:dyDescent="0.15">
      <c r="A9593" t="s">
        <v>30183</v>
      </c>
      <c r="B9593" t="s">
        <v>30184</v>
      </c>
      <c r="C9593" t="s">
        <v>30185</v>
      </c>
      <c r="D9593" t="s">
        <v>30179</v>
      </c>
      <c r="E9593">
        <v>4</v>
      </c>
      <c r="F9593" t="str">
        <f>HYPERLINK("https://github.com/tchapgouv/tchap-android-legacy/issues/79", "show")</f>
        <v>show</v>
      </c>
      <c r="G9593" t="str">
        <f>HYPERLINK("https://github.com/tchapgouv/tchap-android-legacy", "show")</f>
        <v>show</v>
      </c>
      <c r="H9593" t="str">
        <f>HYPERLINK("https://github.com/tchapgouv/tchap-android-legacy/releases", "show")</f>
        <v>show</v>
      </c>
      <c r="I9593">
        <v>1</v>
      </c>
      <c r="J9593">
        <v>0</v>
      </c>
      <c r="K9593">
        <v>0</v>
      </c>
      <c r="L9593">
        <v>0</v>
      </c>
      <c r="M9593" t="s">
        <v>17</v>
      </c>
    </row>
    <row r="9594" spans="1:13" hidden="1" x14ac:dyDescent="0.15">
      <c r="A9594" t="s">
        <v>30186</v>
      </c>
      <c r="B9594" t="s">
        <v>30187</v>
      </c>
      <c r="C9594" t="s">
        <v>30188</v>
      </c>
      <c r="D9594" t="s">
        <v>30179</v>
      </c>
      <c r="E9594">
        <v>1</v>
      </c>
      <c r="F9594" t="str">
        <f>HYPERLINK("https://github.com/k9mail/k-9/issues/3289", "show")</f>
        <v>show</v>
      </c>
      <c r="G9594" t="str">
        <f>HYPERLINK("https://github.com/k9mail/k-9", "show")</f>
        <v>show</v>
      </c>
      <c r="H9594" t="str">
        <f>HYPERLINK("https://github.com/k9mail/k-9/releases", "show")</f>
        <v>show</v>
      </c>
      <c r="I9594">
        <v>1</v>
      </c>
      <c r="J9594">
        <v>1</v>
      </c>
      <c r="K9594">
        <v>0</v>
      </c>
      <c r="L9594">
        <v>0</v>
      </c>
      <c r="M9594" t="s">
        <v>48</v>
      </c>
    </row>
    <row r="9595" spans="1:13" hidden="1" x14ac:dyDescent="0.15">
      <c r="A9595" t="s">
        <v>30189</v>
      </c>
      <c r="B9595" t="s">
        <v>30190</v>
      </c>
      <c r="C9595" t="s">
        <v>30191</v>
      </c>
      <c r="D9595" t="s">
        <v>30179</v>
      </c>
      <c r="E9595">
        <v>10</v>
      </c>
      <c r="F9595" t="str">
        <f>HYPERLINK("https://github.com/react-native-camera/react-native-camera/issues/1408", "show")</f>
        <v>show</v>
      </c>
      <c r="G9595" t="str">
        <f>HYPERLINK("https://github.com/react-native-camera/react-native-camera", "show")</f>
        <v>show</v>
      </c>
      <c r="H9595" t="str">
        <f>HYPERLINK("https://github.com/react-native-camera/react-native-camera/releases", "show")</f>
        <v>show</v>
      </c>
      <c r="I9595">
        <v>0</v>
      </c>
      <c r="J9595">
        <v>0</v>
      </c>
      <c r="K9595">
        <v>0</v>
      </c>
      <c r="L9595">
        <v>0</v>
      </c>
      <c r="M9595" t="s">
        <v>43</v>
      </c>
    </row>
    <row r="9596" spans="1:13" hidden="1" x14ac:dyDescent="0.15">
      <c r="A9596" t="s">
        <v>30192</v>
      </c>
      <c r="B9596" t="s">
        <v>30193</v>
      </c>
      <c r="C9596" t="s">
        <v>30194</v>
      </c>
      <c r="D9596" t="s">
        <v>30195</v>
      </c>
      <c r="E9596">
        <v>31</v>
      </c>
      <c r="F9596" t="str">
        <f>HYPERLINK("https://github.com/szaske/loc8r/issues/39", "show")</f>
        <v>show</v>
      </c>
      <c r="G9596" t="str">
        <f>HYPERLINK("https://github.com/szaske/loc8r", "show")</f>
        <v>show</v>
      </c>
      <c r="H9596" t="str">
        <f>HYPERLINK("https://github.com/szaske/loc8r/releases", "show")</f>
        <v>show</v>
      </c>
      <c r="I9596">
        <v>1</v>
      </c>
      <c r="J9596">
        <v>0</v>
      </c>
      <c r="K9596">
        <v>0</v>
      </c>
      <c r="L9596">
        <v>0</v>
      </c>
      <c r="M9596" t="s">
        <v>17</v>
      </c>
    </row>
    <row r="9597" spans="1:13" hidden="1" x14ac:dyDescent="0.15">
      <c r="A9597" t="s">
        <v>30196</v>
      </c>
      <c r="B9597" t="s">
        <v>30197</v>
      </c>
      <c r="C9597" t="s">
        <v>30198</v>
      </c>
      <c r="D9597" t="s">
        <v>30195</v>
      </c>
      <c r="E9597">
        <v>14</v>
      </c>
      <c r="F9597" t="str">
        <f>HYPERLINK("https://github.com/Codernauti/GameBank/issues/27", "show")</f>
        <v>show</v>
      </c>
      <c r="G9597" t="str">
        <f>HYPERLINK("https://github.com/Codernauti/GameBank", "show")</f>
        <v>show</v>
      </c>
      <c r="H9597" t="str">
        <f>HYPERLINK("https://github.com/Codernauti/GameBank/releases", "show")</f>
        <v>show</v>
      </c>
      <c r="I9597">
        <v>0</v>
      </c>
      <c r="J9597">
        <v>0</v>
      </c>
      <c r="K9597">
        <v>0</v>
      </c>
      <c r="L9597">
        <v>0</v>
      </c>
      <c r="M9597" t="s">
        <v>43</v>
      </c>
    </row>
    <row r="9598" spans="1:13" hidden="1" x14ac:dyDescent="0.15">
      <c r="A9598" t="s">
        <v>30199</v>
      </c>
      <c r="B9598" t="s">
        <v>30200</v>
      </c>
      <c r="C9598" t="s">
        <v>30201</v>
      </c>
      <c r="D9598" t="s">
        <v>30195</v>
      </c>
      <c r="E9598">
        <v>128</v>
      </c>
      <c r="F9598" t="str">
        <f>HYPERLINK("https://github.com/mvysny/aedict/issues/828", "show")</f>
        <v>show</v>
      </c>
      <c r="G9598" t="str">
        <f>HYPERLINK("https://github.com/mvysny/aedict", "show")</f>
        <v>show</v>
      </c>
      <c r="H9598" t="str">
        <f>HYPERLINK("https://github.com/mvysny/aedict/releases", "show")</f>
        <v>show</v>
      </c>
      <c r="I9598">
        <v>1</v>
      </c>
      <c r="J9598">
        <v>1</v>
      </c>
      <c r="K9598">
        <v>0</v>
      </c>
      <c r="L9598">
        <v>0</v>
      </c>
      <c r="M9598" t="s">
        <v>48</v>
      </c>
    </row>
    <row r="9599" spans="1:13" hidden="1" x14ac:dyDescent="0.15">
      <c r="A9599" t="s">
        <v>30202</v>
      </c>
      <c r="B9599" t="s">
        <v>30203</v>
      </c>
      <c r="C9599" t="s">
        <v>30204</v>
      </c>
      <c r="D9599" t="s">
        <v>30205</v>
      </c>
      <c r="E9599">
        <v>63</v>
      </c>
      <c r="F9599" t="str">
        <f>HYPERLINK("https://github.com/evernote/android-job/issues/415", "show")</f>
        <v>show</v>
      </c>
      <c r="G9599" t="str">
        <f>HYPERLINK("https://github.com/evernote/android-job", "show")</f>
        <v>show</v>
      </c>
      <c r="H9599" t="str">
        <f>HYPERLINK("https://github.com/evernote/android-job/releases", "show")</f>
        <v>show</v>
      </c>
      <c r="I9599">
        <v>1</v>
      </c>
      <c r="J9599">
        <v>0</v>
      </c>
      <c r="K9599">
        <v>0</v>
      </c>
      <c r="L9599">
        <v>0</v>
      </c>
      <c r="M9599" t="s">
        <v>17</v>
      </c>
    </row>
    <row r="9600" spans="1:13" hidden="1" x14ac:dyDescent="0.15">
      <c r="A9600" t="s">
        <v>30206</v>
      </c>
      <c r="B9600" t="s">
        <v>30207</v>
      </c>
      <c r="C9600" t="s">
        <v>30208</v>
      </c>
      <c r="D9600" t="s">
        <v>30205</v>
      </c>
      <c r="E9600">
        <v>3</v>
      </c>
      <c r="F9600" t="str">
        <f>HYPERLINK("https://github.com/nikita36078/J2ME-Loader/issues/254", "show")</f>
        <v>show</v>
      </c>
      <c r="G9600" t="str">
        <f>HYPERLINK("https://github.com/nikita36078/J2ME-Loader", "show")</f>
        <v>show</v>
      </c>
      <c r="H9600" t="str">
        <f>HYPERLINK("https://github.com/nikita36078/J2ME-Loader/releases", "show")</f>
        <v>show</v>
      </c>
      <c r="I9600">
        <v>1</v>
      </c>
      <c r="J9600">
        <v>0</v>
      </c>
      <c r="K9600">
        <v>0</v>
      </c>
      <c r="L9600">
        <v>0</v>
      </c>
      <c r="M9600" t="s">
        <v>17</v>
      </c>
    </row>
    <row r="9601" spans="1:13" hidden="1" x14ac:dyDescent="0.15">
      <c r="A9601" t="s">
        <v>30209</v>
      </c>
      <c r="B9601" t="s">
        <v>30210</v>
      </c>
      <c r="C9601" t="s">
        <v>30211</v>
      </c>
      <c r="D9601" t="s">
        <v>30212</v>
      </c>
      <c r="E9601">
        <v>1</v>
      </c>
      <c r="F9601" t="str">
        <f>HYPERLINK("https://github.com/barbeau/gpstest/issues/132", "show")</f>
        <v>show</v>
      </c>
      <c r="G9601" t="str">
        <f>HYPERLINK("https://github.com/barbeau/gpstest", "show")</f>
        <v>show</v>
      </c>
      <c r="H9601" t="str">
        <f>HYPERLINK("https://github.com/barbeau/gpstest/releases", "show")</f>
        <v>show</v>
      </c>
      <c r="I9601">
        <v>1</v>
      </c>
      <c r="J9601">
        <v>0</v>
      </c>
      <c r="K9601">
        <v>1</v>
      </c>
      <c r="L9601">
        <v>0</v>
      </c>
      <c r="M9601" t="s">
        <v>64</v>
      </c>
    </row>
    <row r="9602" spans="1:13" hidden="1" x14ac:dyDescent="0.15">
      <c r="A9602" t="s">
        <v>30213</v>
      </c>
      <c r="B9602" t="s">
        <v>30214</v>
      </c>
      <c r="C9602" t="s">
        <v>30215</v>
      </c>
      <c r="D9602" t="s">
        <v>30212</v>
      </c>
      <c r="E9602">
        <v>1</v>
      </c>
      <c r="F9602" t="str">
        <f>HYPERLINK("https://github.com/barbeau/gpstest/issues/131", "show")</f>
        <v>show</v>
      </c>
      <c r="G9602" t="str">
        <f>HYPERLINK("https://github.com/barbeau/gpstest", "show")</f>
        <v>show</v>
      </c>
      <c r="H9602" t="str">
        <f>HYPERLINK("https://github.com/barbeau/gpstest/releases", "show")</f>
        <v>show</v>
      </c>
      <c r="I9602">
        <v>1</v>
      </c>
      <c r="J9602">
        <v>0</v>
      </c>
      <c r="K9602">
        <v>1</v>
      </c>
      <c r="L9602">
        <v>0</v>
      </c>
      <c r="M9602" t="s">
        <v>64</v>
      </c>
    </row>
    <row r="9603" spans="1:13" hidden="1" x14ac:dyDescent="0.15">
      <c r="A9603" t="s">
        <v>30216</v>
      </c>
      <c r="B9603" t="s">
        <v>30217</v>
      </c>
      <c r="C9603" t="s">
        <v>30218</v>
      </c>
      <c r="D9603" t="s">
        <v>30212</v>
      </c>
      <c r="E9603">
        <v>108</v>
      </c>
      <c r="F9603" t="str">
        <f>HYPERLINK("https://github.com/caarmen/scrumchatter/issues/65", "show")</f>
        <v>show</v>
      </c>
      <c r="G9603" t="str">
        <f>HYPERLINK("https://github.com/caarmen/scrumchatter", "show")</f>
        <v>show</v>
      </c>
      <c r="H9603" t="str">
        <f>HYPERLINK("https://github.com/caarmen/scrumchatter/releases", "show")</f>
        <v>show</v>
      </c>
      <c r="I9603">
        <v>1</v>
      </c>
      <c r="J9603">
        <v>1</v>
      </c>
      <c r="K9603">
        <v>0</v>
      </c>
      <c r="L9603">
        <v>0</v>
      </c>
      <c r="M9603" t="s">
        <v>48</v>
      </c>
    </row>
    <row r="9604" spans="1:13" hidden="1" x14ac:dyDescent="0.15">
      <c r="A9604" t="s">
        <v>30219</v>
      </c>
      <c r="B9604" t="s">
        <v>30220</v>
      </c>
      <c r="C9604" t="s">
        <v>30221</v>
      </c>
      <c r="D9604" t="s">
        <v>30212</v>
      </c>
      <c r="E9604">
        <v>816</v>
      </c>
      <c r="F9604" t="str">
        <f>HYPERLINK("https://github.com/panmau/spotify-releases-app/issues/21", "show")</f>
        <v>show</v>
      </c>
      <c r="G9604" t="str">
        <f>HYPERLINK("https://github.com/panmau/spotify-releases-app", "show")</f>
        <v>show</v>
      </c>
      <c r="H9604" t="str">
        <f>HYPERLINK("https://github.com/panmau/spotify-releases-app/releases", "show")</f>
        <v>show</v>
      </c>
      <c r="I9604">
        <v>1</v>
      </c>
      <c r="J9604">
        <v>0</v>
      </c>
      <c r="K9604">
        <v>0</v>
      </c>
      <c r="L9604">
        <v>0</v>
      </c>
      <c r="M9604" t="s">
        <v>17</v>
      </c>
    </row>
    <row r="9605" spans="1:13" hidden="1" x14ac:dyDescent="0.15">
      <c r="A9605" t="s">
        <v>30222</v>
      </c>
      <c r="B9605" t="s">
        <v>30223</v>
      </c>
      <c r="C9605" t="s">
        <v>30224</v>
      </c>
      <c r="D9605" t="s">
        <v>30225</v>
      </c>
      <c r="E9605">
        <v>0</v>
      </c>
      <c r="F9605" t="str">
        <f>HYPERLINK("https://github.com/YoungMaker/iORC/issues/98", "show")</f>
        <v>show</v>
      </c>
      <c r="G9605" t="str">
        <f>HYPERLINK("https://github.com/YoungMaker/iORC", "show")</f>
        <v>show</v>
      </c>
      <c r="H9605" t="str">
        <f>HYPERLINK("https://github.com/YoungMaker/iORC/releases", "show")</f>
        <v>show</v>
      </c>
      <c r="I9605">
        <v>1</v>
      </c>
      <c r="J9605">
        <v>0</v>
      </c>
      <c r="K9605">
        <v>0</v>
      </c>
      <c r="L9605">
        <v>0</v>
      </c>
      <c r="M9605" t="s">
        <v>17</v>
      </c>
    </row>
    <row r="9606" spans="1:13" hidden="1" x14ac:dyDescent="0.15">
      <c r="A9606" t="s">
        <v>30226</v>
      </c>
      <c r="B9606" t="s">
        <v>30227</v>
      </c>
      <c r="C9606" t="s">
        <v>30228</v>
      </c>
      <c r="D9606" t="s">
        <v>30225</v>
      </c>
      <c r="E9606">
        <v>354</v>
      </c>
      <c r="F9606" t="str">
        <f>HYPERLINK("https://github.com/SecUSo/privacy-friendly-weather/issues/62", "show")</f>
        <v>show</v>
      </c>
      <c r="G9606" t="str">
        <f>HYPERLINK("https://github.com/SecUSo/privacy-friendly-weather", "show")</f>
        <v>show</v>
      </c>
      <c r="H9606" t="str">
        <f>HYPERLINK("https://github.com/SecUSo/privacy-friendly-weather/releases", "show")</f>
        <v>show</v>
      </c>
      <c r="I9606">
        <v>1</v>
      </c>
      <c r="J9606">
        <v>1</v>
      </c>
      <c r="K9606">
        <v>0</v>
      </c>
      <c r="L9606">
        <v>0</v>
      </c>
      <c r="M9606" t="s">
        <v>48</v>
      </c>
    </row>
    <row r="9607" spans="1:13" hidden="1" x14ac:dyDescent="0.15">
      <c r="A9607" t="s">
        <v>30229</v>
      </c>
      <c r="B9607" t="s">
        <v>30230</v>
      </c>
      <c r="C9607" t="s">
        <v>30231</v>
      </c>
      <c r="D9607" t="s">
        <v>30225</v>
      </c>
      <c r="E9607">
        <v>354</v>
      </c>
      <c r="F9607" t="str">
        <f>HYPERLINK("https://github.com/SecUSo/privacy-friendly-weather/issues/61", "show")</f>
        <v>show</v>
      </c>
      <c r="G9607" t="str">
        <f>HYPERLINK("https://github.com/SecUSo/privacy-friendly-weather", "show")</f>
        <v>show</v>
      </c>
      <c r="H9607" t="str">
        <f>HYPERLINK("https://github.com/SecUSo/privacy-friendly-weather/releases", "show")</f>
        <v>show</v>
      </c>
      <c r="I9607">
        <v>1</v>
      </c>
      <c r="J9607">
        <v>1</v>
      </c>
      <c r="K9607">
        <v>0</v>
      </c>
      <c r="L9607">
        <v>0</v>
      </c>
      <c r="M9607" t="s">
        <v>48</v>
      </c>
    </row>
    <row r="9608" spans="1:13" hidden="1" x14ac:dyDescent="0.15">
      <c r="A9608" t="s">
        <v>30232</v>
      </c>
      <c r="B9608" t="s">
        <v>30233</v>
      </c>
      <c r="C9608" t="s">
        <v>30234</v>
      </c>
      <c r="D9608" t="s">
        <v>30235</v>
      </c>
      <c r="E9608">
        <v>21</v>
      </c>
      <c r="F9608" t="str">
        <f>HYPERLINK("https://github.com/opensrp/opensrp-client-path/issues/312", "show")</f>
        <v>show</v>
      </c>
      <c r="G9608" t="str">
        <f>HYPERLINK("https://github.com/opensrp/opensrp-client-path", "show")</f>
        <v>show</v>
      </c>
      <c r="H9608" t="str">
        <f>HYPERLINK("https://github.com/opensrp/opensrp-client-path/releases", "show")</f>
        <v>show</v>
      </c>
      <c r="I9608">
        <v>0</v>
      </c>
      <c r="J9608">
        <v>0</v>
      </c>
      <c r="K9608">
        <v>0</v>
      </c>
      <c r="L9608">
        <v>0</v>
      </c>
      <c r="M9608" t="s">
        <v>43</v>
      </c>
    </row>
    <row r="9609" spans="1:13" hidden="1" x14ac:dyDescent="0.15">
      <c r="A9609" t="s">
        <v>30236</v>
      </c>
      <c r="B9609" t="s">
        <v>30237</v>
      </c>
      <c r="C9609" t="s">
        <v>30238</v>
      </c>
      <c r="D9609" t="s">
        <v>30235</v>
      </c>
      <c r="E9609">
        <v>71</v>
      </c>
      <c r="F9609" t="str">
        <f>HYPERLINK("https://github.com/tony19/logback-android/issues/169", "show")</f>
        <v>show</v>
      </c>
      <c r="G9609" t="str">
        <f>HYPERLINK("https://github.com/tony19/logback-android", "show")</f>
        <v>show</v>
      </c>
      <c r="H9609" t="str">
        <f>HYPERLINK("https://github.com/tony19/logback-android/releases", "show")</f>
        <v>show</v>
      </c>
      <c r="I9609">
        <v>0</v>
      </c>
      <c r="J9609">
        <v>0</v>
      </c>
      <c r="K9609">
        <v>1</v>
      </c>
      <c r="L9609">
        <v>0</v>
      </c>
      <c r="M9609" t="s">
        <v>122</v>
      </c>
    </row>
    <row r="9610" spans="1:13" hidden="1" x14ac:dyDescent="0.15">
      <c r="A9610" t="s">
        <v>30239</v>
      </c>
      <c r="B9610" t="s">
        <v>30240</v>
      </c>
      <c r="C9610" t="s">
        <v>30241</v>
      </c>
      <c r="D9610" t="s">
        <v>30242</v>
      </c>
      <c r="E9610">
        <v>13</v>
      </c>
      <c r="F9610" t="str">
        <f>HYPERLINK("https://github.com/Amuff1n/Study-Buddy/issues/10", "show")</f>
        <v>show</v>
      </c>
      <c r="G9610" t="str">
        <f>HYPERLINK("https://github.com/Amuff1n/Study-Buddy", "show")</f>
        <v>show</v>
      </c>
      <c r="H9610" t="str">
        <f>HYPERLINK("https://github.com/Amuff1n/Study-Buddy/releases", "show")</f>
        <v>show</v>
      </c>
      <c r="I9610">
        <v>1</v>
      </c>
      <c r="J9610">
        <v>0</v>
      </c>
      <c r="K9610">
        <v>0</v>
      </c>
      <c r="L9610">
        <v>0</v>
      </c>
      <c r="M9610" t="s">
        <v>17</v>
      </c>
    </row>
    <row r="9611" spans="1:13" hidden="1" x14ac:dyDescent="0.15">
      <c r="A9611" t="s">
        <v>30243</v>
      </c>
      <c r="B9611" t="s">
        <v>30244</v>
      </c>
      <c r="D9611" t="s">
        <v>30242</v>
      </c>
      <c r="E9611">
        <v>3</v>
      </c>
      <c r="F9611" t="str">
        <f>HYPERLINK("https://github.com/CMPUT301W18T23/GeoTask/issues/31", "show")</f>
        <v>show</v>
      </c>
      <c r="G9611" t="str">
        <f>HYPERLINK("https://github.com/CMPUT301W18T23/GeoTask", "show")</f>
        <v>show</v>
      </c>
      <c r="H9611" t="str">
        <f>HYPERLINK("https://github.com/CMPUT301W18T23/GeoTask/releases", "show")</f>
        <v>show</v>
      </c>
      <c r="I9611">
        <v>1</v>
      </c>
      <c r="J9611">
        <v>0</v>
      </c>
      <c r="K9611">
        <v>0</v>
      </c>
      <c r="L9611">
        <v>0</v>
      </c>
      <c r="M9611" t="s">
        <v>17</v>
      </c>
    </row>
    <row r="9612" spans="1:13" hidden="1" x14ac:dyDescent="0.15">
      <c r="A9612" t="s">
        <v>30245</v>
      </c>
      <c r="B9612" t="s">
        <v>30246</v>
      </c>
      <c r="C9612" t="s">
        <v>30247</v>
      </c>
      <c r="D9612" t="s">
        <v>30242</v>
      </c>
      <c r="E9612">
        <v>0</v>
      </c>
      <c r="F9612" t="str">
        <f>HYPERLINK("https://github.com/david-ron/tango/issues/97", "show")</f>
        <v>show</v>
      </c>
      <c r="G9612" t="str">
        <f>HYPERLINK("https://github.com/david-ron/tango", "show")</f>
        <v>show</v>
      </c>
      <c r="H9612" t="str">
        <f>HYPERLINK("https://github.com/david-ron/tango/releases", "show")</f>
        <v>show</v>
      </c>
      <c r="I9612">
        <v>1</v>
      </c>
      <c r="J9612">
        <v>0</v>
      </c>
      <c r="K9612">
        <v>0</v>
      </c>
      <c r="L9612">
        <v>0</v>
      </c>
      <c r="M9612" t="s">
        <v>17</v>
      </c>
    </row>
    <row r="9613" spans="1:13" hidden="1" x14ac:dyDescent="0.15">
      <c r="A9613" t="s">
        <v>30248</v>
      </c>
      <c r="B9613" t="s">
        <v>30249</v>
      </c>
      <c r="C9613" t="s">
        <v>30250</v>
      </c>
      <c r="D9613" t="s">
        <v>30251</v>
      </c>
      <c r="E9613">
        <v>711</v>
      </c>
      <c r="F9613" t="str">
        <f>HYPERLINK("https://github.com/maks/MGit/issues/289", "show")</f>
        <v>show</v>
      </c>
      <c r="G9613" t="str">
        <f>HYPERLINK("https://github.com/maks/MGit", "show")</f>
        <v>show</v>
      </c>
      <c r="H9613" t="str">
        <f>HYPERLINK("https://github.com/maks/MGit/releases", "show")</f>
        <v>show</v>
      </c>
      <c r="I9613">
        <v>1</v>
      </c>
      <c r="J9613">
        <v>1</v>
      </c>
      <c r="K9613">
        <v>1</v>
      </c>
      <c r="L9613">
        <v>0</v>
      </c>
      <c r="M9613" t="s">
        <v>59</v>
      </c>
    </row>
    <row r="9614" spans="1:13" hidden="1" x14ac:dyDescent="0.15">
      <c r="A9614" t="s">
        <v>30252</v>
      </c>
      <c r="B9614" t="s">
        <v>30253</v>
      </c>
      <c r="C9614" t="s">
        <v>30254</v>
      </c>
      <c r="D9614" t="s">
        <v>30251</v>
      </c>
      <c r="E9614">
        <v>2</v>
      </c>
      <c r="F9614" t="str">
        <f>HYPERLINK("https://github.com/dariuszseweryn/RxAndroidBle/issues/404", "show")</f>
        <v>show</v>
      </c>
      <c r="G9614" t="str">
        <f>HYPERLINK("https://github.com/dariuszseweryn/RxAndroidBle", "show")</f>
        <v>show</v>
      </c>
      <c r="H9614" t="str">
        <f>HYPERLINK("https://github.com/dariuszseweryn/RxAndroidBle/releases", "show")</f>
        <v>show</v>
      </c>
      <c r="I9614">
        <v>1</v>
      </c>
      <c r="J9614">
        <v>0</v>
      </c>
      <c r="K9614">
        <v>1</v>
      </c>
      <c r="L9614">
        <v>0</v>
      </c>
      <c r="M9614" t="s">
        <v>64</v>
      </c>
    </row>
    <row r="9615" spans="1:13" hidden="1" x14ac:dyDescent="0.15">
      <c r="A9615" t="s">
        <v>30255</v>
      </c>
      <c r="B9615" t="s">
        <v>30256</v>
      </c>
      <c r="C9615" t="s">
        <v>30257</v>
      </c>
      <c r="D9615" t="s">
        <v>30251</v>
      </c>
      <c r="E9615">
        <v>13</v>
      </c>
      <c r="F9615" t="str">
        <f>HYPERLINK("https://github.com/hzi-braunschweig/SORMAS-Project/issues/531", "show")</f>
        <v>show</v>
      </c>
      <c r="G9615" t="str">
        <f>HYPERLINK("https://github.com/hzi-braunschweig/SORMAS-Project", "show")</f>
        <v>show</v>
      </c>
      <c r="H9615" t="str">
        <f>HYPERLINK("https://github.com/hzi-braunschweig/SORMAS-Project/releases", "show")</f>
        <v>show</v>
      </c>
      <c r="I9615">
        <v>1</v>
      </c>
      <c r="J9615">
        <v>0</v>
      </c>
      <c r="K9615">
        <v>0</v>
      </c>
      <c r="L9615">
        <v>0</v>
      </c>
      <c r="M9615" t="s">
        <v>17</v>
      </c>
    </row>
    <row r="9616" spans="1:13" hidden="1" x14ac:dyDescent="0.15">
      <c r="A9616" t="s">
        <v>30258</v>
      </c>
      <c r="B9616" t="s">
        <v>30259</v>
      </c>
      <c r="C9616" t="s">
        <v>30260</v>
      </c>
      <c r="D9616" t="s">
        <v>30251</v>
      </c>
      <c r="E9616">
        <v>0</v>
      </c>
      <c r="F9616" t="str">
        <f>HYPERLINK("https://github.com/YoungMaker/iORC/issues/85", "show")</f>
        <v>show</v>
      </c>
      <c r="G9616" t="str">
        <f>HYPERLINK("https://github.com/YoungMaker/iORC", "show")</f>
        <v>show</v>
      </c>
      <c r="H9616" t="str">
        <f>HYPERLINK("https://github.com/YoungMaker/iORC/releases", "show")</f>
        <v>show</v>
      </c>
      <c r="I9616">
        <v>1</v>
      </c>
      <c r="J9616">
        <v>0</v>
      </c>
      <c r="K9616">
        <v>0</v>
      </c>
      <c r="L9616">
        <v>0</v>
      </c>
      <c r="M9616" t="s">
        <v>17</v>
      </c>
    </row>
    <row r="9617" spans="1:13" hidden="1" x14ac:dyDescent="0.15">
      <c r="A9617" t="s">
        <v>30261</v>
      </c>
      <c r="B9617" t="s">
        <v>30262</v>
      </c>
      <c r="D9617" t="s">
        <v>30263</v>
      </c>
      <c r="E9617">
        <v>1</v>
      </c>
      <c r="F9617" t="str">
        <f>HYPERLINK("https://github.com/YoungMaker/iORC/issues/80", "show")</f>
        <v>show</v>
      </c>
      <c r="G9617" t="str">
        <f>HYPERLINK("https://github.com/YoungMaker/iORC", "show")</f>
        <v>show</v>
      </c>
      <c r="H9617" t="str">
        <f>HYPERLINK("https://github.com/YoungMaker/iORC/releases", "show")</f>
        <v>show</v>
      </c>
      <c r="I9617">
        <v>1</v>
      </c>
      <c r="J9617">
        <v>0</v>
      </c>
      <c r="K9617">
        <v>0</v>
      </c>
      <c r="L9617">
        <v>0</v>
      </c>
      <c r="M9617" t="s">
        <v>17</v>
      </c>
    </row>
    <row r="9618" spans="1:13" hidden="1" x14ac:dyDescent="0.15">
      <c r="A9618" t="s">
        <v>30264</v>
      </c>
      <c r="B9618" t="s">
        <v>30265</v>
      </c>
      <c r="C9618" t="s">
        <v>30266</v>
      </c>
      <c r="D9618" t="s">
        <v>30263</v>
      </c>
      <c r="E9618">
        <v>228</v>
      </c>
      <c r="F9618" t="str">
        <f>HYPERLINK("https://github.com/applivery/applivery-android-sdk/issues/18", "show")</f>
        <v>show</v>
      </c>
      <c r="G9618" t="str">
        <f>HYPERLINK("https://github.com/applivery/applivery-android-sdk", "show")</f>
        <v>show</v>
      </c>
      <c r="H9618" t="str">
        <f>HYPERLINK("https://github.com/applivery/applivery-android-sdk/releases", "show")</f>
        <v>show</v>
      </c>
      <c r="I9618">
        <v>0</v>
      </c>
      <c r="J9618">
        <v>0</v>
      </c>
      <c r="K9618">
        <v>1</v>
      </c>
      <c r="L9618">
        <v>0</v>
      </c>
      <c r="M9618" t="s">
        <v>122</v>
      </c>
    </row>
    <row r="9619" spans="1:13" hidden="1" x14ac:dyDescent="0.15">
      <c r="A9619" t="s">
        <v>30267</v>
      </c>
      <c r="B9619" t="s">
        <v>30268</v>
      </c>
      <c r="C9619" t="s">
        <v>30269</v>
      </c>
      <c r="D9619" t="s">
        <v>30263</v>
      </c>
      <c r="E9619">
        <v>36</v>
      </c>
      <c r="F9619" t="str">
        <f>HYPERLINK("https://github.com/react-native-camera/react-native-camera/issues/1369", "show")</f>
        <v>show</v>
      </c>
      <c r="G9619" t="str">
        <f>HYPERLINK("https://github.com/react-native-camera/react-native-camera", "show")</f>
        <v>show</v>
      </c>
      <c r="H9619" t="str">
        <f>HYPERLINK("https://github.com/react-native-camera/react-native-camera/releases", "show")</f>
        <v>show</v>
      </c>
      <c r="I9619">
        <v>1</v>
      </c>
      <c r="J9619">
        <v>1</v>
      </c>
      <c r="K9619">
        <v>0</v>
      </c>
      <c r="L9619">
        <v>1</v>
      </c>
      <c r="M9619" t="s">
        <v>1894</v>
      </c>
    </row>
    <row r="9620" spans="1:13" hidden="1" x14ac:dyDescent="0.15">
      <c r="A9620" t="s">
        <v>30270</v>
      </c>
      <c r="B9620" t="s">
        <v>30271</v>
      </c>
      <c r="C9620" t="s">
        <v>30272</v>
      </c>
      <c r="D9620" t="s">
        <v>30263</v>
      </c>
      <c r="E9620">
        <v>1293</v>
      </c>
      <c r="F9620" t="str">
        <f>HYPERLINK("https://github.com/OneTimePass/OneTimePass/issues/9", "show")</f>
        <v>show</v>
      </c>
      <c r="G9620" t="str">
        <f>HYPERLINK("https://github.com/OneTimePass/OneTimePass", "show")</f>
        <v>show</v>
      </c>
      <c r="H9620" t="str">
        <f>HYPERLINK("https://github.com/OneTimePass/OneTimePass/releases", "show")</f>
        <v>show</v>
      </c>
      <c r="I9620">
        <v>1</v>
      </c>
      <c r="J9620">
        <v>0</v>
      </c>
      <c r="K9620">
        <v>1</v>
      </c>
      <c r="L9620">
        <v>0</v>
      </c>
      <c r="M9620" t="s">
        <v>64</v>
      </c>
    </row>
    <row r="9621" spans="1:13" hidden="1" x14ac:dyDescent="0.15">
      <c r="A9621" t="s">
        <v>30273</v>
      </c>
      <c r="B9621" t="s">
        <v>30274</v>
      </c>
      <c r="C9621" t="s">
        <v>30275</v>
      </c>
      <c r="D9621" t="s">
        <v>30263</v>
      </c>
      <c r="E9621">
        <v>181</v>
      </c>
      <c r="F9621" t="str">
        <f>HYPERLINK("https://github.com/tony19/logback-android/issues/168", "show")</f>
        <v>show</v>
      </c>
      <c r="G9621" t="str">
        <f>HYPERLINK("https://github.com/tony19/logback-android", "show")</f>
        <v>show</v>
      </c>
      <c r="H9621" t="str">
        <f>HYPERLINK("https://github.com/tony19/logback-android/releases", "show")</f>
        <v>show</v>
      </c>
      <c r="I9621">
        <v>1</v>
      </c>
      <c r="J9621">
        <v>0</v>
      </c>
      <c r="K9621">
        <v>0</v>
      </c>
      <c r="L9621">
        <v>0</v>
      </c>
      <c r="M9621" t="s">
        <v>17</v>
      </c>
    </row>
    <row r="9622" spans="1:13" hidden="1" x14ac:dyDescent="0.15">
      <c r="A9622" t="s">
        <v>30276</v>
      </c>
      <c r="B9622" t="s">
        <v>30277</v>
      </c>
      <c r="C9622" t="s">
        <v>30278</v>
      </c>
      <c r="D9622" t="s">
        <v>30263</v>
      </c>
      <c r="E9622">
        <v>2</v>
      </c>
      <c r="F9622" t="str">
        <f>HYPERLINK("https://github.com/JohnLines/mediclog/issues/8", "show")</f>
        <v>show</v>
      </c>
      <c r="G9622" t="str">
        <f>HYPERLINK("https://github.com/JohnLines/mediclog", "show")</f>
        <v>show</v>
      </c>
      <c r="H9622" t="str">
        <f>HYPERLINK("https://github.com/JohnLines/mediclog/releases", "show")</f>
        <v>show</v>
      </c>
      <c r="I9622">
        <v>1</v>
      </c>
      <c r="J9622">
        <v>0</v>
      </c>
      <c r="K9622">
        <v>0</v>
      </c>
      <c r="L9622">
        <v>0</v>
      </c>
      <c r="M9622" t="s">
        <v>17</v>
      </c>
    </row>
    <row r="9623" spans="1:13" hidden="1" x14ac:dyDescent="0.15">
      <c r="A9623" t="s">
        <v>30279</v>
      </c>
      <c r="B9623" t="s">
        <v>30280</v>
      </c>
      <c r="C9623" t="s">
        <v>30281</v>
      </c>
      <c r="D9623" t="s">
        <v>30282</v>
      </c>
      <c r="E9623">
        <v>2</v>
      </c>
      <c r="F9623" t="str">
        <f>HYPERLINK("https://github.com/koral--/android-gif-drawable/issues/522", "show")</f>
        <v>show</v>
      </c>
      <c r="G9623" t="str">
        <f>HYPERLINK("https://github.com/koral--/android-gif-drawable", "show")</f>
        <v>show</v>
      </c>
      <c r="H9623" t="str">
        <f>HYPERLINK("https://github.com/koral--/android-gif-drawable/releases", "show")</f>
        <v>show</v>
      </c>
      <c r="I9623">
        <v>1</v>
      </c>
      <c r="J9623">
        <v>0</v>
      </c>
      <c r="K9623">
        <v>1</v>
      </c>
      <c r="L9623">
        <v>0</v>
      </c>
      <c r="M9623" t="s">
        <v>64</v>
      </c>
    </row>
    <row r="9624" spans="1:13" hidden="1" x14ac:dyDescent="0.15">
      <c r="A9624" t="s">
        <v>30283</v>
      </c>
      <c r="B9624" t="s">
        <v>30284</v>
      </c>
      <c r="C9624" t="s">
        <v>30285</v>
      </c>
      <c r="D9624" t="s">
        <v>30282</v>
      </c>
      <c r="E9624">
        <v>4</v>
      </c>
      <c r="F9624" t="str">
        <f>HYPERLINK("https://github.com/HenriDellal/emerald/issues/62", "show")</f>
        <v>show</v>
      </c>
      <c r="G9624" t="str">
        <f>HYPERLINK("https://github.com/HenriDellal/emerald", "show")</f>
        <v>show</v>
      </c>
      <c r="H9624" t="str">
        <f>HYPERLINK("https://github.com/HenriDellal/emerald/releases", "show")</f>
        <v>show</v>
      </c>
      <c r="I9624">
        <v>0</v>
      </c>
      <c r="J9624">
        <v>0</v>
      </c>
      <c r="K9624">
        <v>0</v>
      </c>
      <c r="L9624">
        <v>0</v>
      </c>
      <c r="M9624" t="s">
        <v>43</v>
      </c>
    </row>
    <row r="9625" spans="1:13" hidden="1" x14ac:dyDescent="0.15">
      <c r="A9625" t="s">
        <v>30286</v>
      </c>
      <c r="B9625" t="s">
        <v>30287</v>
      </c>
      <c r="C9625" t="s">
        <v>30288</v>
      </c>
      <c r="D9625" t="s">
        <v>30282</v>
      </c>
      <c r="E9625">
        <v>682</v>
      </c>
      <c r="F9625" t="str">
        <f>HYPERLINK("https://github.com/SecUSo/privacy-friendly-weather/issues/58", "show")</f>
        <v>show</v>
      </c>
      <c r="G9625" t="str">
        <f>HYPERLINK("https://github.com/SecUSo/privacy-friendly-weather", "show")</f>
        <v>show</v>
      </c>
      <c r="H9625" t="str">
        <f>HYPERLINK("https://github.com/SecUSo/privacy-friendly-weather/releases", "show")</f>
        <v>show</v>
      </c>
      <c r="I9625">
        <v>1</v>
      </c>
      <c r="J9625">
        <v>0</v>
      </c>
      <c r="K9625">
        <v>0</v>
      </c>
      <c r="L9625">
        <v>0</v>
      </c>
      <c r="M9625" t="s">
        <v>17</v>
      </c>
    </row>
    <row r="9626" spans="1:13" hidden="1" x14ac:dyDescent="0.15">
      <c r="A9626" t="s">
        <v>30289</v>
      </c>
      <c r="B9626" t="s">
        <v>30290</v>
      </c>
      <c r="C9626" t="s">
        <v>30291</v>
      </c>
      <c r="D9626" t="s">
        <v>30282</v>
      </c>
      <c r="E9626">
        <v>3</v>
      </c>
      <c r="F9626" t="str">
        <f>HYPERLINK("https://github.com/dimagi/commcare-android/issues/1962", "show")</f>
        <v>show</v>
      </c>
      <c r="G9626" t="str">
        <f>HYPERLINK("https://github.com/dimagi/commcare-android", "show")</f>
        <v>show</v>
      </c>
      <c r="H9626" t="str">
        <f>HYPERLINK("https://github.com/dimagi/commcare-android/releases", "show")</f>
        <v>show</v>
      </c>
      <c r="I9626">
        <v>1</v>
      </c>
      <c r="J9626">
        <v>0</v>
      </c>
      <c r="K9626">
        <v>0</v>
      </c>
      <c r="L9626">
        <v>0</v>
      </c>
      <c r="M9626" t="s">
        <v>17</v>
      </c>
    </row>
    <row r="9627" spans="1:13" hidden="1" x14ac:dyDescent="0.15">
      <c r="A9627" t="s">
        <v>30292</v>
      </c>
      <c r="B9627" t="s">
        <v>30293</v>
      </c>
      <c r="C9627" t="s">
        <v>30294</v>
      </c>
      <c r="D9627" t="s">
        <v>30295</v>
      </c>
      <c r="E9627">
        <v>10</v>
      </c>
      <c r="F9627" t="str">
        <f>HYPERLINK("https://github.com/eltos/SimpleDialogFragments/issues/33", "show")</f>
        <v>show</v>
      </c>
      <c r="G9627" t="str">
        <f>HYPERLINK("https://github.com/eltos/SimpleDialogFragments", "show")</f>
        <v>show</v>
      </c>
      <c r="H9627" t="str">
        <f>HYPERLINK("https://github.com/eltos/SimpleDialogFragments/releases", "show")</f>
        <v>show</v>
      </c>
      <c r="I9627">
        <v>1</v>
      </c>
      <c r="J9627">
        <v>1</v>
      </c>
      <c r="K9627">
        <v>0</v>
      </c>
      <c r="L9627">
        <v>0</v>
      </c>
      <c r="M9627" t="s">
        <v>48</v>
      </c>
    </row>
    <row r="9628" spans="1:13" hidden="1" x14ac:dyDescent="0.15">
      <c r="A9628" t="s">
        <v>30296</v>
      </c>
      <c r="B9628" t="s">
        <v>30297</v>
      </c>
      <c r="C9628" t="s">
        <v>30298</v>
      </c>
      <c r="D9628" t="s">
        <v>30299</v>
      </c>
      <c r="E9628">
        <v>2</v>
      </c>
      <c r="F9628" t="str">
        <f>HYPERLINK("https://github.com/andOTP/andOTP/issues/159", "show")</f>
        <v>show</v>
      </c>
      <c r="G9628" t="str">
        <f>HYPERLINK("https://github.com/andOTP/andOTP", "show")</f>
        <v>show</v>
      </c>
      <c r="H9628" t="str">
        <f>HYPERLINK("https://github.com/andOTP/andOTP/releases", "show")</f>
        <v>show</v>
      </c>
      <c r="I9628">
        <v>0</v>
      </c>
      <c r="J9628">
        <v>1</v>
      </c>
      <c r="K9628">
        <v>1</v>
      </c>
      <c r="L9628">
        <v>0</v>
      </c>
      <c r="M9628" t="s">
        <v>699</v>
      </c>
    </row>
    <row r="9629" spans="1:13" hidden="1" x14ac:dyDescent="0.15">
      <c r="A9629" t="s">
        <v>30300</v>
      </c>
      <c r="B9629" t="s">
        <v>30301</v>
      </c>
      <c r="C9629" t="s">
        <v>30302</v>
      </c>
      <c r="D9629" t="s">
        <v>30299</v>
      </c>
      <c r="E9629">
        <v>0</v>
      </c>
      <c r="F9629" t="str">
        <f>HYPERLINK("https://github.com/aionnetwork/aion/issues/208", "show")</f>
        <v>show</v>
      </c>
      <c r="G9629" t="str">
        <f>HYPERLINK("https://github.com/aionnetwork/aion", "show")</f>
        <v>show</v>
      </c>
      <c r="H9629" t="str">
        <f>HYPERLINK("https://github.com/aionnetwork/aion/releases", "show")</f>
        <v>show</v>
      </c>
      <c r="I9629">
        <v>0</v>
      </c>
      <c r="J9629">
        <v>0</v>
      </c>
      <c r="K9629">
        <v>0</v>
      </c>
      <c r="L9629">
        <v>1</v>
      </c>
      <c r="M9629" t="s">
        <v>581</v>
      </c>
    </row>
    <row r="9630" spans="1:13" hidden="1" x14ac:dyDescent="0.15">
      <c r="A9630" t="s">
        <v>30303</v>
      </c>
      <c r="B9630" t="s">
        <v>30304</v>
      </c>
      <c r="C9630" t="s">
        <v>30305</v>
      </c>
      <c r="D9630" t="s">
        <v>30306</v>
      </c>
      <c r="E9630">
        <v>116</v>
      </c>
      <c r="F9630" t="str">
        <f>HYPERLINK("https://github.com/rollbar/rollbar-react-native/issues/21", "show")</f>
        <v>show</v>
      </c>
      <c r="G9630" t="str">
        <f>HYPERLINK("https://github.com/rollbar/rollbar-react-native", "show")</f>
        <v>show</v>
      </c>
      <c r="H9630" t="str">
        <f>HYPERLINK("https://github.com/rollbar/rollbar-react-native/releases", "show")</f>
        <v>show</v>
      </c>
      <c r="I9630">
        <v>1</v>
      </c>
      <c r="J9630">
        <v>0</v>
      </c>
      <c r="K9630">
        <v>0</v>
      </c>
      <c r="L9630">
        <v>0</v>
      </c>
      <c r="M9630" t="s">
        <v>17</v>
      </c>
    </row>
    <row r="9631" spans="1:13" hidden="1" x14ac:dyDescent="0.15">
      <c r="A9631" t="s">
        <v>30307</v>
      </c>
      <c r="B9631" t="s">
        <v>30308</v>
      </c>
      <c r="C9631" t="s">
        <v>30309</v>
      </c>
      <c r="D9631" t="s">
        <v>30306</v>
      </c>
      <c r="E9631">
        <v>5</v>
      </c>
      <c r="F9631" t="str">
        <f>HYPERLINK("https://github.com/rollbar/rollbar-java/issues/110", "show")</f>
        <v>show</v>
      </c>
      <c r="G9631" t="str">
        <f>HYPERLINK("https://github.com/rollbar/rollbar-java", "show")</f>
        <v>show</v>
      </c>
      <c r="H9631" t="str">
        <f>HYPERLINK("https://github.com/rollbar/rollbar-java/releases", "show")</f>
        <v>show</v>
      </c>
      <c r="I9631">
        <v>1</v>
      </c>
      <c r="J9631">
        <v>0</v>
      </c>
      <c r="K9631">
        <v>0</v>
      </c>
      <c r="L9631">
        <v>0</v>
      </c>
      <c r="M9631" t="s">
        <v>17</v>
      </c>
    </row>
    <row r="9632" spans="1:13" hidden="1" x14ac:dyDescent="0.15">
      <c r="A9632" t="s">
        <v>30310</v>
      </c>
      <c r="B9632" t="s">
        <v>30311</v>
      </c>
      <c r="C9632" t="s">
        <v>30312</v>
      </c>
      <c r="D9632" t="s">
        <v>30306</v>
      </c>
      <c r="E9632">
        <v>9</v>
      </c>
      <c r="F9632" t="str">
        <f>HYPERLINK("https://github.com/nikita36078/J2ME-Loader/issues/226", "show")</f>
        <v>show</v>
      </c>
      <c r="G9632" t="str">
        <f>HYPERLINK("https://github.com/nikita36078/J2ME-Loader", "show")</f>
        <v>show</v>
      </c>
      <c r="H9632" t="str">
        <f>HYPERLINK("https://github.com/nikita36078/J2ME-Loader/releases", "show")</f>
        <v>show</v>
      </c>
      <c r="I9632">
        <v>1</v>
      </c>
      <c r="J9632">
        <v>0</v>
      </c>
      <c r="K9632">
        <v>0</v>
      </c>
      <c r="L9632">
        <v>0</v>
      </c>
      <c r="M9632" t="s">
        <v>17</v>
      </c>
    </row>
    <row r="9633" spans="1:13" x14ac:dyDescent="0.15">
      <c r="A9633" t="s">
        <v>30313</v>
      </c>
      <c r="B9633" t="s">
        <v>30314</v>
      </c>
      <c r="C9633" t="s">
        <v>30315</v>
      </c>
      <c r="D9633" t="s">
        <v>30306</v>
      </c>
      <c r="E9633">
        <v>662</v>
      </c>
      <c r="F9633" t="str">
        <f>HYPERLINK("https://github.com/k9mail/k-9/issues/3266", "show")</f>
        <v>show</v>
      </c>
      <c r="G9633" t="str">
        <f>HYPERLINK("https://github.com/k9mail/k-9", "show")</f>
        <v>show</v>
      </c>
      <c r="H9633" t="str">
        <f>HYPERLINK("https://github.com/k9mail/k-9/releases", "show")</f>
        <v>show</v>
      </c>
      <c r="I9633">
        <v>0</v>
      </c>
      <c r="J9633">
        <v>1</v>
      </c>
      <c r="K9633">
        <v>0</v>
      </c>
      <c r="L9633">
        <v>0</v>
      </c>
      <c r="M9633" t="s">
        <v>139</v>
      </c>
    </row>
    <row r="9634" spans="1:13" hidden="1" x14ac:dyDescent="0.15">
      <c r="A9634" t="s">
        <v>30316</v>
      </c>
      <c r="B9634" t="s">
        <v>30317</v>
      </c>
      <c r="C9634" t="s">
        <v>30318</v>
      </c>
      <c r="D9634" t="s">
        <v>30306</v>
      </c>
      <c r="E9634">
        <v>193</v>
      </c>
      <c r="F9634" t="str">
        <f>HYPERLINK("https://github.com/react-native-camera/react-native-camera/issues/1357", "show")</f>
        <v>show</v>
      </c>
      <c r="G9634" t="str">
        <f>HYPERLINK("https://github.com/react-native-camera/react-native-camera", "show")</f>
        <v>show</v>
      </c>
      <c r="H9634" t="str">
        <f>HYPERLINK("https://github.com/react-native-camera/react-native-camera/releases", "show")</f>
        <v>show</v>
      </c>
      <c r="I9634">
        <v>1</v>
      </c>
      <c r="J9634">
        <v>0</v>
      </c>
      <c r="K9634">
        <v>1</v>
      </c>
      <c r="L9634">
        <v>0</v>
      </c>
      <c r="M9634" t="s">
        <v>64</v>
      </c>
    </row>
    <row r="9635" spans="1:13" hidden="1" x14ac:dyDescent="0.15">
      <c r="A9635" t="s">
        <v>30319</v>
      </c>
      <c r="B9635" t="s">
        <v>30320</v>
      </c>
      <c r="C9635" t="s">
        <v>30321</v>
      </c>
      <c r="D9635" t="s">
        <v>30306</v>
      </c>
      <c r="E9635">
        <v>6</v>
      </c>
      <c r="F9635" t="str">
        <f>HYPERLINK("https://github.com/opensrp/opensrp-client-growth-monitoring/issues/22", "show")</f>
        <v>show</v>
      </c>
      <c r="G9635" t="str">
        <f>HYPERLINK("https://github.com/opensrp/opensrp-client-growth-monitoring", "show")</f>
        <v>show</v>
      </c>
      <c r="H9635" t="str">
        <f>HYPERLINK("https://github.com/opensrp/opensrp-client-growth-monitoring/releases", "show")</f>
        <v>show</v>
      </c>
      <c r="I9635">
        <v>1</v>
      </c>
      <c r="J9635">
        <v>0</v>
      </c>
      <c r="K9635">
        <v>0</v>
      </c>
      <c r="L9635">
        <v>0</v>
      </c>
      <c r="M9635" t="s">
        <v>17</v>
      </c>
    </row>
    <row r="9636" spans="1:13" hidden="1" x14ac:dyDescent="0.15">
      <c r="A9636" t="s">
        <v>30322</v>
      </c>
      <c r="B9636" t="s">
        <v>30323</v>
      </c>
      <c r="C9636" t="s">
        <v>30324</v>
      </c>
      <c r="D9636" t="s">
        <v>30325</v>
      </c>
      <c r="E9636">
        <v>1</v>
      </c>
      <c r="F9636" t="str">
        <f>HYPERLINK("https://github.com/JulianSobott/Catan/issues/31", "show")</f>
        <v>show</v>
      </c>
      <c r="G9636" t="str">
        <f>HYPERLINK("https://github.com/JulianSobott/Catan", "show")</f>
        <v>show</v>
      </c>
      <c r="H9636" t="str">
        <f>HYPERLINK("https://github.com/JulianSobott/Catan/releases", "show")</f>
        <v>show</v>
      </c>
      <c r="I9636">
        <v>1</v>
      </c>
      <c r="J9636">
        <v>0</v>
      </c>
      <c r="K9636">
        <v>0</v>
      </c>
      <c r="L9636">
        <v>0</v>
      </c>
      <c r="M9636" t="s">
        <v>17</v>
      </c>
    </row>
    <row r="9637" spans="1:13" hidden="1" x14ac:dyDescent="0.15">
      <c r="A9637" t="s">
        <v>30326</v>
      </c>
      <c r="B9637" t="s">
        <v>30327</v>
      </c>
      <c r="C9637" t="s">
        <v>30328</v>
      </c>
      <c r="D9637" t="s">
        <v>30325</v>
      </c>
      <c r="E9637">
        <v>439</v>
      </c>
      <c r="F9637" t="str">
        <f>HYPERLINK("https://github.com/nikita36078/J2ME-Loader/issues/222", "show")</f>
        <v>show</v>
      </c>
      <c r="G9637" t="str">
        <f>HYPERLINK("https://github.com/nikita36078/J2ME-Loader", "show")</f>
        <v>show</v>
      </c>
      <c r="H9637" t="str">
        <f>HYPERLINK("https://github.com/nikita36078/J2ME-Loader/releases", "show")</f>
        <v>show</v>
      </c>
      <c r="I9637">
        <v>1</v>
      </c>
      <c r="J9637">
        <v>0</v>
      </c>
      <c r="K9637">
        <v>0</v>
      </c>
      <c r="L9637">
        <v>0</v>
      </c>
      <c r="M9637" t="s">
        <v>17</v>
      </c>
    </row>
    <row r="9638" spans="1:13" hidden="1" x14ac:dyDescent="0.15">
      <c r="A9638" t="s">
        <v>30329</v>
      </c>
      <c r="B9638" t="s">
        <v>30330</v>
      </c>
      <c r="C9638" t="s">
        <v>30331</v>
      </c>
      <c r="D9638" t="s">
        <v>30325</v>
      </c>
      <c r="E9638">
        <v>4</v>
      </c>
      <c r="F9638" t="str">
        <f>HYPERLINK("https://github.com/antest1/kcanotify/issues/46", "show")</f>
        <v>show</v>
      </c>
      <c r="G9638" t="str">
        <f>HYPERLINK("https://github.com/antest1/kcanotify", "show")</f>
        <v>show</v>
      </c>
      <c r="H9638" t="str">
        <f>HYPERLINK("https://github.com/antest1/kcanotify/releases", "show")</f>
        <v>show</v>
      </c>
      <c r="I9638">
        <v>1</v>
      </c>
      <c r="J9638">
        <v>0</v>
      </c>
      <c r="K9638">
        <v>0</v>
      </c>
      <c r="L9638">
        <v>0</v>
      </c>
      <c r="M9638" t="s">
        <v>17</v>
      </c>
    </row>
    <row r="9639" spans="1:13" hidden="1" x14ac:dyDescent="0.15">
      <c r="A9639" t="s">
        <v>30332</v>
      </c>
      <c r="B9639" t="s">
        <v>30333</v>
      </c>
      <c r="C9639" t="s">
        <v>30334</v>
      </c>
      <c r="D9639" t="s">
        <v>30325</v>
      </c>
      <c r="E9639">
        <v>76</v>
      </c>
      <c r="F9639" t="str">
        <f>HYPERLINK("https://github.com/mapbox/mapbox-plugins-android/issues/361", "show")</f>
        <v>show</v>
      </c>
      <c r="G9639" t="str">
        <f>HYPERLINK("https://github.com/mapbox/mapbox-plugins-android", "show")</f>
        <v>show</v>
      </c>
      <c r="H9639" t="str">
        <f>HYPERLINK("https://github.com/mapbox/mapbox-plugins-android/releases", "show")</f>
        <v>show</v>
      </c>
      <c r="I9639">
        <v>1</v>
      </c>
      <c r="J9639">
        <v>0</v>
      </c>
      <c r="K9639">
        <v>0</v>
      </c>
      <c r="L9639">
        <v>0</v>
      </c>
      <c r="M9639" t="s">
        <v>17</v>
      </c>
    </row>
    <row r="9640" spans="1:13" hidden="1" x14ac:dyDescent="0.15">
      <c r="A9640" t="s">
        <v>30335</v>
      </c>
      <c r="B9640" t="s">
        <v>30336</v>
      </c>
      <c r="C9640" t="s">
        <v>30337</v>
      </c>
      <c r="D9640" t="s">
        <v>30338</v>
      </c>
      <c r="E9640">
        <v>11</v>
      </c>
      <c r="F9640" t="str">
        <f>HYPERLINK("https://github.com/nvllsvm/Audinaut/issues/23", "show")</f>
        <v>show</v>
      </c>
      <c r="G9640" t="str">
        <f>HYPERLINK("https://github.com/nvllsvm/Audinaut", "show")</f>
        <v>show</v>
      </c>
      <c r="H9640" t="str">
        <f>HYPERLINK("https://github.com/nvllsvm/Audinaut/releases", "show")</f>
        <v>show</v>
      </c>
      <c r="I9640">
        <v>1</v>
      </c>
      <c r="J9640">
        <v>1</v>
      </c>
      <c r="K9640">
        <v>0</v>
      </c>
      <c r="L9640">
        <v>0</v>
      </c>
      <c r="M9640" t="s">
        <v>48</v>
      </c>
    </row>
    <row r="9641" spans="1:13" hidden="1" x14ac:dyDescent="0.15">
      <c r="A9641" t="s">
        <v>30339</v>
      </c>
      <c r="B9641" t="s">
        <v>30340</v>
      </c>
      <c r="C9641" t="s">
        <v>30341</v>
      </c>
      <c r="D9641" t="s">
        <v>30338</v>
      </c>
      <c r="E9641">
        <v>413</v>
      </c>
      <c r="F9641" t="str">
        <f>HYPERLINK("https://github.com/nitaliano/react-native-mapbox-gl/issues/1110", "show")</f>
        <v>show</v>
      </c>
      <c r="G9641" t="str">
        <f>HYPERLINK("https://github.com/nitaliano/react-native-mapbox-gl", "show")</f>
        <v>show</v>
      </c>
      <c r="H9641" t="str">
        <f>HYPERLINK("https://github.com/nitaliano/react-native-mapbox-gl/releases", "show")</f>
        <v>show</v>
      </c>
      <c r="I9641">
        <v>1</v>
      </c>
      <c r="J9641">
        <v>0</v>
      </c>
      <c r="K9641">
        <v>0</v>
      </c>
      <c r="L9641">
        <v>0</v>
      </c>
      <c r="M9641" t="s">
        <v>17</v>
      </c>
    </row>
    <row r="9642" spans="1:13" hidden="1" x14ac:dyDescent="0.15">
      <c r="A9642" t="s">
        <v>30342</v>
      </c>
      <c r="B9642" t="s">
        <v>30343</v>
      </c>
      <c r="C9642" t="s">
        <v>30344</v>
      </c>
      <c r="D9642" t="s">
        <v>30338</v>
      </c>
      <c r="E9642">
        <v>102</v>
      </c>
      <c r="F9642" t="str">
        <f>HYPERLINK("https://github.com/k9mail/k-9/issues/3255", "show")</f>
        <v>show</v>
      </c>
      <c r="G9642" t="str">
        <f>HYPERLINK("https://github.com/k9mail/k-9", "show")</f>
        <v>show</v>
      </c>
      <c r="H9642" t="str">
        <f>HYPERLINK("https://github.com/k9mail/k-9/releases", "show")</f>
        <v>show</v>
      </c>
      <c r="I9642">
        <v>1</v>
      </c>
      <c r="J9642">
        <v>1</v>
      </c>
      <c r="K9642">
        <v>0</v>
      </c>
      <c r="L9642">
        <v>0</v>
      </c>
      <c r="M9642" t="s">
        <v>48</v>
      </c>
    </row>
    <row r="9643" spans="1:13" hidden="1" x14ac:dyDescent="0.15">
      <c r="A9643" t="s">
        <v>30345</v>
      </c>
      <c r="B9643" t="s">
        <v>30346</v>
      </c>
      <c r="D9643" t="s">
        <v>30338</v>
      </c>
      <c r="E9643">
        <v>0</v>
      </c>
      <c r="F9643" t="str">
        <f>HYPERLINK("https://github.com/couchbaselabs/mobile-travel-sample/issues/40", "show")</f>
        <v>show</v>
      </c>
      <c r="G9643" t="str">
        <f>HYPERLINK("https://github.com/couchbaselabs/mobile-travel-sample", "show")</f>
        <v>show</v>
      </c>
      <c r="H9643" t="str">
        <f>HYPERLINK("https://github.com/couchbaselabs/mobile-travel-sample/releases", "show")</f>
        <v>show</v>
      </c>
      <c r="I9643">
        <v>1</v>
      </c>
      <c r="J9643">
        <v>0</v>
      </c>
      <c r="K9643">
        <v>0</v>
      </c>
      <c r="L9643">
        <v>0</v>
      </c>
      <c r="M9643" t="s">
        <v>17</v>
      </c>
    </row>
    <row r="9644" spans="1:13" hidden="1" x14ac:dyDescent="0.15">
      <c r="A9644" t="s">
        <v>30347</v>
      </c>
      <c r="B9644" t="s">
        <v>30348</v>
      </c>
      <c r="C9644" t="s">
        <v>30349</v>
      </c>
      <c r="D9644" t="s">
        <v>30350</v>
      </c>
      <c r="E9644">
        <v>50</v>
      </c>
      <c r="F9644" t="str">
        <f>HYPERLINK("https://github.com/ramack/ActivityDiary/issues/119", "show")</f>
        <v>show</v>
      </c>
      <c r="G9644" t="str">
        <f>HYPERLINK("https://github.com/ramack/ActivityDiary", "show")</f>
        <v>show</v>
      </c>
      <c r="H9644" t="str">
        <f>HYPERLINK("https://github.com/ramack/ActivityDiary/releases", "show")</f>
        <v>show</v>
      </c>
      <c r="I9644">
        <v>1</v>
      </c>
      <c r="J9644">
        <v>1</v>
      </c>
      <c r="K9644">
        <v>0</v>
      </c>
      <c r="L9644">
        <v>0</v>
      </c>
      <c r="M9644" t="s">
        <v>48</v>
      </c>
    </row>
    <row r="9645" spans="1:13" hidden="1" x14ac:dyDescent="0.15">
      <c r="A9645" t="s">
        <v>30351</v>
      </c>
      <c r="B9645" t="s">
        <v>30352</v>
      </c>
      <c r="C9645" t="s">
        <v>30353</v>
      </c>
      <c r="D9645" t="s">
        <v>30350</v>
      </c>
      <c r="E9645">
        <v>61</v>
      </c>
      <c r="F9645" t="str">
        <f>HYPERLINK("https://github.com/codinguser/gnucash-android/issues/771", "show")</f>
        <v>show</v>
      </c>
      <c r="G9645" t="str">
        <f>HYPERLINK("https://github.com/codinguser/gnucash-android", "show")</f>
        <v>show</v>
      </c>
      <c r="H9645" t="str">
        <f>HYPERLINK("https://github.com/codinguser/gnucash-android/releases", "show")</f>
        <v>show</v>
      </c>
      <c r="I9645">
        <v>1</v>
      </c>
      <c r="J9645">
        <v>1</v>
      </c>
      <c r="K9645">
        <v>0</v>
      </c>
      <c r="L9645">
        <v>0</v>
      </c>
      <c r="M9645" t="s">
        <v>48</v>
      </c>
    </row>
    <row r="9646" spans="1:13" hidden="1" x14ac:dyDescent="0.15">
      <c r="A9646" t="s">
        <v>30354</v>
      </c>
      <c r="B9646" t="s">
        <v>30355</v>
      </c>
      <c r="C9646" t="s">
        <v>30356</v>
      </c>
      <c r="D9646" t="s">
        <v>30350</v>
      </c>
      <c r="E9646">
        <v>11</v>
      </c>
      <c r="F9646" t="str">
        <f>HYPERLINK("https://github.com/forrestguice/SuntimesWidget/issues/177", "show")</f>
        <v>show</v>
      </c>
      <c r="G9646" t="str">
        <f>HYPERLINK("https://github.com/forrestguice/SuntimesWidget", "show")</f>
        <v>show</v>
      </c>
      <c r="H9646" t="str">
        <f>HYPERLINK("https://github.com/forrestguice/SuntimesWidget/releases", "show")</f>
        <v>show</v>
      </c>
      <c r="I9646">
        <v>1</v>
      </c>
      <c r="J9646">
        <v>0</v>
      </c>
      <c r="K9646">
        <v>0</v>
      </c>
      <c r="L9646">
        <v>0</v>
      </c>
      <c r="M9646" t="s">
        <v>17</v>
      </c>
    </row>
    <row r="9647" spans="1:13" hidden="1" x14ac:dyDescent="0.15">
      <c r="A9647" t="s">
        <v>30357</v>
      </c>
      <c r="B9647" t="s">
        <v>30358</v>
      </c>
      <c r="C9647" t="s">
        <v>30359</v>
      </c>
      <c r="D9647" t="s">
        <v>30350</v>
      </c>
      <c r="E9647">
        <v>7</v>
      </c>
      <c r="F9647" t="str">
        <f>HYPERLINK("https://github.com/calypsonet/keyple-java/issues/48", "show")</f>
        <v>show</v>
      </c>
      <c r="G9647" t="str">
        <f>HYPERLINK("https://github.com/calypsonet/keyple-java", "show")</f>
        <v>show</v>
      </c>
      <c r="H9647" t="str">
        <f>HYPERLINK("https://github.com/calypsonet/keyple-java/releases", "show")</f>
        <v>show</v>
      </c>
      <c r="I9647">
        <v>1</v>
      </c>
      <c r="J9647">
        <v>0</v>
      </c>
      <c r="K9647">
        <v>1</v>
      </c>
      <c r="L9647">
        <v>0</v>
      </c>
      <c r="M9647" t="s">
        <v>64</v>
      </c>
    </row>
    <row r="9648" spans="1:13" hidden="1" x14ac:dyDescent="0.15">
      <c r="A9648" t="s">
        <v>30360</v>
      </c>
      <c r="B9648" t="s">
        <v>30361</v>
      </c>
      <c r="C9648" t="s">
        <v>30362</v>
      </c>
      <c r="D9648" t="s">
        <v>30350</v>
      </c>
      <c r="E9648">
        <v>537</v>
      </c>
      <c r="F9648" t="str">
        <f>HYPERLINK("https://github.com/Tencent/tinker/issues/787", "show")</f>
        <v>show</v>
      </c>
      <c r="G9648" t="str">
        <f>HYPERLINK("https://github.com/Tencent/tinker", "show")</f>
        <v>show</v>
      </c>
      <c r="H9648" t="str">
        <f>HYPERLINK("https://github.com/Tencent/tinker/releases", "show")</f>
        <v>show</v>
      </c>
      <c r="I9648">
        <v>0</v>
      </c>
      <c r="J9648">
        <v>0</v>
      </c>
      <c r="K9648">
        <v>1</v>
      </c>
      <c r="L9648">
        <v>0</v>
      </c>
      <c r="M9648" t="s">
        <v>122</v>
      </c>
    </row>
    <row r="9649" spans="1:13" hidden="1" x14ac:dyDescent="0.15">
      <c r="A9649" t="s">
        <v>30363</v>
      </c>
      <c r="B9649" t="s">
        <v>30364</v>
      </c>
      <c r="C9649" t="s">
        <v>30365</v>
      </c>
      <c r="D9649" t="s">
        <v>30350</v>
      </c>
      <c r="E9649">
        <v>111</v>
      </c>
      <c r="F9649" t="str">
        <f>HYPERLINK("https://github.com/doublesymmetry/react-native-track-player/issues/159", "show")</f>
        <v>show</v>
      </c>
      <c r="G9649" t="str">
        <f>HYPERLINK("https://github.com/doublesymmetry/react-native-track-player", "show")</f>
        <v>show</v>
      </c>
      <c r="H9649" t="str">
        <f>HYPERLINK("https://github.com/doublesymmetry/react-native-track-player/releases", "show")</f>
        <v>show</v>
      </c>
      <c r="I9649">
        <v>1</v>
      </c>
      <c r="J9649">
        <v>0</v>
      </c>
      <c r="K9649">
        <v>1</v>
      </c>
      <c r="L9649">
        <v>0</v>
      </c>
      <c r="M9649" t="s">
        <v>64</v>
      </c>
    </row>
    <row r="9650" spans="1:13" hidden="1" x14ac:dyDescent="0.15">
      <c r="A9650" t="s">
        <v>30366</v>
      </c>
      <c r="B9650" t="s">
        <v>30367</v>
      </c>
      <c r="C9650" t="s">
        <v>30368</v>
      </c>
      <c r="D9650" t="s">
        <v>30369</v>
      </c>
      <c r="E9650">
        <v>24</v>
      </c>
      <c r="F9650" t="str">
        <f>HYPERLINK("https://github.com/nextcloud/android/issues/2329", "show")</f>
        <v>show</v>
      </c>
      <c r="G9650" t="str">
        <f>HYPERLINK("https://github.com/nextcloud/android", "show")</f>
        <v>show</v>
      </c>
      <c r="H9650" t="str">
        <f>HYPERLINK("https://github.com/nextcloud/android/releases", "show")</f>
        <v>show</v>
      </c>
      <c r="I9650">
        <v>1</v>
      </c>
      <c r="J9650">
        <v>1</v>
      </c>
      <c r="K9650">
        <v>0</v>
      </c>
      <c r="L9650">
        <v>0</v>
      </c>
      <c r="M9650" t="s">
        <v>48</v>
      </c>
    </row>
    <row r="9651" spans="1:13" hidden="1" x14ac:dyDescent="0.15">
      <c r="A9651" t="s">
        <v>30370</v>
      </c>
      <c r="B9651" t="s">
        <v>30371</v>
      </c>
      <c r="C9651" t="s">
        <v>30372</v>
      </c>
      <c r="D9651" t="s">
        <v>30369</v>
      </c>
      <c r="E9651">
        <v>10</v>
      </c>
      <c r="F9651" t="str">
        <f>HYPERLINK("https://github.com/ttnmapper/ttnmapper_android_v2/issues/12", "show")</f>
        <v>show</v>
      </c>
      <c r="G9651" t="str">
        <f>HYPERLINK("https://github.com/ttnmapper/ttnmapper_android_v2", "show")</f>
        <v>show</v>
      </c>
      <c r="H9651" t="str">
        <f>HYPERLINK("https://github.com/ttnmapper/ttnmapper_android_v2/releases", "show")</f>
        <v>show</v>
      </c>
      <c r="I9651">
        <v>1</v>
      </c>
      <c r="J9651">
        <v>0</v>
      </c>
      <c r="K9651">
        <v>0</v>
      </c>
      <c r="L9651">
        <v>0</v>
      </c>
      <c r="M9651" t="s">
        <v>17</v>
      </c>
    </row>
    <row r="9652" spans="1:13" hidden="1" x14ac:dyDescent="0.15">
      <c r="A9652" t="s">
        <v>30373</v>
      </c>
      <c r="B9652" t="s">
        <v>30374</v>
      </c>
      <c r="C9652" t="s">
        <v>30375</v>
      </c>
      <c r="D9652" t="s">
        <v>30369</v>
      </c>
      <c r="E9652">
        <v>32</v>
      </c>
      <c r="F9652" t="str">
        <f>HYPERLINK("https://github.com/opensrp/opensrp-client-immunization/issues/26", "show")</f>
        <v>show</v>
      </c>
      <c r="G9652" t="str">
        <f>HYPERLINK("https://github.com/opensrp/opensrp-client-immunization", "show")</f>
        <v>show</v>
      </c>
      <c r="H9652" t="str">
        <f>HYPERLINK("https://github.com/opensrp/opensrp-client-immunization/releases", "show")</f>
        <v>show</v>
      </c>
      <c r="I9652">
        <v>1</v>
      </c>
      <c r="J9652">
        <v>0</v>
      </c>
      <c r="K9652">
        <v>0</v>
      </c>
      <c r="L9652">
        <v>0</v>
      </c>
      <c r="M9652" t="s">
        <v>17</v>
      </c>
    </row>
    <row r="9653" spans="1:13" hidden="1" x14ac:dyDescent="0.15">
      <c r="A9653" t="s">
        <v>30376</v>
      </c>
      <c r="B9653" t="s">
        <v>30377</v>
      </c>
      <c r="C9653" t="s">
        <v>30378</v>
      </c>
      <c r="D9653" t="s">
        <v>30369</v>
      </c>
      <c r="E9653">
        <v>11</v>
      </c>
      <c r="F9653" t="str">
        <f>HYPERLINK("https://github.com/kazijehangir/BloodHub/issues/24", "show")</f>
        <v>show</v>
      </c>
      <c r="G9653" t="str">
        <f>HYPERLINK("https://github.com/kazijehangir/BloodHub", "show")</f>
        <v>show</v>
      </c>
      <c r="H9653" t="str">
        <f>HYPERLINK("https://github.com/kazijehangir/BloodHub/releases", "show")</f>
        <v>show</v>
      </c>
      <c r="I9653">
        <v>1</v>
      </c>
      <c r="J9653">
        <v>0</v>
      </c>
      <c r="K9653">
        <v>0</v>
      </c>
      <c r="L9653">
        <v>0</v>
      </c>
      <c r="M9653" t="s">
        <v>17</v>
      </c>
    </row>
    <row r="9654" spans="1:13" hidden="1" x14ac:dyDescent="0.15">
      <c r="A9654" t="s">
        <v>30379</v>
      </c>
      <c r="B9654" t="s">
        <v>30380</v>
      </c>
      <c r="C9654" t="s">
        <v>30381</v>
      </c>
      <c r="D9654" t="s">
        <v>30369</v>
      </c>
      <c r="E9654">
        <v>1</v>
      </c>
      <c r="F9654" t="str">
        <f>HYPERLINK("https://github.com/brykan/WTNAndroid/issues/4", "show")</f>
        <v>show</v>
      </c>
      <c r="G9654" t="str">
        <f>HYPERLINK("https://github.com/brykan/WTNAndroid", "show")</f>
        <v>show</v>
      </c>
      <c r="H9654" t="str">
        <f>HYPERLINK("https://github.com/brykan/WTNAndroid/releases", "show")</f>
        <v>show</v>
      </c>
      <c r="I9654">
        <v>0</v>
      </c>
      <c r="J9654">
        <v>0</v>
      </c>
      <c r="K9654">
        <v>0</v>
      </c>
      <c r="L9654">
        <v>0</v>
      </c>
      <c r="M9654" t="s">
        <v>43</v>
      </c>
    </row>
    <row r="9655" spans="1:13" hidden="1" x14ac:dyDescent="0.15">
      <c r="A9655" t="s">
        <v>30382</v>
      </c>
      <c r="B9655" t="s">
        <v>30383</v>
      </c>
      <c r="C9655" t="s">
        <v>30384</v>
      </c>
      <c r="D9655" t="s">
        <v>30369</v>
      </c>
      <c r="E9655">
        <v>7</v>
      </c>
      <c r="F9655" t="str">
        <f>HYPERLINK("https://github.com/CodeTaj/Briar-CodeTingz/issues/71", "show")</f>
        <v>show</v>
      </c>
      <c r="G9655" t="str">
        <f>HYPERLINK("https://github.com/CodeTaj/Briar-CodeTingz", "show")</f>
        <v>show</v>
      </c>
      <c r="H9655" t="str">
        <f>HYPERLINK("https://github.com/CodeTaj/Briar-CodeTingz/releases", "show")</f>
        <v>show</v>
      </c>
      <c r="I9655">
        <v>1</v>
      </c>
      <c r="J9655">
        <v>0</v>
      </c>
      <c r="K9655">
        <v>0</v>
      </c>
      <c r="L9655">
        <v>0</v>
      </c>
      <c r="M9655" t="s">
        <v>17</v>
      </c>
    </row>
    <row r="9656" spans="1:13" hidden="1" x14ac:dyDescent="0.15">
      <c r="A9656" t="s">
        <v>30385</v>
      </c>
      <c r="B9656" t="s">
        <v>30386</v>
      </c>
      <c r="C9656" t="s">
        <v>30387</v>
      </c>
      <c r="D9656" t="s">
        <v>30369</v>
      </c>
      <c r="E9656">
        <v>26</v>
      </c>
      <c r="F9656" t="str">
        <f>HYPERLINK("https://github.com/LonamiWebs/Stringlate/issues/184", "show")</f>
        <v>show</v>
      </c>
      <c r="G9656" t="str">
        <f>HYPERLINK("https://github.com/LonamiWebs/Stringlate", "show")</f>
        <v>show</v>
      </c>
      <c r="H9656" t="str">
        <f>HYPERLINK("https://github.com/LonamiWebs/Stringlate/releases", "show")</f>
        <v>show</v>
      </c>
      <c r="I9656">
        <v>1</v>
      </c>
      <c r="J9656">
        <v>0</v>
      </c>
      <c r="K9656">
        <v>1</v>
      </c>
      <c r="L9656">
        <v>1</v>
      </c>
      <c r="M9656" t="s">
        <v>1259</v>
      </c>
    </row>
    <row r="9657" spans="1:13" hidden="1" x14ac:dyDescent="0.15">
      <c r="A9657" t="s">
        <v>30388</v>
      </c>
      <c r="B9657" t="s">
        <v>30389</v>
      </c>
      <c r="C9657" t="s">
        <v>30390</v>
      </c>
      <c r="D9657" t="s">
        <v>30369</v>
      </c>
      <c r="E9657">
        <v>322</v>
      </c>
      <c r="F9657" t="str">
        <f>HYPERLINK("https://github.com/Haptic-Apps/Slide/issues/2682", "show")</f>
        <v>show</v>
      </c>
      <c r="G9657" t="str">
        <f>HYPERLINK("https://github.com/Haptic-Apps/Slide", "show")</f>
        <v>show</v>
      </c>
      <c r="H9657" t="str">
        <f>HYPERLINK("https://github.com/Haptic-Apps/Slide/releases", "show")</f>
        <v>show</v>
      </c>
      <c r="I9657">
        <v>1</v>
      </c>
      <c r="J9657">
        <v>0</v>
      </c>
      <c r="K9657">
        <v>0</v>
      </c>
      <c r="L9657">
        <v>0</v>
      </c>
      <c r="M9657" t="s">
        <v>17</v>
      </c>
    </row>
    <row r="9658" spans="1:13" hidden="1" x14ac:dyDescent="0.15">
      <c r="A9658" t="s">
        <v>30391</v>
      </c>
      <c r="B9658" t="s">
        <v>30392</v>
      </c>
      <c r="C9658" t="s">
        <v>30393</v>
      </c>
      <c r="D9658" t="s">
        <v>30394</v>
      </c>
      <c r="E9658">
        <v>4</v>
      </c>
      <c r="F9658" t="str">
        <f>HYPERLINK("https://github.com/inaturalist/iNaturalistAndroid/issues/481", "show")</f>
        <v>show</v>
      </c>
      <c r="G9658" t="str">
        <f>HYPERLINK("https://github.com/inaturalist/iNaturalistAndroid", "show")</f>
        <v>show</v>
      </c>
      <c r="H9658" t="str">
        <f>HYPERLINK("https://github.com/inaturalist/iNaturalistAndroid/releases", "show")</f>
        <v>show</v>
      </c>
      <c r="I9658">
        <v>1</v>
      </c>
      <c r="J9658">
        <v>0</v>
      </c>
      <c r="K9658">
        <v>0</v>
      </c>
      <c r="L9658">
        <v>0</v>
      </c>
      <c r="M9658" t="s">
        <v>17</v>
      </c>
    </row>
    <row r="9659" spans="1:13" hidden="1" x14ac:dyDescent="0.15">
      <c r="A9659" t="s">
        <v>30395</v>
      </c>
      <c r="B9659" t="s">
        <v>30396</v>
      </c>
      <c r="C9659" t="s">
        <v>30397</v>
      </c>
      <c r="D9659" t="s">
        <v>30394</v>
      </c>
      <c r="E9659">
        <v>216</v>
      </c>
      <c r="F9659" t="str">
        <f>HYPERLINK("https://github.com/react-native-camera/react-native-camera/issues/1337", "show")</f>
        <v>show</v>
      </c>
      <c r="G9659" t="str">
        <f>HYPERLINK("https://github.com/react-native-camera/react-native-camera", "show")</f>
        <v>show</v>
      </c>
      <c r="H9659" t="str">
        <f>HYPERLINK("https://github.com/react-native-camera/react-native-camera/releases", "show")</f>
        <v>show</v>
      </c>
      <c r="I9659">
        <v>1</v>
      </c>
      <c r="J9659">
        <v>0</v>
      </c>
      <c r="K9659">
        <v>1</v>
      </c>
      <c r="L9659">
        <v>0</v>
      </c>
      <c r="M9659" t="s">
        <v>64</v>
      </c>
    </row>
    <row r="9660" spans="1:13" hidden="1" x14ac:dyDescent="0.15">
      <c r="A9660" t="s">
        <v>30398</v>
      </c>
      <c r="B9660" t="s">
        <v>30399</v>
      </c>
      <c r="C9660" t="s">
        <v>30400</v>
      </c>
      <c r="D9660" t="s">
        <v>30394</v>
      </c>
      <c r="E9660">
        <v>40</v>
      </c>
      <c r="F9660" t="str">
        <f>HYPERLINK("https://github.com/TeamNewPipe/NewPipe/issues/1176", "show")</f>
        <v>show</v>
      </c>
      <c r="G9660" t="str">
        <f>HYPERLINK("https://github.com/TeamNewPipe/NewPipe", "show")</f>
        <v>show</v>
      </c>
      <c r="H9660" t="str">
        <f>HYPERLINK("https://github.com/TeamNewPipe/NewPipe/releases", "show")</f>
        <v>show</v>
      </c>
      <c r="I9660">
        <v>1</v>
      </c>
      <c r="J9660">
        <v>0</v>
      </c>
      <c r="K9660">
        <v>1</v>
      </c>
      <c r="L9660">
        <v>0</v>
      </c>
      <c r="M9660" t="s">
        <v>64</v>
      </c>
    </row>
    <row r="9661" spans="1:13" hidden="1" x14ac:dyDescent="0.15">
      <c r="A9661" t="s">
        <v>30401</v>
      </c>
      <c r="B9661" t="s">
        <v>30402</v>
      </c>
      <c r="C9661" t="s">
        <v>30403</v>
      </c>
      <c r="D9661" t="s">
        <v>30404</v>
      </c>
      <c r="E9661">
        <v>442</v>
      </c>
      <c r="F9661" t="str">
        <f>HYPERLINK("https://github.com/nextcloud/android/issues/2318", "show")</f>
        <v>show</v>
      </c>
      <c r="G9661" t="str">
        <f>HYPERLINK("https://github.com/nextcloud/android", "show")</f>
        <v>show</v>
      </c>
      <c r="H9661" t="str">
        <f>HYPERLINK("https://github.com/nextcloud/android/releases", "show")</f>
        <v>show</v>
      </c>
      <c r="I9661">
        <v>1</v>
      </c>
      <c r="J9661">
        <v>1</v>
      </c>
      <c r="K9661">
        <v>1</v>
      </c>
      <c r="L9661">
        <v>0</v>
      </c>
      <c r="M9661" t="s">
        <v>59</v>
      </c>
    </row>
    <row r="9662" spans="1:13" hidden="1" x14ac:dyDescent="0.15">
      <c r="A9662" t="s">
        <v>30405</v>
      </c>
      <c r="B9662" t="s">
        <v>30406</v>
      </c>
      <c r="C9662" t="s">
        <v>30407</v>
      </c>
      <c r="D9662" t="s">
        <v>30404</v>
      </c>
      <c r="E9662">
        <v>227</v>
      </c>
      <c r="F9662" t="str">
        <f>HYPERLINK("https://github.com/doublesymmetry/react-native-track-player/issues/157", "show")</f>
        <v>show</v>
      </c>
      <c r="G9662" t="str">
        <f>HYPERLINK("https://github.com/doublesymmetry/react-native-track-player", "show")</f>
        <v>show</v>
      </c>
      <c r="H9662" t="str">
        <f>HYPERLINK("https://github.com/doublesymmetry/react-native-track-player/releases", "show")</f>
        <v>show</v>
      </c>
      <c r="I9662">
        <v>0</v>
      </c>
      <c r="J9662">
        <v>0</v>
      </c>
      <c r="K9662">
        <v>0</v>
      </c>
      <c r="L9662">
        <v>0</v>
      </c>
      <c r="M9662" t="s">
        <v>43</v>
      </c>
    </row>
    <row r="9663" spans="1:13" hidden="1" x14ac:dyDescent="0.15">
      <c r="A9663" t="s">
        <v>30408</v>
      </c>
      <c r="B9663" t="s">
        <v>30409</v>
      </c>
      <c r="C9663" t="s">
        <v>30410</v>
      </c>
      <c r="D9663" t="s">
        <v>30404</v>
      </c>
      <c r="E9663">
        <v>1</v>
      </c>
      <c r="F9663" t="str">
        <f>HYPERLINK("https://github.com/jruesga/rview/issues/68", "show")</f>
        <v>show</v>
      </c>
      <c r="G9663" t="str">
        <f>HYPERLINK("https://github.com/jruesga/rview", "show")</f>
        <v>show</v>
      </c>
      <c r="H9663" t="str">
        <f>HYPERLINK("https://github.com/jruesga/rview/releases", "show")</f>
        <v>show</v>
      </c>
      <c r="I9663">
        <v>1</v>
      </c>
      <c r="J9663">
        <v>0</v>
      </c>
      <c r="K9663">
        <v>0</v>
      </c>
      <c r="L9663">
        <v>1</v>
      </c>
      <c r="M9663" t="s">
        <v>29</v>
      </c>
    </row>
    <row r="9664" spans="1:13" hidden="1" x14ac:dyDescent="0.15">
      <c r="A9664" t="s">
        <v>30411</v>
      </c>
      <c r="B9664" t="s">
        <v>30412</v>
      </c>
      <c r="C9664" t="s">
        <v>30413</v>
      </c>
      <c r="D9664" t="s">
        <v>30404</v>
      </c>
      <c r="E9664">
        <v>0</v>
      </c>
      <c r="F9664" t="str">
        <f>HYPERLINK("https://github.com/barbeau/gpstest/issues/121", "show")</f>
        <v>show</v>
      </c>
      <c r="G9664" t="str">
        <f>HYPERLINK("https://github.com/barbeau/gpstest", "show")</f>
        <v>show</v>
      </c>
      <c r="H9664" t="str">
        <f>HYPERLINK("https://github.com/barbeau/gpstest/releases", "show")</f>
        <v>show</v>
      </c>
      <c r="I9664">
        <v>1</v>
      </c>
      <c r="J9664">
        <v>0</v>
      </c>
      <c r="K9664">
        <v>1</v>
      </c>
      <c r="L9664">
        <v>0</v>
      </c>
      <c r="M9664" t="s">
        <v>64</v>
      </c>
    </row>
    <row r="9665" spans="1:13" hidden="1" x14ac:dyDescent="0.15">
      <c r="A9665" t="s">
        <v>30414</v>
      </c>
      <c r="B9665" t="s">
        <v>30415</v>
      </c>
      <c r="C9665" t="s">
        <v>30416</v>
      </c>
      <c r="D9665" t="s">
        <v>30417</v>
      </c>
      <c r="E9665">
        <v>41</v>
      </c>
      <c r="F9665" t="str">
        <f>HYPERLINK("https://github.com/SCCapstone/Cupboard/issues/80", "show")</f>
        <v>show</v>
      </c>
      <c r="G9665" t="str">
        <f>HYPERLINK("https://github.com/SCCapstone/Cupboard", "show")</f>
        <v>show</v>
      </c>
      <c r="H9665" t="str">
        <f>HYPERLINK("https://github.com/SCCapstone/Cupboard/releases", "show")</f>
        <v>show</v>
      </c>
      <c r="I9665">
        <v>1</v>
      </c>
      <c r="J9665">
        <v>0</v>
      </c>
      <c r="K9665">
        <v>0</v>
      </c>
      <c r="L9665">
        <v>1</v>
      </c>
      <c r="M9665" t="s">
        <v>29</v>
      </c>
    </row>
    <row r="9666" spans="1:13" hidden="1" x14ac:dyDescent="0.15">
      <c r="A9666" t="s">
        <v>30418</v>
      </c>
      <c r="B9666" t="s">
        <v>30419</v>
      </c>
      <c r="D9666" t="s">
        <v>30417</v>
      </c>
      <c r="E9666">
        <v>1</v>
      </c>
      <c r="F9666" t="str">
        <f>HYPERLINK("https://github.com/septadev/SEPTA-Android/issues/149", "show")</f>
        <v>show</v>
      </c>
      <c r="G9666" t="str">
        <f>HYPERLINK("https://github.com/septadev/SEPTA-Android", "show")</f>
        <v>show</v>
      </c>
      <c r="H9666" t="str">
        <f>HYPERLINK("https://github.com/septadev/SEPTA-Android/releases", "show")</f>
        <v>show</v>
      </c>
      <c r="I9666">
        <v>1</v>
      </c>
      <c r="J9666">
        <v>0</v>
      </c>
      <c r="K9666">
        <v>0</v>
      </c>
      <c r="L9666">
        <v>0</v>
      </c>
      <c r="M9666" t="s">
        <v>17</v>
      </c>
    </row>
    <row r="9667" spans="1:13" hidden="1" x14ac:dyDescent="0.15">
      <c r="A9667" t="s">
        <v>30420</v>
      </c>
      <c r="B9667" t="s">
        <v>30421</v>
      </c>
      <c r="C9667" t="s">
        <v>30422</v>
      </c>
      <c r="D9667" t="s">
        <v>30417</v>
      </c>
      <c r="E9667">
        <v>365</v>
      </c>
      <c r="F9667" t="str">
        <f>HYPERLINK("https://github.com/nextcloud/android/issues/2307", "show")</f>
        <v>show</v>
      </c>
      <c r="G9667" t="str">
        <f>HYPERLINK("https://github.com/nextcloud/android", "show")</f>
        <v>show</v>
      </c>
      <c r="H9667" t="str">
        <f>HYPERLINK("https://github.com/nextcloud/android/releases", "show")</f>
        <v>show</v>
      </c>
      <c r="I9667">
        <v>1</v>
      </c>
      <c r="J9667">
        <v>1</v>
      </c>
      <c r="K9667">
        <v>0</v>
      </c>
      <c r="L9667">
        <v>0</v>
      </c>
      <c r="M9667" t="s">
        <v>48</v>
      </c>
    </row>
    <row r="9668" spans="1:13" hidden="1" x14ac:dyDescent="0.15">
      <c r="A9668" t="s">
        <v>30423</v>
      </c>
      <c r="B9668" t="s">
        <v>8411</v>
      </c>
      <c r="C9668" t="s">
        <v>30424</v>
      </c>
      <c r="D9668" t="s">
        <v>30425</v>
      </c>
      <c r="E9668">
        <v>2</v>
      </c>
      <c r="F9668" t="str">
        <f>HYPERLINK("https://github.com/nextcloud/android/issues/2306", "show")</f>
        <v>show</v>
      </c>
      <c r="G9668" t="str">
        <f>HYPERLINK("https://github.com/nextcloud/android", "show")</f>
        <v>show</v>
      </c>
      <c r="H9668" t="str">
        <f>HYPERLINK("https://github.com/nextcloud/android/releases", "show")</f>
        <v>show</v>
      </c>
      <c r="I9668">
        <v>1</v>
      </c>
      <c r="J9668">
        <v>0</v>
      </c>
      <c r="K9668">
        <v>0</v>
      </c>
      <c r="L9668">
        <v>0</v>
      </c>
      <c r="M9668" t="s">
        <v>17</v>
      </c>
    </row>
    <row r="9669" spans="1:13" hidden="1" x14ac:dyDescent="0.15">
      <c r="A9669" t="s">
        <v>30426</v>
      </c>
      <c r="B9669" t="s">
        <v>30427</v>
      </c>
      <c r="C9669" t="s">
        <v>30428</v>
      </c>
      <c r="D9669" t="s">
        <v>30425</v>
      </c>
      <c r="E9669">
        <v>3</v>
      </c>
      <c r="F9669" t="str">
        <f>HYPERLINK("https://github.com/ucsb-cs56-projects/cs56-android-smoke-signals/issues/56", "show")</f>
        <v>show</v>
      </c>
      <c r="G9669" t="str">
        <f>HYPERLINK("https://github.com/ucsb-cs56-projects/cs56-android-smoke-signals", "show")</f>
        <v>show</v>
      </c>
      <c r="H9669" t="str">
        <f>HYPERLINK("https://github.com/ucsb-cs56-projects/cs56-android-smoke-signals/releases", "show")</f>
        <v>show</v>
      </c>
      <c r="I9669">
        <v>1</v>
      </c>
      <c r="J9669">
        <v>1</v>
      </c>
      <c r="K9669">
        <v>0</v>
      </c>
      <c r="L9669">
        <v>0</v>
      </c>
      <c r="M9669" t="s">
        <v>48</v>
      </c>
    </row>
    <row r="9670" spans="1:13" hidden="1" x14ac:dyDescent="0.15">
      <c r="A9670" t="s">
        <v>30429</v>
      </c>
      <c r="B9670" t="s">
        <v>30430</v>
      </c>
      <c r="D9670" t="s">
        <v>30425</v>
      </c>
      <c r="E9670">
        <v>0</v>
      </c>
      <c r="F9670" t="str">
        <f>HYPERLINK("https://github.com/TeamWalrus/Walrus/issues/79", "show")</f>
        <v>show</v>
      </c>
      <c r="G9670" t="str">
        <f>HYPERLINK("https://github.com/TeamWalrus/Walrus", "show")</f>
        <v>show</v>
      </c>
      <c r="H9670" t="str">
        <f>HYPERLINK("https://github.com/TeamWalrus/Walrus/releases", "show")</f>
        <v>show</v>
      </c>
      <c r="I9670">
        <v>1</v>
      </c>
      <c r="J9670">
        <v>0</v>
      </c>
      <c r="K9670">
        <v>0</v>
      </c>
      <c r="L9670">
        <v>0</v>
      </c>
      <c r="M9670" t="s">
        <v>17</v>
      </c>
    </row>
    <row r="9671" spans="1:13" hidden="1" x14ac:dyDescent="0.15">
      <c r="A9671" t="s">
        <v>30431</v>
      </c>
      <c r="B9671" t="s">
        <v>30432</v>
      </c>
      <c r="C9671" t="s">
        <v>30433</v>
      </c>
      <c r="D9671" t="s">
        <v>30425</v>
      </c>
      <c r="E9671">
        <v>0</v>
      </c>
      <c r="F9671" t="str">
        <f>HYPERLINK("https://github.com/Genymobile/gnirehtet/issues/85", "show")</f>
        <v>show</v>
      </c>
      <c r="G9671" t="str">
        <f>HYPERLINK("https://github.com/Genymobile/gnirehtet", "show")</f>
        <v>show</v>
      </c>
      <c r="H9671" t="str">
        <f>HYPERLINK("https://github.com/Genymobile/gnirehtet/releases", "show")</f>
        <v>show</v>
      </c>
      <c r="I9671">
        <v>1</v>
      </c>
      <c r="J9671">
        <v>0</v>
      </c>
      <c r="K9671">
        <v>0</v>
      </c>
      <c r="L9671">
        <v>0</v>
      </c>
      <c r="M9671" t="s">
        <v>17</v>
      </c>
    </row>
    <row r="9672" spans="1:13" hidden="1" x14ac:dyDescent="0.15">
      <c r="A9672" t="s">
        <v>30434</v>
      </c>
      <c r="B9672" t="s">
        <v>30435</v>
      </c>
      <c r="C9672" t="s">
        <v>30436</v>
      </c>
      <c r="D9672" t="s">
        <v>30437</v>
      </c>
      <c r="E9672">
        <v>4</v>
      </c>
      <c r="F9672" t="str">
        <f>HYPERLINK("https://github.com/YoungMaker/iORC/issues/55", "show")</f>
        <v>show</v>
      </c>
      <c r="G9672" t="str">
        <f>HYPERLINK("https://github.com/YoungMaker/iORC", "show")</f>
        <v>show</v>
      </c>
      <c r="H9672" t="str">
        <f>HYPERLINK("https://github.com/YoungMaker/iORC/releases", "show")</f>
        <v>show</v>
      </c>
      <c r="I9672">
        <v>1</v>
      </c>
      <c r="J9672">
        <v>0</v>
      </c>
      <c r="K9672">
        <v>0</v>
      </c>
      <c r="L9672">
        <v>0</v>
      </c>
      <c r="M9672" t="s">
        <v>17</v>
      </c>
    </row>
    <row r="9673" spans="1:13" hidden="1" x14ac:dyDescent="0.15">
      <c r="A9673" t="s">
        <v>30438</v>
      </c>
      <c r="B9673" t="s">
        <v>30439</v>
      </c>
      <c r="C9673" t="s">
        <v>30440</v>
      </c>
      <c r="D9673" t="s">
        <v>30441</v>
      </c>
      <c r="E9673">
        <v>0</v>
      </c>
      <c r="F9673" t="str">
        <f>HYPERLINK("https://github.com/YoungMaker/iORC/issues/51", "show")</f>
        <v>show</v>
      </c>
      <c r="G9673" t="str">
        <f>HYPERLINK("https://github.com/YoungMaker/iORC", "show")</f>
        <v>show</v>
      </c>
      <c r="H9673" t="str">
        <f>HYPERLINK("https://github.com/YoungMaker/iORC/releases", "show")</f>
        <v>show</v>
      </c>
      <c r="I9673">
        <v>1</v>
      </c>
      <c r="J9673">
        <v>0</v>
      </c>
      <c r="K9673">
        <v>0</v>
      </c>
      <c r="L9673">
        <v>0</v>
      </c>
      <c r="M9673" t="s">
        <v>17</v>
      </c>
    </row>
    <row r="9674" spans="1:13" hidden="1" x14ac:dyDescent="0.15">
      <c r="A9674" t="s">
        <v>30442</v>
      </c>
      <c r="B9674" t="s">
        <v>30443</v>
      </c>
      <c r="C9674" t="s">
        <v>30444</v>
      </c>
      <c r="D9674" t="s">
        <v>30445</v>
      </c>
      <c r="E9674">
        <v>0</v>
      </c>
      <c r="F9674" t="str">
        <f>HYPERLINK("https://github.com/YoungMaker/iORC/issues/48", "show")</f>
        <v>show</v>
      </c>
      <c r="G9674" t="str">
        <f>HYPERLINK("https://github.com/YoungMaker/iORC", "show")</f>
        <v>show</v>
      </c>
      <c r="H9674" t="str">
        <f>HYPERLINK("https://github.com/YoungMaker/iORC/releases", "show")</f>
        <v>show</v>
      </c>
      <c r="I9674">
        <v>1</v>
      </c>
      <c r="J9674">
        <v>0</v>
      </c>
      <c r="K9674">
        <v>0</v>
      </c>
      <c r="L9674">
        <v>0</v>
      </c>
      <c r="M9674" t="s">
        <v>17</v>
      </c>
    </row>
    <row r="9675" spans="1:13" hidden="1" x14ac:dyDescent="0.15">
      <c r="A9675" t="s">
        <v>30446</v>
      </c>
      <c r="B9675" t="s">
        <v>30447</v>
      </c>
      <c r="C9675" t="s">
        <v>30448</v>
      </c>
      <c r="D9675" t="s">
        <v>30445</v>
      </c>
      <c r="E9675">
        <v>180</v>
      </c>
      <c r="F9675" t="str">
        <f>HYPERLINK("https://github.com/nikita36078/J2ME-Loader/issues/185", "show")</f>
        <v>show</v>
      </c>
      <c r="G9675" t="str">
        <f>HYPERLINK("https://github.com/nikita36078/J2ME-Loader", "show")</f>
        <v>show</v>
      </c>
      <c r="H9675" t="str">
        <f>HYPERLINK("https://github.com/nikita36078/J2ME-Loader/releases", "show")</f>
        <v>show</v>
      </c>
      <c r="I9675">
        <v>1</v>
      </c>
      <c r="J9675">
        <v>0</v>
      </c>
      <c r="K9675">
        <v>0</v>
      </c>
      <c r="L9675">
        <v>0</v>
      </c>
      <c r="M9675" t="s">
        <v>17</v>
      </c>
    </row>
    <row r="9676" spans="1:13" hidden="1" x14ac:dyDescent="0.15">
      <c r="A9676" t="s">
        <v>30449</v>
      </c>
      <c r="B9676" t="s">
        <v>30450</v>
      </c>
      <c r="C9676" t="s">
        <v>30451</v>
      </c>
      <c r="D9676" t="s">
        <v>30452</v>
      </c>
      <c r="E9676">
        <v>325</v>
      </c>
      <c r="F9676" t="str">
        <f>HYPERLINK("https://github.com/deltachat/deltachat-android/issues/259", "show")</f>
        <v>show</v>
      </c>
      <c r="G9676" t="str">
        <f>HYPERLINK("https://github.com/deltachat/deltachat-android", "show")</f>
        <v>show</v>
      </c>
      <c r="H9676" t="str">
        <f>HYPERLINK("https://github.com/deltachat/deltachat-android/releases", "show")</f>
        <v>show</v>
      </c>
      <c r="I9676">
        <v>1</v>
      </c>
      <c r="J9676">
        <v>0</v>
      </c>
      <c r="K9676">
        <v>0</v>
      </c>
      <c r="L9676">
        <v>0</v>
      </c>
      <c r="M9676" t="s">
        <v>17</v>
      </c>
    </row>
    <row r="9677" spans="1:13" hidden="1" x14ac:dyDescent="0.15">
      <c r="A9677" t="s">
        <v>30453</v>
      </c>
      <c r="B9677" t="s">
        <v>30454</v>
      </c>
      <c r="C9677" t="s">
        <v>30455</v>
      </c>
      <c r="D9677" t="s">
        <v>30452</v>
      </c>
      <c r="E9677">
        <v>949</v>
      </c>
      <c r="F9677" t="str">
        <f>HYPERLINK("https://github.com/k9mail/k-9/issues/3230", "show")</f>
        <v>show</v>
      </c>
      <c r="G9677" t="str">
        <f>HYPERLINK("https://github.com/k9mail/k-9", "show")</f>
        <v>show</v>
      </c>
      <c r="H9677" t="str">
        <f>HYPERLINK("https://github.com/k9mail/k-9/releases", "show")</f>
        <v>show</v>
      </c>
      <c r="I9677">
        <v>1</v>
      </c>
      <c r="J9677">
        <v>1</v>
      </c>
      <c r="K9677">
        <v>0</v>
      </c>
      <c r="L9677">
        <v>0</v>
      </c>
      <c r="M9677" t="s">
        <v>48</v>
      </c>
    </row>
    <row r="9678" spans="1:13" hidden="1" x14ac:dyDescent="0.15">
      <c r="A9678" t="s">
        <v>30456</v>
      </c>
      <c r="B9678" t="s">
        <v>30457</v>
      </c>
      <c r="C9678" t="s">
        <v>30458</v>
      </c>
      <c r="D9678" t="s">
        <v>30452</v>
      </c>
      <c r="E9678">
        <v>4</v>
      </c>
      <c r="F9678" t="str">
        <f>HYPERLINK("https://github.com/nikita36078/J2ME-Loader/issues/179", "show")</f>
        <v>show</v>
      </c>
      <c r="G9678" t="str">
        <f>HYPERLINK("https://github.com/nikita36078/J2ME-Loader", "show")</f>
        <v>show</v>
      </c>
      <c r="H9678" t="str">
        <f>HYPERLINK("https://github.com/nikita36078/J2ME-Loader/releases", "show")</f>
        <v>show</v>
      </c>
      <c r="I9678">
        <v>1</v>
      </c>
      <c r="J9678">
        <v>0</v>
      </c>
      <c r="K9678">
        <v>0</v>
      </c>
      <c r="L9678">
        <v>1</v>
      </c>
      <c r="M9678" t="s">
        <v>29</v>
      </c>
    </row>
    <row r="9679" spans="1:13" hidden="1" x14ac:dyDescent="0.15">
      <c r="A9679" t="s">
        <v>30459</v>
      </c>
      <c r="B9679" t="s">
        <v>30460</v>
      </c>
      <c r="C9679" t="s">
        <v>30461</v>
      </c>
      <c r="D9679" t="s">
        <v>30452</v>
      </c>
      <c r="E9679">
        <v>6</v>
      </c>
      <c r="F9679" t="str">
        <f>HYPERLINK("https://github.com/nikita36078/J2ME-Loader/issues/178", "show")</f>
        <v>show</v>
      </c>
      <c r="G9679" t="str">
        <f>HYPERLINK("https://github.com/nikita36078/J2ME-Loader", "show")</f>
        <v>show</v>
      </c>
      <c r="H9679" t="str">
        <f>HYPERLINK("https://github.com/nikita36078/J2ME-Loader/releases", "show")</f>
        <v>show</v>
      </c>
      <c r="I9679">
        <v>1</v>
      </c>
      <c r="J9679">
        <v>0</v>
      </c>
      <c r="K9679">
        <v>1</v>
      </c>
      <c r="L9679">
        <v>0</v>
      </c>
      <c r="M9679" t="s">
        <v>64</v>
      </c>
    </row>
    <row r="9680" spans="1:13" hidden="1" x14ac:dyDescent="0.15">
      <c r="A9680" t="s">
        <v>30462</v>
      </c>
      <c r="B9680" t="s">
        <v>30463</v>
      </c>
      <c r="C9680" t="s">
        <v>30464</v>
      </c>
      <c r="D9680" t="s">
        <v>30465</v>
      </c>
      <c r="E9680">
        <v>12</v>
      </c>
      <c r="F9680" t="str">
        <f>HYPERLINK("https://github.com/geopaparazzi/geopaparazzi/issues/443", "show")</f>
        <v>show</v>
      </c>
      <c r="G9680" t="str">
        <f>HYPERLINK("https://github.com/geopaparazzi/geopaparazzi", "show")</f>
        <v>show</v>
      </c>
      <c r="H9680" t="str">
        <f>HYPERLINK("https://github.com/geopaparazzi/geopaparazzi/releases", "show")</f>
        <v>show</v>
      </c>
      <c r="I9680">
        <v>1</v>
      </c>
      <c r="J9680">
        <v>0</v>
      </c>
      <c r="K9680">
        <v>0</v>
      </c>
      <c r="L9680">
        <v>0</v>
      </c>
      <c r="M9680" t="s">
        <v>17</v>
      </c>
    </row>
    <row r="9681" spans="1:13" hidden="1" x14ac:dyDescent="0.15">
      <c r="A9681" t="s">
        <v>30466</v>
      </c>
      <c r="B9681" t="s">
        <v>30467</v>
      </c>
      <c r="C9681" t="s">
        <v>30468</v>
      </c>
      <c r="D9681" t="s">
        <v>30465</v>
      </c>
      <c r="E9681">
        <v>208</v>
      </c>
      <c r="F9681" t="str">
        <f>HYPERLINK("https://github.com/react-native-camera/react-native-camera/issues/1306", "show")</f>
        <v>show</v>
      </c>
      <c r="G9681" t="str">
        <f>HYPERLINK("https://github.com/react-native-camera/react-native-camera", "show")</f>
        <v>show</v>
      </c>
      <c r="H9681" t="str">
        <f>HYPERLINK("https://github.com/react-native-camera/react-native-camera/releases", "show")</f>
        <v>show</v>
      </c>
      <c r="I9681">
        <v>1</v>
      </c>
      <c r="J9681">
        <v>1</v>
      </c>
      <c r="K9681">
        <v>0</v>
      </c>
      <c r="L9681">
        <v>0</v>
      </c>
      <c r="M9681" t="s">
        <v>48</v>
      </c>
    </row>
    <row r="9682" spans="1:13" hidden="1" x14ac:dyDescent="0.15">
      <c r="A9682" t="s">
        <v>30469</v>
      </c>
      <c r="B9682" t="s">
        <v>30470</v>
      </c>
      <c r="C9682" t="s">
        <v>30471</v>
      </c>
      <c r="D9682" t="s">
        <v>30465</v>
      </c>
      <c r="E9682">
        <v>5</v>
      </c>
      <c r="F9682" t="str">
        <f>HYPERLINK("https://github.com/open-keychain/open-keychain/issues/2278", "show")</f>
        <v>show</v>
      </c>
      <c r="G9682" t="str">
        <f>HYPERLINK("https://github.com/open-keychain/open-keychain", "show")</f>
        <v>show</v>
      </c>
      <c r="H9682" t="str">
        <f>HYPERLINK("https://github.com/open-keychain/open-keychain/releases", "show")</f>
        <v>show</v>
      </c>
      <c r="I9682">
        <v>0</v>
      </c>
      <c r="J9682">
        <v>0</v>
      </c>
      <c r="K9682">
        <v>0</v>
      </c>
      <c r="L9682">
        <v>0</v>
      </c>
      <c r="M9682" t="s">
        <v>43</v>
      </c>
    </row>
    <row r="9683" spans="1:13" hidden="1" x14ac:dyDescent="0.15">
      <c r="A9683" t="s">
        <v>30472</v>
      </c>
      <c r="B9683" t="s">
        <v>30473</v>
      </c>
      <c r="C9683" t="s">
        <v>30474</v>
      </c>
      <c r="D9683" t="s">
        <v>30475</v>
      </c>
      <c r="E9683">
        <v>1</v>
      </c>
      <c r="F9683" t="str">
        <f>HYPERLINK("https://github.com/evrencoskun/TableView/issues/64", "show")</f>
        <v>show</v>
      </c>
      <c r="G9683" t="str">
        <f>HYPERLINK("https://github.com/evrencoskun/TableView", "show")</f>
        <v>show</v>
      </c>
      <c r="H9683" t="str">
        <f>HYPERLINK("https://github.com/evrencoskun/TableView/releases", "show")</f>
        <v>show</v>
      </c>
      <c r="I9683">
        <v>1</v>
      </c>
      <c r="J9683">
        <v>0</v>
      </c>
      <c r="K9683">
        <v>0</v>
      </c>
      <c r="L9683">
        <v>0</v>
      </c>
      <c r="M9683" t="s">
        <v>17</v>
      </c>
    </row>
    <row r="9684" spans="1:13" hidden="1" x14ac:dyDescent="0.15">
      <c r="A9684" t="s">
        <v>30476</v>
      </c>
      <c r="B9684" t="s">
        <v>30477</v>
      </c>
      <c r="C9684" t="s">
        <v>30478</v>
      </c>
      <c r="D9684" t="s">
        <v>30475</v>
      </c>
      <c r="E9684">
        <v>57</v>
      </c>
      <c r="F9684" t="str">
        <f>HYPERLINK("https://github.com/twilio/video-quickstart-android/issues/257", "show")</f>
        <v>show</v>
      </c>
      <c r="G9684" t="str">
        <f>HYPERLINK("https://github.com/twilio/video-quickstart-android", "show")</f>
        <v>show</v>
      </c>
      <c r="H9684" t="str">
        <f>HYPERLINK("https://github.com/twilio/video-quickstart-android/releases", "show")</f>
        <v>show</v>
      </c>
      <c r="I9684">
        <v>1</v>
      </c>
      <c r="J9684">
        <v>0</v>
      </c>
      <c r="K9684">
        <v>1</v>
      </c>
      <c r="L9684">
        <v>0</v>
      </c>
      <c r="M9684" t="s">
        <v>64</v>
      </c>
    </row>
    <row r="9685" spans="1:13" hidden="1" x14ac:dyDescent="0.15">
      <c r="A9685" t="s">
        <v>30479</v>
      </c>
      <c r="B9685" t="s">
        <v>30480</v>
      </c>
      <c r="C9685" t="s">
        <v>30481</v>
      </c>
      <c r="D9685" t="s">
        <v>30475</v>
      </c>
      <c r="E9685">
        <v>327</v>
      </c>
      <c r="F9685" t="str">
        <f>HYPERLINK("https://github.com/deltachat/deltachat-android/issues/255", "show")</f>
        <v>show</v>
      </c>
      <c r="G9685" t="str">
        <f>HYPERLINK("https://github.com/deltachat/deltachat-android", "show")</f>
        <v>show</v>
      </c>
      <c r="H9685" t="str">
        <f>HYPERLINK("https://github.com/deltachat/deltachat-android/releases", "show")</f>
        <v>show</v>
      </c>
      <c r="I9685">
        <v>1</v>
      </c>
      <c r="J9685">
        <v>1</v>
      </c>
      <c r="K9685">
        <v>0</v>
      </c>
      <c r="L9685">
        <v>0</v>
      </c>
      <c r="M9685" t="s">
        <v>48</v>
      </c>
    </row>
    <row r="9686" spans="1:13" hidden="1" x14ac:dyDescent="0.15">
      <c r="A9686" t="s">
        <v>30482</v>
      </c>
      <c r="B9686" t="s">
        <v>30483</v>
      </c>
      <c r="C9686" t="s">
        <v>30484</v>
      </c>
      <c r="D9686" t="s">
        <v>30475</v>
      </c>
      <c r="E9686">
        <v>2</v>
      </c>
      <c r="F9686" t="str">
        <f>HYPERLINK("https://github.com/grpc/grpc-java/issues/4154", "show")</f>
        <v>show</v>
      </c>
      <c r="G9686" t="str">
        <f>HYPERLINK("https://github.com/grpc/grpc-java", "show")</f>
        <v>show</v>
      </c>
      <c r="H9686" t="str">
        <f>HYPERLINK("https://github.com/grpc/grpc-java/releases", "show")</f>
        <v>show</v>
      </c>
      <c r="I9686">
        <v>1</v>
      </c>
      <c r="J9686">
        <v>0</v>
      </c>
      <c r="K9686">
        <v>1</v>
      </c>
      <c r="L9686">
        <v>0</v>
      </c>
      <c r="M9686" t="s">
        <v>64</v>
      </c>
    </row>
    <row r="9687" spans="1:13" hidden="1" x14ac:dyDescent="0.15">
      <c r="A9687" t="s">
        <v>30485</v>
      </c>
      <c r="B9687" t="s">
        <v>30486</v>
      </c>
      <c r="C9687" t="s">
        <v>30487</v>
      </c>
      <c r="D9687" t="s">
        <v>30475</v>
      </c>
      <c r="E9687">
        <v>6</v>
      </c>
      <c r="F9687" t="str">
        <f>HYPERLINK("https://github.com/twilio/video-quickstart-android/issues/255", "show")</f>
        <v>show</v>
      </c>
      <c r="G9687" t="str">
        <f>HYPERLINK("https://github.com/twilio/video-quickstart-android", "show")</f>
        <v>show</v>
      </c>
      <c r="H9687" t="str">
        <f>HYPERLINK("https://github.com/twilio/video-quickstart-android/releases", "show")</f>
        <v>show</v>
      </c>
      <c r="I9687">
        <v>1</v>
      </c>
      <c r="J9687">
        <v>0</v>
      </c>
      <c r="K9687">
        <v>0</v>
      </c>
      <c r="L9687">
        <v>0</v>
      </c>
      <c r="M9687" t="s">
        <v>17</v>
      </c>
    </row>
    <row r="9688" spans="1:13" hidden="1" x14ac:dyDescent="0.15">
      <c r="A9688" t="s">
        <v>30488</v>
      </c>
      <c r="B9688" t="s">
        <v>30489</v>
      </c>
      <c r="C9688" t="s">
        <v>30490</v>
      </c>
      <c r="D9688" t="s">
        <v>30475</v>
      </c>
      <c r="E9688">
        <v>2</v>
      </c>
      <c r="F9688" t="str">
        <f>HYPERLINK("https://github.com/nikita36078/J2ME-Loader/issues/166", "show")</f>
        <v>show</v>
      </c>
      <c r="G9688" t="str">
        <f>HYPERLINK("https://github.com/nikita36078/J2ME-Loader", "show")</f>
        <v>show</v>
      </c>
      <c r="H9688" t="str">
        <f>HYPERLINK("https://github.com/nikita36078/J2ME-Loader/releases", "show")</f>
        <v>show</v>
      </c>
      <c r="I9688">
        <v>1</v>
      </c>
      <c r="J9688">
        <v>0</v>
      </c>
      <c r="K9688">
        <v>0</v>
      </c>
      <c r="L9688">
        <v>0</v>
      </c>
      <c r="M9688" t="s">
        <v>17</v>
      </c>
    </row>
    <row r="9689" spans="1:13" hidden="1" x14ac:dyDescent="0.15">
      <c r="A9689" t="s">
        <v>30491</v>
      </c>
      <c r="B9689" t="s">
        <v>30492</v>
      </c>
      <c r="C9689" t="s">
        <v>30493</v>
      </c>
      <c r="D9689" t="s">
        <v>30475</v>
      </c>
      <c r="E9689">
        <v>1</v>
      </c>
      <c r="F9689" t="str">
        <f>HYPERLINK("https://github.com/consp1racy/android-support-preference/issues/90", "show")</f>
        <v>show</v>
      </c>
      <c r="G9689" t="str">
        <f>HYPERLINK("https://github.com/consp1racy/android-support-preference", "show")</f>
        <v>show</v>
      </c>
      <c r="H9689" t="str">
        <f>HYPERLINK("https://github.com/consp1racy/android-support-preference/releases", "show")</f>
        <v>show</v>
      </c>
      <c r="I9689">
        <v>1</v>
      </c>
      <c r="J9689">
        <v>0</v>
      </c>
      <c r="K9689">
        <v>1</v>
      </c>
      <c r="L9689">
        <v>0</v>
      </c>
      <c r="M9689" t="s">
        <v>64</v>
      </c>
    </row>
    <row r="9690" spans="1:13" hidden="1" x14ac:dyDescent="0.15">
      <c r="A9690" t="s">
        <v>30494</v>
      </c>
      <c r="B9690" t="s">
        <v>30495</v>
      </c>
      <c r="C9690" t="s">
        <v>30496</v>
      </c>
      <c r="D9690" t="s">
        <v>30475</v>
      </c>
      <c r="E9690">
        <v>453</v>
      </c>
      <c r="F9690" t="str">
        <f>HYPERLINK("https://github.com/nikita36078/J2ME-Loader/issues/163", "show")</f>
        <v>show</v>
      </c>
      <c r="G9690" t="str">
        <f>HYPERLINK("https://github.com/nikita36078/J2ME-Loader", "show")</f>
        <v>show</v>
      </c>
      <c r="H9690" t="str">
        <f>HYPERLINK("https://github.com/nikita36078/J2ME-Loader/releases", "show")</f>
        <v>show</v>
      </c>
      <c r="I9690">
        <v>1</v>
      </c>
      <c r="J9690">
        <v>0</v>
      </c>
      <c r="K9690">
        <v>0</v>
      </c>
      <c r="L9690">
        <v>0</v>
      </c>
      <c r="M9690" t="s">
        <v>17</v>
      </c>
    </row>
    <row r="9691" spans="1:13" hidden="1" x14ac:dyDescent="0.15">
      <c r="A9691" t="s">
        <v>30497</v>
      </c>
      <c r="B9691" t="s">
        <v>9552</v>
      </c>
      <c r="C9691" t="s">
        <v>504</v>
      </c>
      <c r="D9691" t="s">
        <v>30475</v>
      </c>
      <c r="E9691">
        <v>2</v>
      </c>
      <c r="F9691" t="str">
        <f>HYPERLINK("https://github.com/tanrabad/survey/issues/56", "show")</f>
        <v>show</v>
      </c>
      <c r="G9691" t="str">
        <f>HYPERLINK("https://github.com/tanrabad/survey", "show")</f>
        <v>show</v>
      </c>
      <c r="H9691" t="str">
        <f>HYPERLINK("https://github.com/tanrabad/survey/releases", "show")</f>
        <v>show</v>
      </c>
      <c r="I9691">
        <v>1</v>
      </c>
      <c r="J9691">
        <v>0</v>
      </c>
      <c r="K9691">
        <v>0</v>
      </c>
      <c r="L9691">
        <v>0</v>
      </c>
      <c r="M9691" t="s">
        <v>17</v>
      </c>
    </row>
    <row r="9692" spans="1:13" hidden="1" x14ac:dyDescent="0.15">
      <c r="A9692" t="s">
        <v>30498</v>
      </c>
      <c r="B9692" t="s">
        <v>30499</v>
      </c>
      <c r="C9692" t="s">
        <v>504</v>
      </c>
      <c r="D9692" t="s">
        <v>30475</v>
      </c>
      <c r="E9692">
        <v>2</v>
      </c>
      <c r="F9692" t="str">
        <f>HYPERLINK("https://github.com/tanrabad/survey/issues/55", "show")</f>
        <v>show</v>
      </c>
      <c r="G9692" t="str">
        <f>HYPERLINK("https://github.com/tanrabad/survey", "show")</f>
        <v>show</v>
      </c>
      <c r="H9692" t="str">
        <f>HYPERLINK("https://github.com/tanrabad/survey/releases", "show")</f>
        <v>show</v>
      </c>
      <c r="I9692">
        <v>1</v>
      </c>
      <c r="J9692">
        <v>0</v>
      </c>
      <c r="K9692">
        <v>0</v>
      </c>
      <c r="L9692">
        <v>0</v>
      </c>
      <c r="M9692" t="s">
        <v>17</v>
      </c>
    </row>
    <row r="9693" spans="1:13" hidden="1" x14ac:dyDescent="0.15">
      <c r="A9693" t="s">
        <v>30500</v>
      </c>
      <c r="B9693" t="s">
        <v>30501</v>
      </c>
      <c r="C9693" t="s">
        <v>30502</v>
      </c>
      <c r="D9693" t="s">
        <v>30503</v>
      </c>
      <c r="E9693">
        <v>8</v>
      </c>
      <c r="F9693" t="str">
        <f>HYPERLINK("https://github.com/innoveit/react-native-ble-manager/issues/294", "show")</f>
        <v>show</v>
      </c>
      <c r="G9693" t="str">
        <f>HYPERLINK("https://github.com/innoveit/react-native-ble-manager", "show")</f>
        <v>show</v>
      </c>
      <c r="H9693" t="str">
        <f>HYPERLINK("https://github.com/innoveit/react-native-ble-manager/releases", "show")</f>
        <v>show</v>
      </c>
      <c r="I9693">
        <v>1</v>
      </c>
      <c r="J9693">
        <v>0</v>
      </c>
      <c r="K9693">
        <v>0</v>
      </c>
      <c r="L9693">
        <v>0</v>
      </c>
      <c r="M9693" t="s">
        <v>17</v>
      </c>
    </row>
    <row r="9694" spans="1:13" hidden="1" x14ac:dyDescent="0.15">
      <c r="A9694" t="s">
        <v>30504</v>
      </c>
      <c r="B9694" t="s">
        <v>30505</v>
      </c>
      <c r="C9694" t="s">
        <v>30506</v>
      </c>
      <c r="D9694" t="s">
        <v>30503</v>
      </c>
      <c r="E9694">
        <v>0</v>
      </c>
      <c r="F9694" t="str">
        <f>HYPERLINK("https://github.com/smartdevicelink/sdl_java_suite/issues/691", "show")</f>
        <v>show</v>
      </c>
      <c r="G9694" t="str">
        <f>HYPERLINK("https://github.com/smartdevicelink/sdl_java_suite", "show")</f>
        <v>show</v>
      </c>
      <c r="H9694" t="str">
        <f>HYPERLINK("https://github.com/smartdevicelink/sdl_java_suite/releases", "show")</f>
        <v>show</v>
      </c>
      <c r="I9694">
        <v>1</v>
      </c>
      <c r="J9694">
        <v>0</v>
      </c>
      <c r="K9694">
        <v>0</v>
      </c>
      <c r="L9694">
        <v>0</v>
      </c>
      <c r="M9694" t="s">
        <v>17</v>
      </c>
    </row>
    <row r="9695" spans="1:13" hidden="1" x14ac:dyDescent="0.15">
      <c r="A9695" t="s">
        <v>30507</v>
      </c>
      <c r="B9695" t="s">
        <v>30508</v>
      </c>
      <c r="D9695" t="s">
        <v>30503</v>
      </c>
      <c r="E9695">
        <v>8</v>
      </c>
      <c r="F9695" t="str">
        <f>HYPERLINK("https://github.com/RightMesh/meshIM/issues/36", "show")</f>
        <v>show</v>
      </c>
      <c r="G9695" t="str">
        <f>HYPERLINK("https://github.com/RightMesh/meshIM", "show")</f>
        <v>show</v>
      </c>
      <c r="H9695" t="str">
        <f>HYPERLINK("https://github.com/RightMesh/meshIM/releases", "show")</f>
        <v>show</v>
      </c>
      <c r="I9695">
        <v>1</v>
      </c>
      <c r="J9695">
        <v>0</v>
      </c>
      <c r="K9695">
        <v>0</v>
      </c>
      <c r="L9695">
        <v>0</v>
      </c>
      <c r="M9695" t="s">
        <v>17</v>
      </c>
    </row>
    <row r="9696" spans="1:13" hidden="1" x14ac:dyDescent="0.15">
      <c r="A9696" t="s">
        <v>30509</v>
      </c>
      <c r="B9696" t="s">
        <v>30510</v>
      </c>
      <c r="C9696" t="s">
        <v>30511</v>
      </c>
      <c r="D9696" t="s">
        <v>30512</v>
      </c>
      <c r="E9696">
        <v>21</v>
      </c>
      <c r="F9696" t="str">
        <f>HYPERLINK("https://github.com/evernote/android-job/issues/385", "show")</f>
        <v>show</v>
      </c>
      <c r="G9696" t="str">
        <f>HYPERLINK("https://github.com/evernote/android-job", "show")</f>
        <v>show</v>
      </c>
      <c r="H9696" t="str">
        <f>HYPERLINK("https://github.com/evernote/android-job/releases", "show")</f>
        <v>show</v>
      </c>
      <c r="I9696">
        <v>1</v>
      </c>
      <c r="J9696">
        <v>0</v>
      </c>
      <c r="K9696">
        <v>1</v>
      </c>
      <c r="L9696">
        <v>0</v>
      </c>
      <c r="M9696" t="s">
        <v>64</v>
      </c>
    </row>
    <row r="9697" spans="1:13" hidden="1" x14ac:dyDescent="0.15">
      <c r="A9697" t="s">
        <v>30513</v>
      </c>
      <c r="B9697" t="s">
        <v>30514</v>
      </c>
      <c r="C9697" t="s">
        <v>30515</v>
      </c>
      <c r="D9697" t="s">
        <v>30512</v>
      </c>
      <c r="E9697">
        <v>1</v>
      </c>
      <c r="F9697" t="str">
        <f>HYPERLINK("https://github.com/smartdevicelink/sdl_java_suite/issues/689", "show")</f>
        <v>show</v>
      </c>
      <c r="G9697" t="str">
        <f>HYPERLINK("https://github.com/smartdevicelink/sdl_java_suite", "show")</f>
        <v>show</v>
      </c>
      <c r="H9697" t="str">
        <f>HYPERLINK("https://github.com/smartdevicelink/sdl_java_suite/releases", "show")</f>
        <v>show</v>
      </c>
      <c r="I9697">
        <v>1</v>
      </c>
      <c r="J9697">
        <v>0</v>
      </c>
      <c r="K9697">
        <v>0</v>
      </c>
      <c r="L9697">
        <v>0</v>
      </c>
      <c r="M9697" t="s">
        <v>17</v>
      </c>
    </row>
    <row r="9698" spans="1:13" hidden="1" x14ac:dyDescent="0.15">
      <c r="A9698" t="s">
        <v>30516</v>
      </c>
      <c r="B9698" t="s">
        <v>30517</v>
      </c>
      <c r="C9698" t="s">
        <v>30518</v>
      </c>
      <c r="D9698" t="s">
        <v>30512</v>
      </c>
      <c r="E9698">
        <v>527</v>
      </c>
      <c r="F9698" t="str">
        <f>HYPERLINK("https://github.com/react-native-camera/react-native-camera/issues/1292", "show")</f>
        <v>show</v>
      </c>
      <c r="G9698" t="str">
        <f>HYPERLINK("https://github.com/react-native-camera/react-native-camera", "show")</f>
        <v>show</v>
      </c>
      <c r="H9698" t="str">
        <f>HYPERLINK("https://github.com/react-native-camera/react-native-camera/releases", "show")</f>
        <v>show</v>
      </c>
      <c r="I9698">
        <v>1</v>
      </c>
      <c r="J9698">
        <v>1</v>
      </c>
      <c r="K9698">
        <v>0</v>
      </c>
      <c r="L9698">
        <v>1</v>
      </c>
      <c r="M9698" t="s">
        <v>1894</v>
      </c>
    </row>
    <row r="9699" spans="1:13" hidden="1" x14ac:dyDescent="0.15">
      <c r="A9699" t="s">
        <v>30519</v>
      </c>
      <c r="B9699" t="s">
        <v>30520</v>
      </c>
      <c r="C9699" t="s">
        <v>30521</v>
      </c>
      <c r="D9699" t="s">
        <v>30512</v>
      </c>
      <c r="E9699">
        <v>77</v>
      </c>
      <c r="F9699" t="str">
        <f>HYPERLINK("https://github.com/twilio/video-quickstart-android/issues/252", "show")</f>
        <v>show</v>
      </c>
      <c r="G9699" t="str">
        <f>HYPERLINK("https://github.com/twilio/video-quickstart-android", "show")</f>
        <v>show</v>
      </c>
      <c r="H9699" t="str">
        <f>HYPERLINK("https://github.com/twilio/video-quickstart-android/releases", "show")</f>
        <v>show</v>
      </c>
      <c r="I9699">
        <v>1</v>
      </c>
      <c r="J9699">
        <v>1</v>
      </c>
      <c r="K9699">
        <v>0</v>
      </c>
      <c r="L9699">
        <v>0</v>
      </c>
      <c r="M9699" t="s">
        <v>48</v>
      </c>
    </row>
    <row r="9700" spans="1:13" hidden="1" x14ac:dyDescent="0.15">
      <c r="A9700" t="s">
        <v>30522</v>
      </c>
      <c r="B9700" t="s">
        <v>30523</v>
      </c>
      <c r="C9700" t="s">
        <v>30524</v>
      </c>
      <c r="D9700" t="s">
        <v>30512</v>
      </c>
      <c r="E9700">
        <v>23</v>
      </c>
      <c r="F9700" t="str">
        <f>HYPERLINK("https://github.com/TeamNewPipe/NewPipe/issues/1148", "show")</f>
        <v>show</v>
      </c>
      <c r="G9700" t="str">
        <f>HYPERLINK("https://github.com/TeamNewPipe/NewPipe", "show")</f>
        <v>show</v>
      </c>
      <c r="H9700" t="str">
        <f>HYPERLINK("https://github.com/TeamNewPipe/NewPipe/releases", "show")</f>
        <v>show</v>
      </c>
      <c r="I9700">
        <v>1</v>
      </c>
      <c r="J9700">
        <v>1</v>
      </c>
      <c r="K9700">
        <v>0</v>
      </c>
      <c r="L9700">
        <v>0</v>
      </c>
      <c r="M9700" t="s">
        <v>48</v>
      </c>
    </row>
    <row r="9701" spans="1:13" hidden="1" x14ac:dyDescent="0.15">
      <c r="A9701" t="s">
        <v>30525</v>
      </c>
      <c r="B9701" t="s">
        <v>30526</v>
      </c>
      <c r="C9701" t="s">
        <v>30527</v>
      </c>
      <c r="D9701" t="s">
        <v>30512</v>
      </c>
      <c r="E9701">
        <v>9</v>
      </c>
      <c r="F9701" t="str">
        <f>HYPERLINK("https://github.com/smartdevicelink/sdl_java_suite/issues/688", "show")</f>
        <v>show</v>
      </c>
      <c r="G9701" t="str">
        <f>HYPERLINK("https://github.com/smartdevicelink/sdl_java_suite", "show")</f>
        <v>show</v>
      </c>
      <c r="H9701" t="str">
        <f>HYPERLINK("https://github.com/smartdevicelink/sdl_java_suite/releases", "show")</f>
        <v>show</v>
      </c>
      <c r="I9701">
        <v>1</v>
      </c>
      <c r="J9701">
        <v>0</v>
      </c>
      <c r="K9701">
        <v>1</v>
      </c>
      <c r="L9701">
        <v>0</v>
      </c>
      <c r="M9701" t="s">
        <v>64</v>
      </c>
    </row>
    <row r="9702" spans="1:13" hidden="1" x14ac:dyDescent="0.15">
      <c r="A9702" t="s">
        <v>30528</v>
      </c>
      <c r="B9702" t="s">
        <v>30529</v>
      </c>
      <c r="C9702" t="s">
        <v>30530</v>
      </c>
      <c r="D9702" t="s">
        <v>30512</v>
      </c>
      <c r="E9702">
        <v>346</v>
      </c>
      <c r="F9702" t="str">
        <f>HYPERLINK("https://github.com/twilio/video-quickstart-android/issues/250", "show")</f>
        <v>show</v>
      </c>
      <c r="G9702" t="str">
        <f>HYPERLINK("https://github.com/twilio/video-quickstart-android", "show")</f>
        <v>show</v>
      </c>
      <c r="H9702" t="str">
        <f>HYPERLINK("https://github.com/twilio/video-quickstart-android/releases", "show")</f>
        <v>show</v>
      </c>
      <c r="I9702">
        <v>1</v>
      </c>
      <c r="J9702">
        <v>1</v>
      </c>
      <c r="K9702">
        <v>1</v>
      </c>
      <c r="L9702">
        <v>0</v>
      </c>
      <c r="M9702" t="s">
        <v>59</v>
      </c>
    </row>
    <row r="9703" spans="1:13" hidden="1" x14ac:dyDescent="0.15">
      <c r="A9703" t="s">
        <v>30531</v>
      </c>
      <c r="B9703" t="s">
        <v>30532</v>
      </c>
      <c r="C9703" t="s">
        <v>30533</v>
      </c>
      <c r="D9703" t="s">
        <v>30512</v>
      </c>
      <c r="E9703">
        <v>0</v>
      </c>
      <c r="F9703" t="str">
        <f>HYPERLINK("https://github.com/commons-app/apps-android-commons/issues/1207", "show")</f>
        <v>show</v>
      </c>
      <c r="G9703" t="str">
        <f>HYPERLINK("https://github.com/commons-app/apps-android-commons", "show")</f>
        <v>show</v>
      </c>
      <c r="H9703" t="str">
        <f>HYPERLINK("https://github.com/commons-app/apps-android-commons/releases", "show")</f>
        <v>show</v>
      </c>
      <c r="I9703">
        <v>1</v>
      </c>
      <c r="J9703">
        <v>1</v>
      </c>
      <c r="K9703">
        <v>1</v>
      </c>
      <c r="L9703">
        <v>1</v>
      </c>
      <c r="M9703" t="s">
        <v>2875</v>
      </c>
    </row>
    <row r="9704" spans="1:13" hidden="1" x14ac:dyDescent="0.15">
      <c r="A9704" t="s">
        <v>30534</v>
      </c>
      <c r="B9704" t="s">
        <v>30535</v>
      </c>
      <c r="C9704" t="s">
        <v>30536</v>
      </c>
      <c r="D9704" t="s">
        <v>30512</v>
      </c>
      <c r="E9704">
        <v>2</v>
      </c>
      <c r="F9704" t="str">
        <f>HYPERLINK("https://github.com/getodk/collect/issues/1932", "show")</f>
        <v>show</v>
      </c>
      <c r="G9704" t="str">
        <f>HYPERLINK("https://github.com/getodk/collect", "show")</f>
        <v>show</v>
      </c>
      <c r="H9704" t="str">
        <f>HYPERLINK("https://github.com/getodk/collect/releases", "show")</f>
        <v>show</v>
      </c>
      <c r="I9704">
        <v>1</v>
      </c>
      <c r="J9704">
        <v>0</v>
      </c>
      <c r="K9704">
        <v>1</v>
      </c>
      <c r="L9704">
        <v>0</v>
      </c>
      <c r="M9704" t="s">
        <v>64</v>
      </c>
    </row>
    <row r="9705" spans="1:13" hidden="1" x14ac:dyDescent="0.15">
      <c r="A9705" t="s">
        <v>30537</v>
      </c>
      <c r="B9705" t="s">
        <v>30538</v>
      </c>
      <c r="C9705" t="s">
        <v>30539</v>
      </c>
      <c r="D9705" t="s">
        <v>30540</v>
      </c>
      <c r="E9705">
        <v>9</v>
      </c>
      <c r="F9705" t="str">
        <f>HYPERLINK("https://github.com/citiususc/calendula/issues/92", "show")</f>
        <v>show</v>
      </c>
      <c r="G9705" t="str">
        <f>HYPERLINK("https://github.com/citiususc/calendula", "show")</f>
        <v>show</v>
      </c>
      <c r="H9705" t="str">
        <f>HYPERLINK("https://github.com/citiususc/calendula/releases", "show")</f>
        <v>show</v>
      </c>
      <c r="I9705">
        <v>1</v>
      </c>
      <c r="J9705">
        <v>0</v>
      </c>
      <c r="K9705">
        <v>0</v>
      </c>
      <c r="L9705">
        <v>0</v>
      </c>
      <c r="M9705" t="s">
        <v>17</v>
      </c>
    </row>
    <row r="9706" spans="1:13" hidden="1" x14ac:dyDescent="0.15">
      <c r="A9706" t="s">
        <v>30541</v>
      </c>
      <c r="B9706" t="s">
        <v>30542</v>
      </c>
      <c r="C9706" t="s">
        <v>30543</v>
      </c>
      <c r="D9706" t="s">
        <v>30540</v>
      </c>
      <c r="E9706">
        <v>7</v>
      </c>
      <c r="F9706" t="str">
        <f>HYPERLINK("https://github.com/codingworkshopru/Gymm/issues/9", "show")</f>
        <v>show</v>
      </c>
      <c r="G9706" t="str">
        <f>HYPERLINK("https://github.com/codingworkshopru/Gymm", "show")</f>
        <v>show</v>
      </c>
      <c r="H9706" t="str">
        <f>HYPERLINK("https://github.com/codingworkshopru/Gymm/releases", "show")</f>
        <v>show</v>
      </c>
      <c r="I9706">
        <v>0</v>
      </c>
      <c r="J9706">
        <v>0</v>
      </c>
      <c r="K9706">
        <v>1</v>
      </c>
      <c r="L9706">
        <v>0</v>
      </c>
      <c r="M9706" t="s">
        <v>122</v>
      </c>
    </row>
    <row r="9707" spans="1:13" x14ac:dyDescent="0.15">
      <c r="A9707" t="s">
        <v>30544</v>
      </c>
      <c r="B9707" t="s">
        <v>30545</v>
      </c>
      <c r="C9707" t="s">
        <v>30546</v>
      </c>
      <c r="D9707" t="s">
        <v>30540</v>
      </c>
      <c r="E9707">
        <v>0</v>
      </c>
      <c r="F9707" t="str">
        <f>HYPERLINK("https://github.com/k9mail/k-9/issues/3215", "show")</f>
        <v>show</v>
      </c>
      <c r="G9707" t="str">
        <f>HYPERLINK("https://github.com/k9mail/k-9", "show")</f>
        <v>show</v>
      </c>
      <c r="H9707" t="str">
        <f>HYPERLINK("https://github.com/k9mail/k-9/releases", "show")</f>
        <v>show</v>
      </c>
      <c r="I9707">
        <v>0</v>
      </c>
      <c r="J9707">
        <v>1</v>
      </c>
      <c r="K9707">
        <v>0</v>
      </c>
      <c r="L9707">
        <v>0</v>
      </c>
      <c r="M9707" t="s">
        <v>139</v>
      </c>
    </row>
    <row r="9708" spans="1:13" hidden="1" x14ac:dyDescent="0.15">
      <c r="A9708" t="s">
        <v>30547</v>
      </c>
      <c r="B9708" t="s">
        <v>30548</v>
      </c>
      <c r="C9708" t="s">
        <v>30549</v>
      </c>
      <c r="D9708" t="s">
        <v>30550</v>
      </c>
      <c r="E9708">
        <v>9</v>
      </c>
      <c r="F9708" t="str">
        <f>HYPERLINK("https://github.com/inaturalist/iNaturalistAndroid/issues/473", "show")</f>
        <v>show</v>
      </c>
      <c r="G9708" t="str">
        <f>HYPERLINK("https://github.com/inaturalist/iNaturalistAndroid", "show")</f>
        <v>show</v>
      </c>
      <c r="H9708" t="str">
        <f>HYPERLINK("https://github.com/inaturalist/iNaturalistAndroid/releases", "show")</f>
        <v>show</v>
      </c>
      <c r="I9708">
        <v>1</v>
      </c>
      <c r="J9708">
        <v>1</v>
      </c>
      <c r="K9708">
        <v>0</v>
      </c>
      <c r="L9708">
        <v>0</v>
      </c>
      <c r="M9708" t="s">
        <v>48</v>
      </c>
    </row>
    <row r="9709" spans="1:13" hidden="1" x14ac:dyDescent="0.15">
      <c r="A9709" t="s">
        <v>30551</v>
      </c>
      <c r="B9709" t="s">
        <v>30552</v>
      </c>
      <c r="C9709" t="s">
        <v>30553</v>
      </c>
      <c r="D9709" t="s">
        <v>30550</v>
      </c>
      <c r="E9709">
        <v>3</v>
      </c>
      <c r="F9709" t="str">
        <f>HYPERLINK("https://github.com/johannilsson/sthlmtraveling/issues/83", "show")</f>
        <v>show</v>
      </c>
      <c r="G9709" t="str">
        <f>HYPERLINK("https://github.com/johannilsson/sthlmtraveling", "show")</f>
        <v>show</v>
      </c>
      <c r="H9709" t="str">
        <f>HYPERLINK("https://github.com/johannilsson/sthlmtraveling/releases", "show")</f>
        <v>show</v>
      </c>
      <c r="I9709">
        <v>1</v>
      </c>
      <c r="J9709">
        <v>0</v>
      </c>
      <c r="K9709">
        <v>1</v>
      </c>
      <c r="L9709">
        <v>0</v>
      </c>
      <c r="M9709" t="s">
        <v>64</v>
      </c>
    </row>
    <row r="9710" spans="1:13" hidden="1" x14ac:dyDescent="0.15">
      <c r="A9710" t="s">
        <v>30554</v>
      </c>
      <c r="B9710" t="s">
        <v>30555</v>
      </c>
      <c r="C9710" t="s">
        <v>30556</v>
      </c>
      <c r="D9710" t="s">
        <v>30550</v>
      </c>
      <c r="E9710">
        <v>0</v>
      </c>
      <c r="F9710" t="str">
        <f>HYPERLINK("https://github.com/oliexdev/openScale/issues/202", "show")</f>
        <v>show</v>
      </c>
      <c r="G9710" t="str">
        <f>HYPERLINK("https://github.com/oliexdev/openScale", "show")</f>
        <v>show</v>
      </c>
      <c r="H9710" t="str">
        <f>HYPERLINK("https://github.com/oliexdev/openScale/releases", "show")</f>
        <v>show</v>
      </c>
      <c r="I9710">
        <v>1</v>
      </c>
      <c r="J9710">
        <v>0</v>
      </c>
      <c r="K9710">
        <v>1</v>
      </c>
      <c r="L9710">
        <v>0</v>
      </c>
      <c r="M9710" t="s">
        <v>64</v>
      </c>
    </row>
    <row r="9711" spans="1:13" hidden="1" x14ac:dyDescent="0.15">
      <c r="A9711" t="s">
        <v>30557</v>
      </c>
      <c r="B9711" t="s">
        <v>30558</v>
      </c>
      <c r="C9711" t="s">
        <v>30559</v>
      </c>
      <c r="D9711" t="s">
        <v>30550</v>
      </c>
      <c r="E9711">
        <v>33</v>
      </c>
      <c r="F9711" t="str">
        <f>HYPERLINK("https://github.com/eltos/SimpleDialogFragments/issues/27", "show")</f>
        <v>show</v>
      </c>
      <c r="G9711" t="str">
        <f>HYPERLINK("https://github.com/eltos/SimpleDialogFragments", "show")</f>
        <v>show</v>
      </c>
      <c r="H9711" t="str">
        <f>HYPERLINK("https://github.com/eltos/SimpleDialogFragments/releases", "show")</f>
        <v>show</v>
      </c>
      <c r="I9711">
        <v>1</v>
      </c>
      <c r="J9711">
        <v>1</v>
      </c>
      <c r="K9711">
        <v>1</v>
      </c>
      <c r="L9711">
        <v>1</v>
      </c>
      <c r="M9711" t="s">
        <v>2875</v>
      </c>
    </row>
    <row r="9712" spans="1:13" hidden="1" x14ac:dyDescent="0.15">
      <c r="A9712" t="s">
        <v>30560</v>
      </c>
      <c r="B9712" t="s">
        <v>30561</v>
      </c>
      <c r="C9712" t="s">
        <v>30562</v>
      </c>
      <c r="D9712" t="s">
        <v>30550</v>
      </c>
      <c r="E9712">
        <v>43</v>
      </c>
      <c r="F9712" t="str">
        <f>HYPERLINK("https://github.com/MiPushFramework/MiPushFramework/issues/74", "show")</f>
        <v>show</v>
      </c>
      <c r="G9712" t="str">
        <f>HYPERLINK("https://github.com/MiPushFramework/MiPushFramework", "show")</f>
        <v>show</v>
      </c>
      <c r="H9712" t="str">
        <f>HYPERLINK("https://github.com/MiPushFramework/MiPushFramework/releases", "show")</f>
        <v>show</v>
      </c>
      <c r="I9712">
        <v>0</v>
      </c>
      <c r="J9712">
        <v>0</v>
      </c>
      <c r="K9712">
        <v>0</v>
      </c>
      <c r="L9712">
        <v>0</v>
      </c>
      <c r="M9712" t="s">
        <v>43</v>
      </c>
    </row>
    <row r="9713" spans="1:13" hidden="1" x14ac:dyDescent="0.15">
      <c r="A9713" t="s">
        <v>30563</v>
      </c>
      <c r="B9713" t="s">
        <v>30564</v>
      </c>
      <c r="C9713" t="s">
        <v>30565</v>
      </c>
      <c r="D9713" t="s">
        <v>30566</v>
      </c>
      <c r="E9713">
        <v>1</v>
      </c>
      <c r="F9713" t="str">
        <f>HYPERLINK("https://github.com/Amuff1n/Study-Buddy/issues/3", "show")</f>
        <v>show</v>
      </c>
      <c r="G9713" t="str">
        <f>HYPERLINK("https://github.com/Amuff1n/Study-Buddy", "show")</f>
        <v>show</v>
      </c>
      <c r="H9713" t="str">
        <f>HYPERLINK("https://github.com/Amuff1n/Study-Buddy/releases", "show")</f>
        <v>show</v>
      </c>
      <c r="I9713">
        <v>1</v>
      </c>
      <c r="J9713">
        <v>0</v>
      </c>
      <c r="K9713">
        <v>0</v>
      </c>
      <c r="L9713">
        <v>0</v>
      </c>
      <c r="M9713" t="s">
        <v>17</v>
      </c>
    </row>
    <row r="9714" spans="1:13" hidden="1" x14ac:dyDescent="0.15">
      <c r="A9714" t="s">
        <v>30567</v>
      </c>
      <c r="B9714" t="s">
        <v>30568</v>
      </c>
      <c r="C9714" t="s">
        <v>30569</v>
      </c>
      <c r="D9714" t="s">
        <v>30566</v>
      </c>
      <c r="E9714">
        <v>585</v>
      </c>
      <c r="F9714" t="str">
        <f>HYPERLINK("https://github.com/TeamNewPipe/NewPipe/issues/1140", "show")</f>
        <v>show</v>
      </c>
      <c r="G9714" t="str">
        <f>HYPERLINK("https://github.com/TeamNewPipe/NewPipe", "show")</f>
        <v>show</v>
      </c>
      <c r="H9714" t="str">
        <f>HYPERLINK("https://github.com/TeamNewPipe/NewPipe/releases", "show")</f>
        <v>show</v>
      </c>
      <c r="I9714">
        <v>1</v>
      </c>
      <c r="J9714">
        <v>0</v>
      </c>
      <c r="K9714">
        <v>0</v>
      </c>
      <c r="L9714">
        <v>0</v>
      </c>
      <c r="M9714" t="s">
        <v>17</v>
      </c>
    </row>
    <row r="9715" spans="1:13" hidden="1" x14ac:dyDescent="0.15">
      <c r="A9715" t="s">
        <v>30570</v>
      </c>
      <c r="B9715" t="s">
        <v>30571</v>
      </c>
      <c r="C9715" t="s">
        <v>30572</v>
      </c>
      <c r="D9715" t="s">
        <v>30566</v>
      </c>
      <c r="E9715">
        <v>2</v>
      </c>
      <c r="F9715" t="str">
        <f>HYPERLINK("https://github.com/commons-app/apps-android-commons/issues/1181", "show")</f>
        <v>show</v>
      </c>
      <c r="G9715" t="str">
        <f>HYPERLINK("https://github.com/commons-app/apps-android-commons", "show")</f>
        <v>show</v>
      </c>
      <c r="H9715" t="str">
        <f>HYPERLINK("https://github.com/commons-app/apps-android-commons/releases", "show")</f>
        <v>show</v>
      </c>
      <c r="I9715">
        <v>1</v>
      </c>
      <c r="J9715">
        <v>1</v>
      </c>
      <c r="K9715">
        <v>1</v>
      </c>
      <c r="L9715">
        <v>1</v>
      </c>
      <c r="M9715" t="s">
        <v>2875</v>
      </c>
    </row>
    <row r="9716" spans="1:13" hidden="1" x14ac:dyDescent="0.15">
      <c r="A9716" t="s">
        <v>30573</v>
      </c>
      <c r="B9716" t="s">
        <v>30574</v>
      </c>
      <c r="D9716" t="s">
        <v>30566</v>
      </c>
      <c r="E9716">
        <v>28</v>
      </c>
      <c r="F9716" t="str">
        <f>HYPERLINK("https://github.com/opensrp/opensrp-client-path/issues/256", "show")</f>
        <v>show</v>
      </c>
      <c r="G9716" t="str">
        <f>HYPERLINK("https://github.com/opensrp/opensrp-client-path", "show")</f>
        <v>show</v>
      </c>
      <c r="H9716" t="str">
        <f>HYPERLINK("https://github.com/opensrp/opensrp-client-path/releases", "show")</f>
        <v>show</v>
      </c>
      <c r="I9716">
        <v>0</v>
      </c>
      <c r="J9716">
        <v>0</v>
      </c>
      <c r="K9716">
        <v>0</v>
      </c>
      <c r="L9716">
        <v>0</v>
      </c>
      <c r="M9716" t="s">
        <v>43</v>
      </c>
    </row>
    <row r="9717" spans="1:13" hidden="1" x14ac:dyDescent="0.15">
      <c r="A9717" t="s">
        <v>30575</v>
      </c>
      <c r="B9717" t="s">
        <v>30576</v>
      </c>
      <c r="C9717" t="s">
        <v>30577</v>
      </c>
      <c r="D9717" t="s">
        <v>30566</v>
      </c>
      <c r="E9717">
        <v>84</v>
      </c>
      <c r="F9717" t="str">
        <f>HYPERLINK("https://github.com/nikita36078/J2ME-Loader/issues/134", "show")</f>
        <v>show</v>
      </c>
      <c r="G9717" t="str">
        <f>HYPERLINK("https://github.com/nikita36078/J2ME-Loader", "show")</f>
        <v>show</v>
      </c>
      <c r="H9717" t="str">
        <f>HYPERLINK("https://github.com/nikita36078/J2ME-Loader/releases", "show")</f>
        <v>show</v>
      </c>
      <c r="I9717">
        <v>1</v>
      </c>
      <c r="J9717">
        <v>0</v>
      </c>
      <c r="K9717">
        <v>0</v>
      </c>
      <c r="L9717">
        <v>1</v>
      </c>
      <c r="M9717" t="s">
        <v>29</v>
      </c>
    </row>
    <row r="9718" spans="1:13" hidden="1" x14ac:dyDescent="0.15">
      <c r="A9718" t="s">
        <v>30578</v>
      </c>
      <c r="B9718" t="s">
        <v>30579</v>
      </c>
      <c r="C9718" t="s">
        <v>30580</v>
      </c>
      <c r="D9718" t="s">
        <v>30566</v>
      </c>
      <c r="E9718">
        <v>198</v>
      </c>
      <c r="F9718" t="str">
        <f>HYPERLINK("https://github.com/stefan-niedermann/nextcloud-notes/issues/335", "show")</f>
        <v>show</v>
      </c>
      <c r="G9718" t="str">
        <f>HYPERLINK("https://github.com/stefan-niedermann/nextcloud-notes", "show")</f>
        <v>show</v>
      </c>
      <c r="H9718" t="str">
        <f>HYPERLINK("https://github.com/stefan-niedermann/nextcloud-notes/releases", "show")</f>
        <v>show</v>
      </c>
      <c r="I9718">
        <v>0</v>
      </c>
      <c r="J9718">
        <v>0</v>
      </c>
      <c r="K9718">
        <v>0</v>
      </c>
      <c r="L9718">
        <v>0</v>
      </c>
      <c r="M9718" t="s">
        <v>43</v>
      </c>
    </row>
    <row r="9719" spans="1:13" hidden="1" x14ac:dyDescent="0.15">
      <c r="A9719" t="s">
        <v>30581</v>
      </c>
      <c r="B9719" t="s">
        <v>30582</v>
      </c>
      <c r="C9719" t="s">
        <v>30583</v>
      </c>
      <c r="D9719" t="s">
        <v>30584</v>
      </c>
      <c r="E9719">
        <v>3</v>
      </c>
      <c r="F9719" t="str">
        <f>HYPERLINK("https://github.com/RxViper/RxViper/issues/55", "show")</f>
        <v>show</v>
      </c>
      <c r="G9719" t="str">
        <f>HYPERLINK("https://github.com/RxViper/RxViper", "show")</f>
        <v>show</v>
      </c>
      <c r="H9719" t="str">
        <f>HYPERLINK("https://github.com/RxViper/RxViper/releases", "show")</f>
        <v>show</v>
      </c>
      <c r="I9719">
        <v>1</v>
      </c>
      <c r="J9719">
        <v>0</v>
      </c>
      <c r="K9719">
        <v>0</v>
      </c>
      <c r="L9719">
        <v>0</v>
      </c>
      <c r="M9719" t="s">
        <v>17</v>
      </c>
    </row>
    <row r="9720" spans="1:13" hidden="1" x14ac:dyDescent="0.15">
      <c r="A9720" t="s">
        <v>30585</v>
      </c>
      <c r="B9720" t="s">
        <v>30586</v>
      </c>
      <c r="C9720" t="s">
        <v>30587</v>
      </c>
      <c r="D9720" t="s">
        <v>30584</v>
      </c>
      <c r="E9720">
        <v>0</v>
      </c>
      <c r="F9720" t="str">
        <f>HYPERLINK("https://github.com/dimagi/commcare-android/issues/1951", "show")</f>
        <v>show</v>
      </c>
      <c r="G9720" t="str">
        <f>HYPERLINK("https://github.com/dimagi/commcare-android", "show")</f>
        <v>show</v>
      </c>
      <c r="H9720" t="str">
        <f>HYPERLINK("https://github.com/dimagi/commcare-android/releases", "show")</f>
        <v>show</v>
      </c>
      <c r="I9720">
        <v>1</v>
      </c>
      <c r="J9720">
        <v>0</v>
      </c>
      <c r="K9720">
        <v>0</v>
      </c>
      <c r="L9720">
        <v>0</v>
      </c>
      <c r="M9720" t="s">
        <v>17</v>
      </c>
    </row>
    <row r="9721" spans="1:13" hidden="1" x14ac:dyDescent="0.15">
      <c r="A9721" t="s">
        <v>30588</v>
      </c>
      <c r="B9721" t="s">
        <v>30589</v>
      </c>
      <c r="C9721" t="s">
        <v>30590</v>
      </c>
      <c r="D9721" t="s">
        <v>30584</v>
      </c>
      <c r="E9721">
        <v>26</v>
      </c>
      <c r="F9721" t="str">
        <f>HYPERLINK("https://github.com/nikita36078/J2ME-Loader/issues/128", "show")</f>
        <v>show</v>
      </c>
      <c r="G9721" t="str">
        <f>HYPERLINK("https://github.com/nikita36078/J2ME-Loader", "show")</f>
        <v>show</v>
      </c>
      <c r="H9721" t="str">
        <f>HYPERLINK("https://github.com/nikita36078/J2ME-Loader/releases", "show")</f>
        <v>show</v>
      </c>
      <c r="I9721">
        <v>1</v>
      </c>
      <c r="J9721">
        <v>0</v>
      </c>
      <c r="K9721">
        <v>0</v>
      </c>
      <c r="L9721">
        <v>1</v>
      </c>
      <c r="M9721" t="s">
        <v>29</v>
      </c>
    </row>
    <row r="9722" spans="1:13" hidden="1" x14ac:dyDescent="0.15">
      <c r="A9722" t="s">
        <v>30591</v>
      </c>
      <c r="B9722" t="s">
        <v>30592</v>
      </c>
      <c r="C9722" t="s">
        <v>30593</v>
      </c>
      <c r="D9722" t="s">
        <v>30584</v>
      </c>
      <c r="E9722">
        <v>248</v>
      </c>
      <c r="F9722" t="str">
        <f>HYPERLINK("https://github.com/pylerSM/YouTubeBackgroundPlayback/issues/357", "show")</f>
        <v>show</v>
      </c>
      <c r="G9722" t="str">
        <f>HYPERLINK("https://github.com/pylerSM/YouTubeBackgroundPlayback", "show")</f>
        <v>show</v>
      </c>
      <c r="H9722" t="str">
        <f>HYPERLINK("https://github.com/pylerSM/YouTubeBackgroundPlayback/releases", "show")</f>
        <v>show</v>
      </c>
      <c r="I9722">
        <v>0</v>
      </c>
      <c r="J9722">
        <v>0</v>
      </c>
      <c r="K9722">
        <v>1</v>
      </c>
      <c r="L9722">
        <v>0</v>
      </c>
      <c r="M9722" t="s">
        <v>122</v>
      </c>
    </row>
    <row r="9723" spans="1:13" hidden="1" x14ac:dyDescent="0.15">
      <c r="A9723" t="s">
        <v>30594</v>
      </c>
      <c r="B9723" t="s">
        <v>30595</v>
      </c>
      <c r="C9723" t="s">
        <v>30596</v>
      </c>
      <c r="D9723" t="s">
        <v>30584</v>
      </c>
      <c r="E9723">
        <v>20</v>
      </c>
      <c r="F9723" t="str">
        <f>HYPERLINK("https://github.com/nextcloud/android/issues/2219", "show")</f>
        <v>show</v>
      </c>
      <c r="G9723" t="str">
        <f>HYPERLINK("https://github.com/nextcloud/android", "show")</f>
        <v>show</v>
      </c>
      <c r="H9723" t="str">
        <f>HYPERLINK("https://github.com/nextcloud/android/releases", "show")</f>
        <v>show</v>
      </c>
      <c r="I9723">
        <v>0</v>
      </c>
      <c r="J9723">
        <v>0</v>
      </c>
      <c r="K9723">
        <v>0</v>
      </c>
      <c r="L9723">
        <v>0</v>
      </c>
      <c r="M9723" t="s">
        <v>43</v>
      </c>
    </row>
    <row r="9724" spans="1:13" hidden="1" x14ac:dyDescent="0.15">
      <c r="A9724" t="s">
        <v>30597</v>
      </c>
      <c r="B9724" t="s">
        <v>30598</v>
      </c>
      <c r="C9724" t="s">
        <v>30599</v>
      </c>
      <c r="D9724" t="s">
        <v>30584</v>
      </c>
      <c r="E9724">
        <v>74</v>
      </c>
      <c r="F9724" t="str">
        <f>HYPERLINK("https://github.com/Credntia/AndroidVisionPipeline/issues/1", "show")</f>
        <v>show</v>
      </c>
      <c r="G9724" t="str">
        <f>HYPERLINK("https://github.com/Credntia/AndroidVisionPipeline", "show")</f>
        <v>show</v>
      </c>
      <c r="H9724" t="str">
        <f>HYPERLINK("https://github.com/Credntia/AndroidVisionPipeline/releases", "show")</f>
        <v>show</v>
      </c>
      <c r="I9724">
        <v>1</v>
      </c>
      <c r="J9724">
        <v>0</v>
      </c>
      <c r="K9724">
        <v>0</v>
      </c>
      <c r="L9724">
        <v>0</v>
      </c>
      <c r="M9724" t="s">
        <v>17</v>
      </c>
    </row>
    <row r="9725" spans="1:13" hidden="1" x14ac:dyDescent="0.15">
      <c r="A9725" t="s">
        <v>30600</v>
      </c>
      <c r="B9725" t="s">
        <v>30601</v>
      </c>
      <c r="C9725" t="s">
        <v>30602</v>
      </c>
      <c r="D9725" t="s">
        <v>30584</v>
      </c>
      <c r="E9725">
        <v>141</v>
      </c>
      <c r="F9725" t="str">
        <f>HYPERLINK("https://github.com/google/ExoPlayer/issues/3879", "show")</f>
        <v>show</v>
      </c>
      <c r="G9725" t="str">
        <f>HYPERLINK("https://github.com/google/ExoPlayer", "show")</f>
        <v>show</v>
      </c>
      <c r="H9725" t="str">
        <f>HYPERLINK("https://github.com/google/ExoPlayer/releases", "show")</f>
        <v>show</v>
      </c>
      <c r="I9725">
        <v>1</v>
      </c>
      <c r="J9725">
        <v>0</v>
      </c>
      <c r="K9725">
        <v>0</v>
      </c>
      <c r="L9725">
        <v>0</v>
      </c>
      <c r="M9725" t="s">
        <v>17</v>
      </c>
    </row>
    <row r="9726" spans="1:13" hidden="1" x14ac:dyDescent="0.15">
      <c r="A9726" t="s">
        <v>30603</v>
      </c>
      <c r="B9726" t="s">
        <v>30604</v>
      </c>
      <c r="C9726" t="s">
        <v>30605</v>
      </c>
      <c r="D9726" t="s">
        <v>30606</v>
      </c>
      <c r="E9726">
        <v>88</v>
      </c>
      <c r="F9726" t="str">
        <f>HYPERLINK("https://github.com/TNG/JGiven/issues/338", "show")</f>
        <v>show</v>
      </c>
      <c r="G9726" t="str">
        <f>HYPERLINK("https://github.com/TNG/JGiven", "show")</f>
        <v>show</v>
      </c>
      <c r="H9726" t="str">
        <f>HYPERLINK("https://github.com/TNG/JGiven/releases", "show")</f>
        <v>show</v>
      </c>
      <c r="I9726">
        <v>1</v>
      </c>
      <c r="J9726">
        <v>1</v>
      </c>
      <c r="K9726">
        <v>0</v>
      </c>
      <c r="L9726">
        <v>0</v>
      </c>
      <c r="M9726" t="s">
        <v>48</v>
      </c>
    </row>
    <row r="9727" spans="1:13" hidden="1" x14ac:dyDescent="0.15">
      <c r="A9727" t="s">
        <v>30607</v>
      </c>
      <c r="B9727" t="s">
        <v>30608</v>
      </c>
      <c r="C9727" t="s">
        <v>30609</v>
      </c>
      <c r="D9727" t="s">
        <v>30606</v>
      </c>
      <c r="E9727">
        <v>32</v>
      </c>
      <c r="F9727" t="str">
        <f>HYPERLINK("https://github.com/aaronjwood/PortAuthority/issues/97", "show")</f>
        <v>show</v>
      </c>
      <c r="G9727" t="str">
        <f>HYPERLINK("https://github.com/aaronjwood/PortAuthority", "show")</f>
        <v>show</v>
      </c>
      <c r="H9727" t="str">
        <f>HYPERLINK("https://github.com/aaronjwood/PortAuthority/releases", "show")</f>
        <v>show</v>
      </c>
      <c r="I9727">
        <v>1</v>
      </c>
      <c r="J9727">
        <v>0</v>
      </c>
      <c r="K9727">
        <v>1</v>
      </c>
      <c r="L9727">
        <v>0</v>
      </c>
      <c r="M9727" t="s">
        <v>64</v>
      </c>
    </row>
    <row r="9728" spans="1:13" hidden="1" x14ac:dyDescent="0.15">
      <c r="A9728" t="s">
        <v>30610</v>
      </c>
      <c r="B9728" t="s">
        <v>30611</v>
      </c>
      <c r="C9728" t="s">
        <v>30612</v>
      </c>
      <c r="D9728" t="s">
        <v>30613</v>
      </c>
      <c r="E9728">
        <v>27</v>
      </c>
      <c r="F9728" t="str">
        <f>HYPERLINK("https://github.com/evernote/android-job/issues/380", "show")</f>
        <v>show</v>
      </c>
      <c r="G9728" t="str">
        <f>HYPERLINK("https://github.com/evernote/android-job", "show")</f>
        <v>show</v>
      </c>
      <c r="H9728" t="str">
        <f>HYPERLINK("https://github.com/evernote/android-job/releases", "show")</f>
        <v>show</v>
      </c>
      <c r="I9728">
        <v>1</v>
      </c>
      <c r="J9728">
        <v>0</v>
      </c>
      <c r="K9728">
        <v>1</v>
      </c>
      <c r="L9728">
        <v>0</v>
      </c>
      <c r="M9728" t="s">
        <v>64</v>
      </c>
    </row>
    <row r="9729" spans="1:13" hidden="1" x14ac:dyDescent="0.15">
      <c r="A9729" t="s">
        <v>30614</v>
      </c>
      <c r="B9729" t="s">
        <v>30615</v>
      </c>
      <c r="C9729" t="s">
        <v>30616</v>
      </c>
      <c r="D9729" t="s">
        <v>30613</v>
      </c>
      <c r="E9729">
        <v>84</v>
      </c>
      <c r="F9729" t="str">
        <f>HYPERLINK("https://github.com/processing/processing-android/issues/442", "show")</f>
        <v>show</v>
      </c>
      <c r="G9729" t="str">
        <f>HYPERLINK("https://github.com/processing/processing-android", "show")</f>
        <v>show</v>
      </c>
      <c r="H9729" t="str">
        <f>HYPERLINK("https://github.com/processing/processing-android/releases", "show")</f>
        <v>show</v>
      </c>
      <c r="I9729">
        <v>1</v>
      </c>
      <c r="J9729">
        <v>0</v>
      </c>
      <c r="K9729">
        <v>1</v>
      </c>
      <c r="L9729">
        <v>0</v>
      </c>
      <c r="M9729" t="s">
        <v>64</v>
      </c>
    </row>
    <row r="9730" spans="1:13" hidden="1" x14ac:dyDescent="0.15">
      <c r="A9730" t="s">
        <v>30617</v>
      </c>
      <c r="B9730" t="s">
        <v>30618</v>
      </c>
      <c r="C9730" t="s">
        <v>30619</v>
      </c>
      <c r="D9730" t="s">
        <v>30620</v>
      </c>
      <c r="E9730">
        <v>26</v>
      </c>
      <c r="F9730" t="str">
        <f>HYPERLINK("https://github.com/zouroboros/filmchecker/issues/3", "show")</f>
        <v>show</v>
      </c>
      <c r="G9730" t="str">
        <f>HYPERLINK("https://github.com/zouroboros/filmchecker", "show")</f>
        <v>show</v>
      </c>
      <c r="H9730" t="str">
        <f>HYPERLINK("https://github.com/zouroboros/filmchecker/releases", "show")</f>
        <v>show</v>
      </c>
      <c r="I9730">
        <v>1</v>
      </c>
      <c r="J9730">
        <v>0</v>
      </c>
      <c r="K9730">
        <v>0</v>
      </c>
      <c r="L9730">
        <v>0</v>
      </c>
      <c r="M9730" t="s">
        <v>17</v>
      </c>
    </row>
    <row r="9731" spans="1:13" hidden="1" x14ac:dyDescent="0.15">
      <c r="A9731" t="s">
        <v>30621</v>
      </c>
      <c r="B9731" t="s">
        <v>30622</v>
      </c>
      <c r="C9731" t="s">
        <v>30623</v>
      </c>
      <c r="D9731" t="s">
        <v>30620</v>
      </c>
      <c r="E9731">
        <v>0</v>
      </c>
      <c r="F9731" t="str">
        <f>HYPERLINK("https://github.com/aerogear/aerogear-android-sdk/issues/55", "show")</f>
        <v>show</v>
      </c>
      <c r="G9731" t="str">
        <f>HYPERLINK("https://github.com/aerogear/aerogear-android-sdk", "show")</f>
        <v>show</v>
      </c>
      <c r="H9731" t="str">
        <f>HYPERLINK("https://github.com/aerogear/aerogear-android-sdk/releases", "show")</f>
        <v>show</v>
      </c>
      <c r="I9731">
        <v>1</v>
      </c>
      <c r="J9731">
        <v>0</v>
      </c>
      <c r="K9731">
        <v>0</v>
      </c>
      <c r="L9731">
        <v>0</v>
      </c>
      <c r="M9731" t="s">
        <v>17</v>
      </c>
    </row>
    <row r="9732" spans="1:13" hidden="1" x14ac:dyDescent="0.15">
      <c r="A9732" t="s">
        <v>30624</v>
      </c>
      <c r="B9732" t="s">
        <v>30625</v>
      </c>
      <c r="C9732" t="s">
        <v>30626</v>
      </c>
      <c r="D9732" t="s">
        <v>30627</v>
      </c>
      <c r="E9732">
        <v>6</v>
      </c>
      <c r="F9732" t="str">
        <f>HYPERLINK("https://github.com/codingworkshopru/Gymm/issues/3", "show")</f>
        <v>show</v>
      </c>
      <c r="G9732" t="str">
        <f>HYPERLINK("https://github.com/codingworkshopru/Gymm", "show")</f>
        <v>show</v>
      </c>
      <c r="H9732" t="str">
        <f>HYPERLINK("https://github.com/codingworkshopru/Gymm/releases", "show")</f>
        <v>show</v>
      </c>
      <c r="I9732">
        <v>1</v>
      </c>
      <c r="J9732">
        <v>0</v>
      </c>
      <c r="K9732">
        <v>0</v>
      </c>
      <c r="L9732">
        <v>0</v>
      </c>
      <c r="M9732" t="s">
        <v>17</v>
      </c>
    </row>
    <row r="9733" spans="1:13" hidden="1" x14ac:dyDescent="0.15">
      <c r="A9733" t="s">
        <v>30628</v>
      </c>
      <c r="B9733" t="s">
        <v>30629</v>
      </c>
      <c r="D9733" t="s">
        <v>30627</v>
      </c>
      <c r="E9733">
        <v>0</v>
      </c>
      <c r="F9733" t="str">
        <f>HYPERLINK("https://github.com/arunkumar9t2/lynket-browser/issues/72", "show")</f>
        <v>show</v>
      </c>
      <c r="G9733" t="str">
        <f>HYPERLINK("https://github.com/arunkumar9t2/lynket-browser", "show")</f>
        <v>show</v>
      </c>
      <c r="H9733" t="str">
        <f>HYPERLINK("https://github.com/arunkumar9t2/lynket-browser/releases", "show")</f>
        <v>show</v>
      </c>
      <c r="I9733">
        <v>1</v>
      </c>
      <c r="J9733">
        <v>0</v>
      </c>
      <c r="K9733">
        <v>0</v>
      </c>
      <c r="L9733">
        <v>0</v>
      </c>
      <c r="M9733" t="s">
        <v>17</v>
      </c>
    </row>
    <row r="9734" spans="1:13" hidden="1" x14ac:dyDescent="0.15">
      <c r="A9734" t="s">
        <v>30630</v>
      </c>
      <c r="B9734" t="s">
        <v>30631</v>
      </c>
      <c r="C9734" t="s">
        <v>30632</v>
      </c>
      <c r="D9734" t="s">
        <v>30627</v>
      </c>
      <c r="E9734">
        <v>1</v>
      </c>
      <c r="F9734" t="str">
        <f>HYPERLINK("https://github.com/nonsensicalthinking/planttracker/issues/21", "show")</f>
        <v>show</v>
      </c>
      <c r="G9734" t="str">
        <f>HYPERLINK("https://github.com/nonsensicalthinking/planttracker", "show")</f>
        <v>show</v>
      </c>
      <c r="H9734" t="str">
        <f>HYPERLINK("https://github.com/nonsensicalthinking/planttracker/releases", "show")</f>
        <v>show</v>
      </c>
      <c r="I9734">
        <v>0</v>
      </c>
      <c r="J9734">
        <v>0</v>
      </c>
      <c r="K9734">
        <v>0</v>
      </c>
      <c r="L9734">
        <v>0</v>
      </c>
      <c r="M9734" t="s">
        <v>43</v>
      </c>
    </row>
    <row r="9735" spans="1:13" hidden="1" x14ac:dyDescent="0.15">
      <c r="A9735" t="s">
        <v>30633</v>
      </c>
      <c r="B9735" t="s">
        <v>30634</v>
      </c>
      <c r="C9735" t="s">
        <v>30635</v>
      </c>
      <c r="D9735" t="s">
        <v>30636</v>
      </c>
      <c r="E9735">
        <v>2</v>
      </c>
      <c r="F9735" t="str">
        <f>HYPERLINK("https://github.com/andOTP/andOTP/issues/135", "show")</f>
        <v>show</v>
      </c>
      <c r="G9735" t="str">
        <f>HYPERLINK("https://github.com/andOTP/andOTP", "show")</f>
        <v>show</v>
      </c>
      <c r="H9735" t="str">
        <f>HYPERLINK("https://github.com/andOTP/andOTP/releases", "show")</f>
        <v>show</v>
      </c>
      <c r="I9735">
        <v>1</v>
      </c>
      <c r="J9735">
        <v>1</v>
      </c>
      <c r="K9735">
        <v>1</v>
      </c>
      <c r="L9735">
        <v>0</v>
      </c>
      <c r="M9735" t="s">
        <v>59</v>
      </c>
    </row>
    <row r="9736" spans="1:13" hidden="1" x14ac:dyDescent="0.15">
      <c r="A9736" t="s">
        <v>30637</v>
      </c>
      <c r="B9736" t="s">
        <v>30638</v>
      </c>
      <c r="D9736" t="s">
        <v>30636</v>
      </c>
      <c r="E9736">
        <v>10</v>
      </c>
      <c r="F9736" t="str">
        <f>HYPERLINK("https://github.com/alexandrosntak/mobileComputing/issues/18", "show")</f>
        <v>show</v>
      </c>
      <c r="G9736" t="str">
        <f>HYPERLINK("https://github.com/alexandrosntak/mobileComputing", "show")</f>
        <v>show</v>
      </c>
      <c r="H9736" t="str">
        <f>HYPERLINK("https://github.com/alexandrosntak/mobileComputing/releases", "show")</f>
        <v>show</v>
      </c>
      <c r="I9736">
        <v>1</v>
      </c>
      <c r="J9736">
        <v>0</v>
      </c>
      <c r="K9736">
        <v>1</v>
      </c>
      <c r="L9736">
        <v>0</v>
      </c>
      <c r="M9736" t="s">
        <v>64</v>
      </c>
    </row>
    <row r="9737" spans="1:13" hidden="1" x14ac:dyDescent="0.15">
      <c r="A9737" t="s">
        <v>30639</v>
      </c>
      <c r="B9737" t="s">
        <v>30640</v>
      </c>
      <c r="C9737" t="s">
        <v>30641</v>
      </c>
      <c r="D9737" t="s">
        <v>30636</v>
      </c>
      <c r="E9737">
        <v>1048</v>
      </c>
      <c r="F9737" t="str">
        <f>HYPERLINK("https://github.com/Shirakumo/Ocelot/issues/1", "show")</f>
        <v>show</v>
      </c>
      <c r="G9737" t="str">
        <f>HYPERLINK("https://github.com/Shirakumo/Ocelot", "show")</f>
        <v>show</v>
      </c>
      <c r="H9737" t="str">
        <f>HYPERLINK("https://github.com/Shirakumo/Ocelot/releases", "show")</f>
        <v>show</v>
      </c>
      <c r="I9737">
        <v>1</v>
      </c>
      <c r="J9737">
        <v>1</v>
      </c>
      <c r="K9737">
        <v>0</v>
      </c>
      <c r="L9737">
        <v>0</v>
      </c>
      <c r="M9737" t="s">
        <v>48</v>
      </c>
    </row>
    <row r="9738" spans="1:13" hidden="1" x14ac:dyDescent="0.15">
      <c r="A9738" t="s">
        <v>30642</v>
      </c>
      <c r="B9738" t="s">
        <v>30643</v>
      </c>
      <c r="C9738" t="s">
        <v>30644</v>
      </c>
      <c r="D9738" t="s">
        <v>30636</v>
      </c>
      <c r="E9738">
        <v>1</v>
      </c>
      <c r="F9738" t="str">
        <f>HYPERLINK("https://github.com/woefe/ShoppingList/issues/8", "show")</f>
        <v>show</v>
      </c>
      <c r="G9738" t="str">
        <f>HYPERLINK("https://github.com/woefe/ShoppingList", "show")</f>
        <v>show</v>
      </c>
      <c r="H9738" t="str">
        <f>HYPERLINK("https://github.com/woefe/ShoppingList/releases", "show")</f>
        <v>show</v>
      </c>
      <c r="I9738">
        <v>1</v>
      </c>
      <c r="J9738">
        <v>0</v>
      </c>
      <c r="K9738">
        <v>0</v>
      </c>
      <c r="L9738">
        <v>0</v>
      </c>
      <c r="M9738" t="s">
        <v>17</v>
      </c>
    </row>
    <row r="9739" spans="1:13" hidden="1" x14ac:dyDescent="0.15">
      <c r="A9739" t="s">
        <v>30645</v>
      </c>
      <c r="B9739" t="s">
        <v>30646</v>
      </c>
      <c r="C9739" t="s">
        <v>30647</v>
      </c>
      <c r="D9739" t="s">
        <v>30636</v>
      </c>
      <c r="E9739">
        <v>0</v>
      </c>
      <c r="F9739" t="str">
        <f>HYPERLINK("https://github.com/woefe/ShoppingList/issues/5", "show")</f>
        <v>show</v>
      </c>
      <c r="G9739" t="str">
        <f>HYPERLINK("https://github.com/woefe/ShoppingList", "show")</f>
        <v>show</v>
      </c>
      <c r="H9739" t="str">
        <f>HYPERLINK("https://github.com/woefe/ShoppingList/releases", "show")</f>
        <v>show</v>
      </c>
      <c r="I9739">
        <v>1</v>
      </c>
      <c r="J9739">
        <v>0</v>
      </c>
      <c r="K9739">
        <v>0</v>
      </c>
      <c r="L9739">
        <v>0</v>
      </c>
      <c r="M9739" t="s">
        <v>17</v>
      </c>
    </row>
    <row r="9740" spans="1:13" hidden="1" x14ac:dyDescent="0.15">
      <c r="A9740" t="s">
        <v>30648</v>
      </c>
      <c r="B9740" t="s">
        <v>30649</v>
      </c>
      <c r="C9740" t="s">
        <v>30650</v>
      </c>
      <c r="D9740" t="s">
        <v>30651</v>
      </c>
      <c r="E9740">
        <v>12</v>
      </c>
      <c r="F9740" t="str">
        <f>HYPERLINK("https://github.com/commons-app/apps-android-commons/issues/1163", "show")</f>
        <v>show</v>
      </c>
      <c r="G9740" t="str">
        <f>HYPERLINK("https://github.com/commons-app/apps-android-commons", "show")</f>
        <v>show</v>
      </c>
      <c r="H9740" t="str">
        <f>HYPERLINK("https://github.com/commons-app/apps-android-commons/releases", "show")</f>
        <v>show</v>
      </c>
      <c r="I9740">
        <v>1</v>
      </c>
      <c r="J9740">
        <v>0</v>
      </c>
      <c r="K9740">
        <v>0</v>
      </c>
      <c r="L9740">
        <v>0</v>
      </c>
      <c r="M9740" t="s">
        <v>17</v>
      </c>
    </row>
    <row r="9741" spans="1:13" hidden="1" x14ac:dyDescent="0.15">
      <c r="A9741" t="s">
        <v>30652</v>
      </c>
      <c r="B9741" t="s">
        <v>30653</v>
      </c>
      <c r="C9741" t="s">
        <v>30654</v>
      </c>
      <c r="D9741" t="s">
        <v>30651</v>
      </c>
      <c r="E9741">
        <v>3</v>
      </c>
      <c r="F9741" t="str">
        <f>HYPERLINK("https://github.com/Z3r0byte/Magistify/issues/70", "show")</f>
        <v>show</v>
      </c>
      <c r="G9741" t="str">
        <f>HYPERLINK("https://github.com/Z3r0byte/Magistify", "show")</f>
        <v>show</v>
      </c>
      <c r="H9741" t="str">
        <f>HYPERLINK("https://github.com/Z3r0byte/Magistify/releases", "show")</f>
        <v>show</v>
      </c>
      <c r="I9741">
        <v>1</v>
      </c>
      <c r="J9741">
        <v>0</v>
      </c>
      <c r="K9741">
        <v>0</v>
      </c>
      <c r="L9741">
        <v>0</v>
      </c>
      <c r="M9741" t="s">
        <v>17</v>
      </c>
    </row>
    <row r="9742" spans="1:13" hidden="1" x14ac:dyDescent="0.15">
      <c r="A9742" t="s">
        <v>30655</v>
      </c>
      <c r="B9742" t="s">
        <v>30656</v>
      </c>
      <c r="C9742" t="s">
        <v>30657</v>
      </c>
      <c r="D9742" t="s">
        <v>30651</v>
      </c>
      <c r="E9742">
        <v>0</v>
      </c>
      <c r="F9742" t="str">
        <f>HYPERLINK("https://github.com/ramack/ActivityDiary/issues/82", "show")</f>
        <v>show</v>
      </c>
      <c r="G9742" t="str">
        <f>HYPERLINK("https://github.com/ramack/ActivityDiary", "show")</f>
        <v>show</v>
      </c>
      <c r="H9742" t="str">
        <f>HYPERLINK("https://github.com/ramack/ActivityDiary/releases", "show")</f>
        <v>show</v>
      </c>
      <c r="I9742">
        <v>1</v>
      </c>
      <c r="J9742">
        <v>0</v>
      </c>
      <c r="K9742">
        <v>1</v>
      </c>
      <c r="L9742">
        <v>0</v>
      </c>
      <c r="M9742" t="s">
        <v>64</v>
      </c>
    </row>
    <row r="9743" spans="1:13" x14ac:dyDescent="0.15">
      <c r="A9743" t="s">
        <v>30658</v>
      </c>
      <c r="B9743" t="s">
        <v>30659</v>
      </c>
      <c r="C9743" t="s">
        <v>30660</v>
      </c>
      <c r="D9743" t="s">
        <v>30661</v>
      </c>
      <c r="E9743">
        <v>90</v>
      </c>
      <c r="F9743" t="str">
        <f>HYPERLINK("https://github.com/cgeo/cgeo/issues/6933", "show")</f>
        <v>show</v>
      </c>
      <c r="G9743" t="str">
        <f>HYPERLINK("https://github.com/cgeo/cgeo", "show")</f>
        <v>show</v>
      </c>
      <c r="H9743" t="str">
        <f>HYPERLINK("https://github.com/cgeo/cgeo/releases", "show")</f>
        <v>show</v>
      </c>
      <c r="I9743">
        <v>0</v>
      </c>
      <c r="J9743">
        <v>1</v>
      </c>
      <c r="K9743">
        <v>0</v>
      </c>
      <c r="L9743">
        <v>0</v>
      </c>
      <c r="M9743" t="s">
        <v>139</v>
      </c>
    </row>
    <row r="9744" spans="1:13" hidden="1" x14ac:dyDescent="0.15">
      <c r="A9744" t="s">
        <v>30662</v>
      </c>
      <c r="B9744" t="s">
        <v>30663</v>
      </c>
      <c r="C9744" t="s">
        <v>30664</v>
      </c>
      <c r="D9744" t="s">
        <v>30661</v>
      </c>
      <c r="E9744">
        <v>0</v>
      </c>
      <c r="F9744" t="str">
        <f>HYPERLINK("https://github.com/michael-rapp/ChromeLikeTabSwitcher/issues/13", "show")</f>
        <v>show</v>
      </c>
      <c r="G9744" t="str">
        <f>HYPERLINK("https://github.com/michael-rapp/ChromeLikeTabSwitcher", "show")</f>
        <v>show</v>
      </c>
      <c r="H9744" t="str">
        <f>HYPERLINK("https://github.com/michael-rapp/ChromeLikeTabSwitcher/releases", "show")</f>
        <v>show</v>
      </c>
      <c r="I9744">
        <v>1</v>
      </c>
      <c r="J9744">
        <v>0</v>
      </c>
      <c r="K9744">
        <v>0</v>
      </c>
      <c r="L9744">
        <v>0</v>
      </c>
      <c r="M9744" t="s">
        <v>17</v>
      </c>
    </row>
    <row r="9745" spans="1:13" hidden="1" x14ac:dyDescent="0.15">
      <c r="A9745" t="s">
        <v>30665</v>
      </c>
      <c r="B9745" t="s">
        <v>30666</v>
      </c>
      <c r="C9745" t="s">
        <v>30667</v>
      </c>
      <c r="D9745" t="s">
        <v>30661</v>
      </c>
      <c r="E9745">
        <v>18</v>
      </c>
      <c r="F9745" t="str">
        <f>HYPERLINK("https://github.com/nextcloud/android/issues/2184", "show")</f>
        <v>show</v>
      </c>
      <c r="G9745" t="str">
        <f>HYPERLINK("https://github.com/nextcloud/android", "show")</f>
        <v>show</v>
      </c>
      <c r="H9745" t="str">
        <f>HYPERLINK("https://github.com/nextcloud/android/releases", "show")</f>
        <v>show</v>
      </c>
      <c r="I9745">
        <v>1</v>
      </c>
      <c r="J9745">
        <v>0</v>
      </c>
      <c r="K9745">
        <v>0</v>
      </c>
      <c r="L9745">
        <v>0</v>
      </c>
      <c r="M9745" t="s">
        <v>17</v>
      </c>
    </row>
    <row r="9746" spans="1:13" hidden="1" x14ac:dyDescent="0.15">
      <c r="A9746" t="s">
        <v>30668</v>
      </c>
      <c r="B9746" t="s">
        <v>30669</v>
      </c>
      <c r="C9746" t="s">
        <v>30670</v>
      </c>
      <c r="D9746" t="s">
        <v>30661</v>
      </c>
      <c r="E9746">
        <v>0</v>
      </c>
      <c r="F9746" t="str">
        <f>HYPERLINK("https://github.com/aerogear/aerogear-android-sdk/issues/43", "show")</f>
        <v>show</v>
      </c>
      <c r="G9746" t="str">
        <f>HYPERLINK("https://github.com/aerogear/aerogear-android-sdk", "show")</f>
        <v>show</v>
      </c>
      <c r="H9746" t="str">
        <f>HYPERLINK("https://github.com/aerogear/aerogear-android-sdk/releases", "show")</f>
        <v>show</v>
      </c>
      <c r="I9746">
        <v>1</v>
      </c>
      <c r="J9746">
        <v>0</v>
      </c>
      <c r="K9746">
        <v>1</v>
      </c>
      <c r="L9746">
        <v>0</v>
      </c>
      <c r="M9746" t="s">
        <v>64</v>
      </c>
    </row>
    <row r="9747" spans="1:13" hidden="1" x14ac:dyDescent="0.15">
      <c r="A9747" t="s">
        <v>30671</v>
      </c>
      <c r="B9747" t="s">
        <v>4871</v>
      </c>
      <c r="C9747" t="s">
        <v>504</v>
      </c>
      <c r="D9747" t="s">
        <v>30661</v>
      </c>
      <c r="E9747">
        <v>15</v>
      </c>
      <c r="F9747" t="str">
        <f>HYPERLINK("https://github.com/tanrabad/survey/issues/54", "show")</f>
        <v>show</v>
      </c>
      <c r="G9747" t="str">
        <f>HYPERLINK("https://github.com/tanrabad/survey", "show")</f>
        <v>show</v>
      </c>
      <c r="H9747" t="str">
        <f>HYPERLINK("https://github.com/tanrabad/survey/releases", "show")</f>
        <v>show</v>
      </c>
      <c r="I9747">
        <v>1</v>
      </c>
      <c r="J9747">
        <v>0</v>
      </c>
      <c r="K9747">
        <v>0</v>
      </c>
      <c r="L9747">
        <v>0</v>
      </c>
      <c r="M9747" t="s">
        <v>17</v>
      </c>
    </row>
    <row r="9748" spans="1:13" hidden="1" x14ac:dyDescent="0.15">
      <c r="A9748" t="s">
        <v>30672</v>
      </c>
      <c r="B9748" t="s">
        <v>30673</v>
      </c>
      <c r="C9748" t="s">
        <v>30674</v>
      </c>
      <c r="D9748" t="s">
        <v>30675</v>
      </c>
      <c r="E9748">
        <v>17</v>
      </c>
      <c r="F9748" t="str">
        <f>HYPERLINK("https://github.com/tonyofrancis/Fetch/issues/111", "show")</f>
        <v>show</v>
      </c>
      <c r="G9748" t="str">
        <f>HYPERLINK("https://github.com/tonyofrancis/Fetch", "show")</f>
        <v>show</v>
      </c>
      <c r="H9748" t="str">
        <f>HYPERLINK("https://github.com/tonyofrancis/Fetch/releases", "show")</f>
        <v>show</v>
      </c>
      <c r="I9748">
        <v>1</v>
      </c>
      <c r="J9748">
        <v>0</v>
      </c>
      <c r="K9748">
        <v>0</v>
      </c>
      <c r="L9748">
        <v>0</v>
      </c>
      <c r="M9748" t="s">
        <v>17</v>
      </c>
    </row>
    <row r="9749" spans="1:13" hidden="1" x14ac:dyDescent="0.15">
      <c r="A9749" t="s">
        <v>30676</v>
      </c>
      <c r="B9749" t="s">
        <v>30677</v>
      </c>
      <c r="C9749" t="s">
        <v>30678</v>
      </c>
      <c r="D9749" t="s">
        <v>30679</v>
      </c>
      <c r="E9749">
        <v>5</v>
      </c>
      <c r="F9749" t="str">
        <f>HYPERLINK("https://github.com/DroiDevs-PL/books/issues/17", "show")</f>
        <v>show</v>
      </c>
      <c r="G9749" t="str">
        <f>HYPERLINK("https://github.com/DroiDevs-PL/books", "show")</f>
        <v>show</v>
      </c>
      <c r="H9749" t="str">
        <f>HYPERLINK("https://github.com/DroiDevs-PL/books/releases", "show")</f>
        <v>show</v>
      </c>
      <c r="I9749">
        <v>1</v>
      </c>
      <c r="J9749">
        <v>0</v>
      </c>
      <c r="K9749">
        <v>1</v>
      </c>
      <c r="L9749">
        <v>0</v>
      </c>
      <c r="M9749" t="s">
        <v>64</v>
      </c>
    </row>
    <row r="9750" spans="1:13" hidden="1" x14ac:dyDescent="0.15">
      <c r="A9750" t="s">
        <v>30680</v>
      </c>
      <c r="B9750" t="s">
        <v>30681</v>
      </c>
      <c r="C9750" t="s">
        <v>30682</v>
      </c>
      <c r="D9750" t="s">
        <v>30683</v>
      </c>
      <c r="E9750">
        <v>129</v>
      </c>
      <c r="F9750" t="str">
        <f>HYPERLINK("https://github.com/warmshowers/wsandroid/issues/267", "show")</f>
        <v>show</v>
      </c>
      <c r="G9750" t="str">
        <f>HYPERLINK("https://github.com/warmshowers/wsandroid", "show")</f>
        <v>show</v>
      </c>
      <c r="H9750" t="str">
        <f>HYPERLINK("https://github.com/warmshowers/wsandroid/releases", "show")</f>
        <v>show</v>
      </c>
      <c r="I9750">
        <v>1</v>
      </c>
      <c r="J9750">
        <v>0</v>
      </c>
      <c r="K9750">
        <v>1</v>
      </c>
      <c r="L9750">
        <v>0</v>
      </c>
      <c r="M9750" t="s">
        <v>64</v>
      </c>
    </row>
    <row r="9751" spans="1:13" hidden="1" x14ac:dyDescent="0.15">
      <c r="A9751" t="s">
        <v>30684</v>
      </c>
      <c r="B9751" t="s">
        <v>30685</v>
      </c>
      <c r="C9751" t="s">
        <v>30686</v>
      </c>
      <c r="D9751" t="s">
        <v>30683</v>
      </c>
      <c r="E9751">
        <v>0</v>
      </c>
      <c r="F9751" t="str">
        <f>HYPERLINK("https://github.com/novoda/merlin/issues/158", "show")</f>
        <v>show</v>
      </c>
      <c r="G9751" t="str">
        <f>HYPERLINK("https://github.com/novoda/merlin", "show")</f>
        <v>show</v>
      </c>
      <c r="H9751" t="str">
        <f>HYPERLINK("https://github.com/novoda/merlin/releases", "show")</f>
        <v>show</v>
      </c>
      <c r="I9751">
        <v>1</v>
      </c>
      <c r="J9751">
        <v>0</v>
      </c>
      <c r="K9751">
        <v>0</v>
      </c>
      <c r="L9751">
        <v>0</v>
      </c>
      <c r="M9751" t="s">
        <v>17</v>
      </c>
    </row>
    <row r="9752" spans="1:13" hidden="1" x14ac:dyDescent="0.15">
      <c r="A9752" t="s">
        <v>30687</v>
      </c>
      <c r="B9752" t="s">
        <v>30688</v>
      </c>
      <c r="C9752" t="s">
        <v>30689</v>
      </c>
      <c r="D9752" t="s">
        <v>30683</v>
      </c>
      <c r="E9752">
        <v>3</v>
      </c>
      <c r="F9752" t="str">
        <f>HYPERLINK("https://github.com/EyeSeeTea/EReferralsApp/issues/130", "show")</f>
        <v>show</v>
      </c>
      <c r="G9752" t="str">
        <f>HYPERLINK("https://github.com/EyeSeeTea/EReferralsApp", "show")</f>
        <v>show</v>
      </c>
      <c r="H9752" t="str">
        <f>HYPERLINK("https://github.com/EyeSeeTea/EReferralsApp/releases", "show")</f>
        <v>show</v>
      </c>
      <c r="I9752">
        <v>1</v>
      </c>
      <c r="J9752">
        <v>0</v>
      </c>
      <c r="K9752">
        <v>0</v>
      </c>
      <c r="L9752">
        <v>0</v>
      </c>
      <c r="M9752" t="s">
        <v>17</v>
      </c>
    </row>
    <row r="9753" spans="1:13" hidden="1" x14ac:dyDescent="0.15">
      <c r="A9753" t="s">
        <v>30690</v>
      </c>
      <c r="B9753" t="s">
        <v>30691</v>
      </c>
      <c r="C9753" t="s">
        <v>30692</v>
      </c>
      <c r="D9753" t="s">
        <v>30683</v>
      </c>
      <c r="E9753">
        <v>0</v>
      </c>
      <c r="F9753" t="str">
        <f>HYPERLINK("https://github.com/dimagi/commcare-android/issues/1943", "show")</f>
        <v>show</v>
      </c>
      <c r="G9753" t="str">
        <f>HYPERLINK("https://github.com/dimagi/commcare-android", "show")</f>
        <v>show</v>
      </c>
      <c r="H9753" t="str">
        <f>HYPERLINK("https://github.com/dimagi/commcare-android/releases", "show")</f>
        <v>show</v>
      </c>
      <c r="I9753">
        <v>1</v>
      </c>
      <c r="J9753">
        <v>0</v>
      </c>
      <c r="K9753">
        <v>0</v>
      </c>
      <c r="L9753">
        <v>0</v>
      </c>
      <c r="M9753" t="s">
        <v>17</v>
      </c>
    </row>
    <row r="9754" spans="1:13" hidden="1" x14ac:dyDescent="0.15">
      <c r="A9754" t="s">
        <v>30693</v>
      </c>
      <c r="B9754" t="s">
        <v>30694</v>
      </c>
      <c r="C9754" t="s">
        <v>30695</v>
      </c>
      <c r="D9754" t="s">
        <v>30696</v>
      </c>
      <c r="E9754">
        <v>1</v>
      </c>
      <c r="F9754" t="str">
        <f>HYPERLINK("https://github.com/thekirankumar/carstream-android-auto/issues/77", "show")</f>
        <v>show</v>
      </c>
      <c r="G9754" t="str">
        <f>HYPERLINK("https://github.com/thekirankumar/carstream-android-auto", "show")</f>
        <v>show</v>
      </c>
      <c r="H9754" t="str">
        <f>HYPERLINK("https://github.com/thekirankumar/carstream-android-auto/releases", "show")</f>
        <v>show</v>
      </c>
      <c r="I9754">
        <v>1</v>
      </c>
      <c r="J9754">
        <v>0</v>
      </c>
      <c r="K9754">
        <v>0</v>
      </c>
      <c r="L9754">
        <v>0</v>
      </c>
      <c r="M9754" t="s">
        <v>17</v>
      </c>
    </row>
    <row r="9755" spans="1:13" hidden="1" x14ac:dyDescent="0.15">
      <c r="A9755" t="s">
        <v>30697</v>
      </c>
      <c r="B9755" t="s">
        <v>4871</v>
      </c>
      <c r="C9755" t="s">
        <v>504</v>
      </c>
      <c r="D9755" t="s">
        <v>30696</v>
      </c>
      <c r="E9755">
        <v>19</v>
      </c>
      <c r="F9755" t="str">
        <f>HYPERLINK("https://github.com/tanrabad/survey/issues/53", "show")</f>
        <v>show</v>
      </c>
      <c r="G9755" t="str">
        <f>HYPERLINK("https://github.com/tanrabad/survey", "show")</f>
        <v>show</v>
      </c>
      <c r="H9755" t="str">
        <f>HYPERLINK("https://github.com/tanrabad/survey/releases", "show")</f>
        <v>show</v>
      </c>
      <c r="I9755">
        <v>1</v>
      </c>
      <c r="J9755">
        <v>0</v>
      </c>
      <c r="K9755">
        <v>0</v>
      </c>
      <c r="L9755">
        <v>0</v>
      </c>
      <c r="M9755" t="s">
        <v>17</v>
      </c>
    </row>
    <row r="9756" spans="1:13" hidden="1" x14ac:dyDescent="0.15">
      <c r="A9756" t="s">
        <v>30698</v>
      </c>
      <c r="B9756" t="s">
        <v>30699</v>
      </c>
      <c r="C9756" t="s">
        <v>30700</v>
      </c>
      <c r="D9756" t="s">
        <v>30696</v>
      </c>
      <c r="E9756">
        <v>1</v>
      </c>
      <c r="F9756" t="str">
        <f>HYPERLINK("https://github.com/nonsensicalthinking/planttracker/issues/19", "show")</f>
        <v>show</v>
      </c>
      <c r="G9756" t="str">
        <f>HYPERLINK("https://github.com/nonsensicalthinking/planttracker", "show")</f>
        <v>show</v>
      </c>
      <c r="H9756" t="str">
        <f>HYPERLINK("https://github.com/nonsensicalthinking/planttracker/releases", "show")</f>
        <v>show</v>
      </c>
      <c r="I9756">
        <v>1</v>
      </c>
      <c r="J9756">
        <v>0</v>
      </c>
      <c r="K9756">
        <v>0</v>
      </c>
      <c r="L9756">
        <v>0</v>
      </c>
      <c r="M9756" t="s">
        <v>17</v>
      </c>
    </row>
    <row r="9757" spans="1:13" hidden="1" x14ac:dyDescent="0.15">
      <c r="A9757" t="s">
        <v>30701</v>
      </c>
      <c r="B9757" t="s">
        <v>30702</v>
      </c>
      <c r="C9757" t="s">
        <v>30703</v>
      </c>
      <c r="D9757" t="s">
        <v>30704</v>
      </c>
      <c r="E9757">
        <v>68</v>
      </c>
      <c r="F9757" t="str">
        <f>HYPERLINK("https://github.com/mapbox/mapbox-plugins-android/issues/274", "show")</f>
        <v>show</v>
      </c>
      <c r="G9757" t="str">
        <f>HYPERLINK("https://github.com/mapbox/mapbox-plugins-android", "show")</f>
        <v>show</v>
      </c>
      <c r="H9757" t="str">
        <f>HYPERLINK("https://github.com/mapbox/mapbox-plugins-android/releases", "show")</f>
        <v>show</v>
      </c>
      <c r="I9757">
        <v>1</v>
      </c>
      <c r="J9757">
        <v>0</v>
      </c>
      <c r="K9757">
        <v>1</v>
      </c>
      <c r="L9757">
        <v>0</v>
      </c>
      <c r="M9757" t="s">
        <v>64</v>
      </c>
    </row>
    <row r="9758" spans="1:13" hidden="1" x14ac:dyDescent="0.15">
      <c r="A9758" t="s">
        <v>30705</v>
      </c>
      <c r="B9758" t="s">
        <v>30706</v>
      </c>
      <c r="C9758" t="s">
        <v>498</v>
      </c>
      <c r="D9758" t="s">
        <v>30704</v>
      </c>
      <c r="E9758">
        <v>157</v>
      </c>
      <c r="F9758" t="str">
        <f>HYPERLINK("https://github.com/MiPushFramework/MiPushFramework/issues/54", "show")</f>
        <v>show</v>
      </c>
      <c r="G9758" t="str">
        <f>HYPERLINK("https://github.com/MiPushFramework/MiPushFramework", "show")</f>
        <v>show</v>
      </c>
      <c r="H9758" t="str">
        <f>HYPERLINK("https://github.com/MiPushFramework/MiPushFramework/releases", "show")</f>
        <v>show</v>
      </c>
      <c r="I9758">
        <v>0</v>
      </c>
      <c r="J9758">
        <v>0</v>
      </c>
      <c r="K9758">
        <v>1</v>
      </c>
      <c r="L9758">
        <v>0</v>
      </c>
      <c r="M9758" t="s">
        <v>122</v>
      </c>
    </row>
    <row r="9759" spans="1:13" hidden="1" x14ac:dyDescent="0.15">
      <c r="A9759" t="s">
        <v>30707</v>
      </c>
      <c r="B9759" t="s">
        <v>30708</v>
      </c>
      <c r="C9759" t="s">
        <v>30709</v>
      </c>
      <c r="D9759" t="s">
        <v>30710</v>
      </c>
      <c r="E9759">
        <v>16</v>
      </c>
      <c r="F9759" t="str">
        <f>HYPERLINK("https://github.com/deltachat/deltachat-android/issues/248", "show")</f>
        <v>show</v>
      </c>
      <c r="G9759" t="str">
        <f>HYPERLINK("https://github.com/deltachat/deltachat-android", "show")</f>
        <v>show</v>
      </c>
      <c r="H9759" t="str">
        <f>HYPERLINK("https://github.com/deltachat/deltachat-android/releases", "show")</f>
        <v>show</v>
      </c>
      <c r="I9759">
        <v>1</v>
      </c>
      <c r="J9759">
        <v>0</v>
      </c>
      <c r="K9759">
        <v>0</v>
      </c>
      <c r="L9759">
        <v>0</v>
      </c>
      <c r="M9759" t="s">
        <v>17</v>
      </c>
    </row>
    <row r="9760" spans="1:13" hidden="1" x14ac:dyDescent="0.15">
      <c r="A9760" t="s">
        <v>30711</v>
      </c>
      <c r="B9760" t="s">
        <v>30712</v>
      </c>
      <c r="C9760" t="s">
        <v>30713</v>
      </c>
      <c r="D9760" t="s">
        <v>30710</v>
      </c>
      <c r="E9760">
        <v>29</v>
      </c>
      <c r="F9760" t="str">
        <f>HYPERLINK("https://github.com/ZeevoX/Ocquarium/issues/15", "show")</f>
        <v>show</v>
      </c>
      <c r="G9760" t="str">
        <f>HYPERLINK("https://github.com/ZeevoX/Ocquarium", "show")</f>
        <v>show</v>
      </c>
      <c r="H9760" t="str">
        <f>HYPERLINK("https://github.com/ZeevoX/Ocquarium/releases", "show")</f>
        <v>show</v>
      </c>
      <c r="I9760">
        <v>1</v>
      </c>
      <c r="J9760">
        <v>0</v>
      </c>
      <c r="K9760">
        <v>0</v>
      </c>
      <c r="L9760">
        <v>0</v>
      </c>
      <c r="M9760" t="s">
        <v>17</v>
      </c>
    </row>
    <row r="9761" spans="1:13" hidden="1" x14ac:dyDescent="0.15">
      <c r="A9761" t="s">
        <v>30714</v>
      </c>
      <c r="B9761" t="s">
        <v>30715</v>
      </c>
      <c r="C9761" t="s">
        <v>30716</v>
      </c>
      <c r="D9761" t="s">
        <v>30710</v>
      </c>
      <c r="E9761">
        <v>85</v>
      </c>
      <c r="F9761" t="str">
        <f>HYPERLINK("https://github.com/yeriomin/YalpStore/issues/392", "show")</f>
        <v>show</v>
      </c>
      <c r="G9761" t="str">
        <f>HYPERLINK("https://github.com/yeriomin/YalpStore", "show")</f>
        <v>show</v>
      </c>
      <c r="H9761" t="str">
        <f>HYPERLINK("https://github.com/yeriomin/YalpStore/releases", "show")</f>
        <v>show</v>
      </c>
      <c r="I9761">
        <v>1</v>
      </c>
      <c r="J9761">
        <v>1</v>
      </c>
      <c r="K9761">
        <v>0</v>
      </c>
      <c r="L9761">
        <v>0</v>
      </c>
      <c r="M9761" t="s">
        <v>48</v>
      </c>
    </row>
    <row r="9762" spans="1:13" hidden="1" x14ac:dyDescent="0.15">
      <c r="A9762" t="s">
        <v>30717</v>
      </c>
      <c r="B9762" t="s">
        <v>6740</v>
      </c>
      <c r="C9762" t="s">
        <v>30718</v>
      </c>
      <c r="D9762" t="s">
        <v>30710</v>
      </c>
      <c r="E9762">
        <v>217</v>
      </c>
      <c r="F9762" t="str">
        <f>HYPERLINK("https://github.com/ankidroid/Anki-Android/issues/4786", "show")</f>
        <v>show</v>
      </c>
      <c r="G9762" t="str">
        <f>HYPERLINK("https://github.com/ankidroid/Anki-Android", "show")</f>
        <v>show</v>
      </c>
      <c r="H9762" t="str">
        <f>HYPERLINK("https://github.com/ankidroid/Anki-Android/releases", "show")</f>
        <v>show</v>
      </c>
      <c r="I9762">
        <v>1</v>
      </c>
      <c r="J9762">
        <v>1</v>
      </c>
      <c r="K9762">
        <v>1</v>
      </c>
      <c r="L9762">
        <v>0</v>
      </c>
      <c r="M9762" t="s">
        <v>59</v>
      </c>
    </row>
    <row r="9763" spans="1:13" hidden="1" x14ac:dyDescent="0.15">
      <c r="A9763" t="s">
        <v>30719</v>
      </c>
      <c r="B9763" t="s">
        <v>30720</v>
      </c>
      <c r="C9763" t="s">
        <v>30721</v>
      </c>
      <c r="D9763" t="s">
        <v>30722</v>
      </c>
      <c r="E9763">
        <v>10</v>
      </c>
      <c r="F9763" t="str">
        <f>HYPERLINK("https://github.com/codinguser/gnucash-android/issues/768", "show")</f>
        <v>show</v>
      </c>
      <c r="G9763" t="str">
        <f>HYPERLINK("https://github.com/codinguser/gnucash-android", "show")</f>
        <v>show</v>
      </c>
      <c r="H9763" t="str">
        <f>HYPERLINK("https://github.com/codinguser/gnucash-android/releases", "show")</f>
        <v>show</v>
      </c>
      <c r="I9763">
        <v>1</v>
      </c>
      <c r="J9763">
        <v>0</v>
      </c>
      <c r="K9763">
        <v>0</v>
      </c>
      <c r="L9763">
        <v>0</v>
      </c>
      <c r="M9763" t="s">
        <v>17</v>
      </c>
    </row>
    <row r="9764" spans="1:13" hidden="1" x14ac:dyDescent="0.15">
      <c r="A9764" t="s">
        <v>30723</v>
      </c>
      <c r="B9764" t="s">
        <v>30724</v>
      </c>
      <c r="C9764" t="s">
        <v>30725</v>
      </c>
      <c r="D9764" t="s">
        <v>30722</v>
      </c>
      <c r="E9764">
        <v>3</v>
      </c>
      <c r="F9764" t="str">
        <f>HYPERLINK("https://github.com/Freeyourgadget/Gadgetbridge/issues/982", "show")</f>
        <v>show</v>
      </c>
      <c r="G9764" t="str">
        <f>HYPERLINK("https://github.com/Freeyourgadget/Gadgetbridge", "show")</f>
        <v>show</v>
      </c>
      <c r="H9764" t="str">
        <f>HYPERLINK("https://github.com/Freeyourgadget/Gadgetbridge/releases", "show")</f>
        <v>show</v>
      </c>
      <c r="I9764">
        <v>1</v>
      </c>
      <c r="J9764">
        <v>1</v>
      </c>
      <c r="K9764">
        <v>0</v>
      </c>
      <c r="L9764">
        <v>0</v>
      </c>
      <c r="M9764" t="s">
        <v>48</v>
      </c>
    </row>
    <row r="9765" spans="1:13" hidden="1" x14ac:dyDescent="0.15">
      <c r="A9765" t="s">
        <v>30726</v>
      </c>
      <c r="B9765" t="s">
        <v>30727</v>
      </c>
      <c r="C9765" t="s">
        <v>30728</v>
      </c>
      <c r="D9765" t="s">
        <v>30722</v>
      </c>
      <c r="E9765">
        <v>3</v>
      </c>
      <c r="F9765" t="str">
        <f>HYPERLINK("https://github.com/mendhak/gpslogger/issues/617", "show")</f>
        <v>show</v>
      </c>
      <c r="G9765" t="str">
        <f>HYPERLINK("https://github.com/mendhak/gpslogger", "show")</f>
        <v>show</v>
      </c>
      <c r="H9765" t="str">
        <f>HYPERLINK("https://github.com/mendhak/gpslogger/releases", "show")</f>
        <v>show</v>
      </c>
      <c r="I9765">
        <v>0</v>
      </c>
      <c r="J9765">
        <v>0</v>
      </c>
      <c r="K9765">
        <v>0</v>
      </c>
      <c r="L9765">
        <v>0</v>
      </c>
      <c r="M9765" t="s">
        <v>43</v>
      </c>
    </row>
    <row r="9766" spans="1:13" hidden="1" x14ac:dyDescent="0.15">
      <c r="A9766" t="s">
        <v>30729</v>
      </c>
      <c r="B9766" t="s">
        <v>30730</v>
      </c>
      <c r="C9766" t="s">
        <v>30731</v>
      </c>
      <c r="D9766" t="s">
        <v>30732</v>
      </c>
      <c r="E9766">
        <v>1</v>
      </c>
      <c r="F9766" t="str">
        <f>HYPERLINK("https://github.com/ScreamingHawk/android-slideshow/issues/95", "show")</f>
        <v>show</v>
      </c>
      <c r="G9766" t="str">
        <f>HYPERLINK("https://github.com/ScreamingHawk/android-slideshow", "show")</f>
        <v>show</v>
      </c>
      <c r="H9766" t="str">
        <f>HYPERLINK("https://github.com/ScreamingHawk/android-slideshow/releases", "show")</f>
        <v>show</v>
      </c>
      <c r="I9766">
        <v>1</v>
      </c>
      <c r="J9766">
        <v>0</v>
      </c>
      <c r="K9766">
        <v>0</v>
      </c>
      <c r="L9766">
        <v>0</v>
      </c>
      <c r="M9766" t="s">
        <v>17</v>
      </c>
    </row>
    <row r="9767" spans="1:13" hidden="1" x14ac:dyDescent="0.15">
      <c r="A9767" t="s">
        <v>30733</v>
      </c>
      <c r="B9767" t="s">
        <v>30734</v>
      </c>
      <c r="C9767" t="s">
        <v>30735</v>
      </c>
      <c r="D9767" t="s">
        <v>30732</v>
      </c>
      <c r="E9767">
        <v>62</v>
      </c>
      <c r="F9767" t="str">
        <f>HYPERLINK("https://github.com/inaturalist/iNaturalistAndroid/issues/465", "show")</f>
        <v>show</v>
      </c>
      <c r="G9767" t="str">
        <f>HYPERLINK("https://github.com/inaturalist/iNaturalistAndroid", "show")</f>
        <v>show</v>
      </c>
      <c r="H9767" t="str">
        <f>HYPERLINK("https://github.com/inaturalist/iNaturalistAndroid/releases", "show")</f>
        <v>show</v>
      </c>
      <c r="I9767">
        <v>0</v>
      </c>
      <c r="J9767">
        <v>0</v>
      </c>
      <c r="K9767">
        <v>1</v>
      </c>
      <c r="L9767">
        <v>0</v>
      </c>
      <c r="M9767" t="s">
        <v>122</v>
      </c>
    </row>
    <row r="9768" spans="1:13" x14ac:dyDescent="0.15">
      <c r="A9768" t="s">
        <v>30736</v>
      </c>
      <c r="B9768" t="s">
        <v>30737</v>
      </c>
      <c r="C9768" t="s">
        <v>30738</v>
      </c>
      <c r="D9768" t="s">
        <v>30732</v>
      </c>
      <c r="E9768">
        <v>0</v>
      </c>
      <c r="F9768" t="str">
        <f>HYPERLINK("https://github.com/nextcloud/android/issues/2111", "show")</f>
        <v>show</v>
      </c>
      <c r="G9768" t="str">
        <f>HYPERLINK("https://github.com/nextcloud/android", "show")</f>
        <v>show</v>
      </c>
      <c r="H9768" t="str">
        <f>HYPERLINK("https://github.com/nextcloud/android/releases", "show")</f>
        <v>show</v>
      </c>
      <c r="I9768">
        <v>0</v>
      </c>
      <c r="J9768">
        <v>1</v>
      </c>
      <c r="K9768">
        <v>0</v>
      </c>
      <c r="L9768">
        <v>0</v>
      </c>
      <c r="M9768" t="s">
        <v>139</v>
      </c>
    </row>
    <row r="9769" spans="1:13" hidden="1" x14ac:dyDescent="0.15">
      <c r="A9769" t="s">
        <v>30739</v>
      </c>
      <c r="B9769" t="s">
        <v>30740</v>
      </c>
      <c r="C9769" t="s">
        <v>30741</v>
      </c>
      <c r="D9769" t="s">
        <v>30742</v>
      </c>
      <c r="E9769">
        <v>2</v>
      </c>
      <c r="F9769" t="str">
        <f>HYPERLINK("https://github.com/thekirankumar/carstream-android-auto/issues/32", "show")</f>
        <v>show</v>
      </c>
      <c r="G9769" t="str">
        <f>HYPERLINK("https://github.com/thekirankumar/carstream-android-auto", "show")</f>
        <v>show</v>
      </c>
      <c r="H9769" t="str">
        <f>HYPERLINK("https://github.com/thekirankumar/carstream-android-auto/releases", "show")</f>
        <v>show</v>
      </c>
      <c r="I9769">
        <v>0</v>
      </c>
      <c r="J9769">
        <v>0</v>
      </c>
      <c r="K9769">
        <v>0</v>
      </c>
      <c r="L9769">
        <v>0</v>
      </c>
      <c r="M9769" t="s">
        <v>43</v>
      </c>
    </row>
    <row r="9770" spans="1:13" hidden="1" x14ac:dyDescent="0.15">
      <c r="A9770" t="s">
        <v>30743</v>
      </c>
      <c r="B9770" t="s">
        <v>30744</v>
      </c>
      <c r="C9770" t="s">
        <v>30745</v>
      </c>
      <c r="D9770" t="s">
        <v>30746</v>
      </c>
      <c r="E9770">
        <v>4</v>
      </c>
      <c r="F9770" t="str">
        <f>HYPERLINK("https://github.com/dimagi/commcare-android/issues/1941", "show")</f>
        <v>show</v>
      </c>
      <c r="G9770" t="str">
        <f>HYPERLINK("https://github.com/dimagi/commcare-android", "show")</f>
        <v>show</v>
      </c>
      <c r="H9770" t="str">
        <f>HYPERLINK("https://github.com/dimagi/commcare-android/releases", "show")</f>
        <v>show</v>
      </c>
      <c r="I9770">
        <v>0</v>
      </c>
      <c r="J9770">
        <v>0</v>
      </c>
      <c r="K9770">
        <v>0</v>
      </c>
      <c r="L9770">
        <v>0</v>
      </c>
      <c r="M9770" t="s">
        <v>43</v>
      </c>
    </row>
    <row r="9771" spans="1:13" hidden="1" x14ac:dyDescent="0.15">
      <c r="A9771" t="s">
        <v>30747</v>
      </c>
      <c r="B9771" t="s">
        <v>30748</v>
      </c>
      <c r="D9771" t="s">
        <v>30746</v>
      </c>
      <c r="E9771">
        <v>1</v>
      </c>
      <c r="F9771" t="str">
        <f>HYPERLINK("https://github.com/YoungMaker/iORC/issues/20", "show")</f>
        <v>show</v>
      </c>
      <c r="G9771" t="str">
        <f>HYPERLINK("https://github.com/YoungMaker/iORC", "show")</f>
        <v>show</v>
      </c>
      <c r="H9771" t="str">
        <f>HYPERLINK("https://github.com/YoungMaker/iORC/releases", "show")</f>
        <v>show</v>
      </c>
      <c r="I9771">
        <v>1</v>
      </c>
      <c r="J9771">
        <v>0</v>
      </c>
      <c r="K9771">
        <v>0</v>
      </c>
      <c r="L9771">
        <v>0</v>
      </c>
      <c r="M9771" t="s">
        <v>17</v>
      </c>
    </row>
    <row r="9772" spans="1:13" hidden="1" x14ac:dyDescent="0.15">
      <c r="A9772" t="s">
        <v>30749</v>
      </c>
      <c r="B9772" t="s">
        <v>30750</v>
      </c>
      <c r="C9772" t="s">
        <v>30751</v>
      </c>
      <c r="D9772" t="s">
        <v>30746</v>
      </c>
      <c r="E9772">
        <v>778</v>
      </c>
      <c r="F9772" t="str">
        <f>HYPERLINK("https://github.com/nikita36078/J2ME-Loader/issues/93", "show")</f>
        <v>show</v>
      </c>
      <c r="G9772" t="str">
        <f>HYPERLINK("https://github.com/nikita36078/J2ME-Loader", "show")</f>
        <v>show</v>
      </c>
      <c r="H9772" t="str">
        <f>HYPERLINK("https://github.com/nikita36078/J2ME-Loader/releases", "show")</f>
        <v>show</v>
      </c>
      <c r="I9772">
        <v>1</v>
      </c>
      <c r="J9772">
        <v>0</v>
      </c>
      <c r="K9772">
        <v>0</v>
      </c>
      <c r="L9772">
        <v>1</v>
      </c>
      <c r="M9772" t="s">
        <v>29</v>
      </c>
    </row>
    <row r="9773" spans="1:13" hidden="1" x14ac:dyDescent="0.15">
      <c r="A9773" t="s">
        <v>30752</v>
      </c>
      <c r="B9773" t="s">
        <v>30753</v>
      </c>
      <c r="C9773" t="s">
        <v>30754</v>
      </c>
      <c r="D9773" t="s">
        <v>30755</v>
      </c>
      <c r="E9773">
        <v>27</v>
      </c>
      <c r="F9773" t="str">
        <f>HYPERLINK("https://github.com/tanrabad/survey/issues/52", "show")</f>
        <v>show</v>
      </c>
      <c r="G9773" t="str">
        <f>HYPERLINK("https://github.com/tanrabad/survey", "show")</f>
        <v>show</v>
      </c>
      <c r="H9773" t="str">
        <f>HYPERLINK("https://github.com/tanrabad/survey/releases", "show")</f>
        <v>show</v>
      </c>
      <c r="I9773">
        <v>1</v>
      </c>
      <c r="J9773">
        <v>0</v>
      </c>
      <c r="K9773">
        <v>0</v>
      </c>
      <c r="L9773">
        <v>0</v>
      </c>
      <c r="M9773" t="s">
        <v>17</v>
      </c>
    </row>
    <row r="9774" spans="1:13" hidden="1" x14ac:dyDescent="0.15">
      <c r="A9774" t="s">
        <v>30756</v>
      </c>
      <c r="B9774" t="s">
        <v>30757</v>
      </c>
      <c r="C9774" t="s">
        <v>30758</v>
      </c>
      <c r="D9774" t="s">
        <v>30755</v>
      </c>
      <c r="E9774">
        <v>475</v>
      </c>
      <c r="F9774" t="str">
        <f>HYPERLINK("https://github.com/nextcloud/android/issues/2096", "show")</f>
        <v>show</v>
      </c>
      <c r="G9774" t="str">
        <f>HYPERLINK("https://github.com/nextcloud/android", "show")</f>
        <v>show</v>
      </c>
      <c r="H9774" t="str">
        <f>HYPERLINK("https://github.com/nextcloud/android/releases", "show")</f>
        <v>show</v>
      </c>
      <c r="I9774">
        <v>1</v>
      </c>
      <c r="J9774">
        <v>1</v>
      </c>
      <c r="K9774">
        <v>0</v>
      </c>
      <c r="L9774">
        <v>1</v>
      </c>
      <c r="M9774" t="s">
        <v>1894</v>
      </c>
    </row>
    <row r="9775" spans="1:13" hidden="1" x14ac:dyDescent="0.15">
      <c r="A9775" t="s">
        <v>30759</v>
      </c>
      <c r="B9775" t="s">
        <v>30760</v>
      </c>
      <c r="C9775" t="s">
        <v>30761</v>
      </c>
      <c r="D9775" t="s">
        <v>30762</v>
      </c>
      <c r="E9775">
        <v>18</v>
      </c>
      <c r="F9775" t="str">
        <f>HYPERLINK("https://github.com/Neamar/KISS/issues/819", "show")</f>
        <v>show</v>
      </c>
      <c r="G9775" t="str">
        <f>HYPERLINK("https://github.com/Neamar/KISS", "show")</f>
        <v>show</v>
      </c>
      <c r="H9775" t="str">
        <f>HYPERLINK("https://github.com/Neamar/KISS/releases", "show")</f>
        <v>show</v>
      </c>
      <c r="I9775">
        <v>1</v>
      </c>
      <c r="J9775">
        <v>0</v>
      </c>
      <c r="K9775">
        <v>0</v>
      </c>
      <c r="L9775">
        <v>0</v>
      </c>
      <c r="M9775" t="s">
        <v>17</v>
      </c>
    </row>
    <row r="9776" spans="1:13" hidden="1" x14ac:dyDescent="0.15">
      <c r="A9776" t="s">
        <v>30763</v>
      </c>
      <c r="B9776" t="s">
        <v>30764</v>
      </c>
      <c r="C9776" t="s">
        <v>30765</v>
      </c>
      <c r="D9776" t="s">
        <v>30766</v>
      </c>
      <c r="E9776">
        <v>0</v>
      </c>
      <c r="F9776" t="str">
        <f>HYPERLINK("https://github.com/OneBusAway/onebusaway-android/issues/849", "show")</f>
        <v>show</v>
      </c>
      <c r="G9776" t="str">
        <f>HYPERLINK("https://github.com/OneBusAway/onebusaway-android", "show")</f>
        <v>show</v>
      </c>
      <c r="H9776" t="str">
        <f>HYPERLINK("https://github.com/OneBusAway/onebusaway-android/releases", "show")</f>
        <v>show</v>
      </c>
      <c r="I9776">
        <v>0</v>
      </c>
      <c r="J9776">
        <v>0</v>
      </c>
      <c r="K9776">
        <v>0</v>
      </c>
      <c r="L9776">
        <v>0</v>
      </c>
      <c r="M9776" t="s">
        <v>43</v>
      </c>
    </row>
    <row r="9777" spans="1:13" hidden="1" x14ac:dyDescent="0.15">
      <c r="A9777" t="s">
        <v>30767</v>
      </c>
      <c r="B9777" t="s">
        <v>30768</v>
      </c>
      <c r="C9777" t="s">
        <v>30769</v>
      </c>
      <c r="D9777" t="s">
        <v>30766</v>
      </c>
      <c r="E9777">
        <v>13</v>
      </c>
      <c r="F9777" t="str">
        <f>HYPERLINK("https://github.com/nextcloud/android/issues/2085", "show")</f>
        <v>show</v>
      </c>
      <c r="G9777" t="str">
        <f>HYPERLINK("https://github.com/nextcloud/android", "show")</f>
        <v>show</v>
      </c>
      <c r="H9777" t="str">
        <f>HYPERLINK("https://github.com/nextcloud/android/releases", "show")</f>
        <v>show</v>
      </c>
      <c r="I9777">
        <v>1</v>
      </c>
      <c r="J9777">
        <v>1</v>
      </c>
      <c r="K9777">
        <v>0</v>
      </c>
      <c r="L9777">
        <v>0</v>
      </c>
      <c r="M9777" t="s">
        <v>48</v>
      </c>
    </row>
    <row r="9778" spans="1:13" hidden="1" x14ac:dyDescent="0.15">
      <c r="A9778" t="s">
        <v>30770</v>
      </c>
      <c r="B9778" t="s">
        <v>30771</v>
      </c>
      <c r="C9778" t="s">
        <v>30772</v>
      </c>
      <c r="D9778" t="s">
        <v>30766</v>
      </c>
      <c r="E9778">
        <v>60</v>
      </c>
      <c r="F9778" t="str">
        <f>HYPERLINK("https://github.com/mapbox/mapbox-plugins-android/issues/268", "show")</f>
        <v>show</v>
      </c>
      <c r="G9778" t="str">
        <f>HYPERLINK("https://github.com/mapbox/mapbox-plugins-android", "show")</f>
        <v>show</v>
      </c>
      <c r="H9778" t="str">
        <f>HYPERLINK("https://github.com/mapbox/mapbox-plugins-android/releases", "show")</f>
        <v>show</v>
      </c>
      <c r="I9778">
        <v>1</v>
      </c>
      <c r="J9778">
        <v>1</v>
      </c>
      <c r="K9778">
        <v>1</v>
      </c>
      <c r="L9778">
        <v>0</v>
      </c>
      <c r="M9778" t="s">
        <v>59</v>
      </c>
    </row>
    <row r="9779" spans="1:13" hidden="1" x14ac:dyDescent="0.15">
      <c r="A9779" t="s">
        <v>30773</v>
      </c>
      <c r="B9779" t="s">
        <v>30774</v>
      </c>
      <c r="C9779" t="s">
        <v>30775</v>
      </c>
      <c r="D9779" t="s">
        <v>30766</v>
      </c>
      <c r="E9779">
        <v>25</v>
      </c>
      <c r="F9779" t="str">
        <f>HYPERLINK("https://github.com/opensrp/opensrp-client-growth-monitoring/issues/19", "show")</f>
        <v>show</v>
      </c>
      <c r="G9779" t="str">
        <f>HYPERLINK("https://github.com/opensrp/opensrp-client-growth-monitoring", "show")</f>
        <v>show</v>
      </c>
      <c r="H9779" t="str">
        <f>HYPERLINK("https://github.com/opensrp/opensrp-client-growth-monitoring/releases", "show")</f>
        <v>show</v>
      </c>
      <c r="I9779">
        <v>1</v>
      </c>
      <c r="J9779">
        <v>0</v>
      </c>
      <c r="K9779">
        <v>1</v>
      </c>
      <c r="L9779">
        <v>0</v>
      </c>
      <c r="M9779" t="s">
        <v>64</v>
      </c>
    </row>
    <row r="9780" spans="1:13" hidden="1" x14ac:dyDescent="0.15">
      <c r="A9780" t="s">
        <v>30776</v>
      </c>
      <c r="B9780" t="s">
        <v>30777</v>
      </c>
      <c r="C9780" t="s">
        <v>30778</v>
      </c>
      <c r="D9780" t="s">
        <v>30766</v>
      </c>
      <c r="E9780">
        <v>0</v>
      </c>
      <c r="F9780" t="str">
        <f>HYPERLINK("https://github.com/BaristaVentures/android-debug-artist/issues/69", "show")</f>
        <v>show</v>
      </c>
      <c r="G9780" t="str">
        <f>HYPERLINK("https://github.com/BaristaVentures/android-debug-artist", "show")</f>
        <v>show</v>
      </c>
      <c r="H9780" t="str">
        <f>HYPERLINK("https://github.com/BaristaVentures/android-debug-artist/releases", "show")</f>
        <v>show</v>
      </c>
      <c r="I9780">
        <v>1</v>
      </c>
      <c r="J9780">
        <v>0</v>
      </c>
      <c r="K9780">
        <v>0</v>
      </c>
      <c r="L9780">
        <v>0</v>
      </c>
      <c r="M9780" t="s">
        <v>17</v>
      </c>
    </row>
    <row r="9781" spans="1:13" hidden="1" x14ac:dyDescent="0.15">
      <c r="A9781" t="s">
        <v>30779</v>
      </c>
      <c r="B9781" t="s">
        <v>30780</v>
      </c>
      <c r="C9781" t="s">
        <v>30781</v>
      </c>
      <c r="D9781" t="s">
        <v>30782</v>
      </c>
      <c r="E9781">
        <v>30</v>
      </c>
      <c r="F9781" t="str">
        <f>HYPERLINK("https://github.com/consp1racy/android-support-preference/issues/88", "show")</f>
        <v>show</v>
      </c>
      <c r="G9781" t="str">
        <f>HYPERLINK("https://github.com/consp1racy/android-support-preference", "show")</f>
        <v>show</v>
      </c>
      <c r="H9781" t="str">
        <f>HYPERLINK("https://github.com/consp1racy/android-support-preference/releases", "show")</f>
        <v>show</v>
      </c>
      <c r="I9781">
        <v>1</v>
      </c>
      <c r="J9781">
        <v>0</v>
      </c>
      <c r="K9781">
        <v>1</v>
      </c>
      <c r="L9781">
        <v>1</v>
      </c>
      <c r="M9781" t="s">
        <v>1259</v>
      </c>
    </row>
    <row r="9782" spans="1:13" hidden="1" x14ac:dyDescent="0.15">
      <c r="A9782" t="s">
        <v>30783</v>
      </c>
      <c r="B9782" t="s">
        <v>30784</v>
      </c>
      <c r="C9782" t="s">
        <v>30785</v>
      </c>
      <c r="D9782" t="s">
        <v>30782</v>
      </c>
      <c r="E9782">
        <v>0</v>
      </c>
      <c r="F9782" t="str">
        <f>HYPERLINK("https://github.com/StepicOrg/stepik-android-adaptive/issues/16", "show")</f>
        <v>show</v>
      </c>
      <c r="G9782" t="str">
        <f>HYPERLINK("https://github.com/StepicOrg/stepik-android-adaptive", "show")</f>
        <v>show</v>
      </c>
      <c r="H9782" t="str">
        <f>HYPERLINK("https://github.com/StepicOrg/stepik-android-adaptive/releases", "show")</f>
        <v>show</v>
      </c>
      <c r="I9782">
        <v>1</v>
      </c>
      <c r="J9782">
        <v>0</v>
      </c>
      <c r="K9782">
        <v>0</v>
      </c>
      <c r="L9782">
        <v>0</v>
      </c>
      <c r="M9782" t="s">
        <v>17</v>
      </c>
    </row>
    <row r="9783" spans="1:13" hidden="1" x14ac:dyDescent="0.15">
      <c r="A9783" t="s">
        <v>30786</v>
      </c>
      <c r="B9783" t="s">
        <v>30787</v>
      </c>
      <c r="C9783" t="s">
        <v>30788</v>
      </c>
      <c r="D9783" t="s">
        <v>30782</v>
      </c>
      <c r="E9783">
        <v>470</v>
      </c>
      <c r="F9783" t="str">
        <f>HYPERLINK("https://github.com/UNFPAInnovation/GetIn_Mobile/issues/91", "show")</f>
        <v>show</v>
      </c>
      <c r="G9783" t="str">
        <f>HYPERLINK("https://github.com/UNFPAInnovation/GetIn_Mobile", "show")</f>
        <v>show</v>
      </c>
      <c r="H9783" t="str">
        <f>HYPERLINK("https://github.com/UNFPAInnovation/GetIn_Mobile/releases", "show")</f>
        <v>show</v>
      </c>
      <c r="I9783">
        <v>1</v>
      </c>
      <c r="J9783">
        <v>0</v>
      </c>
      <c r="K9783">
        <v>0</v>
      </c>
      <c r="L9783">
        <v>0</v>
      </c>
      <c r="M9783" t="s">
        <v>17</v>
      </c>
    </row>
    <row r="9784" spans="1:13" hidden="1" x14ac:dyDescent="0.15">
      <c r="A9784" t="s">
        <v>30789</v>
      </c>
      <c r="B9784" t="s">
        <v>30790</v>
      </c>
      <c r="C9784" t="s">
        <v>30791</v>
      </c>
      <c r="D9784" t="s">
        <v>30792</v>
      </c>
      <c r="E9784">
        <v>33</v>
      </c>
      <c r="F9784" t="str">
        <f>HYPERLINK("https://github.com/consp1racy/android-support-preference/issues/87", "show")</f>
        <v>show</v>
      </c>
      <c r="G9784" t="str">
        <f>HYPERLINK("https://github.com/consp1racy/android-support-preference", "show")</f>
        <v>show</v>
      </c>
      <c r="H9784" t="str">
        <f>HYPERLINK("https://github.com/consp1racy/android-support-preference/releases", "show")</f>
        <v>show</v>
      </c>
      <c r="I9784">
        <v>1</v>
      </c>
      <c r="J9784">
        <v>0</v>
      </c>
      <c r="K9784">
        <v>1</v>
      </c>
      <c r="L9784">
        <v>1</v>
      </c>
      <c r="M9784" t="s">
        <v>1259</v>
      </c>
    </row>
    <row r="9785" spans="1:13" hidden="1" x14ac:dyDescent="0.15">
      <c r="A9785" t="s">
        <v>30793</v>
      </c>
      <c r="B9785" t="s">
        <v>30794</v>
      </c>
      <c r="D9785" t="s">
        <v>30792</v>
      </c>
      <c r="E9785">
        <v>1</v>
      </c>
      <c r="F9785" t="str">
        <f>HYPERLINK("https://github.com/hzi-braunschweig/SORMAS-Project/issues/493", "show")</f>
        <v>show</v>
      </c>
      <c r="G9785" t="str">
        <f>HYPERLINK("https://github.com/hzi-braunschweig/SORMAS-Project", "show")</f>
        <v>show</v>
      </c>
      <c r="H9785" t="str">
        <f>HYPERLINK("https://github.com/hzi-braunschweig/SORMAS-Project/releases", "show")</f>
        <v>show</v>
      </c>
      <c r="I9785">
        <v>0</v>
      </c>
      <c r="J9785">
        <v>0</v>
      </c>
      <c r="K9785">
        <v>0</v>
      </c>
      <c r="L9785">
        <v>0</v>
      </c>
      <c r="M9785" t="s">
        <v>43</v>
      </c>
    </row>
    <row r="9786" spans="1:13" hidden="1" x14ac:dyDescent="0.15">
      <c r="A9786" t="s">
        <v>30795</v>
      </c>
      <c r="B9786" t="s">
        <v>30796</v>
      </c>
      <c r="D9786" t="s">
        <v>30792</v>
      </c>
      <c r="E9786">
        <v>0</v>
      </c>
      <c r="F9786" t="str">
        <f>HYPERLINK("https://github.com/hzi-braunschweig/SORMAS-Project/issues/492", "show")</f>
        <v>show</v>
      </c>
      <c r="G9786" t="str">
        <f>HYPERLINK("https://github.com/hzi-braunschweig/SORMAS-Project", "show")</f>
        <v>show</v>
      </c>
      <c r="H9786" t="str">
        <f>HYPERLINK("https://github.com/hzi-braunschweig/SORMAS-Project/releases", "show")</f>
        <v>show</v>
      </c>
      <c r="I9786">
        <v>0</v>
      </c>
      <c r="J9786">
        <v>0</v>
      </c>
      <c r="K9786">
        <v>0</v>
      </c>
      <c r="L9786">
        <v>0</v>
      </c>
      <c r="M9786" t="s">
        <v>43</v>
      </c>
    </row>
    <row r="9787" spans="1:13" hidden="1" x14ac:dyDescent="0.15">
      <c r="A9787" t="s">
        <v>30797</v>
      </c>
      <c r="B9787" t="s">
        <v>30798</v>
      </c>
      <c r="C9787" t="s">
        <v>30799</v>
      </c>
      <c r="D9787" t="s">
        <v>30792</v>
      </c>
      <c r="E9787">
        <v>11</v>
      </c>
      <c r="F9787" t="str">
        <f>HYPERLINK("https://github.com/venomousboxer/watermarking-application/issues/5", "show")</f>
        <v>show</v>
      </c>
      <c r="G9787" t="str">
        <f>HYPERLINK("https://github.com/venomousboxer/watermarking-application", "show")</f>
        <v>show</v>
      </c>
      <c r="H9787" t="str">
        <f>HYPERLINK("https://github.com/venomousboxer/watermarking-application/releases", "show")</f>
        <v>show</v>
      </c>
      <c r="I9787">
        <v>1</v>
      </c>
      <c r="J9787">
        <v>0</v>
      </c>
      <c r="K9787">
        <v>0</v>
      </c>
      <c r="L9787">
        <v>0</v>
      </c>
      <c r="M9787" t="s">
        <v>17</v>
      </c>
    </row>
    <row r="9788" spans="1:13" hidden="1" x14ac:dyDescent="0.15">
      <c r="A9788" t="s">
        <v>30800</v>
      </c>
      <c r="B9788" t="s">
        <v>30801</v>
      </c>
      <c r="C9788" t="s">
        <v>30802</v>
      </c>
      <c r="D9788" t="s">
        <v>30803</v>
      </c>
      <c r="E9788">
        <v>7</v>
      </c>
      <c r="F9788" t="str">
        <f>HYPERLINK("https://github.com/Awful/Awful.apk/issues/588", "show")</f>
        <v>show</v>
      </c>
      <c r="G9788" t="str">
        <f>HYPERLINK("https://github.com/Awful/Awful.apk", "show")</f>
        <v>show</v>
      </c>
      <c r="H9788" t="str">
        <f>HYPERLINK("https://github.com/Awful/Awful.apk/releases", "show")</f>
        <v>show</v>
      </c>
      <c r="I9788">
        <v>1</v>
      </c>
      <c r="J9788">
        <v>0</v>
      </c>
      <c r="K9788">
        <v>0</v>
      </c>
      <c r="L9788">
        <v>0</v>
      </c>
      <c r="M9788" t="s">
        <v>17</v>
      </c>
    </row>
    <row r="9789" spans="1:13" hidden="1" x14ac:dyDescent="0.15">
      <c r="A9789" t="s">
        <v>30804</v>
      </c>
      <c r="B9789" t="s">
        <v>30805</v>
      </c>
      <c r="C9789" t="s">
        <v>30806</v>
      </c>
      <c r="D9789" t="s">
        <v>30807</v>
      </c>
      <c r="E9789">
        <v>833</v>
      </c>
      <c r="F9789" t="str">
        <f>HYPERLINK("https://github.com/BaseballCardTracker/bbct-android/issues/427", "show")</f>
        <v>show</v>
      </c>
      <c r="G9789" t="str">
        <f>HYPERLINK("https://github.com/BaseballCardTracker/bbct-android", "show")</f>
        <v>show</v>
      </c>
      <c r="H9789" t="str">
        <f>HYPERLINK("https://github.com/BaseballCardTracker/bbct-android/releases", "show")</f>
        <v>show</v>
      </c>
      <c r="I9789">
        <v>1</v>
      </c>
      <c r="J9789">
        <v>0</v>
      </c>
      <c r="K9789">
        <v>0</v>
      </c>
      <c r="L9789">
        <v>0</v>
      </c>
      <c r="M9789" t="s">
        <v>17</v>
      </c>
    </row>
    <row r="9790" spans="1:13" hidden="1" x14ac:dyDescent="0.15">
      <c r="A9790" t="s">
        <v>30808</v>
      </c>
      <c r="B9790" t="s">
        <v>30809</v>
      </c>
      <c r="C9790" t="s">
        <v>30810</v>
      </c>
      <c r="D9790" t="s">
        <v>30807</v>
      </c>
      <c r="E9790">
        <v>0</v>
      </c>
      <c r="F9790" t="str">
        <f>HYPERLINK("https://github.com/Leo-App/android/issues/62", "show")</f>
        <v>show</v>
      </c>
      <c r="G9790" t="str">
        <f>HYPERLINK("https://github.com/Leo-App/android", "show")</f>
        <v>show</v>
      </c>
      <c r="H9790" t="str">
        <f>HYPERLINK("https://github.com/Leo-App/android/releases", "show")</f>
        <v>show</v>
      </c>
      <c r="I9790">
        <v>0</v>
      </c>
      <c r="J9790">
        <v>0</v>
      </c>
      <c r="K9790">
        <v>0</v>
      </c>
      <c r="L9790">
        <v>0</v>
      </c>
      <c r="M9790" t="s">
        <v>43</v>
      </c>
    </row>
    <row r="9791" spans="1:13" hidden="1" x14ac:dyDescent="0.15">
      <c r="A9791" t="s">
        <v>30811</v>
      </c>
      <c r="B9791" t="s">
        <v>30812</v>
      </c>
      <c r="C9791" t="s">
        <v>30813</v>
      </c>
      <c r="D9791" t="s">
        <v>30814</v>
      </c>
      <c r="E9791">
        <v>0</v>
      </c>
      <c r="F9791" t="str">
        <f>HYPERLINK("https://github.com/venomousboxer/watermarking-application/issues/2", "show")</f>
        <v>show</v>
      </c>
      <c r="G9791" t="str">
        <f>HYPERLINK("https://github.com/venomousboxer/watermarking-application", "show")</f>
        <v>show</v>
      </c>
      <c r="H9791" t="str">
        <f>HYPERLINK("https://github.com/venomousboxer/watermarking-application/releases", "show")</f>
        <v>show</v>
      </c>
      <c r="I9791">
        <v>1</v>
      </c>
      <c r="J9791">
        <v>0</v>
      </c>
      <c r="K9791">
        <v>0</v>
      </c>
      <c r="L9791">
        <v>0</v>
      </c>
      <c r="M9791" t="s">
        <v>17</v>
      </c>
    </row>
    <row r="9792" spans="1:13" x14ac:dyDescent="0.15">
      <c r="A9792" t="s">
        <v>30815</v>
      </c>
      <c r="B9792" t="s">
        <v>30816</v>
      </c>
      <c r="C9792" t="s">
        <v>30817</v>
      </c>
      <c r="D9792" t="s">
        <v>30818</v>
      </c>
      <c r="E9792">
        <v>27</v>
      </c>
      <c r="F9792" t="str">
        <f>HYPERLINK("https://github.com/twilio/video-quickstart-android/issues/233", "show")</f>
        <v>show</v>
      </c>
      <c r="G9792" t="str">
        <f>HYPERLINK("https://github.com/twilio/video-quickstart-android", "show")</f>
        <v>show</v>
      </c>
      <c r="H9792" t="str">
        <f>HYPERLINK("https://github.com/twilio/video-quickstart-android/releases", "show")</f>
        <v>show</v>
      </c>
      <c r="I9792">
        <v>0</v>
      </c>
      <c r="J9792">
        <v>1</v>
      </c>
      <c r="K9792">
        <v>0</v>
      </c>
      <c r="L9792">
        <v>0</v>
      </c>
      <c r="M9792" t="s">
        <v>139</v>
      </c>
    </row>
    <row r="9793" spans="1:13" hidden="1" x14ac:dyDescent="0.15">
      <c r="A9793" t="s">
        <v>30819</v>
      </c>
      <c r="B9793" t="s">
        <v>30820</v>
      </c>
      <c r="C9793" t="s">
        <v>30821</v>
      </c>
      <c r="D9793" t="s">
        <v>30818</v>
      </c>
      <c r="E9793">
        <v>0</v>
      </c>
      <c r="F9793" t="str">
        <f>HYPERLINK("https://github.com/venomousboxer/watermarking-application/issues/1", "show")</f>
        <v>show</v>
      </c>
      <c r="G9793" t="str">
        <f>HYPERLINK("https://github.com/venomousboxer/watermarking-application", "show")</f>
        <v>show</v>
      </c>
      <c r="H9793" t="str">
        <f>HYPERLINK("https://github.com/venomousboxer/watermarking-application/releases", "show")</f>
        <v>show</v>
      </c>
      <c r="I9793">
        <v>1</v>
      </c>
      <c r="J9793">
        <v>0</v>
      </c>
      <c r="K9793">
        <v>0</v>
      </c>
      <c r="L9793">
        <v>0</v>
      </c>
      <c r="M9793" t="s">
        <v>17</v>
      </c>
    </row>
    <row r="9794" spans="1:13" hidden="1" x14ac:dyDescent="0.15">
      <c r="A9794" t="s">
        <v>30822</v>
      </c>
      <c r="B9794" t="s">
        <v>30823</v>
      </c>
      <c r="C9794" t="s">
        <v>30824</v>
      </c>
      <c r="D9794" t="s">
        <v>30818</v>
      </c>
      <c r="E9794">
        <v>101</v>
      </c>
      <c r="F9794" t="str">
        <f>HYPERLINK("https://github.com/gsssrao/UnityAndroidSpeechRecognition/issues/1", "show")</f>
        <v>show</v>
      </c>
      <c r="G9794" t="str">
        <f>HYPERLINK("https://github.com/gsssrao/UnityAndroidSpeechRecognition", "show")</f>
        <v>show</v>
      </c>
      <c r="H9794" t="str">
        <f>HYPERLINK("https://github.com/gsssrao/UnityAndroidSpeechRecognition/releases", "show")</f>
        <v>show</v>
      </c>
      <c r="I9794">
        <v>1</v>
      </c>
      <c r="J9794">
        <v>1</v>
      </c>
      <c r="K9794">
        <v>0</v>
      </c>
      <c r="L9794">
        <v>0</v>
      </c>
      <c r="M9794" t="s">
        <v>48</v>
      </c>
    </row>
    <row r="9795" spans="1:13" hidden="1" x14ac:dyDescent="0.15">
      <c r="A9795" t="s">
        <v>30825</v>
      </c>
      <c r="B9795" t="s">
        <v>30826</v>
      </c>
      <c r="C9795" t="s">
        <v>30827</v>
      </c>
      <c r="D9795" t="s">
        <v>30828</v>
      </c>
      <c r="E9795">
        <v>22</v>
      </c>
      <c r="F9795" t="str">
        <f>HYPERLINK("https://github.com/Neamar/KISS/issues/802", "show")</f>
        <v>show</v>
      </c>
      <c r="G9795" t="str">
        <f>HYPERLINK("https://github.com/Neamar/KISS", "show")</f>
        <v>show</v>
      </c>
      <c r="H9795" t="str">
        <f>HYPERLINK("https://github.com/Neamar/KISS/releases", "show")</f>
        <v>show</v>
      </c>
      <c r="I9795">
        <v>0</v>
      </c>
      <c r="J9795">
        <v>0</v>
      </c>
      <c r="K9795">
        <v>0</v>
      </c>
      <c r="L9795">
        <v>0</v>
      </c>
      <c r="M9795" t="s">
        <v>43</v>
      </c>
    </row>
    <row r="9796" spans="1:13" hidden="1" x14ac:dyDescent="0.15">
      <c r="A9796" t="s">
        <v>30829</v>
      </c>
      <c r="B9796" t="s">
        <v>30830</v>
      </c>
      <c r="D9796" t="s">
        <v>30831</v>
      </c>
      <c r="E9796">
        <v>1</v>
      </c>
      <c r="F9796" t="str">
        <f>HYPERLINK("https://github.com/DanielPollithy/flashwifi/issues/56", "show")</f>
        <v>show</v>
      </c>
      <c r="G9796" t="str">
        <f>HYPERLINK("https://github.com/DanielPollithy/flashwifi", "show")</f>
        <v>show</v>
      </c>
      <c r="H9796" t="str">
        <f>HYPERLINK("https://github.com/DanielPollithy/flashwifi/releases", "show")</f>
        <v>show</v>
      </c>
      <c r="I9796">
        <v>0</v>
      </c>
      <c r="J9796">
        <v>0</v>
      </c>
      <c r="K9796">
        <v>0</v>
      </c>
      <c r="L9796">
        <v>0</v>
      </c>
      <c r="M9796" t="s">
        <v>43</v>
      </c>
    </row>
    <row r="9797" spans="1:13" hidden="1" x14ac:dyDescent="0.15">
      <c r="A9797" t="s">
        <v>30832</v>
      </c>
      <c r="B9797" t="s">
        <v>30833</v>
      </c>
      <c r="C9797" t="s">
        <v>30834</v>
      </c>
      <c r="D9797" t="s">
        <v>30831</v>
      </c>
      <c r="E9797">
        <v>1</v>
      </c>
      <c r="F9797" t="str">
        <f>HYPERLINK("https://github.com/k9mail/k-9/issues/3129", "show")</f>
        <v>show</v>
      </c>
      <c r="G9797" t="str">
        <f>HYPERLINK("https://github.com/k9mail/k-9", "show")</f>
        <v>show</v>
      </c>
      <c r="H9797" t="str">
        <f>HYPERLINK("https://github.com/k9mail/k-9/releases", "show")</f>
        <v>show</v>
      </c>
      <c r="I9797">
        <v>1</v>
      </c>
      <c r="J9797">
        <v>1</v>
      </c>
      <c r="K9797">
        <v>0</v>
      </c>
      <c r="L9797">
        <v>0</v>
      </c>
      <c r="M9797" t="s">
        <v>48</v>
      </c>
    </row>
    <row r="9798" spans="1:13" hidden="1" x14ac:dyDescent="0.15">
      <c r="A9798" t="s">
        <v>30835</v>
      </c>
      <c r="B9798" t="s">
        <v>30836</v>
      </c>
      <c r="C9798" t="s">
        <v>30837</v>
      </c>
      <c r="D9798" t="s">
        <v>30831</v>
      </c>
      <c r="E9798">
        <v>457</v>
      </c>
      <c r="F9798" t="str">
        <f>HYPERLINK("https://github.com/twilio/voice-quickstart-android/issues/131", "show")</f>
        <v>show</v>
      </c>
      <c r="G9798" t="str">
        <f>HYPERLINK("https://github.com/twilio/voice-quickstart-android", "show")</f>
        <v>show</v>
      </c>
      <c r="H9798" t="str">
        <f>HYPERLINK("https://github.com/twilio/voice-quickstart-android/releases", "show")</f>
        <v>show</v>
      </c>
      <c r="I9798">
        <v>1</v>
      </c>
      <c r="J9798">
        <v>0</v>
      </c>
      <c r="K9798">
        <v>1</v>
      </c>
      <c r="L9798">
        <v>0</v>
      </c>
      <c r="M9798" t="s">
        <v>64</v>
      </c>
    </row>
    <row r="9799" spans="1:13" hidden="1" x14ac:dyDescent="0.15">
      <c r="A9799" t="s">
        <v>30838</v>
      </c>
      <c r="B9799" t="s">
        <v>30839</v>
      </c>
      <c r="C9799" t="s">
        <v>30840</v>
      </c>
      <c r="D9799" t="s">
        <v>30841</v>
      </c>
      <c r="E9799">
        <v>1</v>
      </c>
      <c r="F9799" t="str">
        <f>HYPERLINK("https://github.com/mapbox/mapbox-events-android/issues/58", "show")</f>
        <v>show</v>
      </c>
      <c r="G9799" t="str">
        <f>HYPERLINK("https://github.com/mapbox/mapbox-events-android", "show")</f>
        <v>show</v>
      </c>
      <c r="H9799" t="str">
        <f>HYPERLINK("https://github.com/mapbox/mapbox-events-android/releases", "show")</f>
        <v>show</v>
      </c>
      <c r="I9799">
        <v>1</v>
      </c>
      <c r="J9799">
        <v>0</v>
      </c>
      <c r="K9799">
        <v>0</v>
      </c>
      <c r="L9799">
        <v>0</v>
      </c>
      <c r="M9799" t="s">
        <v>17</v>
      </c>
    </row>
    <row r="9800" spans="1:13" hidden="1" x14ac:dyDescent="0.15">
      <c r="A9800" t="s">
        <v>30842</v>
      </c>
      <c r="B9800" t="s">
        <v>30843</v>
      </c>
      <c r="C9800" t="s">
        <v>30844</v>
      </c>
      <c r="D9800" t="s">
        <v>30841</v>
      </c>
      <c r="E9800">
        <v>269</v>
      </c>
      <c r="F9800" t="str">
        <f>HYPERLINK("https://github.com/aws-amplify/aws-sdk-android/issues/400", "show")</f>
        <v>show</v>
      </c>
      <c r="G9800" t="str">
        <f>HYPERLINK("https://github.com/aws-amplify/aws-sdk-android", "show")</f>
        <v>show</v>
      </c>
      <c r="H9800" t="str">
        <f>HYPERLINK("https://github.com/aws-amplify/aws-sdk-android/releases", "show")</f>
        <v>show</v>
      </c>
      <c r="I9800">
        <v>1</v>
      </c>
      <c r="J9800">
        <v>0</v>
      </c>
      <c r="K9800">
        <v>0</v>
      </c>
      <c r="L9800">
        <v>0</v>
      </c>
      <c r="M9800" t="s">
        <v>17</v>
      </c>
    </row>
    <row r="9801" spans="1:13" hidden="1" x14ac:dyDescent="0.15">
      <c r="A9801" t="s">
        <v>30845</v>
      </c>
      <c r="B9801" t="s">
        <v>30846</v>
      </c>
      <c r="C9801" t="s">
        <v>30847</v>
      </c>
      <c r="D9801" t="s">
        <v>30841</v>
      </c>
      <c r="E9801">
        <v>0</v>
      </c>
      <c r="F9801" t="str">
        <f>HYPERLINK("https://github.com/MiPushFramework/MiPushFramework/issues/33", "show")</f>
        <v>show</v>
      </c>
      <c r="G9801" t="str">
        <f>HYPERLINK("https://github.com/MiPushFramework/MiPushFramework", "show")</f>
        <v>show</v>
      </c>
      <c r="H9801" t="str">
        <f>HYPERLINK("https://github.com/MiPushFramework/MiPushFramework/releases", "show")</f>
        <v>show</v>
      </c>
      <c r="I9801">
        <v>0</v>
      </c>
      <c r="J9801">
        <v>0</v>
      </c>
      <c r="K9801">
        <v>1</v>
      </c>
      <c r="L9801">
        <v>0</v>
      </c>
      <c r="M9801" t="s">
        <v>122</v>
      </c>
    </row>
    <row r="9802" spans="1:13" hidden="1" x14ac:dyDescent="0.15">
      <c r="A9802" t="s">
        <v>30848</v>
      </c>
      <c r="B9802" t="s">
        <v>30849</v>
      </c>
      <c r="C9802" t="s">
        <v>30850</v>
      </c>
      <c r="D9802" t="s">
        <v>30841</v>
      </c>
      <c r="E9802">
        <v>588</v>
      </c>
      <c r="F9802" t="str">
        <f>HYPERLINK("https://github.com/square/okhttp/issues/3794", "show")</f>
        <v>show</v>
      </c>
      <c r="G9802" t="str">
        <f>HYPERLINK("https://github.com/square/okhttp", "show")</f>
        <v>show</v>
      </c>
      <c r="H9802" t="str">
        <f>HYPERLINK("https://github.com/square/okhttp/releases", "show")</f>
        <v>show</v>
      </c>
      <c r="I9802">
        <v>1</v>
      </c>
      <c r="J9802">
        <v>0</v>
      </c>
      <c r="K9802">
        <v>1</v>
      </c>
      <c r="L9802">
        <v>0</v>
      </c>
      <c r="M9802" t="s">
        <v>64</v>
      </c>
    </row>
    <row r="9803" spans="1:13" hidden="1" x14ac:dyDescent="0.15">
      <c r="A9803" t="s">
        <v>30851</v>
      </c>
      <c r="B9803" t="s">
        <v>30852</v>
      </c>
      <c r="C9803" t="s">
        <v>30853</v>
      </c>
      <c r="D9803" t="s">
        <v>30854</v>
      </c>
      <c r="E9803">
        <v>5</v>
      </c>
      <c r="F9803" t="str">
        <f>HYPERLINK("https://github.com/iFixit/dozuki-android/issues/4", "show")</f>
        <v>show</v>
      </c>
      <c r="G9803" t="str">
        <f>HYPERLINK("https://github.com/iFixit/dozuki-android", "show")</f>
        <v>show</v>
      </c>
      <c r="H9803" t="str">
        <f>HYPERLINK("https://github.com/iFixit/dozuki-android/releases", "show")</f>
        <v>show</v>
      </c>
      <c r="I9803">
        <v>1</v>
      </c>
      <c r="J9803">
        <v>0</v>
      </c>
      <c r="K9803">
        <v>0</v>
      </c>
      <c r="L9803">
        <v>0</v>
      </c>
      <c r="M9803" t="s">
        <v>17</v>
      </c>
    </row>
    <row r="9804" spans="1:13" hidden="1" x14ac:dyDescent="0.15">
      <c r="A9804" t="s">
        <v>30855</v>
      </c>
      <c r="B9804" t="s">
        <v>30856</v>
      </c>
      <c r="C9804" t="s">
        <v>30857</v>
      </c>
      <c r="D9804" t="s">
        <v>30854</v>
      </c>
      <c r="E9804">
        <v>12</v>
      </c>
      <c r="F9804" t="str">
        <f>HYPERLINK("https://github.com/kontalk/androidclient/issues/1142", "show")</f>
        <v>show</v>
      </c>
      <c r="G9804" t="str">
        <f>HYPERLINK("https://github.com/kontalk/androidclient", "show")</f>
        <v>show</v>
      </c>
      <c r="H9804" t="str">
        <f>HYPERLINK("https://github.com/kontalk/androidclient/releases", "show")</f>
        <v>show</v>
      </c>
      <c r="I9804">
        <v>1</v>
      </c>
      <c r="J9804">
        <v>1</v>
      </c>
      <c r="K9804">
        <v>0</v>
      </c>
      <c r="L9804">
        <v>0</v>
      </c>
      <c r="M9804" t="s">
        <v>48</v>
      </c>
    </row>
    <row r="9805" spans="1:13" hidden="1" x14ac:dyDescent="0.15">
      <c r="A9805" t="s">
        <v>30858</v>
      </c>
      <c r="B9805" t="s">
        <v>30859</v>
      </c>
      <c r="D9805" t="s">
        <v>30854</v>
      </c>
      <c r="E9805">
        <v>5</v>
      </c>
      <c r="F9805" t="str">
        <f>HYPERLINK("https://github.com/avrland/DogeTracker_Android/issues/3", "show")</f>
        <v>show</v>
      </c>
      <c r="G9805" t="str">
        <f>HYPERLINK("https://github.com/avrland/DogeTracker_Android", "show")</f>
        <v>show</v>
      </c>
      <c r="H9805" t="str">
        <f>HYPERLINK("https://github.com/avrland/DogeTracker_Android/releases", "show")</f>
        <v>show</v>
      </c>
      <c r="I9805">
        <v>1</v>
      </c>
      <c r="J9805">
        <v>0</v>
      </c>
      <c r="K9805">
        <v>0</v>
      </c>
      <c r="L9805">
        <v>0</v>
      </c>
      <c r="M9805" t="s">
        <v>17</v>
      </c>
    </row>
    <row r="9806" spans="1:13" hidden="1" x14ac:dyDescent="0.15">
      <c r="A9806" t="s">
        <v>30860</v>
      </c>
      <c r="B9806" t="s">
        <v>30861</v>
      </c>
      <c r="C9806" t="s">
        <v>30862</v>
      </c>
      <c r="D9806" t="s">
        <v>30854</v>
      </c>
      <c r="E9806">
        <v>6</v>
      </c>
      <c r="F9806" t="str">
        <f>HYPERLINK("https://github.com/oliexdev/openScale/issues/158", "show")</f>
        <v>show</v>
      </c>
      <c r="G9806" t="str">
        <f>HYPERLINK("https://github.com/oliexdev/openScale", "show")</f>
        <v>show</v>
      </c>
      <c r="H9806" t="str">
        <f>HYPERLINK("https://github.com/oliexdev/openScale/releases", "show")</f>
        <v>show</v>
      </c>
      <c r="I9806">
        <v>0</v>
      </c>
      <c r="J9806">
        <v>0</v>
      </c>
      <c r="K9806">
        <v>1</v>
      </c>
      <c r="L9806">
        <v>0</v>
      </c>
      <c r="M9806" t="s">
        <v>122</v>
      </c>
    </row>
    <row r="9807" spans="1:13" hidden="1" x14ac:dyDescent="0.15">
      <c r="A9807" t="s">
        <v>30863</v>
      </c>
      <c r="B9807" t="s">
        <v>30864</v>
      </c>
      <c r="C9807" t="s">
        <v>30865</v>
      </c>
      <c r="D9807" t="s">
        <v>30854</v>
      </c>
      <c r="E9807">
        <v>27</v>
      </c>
      <c r="F9807" t="str">
        <f>HYPERLINK("https://github.com/square/okhttp/issues/3793", "show")</f>
        <v>show</v>
      </c>
      <c r="G9807" t="str">
        <f>HYPERLINK("https://github.com/square/okhttp", "show")</f>
        <v>show</v>
      </c>
      <c r="H9807" t="str">
        <f>HYPERLINK("https://github.com/square/okhttp/releases", "show")</f>
        <v>show</v>
      </c>
      <c r="I9807">
        <v>1</v>
      </c>
      <c r="J9807">
        <v>0</v>
      </c>
      <c r="K9807">
        <v>1</v>
      </c>
      <c r="L9807">
        <v>0</v>
      </c>
      <c r="M9807" t="s">
        <v>64</v>
      </c>
    </row>
    <row r="9808" spans="1:13" hidden="1" x14ac:dyDescent="0.15">
      <c r="A9808" t="s">
        <v>30866</v>
      </c>
      <c r="B9808" t="s">
        <v>30867</v>
      </c>
      <c r="C9808" t="s">
        <v>30868</v>
      </c>
      <c r="D9808" t="s">
        <v>30869</v>
      </c>
      <c r="E9808">
        <v>334</v>
      </c>
      <c r="F9808" t="str">
        <f>HYPERLINK("https://github.com/commons-app/apps-android-commons/issues/1087", "show")</f>
        <v>show</v>
      </c>
      <c r="G9808" t="str">
        <f>HYPERLINK("https://github.com/commons-app/apps-android-commons", "show")</f>
        <v>show</v>
      </c>
      <c r="H9808" t="str">
        <f>HYPERLINK("https://github.com/commons-app/apps-android-commons/releases", "show")</f>
        <v>show</v>
      </c>
      <c r="I9808">
        <v>0</v>
      </c>
      <c r="J9808">
        <v>0</v>
      </c>
      <c r="K9808">
        <v>0</v>
      </c>
      <c r="L9808">
        <v>0</v>
      </c>
      <c r="M9808" t="s">
        <v>43</v>
      </c>
    </row>
    <row r="9809" spans="1:13" hidden="1" x14ac:dyDescent="0.15">
      <c r="A9809" t="s">
        <v>30870</v>
      </c>
      <c r="B9809" t="s">
        <v>30871</v>
      </c>
      <c r="C9809" t="s">
        <v>30872</v>
      </c>
      <c r="D9809" t="s">
        <v>30873</v>
      </c>
      <c r="E9809">
        <v>10</v>
      </c>
      <c r="F9809" t="str">
        <f>HYPERLINK("https://github.com/ozelevrim/EvrimNews/issues/15", "show")</f>
        <v>show</v>
      </c>
      <c r="G9809" t="str">
        <f>HYPERLINK("https://github.com/ozelevrim/EvrimNews", "show")</f>
        <v>show</v>
      </c>
      <c r="H9809" t="str">
        <f>HYPERLINK("https://github.com/ozelevrim/EvrimNews/releases", "show")</f>
        <v>show</v>
      </c>
      <c r="I9809">
        <v>1</v>
      </c>
      <c r="J9809">
        <v>0</v>
      </c>
      <c r="K9809">
        <v>0</v>
      </c>
      <c r="L9809">
        <v>0</v>
      </c>
      <c r="M9809" t="s">
        <v>17</v>
      </c>
    </row>
    <row r="9810" spans="1:13" hidden="1" x14ac:dyDescent="0.15">
      <c r="A9810" t="s">
        <v>30874</v>
      </c>
      <c r="B9810" t="s">
        <v>30875</v>
      </c>
      <c r="C9810" t="s">
        <v>30876</v>
      </c>
      <c r="D9810" t="s">
        <v>30873</v>
      </c>
      <c r="E9810">
        <v>0</v>
      </c>
      <c r="F9810" t="str">
        <f>HYPERLINK("https://github.com/ozelevrim/EvrimNews/issues/13", "show")</f>
        <v>show</v>
      </c>
      <c r="G9810" t="str">
        <f>HYPERLINK("https://github.com/ozelevrim/EvrimNews", "show")</f>
        <v>show</v>
      </c>
      <c r="H9810" t="str">
        <f>HYPERLINK("https://github.com/ozelevrim/EvrimNews/releases", "show")</f>
        <v>show</v>
      </c>
      <c r="I9810">
        <v>1</v>
      </c>
      <c r="J9810">
        <v>1</v>
      </c>
      <c r="K9810">
        <v>0</v>
      </c>
      <c r="L9810">
        <v>0</v>
      </c>
      <c r="M9810" t="s">
        <v>48</v>
      </c>
    </row>
    <row r="9811" spans="1:13" x14ac:dyDescent="0.15">
      <c r="A9811" t="s">
        <v>30877</v>
      </c>
      <c r="B9811" t="s">
        <v>30878</v>
      </c>
      <c r="C9811" t="s">
        <v>30879</v>
      </c>
      <c r="D9811" t="s">
        <v>30873</v>
      </c>
      <c r="E9811">
        <v>25</v>
      </c>
      <c r="F9811" t="str">
        <f>HYPERLINK("https://github.com/nextcloud/android/issues/2016", "show")</f>
        <v>show</v>
      </c>
      <c r="G9811" t="str">
        <f>HYPERLINK("https://github.com/nextcloud/android", "show")</f>
        <v>show</v>
      </c>
      <c r="H9811" t="str">
        <f>HYPERLINK("https://github.com/nextcloud/android/releases", "show")</f>
        <v>show</v>
      </c>
      <c r="I9811">
        <v>0</v>
      </c>
      <c r="J9811">
        <v>1</v>
      </c>
      <c r="K9811">
        <v>0</v>
      </c>
      <c r="L9811">
        <v>0</v>
      </c>
      <c r="M9811" t="s">
        <v>139</v>
      </c>
    </row>
    <row r="9812" spans="1:13" hidden="1" x14ac:dyDescent="0.15">
      <c r="A9812" t="s">
        <v>30880</v>
      </c>
      <c r="B9812" t="s">
        <v>30881</v>
      </c>
      <c r="C9812" t="s">
        <v>30882</v>
      </c>
      <c r="D9812" t="s">
        <v>30873</v>
      </c>
      <c r="E9812">
        <v>6</v>
      </c>
      <c r="F9812" t="str">
        <f>HYPERLINK("https://github.com/Neamar/KISS/issues/797", "show")</f>
        <v>show</v>
      </c>
      <c r="G9812" t="str">
        <f>HYPERLINK("https://github.com/Neamar/KISS", "show")</f>
        <v>show</v>
      </c>
      <c r="H9812" t="str">
        <f>HYPERLINK("https://github.com/Neamar/KISS/releases", "show")</f>
        <v>show</v>
      </c>
      <c r="I9812">
        <v>1</v>
      </c>
      <c r="J9812">
        <v>0</v>
      </c>
      <c r="K9812">
        <v>1</v>
      </c>
      <c r="L9812">
        <v>0</v>
      </c>
      <c r="M9812" t="s">
        <v>64</v>
      </c>
    </row>
    <row r="9813" spans="1:13" hidden="1" x14ac:dyDescent="0.15">
      <c r="A9813" t="s">
        <v>30883</v>
      </c>
      <c r="B9813" t="s">
        <v>30884</v>
      </c>
      <c r="C9813" t="s">
        <v>30885</v>
      </c>
      <c r="D9813" t="s">
        <v>30873</v>
      </c>
      <c r="E9813">
        <v>25</v>
      </c>
      <c r="F9813" t="str">
        <f>HYPERLINK("https://github.com/nextcloud/android/issues/2013", "show")</f>
        <v>show</v>
      </c>
      <c r="G9813" t="str">
        <f>HYPERLINK("https://github.com/nextcloud/android", "show")</f>
        <v>show</v>
      </c>
      <c r="H9813" t="str">
        <f>HYPERLINK("https://github.com/nextcloud/android/releases", "show")</f>
        <v>show</v>
      </c>
      <c r="I9813">
        <v>1</v>
      </c>
      <c r="J9813">
        <v>1</v>
      </c>
      <c r="K9813">
        <v>0</v>
      </c>
      <c r="L9813">
        <v>0</v>
      </c>
      <c r="M9813" t="s">
        <v>48</v>
      </c>
    </row>
    <row r="9814" spans="1:13" hidden="1" x14ac:dyDescent="0.15">
      <c r="A9814" t="s">
        <v>30886</v>
      </c>
      <c r="B9814" t="s">
        <v>30887</v>
      </c>
      <c r="C9814" t="s">
        <v>30888</v>
      </c>
      <c r="D9814" t="s">
        <v>30873</v>
      </c>
      <c r="E9814">
        <v>0</v>
      </c>
      <c r="F9814" t="str">
        <f>HYPERLINK("https://github.com/DanielPollithy/flashwifi/issues/37", "show")</f>
        <v>show</v>
      </c>
      <c r="G9814" t="str">
        <f>HYPERLINK("https://github.com/DanielPollithy/flashwifi", "show")</f>
        <v>show</v>
      </c>
      <c r="H9814" t="str">
        <f>HYPERLINK("https://github.com/DanielPollithy/flashwifi/releases", "show")</f>
        <v>show</v>
      </c>
      <c r="I9814">
        <v>1</v>
      </c>
      <c r="J9814">
        <v>0</v>
      </c>
      <c r="K9814">
        <v>0</v>
      </c>
      <c r="L9814">
        <v>0</v>
      </c>
      <c r="M9814" t="s">
        <v>17</v>
      </c>
    </row>
    <row r="9815" spans="1:13" hidden="1" x14ac:dyDescent="0.15">
      <c r="A9815" t="s">
        <v>30889</v>
      </c>
      <c r="B9815" t="s">
        <v>30890</v>
      </c>
      <c r="C9815" t="s">
        <v>30891</v>
      </c>
      <c r="D9815" t="s">
        <v>30892</v>
      </c>
      <c r="E9815">
        <v>25</v>
      </c>
      <c r="F9815" t="str">
        <f>HYPERLINK("https://github.com/mauron85/react-native-background-geolocation/issues/149", "show")</f>
        <v>show</v>
      </c>
      <c r="G9815" t="str">
        <f>HYPERLINK("https://github.com/mauron85/react-native-background-geolocation", "show")</f>
        <v>show</v>
      </c>
      <c r="H9815" t="str">
        <f>HYPERLINK("https://github.com/mauron85/react-native-background-geolocation/releases", "show")</f>
        <v>show</v>
      </c>
      <c r="I9815">
        <v>1</v>
      </c>
      <c r="J9815">
        <v>0</v>
      </c>
      <c r="K9815">
        <v>0</v>
      </c>
      <c r="L9815">
        <v>0</v>
      </c>
      <c r="M9815" t="s">
        <v>17</v>
      </c>
    </row>
    <row r="9816" spans="1:13" hidden="1" x14ac:dyDescent="0.15">
      <c r="A9816" t="s">
        <v>30893</v>
      </c>
      <c r="B9816" t="s">
        <v>30894</v>
      </c>
      <c r="C9816" t="s">
        <v>30895</v>
      </c>
      <c r="D9816" t="s">
        <v>30896</v>
      </c>
      <c r="E9816">
        <v>455</v>
      </c>
      <c r="F9816" t="str">
        <f>HYPERLINK("https://github.com/react-native-camera/react-native-camera/issues/1112", "show")</f>
        <v>show</v>
      </c>
      <c r="G9816" t="str">
        <f>HYPERLINK("https://github.com/react-native-camera/react-native-camera", "show")</f>
        <v>show</v>
      </c>
      <c r="H9816" t="str">
        <f>HYPERLINK("https://github.com/react-native-camera/react-native-camera/releases", "show")</f>
        <v>show</v>
      </c>
      <c r="I9816">
        <v>1</v>
      </c>
      <c r="J9816">
        <v>1</v>
      </c>
      <c r="K9816">
        <v>0</v>
      </c>
      <c r="L9816">
        <v>0</v>
      </c>
      <c r="M9816" t="s">
        <v>48</v>
      </c>
    </row>
    <row r="9817" spans="1:13" hidden="1" x14ac:dyDescent="0.15">
      <c r="A9817" t="s">
        <v>30897</v>
      </c>
      <c r="B9817" t="s">
        <v>30898</v>
      </c>
      <c r="C9817" t="s">
        <v>30899</v>
      </c>
      <c r="D9817" t="s">
        <v>30900</v>
      </c>
      <c r="E9817">
        <v>40</v>
      </c>
      <c r="F9817" t="str">
        <f>HYPERLINK("https://github.com/naoufal/react-native-touch-id/issues/67", "show")</f>
        <v>show</v>
      </c>
      <c r="G9817" t="str">
        <f>HYPERLINK("https://github.com/naoufal/react-native-touch-id", "show")</f>
        <v>show</v>
      </c>
      <c r="H9817" t="str">
        <f>HYPERLINK("https://github.com/naoufal/react-native-touch-id/releases", "show")</f>
        <v>show</v>
      </c>
      <c r="I9817">
        <v>1</v>
      </c>
      <c r="J9817">
        <v>0</v>
      </c>
      <c r="K9817">
        <v>0</v>
      </c>
      <c r="L9817">
        <v>0</v>
      </c>
      <c r="M9817" t="s">
        <v>17</v>
      </c>
    </row>
    <row r="9818" spans="1:13" hidden="1" x14ac:dyDescent="0.15">
      <c r="A9818" t="s">
        <v>30901</v>
      </c>
      <c r="B9818" t="s">
        <v>30902</v>
      </c>
      <c r="C9818" t="s">
        <v>30903</v>
      </c>
      <c r="D9818" t="s">
        <v>30900</v>
      </c>
      <c r="E9818">
        <v>45</v>
      </c>
      <c r="F9818" t="str">
        <f>HYPERLINK("https://github.com/pockethub/PocketHub/issues/1148", "show")</f>
        <v>show</v>
      </c>
      <c r="G9818" t="str">
        <f>HYPERLINK("https://github.com/pockethub/PocketHub", "show")</f>
        <v>show</v>
      </c>
      <c r="H9818" t="str">
        <f>HYPERLINK("https://github.com/pockethub/PocketHub/releases", "show")</f>
        <v>show</v>
      </c>
      <c r="I9818">
        <v>1</v>
      </c>
      <c r="J9818">
        <v>1</v>
      </c>
      <c r="K9818">
        <v>0</v>
      </c>
      <c r="L9818">
        <v>0</v>
      </c>
      <c r="M9818" t="s">
        <v>48</v>
      </c>
    </row>
    <row r="9819" spans="1:13" hidden="1" x14ac:dyDescent="0.15">
      <c r="A9819" t="s">
        <v>30904</v>
      </c>
      <c r="B9819" t="s">
        <v>30905</v>
      </c>
      <c r="C9819" t="s">
        <v>30906</v>
      </c>
      <c r="D9819" t="s">
        <v>30900</v>
      </c>
      <c r="E9819">
        <v>6</v>
      </c>
      <c r="F9819" t="str">
        <f>HYPERLINK("https://github.com/getodk/collect/issues/1796", "show")</f>
        <v>show</v>
      </c>
      <c r="G9819" t="str">
        <f>HYPERLINK("https://github.com/getodk/collect", "show")</f>
        <v>show</v>
      </c>
      <c r="H9819" t="str">
        <f>HYPERLINK("https://github.com/getodk/collect/releases", "show")</f>
        <v>show</v>
      </c>
      <c r="I9819">
        <v>1</v>
      </c>
      <c r="J9819">
        <v>1</v>
      </c>
      <c r="K9819">
        <v>0</v>
      </c>
      <c r="L9819">
        <v>1</v>
      </c>
      <c r="M9819" t="s">
        <v>1894</v>
      </c>
    </row>
    <row r="9820" spans="1:13" hidden="1" x14ac:dyDescent="0.15">
      <c r="A9820" t="s">
        <v>30907</v>
      </c>
      <c r="B9820" t="s">
        <v>30908</v>
      </c>
      <c r="C9820" t="s">
        <v>30909</v>
      </c>
      <c r="D9820" t="s">
        <v>30900</v>
      </c>
      <c r="E9820">
        <v>10</v>
      </c>
      <c r="F9820" t="str">
        <f>HYPERLINK("https://github.com/getodk/collect/issues/1794", "show")</f>
        <v>show</v>
      </c>
      <c r="G9820" t="str">
        <f>HYPERLINK("https://github.com/getodk/collect", "show")</f>
        <v>show</v>
      </c>
      <c r="H9820" t="str">
        <f>HYPERLINK("https://github.com/getodk/collect/releases", "show")</f>
        <v>show</v>
      </c>
      <c r="I9820">
        <v>0</v>
      </c>
      <c r="J9820">
        <v>0</v>
      </c>
      <c r="K9820">
        <v>1</v>
      </c>
      <c r="L9820">
        <v>0</v>
      </c>
      <c r="M9820" t="s">
        <v>122</v>
      </c>
    </row>
    <row r="9821" spans="1:13" hidden="1" x14ac:dyDescent="0.15">
      <c r="A9821" t="s">
        <v>30910</v>
      </c>
      <c r="B9821" t="s">
        <v>30911</v>
      </c>
      <c r="C9821" t="s">
        <v>30912</v>
      </c>
      <c r="D9821" t="s">
        <v>30900</v>
      </c>
      <c r="E9821">
        <v>62</v>
      </c>
      <c r="F9821" t="str">
        <f>HYPERLINK("https://github.com/nextcloud/android/issues/1974", "show")</f>
        <v>show</v>
      </c>
      <c r="G9821" t="str">
        <f>HYPERLINK("https://github.com/nextcloud/android", "show")</f>
        <v>show</v>
      </c>
      <c r="H9821" t="str">
        <f>HYPERLINK("https://github.com/nextcloud/android/releases", "show")</f>
        <v>show</v>
      </c>
      <c r="I9821">
        <v>1</v>
      </c>
      <c r="J9821">
        <v>1</v>
      </c>
      <c r="K9821">
        <v>0</v>
      </c>
      <c r="L9821">
        <v>0</v>
      </c>
      <c r="M9821" t="s">
        <v>48</v>
      </c>
    </row>
    <row r="9822" spans="1:13" hidden="1" x14ac:dyDescent="0.15">
      <c r="A9822" t="s">
        <v>30913</v>
      </c>
      <c r="B9822" t="s">
        <v>30914</v>
      </c>
      <c r="C9822" t="s">
        <v>30915</v>
      </c>
      <c r="D9822" t="s">
        <v>30916</v>
      </c>
      <c r="E9822">
        <v>5</v>
      </c>
      <c r="F9822" t="str">
        <f>HYPERLINK("https://github.com/osmdroid/osmdroid/issues/880", "show")</f>
        <v>show</v>
      </c>
      <c r="G9822" t="str">
        <f>HYPERLINK("https://github.com/osmdroid/osmdroid", "show")</f>
        <v>show</v>
      </c>
      <c r="H9822" t="str">
        <f>HYPERLINK("https://github.com/osmdroid/osmdroid/releases", "show")</f>
        <v>show</v>
      </c>
      <c r="I9822">
        <v>1</v>
      </c>
      <c r="J9822">
        <v>0</v>
      </c>
      <c r="K9822">
        <v>0</v>
      </c>
      <c r="L9822">
        <v>0</v>
      </c>
      <c r="M9822" t="s">
        <v>17</v>
      </c>
    </row>
    <row r="9823" spans="1:13" hidden="1" x14ac:dyDescent="0.15">
      <c r="A9823" t="s">
        <v>30917</v>
      </c>
      <c r="B9823" t="s">
        <v>11825</v>
      </c>
      <c r="C9823" t="s">
        <v>30918</v>
      </c>
      <c r="D9823" t="s">
        <v>30916</v>
      </c>
      <c r="E9823">
        <v>31</v>
      </c>
      <c r="F9823" t="str">
        <f>HYPERLINK("https://github.com/google/ExoPlayer/issues/3716", "show")</f>
        <v>show</v>
      </c>
      <c r="G9823" t="str">
        <f>HYPERLINK("https://github.com/google/ExoPlayer", "show")</f>
        <v>show</v>
      </c>
      <c r="H9823" t="str">
        <f>HYPERLINK("https://github.com/google/ExoPlayer/releases", "show")</f>
        <v>show</v>
      </c>
      <c r="I9823">
        <v>0</v>
      </c>
      <c r="J9823">
        <v>0</v>
      </c>
      <c r="K9823">
        <v>1</v>
      </c>
      <c r="L9823">
        <v>0</v>
      </c>
      <c r="M9823" t="s">
        <v>122</v>
      </c>
    </row>
    <row r="9824" spans="1:13" hidden="1" x14ac:dyDescent="0.15">
      <c r="A9824" t="s">
        <v>30919</v>
      </c>
      <c r="B9824" t="s">
        <v>30920</v>
      </c>
      <c r="C9824" t="s">
        <v>30921</v>
      </c>
      <c r="D9824" t="s">
        <v>30916</v>
      </c>
      <c r="E9824">
        <v>13</v>
      </c>
      <c r="F9824" t="str">
        <f>HYPERLINK("https://github.com/nextcloud/android/issues/1970", "show")</f>
        <v>show</v>
      </c>
      <c r="G9824" t="str">
        <f>HYPERLINK("https://github.com/nextcloud/android", "show")</f>
        <v>show</v>
      </c>
      <c r="H9824" t="str">
        <f>HYPERLINK("https://github.com/nextcloud/android/releases", "show")</f>
        <v>show</v>
      </c>
      <c r="I9824">
        <v>1</v>
      </c>
      <c r="J9824">
        <v>1</v>
      </c>
      <c r="K9824">
        <v>0</v>
      </c>
      <c r="L9824">
        <v>0</v>
      </c>
      <c r="M9824" t="s">
        <v>48</v>
      </c>
    </row>
    <row r="9825" spans="1:13" hidden="1" x14ac:dyDescent="0.15">
      <c r="A9825" t="s">
        <v>30922</v>
      </c>
      <c r="B9825" t="s">
        <v>30923</v>
      </c>
      <c r="C9825" t="s">
        <v>30924</v>
      </c>
      <c r="D9825" t="s">
        <v>30925</v>
      </c>
      <c r="E9825">
        <v>1</v>
      </c>
      <c r="F9825" t="str">
        <f>HYPERLINK("https://github.com/hold17/cphindustries/issues/114", "show")</f>
        <v>show</v>
      </c>
      <c r="G9825" t="str">
        <f>HYPERLINK("https://github.com/hold17/cphindustries", "show")</f>
        <v>show</v>
      </c>
      <c r="H9825" t="str">
        <f>HYPERLINK("https://github.com/hold17/cphindustries/releases", "show")</f>
        <v>show</v>
      </c>
      <c r="I9825">
        <v>0</v>
      </c>
      <c r="J9825">
        <v>0</v>
      </c>
      <c r="K9825">
        <v>0</v>
      </c>
      <c r="L9825">
        <v>0</v>
      </c>
      <c r="M9825" t="s">
        <v>43</v>
      </c>
    </row>
    <row r="9826" spans="1:13" hidden="1" x14ac:dyDescent="0.15">
      <c r="A9826" t="s">
        <v>30926</v>
      </c>
      <c r="B9826" t="s">
        <v>30927</v>
      </c>
      <c r="C9826" t="s">
        <v>30928</v>
      </c>
      <c r="D9826" t="s">
        <v>30925</v>
      </c>
      <c r="E9826">
        <v>1</v>
      </c>
      <c r="F9826" t="str">
        <f>HYPERLINK("https://github.com/hold17/cphindustries/issues/107", "show")</f>
        <v>show</v>
      </c>
      <c r="G9826" t="str">
        <f>HYPERLINK("https://github.com/hold17/cphindustries", "show")</f>
        <v>show</v>
      </c>
      <c r="H9826" t="str">
        <f>HYPERLINK("https://github.com/hold17/cphindustries/releases", "show")</f>
        <v>show</v>
      </c>
      <c r="I9826">
        <v>1</v>
      </c>
      <c r="J9826">
        <v>1</v>
      </c>
      <c r="K9826">
        <v>0</v>
      </c>
      <c r="L9826">
        <v>0</v>
      </c>
      <c r="M9826" t="s">
        <v>48</v>
      </c>
    </row>
    <row r="9827" spans="1:13" hidden="1" x14ac:dyDescent="0.15">
      <c r="A9827" t="s">
        <v>30929</v>
      </c>
      <c r="B9827" t="s">
        <v>30930</v>
      </c>
      <c r="C9827" t="s">
        <v>30931</v>
      </c>
      <c r="D9827" t="s">
        <v>30925</v>
      </c>
      <c r="E9827">
        <v>61</v>
      </c>
      <c r="F9827" t="str">
        <f>HYPERLINK("https://github.com/cgeo/cgeo/issues/6912", "show")</f>
        <v>show</v>
      </c>
      <c r="G9827" t="str">
        <f>HYPERLINK("https://github.com/cgeo/cgeo", "show")</f>
        <v>show</v>
      </c>
      <c r="H9827" t="str">
        <f>HYPERLINK("https://github.com/cgeo/cgeo/releases", "show")</f>
        <v>show</v>
      </c>
      <c r="I9827">
        <v>1</v>
      </c>
      <c r="J9827">
        <v>1</v>
      </c>
      <c r="K9827">
        <v>0</v>
      </c>
      <c r="L9827">
        <v>0</v>
      </c>
      <c r="M9827" t="s">
        <v>48</v>
      </c>
    </row>
    <row r="9828" spans="1:13" hidden="1" x14ac:dyDescent="0.15">
      <c r="A9828" t="s">
        <v>30932</v>
      </c>
      <c r="B9828" t="s">
        <v>30933</v>
      </c>
      <c r="C9828" t="s">
        <v>30934</v>
      </c>
      <c r="D9828" t="s">
        <v>30925</v>
      </c>
      <c r="E9828">
        <v>302</v>
      </c>
      <c r="F9828" t="str">
        <f>HYPERLINK("https://github.com/Haptic-Apps/Slide/issues/2624", "show")</f>
        <v>show</v>
      </c>
      <c r="G9828" t="str">
        <f>HYPERLINK("https://github.com/Haptic-Apps/Slide", "show")</f>
        <v>show</v>
      </c>
      <c r="H9828" t="str">
        <f>HYPERLINK("https://github.com/Haptic-Apps/Slide/releases", "show")</f>
        <v>show</v>
      </c>
      <c r="I9828">
        <v>1</v>
      </c>
      <c r="J9828">
        <v>1</v>
      </c>
      <c r="K9828">
        <v>0</v>
      </c>
      <c r="L9828">
        <v>0</v>
      </c>
      <c r="M9828" t="s">
        <v>48</v>
      </c>
    </row>
    <row r="9829" spans="1:13" hidden="1" x14ac:dyDescent="0.15">
      <c r="A9829" t="s">
        <v>30935</v>
      </c>
      <c r="B9829" t="s">
        <v>30936</v>
      </c>
      <c r="C9829" t="s">
        <v>30937</v>
      </c>
      <c r="D9829" t="s">
        <v>30925</v>
      </c>
      <c r="E9829">
        <v>0</v>
      </c>
      <c r="F9829" t="str">
        <f>HYPERLINK("https://github.com/doublesymmetry/react-native-track-player/issues/118", "show")</f>
        <v>show</v>
      </c>
      <c r="G9829" t="str">
        <f>HYPERLINK("https://github.com/doublesymmetry/react-native-track-player", "show")</f>
        <v>show</v>
      </c>
      <c r="H9829" t="str">
        <f>HYPERLINK("https://github.com/doublesymmetry/react-native-track-player/releases", "show")</f>
        <v>show</v>
      </c>
      <c r="I9829">
        <v>0</v>
      </c>
      <c r="J9829">
        <v>0</v>
      </c>
      <c r="K9829">
        <v>0</v>
      </c>
      <c r="L9829">
        <v>0</v>
      </c>
      <c r="M9829" t="s">
        <v>43</v>
      </c>
    </row>
    <row r="9830" spans="1:13" x14ac:dyDescent="0.15">
      <c r="A9830" t="s">
        <v>30938</v>
      </c>
      <c r="B9830" t="s">
        <v>30939</v>
      </c>
      <c r="C9830" t="s">
        <v>30940</v>
      </c>
      <c r="D9830" t="s">
        <v>30925</v>
      </c>
      <c r="E9830">
        <v>5</v>
      </c>
      <c r="F9830" t="str">
        <f>HYPERLINK("https://github.com/nikita36078/J2ME-Loader/issues/75", "show")</f>
        <v>show</v>
      </c>
      <c r="G9830" t="str">
        <f>HYPERLINK("https://github.com/nikita36078/J2ME-Loader", "show")</f>
        <v>show</v>
      </c>
      <c r="H9830" t="str">
        <f>HYPERLINK("https://github.com/nikita36078/J2ME-Loader/releases", "show")</f>
        <v>show</v>
      </c>
      <c r="I9830">
        <v>0</v>
      </c>
      <c r="J9830">
        <v>1</v>
      </c>
      <c r="K9830">
        <v>0</v>
      </c>
      <c r="L9830">
        <v>0</v>
      </c>
      <c r="M9830" t="s">
        <v>139</v>
      </c>
    </row>
    <row r="9831" spans="1:13" hidden="1" x14ac:dyDescent="0.15">
      <c r="A9831" t="s">
        <v>30941</v>
      </c>
      <c r="B9831" t="s">
        <v>30942</v>
      </c>
      <c r="C9831" t="s">
        <v>30943</v>
      </c>
      <c r="D9831" t="s">
        <v>30925</v>
      </c>
      <c r="E9831">
        <v>2</v>
      </c>
      <c r="F9831" t="str">
        <f>HYPERLINK("https://github.com/andOTP/andOTP/issues/113", "show")</f>
        <v>show</v>
      </c>
      <c r="G9831" t="str">
        <f>HYPERLINK("https://github.com/andOTP/andOTP", "show")</f>
        <v>show</v>
      </c>
      <c r="H9831" t="str">
        <f>HYPERLINK("https://github.com/andOTP/andOTP/releases", "show")</f>
        <v>show</v>
      </c>
      <c r="I9831">
        <v>1</v>
      </c>
      <c r="J9831">
        <v>0</v>
      </c>
      <c r="K9831">
        <v>0</v>
      </c>
      <c r="L9831">
        <v>0</v>
      </c>
      <c r="M9831" t="s">
        <v>17</v>
      </c>
    </row>
    <row r="9832" spans="1:13" hidden="1" x14ac:dyDescent="0.15">
      <c r="A9832" t="s">
        <v>30944</v>
      </c>
      <c r="B9832" t="s">
        <v>30945</v>
      </c>
      <c r="C9832" t="s">
        <v>30946</v>
      </c>
      <c r="D9832" t="s">
        <v>30947</v>
      </c>
      <c r="E9832">
        <v>1</v>
      </c>
      <c r="F9832" t="str">
        <f>HYPERLINK("https://github.com/doublesymmetry/react-native-track-player/issues/117", "show")</f>
        <v>show</v>
      </c>
      <c r="G9832" t="str">
        <f>HYPERLINK("https://github.com/doublesymmetry/react-native-track-player", "show")</f>
        <v>show</v>
      </c>
      <c r="H9832" t="str">
        <f>HYPERLINK("https://github.com/doublesymmetry/react-native-track-player/releases", "show")</f>
        <v>show</v>
      </c>
      <c r="I9832">
        <v>0</v>
      </c>
      <c r="J9832">
        <v>0</v>
      </c>
      <c r="K9832">
        <v>1</v>
      </c>
      <c r="L9832">
        <v>0</v>
      </c>
      <c r="M9832" t="s">
        <v>122</v>
      </c>
    </row>
    <row r="9833" spans="1:13" hidden="1" x14ac:dyDescent="0.15">
      <c r="A9833" t="s">
        <v>30948</v>
      </c>
      <c r="B9833" t="s">
        <v>30949</v>
      </c>
      <c r="C9833" t="s">
        <v>30950</v>
      </c>
      <c r="D9833" t="s">
        <v>30947</v>
      </c>
      <c r="E9833">
        <v>237</v>
      </c>
      <c r="F9833" t="str">
        <f>HYPERLINK("https://github.com/the3deers/android-3D-model-viewer/issues/34", "show")</f>
        <v>show</v>
      </c>
      <c r="G9833" t="str">
        <f>HYPERLINK("https://github.com/the3deers/android-3D-model-viewer", "show")</f>
        <v>show</v>
      </c>
      <c r="H9833" t="str">
        <f>HYPERLINK("https://github.com/the3deers/android-3D-model-viewer/releases", "show")</f>
        <v>show</v>
      </c>
      <c r="I9833">
        <v>1</v>
      </c>
      <c r="J9833">
        <v>1</v>
      </c>
      <c r="K9833">
        <v>0</v>
      </c>
      <c r="L9833">
        <v>0</v>
      </c>
      <c r="M9833" t="s">
        <v>48</v>
      </c>
    </row>
    <row r="9834" spans="1:13" hidden="1" x14ac:dyDescent="0.15">
      <c r="A9834" t="s">
        <v>30951</v>
      </c>
      <c r="B9834" t="s">
        <v>30952</v>
      </c>
      <c r="C9834" t="s">
        <v>30953</v>
      </c>
      <c r="D9834" t="s">
        <v>30954</v>
      </c>
      <c r="E9834">
        <v>0</v>
      </c>
      <c r="F9834" t="str">
        <f>HYPERLINK("https://github.com/DanielPollithy/flashwifi/issues/6", "show")</f>
        <v>show</v>
      </c>
      <c r="G9834" t="str">
        <f>HYPERLINK("https://github.com/DanielPollithy/flashwifi", "show")</f>
        <v>show</v>
      </c>
      <c r="H9834" t="str">
        <f>HYPERLINK("https://github.com/DanielPollithy/flashwifi/releases", "show")</f>
        <v>show</v>
      </c>
      <c r="I9834">
        <v>1</v>
      </c>
      <c r="J9834">
        <v>0</v>
      </c>
      <c r="K9834">
        <v>0</v>
      </c>
      <c r="L9834">
        <v>0</v>
      </c>
      <c r="M9834" t="s">
        <v>17</v>
      </c>
    </row>
    <row r="9835" spans="1:13" hidden="1" x14ac:dyDescent="0.15">
      <c r="A9835" t="s">
        <v>30955</v>
      </c>
      <c r="B9835" t="s">
        <v>30956</v>
      </c>
      <c r="C9835" t="s">
        <v>30957</v>
      </c>
      <c r="D9835" t="s">
        <v>30954</v>
      </c>
      <c r="E9835">
        <v>303</v>
      </c>
      <c r="F9835" t="str">
        <f>HYPERLINK("https://github.com/Haptic-Apps/Slide/issues/2623", "show")</f>
        <v>show</v>
      </c>
      <c r="G9835" t="str">
        <f>HYPERLINK("https://github.com/Haptic-Apps/Slide", "show")</f>
        <v>show</v>
      </c>
      <c r="H9835" t="str">
        <f>HYPERLINK("https://github.com/Haptic-Apps/Slide/releases", "show")</f>
        <v>show</v>
      </c>
      <c r="I9835">
        <v>0</v>
      </c>
      <c r="J9835">
        <v>0</v>
      </c>
      <c r="K9835">
        <v>0</v>
      </c>
      <c r="L9835">
        <v>0</v>
      </c>
      <c r="M9835" t="s">
        <v>43</v>
      </c>
    </row>
    <row r="9836" spans="1:13" hidden="1" x14ac:dyDescent="0.15">
      <c r="A9836" t="s">
        <v>30958</v>
      </c>
      <c r="B9836" t="s">
        <v>30959</v>
      </c>
      <c r="C9836" t="s">
        <v>30960</v>
      </c>
      <c r="D9836" t="s">
        <v>30954</v>
      </c>
      <c r="E9836">
        <v>2</v>
      </c>
      <c r="F9836" t="str">
        <f>HYPERLINK("https://github.com/hold17/cphindustries/issues/90", "show")</f>
        <v>show</v>
      </c>
      <c r="G9836" t="str">
        <f>HYPERLINK("https://github.com/hold17/cphindustries", "show")</f>
        <v>show</v>
      </c>
      <c r="H9836" t="str">
        <f>HYPERLINK("https://github.com/hold17/cphindustries/releases", "show")</f>
        <v>show</v>
      </c>
      <c r="I9836">
        <v>1</v>
      </c>
      <c r="J9836">
        <v>0</v>
      </c>
      <c r="K9836">
        <v>0</v>
      </c>
      <c r="L9836">
        <v>0</v>
      </c>
      <c r="M9836" t="s">
        <v>17</v>
      </c>
    </row>
    <row r="9837" spans="1:13" hidden="1" x14ac:dyDescent="0.15">
      <c r="A9837" t="s">
        <v>30961</v>
      </c>
      <c r="B9837" t="s">
        <v>30962</v>
      </c>
      <c r="C9837" t="s">
        <v>30963</v>
      </c>
      <c r="D9837" t="s">
        <v>30964</v>
      </c>
      <c r="E9837">
        <v>175</v>
      </c>
      <c r="F9837" t="str">
        <f>HYPERLINK("https://github.com/guardianproject/haven/issues/211", "show")</f>
        <v>show</v>
      </c>
      <c r="G9837" t="str">
        <f>HYPERLINK("https://github.com/guardianproject/haven", "show")</f>
        <v>show</v>
      </c>
      <c r="H9837" t="str">
        <f>HYPERLINK("https://github.com/guardianproject/haven/releases", "show")</f>
        <v>show</v>
      </c>
      <c r="I9837">
        <v>1</v>
      </c>
      <c r="J9837">
        <v>0</v>
      </c>
      <c r="K9837">
        <v>0</v>
      </c>
      <c r="L9837">
        <v>0</v>
      </c>
      <c r="M9837" t="s">
        <v>17</v>
      </c>
    </row>
    <row r="9838" spans="1:13" hidden="1" x14ac:dyDescent="0.15">
      <c r="A9838" t="s">
        <v>30965</v>
      </c>
      <c r="B9838" t="s">
        <v>30966</v>
      </c>
      <c r="C9838" t="s">
        <v>30967</v>
      </c>
      <c r="D9838" t="s">
        <v>30964</v>
      </c>
      <c r="E9838">
        <v>5</v>
      </c>
      <c r="F9838" t="str">
        <f>HYPERLINK("https://github.com/guardianproject/haven/issues/210", "show")</f>
        <v>show</v>
      </c>
      <c r="G9838" t="str">
        <f>HYPERLINK("https://github.com/guardianproject/haven", "show")</f>
        <v>show</v>
      </c>
      <c r="H9838" t="str">
        <f>HYPERLINK("https://github.com/guardianproject/haven/releases", "show")</f>
        <v>show</v>
      </c>
      <c r="I9838">
        <v>1</v>
      </c>
      <c r="J9838">
        <v>0</v>
      </c>
      <c r="K9838">
        <v>0</v>
      </c>
      <c r="L9838">
        <v>0</v>
      </c>
      <c r="M9838" t="s">
        <v>17</v>
      </c>
    </row>
    <row r="9839" spans="1:13" hidden="1" x14ac:dyDescent="0.15">
      <c r="A9839" t="s">
        <v>30968</v>
      </c>
      <c r="B9839" t="s">
        <v>30969</v>
      </c>
      <c r="D9839" t="s">
        <v>30970</v>
      </c>
      <c r="E9839">
        <v>0</v>
      </c>
      <c r="F9839" t="str">
        <f>HYPERLINK("https://github.com/Joshun/mobile-assignment/issues/20", "show")</f>
        <v>show</v>
      </c>
      <c r="G9839" t="str">
        <f>HYPERLINK("https://github.com/Joshun/mobile-assignment", "show")</f>
        <v>show</v>
      </c>
      <c r="H9839" t="str">
        <f>HYPERLINK("https://github.com/Joshun/mobile-assignment/releases", "show")</f>
        <v>show</v>
      </c>
      <c r="I9839">
        <v>1</v>
      </c>
      <c r="J9839">
        <v>0</v>
      </c>
      <c r="K9839">
        <v>1</v>
      </c>
      <c r="L9839">
        <v>0</v>
      </c>
      <c r="M9839" t="s">
        <v>64</v>
      </c>
    </row>
    <row r="9840" spans="1:13" hidden="1" x14ac:dyDescent="0.15">
      <c r="A9840" t="s">
        <v>30971</v>
      </c>
      <c r="B9840" t="s">
        <v>30972</v>
      </c>
      <c r="C9840" t="s">
        <v>30973</v>
      </c>
      <c r="D9840" t="s">
        <v>30970</v>
      </c>
      <c r="E9840">
        <v>462</v>
      </c>
      <c r="F9840" t="str">
        <f>HYPERLINK("https://github.com/react-native-camera/react-native-camera/issues/1090", "show")</f>
        <v>show</v>
      </c>
      <c r="G9840" t="str">
        <f>HYPERLINK("https://github.com/react-native-camera/react-native-camera", "show")</f>
        <v>show</v>
      </c>
      <c r="H9840" t="str">
        <f>HYPERLINK("https://github.com/react-native-camera/react-native-camera/releases", "show")</f>
        <v>show</v>
      </c>
      <c r="I9840">
        <v>1</v>
      </c>
      <c r="J9840">
        <v>0</v>
      </c>
      <c r="K9840">
        <v>0</v>
      </c>
      <c r="L9840">
        <v>1</v>
      </c>
      <c r="M9840" t="s">
        <v>29</v>
      </c>
    </row>
    <row r="9841" spans="1:13" hidden="1" x14ac:dyDescent="0.15">
      <c r="A9841" t="s">
        <v>30974</v>
      </c>
      <c r="B9841" t="s">
        <v>30975</v>
      </c>
      <c r="C9841" t="s">
        <v>30976</v>
      </c>
      <c r="D9841" t="s">
        <v>30970</v>
      </c>
      <c r="E9841">
        <v>6</v>
      </c>
      <c r="F9841" t="str">
        <f>HYPERLINK("https://github.com/mit-cml/appinventor-sources/issues/1125", "show")</f>
        <v>show</v>
      </c>
      <c r="G9841" t="str">
        <f>HYPERLINK("https://github.com/mit-cml/appinventor-sources", "show")</f>
        <v>show</v>
      </c>
      <c r="H9841" t="str">
        <f>HYPERLINK("https://github.com/mit-cml/appinventor-sources/releases", "show")</f>
        <v>show</v>
      </c>
      <c r="I9841">
        <v>1</v>
      </c>
      <c r="J9841">
        <v>0</v>
      </c>
      <c r="K9841">
        <v>0</v>
      </c>
      <c r="L9841">
        <v>0</v>
      </c>
      <c r="M9841" t="s">
        <v>17</v>
      </c>
    </row>
    <row r="9842" spans="1:13" hidden="1" x14ac:dyDescent="0.15">
      <c r="A9842" t="s">
        <v>30977</v>
      </c>
      <c r="B9842" t="s">
        <v>30978</v>
      </c>
      <c r="C9842" t="s">
        <v>30979</v>
      </c>
      <c r="D9842" t="s">
        <v>30980</v>
      </c>
      <c r="E9842">
        <v>0</v>
      </c>
      <c r="F9842" t="str">
        <f>HYPERLINK("https://github.com/Neamar/KISS/issues/788", "show")</f>
        <v>show</v>
      </c>
      <c r="G9842" t="str">
        <f>HYPERLINK("https://github.com/Neamar/KISS", "show")</f>
        <v>show</v>
      </c>
      <c r="H9842" t="str">
        <f>HYPERLINK("https://github.com/Neamar/KISS/releases", "show")</f>
        <v>show</v>
      </c>
      <c r="I9842">
        <v>1</v>
      </c>
      <c r="J9842">
        <v>0</v>
      </c>
      <c r="K9842">
        <v>1</v>
      </c>
      <c r="L9842">
        <v>0</v>
      </c>
      <c r="M9842" t="s">
        <v>64</v>
      </c>
    </row>
    <row r="9843" spans="1:13" hidden="1" x14ac:dyDescent="0.15">
      <c r="A9843" t="s">
        <v>30981</v>
      </c>
      <c r="B9843" t="s">
        <v>30982</v>
      </c>
      <c r="C9843" t="s">
        <v>30983</v>
      </c>
      <c r="D9843" t="s">
        <v>30980</v>
      </c>
      <c r="E9843">
        <v>23</v>
      </c>
      <c r="F9843" t="str">
        <f>HYPERLINK("https://github.com/mapbox/mapbox-plugins-android/issues/238", "show")</f>
        <v>show</v>
      </c>
      <c r="G9843" t="str">
        <f>HYPERLINK("https://github.com/mapbox/mapbox-plugins-android", "show")</f>
        <v>show</v>
      </c>
      <c r="H9843" t="str">
        <f>HYPERLINK("https://github.com/mapbox/mapbox-plugins-android/releases", "show")</f>
        <v>show</v>
      </c>
      <c r="I9843">
        <v>1</v>
      </c>
      <c r="J9843">
        <v>0</v>
      </c>
      <c r="K9843">
        <v>0</v>
      </c>
      <c r="L9843">
        <v>0</v>
      </c>
      <c r="M9843" t="s">
        <v>17</v>
      </c>
    </row>
    <row r="9844" spans="1:13" hidden="1" x14ac:dyDescent="0.15">
      <c r="A9844" t="s">
        <v>30984</v>
      </c>
      <c r="B9844" t="s">
        <v>30985</v>
      </c>
      <c r="C9844" t="s">
        <v>30986</v>
      </c>
      <c r="D9844" t="s">
        <v>30980</v>
      </c>
      <c r="E9844">
        <v>0</v>
      </c>
      <c r="F9844" t="str">
        <f>HYPERLINK("https://github.com/asterics/AsTeRICS/issues/220", "show")</f>
        <v>show</v>
      </c>
      <c r="G9844" t="str">
        <f>HYPERLINK("https://github.com/asterics/AsTeRICS", "show")</f>
        <v>show</v>
      </c>
      <c r="H9844" t="str">
        <f>HYPERLINK("https://github.com/asterics/AsTeRICS/releases", "show")</f>
        <v>show</v>
      </c>
      <c r="I9844">
        <v>1</v>
      </c>
      <c r="J9844">
        <v>0</v>
      </c>
      <c r="K9844">
        <v>0</v>
      </c>
      <c r="L9844">
        <v>0</v>
      </c>
      <c r="M9844" t="s">
        <v>17</v>
      </c>
    </row>
    <row r="9845" spans="1:13" hidden="1" x14ac:dyDescent="0.15">
      <c r="A9845" t="s">
        <v>30987</v>
      </c>
      <c r="B9845" t="s">
        <v>4871</v>
      </c>
      <c r="C9845" t="s">
        <v>504</v>
      </c>
      <c r="D9845" t="s">
        <v>30980</v>
      </c>
      <c r="E9845">
        <v>51</v>
      </c>
      <c r="F9845" t="str">
        <f>HYPERLINK("https://github.com/tanrabad/survey/issues/51", "show")</f>
        <v>show</v>
      </c>
      <c r="G9845" t="str">
        <f>HYPERLINK("https://github.com/tanrabad/survey", "show")</f>
        <v>show</v>
      </c>
      <c r="H9845" t="str">
        <f>HYPERLINK("https://github.com/tanrabad/survey/releases", "show")</f>
        <v>show</v>
      </c>
      <c r="I9845">
        <v>1</v>
      </c>
      <c r="J9845">
        <v>0</v>
      </c>
      <c r="K9845">
        <v>0</v>
      </c>
      <c r="L9845">
        <v>0</v>
      </c>
      <c r="M9845" t="s">
        <v>17</v>
      </c>
    </row>
    <row r="9846" spans="1:13" hidden="1" x14ac:dyDescent="0.15">
      <c r="A9846" t="s">
        <v>30988</v>
      </c>
      <c r="B9846" t="s">
        <v>30989</v>
      </c>
      <c r="C9846" t="s">
        <v>30990</v>
      </c>
      <c r="D9846" t="s">
        <v>30991</v>
      </c>
      <c r="E9846">
        <v>3</v>
      </c>
      <c r="F9846" t="str">
        <f>HYPERLINK("https://github.com/mit-cml/appinventor-sources/issues/1121", "show")</f>
        <v>show</v>
      </c>
      <c r="G9846" t="str">
        <f>HYPERLINK("https://github.com/mit-cml/appinventor-sources", "show")</f>
        <v>show</v>
      </c>
      <c r="H9846" t="str">
        <f>HYPERLINK("https://github.com/mit-cml/appinventor-sources/releases", "show")</f>
        <v>show</v>
      </c>
      <c r="I9846">
        <v>1</v>
      </c>
      <c r="J9846">
        <v>0</v>
      </c>
      <c r="K9846">
        <v>0</v>
      </c>
      <c r="L9846">
        <v>0</v>
      </c>
      <c r="M9846" t="s">
        <v>17</v>
      </c>
    </row>
    <row r="9847" spans="1:13" hidden="1" x14ac:dyDescent="0.15">
      <c r="A9847" t="s">
        <v>30992</v>
      </c>
      <c r="B9847" t="s">
        <v>30993</v>
      </c>
      <c r="C9847" t="s">
        <v>30994</v>
      </c>
      <c r="D9847" t="s">
        <v>30991</v>
      </c>
      <c r="E9847">
        <v>13</v>
      </c>
      <c r="F9847" t="str">
        <f>HYPERLINK("https://github.com/dimagi/commcare-android/issues/1925", "show")</f>
        <v>show</v>
      </c>
      <c r="G9847" t="str">
        <f>HYPERLINK("https://github.com/dimagi/commcare-android", "show")</f>
        <v>show</v>
      </c>
      <c r="H9847" t="str">
        <f>HYPERLINK("https://github.com/dimagi/commcare-android/releases", "show")</f>
        <v>show</v>
      </c>
      <c r="I9847">
        <v>1</v>
      </c>
      <c r="J9847">
        <v>0</v>
      </c>
      <c r="K9847">
        <v>0</v>
      </c>
      <c r="L9847">
        <v>0</v>
      </c>
      <c r="M9847" t="s">
        <v>17</v>
      </c>
    </row>
    <row r="9848" spans="1:13" hidden="1" x14ac:dyDescent="0.15">
      <c r="A9848" t="s">
        <v>30995</v>
      </c>
      <c r="B9848" t="s">
        <v>30996</v>
      </c>
      <c r="C9848" t="s">
        <v>30997</v>
      </c>
      <c r="D9848" t="s">
        <v>30991</v>
      </c>
      <c r="E9848">
        <v>9</v>
      </c>
      <c r="F9848" t="str">
        <f>HYPERLINK("https://github.com/rovo89/XposedInstaller/issues/420", "show")</f>
        <v>show</v>
      </c>
      <c r="G9848" t="str">
        <f>HYPERLINK("https://github.com/rovo89/XposedInstaller", "show")</f>
        <v>show</v>
      </c>
      <c r="H9848" t="str">
        <f>HYPERLINK("https://github.com/rovo89/XposedInstaller/releases", "show")</f>
        <v>show</v>
      </c>
      <c r="I9848">
        <v>1</v>
      </c>
      <c r="J9848">
        <v>0</v>
      </c>
      <c r="K9848">
        <v>0</v>
      </c>
      <c r="L9848">
        <v>0</v>
      </c>
      <c r="M9848" t="s">
        <v>17</v>
      </c>
    </row>
    <row r="9849" spans="1:13" hidden="1" x14ac:dyDescent="0.15">
      <c r="A9849" t="s">
        <v>30998</v>
      </c>
      <c r="B9849" t="s">
        <v>30999</v>
      </c>
      <c r="C9849" t="s">
        <v>31000</v>
      </c>
      <c r="D9849" t="s">
        <v>30991</v>
      </c>
      <c r="E9849">
        <v>0</v>
      </c>
      <c r="F9849" t="str">
        <f>HYPERLINK("https://github.com/lingochamp/okdownload/issues/4", "show")</f>
        <v>show</v>
      </c>
      <c r="G9849" t="str">
        <f>HYPERLINK("https://github.com/lingochamp/okdownload", "show")</f>
        <v>show</v>
      </c>
      <c r="H9849" t="str">
        <f>HYPERLINK("https://github.com/lingochamp/okdownload/releases", "show")</f>
        <v>show</v>
      </c>
      <c r="I9849">
        <v>1</v>
      </c>
      <c r="J9849">
        <v>0</v>
      </c>
      <c r="K9849">
        <v>1</v>
      </c>
      <c r="L9849">
        <v>0</v>
      </c>
      <c r="M9849" t="s">
        <v>64</v>
      </c>
    </row>
    <row r="9850" spans="1:13" hidden="1" x14ac:dyDescent="0.15">
      <c r="A9850" t="s">
        <v>31001</v>
      </c>
      <c r="B9850" t="s">
        <v>31002</v>
      </c>
      <c r="C9850" t="s">
        <v>31003</v>
      </c>
      <c r="D9850" t="s">
        <v>31004</v>
      </c>
      <c r="E9850">
        <v>80</v>
      </c>
      <c r="F9850" t="str">
        <f>HYPERLINK("https://github.com/mapbox/mapbox-plugins-android/issues/235", "show")</f>
        <v>show</v>
      </c>
      <c r="G9850" t="str">
        <f>HYPERLINK("https://github.com/mapbox/mapbox-plugins-android", "show")</f>
        <v>show</v>
      </c>
      <c r="H9850" t="str">
        <f>HYPERLINK("https://github.com/mapbox/mapbox-plugins-android/releases", "show")</f>
        <v>show</v>
      </c>
      <c r="I9850">
        <v>1</v>
      </c>
      <c r="J9850">
        <v>0</v>
      </c>
      <c r="K9850">
        <v>0</v>
      </c>
      <c r="L9850">
        <v>0</v>
      </c>
      <c r="M9850" t="s">
        <v>17</v>
      </c>
    </row>
    <row r="9851" spans="1:13" hidden="1" x14ac:dyDescent="0.15">
      <c r="A9851" t="s">
        <v>31005</v>
      </c>
      <c r="B9851" t="s">
        <v>31006</v>
      </c>
      <c r="C9851" t="s">
        <v>31007</v>
      </c>
      <c r="D9851" t="s">
        <v>31004</v>
      </c>
      <c r="E9851">
        <v>835</v>
      </c>
      <c r="F9851" t="str">
        <f>HYPERLINK("https://github.com/jMonkeyEngine/jmonkeyengine/issues/794", "show")</f>
        <v>show</v>
      </c>
      <c r="G9851" t="str">
        <f>HYPERLINK("https://github.com/jMonkeyEngine/jmonkeyengine", "show")</f>
        <v>show</v>
      </c>
      <c r="H9851" t="str">
        <f>HYPERLINK("https://github.com/jMonkeyEngine/jmonkeyengine/releases", "show")</f>
        <v>show</v>
      </c>
      <c r="I9851">
        <v>0</v>
      </c>
      <c r="J9851">
        <v>0</v>
      </c>
      <c r="K9851">
        <v>1</v>
      </c>
      <c r="L9851">
        <v>0</v>
      </c>
      <c r="M9851" t="s">
        <v>122</v>
      </c>
    </row>
    <row r="9852" spans="1:13" hidden="1" x14ac:dyDescent="0.15">
      <c r="A9852" t="s">
        <v>31008</v>
      </c>
      <c r="B9852" t="s">
        <v>31009</v>
      </c>
      <c r="C9852" t="s">
        <v>31010</v>
      </c>
      <c r="D9852" t="s">
        <v>31004</v>
      </c>
      <c r="E9852">
        <v>0</v>
      </c>
      <c r="F9852" t="str">
        <f>HYPERLINK("https://github.com/RoboTutorLLC/RTFace_Login/issues/3", "show")</f>
        <v>show</v>
      </c>
      <c r="G9852" t="str">
        <f>HYPERLINK("https://github.com/RoboTutorLLC/RTFace_Login", "show")</f>
        <v>show</v>
      </c>
      <c r="H9852" t="str">
        <f>HYPERLINK("https://github.com/RoboTutorLLC/RTFace_Login/releases", "show")</f>
        <v>show</v>
      </c>
      <c r="I9852">
        <v>1</v>
      </c>
      <c r="J9852">
        <v>1</v>
      </c>
      <c r="K9852">
        <v>0</v>
      </c>
      <c r="L9852">
        <v>0</v>
      </c>
      <c r="M9852" t="s">
        <v>48</v>
      </c>
    </row>
    <row r="9853" spans="1:13" hidden="1" x14ac:dyDescent="0.15">
      <c r="A9853" t="s">
        <v>31011</v>
      </c>
      <c r="B9853" t="s">
        <v>31012</v>
      </c>
      <c r="C9853" t="s">
        <v>31013</v>
      </c>
      <c r="D9853" t="s">
        <v>31004</v>
      </c>
      <c r="E9853">
        <v>1</v>
      </c>
      <c r="F9853" t="str">
        <f>HYPERLINK("https://github.com/nextcloud/android/issues/1934", "show")</f>
        <v>show</v>
      </c>
      <c r="G9853" t="str">
        <f>HYPERLINK("https://github.com/nextcloud/android", "show")</f>
        <v>show</v>
      </c>
      <c r="H9853" t="str">
        <f>HYPERLINK("https://github.com/nextcloud/android/releases", "show")</f>
        <v>show</v>
      </c>
      <c r="I9853">
        <v>1</v>
      </c>
      <c r="J9853">
        <v>1</v>
      </c>
      <c r="K9853">
        <v>0</v>
      </c>
      <c r="L9853">
        <v>0</v>
      </c>
      <c r="M9853" t="s">
        <v>48</v>
      </c>
    </row>
    <row r="9854" spans="1:13" hidden="1" x14ac:dyDescent="0.15">
      <c r="A9854" t="s">
        <v>31014</v>
      </c>
      <c r="B9854" t="s">
        <v>31015</v>
      </c>
      <c r="C9854" t="s">
        <v>31016</v>
      </c>
      <c r="D9854" t="s">
        <v>31004</v>
      </c>
      <c r="E9854">
        <v>0</v>
      </c>
      <c r="F9854" t="str">
        <f>HYPERLINK("https://github.com/mvysny/aedict/issues/817", "show")</f>
        <v>show</v>
      </c>
      <c r="G9854" t="str">
        <f>HYPERLINK("https://github.com/mvysny/aedict", "show")</f>
        <v>show</v>
      </c>
      <c r="H9854" t="str">
        <f>HYPERLINK("https://github.com/mvysny/aedict/releases", "show")</f>
        <v>show</v>
      </c>
      <c r="I9854">
        <v>1</v>
      </c>
      <c r="J9854">
        <v>0</v>
      </c>
      <c r="K9854">
        <v>0</v>
      </c>
      <c r="L9854">
        <v>0</v>
      </c>
      <c r="M9854" t="s">
        <v>17</v>
      </c>
    </row>
    <row r="9855" spans="1:13" hidden="1" x14ac:dyDescent="0.15">
      <c r="A9855" t="s">
        <v>31017</v>
      </c>
      <c r="B9855" t="s">
        <v>31018</v>
      </c>
      <c r="C9855" t="s">
        <v>31019</v>
      </c>
      <c r="D9855" t="s">
        <v>31020</v>
      </c>
      <c r="E9855">
        <v>120</v>
      </c>
      <c r="F9855" t="str">
        <f>HYPERLINK("https://github.com/zhanghai/MaterialProgressBar/issues/73", "show")</f>
        <v>show</v>
      </c>
      <c r="G9855" t="str">
        <f>HYPERLINK("https://github.com/zhanghai/MaterialProgressBar", "show")</f>
        <v>show</v>
      </c>
      <c r="H9855" t="str">
        <f>HYPERLINK("https://github.com/zhanghai/MaterialProgressBar/releases", "show")</f>
        <v>show</v>
      </c>
      <c r="I9855">
        <v>0</v>
      </c>
      <c r="J9855">
        <v>0</v>
      </c>
      <c r="K9855">
        <v>0</v>
      </c>
      <c r="L9855">
        <v>0</v>
      </c>
      <c r="M9855" t="s">
        <v>43</v>
      </c>
    </row>
    <row r="9856" spans="1:13" hidden="1" x14ac:dyDescent="0.15">
      <c r="A9856" t="s">
        <v>31021</v>
      </c>
      <c r="B9856" t="s">
        <v>31022</v>
      </c>
      <c r="C9856" t="s">
        <v>31023</v>
      </c>
      <c r="D9856" t="s">
        <v>31020</v>
      </c>
      <c r="E9856">
        <v>7</v>
      </c>
      <c r="F9856" t="str">
        <f>HYPERLINK("https://github.com/oliexdev/openScale/issues/134", "show")</f>
        <v>show</v>
      </c>
      <c r="G9856" t="str">
        <f>HYPERLINK("https://github.com/oliexdev/openScale", "show")</f>
        <v>show</v>
      </c>
      <c r="H9856" t="str">
        <f>HYPERLINK("https://github.com/oliexdev/openScale/releases", "show")</f>
        <v>show</v>
      </c>
      <c r="I9856">
        <v>1</v>
      </c>
      <c r="J9856">
        <v>0</v>
      </c>
      <c r="K9856">
        <v>0</v>
      </c>
      <c r="L9856">
        <v>0</v>
      </c>
      <c r="M9856" t="s">
        <v>17</v>
      </c>
    </row>
    <row r="9857" spans="1:13" hidden="1" x14ac:dyDescent="0.15">
      <c r="A9857" t="s">
        <v>31024</v>
      </c>
      <c r="B9857" t="s">
        <v>31025</v>
      </c>
      <c r="C9857" t="s">
        <v>31026</v>
      </c>
      <c r="D9857" t="s">
        <v>31020</v>
      </c>
      <c r="E9857">
        <v>1</v>
      </c>
      <c r="F9857" t="str">
        <f>HYPERLINK("https://github.com/cgeo/cgeo/issues/6904", "show")</f>
        <v>show</v>
      </c>
      <c r="G9857" t="str">
        <f>HYPERLINK("https://github.com/cgeo/cgeo", "show")</f>
        <v>show</v>
      </c>
      <c r="H9857" t="str">
        <f>HYPERLINK("https://github.com/cgeo/cgeo/releases", "show")</f>
        <v>show</v>
      </c>
      <c r="I9857">
        <v>1</v>
      </c>
      <c r="J9857">
        <v>1</v>
      </c>
      <c r="K9857">
        <v>0</v>
      </c>
      <c r="L9857">
        <v>0</v>
      </c>
      <c r="M9857" t="s">
        <v>48</v>
      </c>
    </row>
    <row r="9858" spans="1:13" hidden="1" x14ac:dyDescent="0.15">
      <c r="A9858" t="s">
        <v>31027</v>
      </c>
      <c r="B9858" t="s">
        <v>31028</v>
      </c>
      <c r="C9858" t="s">
        <v>504</v>
      </c>
      <c r="D9858" t="s">
        <v>31020</v>
      </c>
      <c r="E9858">
        <v>346</v>
      </c>
      <c r="F9858" t="str">
        <f>HYPERLINK("https://github.com/niclabs/adkintunmobile-androidclient/issues/190", "show")</f>
        <v>show</v>
      </c>
      <c r="G9858" t="str">
        <f>HYPERLINK("https://github.com/niclabs/adkintunmobile-androidclient", "show")</f>
        <v>show</v>
      </c>
      <c r="H9858" t="str">
        <f>HYPERLINK("https://github.com/niclabs/adkintunmobile-androidclient/releases", "show")</f>
        <v>show</v>
      </c>
      <c r="I9858">
        <v>1</v>
      </c>
      <c r="J9858">
        <v>0</v>
      </c>
      <c r="K9858">
        <v>0</v>
      </c>
      <c r="L9858">
        <v>0</v>
      </c>
      <c r="M9858" t="s">
        <v>17</v>
      </c>
    </row>
    <row r="9859" spans="1:13" hidden="1" x14ac:dyDescent="0.15">
      <c r="A9859" t="s">
        <v>31029</v>
      </c>
      <c r="B9859" t="s">
        <v>31030</v>
      </c>
      <c r="C9859" t="s">
        <v>31031</v>
      </c>
      <c r="D9859" t="s">
        <v>31032</v>
      </c>
      <c r="E9859">
        <v>1</v>
      </c>
      <c r="F9859" t="str">
        <f>HYPERLINK("https://github.com/osmdroid/osmdroid/issues/850", "show")</f>
        <v>show</v>
      </c>
      <c r="G9859" t="str">
        <f>HYPERLINK("https://github.com/osmdroid/osmdroid", "show")</f>
        <v>show</v>
      </c>
      <c r="H9859" t="str">
        <f>HYPERLINK("https://github.com/osmdroid/osmdroid/releases", "show")</f>
        <v>show</v>
      </c>
      <c r="I9859">
        <v>1</v>
      </c>
      <c r="J9859">
        <v>0</v>
      </c>
      <c r="K9859">
        <v>1</v>
      </c>
      <c r="L9859">
        <v>0</v>
      </c>
      <c r="M9859" t="s">
        <v>64</v>
      </c>
    </row>
    <row r="9860" spans="1:13" hidden="1" x14ac:dyDescent="0.15">
      <c r="A9860" t="s">
        <v>31033</v>
      </c>
      <c r="B9860" t="s">
        <v>31034</v>
      </c>
      <c r="C9860" t="s">
        <v>31035</v>
      </c>
      <c r="D9860" t="s">
        <v>31032</v>
      </c>
      <c r="E9860">
        <v>0</v>
      </c>
      <c r="F9860" t="str">
        <f>HYPERLINK("https://github.com/damienrochat/BikeTracks/issues/16", "show")</f>
        <v>show</v>
      </c>
      <c r="G9860" t="str">
        <f>HYPERLINK("https://github.com/damienrochat/BikeTracks", "show")</f>
        <v>show</v>
      </c>
      <c r="H9860" t="str">
        <f>HYPERLINK("https://github.com/damienrochat/BikeTracks/releases", "show")</f>
        <v>show</v>
      </c>
      <c r="I9860">
        <v>1</v>
      </c>
      <c r="J9860">
        <v>0</v>
      </c>
      <c r="K9860">
        <v>0</v>
      </c>
      <c r="L9860">
        <v>0</v>
      </c>
      <c r="M9860" t="s">
        <v>17</v>
      </c>
    </row>
    <row r="9861" spans="1:13" hidden="1" x14ac:dyDescent="0.15">
      <c r="A9861" t="s">
        <v>31036</v>
      </c>
      <c r="B9861" t="s">
        <v>31037</v>
      </c>
      <c r="C9861" t="s">
        <v>31038</v>
      </c>
      <c r="D9861" t="s">
        <v>31032</v>
      </c>
      <c r="E9861">
        <v>7</v>
      </c>
      <c r="F9861" t="str">
        <f>HYPERLINK("https://github.com/TeamNewPipe/NewPipe/issues/968", "show")</f>
        <v>show</v>
      </c>
      <c r="G9861" t="str">
        <f>HYPERLINK("https://github.com/TeamNewPipe/NewPipe", "show")</f>
        <v>show</v>
      </c>
      <c r="H9861" t="str">
        <f>HYPERLINK("https://github.com/TeamNewPipe/NewPipe/releases", "show")</f>
        <v>show</v>
      </c>
      <c r="I9861">
        <v>0</v>
      </c>
      <c r="J9861">
        <v>0</v>
      </c>
      <c r="K9861">
        <v>0</v>
      </c>
      <c r="L9861">
        <v>0</v>
      </c>
      <c r="M9861" t="s">
        <v>43</v>
      </c>
    </row>
    <row r="9862" spans="1:13" hidden="1" x14ac:dyDescent="0.15">
      <c r="A9862" t="s">
        <v>31039</v>
      </c>
      <c r="B9862" t="s">
        <v>31040</v>
      </c>
      <c r="C9862" t="s">
        <v>31041</v>
      </c>
      <c r="D9862" t="s">
        <v>31032</v>
      </c>
      <c r="E9862">
        <v>0</v>
      </c>
      <c r="F9862" t="str">
        <f>HYPERLINK("https://github.com/ikarus23/MifareClassicTool/issues/165", "show")</f>
        <v>show</v>
      </c>
      <c r="G9862" t="str">
        <f>HYPERLINK("https://github.com/ikarus23/MifareClassicTool", "show")</f>
        <v>show</v>
      </c>
      <c r="H9862" t="str">
        <f>HYPERLINK("https://github.com/ikarus23/MifareClassicTool/releases", "show")</f>
        <v>show</v>
      </c>
      <c r="I9862">
        <v>1</v>
      </c>
      <c r="J9862">
        <v>0</v>
      </c>
      <c r="K9862">
        <v>0</v>
      </c>
      <c r="L9862">
        <v>0</v>
      </c>
      <c r="M9862" t="s">
        <v>17</v>
      </c>
    </row>
    <row r="9863" spans="1:13" hidden="1" x14ac:dyDescent="0.15">
      <c r="A9863" t="s">
        <v>31042</v>
      </c>
      <c r="B9863" t="s">
        <v>31043</v>
      </c>
      <c r="C9863" t="s">
        <v>31044</v>
      </c>
      <c r="D9863" t="s">
        <v>31045</v>
      </c>
      <c r="E9863">
        <v>2</v>
      </c>
      <c r="F9863" t="str">
        <f>HYPERLINK("https://github.com/square/okhttp/issues/3761", "show")</f>
        <v>show</v>
      </c>
      <c r="G9863" t="str">
        <f>HYPERLINK("https://github.com/square/okhttp", "show")</f>
        <v>show</v>
      </c>
      <c r="H9863" t="str">
        <f>HYPERLINK("https://github.com/square/okhttp/releases", "show")</f>
        <v>show</v>
      </c>
      <c r="I9863">
        <v>1</v>
      </c>
      <c r="J9863">
        <v>0</v>
      </c>
      <c r="K9863">
        <v>1</v>
      </c>
      <c r="L9863">
        <v>0</v>
      </c>
      <c r="M9863" t="s">
        <v>64</v>
      </c>
    </row>
    <row r="9864" spans="1:13" hidden="1" x14ac:dyDescent="0.15">
      <c r="A9864" t="s">
        <v>31046</v>
      </c>
      <c r="B9864" t="s">
        <v>31047</v>
      </c>
      <c r="C9864" t="s">
        <v>31048</v>
      </c>
      <c r="D9864" t="s">
        <v>31045</v>
      </c>
      <c r="E9864">
        <v>4</v>
      </c>
      <c r="F9864" t="str">
        <f>HYPERLINK("https://github.com/TeamNewPipe/NewPipe/issues/963", "show")</f>
        <v>show</v>
      </c>
      <c r="G9864" t="str">
        <f>HYPERLINK("https://github.com/TeamNewPipe/NewPipe", "show")</f>
        <v>show</v>
      </c>
      <c r="H9864" t="str">
        <f>HYPERLINK("https://github.com/TeamNewPipe/NewPipe/releases", "show")</f>
        <v>show</v>
      </c>
      <c r="I9864">
        <v>1</v>
      </c>
      <c r="J9864">
        <v>0</v>
      </c>
      <c r="K9864">
        <v>0</v>
      </c>
      <c r="L9864">
        <v>0</v>
      </c>
      <c r="M9864" t="s">
        <v>17</v>
      </c>
    </row>
    <row r="9865" spans="1:13" hidden="1" x14ac:dyDescent="0.15">
      <c r="A9865" t="s">
        <v>31049</v>
      </c>
      <c r="B9865" t="s">
        <v>31050</v>
      </c>
      <c r="D9865" t="s">
        <v>31045</v>
      </c>
      <c r="E9865">
        <v>1</v>
      </c>
      <c r="F9865" t="str">
        <f>HYPERLINK("https://github.com/damienrochat/BikeTracks/issues/15", "show")</f>
        <v>show</v>
      </c>
      <c r="G9865" t="str">
        <f>HYPERLINK("https://github.com/damienrochat/BikeTracks", "show")</f>
        <v>show</v>
      </c>
      <c r="H9865" t="str">
        <f>HYPERLINK("https://github.com/damienrochat/BikeTracks/releases", "show")</f>
        <v>show</v>
      </c>
      <c r="I9865">
        <v>0</v>
      </c>
      <c r="J9865">
        <v>0</v>
      </c>
      <c r="K9865">
        <v>0</v>
      </c>
      <c r="L9865">
        <v>0</v>
      </c>
      <c r="M9865" t="s">
        <v>43</v>
      </c>
    </row>
    <row r="9866" spans="1:13" hidden="1" x14ac:dyDescent="0.15">
      <c r="A9866" t="s">
        <v>31051</v>
      </c>
      <c r="B9866" t="s">
        <v>31052</v>
      </c>
      <c r="C9866" t="s">
        <v>31053</v>
      </c>
      <c r="D9866" t="s">
        <v>31045</v>
      </c>
      <c r="E9866">
        <v>6</v>
      </c>
      <c r="F9866" t="str">
        <f>HYPERLINK("https://github.com/hold17/cphindustries/issues/50", "show")</f>
        <v>show</v>
      </c>
      <c r="G9866" t="str">
        <f>HYPERLINK("https://github.com/hold17/cphindustries", "show")</f>
        <v>show</v>
      </c>
      <c r="H9866" t="str">
        <f>HYPERLINK("https://github.com/hold17/cphindustries/releases", "show")</f>
        <v>show</v>
      </c>
      <c r="I9866">
        <v>1</v>
      </c>
      <c r="J9866">
        <v>0</v>
      </c>
      <c r="K9866">
        <v>0</v>
      </c>
      <c r="L9866">
        <v>0</v>
      </c>
      <c r="M9866" t="s">
        <v>17</v>
      </c>
    </row>
    <row r="9867" spans="1:13" hidden="1" x14ac:dyDescent="0.15">
      <c r="A9867" t="s">
        <v>31054</v>
      </c>
      <c r="B9867" t="s">
        <v>31055</v>
      </c>
      <c r="C9867" t="s">
        <v>31056</v>
      </c>
      <c r="D9867" t="s">
        <v>31045</v>
      </c>
      <c r="E9867">
        <v>6</v>
      </c>
      <c r="F9867" t="str">
        <f>HYPERLINK("https://github.com/openMF/Fineract-CN-mobile/issues/171", "show")</f>
        <v>show</v>
      </c>
      <c r="G9867" t="str">
        <f>HYPERLINK("https://github.com/openMF/Fineract-CN-mobile", "show")</f>
        <v>show</v>
      </c>
      <c r="H9867" t="str">
        <f>HYPERLINK("https://github.com/openMF/Fineract-CN-mobile/releases", "show")</f>
        <v>show</v>
      </c>
      <c r="I9867">
        <v>1</v>
      </c>
      <c r="J9867">
        <v>0</v>
      </c>
      <c r="K9867">
        <v>0</v>
      </c>
      <c r="L9867">
        <v>1</v>
      </c>
      <c r="M9867" t="s">
        <v>29</v>
      </c>
    </row>
    <row r="9868" spans="1:13" hidden="1" x14ac:dyDescent="0.15">
      <c r="A9868" t="s">
        <v>31057</v>
      </c>
      <c r="B9868" t="s">
        <v>31058</v>
      </c>
      <c r="C9868" t="s">
        <v>31059</v>
      </c>
      <c r="D9868" t="s">
        <v>31045</v>
      </c>
      <c r="E9868">
        <v>378</v>
      </c>
      <c r="F9868" t="str">
        <f>HYPERLINK("https://github.com/google/ExoPlayer/issues/3670", "show")</f>
        <v>show</v>
      </c>
      <c r="G9868" t="str">
        <f>HYPERLINK("https://github.com/google/ExoPlayer", "show")</f>
        <v>show</v>
      </c>
      <c r="H9868" t="str">
        <f>HYPERLINK("https://github.com/google/ExoPlayer/releases", "show")</f>
        <v>show</v>
      </c>
      <c r="I9868">
        <v>1</v>
      </c>
      <c r="J9868">
        <v>0</v>
      </c>
      <c r="K9868">
        <v>0</v>
      </c>
      <c r="L9868">
        <v>0</v>
      </c>
      <c r="M9868" t="s">
        <v>17</v>
      </c>
    </row>
    <row r="9869" spans="1:13" hidden="1" x14ac:dyDescent="0.15">
      <c r="A9869" t="s">
        <v>31060</v>
      </c>
      <c r="B9869" t="s">
        <v>31061</v>
      </c>
      <c r="C9869" t="s">
        <v>31062</v>
      </c>
      <c r="D9869" t="s">
        <v>31045</v>
      </c>
      <c r="E9869">
        <v>0</v>
      </c>
      <c r="F9869" t="str">
        <f>HYPERLINK("https://github.com/michael-rapp/AndroidMaterialValidation/issues/3", "show")</f>
        <v>show</v>
      </c>
      <c r="G9869" t="str">
        <f>HYPERLINK("https://github.com/michael-rapp/AndroidMaterialValidation", "show")</f>
        <v>show</v>
      </c>
      <c r="H9869" t="str">
        <f>HYPERLINK("https://github.com/michael-rapp/AndroidMaterialValidation/releases", "show")</f>
        <v>show</v>
      </c>
      <c r="I9869">
        <v>1</v>
      </c>
      <c r="J9869">
        <v>0</v>
      </c>
      <c r="K9869">
        <v>1</v>
      </c>
      <c r="L9869">
        <v>0</v>
      </c>
      <c r="M9869" t="s">
        <v>64</v>
      </c>
    </row>
    <row r="9870" spans="1:13" hidden="1" x14ac:dyDescent="0.15">
      <c r="A9870" t="s">
        <v>31063</v>
      </c>
      <c r="B9870" t="s">
        <v>31064</v>
      </c>
      <c r="C9870" t="s">
        <v>31065</v>
      </c>
      <c r="D9870" t="s">
        <v>31045</v>
      </c>
      <c r="E9870">
        <v>2</v>
      </c>
      <c r="F9870" t="str">
        <f>HYPERLINK("https://github.com/Menighin/ZenSource/issues/8", "show")</f>
        <v>show</v>
      </c>
      <c r="G9870" t="str">
        <f>HYPERLINK("https://github.com/Menighin/ZenSource", "show")</f>
        <v>show</v>
      </c>
      <c r="H9870" t="str">
        <f>HYPERLINK("https://github.com/Menighin/ZenSource/releases", "show")</f>
        <v>show</v>
      </c>
      <c r="I9870">
        <v>1</v>
      </c>
      <c r="J9870">
        <v>0</v>
      </c>
      <c r="K9870">
        <v>0</v>
      </c>
      <c r="L9870">
        <v>0</v>
      </c>
      <c r="M9870" t="s">
        <v>17</v>
      </c>
    </row>
    <row r="9871" spans="1:13" x14ac:dyDescent="0.15">
      <c r="A9871" t="s">
        <v>31066</v>
      </c>
      <c r="B9871" t="s">
        <v>31067</v>
      </c>
      <c r="C9871" t="s">
        <v>31068</v>
      </c>
      <c r="D9871" t="s">
        <v>31069</v>
      </c>
      <c r="E9871">
        <v>0</v>
      </c>
      <c r="F9871" t="str">
        <f>HYPERLINK("https://github.com/hold17/cphindustries/issues/44", "show")</f>
        <v>show</v>
      </c>
      <c r="G9871" t="str">
        <f>HYPERLINK("https://github.com/hold17/cphindustries", "show")</f>
        <v>show</v>
      </c>
      <c r="H9871" t="str">
        <f>HYPERLINK("https://github.com/hold17/cphindustries/releases", "show")</f>
        <v>show</v>
      </c>
      <c r="I9871">
        <v>0</v>
      </c>
      <c r="J9871">
        <v>1</v>
      </c>
      <c r="K9871">
        <v>0</v>
      </c>
      <c r="L9871">
        <v>0</v>
      </c>
      <c r="M9871" t="s">
        <v>139</v>
      </c>
    </row>
    <row r="9872" spans="1:13" hidden="1" x14ac:dyDescent="0.15">
      <c r="A9872" t="s">
        <v>31070</v>
      </c>
      <c r="B9872" t="s">
        <v>31071</v>
      </c>
      <c r="C9872" t="s">
        <v>31072</v>
      </c>
      <c r="D9872" t="s">
        <v>31069</v>
      </c>
      <c r="E9872">
        <v>1</v>
      </c>
      <c r="F9872" t="str">
        <f>HYPERLINK("https://github.com/pinballmap/pbm-android/issues/183", "show")</f>
        <v>show</v>
      </c>
      <c r="G9872" t="str">
        <f>HYPERLINK("https://github.com/pinballmap/pbm-android", "show")</f>
        <v>show</v>
      </c>
      <c r="H9872" t="str">
        <f>HYPERLINK("https://github.com/pinballmap/pbm-android/releases", "show")</f>
        <v>show</v>
      </c>
      <c r="I9872">
        <v>1</v>
      </c>
      <c r="J9872">
        <v>0</v>
      </c>
      <c r="K9872">
        <v>0</v>
      </c>
      <c r="L9872">
        <v>0</v>
      </c>
      <c r="M9872" t="s">
        <v>17</v>
      </c>
    </row>
    <row r="9873" spans="1:13" hidden="1" x14ac:dyDescent="0.15">
      <c r="A9873" t="s">
        <v>31073</v>
      </c>
      <c r="B9873" t="s">
        <v>31074</v>
      </c>
      <c r="C9873" t="s">
        <v>31075</v>
      </c>
      <c r="D9873" t="s">
        <v>31076</v>
      </c>
      <c r="E9873">
        <v>416</v>
      </c>
      <c r="F9873" t="str">
        <f>HYPERLINK("https://github.com/fabian7593/MagicalCamera/issues/36", "show")</f>
        <v>show</v>
      </c>
      <c r="G9873" t="str">
        <f>HYPERLINK("https://github.com/fabian7593/MagicalCamera", "show")</f>
        <v>show</v>
      </c>
      <c r="H9873" t="str">
        <f>HYPERLINK("https://github.com/fabian7593/MagicalCamera/releases", "show")</f>
        <v>show</v>
      </c>
      <c r="I9873">
        <v>0</v>
      </c>
      <c r="J9873">
        <v>0</v>
      </c>
      <c r="K9873">
        <v>1</v>
      </c>
      <c r="L9873">
        <v>0</v>
      </c>
      <c r="M9873" t="s">
        <v>122</v>
      </c>
    </row>
    <row r="9874" spans="1:13" hidden="1" x14ac:dyDescent="0.15">
      <c r="A9874" t="s">
        <v>31077</v>
      </c>
      <c r="B9874" t="s">
        <v>31078</v>
      </c>
      <c r="C9874" t="s">
        <v>31079</v>
      </c>
      <c r="D9874" t="s">
        <v>31076</v>
      </c>
      <c r="E9874">
        <v>5</v>
      </c>
      <c r="F9874" t="str">
        <f>HYPERLINK("https://github.com/mit-cml/appinventor-sources/issues/1105", "show")</f>
        <v>show</v>
      </c>
      <c r="G9874" t="str">
        <f>HYPERLINK("https://github.com/mit-cml/appinventor-sources", "show")</f>
        <v>show</v>
      </c>
      <c r="H9874" t="str">
        <f>HYPERLINK("https://github.com/mit-cml/appinventor-sources/releases", "show")</f>
        <v>show</v>
      </c>
      <c r="I9874">
        <v>1</v>
      </c>
      <c r="J9874">
        <v>0</v>
      </c>
      <c r="K9874">
        <v>0</v>
      </c>
      <c r="L9874">
        <v>0</v>
      </c>
      <c r="M9874" t="s">
        <v>17</v>
      </c>
    </row>
    <row r="9875" spans="1:13" hidden="1" x14ac:dyDescent="0.15">
      <c r="A9875" t="s">
        <v>31080</v>
      </c>
      <c r="B9875" t="s">
        <v>31081</v>
      </c>
      <c r="C9875" t="s">
        <v>31082</v>
      </c>
      <c r="D9875" t="s">
        <v>31076</v>
      </c>
      <c r="E9875">
        <v>8</v>
      </c>
      <c r="F9875" t="str">
        <f>HYPERLINK("https://github.com/nextcloud/android/issues/1918", "show")</f>
        <v>show</v>
      </c>
      <c r="G9875" t="str">
        <f>HYPERLINK("https://github.com/nextcloud/android", "show")</f>
        <v>show</v>
      </c>
      <c r="H9875" t="str">
        <f>HYPERLINK("https://github.com/nextcloud/android/releases", "show")</f>
        <v>show</v>
      </c>
      <c r="I9875">
        <v>1</v>
      </c>
      <c r="J9875">
        <v>1</v>
      </c>
      <c r="K9875">
        <v>0</v>
      </c>
      <c r="L9875">
        <v>0</v>
      </c>
      <c r="M9875" t="s">
        <v>48</v>
      </c>
    </row>
    <row r="9876" spans="1:13" hidden="1" x14ac:dyDescent="0.15">
      <c r="A9876" t="s">
        <v>31083</v>
      </c>
      <c r="B9876" t="s">
        <v>31084</v>
      </c>
      <c r="C9876" t="s">
        <v>31085</v>
      </c>
      <c r="D9876" t="s">
        <v>31086</v>
      </c>
      <c r="E9876">
        <v>1</v>
      </c>
      <c r="F9876" t="str">
        <f>HYPERLINK("https://github.com/hzi-braunschweig/SORMAS-Project/issues/455", "show")</f>
        <v>show</v>
      </c>
      <c r="G9876" t="str">
        <f>HYPERLINK("https://github.com/hzi-braunschweig/SORMAS-Project", "show")</f>
        <v>show</v>
      </c>
      <c r="H9876" t="str">
        <f>HYPERLINK("https://github.com/hzi-braunschweig/SORMAS-Project/releases", "show")</f>
        <v>show</v>
      </c>
      <c r="I9876">
        <v>0</v>
      </c>
      <c r="J9876">
        <v>0</v>
      </c>
      <c r="K9876">
        <v>0</v>
      </c>
      <c r="L9876">
        <v>0</v>
      </c>
      <c r="M9876" t="s">
        <v>43</v>
      </c>
    </row>
    <row r="9877" spans="1:13" hidden="1" x14ac:dyDescent="0.15">
      <c r="A9877" t="s">
        <v>31087</v>
      </c>
      <c r="B9877" t="s">
        <v>31088</v>
      </c>
      <c r="C9877" t="s">
        <v>31089</v>
      </c>
      <c r="D9877" t="s">
        <v>31086</v>
      </c>
      <c r="E9877">
        <v>0</v>
      </c>
      <c r="F9877" t="str">
        <f>HYPERLINK("https://github.com/fenimore/DemocracyDroid/issues/43", "show")</f>
        <v>show</v>
      </c>
      <c r="G9877" t="str">
        <f>HYPERLINK("https://github.com/fenimore/DemocracyDroid", "show")</f>
        <v>show</v>
      </c>
      <c r="H9877" t="str">
        <f>HYPERLINK("https://github.com/fenimore/DemocracyDroid/releases", "show")</f>
        <v>show</v>
      </c>
      <c r="I9877">
        <v>1</v>
      </c>
      <c r="J9877">
        <v>0</v>
      </c>
      <c r="K9877">
        <v>0</v>
      </c>
      <c r="L9877">
        <v>0</v>
      </c>
      <c r="M9877" t="s">
        <v>17</v>
      </c>
    </row>
    <row r="9878" spans="1:13" hidden="1" x14ac:dyDescent="0.15">
      <c r="A9878" t="s">
        <v>31090</v>
      </c>
      <c r="B9878" t="s">
        <v>31091</v>
      </c>
      <c r="C9878" t="s">
        <v>31092</v>
      </c>
      <c r="D9878" t="s">
        <v>31086</v>
      </c>
      <c r="E9878">
        <v>0</v>
      </c>
      <c r="F9878" t="str">
        <f>HYPERLINK("https://github.com/garysheppardjr/geodev-dc-labs/issues/140", "show")</f>
        <v>show</v>
      </c>
      <c r="G9878" t="str">
        <f>HYPERLINK("https://github.com/garysheppardjr/geodev-dc-labs", "show")</f>
        <v>show</v>
      </c>
      <c r="H9878" t="str">
        <f>HYPERLINK("https://github.com/garysheppardjr/geodev-dc-labs/releases", "show")</f>
        <v>show</v>
      </c>
      <c r="I9878">
        <v>1</v>
      </c>
      <c r="J9878">
        <v>0</v>
      </c>
      <c r="K9878">
        <v>0</v>
      </c>
      <c r="L9878">
        <v>0</v>
      </c>
      <c r="M9878" t="s">
        <v>17</v>
      </c>
    </row>
    <row r="9879" spans="1:13" hidden="1" x14ac:dyDescent="0.15">
      <c r="A9879" t="s">
        <v>31093</v>
      </c>
      <c r="B9879" t="s">
        <v>31094</v>
      </c>
      <c r="C9879" t="s">
        <v>31095</v>
      </c>
      <c r="D9879" t="s">
        <v>31096</v>
      </c>
      <c r="E9879">
        <v>397</v>
      </c>
      <c r="F9879" t="str">
        <f>HYPERLINK("https://github.com/MCMrARM/revolution-irc/issues/74", "show")</f>
        <v>show</v>
      </c>
      <c r="G9879" t="str">
        <f>HYPERLINK("https://github.com/MCMrARM/revolution-irc", "show")</f>
        <v>show</v>
      </c>
      <c r="H9879" t="str">
        <f>HYPERLINK("https://github.com/MCMrARM/revolution-irc/releases", "show")</f>
        <v>show</v>
      </c>
      <c r="I9879">
        <v>1</v>
      </c>
      <c r="J9879">
        <v>0</v>
      </c>
      <c r="K9879">
        <v>0</v>
      </c>
      <c r="L9879">
        <v>0</v>
      </c>
      <c r="M9879" t="s">
        <v>17</v>
      </c>
    </row>
    <row r="9880" spans="1:13" hidden="1" x14ac:dyDescent="0.15">
      <c r="A9880" t="s">
        <v>31097</v>
      </c>
      <c r="B9880" t="s">
        <v>31098</v>
      </c>
      <c r="C9880" t="s">
        <v>31099</v>
      </c>
      <c r="D9880" t="s">
        <v>31096</v>
      </c>
      <c r="E9880">
        <v>62</v>
      </c>
      <c r="F9880" t="str">
        <f>HYPERLINK("https://github.com/guardianproject/haven/issues/175", "show")</f>
        <v>show</v>
      </c>
      <c r="G9880" t="str">
        <f>HYPERLINK("https://github.com/guardianproject/haven", "show")</f>
        <v>show</v>
      </c>
      <c r="H9880" t="str">
        <f>HYPERLINK("https://github.com/guardianproject/haven/releases", "show")</f>
        <v>show</v>
      </c>
      <c r="I9880">
        <v>0</v>
      </c>
      <c r="J9880">
        <v>0</v>
      </c>
      <c r="K9880">
        <v>0</v>
      </c>
      <c r="L9880">
        <v>0</v>
      </c>
      <c r="M9880" t="s">
        <v>43</v>
      </c>
    </row>
    <row r="9881" spans="1:13" hidden="1" x14ac:dyDescent="0.15">
      <c r="A9881" t="s">
        <v>31100</v>
      </c>
      <c r="B9881" t="s">
        <v>31101</v>
      </c>
      <c r="C9881" t="s">
        <v>31102</v>
      </c>
      <c r="D9881" t="s">
        <v>31103</v>
      </c>
      <c r="E9881">
        <v>0</v>
      </c>
      <c r="F9881" t="str">
        <f>HYPERLINK("https://github.com/Aliucord/Aliucord/issues/389", "show")</f>
        <v>show</v>
      </c>
      <c r="G9881" t="str">
        <f>HYPERLINK("https://github.com/Aliucord/Aliucord", "show")</f>
        <v>show</v>
      </c>
      <c r="H9881" t="str">
        <f>HYPERLINK("https://github.com/Aliucord/Aliucord/releases", "show")</f>
        <v>show</v>
      </c>
      <c r="I9881">
        <v>1</v>
      </c>
      <c r="J9881">
        <v>0</v>
      </c>
      <c r="K9881">
        <v>1</v>
      </c>
      <c r="L9881">
        <v>0</v>
      </c>
      <c r="M9881" t="s">
        <v>64</v>
      </c>
    </row>
    <row r="9882" spans="1:13" hidden="1" x14ac:dyDescent="0.15">
      <c r="A9882" t="s">
        <v>31104</v>
      </c>
      <c r="B9882" t="s">
        <v>31105</v>
      </c>
      <c r="C9882" t="s">
        <v>31106</v>
      </c>
      <c r="D9882" t="s">
        <v>31107</v>
      </c>
      <c r="E9882">
        <v>1</v>
      </c>
      <c r="F9882" t="str">
        <f>HYPERLINK("https://github.com/AndroidIDEOfficial/AndroidIDE/issues/1384", "show")</f>
        <v>show</v>
      </c>
      <c r="G9882" t="str">
        <f>HYPERLINK("https://github.com/AndroidIDEOfficial/AndroidIDE", "show")</f>
        <v>show</v>
      </c>
      <c r="H9882" t="str">
        <f>HYPERLINK("https://github.com/AndroidIDEOfficial/AndroidIDE/releases", "show")</f>
        <v>show</v>
      </c>
      <c r="I9882">
        <v>0</v>
      </c>
      <c r="J9882">
        <v>0</v>
      </c>
      <c r="K9882">
        <v>1</v>
      </c>
      <c r="L9882">
        <v>0</v>
      </c>
      <c r="M9882" t="s">
        <v>122</v>
      </c>
    </row>
    <row r="9883" spans="1:13" x14ac:dyDescent="0.15">
      <c r="A9883" t="s">
        <v>31108</v>
      </c>
      <c r="B9883" t="s">
        <v>31109</v>
      </c>
      <c r="C9883" t="s">
        <v>31110</v>
      </c>
      <c r="D9883" t="s">
        <v>31107</v>
      </c>
      <c r="E9883">
        <v>0</v>
      </c>
      <c r="F9883" t="str">
        <f>HYPERLINK("https://github.com/Anuken/Mindustry/issues/9172", "show")</f>
        <v>show</v>
      </c>
      <c r="G9883" t="str">
        <f>HYPERLINK("https://github.com/Anuken/Mindustry", "show")</f>
        <v>show</v>
      </c>
      <c r="H9883" t="str">
        <f>HYPERLINK("https://github.com/Anuken/Mindustry/releases", "show")</f>
        <v>show</v>
      </c>
      <c r="I9883">
        <v>0</v>
      </c>
      <c r="J9883">
        <v>1</v>
      </c>
      <c r="K9883">
        <v>0</v>
      </c>
      <c r="L9883">
        <v>0</v>
      </c>
      <c r="M9883" t="s">
        <v>139</v>
      </c>
    </row>
    <row r="9884" spans="1:13" hidden="1" x14ac:dyDescent="0.15">
      <c r="A9884" t="s">
        <v>31111</v>
      </c>
      <c r="B9884" t="s">
        <v>31112</v>
      </c>
      <c r="C9884" t="s">
        <v>31113</v>
      </c>
      <c r="D9884" t="s">
        <v>31114</v>
      </c>
      <c r="E9884">
        <v>1</v>
      </c>
      <c r="F9884" t="str">
        <f>HYPERLINK("https://github.com/VinylMusicPlayer/VinylMusicPlayer/issues/808", "show")</f>
        <v>show</v>
      </c>
      <c r="G9884" t="str">
        <f t="shared" ref="G9884:G9889" si="36">HYPERLINK("https://github.com/VinylMusicPlayer/VinylMusicPlayer", "show")</f>
        <v>show</v>
      </c>
      <c r="H9884" t="str">
        <f t="shared" ref="H9884:H9889" si="37">HYPERLINK("https://github.com/VinylMusicPlayer/VinylMusicPlayer/releases", "show")</f>
        <v>show</v>
      </c>
      <c r="I9884">
        <v>0</v>
      </c>
      <c r="J9884">
        <v>0</v>
      </c>
      <c r="K9884">
        <v>0</v>
      </c>
      <c r="L9884">
        <v>0</v>
      </c>
      <c r="M9884" t="s">
        <v>43</v>
      </c>
    </row>
    <row r="9885" spans="1:13" hidden="1" x14ac:dyDescent="0.15">
      <c r="A9885" t="s">
        <v>31115</v>
      </c>
      <c r="B9885" t="s">
        <v>31116</v>
      </c>
      <c r="C9885" t="s">
        <v>31117</v>
      </c>
      <c r="D9885" t="s">
        <v>31114</v>
      </c>
      <c r="E9885">
        <v>0</v>
      </c>
      <c r="F9885" t="str">
        <f>HYPERLINK("https://github.com/VinylMusicPlayer/VinylMusicPlayer/issues/805", "show")</f>
        <v>show</v>
      </c>
      <c r="G9885" t="str">
        <f t="shared" si="36"/>
        <v>show</v>
      </c>
      <c r="H9885" t="str">
        <f t="shared" si="37"/>
        <v>show</v>
      </c>
      <c r="I9885">
        <v>1</v>
      </c>
      <c r="J9885">
        <v>1</v>
      </c>
      <c r="K9885">
        <v>1</v>
      </c>
      <c r="L9885">
        <v>0</v>
      </c>
      <c r="M9885" t="s">
        <v>59</v>
      </c>
    </row>
    <row r="9886" spans="1:13" hidden="1" x14ac:dyDescent="0.15">
      <c r="A9886" t="s">
        <v>31118</v>
      </c>
      <c r="B9886" t="s">
        <v>31119</v>
      </c>
      <c r="C9886" t="s">
        <v>31120</v>
      </c>
      <c r="D9886" t="s">
        <v>31121</v>
      </c>
      <c r="E9886">
        <v>0</v>
      </c>
      <c r="F9886" t="str">
        <f>HYPERLINK("https://github.com/VinylMusicPlayer/VinylMusicPlayer/issues/803", "show")</f>
        <v>show</v>
      </c>
      <c r="G9886" t="str">
        <f t="shared" si="36"/>
        <v>show</v>
      </c>
      <c r="H9886" t="str">
        <f t="shared" si="37"/>
        <v>show</v>
      </c>
      <c r="I9886">
        <v>1</v>
      </c>
      <c r="J9886">
        <v>0</v>
      </c>
      <c r="K9886">
        <v>1</v>
      </c>
      <c r="L9886">
        <v>0</v>
      </c>
      <c r="M9886" t="s">
        <v>64</v>
      </c>
    </row>
    <row r="9887" spans="1:13" hidden="1" x14ac:dyDescent="0.15">
      <c r="A9887" t="s">
        <v>31122</v>
      </c>
      <c r="B9887" t="s">
        <v>31123</v>
      </c>
      <c r="C9887" t="s">
        <v>31124</v>
      </c>
      <c r="D9887" t="s">
        <v>31121</v>
      </c>
      <c r="E9887">
        <v>2</v>
      </c>
      <c r="F9887" t="str">
        <f>HYPERLINK("https://github.com/VinylMusicPlayer/VinylMusicPlayer/issues/802", "show")</f>
        <v>show</v>
      </c>
      <c r="G9887" t="str">
        <f t="shared" si="36"/>
        <v>show</v>
      </c>
      <c r="H9887" t="str">
        <f t="shared" si="37"/>
        <v>show</v>
      </c>
      <c r="I9887">
        <v>1</v>
      </c>
      <c r="J9887">
        <v>0</v>
      </c>
      <c r="K9887">
        <v>1</v>
      </c>
      <c r="L9887">
        <v>0</v>
      </c>
      <c r="M9887" t="s">
        <v>64</v>
      </c>
    </row>
    <row r="9888" spans="1:13" hidden="1" x14ac:dyDescent="0.15">
      <c r="A9888" t="s">
        <v>31125</v>
      </c>
      <c r="B9888" t="s">
        <v>31126</v>
      </c>
      <c r="C9888" t="s">
        <v>31127</v>
      </c>
      <c r="D9888" t="s">
        <v>31121</v>
      </c>
      <c r="E9888">
        <v>0</v>
      </c>
      <c r="F9888" t="str">
        <f>HYPERLINK("https://github.com/VinylMusicPlayer/VinylMusicPlayer/issues/794", "show")</f>
        <v>show</v>
      </c>
      <c r="G9888" t="str">
        <f t="shared" si="36"/>
        <v>show</v>
      </c>
      <c r="H9888" t="str">
        <f t="shared" si="37"/>
        <v>show</v>
      </c>
      <c r="I9888">
        <v>1</v>
      </c>
      <c r="J9888">
        <v>1</v>
      </c>
      <c r="K9888">
        <v>1</v>
      </c>
      <c r="L9888">
        <v>0</v>
      </c>
      <c r="M9888" t="s">
        <v>59</v>
      </c>
    </row>
    <row r="9889" spans="1:13" hidden="1" x14ac:dyDescent="0.15">
      <c r="A9889" t="s">
        <v>31128</v>
      </c>
      <c r="B9889" t="s">
        <v>31129</v>
      </c>
      <c r="C9889" t="s">
        <v>31130</v>
      </c>
      <c r="D9889" t="s">
        <v>31121</v>
      </c>
      <c r="E9889">
        <v>0</v>
      </c>
      <c r="F9889" t="str">
        <f>HYPERLINK("https://github.com/VinylMusicPlayer/VinylMusicPlayer/issues/793", "show")</f>
        <v>show</v>
      </c>
      <c r="G9889" t="str">
        <f t="shared" si="36"/>
        <v>show</v>
      </c>
      <c r="H9889" t="str">
        <f t="shared" si="37"/>
        <v>show</v>
      </c>
      <c r="I9889">
        <v>0</v>
      </c>
      <c r="J9889">
        <v>0</v>
      </c>
      <c r="K9889">
        <v>0</v>
      </c>
      <c r="L9889">
        <v>0</v>
      </c>
      <c r="M9889" t="s">
        <v>43</v>
      </c>
    </row>
    <row r="9890" spans="1:13" hidden="1" x14ac:dyDescent="0.15">
      <c r="A9890" t="s">
        <v>31131</v>
      </c>
      <c r="B9890" t="s">
        <v>31132</v>
      </c>
      <c r="C9890" t="s">
        <v>31133</v>
      </c>
      <c r="D9890" t="s">
        <v>31121</v>
      </c>
      <c r="E9890">
        <v>0</v>
      </c>
      <c r="F9890" t="str">
        <f>HYPERLINK("https://github.com/PojavLauncherTeam/PojavLauncher/issues/4729", "show")</f>
        <v>show</v>
      </c>
      <c r="G9890" t="str">
        <f>HYPERLINK("https://github.com/PojavLauncherTeam/PojavLauncher", "show")</f>
        <v>show</v>
      </c>
      <c r="H9890" t="str">
        <f>HYPERLINK("https://github.com/PojavLauncherTeam/PojavLauncher/releases", "show")</f>
        <v>show</v>
      </c>
      <c r="I9890">
        <v>1</v>
      </c>
      <c r="J9890">
        <v>0</v>
      </c>
      <c r="K9890">
        <v>0</v>
      </c>
      <c r="L9890">
        <v>0</v>
      </c>
      <c r="M9890" t="s">
        <v>17</v>
      </c>
    </row>
    <row r="9891" spans="1:13" hidden="1" x14ac:dyDescent="0.15">
      <c r="A9891" t="s">
        <v>31134</v>
      </c>
      <c r="B9891" t="s">
        <v>31135</v>
      </c>
      <c r="C9891" t="s">
        <v>31136</v>
      </c>
      <c r="D9891" t="s">
        <v>31121</v>
      </c>
      <c r="E9891">
        <v>0</v>
      </c>
      <c r="F9891" t="str">
        <f>HYPERLINK("https://github.com/PojavLauncherTeam/PojavLauncher/issues/4728", "show")</f>
        <v>show</v>
      </c>
      <c r="G9891" t="str">
        <f>HYPERLINK("https://github.com/PojavLauncherTeam/PojavLauncher", "show")</f>
        <v>show</v>
      </c>
      <c r="H9891" t="str">
        <f>HYPERLINK("https://github.com/PojavLauncherTeam/PojavLauncher/releases", "show")</f>
        <v>show</v>
      </c>
      <c r="I9891">
        <v>1</v>
      </c>
      <c r="J9891">
        <v>1</v>
      </c>
      <c r="K9891">
        <v>0</v>
      </c>
      <c r="L9891">
        <v>0</v>
      </c>
      <c r="M9891" t="s">
        <v>48</v>
      </c>
    </row>
    <row r="9892" spans="1:13" hidden="1" x14ac:dyDescent="0.15">
      <c r="A9892" t="s">
        <v>31137</v>
      </c>
      <c r="B9892" t="s">
        <v>31138</v>
      </c>
      <c r="C9892" t="s">
        <v>31139</v>
      </c>
      <c r="D9892" t="s">
        <v>31140</v>
      </c>
      <c r="E9892">
        <v>1</v>
      </c>
      <c r="F9892" t="str">
        <f>HYPERLINK("https://github.com/Anuken/Mindustry/issues/9159", "show")</f>
        <v>show</v>
      </c>
      <c r="G9892" t="str">
        <f>HYPERLINK("https://github.com/Anuken/Mindustry", "show")</f>
        <v>show</v>
      </c>
      <c r="H9892" t="str">
        <f>HYPERLINK("https://github.com/Anuken/Mindustry/releases", "show")</f>
        <v>show</v>
      </c>
      <c r="I9892">
        <v>0</v>
      </c>
      <c r="J9892">
        <v>0</v>
      </c>
      <c r="K9892">
        <v>0</v>
      </c>
      <c r="L9892">
        <v>0</v>
      </c>
      <c r="M9892" t="s">
        <v>43</v>
      </c>
    </row>
    <row r="9893" spans="1:13" hidden="1" x14ac:dyDescent="0.15">
      <c r="A9893" t="s">
        <v>31141</v>
      </c>
      <c r="B9893" t="s">
        <v>31142</v>
      </c>
      <c r="C9893" t="s">
        <v>31143</v>
      </c>
      <c r="D9893" t="s">
        <v>31140</v>
      </c>
      <c r="E9893">
        <v>0</v>
      </c>
      <c r="F9893" t="str">
        <f>HYPERLINK("https://github.com/deltachat/deltachat-android/issues/2742", "show")</f>
        <v>show</v>
      </c>
      <c r="G9893" t="str">
        <f>HYPERLINK("https://github.com/deltachat/deltachat-android", "show")</f>
        <v>show</v>
      </c>
      <c r="H9893" t="str">
        <f>HYPERLINK("https://github.com/deltachat/deltachat-android/releases", "show")</f>
        <v>show</v>
      </c>
      <c r="I9893">
        <v>0</v>
      </c>
      <c r="J9893">
        <v>0</v>
      </c>
      <c r="K9893">
        <v>1</v>
      </c>
      <c r="L9893">
        <v>0</v>
      </c>
      <c r="M9893" t="s">
        <v>122</v>
      </c>
    </row>
    <row r="9894" spans="1:13" hidden="1" x14ac:dyDescent="0.15">
      <c r="A9894" t="s">
        <v>31144</v>
      </c>
      <c r="B9894" t="s">
        <v>31145</v>
      </c>
      <c r="C9894" t="s">
        <v>31146</v>
      </c>
      <c r="D9894" t="s">
        <v>31140</v>
      </c>
      <c r="E9894">
        <v>1</v>
      </c>
      <c r="F9894" t="str">
        <f>HYPERLINK("https://github.com/VinylMusicPlayer/VinylMusicPlayer/issues/787", "show")</f>
        <v>show</v>
      </c>
      <c r="G9894" t="str">
        <f>HYPERLINK("https://github.com/VinylMusicPlayer/VinylMusicPlayer", "show")</f>
        <v>show</v>
      </c>
      <c r="H9894" t="str">
        <f>HYPERLINK("https://github.com/VinylMusicPlayer/VinylMusicPlayer/releases", "show")</f>
        <v>show</v>
      </c>
      <c r="I9894">
        <v>1</v>
      </c>
      <c r="J9894">
        <v>1</v>
      </c>
      <c r="K9894">
        <v>0</v>
      </c>
      <c r="L9894">
        <v>0</v>
      </c>
      <c r="M9894" t="s">
        <v>48</v>
      </c>
    </row>
    <row r="9895" spans="1:13" hidden="1" x14ac:dyDescent="0.15">
      <c r="A9895" t="s">
        <v>31147</v>
      </c>
      <c r="B9895" t="s">
        <v>31148</v>
      </c>
      <c r="C9895" t="s">
        <v>31149</v>
      </c>
      <c r="D9895" t="s">
        <v>31140</v>
      </c>
      <c r="E9895">
        <v>0</v>
      </c>
      <c r="F9895" t="str">
        <f>HYPERLINK("https://github.com/VinylMusicPlayer/VinylMusicPlayer/issues/786", "show")</f>
        <v>show</v>
      </c>
      <c r="G9895" t="str">
        <f>HYPERLINK("https://github.com/VinylMusicPlayer/VinylMusicPlayer", "show")</f>
        <v>show</v>
      </c>
      <c r="H9895" t="str">
        <f>HYPERLINK("https://github.com/VinylMusicPlayer/VinylMusicPlayer/releases", "show")</f>
        <v>show</v>
      </c>
      <c r="I9895">
        <v>1</v>
      </c>
      <c r="J9895">
        <v>0</v>
      </c>
      <c r="K9895">
        <v>0</v>
      </c>
      <c r="L9895">
        <v>0</v>
      </c>
      <c r="M9895" t="s">
        <v>17</v>
      </c>
    </row>
    <row r="9896" spans="1:13" hidden="1" x14ac:dyDescent="0.15">
      <c r="A9896" t="s">
        <v>31150</v>
      </c>
      <c r="B9896" t="s">
        <v>31151</v>
      </c>
      <c r="C9896" t="s">
        <v>31152</v>
      </c>
      <c r="D9896" t="s">
        <v>31153</v>
      </c>
      <c r="E9896">
        <v>0</v>
      </c>
      <c r="F9896" t="str">
        <f>HYPERLINK("https://github.com/PojavLauncherTeam/PojavLauncher/issues/4726", "show")</f>
        <v>show</v>
      </c>
      <c r="G9896" t="str">
        <f>HYPERLINK("https://github.com/PojavLauncherTeam/PojavLauncher", "show")</f>
        <v>show</v>
      </c>
      <c r="H9896" t="str">
        <f>HYPERLINK("https://github.com/PojavLauncherTeam/PojavLauncher/releases", "show")</f>
        <v>show</v>
      </c>
      <c r="I9896">
        <v>0</v>
      </c>
      <c r="J9896">
        <v>0</v>
      </c>
      <c r="K9896">
        <v>1</v>
      </c>
      <c r="L9896">
        <v>0</v>
      </c>
      <c r="M9896" t="s">
        <v>122</v>
      </c>
    </row>
    <row r="9897" spans="1:13" hidden="1" x14ac:dyDescent="0.15">
      <c r="A9897" t="s">
        <v>31154</v>
      </c>
      <c r="B9897" t="s">
        <v>31155</v>
      </c>
      <c r="C9897" t="s">
        <v>31156</v>
      </c>
      <c r="D9897" t="s">
        <v>31153</v>
      </c>
      <c r="E9897">
        <v>1</v>
      </c>
      <c r="F9897" t="str">
        <f>HYPERLINK("https://github.com/deltachat/deltachat-android/issues/2736", "show")</f>
        <v>show</v>
      </c>
      <c r="G9897" t="str">
        <f>HYPERLINK("https://github.com/deltachat/deltachat-android", "show")</f>
        <v>show</v>
      </c>
      <c r="H9897" t="str">
        <f>HYPERLINK("https://github.com/deltachat/deltachat-android/releases", "show")</f>
        <v>show</v>
      </c>
      <c r="I9897">
        <v>1</v>
      </c>
      <c r="J9897">
        <v>1</v>
      </c>
      <c r="K9897">
        <v>1</v>
      </c>
      <c r="L9897">
        <v>0</v>
      </c>
      <c r="M9897" t="s">
        <v>59</v>
      </c>
    </row>
    <row r="9898" spans="1:13" hidden="1" x14ac:dyDescent="0.15">
      <c r="A9898" t="s">
        <v>31157</v>
      </c>
      <c r="B9898" t="s">
        <v>31158</v>
      </c>
      <c r="C9898" t="s">
        <v>31159</v>
      </c>
      <c r="D9898" t="s">
        <v>31153</v>
      </c>
      <c r="E9898">
        <v>0</v>
      </c>
      <c r="F9898" t="str">
        <f>HYPERLINK("https://github.com/PojavLauncherTeam/PojavLauncher/issues/4725", "show")</f>
        <v>show</v>
      </c>
      <c r="G9898" t="str">
        <f>HYPERLINK("https://github.com/PojavLauncherTeam/PojavLauncher", "show")</f>
        <v>show</v>
      </c>
      <c r="H9898" t="str">
        <f>HYPERLINK("https://github.com/PojavLauncherTeam/PojavLauncher/releases", "show")</f>
        <v>show</v>
      </c>
      <c r="I9898">
        <v>1</v>
      </c>
      <c r="J9898">
        <v>1</v>
      </c>
      <c r="K9898">
        <v>1</v>
      </c>
      <c r="L9898">
        <v>0</v>
      </c>
      <c r="M9898" t="s">
        <v>59</v>
      </c>
    </row>
    <row r="9899" spans="1:13" hidden="1" x14ac:dyDescent="0.15">
      <c r="A9899" t="s">
        <v>31160</v>
      </c>
      <c r="B9899" t="s">
        <v>31161</v>
      </c>
      <c r="C9899" t="s">
        <v>31162</v>
      </c>
      <c r="D9899" t="s">
        <v>31153</v>
      </c>
      <c r="E9899">
        <v>0</v>
      </c>
      <c r="F9899" t="str">
        <f>HYPERLINK("https://github.com/Anuken/Mindustry/issues/9153", "show")</f>
        <v>show</v>
      </c>
      <c r="G9899" t="str">
        <f>HYPERLINK("https://github.com/Anuken/Mindustry", "show")</f>
        <v>show</v>
      </c>
      <c r="H9899" t="str">
        <f>HYPERLINK("https://github.com/Anuken/Mindustry/releases", "show")</f>
        <v>show</v>
      </c>
      <c r="I9899">
        <v>0</v>
      </c>
      <c r="J9899">
        <v>0</v>
      </c>
      <c r="K9899">
        <v>0</v>
      </c>
      <c r="L9899">
        <v>0</v>
      </c>
      <c r="M9899" t="s">
        <v>43</v>
      </c>
    </row>
    <row r="9900" spans="1:13" hidden="1" x14ac:dyDescent="0.15">
      <c r="A9900" t="s">
        <v>31163</v>
      </c>
      <c r="B9900" t="s">
        <v>31164</v>
      </c>
      <c r="C9900" t="s">
        <v>31165</v>
      </c>
      <c r="D9900" t="s">
        <v>31153</v>
      </c>
      <c r="E9900">
        <v>3</v>
      </c>
      <c r="F9900" t="str">
        <f>HYPERLINK("https://github.com/VinylMusicPlayer/VinylMusicPlayer/issues/784", "show")</f>
        <v>show</v>
      </c>
      <c r="G9900" t="str">
        <f>HYPERLINK("https://github.com/VinylMusicPlayer/VinylMusicPlayer", "show")</f>
        <v>show</v>
      </c>
      <c r="H9900" t="str">
        <f>HYPERLINK("https://github.com/VinylMusicPlayer/VinylMusicPlayer/releases", "show")</f>
        <v>show</v>
      </c>
      <c r="I9900">
        <v>1</v>
      </c>
      <c r="J9900">
        <v>1</v>
      </c>
      <c r="K9900">
        <v>1</v>
      </c>
      <c r="L9900">
        <v>0</v>
      </c>
      <c r="M9900" t="s">
        <v>59</v>
      </c>
    </row>
    <row r="9901" spans="1:13" hidden="1" x14ac:dyDescent="0.15">
      <c r="A9901" t="s">
        <v>31166</v>
      </c>
      <c r="B9901" t="s">
        <v>31167</v>
      </c>
      <c r="C9901" t="s">
        <v>31168</v>
      </c>
      <c r="D9901" t="s">
        <v>31169</v>
      </c>
      <c r="E9901">
        <v>1</v>
      </c>
      <c r="F9901" t="str">
        <f>HYPERLINK("https://github.com/PojavLauncherTeam/PojavLauncher/issues/4724", "show")</f>
        <v>show</v>
      </c>
      <c r="G9901" t="str">
        <f>HYPERLINK("https://github.com/PojavLauncherTeam/PojavLauncher", "show")</f>
        <v>show</v>
      </c>
      <c r="H9901" t="str">
        <f>HYPERLINK("https://github.com/PojavLauncherTeam/PojavLauncher/releases", "show")</f>
        <v>show</v>
      </c>
      <c r="I9901">
        <v>1</v>
      </c>
      <c r="J9901">
        <v>1</v>
      </c>
      <c r="K9901">
        <v>0</v>
      </c>
      <c r="L9901">
        <v>0</v>
      </c>
      <c r="M9901" t="s">
        <v>48</v>
      </c>
    </row>
    <row r="9902" spans="1:13" hidden="1" x14ac:dyDescent="0.15">
      <c r="A9902" t="s">
        <v>31170</v>
      </c>
      <c r="B9902" t="s">
        <v>31171</v>
      </c>
      <c r="C9902" t="s">
        <v>31172</v>
      </c>
      <c r="D9902" t="s">
        <v>31173</v>
      </c>
      <c r="E9902">
        <v>4</v>
      </c>
      <c r="F9902" t="str">
        <f>HYPERLINK("https://github.com/VinylMusicPlayer/VinylMusicPlayer/issues/782", "show")</f>
        <v>show</v>
      </c>
      <c r="G9902" t="str">
        <f>HYPERLINK("https://github.com/VinylMusicPlayer/VinylMusicPlayer", "show")</f>
        <v>show</v>
      </c>
      <c r="H9902" t="str">
        <f>HYPERLINK("https://github.com/VinylMusicPlayer/VinylMusicPlayer/releases", "show")</f>
        <v>show</v>
      </c>
      <c r="I9902">
        <v>1</v>
      </c>
      <c r="J9902">
        <v>0</v>
      </c>
      <c r="K9902">
        <v>1</v>
      </c>
      <c r="L9902">
        <v>0</v>
      </c>
      <c r="M9902" t="s">
        <v>64</v>
      </c>
    </row>
    <row r="9903" spans="1:13" hidden="1" x14ac:dyDescent="0.15">
      <c r="A9903" t="s">
        <v>31174</v>
      </c>
      <c r="B9903" t="s">
        <v>31175</v>
      </c>
      <c r="C9903" t="s">
        <v>31176</v>
      </c>
      <c r="D9903" t="s">
        <v>31173</v>
      </c>
      <c r="E9903">
        <v>2</v>
      </c>
      <c r="F9903" t="str">
        <f>HYPERLINK("https://github.com/PojavLauncherTeam/PojavLauncher/issues/4722", "show")</f>
        <v>show</v>
      </c>
      <c r="G9903" t="str">
        <f>HYPERLINK("https://github.com/PojavLauncherTeam/PojavLauncher", "show")</f>
        <v>show</v>
      </c>
      <c r="H9903" t="str">
        <f>HYPERLINK("https://github.com/PojavLauncherTeam/PojavLauncher/releases", "show")</f>
        <v>show</v>
      </c>
      <c r="I9903">
        <v>1</v>
      </c>
      <c r="J9903">
        <v>1</v>
      </c>
      <c r="K9903">
        <v>0</v>
      </c>
      <c r="L9903">
        <v>0</v>
      </c>
      <c r="M9903" t="s">
        <v>48</v>
      </c>
    </row>
    <row r="9904" spans="1:13" hidden="1" x14ac:dyDescent="0.15">
      <c r="A9904" t="s">
        <v>31177</v>
      </c>
      <c r="B9904" t="s">
        <v>31178</v>
      </c>
      <c r="C9904" t="s">
        <v>31179</v>
      </c>
      <c r="D9904" t="s">
        <v>31173</v>
      </c>
      <c r="E9904">
        <v>6</v>
      </c>
      <c r="F9904" t="str">
        <f>HYPERLINK("https://github.com/TeamNewPipe/NewPipe/issues/10482", "show")</f>
        <v>show</v>
      </c>
      <c r="G9904" t="str">
        <f>HYPERLINK("https://github.com/TeamNewPipe/NewPipe", "show")</f>
        <v>show</v>
      </c>
      <c r="H9904" t="str">
        <f>HYPERLINK("https://github.com/TeamNewPipe/NewPipe/releases", "show")</f>
        <v>show</v>
      </c>
      <c r="I9904">
        <v>1</v>
      </c>
      <c r="J9904">
        <v>0</v>
      </c>
      <c r="K9904">
        <v>1</v>
      </c>
      <c r="L9904">
        <v>0</v>
      </c>
      <c r="M9904" t="s">
        <v>64</v>
      </c>
    </row>
    <row r="9905" spans="1:13" hidden="1" x14ac:dyDescent="0.15">
      <c r="A9905" t="s">
        <v>31180</v>
      </c>
      <c r="B9905" t="s">
        <v>31181</v>
      </c>
      <c r="C9905" t="s">
        <v>31182</v>
      </c>
      <c r="D9905" t="s">
        <v>31173</v>
      </c>
      <c r="E9905">
        <v>0</v>
      </c>
      <c r="F9905" t="str">
        <f>HYPERLINK("https://github.com/SOFTENG310-VicRoy/310-RondayView/issues/110", "show")</f>
        <v>show</v>
      </c>
      <c r="G9905" t="str">
        <f>HYPERLINK("https://github.com/SOFTENG310-VicRoy/310-RondayView", "show")</f>
        <v>show</v>
      </c>
      <c r="H9905" t="str">
        <f>HYPERLINK("https://github.com/SOFTENG310-VicRoy/310-RondayView/releases", "show")</f>
        <v>show</v>
      </c>
      <c r="I9905">
        <v>1</v>
      </c>
      <c r="J9905">
        <v>1</v>
      </c>
      <c r="K9905">
        <v>0</v>
      </c>
      <c r="L9905">
        <v>0</v>
      </c>
      <c r="M9905" t="s">
        <v>48</v>
      </c>
    </row>
    <row r="9906" spans="1:13" hidden="1" x14ac:dyDescent="0.15">
      <c r="A9906" t="s">
        <v>31183</v>
      </c>
      <c r="B9906" t="s">
        <v>31184</v>
      </c>
      <c r="C9906" t="s">
        <v>31185</v>
      </c>
      <c r="D9906" t="s">
        <v>31186</v>
      </c>
      <c r="E9906">
        <v>1</v>
      </c>
      <c r="F9906" t="str">
        <f>HYPERLINK("https://github.com/PojavLauncherTeam/PojavLauncher/issues/4721", "show")</f>
        <v>show</v>
      </c>
      <c r="G9906" t="str">
        <f>HYPERLINK("https://github.com/PojavLauncherTeam/PojavLauncher", "show")</f>
        <v>show</v>
      </c>
      <c r="H9906" t="str">
        <f>HYPERLINK("https://github.com/PojavLauncherTeam/PojavLauncher/releases", "show")</f>
        <v>show</v>
      </c>
      <c r="I9906">
        <v>0</v>
      </c>
      <c r="J9906">
        <v>0</v>
      </c>
      <c r="K9906">
        <v>0</v>
      </c>
      <c r="L9906">
        <v>0</v>
      </c>
      <c r="M9906" t="s">
        <v>43</v>
      </c>
    </row>
    <row r="9907" spans="1:13" hidden="1" x14ac:dyDescent="0.15">
      <c r="A9907" t="s">
        <v>31187</v>
      </c>
      <c r="B9907" t="s">
        <v>31188</v>
      </c>
      <c r="C9907" t="s">
        <v>31189</v>
      </c>
      <c r="D9907" t="s">
        <v>31186</v>
      </c>
      <c r="E9907">
        <v>0</v>
      </c>
      <c r="F9907" t="str">
        <f>HYPERLINK("https://github.com/PojavLauncherTeam/PojavLauncher/issues/4714", "show")</f>
        <v>show</v>
      </c>
      <c r="G9907" t="str">
        <f>HYPERLINK("https://github.com/PojavLauncherTeam/PojavLauncher", "show")</f>
        <v>show</v>
      </c>
      <c r="H9907" t="str">
        <f>HYPERLINK("https://github.com/PojavLauncherTeam/PojavLauncher/releases", "show")</f>
        <v>show</v>
      </c>
      <c r="I9907">
        <v>0</v>
      </c>
      <c r="J9907">
        <v>0</v>
      </c>
      <c r="K9907">
        <v>0</v>
      </c>
      <c r="L9907">
        <v>0</v>
      </c>
      <c r="M9907" t="s">
        <v>43</v>
      </c>
    </row>
    <row r="9908" spans="1:13" hidden="1" x14ac:dyDescent="0.15">
      <c r="A9908" t="s">
        <v>31190</v>
      </c>
      <c r="B9908" t="s">
        <v>31191</v>
      </c>
      <c r="C9908" t="s">
        <v>31192</v>
      </c>
      <c r="D9908" t="s">
        <v>31193</v>
      </c>
      <c r="E9908">
        <v>0</v>
      </c>
      <c r="F9908" t="str">
        <f>HYPERLINK("https://github.com/PojavLauncherTeam/PojavLauncher/issues/4712", "show")</f>
        <v>show</v>
      </c>
      <c r="G9908" t="str">
        <f>HYPERLINK("https://github.com/PojavLauncherTeam/PojavLauncher", "show")</f>
        <v>show</v>
      </c>
      <c r="H9908" t="str">
        <f>HYPERLINK("https://github.com/PojavLauncherTeam/PojavLauncher/releases", "show")</f>
        <v>show</v>
      </c>
      <c r="I9908">
        <v>1</v>
      </c>
      <c r="J9908">
        <v>1</v>
      </c>
      <c r="K9908">
        <v>0</v>
      </c>
      <c r="L9908">
        <v>0</v>
      </c>
      <c r="M9908" t="s">
        <v>48</v>
      </c>
    </row>
    <row r="9909" spans="1:13" x14ac:dyDescent="0.15">
      <c r="A9909" t="s">
        <v>31194</v>
      </c>
      <c r="B9909" t="s">
        <v>31195</v>
      </c>
      <c r="C9909" t="s">
        <v>31196</v>
      </c>
      <c r="D9909" t="s">
        <v>31193</v>
      </c>
      <c r="E9909">
        <v>0</v>
      </c>
      <c r="F9909" t="str">
        <f>HYPERLINK("https://github.com/PojavLauncherTeam/PojavLauncher/issues/4709", "show")</f>
        <v>show</v>
      </c>
      <c r="G9909" t="str">
        <f>HYPERLINK("https://github.com/PojavLauncherTeam/PojavLauncher", "show")</f>
        <v>show</v>
      </c>
      <c r="H9909" t="str">
        <f>HYPERLINK("https://github.com/PojavLauncherTeam/PojavLauncher/releases", "show")</f>
        <v>show</v>
      </c>
      <c r="I9909">
        <v>0</v>
      </c>
      <c r="J9909">
        <v>1</v>
      </c>
      <c r="K9909">
        <v>0</v>
      </c>
      <c r="L9909">
        <v>0</v>
      </c>
      <c r="M9909" t="s">
        <v>139</v>
      </c>
    </row>
    <row r="9910" spans="1:13" hidden="1" x14ac:dyDescent="0.15">
      <c r="A9910" t="s">
        <v>31197</v>
      </c>
      <c r="B9910" t="s">
        <v>31198</v>
      </c>
      <c r="C9910" t="s">
        <v>31199</v>
      </c>
      <c r="D9910" t="s">
        <v>31193</v>
      </c>
      <c r="E9910">
        <v>1</v>
      </c>
      <c r="F9910" t="str">
        <f>HYPERLINK("https://github.com/AndroidIDEOfficial/AndroidIDE/issues/1370", "show")</f>
        <v>show</v>
      </c>
      <c r="G9910" t="str">
        <f>HYPERLINK("https://github.com/AndroidIDEOfficial/AndroidIDE", "show")</f>
        <v>show</v>
      </c>
      <c r="H9910" t="str">
        <f>HYPERLINK("https://github.com/AndroidIDEOfficial/AndroidIDE/releases", "show")</f>
        <v>show</v>
      </c>
      <c r="I9910">
        <v>0</v>
      </c>
      <c r="J9910">
        <v>0</v>
      </c>
      <c r="K9910">
        <v>1</v>
      </c>
      <c r="L9910">
        <v>0</v>
      </c>
      <c r="M9910" t="s">
        <v>122</v>
      </c>
    </row>
    <row r="9911" spans="1:13" hidden="1" x14ac:dyDescent="0.15">
      <c r="A9911" t="s">
        <v>31200</v>
      </c>
      <c r="B9911" t="s">
        <v>31201</v>
      </c>
      <c r="C9911" t="s">
        <v>31202</v>
      </c>
      <c r="D9911" t="s">
        <v>31203</v>
      </c>
      <c r="E9911">
        <v>1</v>
      </c>
      <c r="F9911" t="str">
        <f>HYPERLINK("https://github.com/nextcloud/android/issues/12004", "show")</f>
        <v>show</v>
      </c>
      <c r="G9911" t="str">
        <f>HYPERLINK("https://github.com/nextcloud/android", "show")</f>
        <v>show</v>
      </c>
      <c r="H9911" t="str">
        <f>HYPERLINK("https://github.com/nextcloud/android/releases", "show")</f>
        <v>show</v>
      </c>
      <c r="I9911">
        <v>1</v>
      </c>
      <c r="J9911">
        <v>1</v>
      </c>
      <c r="K9911">
        <v>0</v>
      </c>
      <c r="L9911">
        <v>0</v>
      </c>
      <c r="M9911" t="s">
        <v>48</v>
      </c>
    </row>
    <row r="9912" spans="1:13" hidden="1" x14ac:dyDescent="0.15">
      <c r="A9912" t="s">
        <v>31204</v>
      </c>
      <c r="B9912" t="s">
        <v>31205</v>
      </c>
      <c r="C9912" t="s">
        <v>31206</v>
      </c>
      <c r="D9912" t="s">
        <v>31203</v>
      </c>
      <c r="E9912">
        <v>0</v>
      </c>
      <c r="F9912" t="str">
        <f>HYPERLINK("https://github.com/PojavLauncherTeam/PojavLauncher/issues/4700", "show")</f>
        <v>show</v>
      </c>
      <c r="G9912" t="str">
        <f>HYPERLINK("https://github.com/PojavLauncherTeam/PojavLauncher", "show")</f>
        <v>show</v>
      </c>
      <c r="H9912" t="str">
        <f>HYPERLINK("https://github.com/PojavLauncherTeam/PojavLauncher/releases", "show")</f>
        <v>show</v>
      </c>
      <c r="I9912">
        <v>1</v>
      </c>
      <c r="J9912">
        <v>1</v>
      </c>
      <c r="K9912">
        <v>0</v>
      </c>
      <c r="L9912">
        <v>0</v>
      </c>
      <c r="M9912" t="s">
        <v>48</v>
      </c>
    </row>
    <row r="9913" spans="1:13" hidden="1" x14ac:dyDescent="0.15">
      <c r="A9913" t="s">
        <v>31207</v>
      </c>
      <c r="B9913" t="s">
        <v>31208</v>
      </c>
      <c r="C9913" t="s">
        <v>31209</v>
      </c>
      <c r="D9913" t="s">
        <v>31210</v>
      </c>
      <c r="E9913">
        <v>0</v>
      </c>
      <c r="F9913" t="str">
        <f>HYPERLINK("https://github.com/Anuken/Mindustry/issues/9139", "show")</f>
        <v>show</v>
      </c>
      <c r="G9913" t="str">
        <f>HYPERLINK("https://github.com/Anuken/Mindustry", "show")</f>
        <v>show</v>
      </c>
      <c r="H9913" t="str">
        <f>HYPERLINK("https://github.com/Anuken/Mindustry/releases", "show")</f>
        <v>show</v>
      </c>
      <c r="I9913">
        <v>1</v>
      </c>
      <c r="J9913">
        <v>1</v>
      </c>
      <c r="K9913">
        <v>0</v>
      </c>
      <c r="L9913">
        <v>1</v>
      </c>
      <c r="M9913" t="s">
        <v>1894</v>
      </c>
    </row>
    <row r="9914" spans="1:13" hidden="1" x14ac:dyDescent="0.15">
      <c r="A9914" t="s">
        <v>31211</v>
      </c>
      <c r="B9914" t="s">
        <v>31212</v>
      </c>
      <c r="C9914" t="s">
        <v>31213</v>
      </c>
      <c r="D9914" t="s">
        <v>31210</v>
      </c>
      <c r="E9914">
        <v>0</v>
      </c>
      <c r="F9914" t="str">
        <f>HYPERLINK("https://github.com/PojavLauncherTeam/PojavLauncher/issues/4697", "show")</f>
        <v>show</v>
      </c>
      <c r="G9914" t="str">
        <f>HYPERLINK("https://github.com/PojavLauncherTeam/PojavLauncher", "show")</f>
        <v>show</v>
      </c>
      <c r="H9914" t="str">
        <f>HYPERLINK("https://github.com/PojavLauncherTeam/PojavLauncher/releases", "show")</f>
        <v>show</v>
      </c>
      <c r="I9914">
        <v>1</v>
      </c>
      <c r="J9914">
        <v>0</v>
      </c>
      <c r="K9914">
        <v>1</v>
      </c>
      <c r="L9914">
        <v>0</v>
      </c>
      <c r="M9914" t="s">
        <v>64</v>
      </c>
    </row>
    <row r="9915" spans="1:13" hidden="1" x14ac:dyDescent="0.15">
      <c r="A9915" t="s">
        <v>31214</v>
      </c>
      <c r="B9915" t="s">
        <v>31215</v>
      </c>
      <c r="C9915" t="s">
        <v>31216</v>
      </c>
      <c r="D9915" t="s">
        <v>31210</v>
      </c>
      <c r="E9915">
        <v>9</v>
      </c>
      <c r="F9915" t="str">
        <f>HYPERLINK("https://github.com/Catfriend1/syncthing-android/issues/1014", "show")</f>
        <v>show</v>
      </c>
      <c r="G9915" t="str">
        <f>HYPERLINK("https://github.com/Catfriend1/syncthing-android", "show")</f>
        <v>show</v>
      </c>
      <c r="H9915" t="str">
        <f>HYPERLINK("https://github.com/Catfriend1/syncthing-android/releases", "show")</f>
        <v>show</v>
      </c>
      <c r="I9915">
        <v>1</v>
      </c>
      <c r="J9915">
        <v>0</v>
      </c>
      <c r="K9915">
        <v>0</v>
      </c>
      <c r="L9915">
        <v>0</v>
      </c>
      <c r="M9915" t="s">
        <v>17</v>
      </c>
    </row>
    <row r="9916" spans="1:13" hidden="1" x14ac:dyDescent="0.15">
      <c r="A9916" t="s">
        <v>31217</v>
      </c>
      <c r="B9916" t="s">
        <v>31218</v>
      </c>
      <c r="C9916" t="s">
        <v>31219</v>
      </c>
      <c r="D9916" t="s">
        <v>31210</v>
      </c>
      <c r="E9916">
        <v>2</v>
      </c>
      <c r="F9916" t="str">
        <f>HYPERLINK("https://github.com/0XDE57/SpaceProject/issues/44", "show")</f>
        <v>show</v>
      </c>
      <c r="G9916" t="str">
        <f>HYPERLINK("https://github.com/0XDE57/SpaceProject", "show")</f>
        <v>show</v>
      </c>
      <c r="H9916" t="str">
        <f>HYPERLINK("https://github.com/0XDE57/SpaceProject/releases", "show")</f>
        <v>show</v>
      </c>
      <c r="I9916">
        <v>1</v>
      </c>
      <c r="J9916">
        <v>0</v>
      </c>
      <c r="K9916">
        <v>0</v>
      </c>
      <c r="L9916">
        <v>0</v>
      </c>
      <c r="M9916" t="s">
        <v>17</v>
      </c>
    </row>
    <row r="9917" spans="1:13" hidden="1" x14ac:dyDescent="0.15">
      <c r="A9917" t="s">
        <v>31220</v>
      </c>
      <c r="B9917" t="s">
        <v>31221</v>
      </c>
      <c r="C9917" t="s">
        <v>31222</v>
      </c>
      <c r="D9917" t="s">
        <v>31210</v>
      </c>
      <c r="E9917">
        <v>2</v>
      </c>
      <c r="F9917" t="str">
        <f>HYPERLINK("https://github.com/PojavLauncherTeam/PojavLauncher/issues/4686", "show")</f>
        <v>show</v>
      </c>
      <c r="G9917" t="str">
        <f>HYPERLINK("https://github.com/PojavLauncherTeam/PojavLauncher", "show")</f>
        <v>show</v>
      </c>
      <c r="H9917" t="str">
        <f>HYPERLINK("https://github.com/PojavLauncherTeam/PojavLauncher/releases", "show")</f>
        <v>show</v>
      </c>
      <c r="I9917">
        <v>1</v>
      </c>
      <c r="J9917">
        <v>1</v>
      </c>
      <c r="K9917">
        <v>0</v>
      </c>
      <c r="L9917">
        <v>1</v>
      </c>
      <c r="M9917" t="s">
        <v>1894</v>
      </c>
    </row>
    <row r="9918" spans="1:13" hidden="1" x14ac:dyDescent="0.15">
      <c r="A9918" t="s">
        <v>31223</v>
      </c>
      <c r="B9918" t="s">
        <v>31224</v>
      </c>
      <c r="C9918" t="s">
        <v>31225</v>
      </c>
      <c r="D9918" t="s">
        <v>31210</v>
      </c>
      <c r="E9918">
        <v>3</v>
      </c>
      <c r="F9918" t="str">
        <f>HYPERLINK("https://github.com/RosettaDrone/rosettadrone/issues/185", "show")</f>
        <v>show</v>
      </c>
      <c r="G9918" t="str">
        <f>HYPERLINK("https://github.com/RosettaDrone/rosettadrone", "show")</f>
        <v>show</v>
      </c>
      <c r="H9918" t="str">
        <f>HYPERLINK("https://github.com/RosettaDrone/rosettadrone/releases", "show")</f>
        <v>show</v>
      </c>
      <c r="I9918">
        <v>1</v>
      </c>
      <c r="J9918">
        <v>0</v>
      </c>
      <c r="K9918">
        <v>1</v>
      </c>
      <c r="L9918">
        <v>1</v>
      </c>
      <c r="M9918" t="s">
        <v>1259</v>
      </c>
    </row>
    <row r="9919" spans="1:13" hidden="1" x14ac:dyDescent="0.15">
      <c r="A9919" t="s">
        <v>31226</v>
      </c>
      <c r="B9919" t="s">
        <v>31227</v>
      </c>
      <c r="C9919" t="s">
        <v>31228</v>
      </c>
      <c r="D9919" t="s">
        <v>31229</v>
      </c>
      <c r="E9919">
        <v>3</v>
      </c>
      <c r="F9919" t="str">
        <f>HYPERLINK("https://github.com/PojavLauncherTeam/PojavLauncher/issues/4685", "show")</f>
        <v>show</v>
      </c>
      <c r="G9919" t="str">
        <f>HYPERLINK("https://github.com/PojavLauncherTeam/PojavLauncher", "show")</f>
        <v>show</v>
      </c>
      <c r="H9919" t="str">
        <f>HYPERLINK("https://github.com/PojavLauncherTeam/PojavLauncher/releases", "show")</f>
        <v>show</v>
      </c>
      <c r="I9919">
        <v>1</v>
      </c>
      <c r="J9919">
        <v>0</v>
      </c>
      <c r="K9919">
        <v>0</v>
      </c>
      <c r="L9919">
        <v>0</v>
      </c>
      <c r="M9919" t="s">
        <v>17</v>
      </c>
    </row>
    <row r="9920" spans="1:13" hidden="1" x14ac:dyDescent="0.15">
      <c r="A9920" t="s">
        <v>31230</v>
      </c>
      <c r="B9920" t="s">
        <v>31231</v>
      </c>
      <c r="C9920" t="s">
        <v>31232</v>
      </c>
      <c r="D9920" t="s">
        <v>31229</v>
      </c>
      <c r="E9920">
        <v>5</v>
      </c>
      <c r="F9920" t="str">
        <f>HYPERLINK("https://github.com/jMonkeyEngine/jmonkeyengine/issues/2078", "show")</f>
        <v>show</v>
      </c>
      <c r="G9920" t="str">
        <f>HYPERLINK("https://github.com/jMonkeyEngine/jmonkeyengine", "show")</f>
        <v>show</v>
      </c>
      <c r="H9920" t="str">
        <f>HYPERLINK("https://github.com/jMonkeyEngine/jmonkeyengine/releases", "show")</f>
        <v>show</v>
      </c>
      <c r="I9920">
        <v>1</v>
      </c>
      <c r="J9920">
        <v>0</v>
      </c>
      <c r="K9920">
        <v>1</v>
      </c>
      <c r="L9920">
        <v>0</v>
      </c>
      <c r="M9920" t="s">
        <v>64</v>
      </c>
    </row>
    <row r="9921" spans="1:13" hidden="1" x14ac:dyDescent="0.15">
      <c r="A9921" t="s">
        <v>31233</v>
      </c>
      <c r="B9921" t="s">
        <v>31234</v>
      </c>
      <c r="C9921" t="s">
        <v>31235</v>
      </c>
      <c r="D9921" t="s">
        <v>31236</v>
      </c>
      <c r="E9921">
        <v>13</v>
      </c>
      <c r="F9921" t="str">
        <f>HYPERLINK("https://github.com/dotintent/react-native-ble-plx/issues/1103", "show")</f>
        <v>show</v>
      </c>
      <c r="G9921" t="str">
        <f>HYPERLINK("https://github.com/dotintent/react-native-ble-plx", "show")</f>
        <v>show</v>
      </c>
      <c r="H9921" t="str">
        <f>HYPERLINK("https://github.com/dotintent/react-native-ble-plx/releases", "show")</f>
        <v>show</v>
      </c>
      <c r="I9921">
        <v>1</v>
      </c>
      <c r="J9921">
        <v>0</v>
      </c>
      <c r="K9921">
        <v>0</v>
      </c>
      <c r="L9921">
        <v>1</v>
      </c>
      <c r="M9921" t="s">
        <v>29</v>
      </c>
    </row>
    <row r="9922" spans="1:13" hidden="1" x14ac:dyDescent="0.15">
      <c r="A9922" t="s">
        <v>31237</v>
      </c>
      <c r="B9922" t="s">
        <v>31238</v>
      </c>
      <c r="C9922" t="s">
        <v>31239</v>
      </c>
      <c r="D9922" t="s">
        <v>31236</v>
      </c>
      <c r="E9922">
        <v>1</v>
      </c>
      <c r="F9922" t="str">
        <f>HYPERLINK("https://github.com/PojavLauncherTeam/PojavLauncher/issues/4677", "show")</f>
        <v>show</v>
      </c>
      <c r="G9922" t="str">
        <f>HYPERLINK("https://github.com/PojavLauncherTeam/PojavLauncher", "show")</f>
        <v>show</v>
      </c>
      <c r="H9922" t="str">
        <f>HYPERLINK("https://github.com/PojavLauncherTeam/PojavLauncher/releases", "show")</f>
        <v>show</v>
      </c>
      <c r="I9922">
        <v>1</v>
      </c>
      <c r="J9922">
        <v>1</v>
      </c>
      <c r="K9922">
        <v>0</v>
      </c>
      <c r="L9922">
        <v>0</v>
      </c>
      <c r="M9922" t="s">
        <v>48</v>
      </c>
    </row>
    <row r="9923" spans="1:13" hidden="1" x14ac:dyDescent="0.15">
      <c r="A9923" t="s">
        <v>31240</v>
      </c>
      <c r="B9923" t="s">
        <v>31241</v>
      </c>
      <c r="C9923" t="s">
        <v>31242</v>
      </c>
      <c r="D9923" t="s">
        <v>31236</v>
      </c>
      <c r="E9923">
        <v>2</v>
      </c>
      <c r="F9923" t="str">
        <f>HYPERLINK("https://github.com/PojavLauncherTeam/PojavLauncher/issues/4672", "show")</f>
        <v>show</v>
      </c>
      <c r="G9923" t="str">
        <f>HYPERLINK("https://github.com/PojavLauncherTeam/PojavLauncher", "show")</f>
        <v>show</v>
      </c>
      <c r="H9923" t="str">
        <f>HYPERLINK("https://github.com/PojavLauncherTeam/PojavLauncher/releases", "show")</f>
        <v>show</v>
      </c>
      <c r="I9923">
        <v>1</v>
      </c>
      <c r="J9923">
        <v>0</v>
      </c>
      <c r="K9923">
        <v>0</v>
      </c>
      <c r="L9923">
        <v>0</v>
      </c>
      <c r="M9923" t="s">
        <v>17</v>
      </c>
    </row>
    <row r="9924" spans="1:13" hidden="1" x14ac:dyDescent="0.15">
      <c r="A9924" t="s">
        <v>31243</v>
      </c>
      <c r="B9924" t="s">
        <v>31244</v>
      </c>
      <c r="C9924" t="s">
        <v>31245</v>
      </c>
      <c r="D9924" t="s">
        <v>31236</v>
      </c>
      <c r="E9924">
        <v>12</v>
      </c>
      <c r="F9924" t="str">
        <f>HYPERLINK("https://github.com/jellyfin/jellyfin-androidtv/issues/3096", "show")</f>
        <v>show</v>
      </c>
      <c r="G9924" t="str">
        <f>HYPERLINK("https://github.com/jellyfin/jellyfin-androidtv", "show")</f>
        <v>show</v>
      </c>
      <c r="H9924" t="str">
        <f>HYPERLINK("https://github.com/jellyfin/jellyfin-androidtv/releases", "show")</f>
        <v>show</v>
      </c>
      <c r="I9924">
        <v>1</v>
      </c>
      <c r="J9924">
        <v>0</v>
      </c>
      <c r="K9924">
        <v>1</v>
      </c>
      <c r="L9924">
        <v>0</v>
      </c>
      <c r="M9924" t="s">
        <v>64</v>
      </c>
    </row>
    <row r="9925" spans="1:13" x14ac:dyDescent="0.15">
      <c r="A9925" t="s">
        <v>31246</v>
      </c>
      <c r="B9925" t="s">
        <v>31247</v>
      </c>
      <c r="C9925" t="s">
        <v>31248</v>
      </c>
      <c r="D9925" t="s">
        <v>31236</v>
      </c>
      <c r="E9925">
        <v>0</v>
      </c>
      <c r="F9925" t="str">
        <f>HYPERLINK("https://github.com/aws/aws-iot-device-sdk-java-v2/issues/480", "show")</f>
        <v>show</v>
      </c>
      <c r="G9925" t="str">
        <f>HYPERLINK("https://github.com/aws/aws-iot-device-sdk-java-v2", "show")</f>
        <v>show</v>
      </c>
      <c r="H9925" t="str">
        <f>HYPERLINK("https://github.com/aws/aws-iot-device-sdk-java-v2/releases", "show")</f>
        <v>show</v>
      </c>
      <c r="I9925">
        <v>0</v>
      </c>
      <c r="J9925">
        <v>1</v>
      </c>
      <c r="K9925">
        <v>0</v>
      </c>
      <c r="L9925">
        <v>0</v>
      </c>
      <c r="M9925" t="s">
        <v>139</v>
      </c>
    </row>
    <row r="9926" spans="1:13" hidden="1" x14ac:dyDescent="0.15">
      <c r="A9926" t="s">
        <v>31249</v>
      </c>
      <c r="B9926" t="s">
        <v>31250</v>
      </c>
      <c r="C9926" t="s">
        <v>31251</v>
      </c>
      <c r="D9926" t="s">
        <v>31236</v>
      </c>
      <c r="E9926">
        <v>7</v>
      </c>
      <c r="F9926" t="str">
        <f>HYPERLINK("https://github.com/DevEmperor/WristAssist/issues/5", "show")</f>
        <v>show</v>
      </c>
      <c r="G9926" t="str">
        <f>HYPERLINK("https://github.com/DevEmperor/WristAssist", "show")</f>
        <v>show</v>
      </c>
      <c r="H9926" t="str">
        <f>HYPERLINK("https://github.com/DevEmperor/WristAssist/releases", "show")</f>
        <v>show</v>
      </c>
      <c r="I9926">
        <v>1</v>
      </c>
      <c r="J9926">
        <v>0</v>
      </c>
      <c r="K9926">
        <v>0</v>
      </c>
      <c r="L9926">
        <v>0</v>
      </c>
      <c r="M9926" t="s">
        <v>17</v>
      </c>
    </row>
    <row r="9927" spans="1:13" hidden="1" x14ac:dyDescent="0.15">
      <c r="A9927" t="s">
        <v>31252</v>
      </c>
      <c r="B9927" t="s">
        <v>31253</v>
      </c>
      <c r="C9927" t="s">
        <v>31254</v>
      </c>
      <c r="D9927" t="s">
        <v>31255</v>
      </c>
      <c r="E9927">
        <v>0</v>
      </c>
      <c r="F9927" t="str">
        <f>HYPERLINK("https://github.com/PojavLauncherTeam/PojavLauncher/issues/4669", "show")</f>
        <v>show</v>
      </c>
      <c r="G9927" t="str">
        <f>HYPERLINK("https://github.com/PojavLauncherTeam/PojavLauncher", "show")</f>
        <v>show</v>
      </c>
      <c r="H9927" t="str">
        <f>HYPERLINK("https://github.com/PojavLauncherTeam/PojavLauncher/releases", "show")</f>
        <v>show</v>
      </c>
      <c r="I9927">
        <v>1</v>
      </c>
      <c r="J9927">
        <v>0</v>
      </c>
      <c r="K9927">
        <v>0</v>
      </c>
      <c r="L9927">
        <v>0</v>
      </c>
      <c r="M9927" t="s">
        <v>17</v>
      </c>
    </row>
    <row r="9928" spans="1:13" hidden="1" x14ac:dyDescent="0.15">
      <c r="A9928" t="s">
        <v>31256</v>
      </c>
      <c r="B9928" t="s">
        <v>31257</v>
      </c>
      <c r="C9928" t="s">
        <v>31258</v>
      </c>
      <c r="D9928" t="s">
        <v>31259</v>
      </c>
      <c r="E9928">
        <v>0</v>
      </c>
      <c r="F9928" t="str">
        <f>HYPERLINK("https://github.com/Anuken/Mindustry/issues/9128", "show")</f>
        <v>show</v>
      </c>
      <c r="G9928" t="str">
        <f>HYPERLINK("https://github.com/Anuken/Mindustry", "show")</f>
        <v>show</v>
      </c>
      <c r="H9928" t="str">
        <f>HYPERLINK("https://github.com/Anuken/Mindustry/releases", "show")</f>
        <v>show</v>
      </c>
      <c r="I9928">
        <v>1</v>
      </c>
      <c r="J9928">
        <v>1</v>
      </c>
      <c r="K9928">
        <v>0</v>
      </c>
      <c r="L9928">
        <v>0</v>
      </c>
      <c r="M9928" t="s">
        <v>48</v>
      </c>
    </row>
    <row r="9929" spans="1:13" x14ac:dyDescent="0.15">
      <c r="A9929" t="s">
        <v>31260</v>
      </c>
      <c r="B9929" t="s">
        <v>31261</v>
      </c>
      <c r="C9929" t="s">
        <v>31262</v>
      </c>
      <c r="D9929" t="s">
        <v>31259</v>
      </c>
      <c r="E9929">
        <v>0</v>
      </c>
      <c r="F9929" t="str">
        <f>HYPERLINK("https://github.com/PojavLauncherTeam/PojavLauncher/issues/4665", "show")</f>
        <v>show</v>
      </c>
      <c r="G9929" t="str">
        <f>HYPERLINK("https://github.com/PojavLauncherTeam/PojavLauncher", "show")</f>
        <v>show</v>
      </c>
      <c r="H9929" t="str">
        <f>HYPERLINK("https://github.com/PojavLauncherTeam/PojavLauncher/releases", "show")</f>
        <v>show</v>
      </c>
      <c r="I9929">
        <v>0</v>
      </c>
      <c r="J9929">
        <v>1</v>
      </c>
      <c r="K9929">
        <v>0</v>
      </c>
      <c r="L9929">
        <v>0</v>
      </c>
      <c r="M9929" t="s">
        <v>139</v>
      </c>
    </row>
    <row r="9930" spans="1:13" hidden="1" x14ac:dyDescent="0.15">
      <c r="A9930" t="s">
        <v>31263</v>
      </c>
      <c r="B9930" t="s">
        <v>31264</v>
      </c>
      <c r="C9930" t="s">
        <v>31265</v>
      </c>
      <c r="D9930" t="s">
        <v>31259</v>
      </c>
      <c r="E9930">
        <v>0</v>
      </c>
      <c r="F9930" t="str">
        <f>HYPERLINK("https://github.com/PojavLauncherTeam/PojavLauncher/issues/4662", "show")</f>
        <v>show</v>
      </c>
      <c r="G9930" t="str">
        <f>HYPERLINK("https://github.com/PojavLauncherTeam/PojavLauncher", "show")</f>
        <v>show</v>
      </c>
      <c r="H9930" t="str">
        <f>HYPERLINK("https://github.com/PojavLauncherTeam/PojavLauncher/releases", "show")</f>
        <v>show</v>
      </c>
      <c r="I9930">
        <v>1</v>
      </c>
      <c r="J9930">
        <v>0</v>
      </c>
      <c r="K9930">
        <v>0</v>
      </c>
      <c r="L9930">
        <v>0</v>
      </c>
      <c r="M9930" t="s">
        <v>17</v>
      </c>
    </row>
    <row r="9931" spans="1:13" hidden="1" x14ac:dyDescent="0.15">
      <c r="A9931" t="s">
        <v>31266</v>
      </c>
      <c r="B9931" t="s">
        <v>31267</v>
      </c>
      <c r="C9931" t="s">
        <v>31268</v>
      </c>
      <c r="D9931" t="s">
        <v>31259</v>
      </c>
      <c r="E9931">
        <v>13</v>
      </c>
      <c r="F9931" t="str">
        <f>HYPERLINK("https://github.com/FCL-Team/FoldCraftLauncher/issues/128", "show")</f>
        <v>show</v>
      </c>
      <c r="G9931" t="str">
        <f>HYPERLINK("https://github.com/FCL-Team/FoldCraftLauncher", "show")</f>
        <v>show</v>
      </c>
      <c r="H9931" t="str">
        <f>HYPERLINK("https://github.com/FCL-Team/FoldCraftLauncher/releases", "show")</f>
        <v>show</v>
      </c>
      <c r="I9931">
        <v>1</v>
      </c>
      <c r="J9931">
        <v>0</v>
      </c>
      <c r="K9931">
        <v>0</v>
      </c>
      <c r="L9931">
        <v>0</v>
      </c>
      <c r="M9931" t="s">
        <v>17</v>
      </c>
    </row>
    <row r="9932" spans="1:13" hidden="1" x14ac:dyDescent="0.15">
      <c r="A9932" t="s">
        <v>31269</v>
      </c>
      <c r="B9932" t="s">
        <v>31270</v>
      </c>
      <c r="C9932" t="s">
        <v>31271</v>
      </c>
      <c r="D9932" t="s">
        <v>31272</v>
      </c>
      <c r="E9932">
        <v>0</v>
      </c>
      <c r="F9932" t="str">
        <f>HYPERLINK("https://github.com/PojavLauncherTeam/PojavLauncher/issues/4661", "show")</f>
        <v>show</v>
      </c>
      <c r="G9932" t="str">
        <f>HYPERLINK("https://github.com/PojavLauncherTeam/PojavLauncher", "show")</f>
        <v>show</v>
      </c>
      <c r="H9932" t="str">
        <f>HYPERLINK("https://github.com/PojavLauncherTeam/PojavLauncher/releases", "show")</f>
        <v>show</v>
      </c>
      <c r="I9932">
        <v>1</v>
      </c>
      <c r="J9932">
        <v>0</v>
      </c>
      <c r="K9932">
        <v>0</v>
      </c>
      <c r="L9932">
        <v>0</v>
      </c>
      <c r="M9932" t="s">
        <v>17</v>
      </c>
    </row>
    <row r="9933" spans="1:13" hidden="1" x14ac:dyDescent="0.15">
      <c r="A9933" t="s">
        <v>31273</v>
      </c>
      <c r="B9933" t="s">
        <v>31274</v>
      </c>
      <c r="C9933" t="s">
        <v>31275</v>
      </c>
      <c r="D9933" t="s">
        <v>31272</v>
      </c>
      <c r="E9933">
        <v>0</v>
      </c>
      <c r="F9933" t="str">
        <f>HYPERLINK("https://github.com/PojavLauncherTeam/PojavLauncher/issues/4660", "show")</f>
        <v>show</v>
      </c>
      <c r="G9933" t="str">
        <f>HYPERLINK("https://github.com/PojavLauncherTeam/PojavLauncher", "show")</f>
        <v>show</v>
      </c>
      <c r="H9933" t="str">
        <f>HYPERLINK("https://github.com/PojavLauncherTeam/PojavLauncher/releases", "show")</f>
        <v>show</v>
      </c>
      <c r="I9933">
        <v>0</v>
      </c>
      <c r="J9933">
        <v>1</v>
      </c>
      <c r="K9933">
        <v>1</v>
      </c>
      <c r="L9933">
        <v>0</v>
      </c>
      <c r="M9933" t="s">
        <v>699</v>
      </c>
    </row>
    <row r="9934" spans="1:13" hidden="1" x14ac:dyDescent="0.15">
      <c r="A9934" t="s">
        <v>31276</v>
      </c>
      <c r="B9934" t="s">
        <v>31277</v>
      </c>
      <c r="C9934" t="s">
        <v>31278</v>
      </c>
      <c r="D9934" t="s">
        <v>31272</v>
      </c>
      <c r="E9934">
        <v>0</v>
      </c>
      <c r="F9934" t="str">
        <f>HYPERLINK("https://github.com/chathuranga-jayanath-99/GPATracker/issues/41", "show")</f>
        <v>show</v>
      </c>
      <c r="G9934" t="str">
        <f>HYPERLINK("https://github.com/chathuranga-jayanath-99/GPATracker", "show")</f>
        <v>show</v>
      </c>
      <c r="H9934" t="str">
        <f>HYPERLINK("https://github.com/chathuranga-jayanath-99/GPATracker/releases", "show")</f>
        <v>show</v>
      </c>
      <c r="I9934">
        <v>1</v>
      </c>
      <c r="J9934">
        <v>0</v>
      </c>
      <c r="K9934">
        <v>0</v>
      </c>
      <c r="L9934">
        <v>0</v>
      </c>
      <c r="M9934" t="s">
        <v>17</v>
      </c>
    </row>
    <row r="9935" spans="1:13" hidden="1" x14ac:dyDescent="0.15">
      <c r="A9935" t="s">
        <v>31279</v>
      </c>
      <c r="B9935" t="s">
        <v>31280</v>
      </c>
      <c r="C9935" t="s">
        <v>31281</v>
      </c>
      <c r="D9935" t="s">
        <v>31272</v>
      </c>
      <c r="E9935">
        <v>0</v>
      </c>
      <c r="F9935" t="str">
        <f>HYPERLINK("https://github.com/PojavLauncherTeam/PojavLauncher/issues/4657", "show")</f>
        <v>show</v>
      </c>
      <c r="G9935" t="str">
        <f>HYPERLINK("https://github.com/PojavLauncherTeam/PojavLauncher", "show")</f>
        <v>show</v>
      </c>
      <c r="H9935" t="str">
        <f>HYPERLINK("https://github.com/PojavLauncherTeam/PojavLauncher/releases", "show")</f>
        <v>show</v>
      </c>
      <c r="I9935">
        <v>1</v>
      </c>
      <c r="J9935">
        <v>0</v>
      </c>
      <c r="K9935">
        <v>0</v>
      </c>
      <c r="L9935">
        <v>0</v>
      </c>
      <c r="M9935" t="s">
        <v>17</v>
      </c>
    </row>
    <row r="9936" spans="1:13" hidden="1" x14ac:dyDescent="0.15">
      <c r="A9936" t="s">
        <v>31282</v>
      </c>
      <c r="B9936" t="s">
        <v>31283</v>
      </c>
      <c r="C9936" t="s">
        <v>31284</v>
      </c>
      <c r="D9936" t="s">
        <v>31285</v>
      </c>
      <c r="E9936">
        <v>0</v>
      </c>
      <c r="F9936" t="str">
        <f>HYPERLINK("https://github.com/AndroidIDEOfficial/AndroidIDE/issues/1351", "show")</f>
        <v>show</v>
      </c>
      <c r="G9936" t="str">
        <f>HYPERLINK("https://github.com/AndroidIDEOfficial/AndroidIDE", "show")</f>
        <v>show</v>
      </c>
      <c r="H9936" t="str">
        <f>HYPERLINK("https://github.com/AndroidIDEOfficial/AndroidIDE/releases", "show")</f>
        <v>show</v>
      </c>
      <c r="I9936">
        <v>0</v>
      </c>
      <c r="J9936">
        <v>0</v>
      </c>
      <c r="K9936">
        <v>1</v>
      </c>
      <c r="L9936">
        <v>0</v>
      </c>
      <c r="M9936" t="s">
        <v>122</v>
      </c>
    </row>
    <row r="9937" spans="1:13" hidden="1" x14ac:dyDescent="0.15">
      <c r="A9937" t="s">
        <v>31286</v>
      </c>
      <c r="B9937" t="s">
        <v>31287</v>
      </c>
      <c r="C9937" t="s">
        <v>31288</v>
      </c>
      <c r="D9937" t="s">
        <v>31285</v>
      </c>
      <c r="E9937">
        <v>3</v>
      </c>
      <c r="F9937" t="str">
        <f>HYPERLINK("https://github.com/AndroidIDEOfficial/AndroidIDE/issues/1350", "show")</f>
        <v>show</v>
      </c>
      <c r="G9937" t="str">
        <f>HYPERLINK("https://github.com/AndroidIDEOfficial/AndroidIDE", "show")</f>
        <v>show</v>
      </c>
      <c r="H9937" t="str">
        <f>HYPERLINK("https://github.com/AndroidIDEOfficial/AndroidIDE/releases", "show")</f>
        <v>show</v>
      </c>
      <c r="I9937">
        <v>0</v>
      </c>
      <c r="J9937">
        <v>0</v>
      </c>
      <c r="K9937">
        <v>1</v>
      </c>
      <c r="L9937">
        <v>0</v>
      </c>
      <c r="M9937" t="s">
        <v>122</v>
      </c>
    </row>
    <row r="9938" spans="1:13" hidden="1" x14ac:dyDescent="0.15">
      <c r="A9938" t="s">
        <v>31289</v>
      </c>
      <c r="B9938" t="s">
        <v>31290</v>
      </c>
      <c r="C9938" t="s">
        <v>31291</v>
      </c>
      <c r="D9938" t="s">
        <v>31285</v>
      </c>
      <c r="E9938">
        <v>1</v>
      </c>
      <c r="F9938" t="str">
        <f>HYPERLINK("https://github.com/PojavLauncherTeam/PojavLauncher/issues/4656", "show")</f>
        <v>show</v>
      </c>
      <c r="G9938" t="str">
        <f>HYPERLINK("https://github.com/PojavLauncherTeam/PojavLauncher", "show")</f>
        <v>show</v>
      </c>
      <c r="H9938" t="str">
        <f>HYPERLINK("https://github.com/PojavLauncherTeam/PojavLauncher/releases", "show")</f>
        <v>show</v>
      </c>
      <c r="I9938">
        <v>1</v>
      </c>
      <c r="J9938">
        <v>1</v>
      </c>
      <c r="K9938">
        <v>0</v>
      </c>
      <c r="L9938">
        <v>0</v>
      </c>
      <c r="M9938" t="s">
        <v>48</v>
      </c>
    </row>
    <row r="9939" spans="1:13" hidden="1" x14ac:dyDescent="0.15">
      <c r="A9939" t="s">
        <v>31292</v>
      </c>
      <c r="B9939" t="s">
        <v>31293</v>
      </c>
      <c r="C9939" t="s">
        <v>31294</v>
      </c>
      <c r="D9939" t="s">
        <v>31295</v>
      </c>
      <c r="E9939">
        <v>10</v>
      </c>
      <c r="F9939" t="str">
        <f>HYPERLINK("https://github.com/OpenTracksApp/OpenTracks/issues/1711", "show")</f>
        <v>show</v>
      </c>
      <c r="G9939" t="str">
        <f>HYPERLINK("https://github.com/OpenTracksApp/OpenTracks", "show")</f>
        <v>show</v>
      </c>
      <c r="H9939" t="str">
        <f>HYPERLINK("https://github.com/OpenTracksApp/OpenTracks/releases", "show")</f>
        <v>show</v>
      </c>
      <c r="I9939">
        <v>1</v>
      </c>
      <c r="J9939">
        <v>1</v>
      </c>
      <c r="K9939">
        <v>1</v>
      </c>
      <c r="L9939">
        <v>0</v>
      </c>
      <c r="M9939" t="s">
        <v>59</v>
      </c>
    </row>
    <row r="9940" spans="1:13" hidden="1" x14ac:dyDescent="0.15">
      <c r="A9940" t="s">
        <v>31296</v>
      </c>
      <c r="B9940" t="s">
        <v>31297</v>
      </c>
      <c r="C9940" t="s">
        <v>31298</v>
      </c>
      <c r="D9940" t="s">
        <v>31299</v>
      </c>
      <c r="E9940">
        <v>0</v>
      </c>
      <c r="F9940" t="str">
        <f>HYPERLINK("https://github.com/Anuken/Mindustry/issues/9101", "show")</f>
        <v>show</v>
      </c>
      <c r="G9940" t="str">
        <f>HYPERLINK("https://github.com/Anuken/Mindustry", "show")</f>
        <v>show</v>
      </c>
      <c r="H9940" t="str">
        <f>HYPERLINK("https://github.com/Anuken/Mindustry/releases", "show")</f>
        <v>show</v>
      </c>
      <c r="I9940">
        <v>0</v>
      </c>
      <c r="J9940">
        <v>0</v>
      </c>
      <c r="K9940">
        <v>0</v>
      </c>
      <c r="L9940">
        <v>0</v>
      </c>
      <c r="M9940" t="s">
        <v>43</v>
      </c>
    </row>
    <row r="9941" spans="1:13" hidden="1" x14ac:dyDescent="0.15">
      <c r="A9941" t="s">
        <v>31300</v>
      </c>
      <c r="B9941" t="s">
        <v>16147</v>
      </c>
      <c r="C9941" t="s">
        <v>31301</v>
      </c>
      <c r="D9941" t="s">
        <v>31299</v>
      </c>
      <c r="E9941">
        <v>0</v>
      </c>
      <c r="F9941" t="str">
        <f>HYPERLINK("https://github.com/LawnchairLauncher/lawnchair/issues/3635", "show")</f>
        <v>show</v>
      </c>
      <c r="G9941" t="str">
        <f>HYPERLINK("https://github.com/LawnchairLauncher/lawnchair", "show")</f>
        <v>show</v>
      </c>
      <c r="H9941" t="str">
        <f>HYPERLINK("https://github.com/LawnchairLauncher/lawnchair/releases", "show")</f>
        <v>show</v>
      </c>
      <c r="I9941">
        <v>1</v>
      </c>
      <c r="J9941">
        <v>1</v>
      </c>
      <c r="K9941">
        <v>1</v>
      </c>
      <c r="L9941">
        <v>0</v>
      </c>
      <c r="M9941" t="s">
        <v>59</v>
      </c>
    </row>
    <row r="9942" spans="1:13" hidden="1" x14ac:dyDescent="0.15">
      <c r="A9942" t="s">
        <v>31302</v>
      </c>
      <c r="B9942" t="s">
        <v>31303</v>
      </c>
      <c r="C9942" t="s">
        <v>31304</v>
      </c>
      <c r="D9942" t="s">
        <v>31299</v>
      </c>
      <c r="E9942">
        <v>0</v>
      </c>
      <c r="F9942" t="str">
        <f>HYPERLINK("https://github.com/SOFTENG310-VicRoy/310-RondayView/issues/98", "show")</f>
        <v>show</v>
      </c>
      <c r="G9942" t="str">
        <f>HYPERLINK("https://github.com/SOFTENG310-VicRoy/310-RondayView", "show")</f>
        <v>show</v>
      </c>
      <c r="H9942" t="str">
        <f>HYPERLINK("https://github.com/SOFTENG310-VicRoy/310-RondayView/releases", "show")</f>
        <v>show</v>
      </c>
      <c r="I9942">
        <v>1</v>
      </c>
      <c r="J9942">
        <v>0</v>
      </c>
      <c r="K9942">
        <v>0</v>
      </c>
      <c r="L9942">
        <v>0</v>
      </c>
      <c r="M9942" t="s">
        <v>17</v>
      </c>
    </row>
    <row r="9943" spans="1:13" hidden="1" x14ac:dyDescent="0.15">
      <c r="A9943" t="s">
        <v>31305</v>
      </c>
      <c r="B9943" t="s">
        <v>31306</v>
      </c>
      <c r="C9943" t="s">
        <v>31307</v>
      </c>
      <c r="D9943" t="s">
        <v>31308</v>
      </c>
      <c r="E9943">
        <v>1</v>
      </c>
      <c r="F9943" t="str">
        <f>HYPERLINK("https://github.com/MuntashirAkon/AppManager/issues/1203", "show")</f>
        <v>show</v>
      </c>
      <c r="G9943" t="str">
        <f>HYPERLINK("https://github.com/MuntashirAkon/AppManager", "show")</f>
        <v>show</v>
      </c>
      <c r="H9943" t="str">
        <f>HYPERLINK("https://github.com/MuntashirAkon/AppManager/releases", "show")</f>
        <v>show</v>
      </c>
      <c r="I9943">
        <v>1</v>
      </c>
      <c r="J9943">
        <v>1</v>
      </c>
      <c r="K9943">
        <v>1</v>
      </c>
      <c r="L9943">
        <v>0</v>
      </c>
      <c r="M9943" t="s">
        <v>59</v>
      </c>
    </row>
    <row r="9944" spans="1:13" hidden="1" x14ac:dyDescent="0.15">
      <c r="A9944" t="s">
        <v>31309</v>
      </c>
      <c r="B9944" t="s">
        <v>31310</v>
      </c>
      <c r="C9944" t="s">
        <v>31311</v>
      </c>
      <c r="D9944" t="s">
        <v>31312</v>
      </c>
      <c r="E9944">
        <v>0</v>
      </c>
      <c r="F9944" t="str">
        <f>HYPERLINK("https://github.com/jellyfin/jellyfin-androidtv/issues/3075", "show")</f>
        <v>show</v>
      </c>
      <c r="G9944" t="str">
        <f>HYPERLINK("https://github.com/jellyfin/jellyfin-androidtv", "show")</f>
        <v>show</v>
      </c>
      <c r="H9944" t="str">
        <f>HYPERLINK("https://github.com/jellyfin/jellyfin-androidtv/releases", "show")</f>
        <v>show</v>
      </c>
      <c r="I9944">
        <v>1</v>
      </c>
      <c r="J9944">
        <v>0</v>
      </c>
      <c r="K9944">
        <v>0</v>
      </c>
      <c r="L9944">
        <v>0</v>
      </c>
      <c r="M9944" t="s">
        <v>17</v>
      </c>
    </row>
    <row r="9945" spans="1:13" hidden="1" x14ac:dyDescent="0.15">
      <c r="A9945" t="s">
        <v>31313</v>
      </c>
      <c r="B9945" t="s">
        <v>31314</v>
      </c>
      <c r="C9945" t="s">
        <v>31315</v>
      </c>
      <c r="D9945" t="s">
        <v>31316</v>
      </c>
      <c r="E9945">
        <v>0</v>
      </c>
      <c r="F9945" t="str">
        <f>HYPERLINK("https://github.com/Anuken/Mindustry/issues/9092", "show")</f>
        <v>show</v>
      </c>
      <c r="G9945" t="str">
        <f>HYPERLINK("https://github.com/Anuken/Mindustry", "show")</f>
        <v>show</v>
      </c>
      <c r="H9945" t="str">
        <f>HYPERLINK("https://github.com/Anuken/Mindustry/releases", "show")</f>
        <v>show</v>
      </c>
      <c r="I9945">
        <v>0</v>
      </c>
      <c r="J9945">
        <v>0</v>
      </c>
      <c r="K9945">
        <v>0</v>
      </c>
      <c r="L9945">
        <v>0</v>
      </c>
      <c r="M9945" t="s">
        <v>43</v>
      </c>
    </row>
    <row r="9946" spans="1:13" hidden="1" x14ac:dyDescent="0.15">
      <c r="A9946" t="s">
        <v>31317</v>
      </c>
      <c r="B9946" t="s">
        <v>31318</v>
      </c>
      <c r="C9946" t="s">
        <v>31319</v>
      </c>
      <c r="D9946" t="s">
        <v>31316</v>
      </c>
      <c r="E9946">
        <v>0</v>
      </c>
      <c r="F9946" t="str">
        <f>HYPERLINK("https://github.com/Sesu8642/FeudalTactics/issues/65", "show")</f>
        <v>show</v>
      </c>
      <c r="G9946" t="str">
        <f>HYPERLINK("https://github.com/Sesu8642/FeudalTactics", "show")</f>
        <v>show</v>
      </c>
      <c r="H9946" t="str">
        <f>HYPERLINK("https://github.com/Sesu8642/FeudalTactics/releases", "show")</f>
        <v>show</v>
      </c>
      <c r="I9946">
        <v>0</v>
      </c>
      <c r="J9946">
        <v>0</v>
      </c>
      <c r="K9946">
        <v>1</v>
      </c>
      <c r="L9946">
        <v>0</v>
      </c>
      <c r="M9946" t="s">
        <v>122</v>
      </c>
    </row>
    <row r="9947" spans="1:13" hidden="1" x14ac:dyDescent="0.15">
      <c r="A9947" t="s">
        <v>31320</v>
      </c>
      <c r="B9947" t="s">
        <v>31321</v>
      </c>
      <c r="C9947" t="s">
        <v>31322</v>
      </c>
      <c r="D9947" t="s">
        <v>31316</v>
      </c>
      <c r="E9947">
        <v>0</v>
      </c>
      <c r="F9947" t="str">
        <f>HYPERLINK("https://github.com/PojavLauncherTeam/PojavLauncher/issues/4633", "show")</f>
        <v>show</v>
      </c>
      <c r="G9947" t="str">
        <f>HYPERLINK("https://github.com/PojavLauncherTeam/PojavLauncher", "show")</f>
        <v>show</v>
      </c>
      <c r="H9947" t="str">
        <f>HYPERLINK("https://github.com/PojavLauncherTeam/PojavLauncher/releases", "show")</f>
        <v>show</v>
      </c>
      <c r="I9947">
        <v>1</v>
      </c>
      <c r="J9947">
        <v>1</v>
      </c>
      <c r="K9947">
        <v>0</v>
      </c>
      <c r="L9947">
        <v>0</v>
      </c>
      <c r="M9947" t="s">
        <v>48</v>
      </c>
    </row>
    <row r="9948" spans="1:13" hidden="1" x14ac:dyDescent="0.15">
      <c r="A9948" t="s">
        <v>31323</v>
      </c>
      <c r="B9948" t="s">
        <v>31324</v>
      </c>
      <c r="C9948" t="s">
        <v>31325</v>
      </c>
      <c r="D9948" t="s">
        <v>31316</v>
      </c>
      <c r="E9948">
        <v>0</v>
      </c>
      <c r="F9948" t="str">
        <f>HYPERLINK("https://github.com/PojavLauncherTeam/PojavLauncher/issues/4630", "show")</f>
        <v>show</v>
      </c>
      <c r="G9948" t="str">
        <f>HYPERLINK("https://github.com/PojavLauncherTeam/PojavLauncher", "show")</f>
        <v>show</v>
      </c>
      <c r="H9948" t="str">
        <f>HYPERLINK("https://github.com/PojavLauncherTeam/PojavLauncher/releases", "show")</f>
        <v>show</v>
      </c>
      <c r="I9948">
        <v>1</v>
      </c>
      <c r="J9948">
        <v>0</v>
      </c>
      <c r="K9948">
        <v>0</v>
      </c>
      <c r="L9948">
        <v>0</v>
      </c>
      <c r="M9948" t="s">
        <v>17</v>
      </c>
    </row>
    <row r="9949" spans="1:13" hidden="1" x14ac:dyDescent="0.15">
      <c r="A9949" t="s">
        <v>31326</v>
      </c>
      <c r="B9949" t="s">
        <v>31327</v>
      </c>
      <c r="C9949" t="s">
        <v>31328</v>
      </c>
      <c r="D9949" t="s">
        <v>31316</v>
      </c>
      <c r="E9949">
        <v>0</v>
      </c>
      <c r="F9949" t="str">
        <f>HYPERLINK("https://github.com/PojavLauncherTeam/PojavLauncher/issues/4629", "show")</f>
        <v>show</v>
      </c>
      <c r="G9949" t="str">
        <f>HYPERLINK("https://github.com/PojavLauncherTeam/PojavLauncher", "show")</f>
        <v>show</v>
      </c>
      <c r="H9949" t="str">
        <f>HYPERLINK("https://github.com/PojavLauncherTeam/PojavLauncher/releases", "show")</f>
        <v>show</v>
      </c>
      <c r="I9949">
        <v>1</v>
      </c>
      <c r="J9949">
        <v>0</v>
      </c>
      <c r="K9949">
        <v>1</v>
      </c>
      <c r="L9949">
        <v>0</v>
      </c>
      <c r="M9949" t="s">
        <v>64</v>
      </c>
    </row>
    <row r="9950" spans="1:13" hidden="1" x14ac:dyDescent="0.15">
      <c r="A9950" t="s">
        <v>31329</v>
      </c>
      <c r="B9950" t="s">
        <v>31330</v>
      </c>
      <c r="C9950" t="s">
        <v>31331</v>
      </c>
      <c r="D9950" t="s">
        <v>31316</v>
      </c>
      <c r="E9950">
        <v>5</v>
      </c>
      <c r="F9950" t="str">
        <f>HYPERLINK("https://github.com/MuntashirAkon/AppManager/issues/1202", "show")</f>
        <v>show</v>
      </c>
      <c r="G9950" t="str">
        <f>HYPERLINK("https://github.com/MuntashirAkon/AppManager", "show")</f>
        <v>show</v>
      </c>
      <c r="H9950" t="str">
        <f>HYPERLINK("https://github.com/MuntashirAkon/AppManager/releases", "show")</f>
        <v>show</v>
      </c>
      <c r="I9950">
        <v>1</v>
      </c>
      <c r="J9950">
        <v>0</v>
      </c>
      <c r="K9950">
        <v>1</v>
      </c>
      <c r="L9950">
        <v>0</v>
      </c>
      <c r="M9950" t="s">
        <v>64</v>
      </c>
    </row>
    <row r="9951" spans="1:13" hidden="1" x14ac:dyDescent="0.15">
      <c r="A9951" t="s">
        <v>31332</v>
      </c>
      <c r="B9951" t="s">
        <v>31333</v>
      </c>
      <c r="C9951" t="s">
        <v>31334</v>
      </c>
      <c r="D9951" t="s">
        <v>31316</v>
      </c>
      <c r="E9951">
        <v>2</v>
      </c>
      <c r="F9951" t="str">
        <f>HYPERLINK("https://github.com/commons-app/apps-android-commons/issues/5303", "show")</f>
        <v>show</v>
      </c>
      <c r="G9951" t="str">
        <f>HYPERLINK("https://github.com/commons-app/apps-android-commons", "show")</f>
        <v>show</v>
      </c>
      <c r="H9951" t="str">
        <f>HYPERLINK("https://github.com/commons-app/apps-android-commons/releases", "show")</f>
        <v>show</v>
      </c>
      <c r="I9951">
        <v>1</v>
      </c>
      <c r="J9951">
        <v>0</v>
      </c>
      <c r="K9951">
        <v>0</v>
      </c>
      <c r="L9951">
        <v>0</v>
      </c>
      <c r="M9951" t="s">
        <v>17</v>
      </c>
    </row>
    <row r="9952" spans="1:13" hidden="1" x14ac:dyDescent="0.15">
      <c r="A9952" t="s">
        <v>31335</v>
      </c>
      <c r="B9952" t="s">
        <v>31336</v>
      </c>
      <c r="C9952" t="s">
        <v>31337</v>
      </c>
      <c r="D9952" t="s">
        <v>31338</v>
      </c>
      <c r="E9952">
        <v>1</v>
      </c>
      <c r="F9952" t="str">
        <f>HYPERLINK("https://github.com/PojavLauncherTeam/PojavLauncher/issues/4619", "show")</f>
        <v>show</v>
      </c>
      <c r="G9952" t="str">
        <f>HYPERLINK("https://github.com/PojavLauncherTeam/PojavLauncher", "show")</f>
        <v>show</v>
      </c>
      <c r="H9952" t="str">
        <f>HYPERLINK("https://github.com/PojavLauncherTeam/PojavLauncher/releases", "show")</f>
        <v>show</v>
      </c>
      <c r="I9952">
        <v>1</v>
      </c>
      <c r="J9952">
        <v>1</v>
      </c>
      <c r="K9952">
        <v>0</v>
      </c>
      <c r="L9952">
        <v>0</v>
      </c>
      <c r="M9952" t="s">
        <v>48</v>
      </c>
    </row>
    <row r="9953" spans="1:13" hidden="1" x14ac:dyDescent="0.15">
      <c r="A9953" t="s">
        <v>31339</v>
      </c>
      <c r="B9953" t="s">
        <v>31340</v>
      </c>
      <c r="C9953" t="s">
        <v>31341</v>
      </c>
      <c r="D9953" t="s">
        <v>31342</v>
      </c>
      <c r="E9953">
        <v>1</v>
      </c>
      <c r="F9953" t="str">
        <f>HYPERLINK("https://github.com/Anuken/Mindustry/issues/9075", "show")</f>
        <v>show</v>
      </c>
      <c r="G9953" t="str">
        <f>HYPERLINK("https://github.com/Anuken/Mindustry", "show")</f>
        <v>show</v>
      </c>
      <c r="H9953" t="str">
        <f>HYPERLINK("https://github.com/Anuken/Mindustry/releases", "show")</f>
        <v>show</v>
      </c>
      <c r="I9953">
        <v>1</v>
      </c>
      <c r="J9953">
        <v>0</v>
      </c>
      <c r="K9953">
        <v>0</v>
      </c>
      <c r="L9953">
        <v>0</v>
      </c>
      <c r="M9953" t="s">
        <v>17</v>
      </c>
    </row>
    <row r="9954" spans="1:13" hidden="1" x14ac:dyDescent="0.15">
      <c r="A9954" t="s">
        <v>31343</v>
      </c>
      <c r="B9954" t="s">
        <v>31344</v>
      </c>
      <c r="C9954" t="s">
        <v>31345</v>
      </c>
      <c r="D9954" t="s">
        <v>31342</v>
      </c>
      <c r="E9954">
        <v>0</v>
      </c>
      <c r="F9954" t="str">
        <f>HYPERLINK("https://github.com/jellyfin/jellyfin-androidtv/issues/3056", "show")</f>
        <v>show</v>
      </c>
      <c r="G9954" t="str">
        <f>HYPERLINK("https://github.com/jellyfin/jellyfin-androidtv", "show")</f>
        <v>show</v>
      </c>
      <c r="H9954" t="str">
        <f>HYPERLINK("https://github.com/jellyfin/jellyfin-androidtv/releases", "show")</f>
        <v>show</v>
      </c>
      <c r="I9954">
        <v>1</v>
      </c>
      <c r="J9954">
        <v>0</v>
      </c>
      <c r="K9954">
        <v>0</v>
      </c>
      <c r="L9954">
        <v>0</v>
      </c>
      <c r="M9954" t="s">
        <v>17</v>
      </c>
    </row>
    <row r="9955" spans="1:13" hidden="1" x14ac:dyDescent="0.15">
      <c r="A9955" t="s">
        <v>31346</v>
      </c>
      <c r="B9955" t="s">
        <v>31347</v>
      </c>
      <c r="C9955" t="s">
        <v>31348</v>
      </c>
      <c r="D9955" t="s">
        <v>31342</v>
      </c>
      <c r="E9955">
        <v>6</v>
      </c>
      <c r="F9955" t="str">
        <f>HYPERLINK("https://github.com/PhenoApps/Field-Book/issues/735", "show")</f>
        <v>show</v>
      </c>
      <c r="G9955" t="str">
        <f>HYPERLINK("https://github.com/PhenoApps/Field-Book", "show")</f>
        <v>show</v>
      </c>
      <c r="H9955" t="str">
        <f>HYPERLINK("https://github.com/PhenoApps/Field-Book/releases", "show")</f>
        <v>show</v>
      </c>
      <c r="I9955">
        <v>0</v>
      </c>
      <c r="J9955">
        <v>0</v>
      </c>
      <c r="K9955">
        <v>0</v>
      </c>
      <c r="L9955">
        <v>0</v>
      </c>
      <c r="M9955" t="s">
        <v>43</v>
      </c>
    </row>
    <row r="9956" spans="1:13" hidden="1" x14ac:dyDescent="0.15">
      <c r="A9956" t="s">
        <v>31349</v>
      </c>
      <c r="B9956" t="s">
        <v>31350</v>
      </c>
      <c r="C9956" t="s">
        <v>31351</v>
      </c>
      <c r="D9956" t="s">
        <v>31342</v>
      </c>
      <c r="E9956">
        <v>0</v>
      </c>
      <c r="F9956" t="str">
        <f>HYPERLINK("https://github.com/AndroidIDEOfficial/AndroidIDE/issues/1322", "show")</f>
        <v>show</v>
      </c>
      <c r="G9956" t="str">
        <f>HYPERLINK("https://github.com/AndroidIDEOfficial/AndroidIDE", "show")</f>
        <v>show</v>
      </c>
      <c r="H9956" t="str">
        <f>HYPERLINK("https://github.com/AndroidIDEOfficial/AndroidIDE/releases", "show")</f>
        <v>show</v>
      </c>
      <c r="I9956">
        <v>0</v>
      </c>
      <c r="J9956">
        <v>0</v>
      </c>
      <c r="K9956">
        <v>1</v>
      </c>
      <c r="L9956">
        <v>0</v>
      </c>
      <c r="M9956" t="s">
        <v>122</v>
      </c>
    </row>
    <row r="9957" spans="1:13" hidden="1" x14ac:dyDescent="0.15">
      <c r="A9957" t="s">
        <v>31352</v>
      </c>
      <c r="B9957" t="s">
        <v>31353</v>
      </c>
      <c r="C9957" t="s">
        <v>31354</v>
      </c>
      <c r="D9957" t="s">
        <v>31342</v>
      </c>
      <c r="E9957">
        <v>0</v>
      </c>
      <c r="F9957" t="str">
        <f>HYPERLINK("https://github.com/Anuken/Mindustry/issues/9070", "show")</f>
        <v>show</v>
      </c>
      <c r="G9957" t="str">
        <f>HYPERLINK("https://github.com/Anuken/Mindustry", "show")</f>
        <v>show</v>
      </c>
      <c r="H9957" t="str">
        <f>HYPERLINK("https://github.com/Anuken/Mindustry/releases", "show")</f>
        <v>show</v>
      </c>
      <c r="I9957">
        <v>1</v>
      </c>
      <c r="J9957">
        <v>1</v>
      </c>
      <c r="K9957">
        <v>0</v>
      </c>
      <c r="L9957">
        <v>0</v>
      </c>
      <c r="M9957" t="s">
        <v>48</v>
      </c>
    </row>
    <row r="9958" spans="1:13" hidden="1" x14ac:dyDescent="0.15">
      <c r="A9958" t="s">
        <v>31355</v>
      </c>
      <c r="B9958" t="s">
        <v>31356</v>
      </c>
      <c r="C9958" t="s">
        <v>31357</v>
      </c>
      <c r="D9958" t="s">
        <v>31358</v>
      </c>
      <c r="E9958">
        <v>1</v>
      </c>
      <c r="F9958" t="str">
        <f>HYPERLINK("https://github.com/PojavLauncherTeam/PojavLauncher/issues/4598", "show")</f>
        <v>show</v>
      </c>
      <c r="G9958" t="str">
        <f>HYPERLINK("https://github.com/PojavLauncherTeam/PojavLauncher", "show")</f>
        <v>show</v>
      </c>
      <c r="H9958" t="str">
        <f>HYPERLINK("https://github.com/PojavLauncherTeam/PojavLauncher/releases", "show")</f>
        <v>show</v>
      </c>
      <c r="I9958">
        <v>0</v>
      </c>
      <c r="J9958">
        <v>0</v>
      </c>
      <c r="K9958">
        <v>0</v>
      </c>
      <c r="L9958">
        <v>0</v>
      </c>
      <c r="M9958" t="s">
        <v>43</v>
      </c>
    </row>
    <row r="9959" spans="1:13" hidden="1" x14ac:dyDescent="0.15">
      <c r="A9959" t="s">
        <v>31359</v>
      </c>
      <c r="B9959" t="s">
        <v>31360</v>
      </c>
      <c r="C9959" t="s">
        <v>31361</v>
      </c>
      <c r="D9959" t="s">
        <v>31358</v>
      </c>
      <c r="E9959">
        <v>0</v>
      </c>
      <c r="F9959" t="str">
        <f>HYPERLINK("https://github.com/Aliucord/Aliucord/issues/383", "show")</f>
        <v>show</v>
      </c>
      <c r="G9959" t="str">
        <f>HYPERLINK("https://github.com/Aliucord/Aliucord", "show")</f>
        <v>show</v>
      </c>
      <c r="H9959" t="str">
        <f>HYPERLINK("https://github.com/Aliucord/Aliucord/releases", "show")</f>
        <v>show</v>
      </c>
      <c r="I9959">
        <v>1</v>
      </c>
      <c r="J9959">
        <v>1</v>
      </c>
      <c r="K9959">
        <v>0</v>
      </c>
      <c r="L9959">
        <v>0</v>
      </c>
      <c r="M9959" t="s">
        <v>48</v>
      </c>
    </row>
    <row r="9960" spans="1:13" hidden="1" x14ac:dyDescent="0.15">
      <c r="A9960" t="s">
        <v>31362</v>
      </c>
      <c r="B9960" t="s">
        <v>31363</v>
      </c>
      <c r="C9960" t="s">
        <v>31364</v>
      </c>
      <c r="D9960" t="s">
        <v>31365</v>
      </c>
      <c r="E9960">
        <v>10</v>
      </c>
      <c r="F9960" t="str">
        <f>HYPERLINK("https://github.com/FCL-Team/FoldCraftLauncher/issues/118", "show")</f>
        <v>show</v>
      </c>
      <c r="G9960" t="str">
        <f>HYPERLINK("https://github.com/FCL-Team/FoldCraftLauncher", "show")</f>
        <v>show</v>
      </c>
      <c r="H9960" t="str">
        <f>HYPERLINK("https://github.com/FCL-Team/FoldCraftLauncher/releases", "show")</f>
        <v>show</v>
      </c>
      <c r="I9960">
        <v>1</v>
      </c>
      <c r="J9960">
        <v>0</v>
      </c>
      <c r="K9960">
        <v>1</v>
      </c>
      <c r="L9960">
        <v>0</v>
      </c>
      <c r="M9960" t="s">
        <v>64</v>
      </c>
    </row>
    <row r="9961" spans="1:13" hidden="1" x14ac:dyDescent="0.15">
      <c r="A9961" t="s">
        <v>31366</v>
      </c>
      <c r="B9961" t="s">
        <v>31367</v>
      </c>
      <c r="C9961" t="s">
        <v>31368</v>
      </c>
      <c r="D9961" t="s">
        <v>31369</v>
      </c>
      <c r="E9961">
        <v>5</v>
      </c>
      <c r="F9961" t="str">
        <f>HYPERLINK("https://github.com/PojavLauncherTeam/PojavLauncher/issues/4590", "show")</f>
        <v>show</v>
      </c>
      <c r="G9961" t="str">
        <f>HYPERLINK("https://github.com/PojavLauncherTeam/PojavLauncher", "show")</f>
        <v>show</v>
      </c>
      <c r="H9961" t="str">
        <f>HYPERLINK("https://github.com/PojavLauncherTeam/PojavLauncher/releases", "show")</f>
        <v>show</v>
      </c>
      <c r="I9961">
        <v>1</v>
      </c>
      <c r="J9961">
        <v>1</v>
      </c>
      <c r="K9961">
        <v>0</v>
      </c>
      <c r="L9961">
        <v>0</v>
      </c>
      <c r="M9961" t="s">
        <v>48</v>
      </c>
    </row>
    <row r="9962" spans="1:13" hidden="1" x14ac:dyDescent="0.15">
      <c r="A9962" t="s">
        <v>31370</v>
      </c>
      <c r="B9962" t="s">
        <v>31371</v>
      </c>
      <c r="C9962" t="s">
        <v>31372</v>
      </c>
      <c r="D9962" t="s">
        <v>31369</v>
      </c>
      <c r="E9962">
        <v>0</v>
      </c>
      <c r="F9962" t="str">
        <f>HYPERLINK("https://github.com/PojavLauncherTeam/PojavLauncher/issues/4587", "show")</f>
        <v>show</v>
      </c>
      <c r="G9962" t="str">
        <f>HYPERLINK("https://github.com/PojavLauncherTeam/PojavLauncher", "show")</f>
        <v>show</v>
      </c>
      <c r="H9962" t="str">
        <f>HYPERLINK("https://github.com/PojavLauncherTeam/PojavLauncher/releases", "show")</f>
        <v>show</v>
      </c>
      <c r="I9962">
        <v>1</v>
      </c>
      <c r="J9962">
        <v>1</v>
      </c>
      <c r="K9962">
        <v>1</v>
      </c>
      <c r="L9962">
        <v>0</v>
      </c>
      <c r="M9962" t="s">
        <v>59</v>
      </c>
    </row>
    <row r="9963" spans="1:13" hidden="1" x14ac:dyDescent="0.15">
      <c r="A9963" t="s">
        <v>31373</v>
      </c>
      <c r="B9963" t="s">
        <v>31374</v>
      </c>
      <c r="C9963" t="s">
        <v>31375</v>
      </c>
      <c r="D9963" t="s">
        <v>31376</v>
      </c>
      <c r="E9963">
        <v>0</v>
      </c>
      <c r="F9963" t="str">
        <f>HYPERLINK("https://github.com/PojavLauncherTeam/PojavLauncher/issues/4585", "show")</f>
        <v>show</v>
      </c>
      <c r="G9963" t="str">
        <f>HYPERLINK("https://github.com/PojavLauncherTeam/PojavLauncher", "show")</f>
        <v>show</v>
      </c>
      <c r="H9963" t="str">
        <f>HYPERLINK("https://github.com/PojavLauncherTeam/PojavLauncher/releases", "show")</f>
        <v>show</v>
      </c>
      <c r="I9963">
        <v>1</v>
      </c>
      <c r="J9963">
        <v>0</v>
      </c>
      <c r="K9963">
        <v>0</v>
      </c>
      <c r="L9963">
        <v>0</v>
      </c>
      <c r="M9963" t="s">
        <v>17</v>
      </c>
    </row>
    <row r="9964" spans="1:13" hidden="1" x14ac:dyDescent="0.15">
      <c r="A9964" t="s">
        <v>31377</v>
      </c>
      <c r="B9964" t="s">
        <v>31378</v>
      </c>
      <c r="D9964" t="s">
        <v>31376</v>
      </c>
      <c r="E9964">
        <v>0</v>
      </c>
      <c r="F9964" t="str">
        <f>HYPERLINK("https://github.com/chathuranga-jayanath-99/GPATracker/issues/23", "show")</f>
        <v>show</v>
      </c>
      <c r="G9964" t="str">
        <f>HYPERLINK("https://github.com/chathuranga-jayanath-99/GPATracker", "show")</f>
        <v>show</v>
      </c>
      <c r="H9964" t="str">
        <f>HYPERLINK("https://github.com/chathuranga-jayanath-99/GPATracker/releases", "show")</f>
        <v>show</v>
      </c>
      <c r="I9964">
        <v>1</v>
      </c>
      <c r="J9964">
        <v>0</v>
      </c>
      <c r="K9964">
        <v>0</v>
      </c>
      <c r="L9964">
        <v>0</v>
      </c>
      <c r="M9964" t="s">
        <v>17</v>
      </c>
    </row>
    <row r="9965" spans="1:13" hidden="1" x14ac:dyDescent="0.15">
      <c r="A9965" t="s">
        <v>31379</v>
      </c>
      <c r="B9965" t="s">
        <v>31380</v>
      </c>
      <c r="C9965" t="s">
        <v>31381</v>
      </c>
      <c r="D9965" t="s">
        <v>31382</v>
      </c>
      <c r="E9965">
        <v>0</v>
      </c>
      <c r="F9965" t="str">
        <f>HYPERLINK("https://github.com/Anuken/Mindustry/issues/9056", "show")</f>
        <v>show</v>
      </c>
      <c r="G9965" t="str">
        <f>HYPERLINK("https://github.com/Anuken/Mindustry", "show")</f>
        <v>show</v>
      </c>
      <c r="H9965" t="str">
        <f>HYPERLINK("https://github.com/Anuken/Mindustry/releases", "show")</f>
        <v>show</v>
      </c>
      <c r="I9965">
        <v>0</v>
      </c>
      <c r="J9965">
        <v>0</v>
      </c>
      <c r="K9965">
        <v>0</v>
      </c>
      <c r="L9965">
        <v>1</v>
      </c>
      <c r="M9965" t="s">
        <v>581</v>
      </c>
    </row>
    <row r="9966" spans="1:13" hidden="1" x14ac:dyDescent="0.15">
      <c r="A9966" t="s">
        <v>31383</v>
      </c>
      <c r="B9966" t="s">
        <v>31384</v>
      </c>
      <c r="C9966" t="s">
        <v>31385</v>
      </c>
      <c r="D9966" t="s">
        <v>31382</v>
      </c>
      <c r="E9966">
        <v>0</v>
      </c>
      <c r="F9966" t="str">
        <f>HYPERLINK("https://github.com/wiglenet/wigle-wifi-wardriving/issues/634", "show")</f>
        <v>show</v>
      </c>
      <c r="G9966" t="str">
        <f>HYPERLINK("https://github.com/wiglenet/wigle-wifi-wardriving", "show")</f>
        <v>show</v>
      </c>
      <c r="H9966" t="str">
        <f>HYPERLINK("https://github.com/wiglenet/wigle-wifi-wardriving/releases", "show")</f>
        <v>show</v>
      </c>
      <c r="I9966">
        <v>0</v>
      </c>
      <c r="J9966">
        <v>0</v>
      </c>
      <c r="K9966">
        <v>0</v>
      </c>
      <c r="L9966">
        <v>0</v>
      </c>
      <c r="M9966" t="s">
        <v>43</v>
      </c>
    </row>
    <row r="9967" spans="1:13" hidden="1" x14ac:dyDescent="0.15">
      <c r="A9967" t="s">
        <v>31386</v>
      </c>
      <c r="B9967" t="s">
        <v>31387</v>
      </c>
      <c r="C9967" t="s">
        <v>31388</v>
      </c>
      <c r="D9967" t="s">
        <v>31382</v>
      </c>
      <c r="E9967">
        <v>0</v>
      </c>
      <c r="F9967" t="str">
        <f>HYPERLINK("https://github.com/AndroidIDEOfficial/AndroidIDE/issues/1315", "show")</f>
        <v>show</v>
      </c>
      <c r="G9967" t="str">
        <f>HYPERLINK("https://github.com/AndroidIDEOfficial/AndroidIDE", "show")</f>
        <v>show</v>
      </c>
      <c r="H9967" t="str">
        <f>HYPERLINK("https://github.com/AndroidIDEOfficial/AndroidIDE/releases", "show")</f>
        <v>show</v>
      </c>
      <c r="I9967">
        <v>0</v>
      </c>
      <c r="J9967">
        <v>0</v>
      </c>
      <c r="K9967">
        <v>1</v>
      </c>
      <c r="L9967">
        <v>0</v>
      </c>
      <c r="M9967" t="s">
        <v>122</v>
      </c>
    </row>
    <row r="9968" spans="1:13" hidden="1" x14ac:dyDescent="0.15">
      <c r="A9968" t="s">
        <v>31389</v>
      </c>
      <c r="B9968" t="s">
        <v>31390</v>
      </c>
      <c r="C9968" t="s">
        <v>31391</v>
      </c>
      <c r="D9968" t="s">
        <v>31382</v>
      </c>
      <c r="E9968">
        <v>0</v>
      </c>
      <c r="F9968" t="str">
        <f>HYPERLINK("https://github.com/AndroidIDEOfficial/AndroidIDE/issues/1312", "show")</f>
        <v>show</v>
      </c>
      <c r="G9968" t="str">
        <f>HYPERLINK("https://github.com/AndroidIDEOfficial/AndroidIDE", "show")</f>
        <v>show</v>
      </c>
      <c r="H9968" t="str">
        <f>HYPERLINK("https://github.com/AndroidIDEOfficial/AndroidIDE/releases", "show")</f>
        <v>show</v>
      </c>
      <c r="I9968">
        <v>0</v>
      </c>
      <c r="J9968">
        <v>0</v>
      </c>
      <c r="K9968">
        <v>1</v>
      </c>
      <c r="L9968">
        <v>0</v>
      </c>
      <c r="M9968" t="s">
        <v>122</v>
      </c>
    </row>
    <row r="9969" spans="1:13" hidden="1" x14ac:dyDescent="0.15">
      <c r="A9969" t="s">
        <v>31392</v>
      </c>
      <c r="B9969" t="s">
        <v>31393</v>
      </c>
      <c r="C9969" t="s">
        <v>31394</v>
      </c>
      <c r="D9969" t="s">
        <v>31395</v>
      </c>
      <c r="E9969">
        <v>1</v>
      </c>
      <c r="F9969" t="str">
        <f>HYPERLINK("https://github.com/MuntashirAkon/AppManager/issues/1176", "show")</f>
        <v>show</v>
      </c>
      <c r="G9969" t="str">
        <f>HYPERLINK("https://github.com/MuntashirAkon/AppManager", "show")</f>
        <v>show</v>
      </c>
      <c r="H9969" t="str">
        <f>HYPERLINK("https://github.com/MuntashirAkon/AppManager/releases", "show")</f>
        <v>show</v>
      </c>
      <c r="I9969">
        <v>0</v>
      </c>
      <c r="J9969">
        <v>1</v>
      </c>
      <c r="K9969">
        <v>1</v>
      </c>
      <c r="L9969">
        <v>0</v>
      </c>
      <c r="M9969" t="s">
        <v>699</v>
      </c>
    </row>
    <row r="9970" spans="1:13" hidden="1" x14ac:dyDescent="0.15">
      <c r="A9970" t="s">
        <v>31396</v>
      </c>
      <c r="B9970" t="s">
        <v>31397</v>
      </c>
      <c r="C9970" t="s">
        <v>31398</v>
      </c>
      <c r="D9970" t="s">
        <v>31395</v>
      </c>
      <c r="E9970">
        <v>16</v>
      </c>
      <c r="F9970" t="str">
        <f>HYPERLINK("https://github.com/rudderlabs/rudder-sdk-android/issues/303", "show")</f>
        <v>show</v>
      </c>
      <c r="G9970" t="str">
        <f>HYPERLINK("https://github.com/rudderlabs/rudder-sdk-android", "show")</f>
        <v>show</v>
      </c>
      <c r="H9970" t="str">
        <f>HYPERLINK("https://github.com/rudderlabs/rudder-sdk-android/releases", "show")</f>
        <v>show</v>
      </c>
      <c r="I9970">
        <v>1</v>
      </c>
      <c r="J9970">
        <v>0</v>
      </c>
      <c r="K9970">
        <v>0</v>
      </c>
      <c r="L9970">
        <v>0</v>
      </c>
      <c r="M9970" t="s">
        <v>17</v>
      </c>
    </row>
    <row r="9971" spans="1:13" hidden="1" x14ac:dyDescent="0.15">
      <c r="A9971" t="s">
        <v>31399</v>
      </c>
      <c r="B9971" t="s">
        <v>31400</v>
      </c>
      <c r="C9971" t="s">
        <v>31401</v>
      </c>
      <c r="D9971" t="s">
        <v>31395</v>
      </c>
      <c r="E9971">
        <v>1</v>
      </c>
      <c r="F9971" t="str">
        <f>HYPERLINK("https://github.com/AndroidIDEOfficial/AndroidIDE/issues/1308", "show")</f>
        <v>show</v>
      </c>
      <c r="G9971" t="str">
        <f>HYPERLINK("https://github.com/AndroidIDEOfficial/AndroidIDE", "show")</f>
        <v>show</v>
      </c>
      <c r="H9971" t="str">
        <f>HYPERLINK("https://github.com/AndroidIDEOfficial/AndroidIDE/releases", "show")</f>
        <v>show</v>
      </c>
      <c r="I9971">
        <v>0</v>
      </c>
      <c r="J9971">
        <v>0</v>
      </c>
      <c r="K9971">
        <v>1</v>
      </c>
      <c r="L9971">
        <v>0</v>
      </c>
      <c r="M9971" t="s">
        <v>122</v>
      </c>
    </row>
    <row r="9972" spans="1:13" hidden="1" x14ac:dyDescent="0.15">
      <c r="A9972" t="s">
        <v>31402</v>
      </c>
      <c r="B9972" t="s">
        <v>31403</v>
      </c>
      <c r="C9972" t="s">
        <v>31404</v>
      </c>
      <c r="D9972" t="s">
        <v>31395</v>
      </c>
      <c r="E9972">
        <v>0</v>
      </c>
      <c r="F9972" t="str">
        <f>HYPERLINK("https://github.com/LSPosed/LSPosed/issues/2754", "show")</f>
        <v>show</v>
      </c>
      <c r="G9972" t="str">
        <f>HYPERLINK("https://github.com/LSPosed/LSPosed", "show")</f>
        <v>show</v>
      </c>
      <c r="H9972" t="str">
        <f>HYPERLINK("https://github.com/LSPosed/LSPosed/releases", "show")</f>
        <v>show</v>
      </c>
      <c r="I9972">
        <v>1</v>
      </c>
      <c r="J9972">
        <v>0</v>
      </c>
      <c r="K9972">
        <v>0</v>
      </c>
      <c r="L9972">
        <v>0</v>
      </c>
      <c r="M9972" t="s">
        <v>17</v>
      </c>
    </row>
    <row r="9973" spans="1:13" hidden="1" x14ac:dyDescent="0.15">
      <c r="A9973" t="s">
        <v>31405</v>
      </c>
      <c r="B9973" t="s">
        <v>31406</v>
      </c>
      <c r="C9973" t="s">
        <v>31407</v>
      </c>
      <c r="D9973" t="s">
        <v>31395</v>
      </c>
      <c r="E9973">
        <v>6</v>
      </c>
      <c r="F9973" t="str">
        <f>HYPERLINK("https://github.com/PojavLauncherTeam/PojavLauncher/issues/4580", "show")</f>
        <v>show</v>
      </c>
      <c r="G9973" t="str">
        <f>HYPERLINK("https://github.com/PojavLauncherTeam/PojavLauncher", "show")</f>
        <v>show</v>
      </c>
      <c r="H9973" t="str">
        <f>HYPERLINK("https://github.com/PojavLauncherTeam/PojavLauncher/releases", "show")</f>
        <v>show</v>
      </c>
      <c r="I9973">
        <v>0</v>
      </c>
      <c r="J9973">
        <v>0</v>
      </c>
      <c r="K9973">
        <v>0</v>
      </c>
      <c r="L9973">
        <v>1</v>
      </c>
      <c r="M9973" t="s">
        <v>581</v>
      </c>
    </row>
    <row r="9974" spans="1:13" hidden="1" x14ac:dyDescent="0.15">
      <c r="A9974" t="s">
        <v>31408</v>
      </c>
      <c r="B9974" t="s">
        <v>31409</v>
      </c>
      <c r="C9974" t="s">
        <v>31410</v>
      </c>
      <c r="D9974" t="s">
        <v>31411</v>
      </c>
      <c r="E9974">
        <v>6</v>
      </c>
      <c r="F9974" t="str">
        <f>HYPERLINK("https://github.com/pedroSG94/RootEncoder/issues/1275", "show")</f>
        <v>show</v>
      </c>
      <c r="G9974" t="str">
        <f>HYPERLINK("https://github.com/pedroSG94/RootEncoder", "show")</f>
        <v>show</v>
      </c>
      <c r="H9974" t="str">
        <f>HYPERLINK("https://github.com/pedroSG94/RootEncoder/releases", "show")</f>
        <v>show</v>
      </c>
      <c r="I9974">
        <v>1</v>
      </c>
      <c r="J9974">
        <v>0</v>
      </c>
      <c r="K9974">
        <v>0</v>
      </c>
      <c r="L9974">
        <v>0</v>
      </c>
      <c r="M9974" t="s">
        <v>17</v>
      </c>
    </row>
    <row r="9975" spans="1:13" hidden="1" x14ac:dyDescent="0.15">
      <c r="A9975" t="s">
        <v>31412</v>
      </c>
      <c r="B9975" t="s">
        <v>31413</v>
      </c>
      <c r="C9975" t="s">
        <v>31414</v>
      </c>
      <c r="D9975" t="s">
        <v>31411</v>
      </c>
      <c r="E9975">
        <v>14</v>
      </c>
      <c r="F9975" t="str">
        <f>HYPERLINK("https://github.com/OneSignal/OneSignal-Android-SDK/issues/1834", "show")</f>
        <v>show</v>
      </c>
      <c r="G9975" t="str">
        <f>HYPERLINK("https://github.com/OneSignal/OneSignal-Android-SDK", "show")</f>
        <v>show</v>
      </c>
      <c r="H9975" t="str">
        <f>HYPERLINK("https://github.com/OneSignal/OneSignal-Android-SDK/releases", "show")</f>
        <v>show</v>
      </c>
      <c r="I9975">
        <v>1</v>
      </c>
      <c r="J9975">
        <v>1</v>
      </c>
      <c r="K9975">
        <v>1</v>
      </c>
      <c r="L9975">
        <v>0</v>
      </c>
      <c r="M9975" t="s">
        <v>59</v>
      </c>
    </row>
    <row r="9976" spans="1:13" hidden="1" x14ac:dyDescent="0.15">
      <c r="A9976" t="s">
        <v>31415</v>
      </c>
      <c r="B9976" t="s">
        <v>31416</v>
      </c>
      <c r="C9976" t="s">
        <v>31417</v>
      </c>
      <c r="D9976" t="s">
        <v>31411</v>
      </c>
      <c r="E9976">
        <v>0</v>
      </c>
      <c r="F9976" t="str">
        <f>HYPERLINK("https://github.com/PojavLauncherTeam/PojavLauncher/issues/4578", "show")</f>
        <v>show</v>
      </c>
      <c r="G9976" t="str">
        <f>HYPERLINK("https://github.com/PojavLauncherTeam/PojavLauncher", "show")</f>
        <v>show</v>
      </c>
      <c r="H9976" t="str">
        <f>HYPERLINK("https://github.com/PojavLauncherTeam/PojavLauncher/releases", "show")</f>
        <v>show</v>
      </c>
      <c r="I9976">
        <v>1</v>
      </c>
      <c r="J9976">
        <v>0</v>
      </c>
      <c r="K9976">
        <v>0</v>
      </c>
      <c r="L9976">
        <v>0</v>
      </c>
      <c r="M9976" t="s">
        <v>17</v>
      </c>
    </row>
    <row r="9977" spans="1:13" hidden="1" x14ac:dyDescent="0.15">
      <c r="A9977" t="s">
        <v>31418</v>
      </c>
      <c r="B9977" t="s">
        <v>31419</v>
      </c>
      <c r="C9977" t="s">
        <v>31420</v>
      </c>
      <c r="D9977" t="s">
        <v>31411</v>
      </c>
      <c r="E9977">
        <v>3</v>
      </c>
      <c r="F9977" t="str">
        <f>HYPERLINK("https://github.com/LSPosed/LSPosed/issues/2753", "show")</f>
        <v>show</v>
      </c>
      <c r="G9977" t="str">
        <f>HYPERLINK("https://github.com/LSPosed/LSPosed", "show")</f>
        <v>show</v>
      </c>
      <c r="H9977" t="str">
        <f>HYPERLINK("https://github.com/LSPosed/LSPosed/releases", "show")</f>
        <v>show</v>
      </c>
      <c r="I9977">
        <v>1</v>
      </c>
      <c r="J9977">
        <v>0</v>
      </c>
      <c r="K9977">
        <v>0</v>
      </c>
      <c r="L9977">
        <v>0</v>
      </c>
      <c r="M9977" t="s">
        <v>17</v>
      </c>
    </row>
    <row r="9978" spans="1:13" hidden="1" x14ac:dyDescent="0.15">
      <c r="A9978" t="s">
        <v>31421</v>
      </c>
      <c r="B9978" t="s">
        <v>31422</v>
      </c>
      <c r="C9978" t="s">
        <v>31423</v>
      </c>
      <c r="D9978" t="s">
        <v>31424</v>
      </c>
      <c r="E9978">
        <v>15</v>
      </c>
      <c r="F9978" t="str">
        <f>HYPERLINK("https://github.com/nicolasbrailo/PianOli/issues/65", "show")</f>
        <v>show</v>
      </c>
      <c r="G9978" t="str">
        <f>HYPERLINK("https://github.com/nicolasbrailo/PianOli", "show")</f>
        <v>show</v>
      </c>
      <c r="H9978" t="str">
        <f>HYPERLINK("https://github.com/nicolasbrailo/PianOli/releases", "show")</f>
        <v>show</v>
      </c>
      <c r="I9978">
        <v>1</v>
      </c>
      <c r="J9978">
        <v>0</v>
      </c>
      <c r="K9978">
        <v>1</v>
      </c>
      <c r="L9978">
        <v>0</v>
      </c>
      <c r="M9978" t="s">
        <v>64</v>
      </c>
    </row>
    <row r="9979" spans="1:13" hidden="1" x14ac:dyDescent="0.15">
      <c r="A9979" t="s">
        <v>31425</v>
      </c>
      <c r="B9979" t="s">
        <v>31426</v>
      </c>
      <c r="C9979" t="s">
        <v>31427</v>
      </c>
      <c r="D9979" t="s">
        <v>31428</v>
      </c>
      <c r="E9979">
        <v>3</v>
      </c>
      <c r="F9979" t="str">
        <f>HYPERLINK("https://github.com/CappielloAntonio/tempo/issues/74", "show")</f>
        <v>show</v>
      </c>
      <c r="G9979" t="str">
        <f>HYPERLINK("https://github.com/CappielloAntonio/tempo", "show")</f>
        <v>show</v>
      </c>
      <c r="H9979" t="str">
        <f>HYPERLINK("https://github.com/CappielloAntonio/tempo/releases", "show")</f>
        <v>show</v>
      </c>
      <c r="I9979">
        <v>0</v>
      </c>
      <c r="J9979">
        <v>0</v>
      </c>
      <c r="K9979">
        <v>1</v>
      </c>
      <c r="L9979">
        <v>0</v>
      </c>
      <c r="M9979" t="s">
        <v>122</v>
      </c>
    </row>
    <row r="9980" spans="1:13" hidden="1" x14ac:dyDescent="0.15">
      <c r="A9980" t="s">
        <v>31429</v>
      </c>
      <c r="B9980" t="s">
        <v>16682</v>
      </c>
      <c r="C9980" t="s">
        <v>31430</v>
      </c>
      <c r="D9980" t="s">
        <v>31428</v>
      </c>
      <c r="E9980">
        <v>0</v>
      </c>
      <c r="F9980" t="str">
        <f>HYPERLINK("https://github.com/Anuken/Mindustry/issues/9043", "show")</f>
        <v>show</v>
      </c>
      <c r="G9980" t="str">
        <f>HYPERLINK("https://github.com/Anuken/Mindustry", "show")</f>
        <v>show</v>
      </c>
      <c r="H9980" t="str">
        <f>HYPERLINK("https://github.com/Anuken/Mindustry/releases", "show")</f>
        <v>show</v>
      </c>
      <c r="I9980">
        <v>0</v>
      </c>
      <c r="J9980">
        <v>1</v>
      </c>
      <c r="K9980">
        <v>0</v>
      </c>
      <c r="L9980">
        <v>1</v>
      </c>
      <c r="M9980" t="s">
        <v>1732</v>
      </c>
    </row>
    <row r="9981" spans="1:13" x14ac:dyDescent="0.15">
      <c r="A9981" t="s">
        <v>31431</v>
      </c>
      <c r="B9981" t="s">
        <v>31432</v>
      </c>
      <c r="C9981" t="s">
        <v>31433</v>
      </c>
      <c r="D9981" t="s">
        <v>31428</v>
      </c>
      <c r="E9981">
        <v>1</v>
      </c>
      <c r="F9981" t="str">
        <f>HYPERLINK("https://github.com/osudroid/osu-droid/issues/279", "show")</f>
        <v>show</v>
      </c>
      <c r="G9981" t="str">
        <f>HYPERLINK("https://github.com/osudroid/osu-droid", "show")</f>
        <v>show</v>
      </c>
      <c r="H9981" t="str">
        <f>HYPERLINK("https://github.com/osudroid/osu-droid/releases", "show")</f>
        <v>show</v>
      </c>
      <c r="I9981">
        <v>0</v>
      </c>
      <c r="J9981">
        <v>1</v>
      </c>
      <c r="K9981">
        <v>0</v>
      </c>
      <c r="L9981">
        <v>0</v>
      </c>
      <c r="M9981" t="s">
        <v>139</v>
      </c>
    </row>
    <row r="9982" spans="1:13" hidden="1" x14ac:dyDescent="0.15">
      <c r="A9982" t="s">
        <v>31434</v>
      </c>
      <c r="B9982" t="s">
        <v>31435</v>
      </c>
      <c r="C9982" t="s">
        <v>31436</v>
      </c>
      <c r="D9982" t="s">
        <v>31437</v>
      </c>
      <c r="E9982">
        <v>1</v>
      </c>
      <c r="F9982" t="str">
        <f>HYPERLINK("https://github.com/applifycu/simple/issues/1", "show")</f>
        <v>show</v>
      </c>
      <c r="G9982" t="str">
        <f>HYPERLINK("https://github.com/applifycu/simple", "show")</f>
        <v>show</v>
      </c>
      <c r="H9982" t="str">
        <f>HYPERLINK("https://github.com/applifycu/simple/releases", "show")</f>
        <v>show</v>
      </c>
      <c r="I9982">
        <v>0</v>
      </c>
      <c r="J9982">
        <v>0</v>
      </c>
      <c r="K9982">
        <v>0</v>
      </c>
      <c r="L9982">
        <v>0</v>
      </c>
      <c r="M9982" t="s">
        <v>43</v>
      </c>
    </row>
    <row r="9983" spans="1:13" hidden="1" x14ac:dyDescent="0.15">
      <c r="A9983" t="s">
        <v>31438</v>
      </c>
      <c r="B9983" t="s">
        <v>31439</v>
      </c>
      <c r="C9983" t="s">
        <v>31440</v>
      </c>
      <c r="D9983" t="s">
        <v>31437</v>
      </c>
      <c r="E9983">
        <v>2</v>
      </c>
      <c r="F9983" t="str">
        <f>HYPERLINK("https://github.com/PojavLauncherTeam/PojavLauncher/issues/4569", "show")</f>
        <v>show</v>
      </c>
      <c r="G9983" t="str">
        <f>HYPERLINK("https://github.com/PojavLauncherTeam/PojavLauncher", "show")</f>
        <v>show</v>
      </c>
      <c r="H9983" t="str">
        <f>HYPERLINK("https://github.com/PojavLauncherTeam/PojavLauncher/releases", "show")</f>
        <v>show</v>
      </c>
      <c r="I9983">
        <v>0</v>
      </c>
      <c r="J9983">
        <v>0</v>
      </c>
      <c r="K9983">
        <v>0</v>
      </c>
      <c r="L9983">
        <v>0</v>
      </c>
      <c r="M9983" t="s">
        <v>43</v>
      </c>
    </row>
    <row r="9984" spans="1:13" hidden="1" x14ac:dyDescent="0.15">
      <c r="A9984" t="s">
        <v>31441</v>
      </c>
      <c r="B9984" t="s">
        <v>31442</v>
      </c>
      <c r="C9984" t="s">
        <v>31443</v>
      </c>
      <c r="D9984" t="s">
        <v>31444</v>
      </c>
      <c r="E9984">
        <v>3</v>
      </c>
      <c r="F9984" t="str">
        <f>HYPERLINK("https://github.com/facebook/react-native/issues/39359", "show")</f>
        <v>show</v>
      </c>
      <c r="G9984" t="str">
        <f>HYPERLINK("https://github.com/facebook/react-native", "show")</f>
        <v>show</v>
      </c>
      <c r="H9984" t="str">
        <f>HYPERLINK("https://github.com/facebook/react-native/releases", "show")</f>
        <v>show</v>
      </c>
      <c r="I9984">
        <v>1</v>
      </c>
      <c r="J9984">
        <v>1</v>
      </c>
      <c r="K9984">
        <v>0</v>
      </c>
      <c r="L9984">
        <v>0</v>
      </c>
      <c r="M9984" t="s">
        <v>48</v>
      </c>
    </row>
    <row r="9985" spans="1:13" hidden="1" x14ac:dyDescent="0.15">
      <c r="A9985" t="s">
        <v>31445</v>
      </c>
      <c r="B9985" t="s">
        <v>31446</v>
      </c>
      <c r="C9985" t="s">
        <v>31447</v>
      </c>
      <c r="D9985" t="s">
        <v>31444</v>
      </c>
      <c r="E9985">
        <v>1</v>
      </c>
      <c r="F9985" t="str">
        <f>HYPERLINK("https://github.com/PojavLauncherTeam/PojavLauncher/issues/4567", "show")</f>
        <v>show</v>
      </c>
      <c r="G9985" t="str">
        <f>HYPERLINK("https://github.com/PojavLauncherTeam/PojavLauncher", "show")</f>
        <v>show</v>
      </c>
      <c r="H9985" t="str">
        <f>HYPERLINK("https://github.com/PojavLauncherTeam/PojavLauncher/releases", "show")</f>
        <v>show</v>
      </c>
      <c r="I9985">
        <v>1</v>
      </c>
      <c r="J9985">
        <v>0</v>
      </c>
      <c r="K9985">
        <v>1</v>
      </c>
      <c r="L9985">
        <v>0</v>
      </c>
      <c r="M9985" t="s">
        <v>64</v>
      </c>
    </row>
    <row r="9986" spans="1:13" hidden="1" x14ac:dyDescent="0.15">
      <c r="A9986" t="s">
        <v>31448</v>
      </c>
      <c r="B9986" t="s">
        <v>14589</v>
      </c>
      <c r="C9986" t="s">
        <v>31449</v>
      </c>
      <c r="D9986" t="s">
        <v>31444</v>
      </c>
      <c r="E9986">
        <v>0</v>
      </c>
      <c r="F9986" t="str">
        <f>HYPERLINK("https://github.com/VishnuSanal/DialogMusicPlayer/issues/43", "show")</f>
        <v>show</v>
      </c>
      <c r="G9986" t="str">
        <f>HYPERLINK("https://github.com/VishnuSanal/DialogMusicPlayer", "show")</f>
        <v>show</v>
      </c>
      <c r="H9986" t="str">
        <f>HYPERLINK("https://github.com/VishnuSanal/DialogMusicPlayer/releases", "show")</f>
        <v>show</v>
      </c>
      <c r="I9986">
        <v>1</v>
      </c>
      <c r="J9986">
        <v>1</v>
      </c>
      <c r="K9986">
        <v>1</v>
      </c>
      <c r="L9986">
        <v>0</v>
      </c>
      <c r="M9986" t="s">
        <v>59</v>
      </c>
    </row>
    <row r="9987" spans="1:13" hidden="1" x14ac:dyDescent="0.15">
      <c r="A9987" t="s">
        <v>31450</v>
      </c>
      <c r="B9987" t="s">
        <v>31451</v>
      </c>
      <c r="C9987" t="s">
        <v>31452</v>
      </c>
      <c r="D9987" t="s">
        <v>31453</v>
      </c>
      <c r="E9987">
        <v>4</v>
      </c>
      <c r="F9987" t="str">
        <f>HYPERLINK("https://github.com/microg/GmsCore/issues/2024", "show")</f>
        <v>show</v>
      </c>
      <c r="G9987" t="str">
        <f>HYPERLINK("https://github.com/microg/GmsCore", "show")</f>
        <v>show</v>
      </c>
      <c r="H9987" t="str">
        <f>HYPERLINK("https://github.com/microg/GmsCore/releases", "show")</f>
        <v>show</v>
      </c>
      <c r="I9987">
        <v>1</v>
      </c>
      <c r="J9987">
        <v>0</v>
      </c>
      <c r="K9987">
        <v>1</v>
      </c>
      <c r="L9987">
        <v>0</v>
      </c>
      <c r="M9987" t="s">
        <v>64</v>
      </c>
    </row>
    <row r="9988" spans="1:13" hidden="1" x14ac:dyDescent="0.15">
      <c r="A9988" t="s">
        <v>31454</v>
      </c>
      <c r="B9988" t="s">
        <v>16147</v>
      </c>
      <c r="C9988" t="s">
        <v>31455</v>
      </c>
      <c r="D9988" t="s">
        <v>31453</v>
      </c>
      <c r="E9988">
        <v>0</v>
      </c>
      <c r="F9988" t="str">
        <f>HYPERLINK("https://github.com/LawnchairLauncher/lawnchair/issues/3619", "show")</f>
        <v>show</v>
      </c>
      <c r="G9988" t="str">
        <f>HYPERLINK("https://github.com/LawnchairLauncher/lawnchair", "show")</f>
        <v>show</v>
      </c>
      <c r="H9988" t="str">
        <f>HYPERLINK("https://github.com/LawnchairLauncher/lawnchair/releases", "show")</f>
        <v>show</v>
      </c>
      <c r="I9988">
        <v>1</v>
      </c>
      <c r="J9988">
        <v>0</v>
      </c>
      <c r="K9988">
        <v>1</v>
      </c>
      <c r="L9988">
        <v>1</v>
      </c>
      <c r="M9988" t="s">
        <v>1259</v>
      </c>
    </row>
    <row r="9989" spans="1:13" hidden="1" x14ac:dyDescent="0.15">
      <c r="A9989" t="s">
        <v>31456</v>
      </c>
      <c r="B9989" t="s">
        <v>31457</v>
      </c>
      <c r="C9989" t="s">
        <v>31458</v>
      </c>
      <c r="D9989" t="s">
        <v>31453</v>
      </c>
      <c r="E9989">
        <v>0</v>
      </c>
      <c r="F9989" t="str">
        <f>HYPERLINK("https://github.com/androidx/media/issues/642", "show")</f>
        <v>show</v>
      </c>
      <c r="G9989" t="str">
        <f>HYPERLINK("https://github.com/androidx/media", "show")</f>
        <v>show</v>
      </c>
      <c r="H9989" t="str">
        <f>HYPERLINK("https://github.com/androidx/media/releases", "show")</f>
        <v>show</v>
      </c>
      <c r="I9989">
        <v>1</v>
      </c>
      <c r="J9989">
        <v>0</v>
      </c>
      <c r="K9989">
        <v>0</v>
      </c>
      <c r="L9989">
        <v>1</v>
      </c>
      <c r="M9989" t="s">
        <v>29</v>
      </c>
    </row>
    <row r="9990" spans="1:13" hidden="1" x14ac:dyDescent="0.15">
      <c r="A9990" t="s">
        <v>31459</v>
      </c>
      <c r="B9990" t="s">
        <v>31460</v>
      </c>
      <c r="C9990" t="s">
        <v>31461</v>
      </c>
      <c r="D9990" t="s">
        <v>31453</v>
      </c>
      <c r="E9990">
        <v>0</v>
      </c>
      <c r="F9990" t="str">
        <f>HYPERLINK("https://github.com/Anuken/Mindustry/issues/9031", "show")</f>
        <v>show</v>
      </c>
      <c r="G9990" t="str">
        <f>HYPERLINK("https://github.com/Anuken/Mindustry", "show")</f>
        <v>show</v>
      </c>
      <c r="H9990" t="str">
        <f>HYPERLINK("https://github.com/Anuken/Mindustry/releases", "show")</f>
        <v>show</v>
      </c>
      <c r="I9990">
        <v>1</v>
      </c>
      <c r="J9990">
        <v>1</v>
      </c>
      <c r="K9990">
        <v>0</v>
      </c>
      <c r="L9990">
        <v>0</v>
      </c>
      <c r="M9990" t="s">
        <v>48</v>
      </c>
    </row>
    <row r="9991" spans="1:13" x14ac:dyDescent="0.15">
      <c r="A9991" t="s">
        <v>31462</v>
      </c>
      <c r="B9991" t="s">
        <v>31463</v>
      </c>
      <c r="C9991" t="s">
        <v>31464</v>
      </c>
      <c r="D9991" t="s">
        <v>31465</v>
      </c>
      <c r="E9991">
        <v>0</v>
      </c>
      <c r="F9991" t="str">
        <f>HYPERLINK("https://github.com/Anuken/Mindustry/issues/9030", "show")</f>
        <v>show</v>
      </c>
      <c r="G9991" t="str">
        <f>HYPERLINK("https://github.com/Anuken/Mindustry", "show")</f>
        <v>show</v>
      </c>
      <c r="H9991" t="str">
        <f>HYPERLINK("https://github.com/Anuken/Mindustry/releases", "show")</f>
        <v>show</v>
      </c>
      <c r="I9991">
        <v>0</v>
      </c>
      <c r="J9991">
        <v>1</v>
      </c>
      <c r="K9991">
        <v>0</v>
      </c>
      <c r="L9991">
        <v>0</v>
      </c>
      <c r="M9991" t="s">
        <v>139</v>
      </c>
    </row>
    <row r="9992" spans="1:13" hidden="1" x14ac:dyDescent="0.15">
      <c r="A9992" t="s">
        <v>31466</v>
      </c>
      <c r="B9992" t="s">
        <v>31467</v>
      </c>
      <c r="C9992" t="s">
        <v>31468</v>
      </c>
      <c r="D9992" t="s">
        <v>31469</v>
      </c>
      <c r="E9992">
        <v>1</v>
      </c>
      <c r="F9992" t="str">
        <f>HYPERLINK("https://github.com/AndroidIDEOfficial/AndroidIDE/issues/1268", "show")</f>
        <v>show</v>
      </c>
      <c r="G9992" t="str">
        <f>HYPERLINK("https://github.com/AndroidIDEOfficial/AndroidIDE", "show")</f>
        <v>show</v>
      </c>
      <c r="H9992" t="str">
        <f>HYPERLINK("https://github.com/AndroidIDEOfficial/AndroidIDE/releases", "show")</f>
        <v>show</v>
      </c>
      <c r="I9992">
        <v>1</v>
      </c>
      <c r="J9992">
        <v>0</v>
      </c>
      <c r="K9992">
        <v>0</v>
      </c>
      <c r="L9992">
        <v>0</v>
      </c>
      <c r="M9992" t="s">
        <v>17</v>
      </c>
    </row>
    <row r="9993" spans="1:13" hidden="1" x14ac:dyDescent="0.15">
      <c r="A9993" t="s">
        <v>31470</v>
      </c>
      <c r="B9993" t="s">
        <v>31471</v>
      </c>
      <c r="C9993" t="s">
        <v>31472</v>
      </c>
      <c r="D9993" t="s">
        <v>31469</v>
      </c>
      <c r="E9993">
        <v>4</v>
      </c>
      <c r="F9993" t="str">
        <f>HYPERLINK("https://github.com/PojavLauncherTeam/PojavLauncher/issues/4561", "show")</f>
        <v>show</v>
      </c>
      <c r="G9993" t="str">
        <f>HYPERLINK("https://github.com/PojavLauncherTeam/PojavLauncher", "show")</f>
        <v>show</v>
      </c>
      <c r="H9993" t="str">
        <f>HYPERLINK("https://github.com/PojavLauncherTeam/PojavLauncher/releases", "show")</f>
        <v>show</v>
      </c>
      <c r="I9993">
        <v>1</v>
      </c>
      <c r="J9993">
        <v>0</v>
      </c>
      <c r="K9993">
        <v>0</v>
      </c>
      <c r="L9993">
        <v>0</v>
      </c>
      <c r="M9993" t="s">
        <v>17</v>
      </c>
    </row>
    <row r="9994" spans="1:13" hidden="1" x14ac:dyDescent="0.15">
      <c r="A9994" t="s">
        <v>31473</v>
      </c>
      <c r="B9994" t="s">
        <v>31474</v>
      </c>
      <c r="C9994" t="s">
        <v>31475</v>
      </c>
      <c r="D9994" t="s">
        <v>31476</v>
      </c>
      <c r="E9994">
        <v>0</v>
      </c>
      <c r="F9994" t="str">
        <f>HYPERLINK("https://github.com/Anuken/Mindustry/issues/9023", "show")</f>
        <v>show</v>
      </c>
      <c r="G9994" t="str">
        <f>HYPERLINK("https://github.com/Anuken/Mindustry", "show")</f>
        <v>show</v>
      </c>
      <c r="H9994" t="str">
        <f>HYPERLINK("https://github.com/Anuken/Mindustry/releases", "show")</f>
        <v>show</v>
      </c>
      <c r="I9994">
        <v>0</v>
      </c>
      <c r="J9994">
        <v>0</v>
      </c>
      <c r="K9994">
        <v>0</v>
      </c>
      <c r="L9994">
        <v>0</v>
      </c>
      <c r="M9994" t="s">
        <v>43</v>
      </c>
    </row>
    <row r="9995" spans="1:13" hidden="1" x14ac:dyDescent="0.15">
      <c r="A9995" t="s">
        <v>31477</v>
      </c>
      <c r="B9995" t="s">
        <v>31478</v>
      </c>
      <c r="C9995" t="s">
        <v>31479</v>
      </c>
      <c r="D9995" t="s">
        <v>31476</v>
      </c>
      <c r="E9995">
        <v>40</v>
      </c>
      <c r="F9995" t="str">
        <f>HYPERLINK("https://github.com/FCL-Team/FoldCraftLauncher/issues/112", "show")</f>
        <v>show</v>
      </c>
      <c r="G9995" t="str">
        <f>HYPERLINK("https://github.com/FCL-Team/FoldCraftLauncher", "show")</f>
        <v>show</v>
      </c>
      <c r="H9995" t="str">
        <f>HYPERLINK("https://github.com/FCL-Team/FoldCraftLauncher/releases", "show")</f>
        <v>show</v>
      </c>
      <c r="I9995">
        <v>0</v>
      </c>
      <c r="J9995">
        <v>0</v>
      </c>
      <c r="K9995">
        <v>0</v>
      </c>
      <c r="L9995">
        <v>0</v>
      </c>
      <c r="M9995" t="s">
        <v>43</v>
      </c>
    </row>
    <row r="9996" spans="1:13" hidden="1" x14ac:dyDescent="0.15">
      <c r="A9996" t="s">
        <v>31480</v>
      </c>
      <c r="B9996" t="s">
        <v>31481</v>
      </c>
      <c r="C9996" t="s">
        <v>31482</v>
      </c>
      <c r="D9996" t="s">
        <v>31476</v>
      </c>
      <c r="E9996">
        <v>0</v>
      </c>
      <c r="F9996" t="str">
        <f>HYPERLINK("https://github.com/Anuken/Mindustry/issues/9012", "show")</f>
        <v>show</v>
      </c>
      <c r="G9996" t="str">
        <f>HYPERLINK("https://github.com/Anuken/Mindustry", "show")</f>
        <v>show</v>
      </c>
      <c r="H9996" t="str">
        <f>HYPERLINK("https://github.com/Anuken/Mindustry/releases", "show")</f>
        <v>show</v>
      </c>
      <c r="I9996">
        <v>1</v>
      </c>
      <c r="J9996">
        <v>0</v>
      </c>
      <c r="K9996">
        <v>0</v>
      </c>
      <c r="L9996">
        <v>0</v>
      </c>
      <c r="M9996" t="s">
        <v>17</v>
      </c>
    </row>
    <row r="9997" spans="1:13" hidden="1" x14ac:dyDescent="0.15">
      <c r="A9997" t="s">
        <v>31483</v>
      </c>
      <c r="B9997" t="s">
        <v>31484</v>
      </c>
      <c r="C9997" t="s">
        <v>31485</v>
      </c>
      <c r="D9997" t="s">
        <v>31486</v>
      </c>
      <c r="E9997">
        <v>1</v>
      </c>
      <c r="F9997" t="str">
        <f>HYPERLINK("https://github.com/AndroidIDEOfficial/AndroidIDE/issues/1263", "show")</f>
        <v>show</v>
      </c>
      <c r="G9997" t="str">
        <f>HYPERLINK("https://github.com/AndroidIDEOfficial/AndroidIDE", "show")</f>
        <v>show</v>
      </c>
      <c r="H9997" t="str">
        <f>HYPERLINK("https://github.com/AndroidIDEOfficial/AndroidIDE/releases", "show")</f>
        <v>show</v>
      </c>
      <c r="I9997">
        <v>0</v>
      </c>
      <c r="J9997">
        <v>0</v>
      </c>
      <c r="K9997">
        <v>1</v>
      </c>
      <c r="L9997">
        <v>0</v>
      </c>
      <c r="M9997" t="s">
        <v>122</v>
      </c>
    </row>
    <row r="9998" spans="1:13" hidden="1" x14ac:dyDescent="0.15">
      <c r="A9998" t="s">
        <v>31487</v>
      </c>
      <c r="B9998" t="s">
        <v>31488</v>
      </c>
      <c r="C9998" t="s">
        <v>31489</v>
      </c>
      <c r="D9998" t="s">
        <v>31486</v>
      </c>
      <c r="E9998">
        <v>2</v>
      </c>
      <c r="F9998" t="str">
        <f>HYPERLINK("https://github.com/MuntashirAkon/AppManager/issues/1165", "show")</f>
        <v>show</v>
      </c>
      <c r="G9998" t="str">
        <f>HYPERLINK("https://github.com/MuntashirAkon/AppManager", "show")</f>
        <v>show</v>
      </c>
      <c r="H9998" t="str">
        <f>HYPERLINK("https://github.com/MuntashirAkon/AppManager/releases", "show")</f>
        <v>show</v>
      </c>
      <c r="I9998">
        <v>1</v>
      </c>
      <c r="J9998">
        <v>0</v>
      </c>
      <c r="K9998">
        <v>1</v>
      </c>
      <c r="L9998">
        <v>1</v>
      </c>
      <c r="M9998" t="s">
        <v>1259</v>
      </c>
    </row>
    <row r="9999" spans="1:13" hidden="1" x14ac:dyDescent="0.15">
      <c r="A9999" t="s">
        <v>31490</v>
      </c>
      <c r="B9999" t="s">
        <v>31491</v>
      </c>
      <c r="C9999" t="s">
        <v>31492</v>
      </c>
      <c r="D9999" t="s">
        <v>31486</v>
      </c>
      <c r="E9999">
        <v>3</v>
      </c>
      <c r="F9999" t="str">
        <f>HYPERLINK("https://github.com/AndroidIDEOfficial/AndroidIDE/issues/1260", "show")</f>
        <v>show</v>
      </c>
      <c r="G9999" t="str">
        <f>HYPERLINK("https://github.com/AndroidIDEOfficial/AndroidIDE", "show")</f>
        <v>show</v>
      </c>
      <c r="H9999" t="str">
        <f>HYPERLINK("https://github.com/AndroidIDEOfficial/AndroidIDE/releases", "show")</f>
        <v>show</v>
      </c>
      <c r="I9999">
        <v>1</v>
      </c>
      <c r="J9999">
        <v>0</v>
      </c>
      <c r="K9999">
        <v>1</v>
      </c>
      <c r="L9999">
        <v>0</v>
      </c>
      <c r="M9999" t="s">
        <v>64</v>
      </c>
    </row>
    <row r="10000" spans="1:13" hidden="1" x14ac:dyDescent="0.15">
      <c r="A10000" t="s">
        <v>31493</v>
      </c>
      <c r="B10000" t="s">
        <v>31494</v>
      </c>
      <c r="C10000" t="s">
        <v>31495</v>
      </c>
      <c r="D10000" t="s">
        <v>31486</v>
      </c>
      <c r="E10000">
        <v>0</v>
      </c>
      <c r="F10000" t="str">
        <f>HYPERLINK("https://github.com/Anuken/Mindustry/issues/9003", "show")</f>
        <v>show</v>
      </c>
      <c r="G10000" t="str">
        <f>HYPERLINK("https://github.com/Anuken/Mindustry", "show")</f>
        <v>show</v>
      </c>
      <c r="H10000" t="str">
        <f>HYPERLINK("https://github.com/Anuken/Mindustry/releases", "show")</f>
        <v>show</v>
      </c>
      <c r="I10000">
        <v>1</v>
      </c>
      <c r="J10000">
        <v>1</v>
      </c>
      <c r="K10000">
        <v>0</v>
      </c>
      <c r="L10000">
        <v>0</v>
      </c>
      <c r="M10000" t="s">
        <v>48</v>
      </c>
    </row>
    <row r="10001" spans="1:13" hidden="1" x14ac:dyDescent="0.15">
      <c r="A10001" t="s">
        <v>31496</v>
      </c>
      <c r="B10001" t="s">
        <v>31497</v>
      </c>
      <c r="C10001" t="s">
        <v>31498</v>
      </c>
      <c r="D10001" t="s">
        <v>31499</v>
      </c>
      <c r="E10001">
        <v>0</v>
      </c>
      <c r="F10001" t="str">
        <f>HYPERLINK("https://github.com/PojavLauncherTeam/PojavLauncher/issues/4545", "show")</f>
        <v>show</v>
      </c>
      <c r="G10001" t="str">
        <f>HYPERLINK("https://github.com/PojavLauncherTeam/PojavLauncher", "show")</f>
        <v>show</v>
      </c>
      <c r="H10001" t="str">
        <f>HYPERLINK("https://github.com/PojavLauncherTeam/PojavLauncher/releases", "show")</f>
        <v>show</v>
      </c>
      <c r="I10001">
        <v>1</v>
      </c>
      <c r="J10001">
        <v>0</v>
      </c>
      <c r="K10001">
        <v>0</v>
      </c>
      <c r="L10001">
        <v>1</v>
      </c>
      <c r="M10001" t="s">
        <v>29</v>
      </c>
    </row>
    <row r="10002" spans="1:13" hidden="1" x14ac:dyDescent="0.15">
      <c r="A10002" t="s">
        <v>31500</v>
      </c>
      <c r="B10002" t="s">
        <v>31501</v>
      </c>
      <c r="C10002" t="s">
        <v>31502</v>
      </c>
      <c r="D10002" t="s">
        <v>31503</v>
      </c>
      <c r="E10002">
        <v>0</v>
      </c>
      <c r="F10002" t="str">
        <f>HYPERLINK("https://github.com/AndroidIDEOfficial/AndroidIDE/issues/1257", "show")</f>
        <v>show</v>
      </c>
      <c r="G10002" t="str">
        <f>HYPERLINK("https://github.com/AndroidIDEOfficial/AndroidIDE", "show")</f>
        <v>show</v>
      </c>
      <c r="H10002" t="str">
        <f>HYPERLINK("https://github.com/AndroidIDEOfficial/AndroidIDE/releases", "show")</f>
        <v>show</v>
      </c>
      <c r="I10002">
        <v>0</v>
      </c>
      <c r="J10002">
        <v>0</v>
      </c>
      <c r="K10002">
        <v>1</v>
      </c>
      <c r="L10002">
        <v>0</v>
      </c>
      <c r="M10002" t="s">
        <v>122</v>
      </c>
    </row>
    <row r="10003" spans="1:13" hidden="1" x14ac:dyDescent="0.15">
      <c r="A10003" t="s">
        <v>31504</v>
      </c>
      <c r="B10003" t="s">
        <v>31505</v>
      </c>
      <c r="C10003" t="s">
        <v>31506</v>
      </c>
      <c r="D10003" t="s">
        <v>31503</v>
      </c>
      <c r="E10003">
        <v>21</v>
      </c>
      <c r="F10003" t="str">
        <f>HYPERLINK("https://github.com/jellyfin/jellyfin-androidtv/issues/3015", "show")</f>
        <v>show</v>
      </c>
      <c r="G10003" t="str">
        <f>HYPERLINK("https://github.com/jellyfin/jellyfin-androidtv", "show")</f>
        <v>show</v>
      </c>
      <c r="H10003" t="str">
        <f>HYPERLINK("https://github.com/jellyfin/jellyfin-androidtv/releases", "show")</f>
        <v>show</v>
      </c>
      <c r="I10003">
        <v>0</v>
      </c>
      <c r="J10003">
        <v>0</v>
      </c>
      <c r="K10003">
        <v>1</v>
      </c>
      <c r="L10003">
        <v>0</v>
      </c>
      <c r="M10003" t="s">
        <v>122</v>
      </c>
    </row>
    <row r="10004" spans="1:13" hidden="1" x14ac:dyDescent="0.15">
      <c r="A10004" t="s">
        <v>31507</v>
      </c>
      <c r="B10004" t="s">
        <v>31508</v>
      </c>
      <c r="C10004" t="s">
        <v>31509</v>
      </c>
      <c r="D10004" t="s">
        <v>31510</v>
      </c>
      <c r="E10004">
        <v>1</v>
      </c>
      <c r="F10004" t="str">
        <f>HYPERLINK("https://github.com/PojavLauncherTeam/PojavLauncher/issues/4541", "show")</f>
        <v>show</v>
      </c>
      <c r="G10004" t="str">
        <f>HYPERLINK("https://github.com/PojavLauncherTeam/PojavLauncher", "show")</f>
        <v>show</v>
      </c>
      <c r="H10004" t="str">
        <f>HYPERLINK("https://github.com/PojavLauncherTeam/PojavLauncher/releases", "show")</f>
        <v>show</v>
      </c>
      <c r="I10004">
        <v>0</v>
      </c>
      <c r="J10004">
        <v>0</v>
      </c>
      <c r="K10004">
        <v>0</v>
      </c>
      <c r="L10004">
        <v>0</v>
      </c>
      <c r="M10004" t="s">
        <v>43</v>
      </c>
    </row>
    <row r="10005" spans="1:13" hidden="1" x14ac:dyDescent="0.15">
      <c r="A10005" t="s">
        <v>31511</v>
      </c>
      <c r="B10005" t="s">
        <v>31512</v>
      </c>
      <c r="C10005" t="s">
        <v>31513</v>
      </c>
      <c r="D10005" t="s">
        <v>31510</v>
      </c>
      <c r="E10005">
        <v>0</v>
      </c>
      <c r="F10005" t="str">
        <f>HYPERLINK("https://github.com/PojavLauncherTeam/PojavLauncher/issues/4539", "show")</f>
        <v>show</v>
      </c>
      <c r="G10005" t="str">
        <f>HYPERLINK("https://github.com/PojavLauncherTeam/PojavLauncher", "show")</f>
        <v>show</v>
      </c>
      <c r="H10005" t="str">
        <f>HYPERLINK("https://github.com/PojavLauncherTeam/PojavLauncher/releases", "show")</f>
        <v>show</v>
      </c>
      <c r="I10005">
        <v>1</v>
      </c>
      <c r="J10005">
        <v>1</v>
      </c>
      <c r="K10005">
        <v>0</v>
      </c>
      <c r="L10005">
        <v>0</v>
      </c>
      <c r="M10005" t="s">
        <v>48</v>
      </c>
    </row>
    <row r="10006" spans="1:13" hidden="1" x14ac:dyDescent="0.15">
      <c r="A10006" t="s">
        <v>31514</v>
      </c>
      <c r="B10006" t="s">
        <v>31515</v>
      </c>
      <c r="C10006" t="s">
        <v>31516</v>
      </c>
      <c r="D10006" t="s">
        <v>31510</v>
      </c>
      <c r="E10006">
        <v>0</v>
      </c>
      <c r="F10006" t="str">
        <f>HYPERLINK("https://github.com/PojavLauncherTeam/PojavLauncher/issues/4538", "show")</f>
        <v>show</v>
      </c>
      <c r="G10006" t="str">
        <f>HYPERLINK("https://github.com/PojavLauncherTeam/PojavLauncher", "show")</f>
        <v>show</v>
      </c>
      <c r="H10006" t="str">
        <f>HYPERLINK("https://github.com/PojavLauncherTeam/PojavLauncher/releases", "show")</f>
        <v>show</v>
      </c>
      <c r="I10006">
        <v>1</v>
      </c>
      <c r="J10006">
        <v>1</v>
      </c>
      <c r="K10006">
        <v>0</v>
      </c>
      <c r="L10006">
        <v>0</v>
      </c>
      <c r="M10006" t="s">
        <v>48</v>
      </c>
    </row>
    <row r="10007" spans="1:13" hidden="1" x14ac:dyDescent="0.15">
      <c r="A10007" t="s">
        <v>31517</v>
      </c>
      <c r="B10007" t="s">
        <v>31518</v>
      </c>
      <c r="C10007" t="s">
        <v>31519</v>
      </c>
      <c r="D10007" t="s">
        <v>31520</v>
      </c>
      <c r="E10007">
        <v>1</v>
      </c>
      <c r="F10007" t="str">
        <f>HYPERLINK("https://github.com/OpenTracksApp/OpenTracks/issues/1682", "show")</f>
        <v>show</v>
      </c>
      <c r="G10007" t="str">
        <f>HYPERLINK("https://github.com/OpenTracksApp/OpenTracks", "show")</f>
        <v>show</v>
      </c>
      <c r="H10007" t="str">
        <f>HYPERLINK("https://github.com/OpenTracksApp/OpenTracks/releases", "show")</f>
        <v>show</v>
      </c>
      <c r="I10007">
        <v>1</v>
      </c>
      <c r="J10007">
        <v>1</v>
      </c>
      <c r="K10007">
        <v>0</v>
      </c>
      <c r="L10007">
        <v>0</v>
      </c>
      <c r="M10007" t="s">
        <v>48</v>
      </c>
    </row>
    <row r="10008" spans="1:13" hidden="1" x14ac:dyDescent="0.15">
      <c r="A10008" t="s">
        <v>31521</v>
      </c>
      <c r="B10008" t="s">
        <v>31522</v>
      </c>
      <c r="C10008" t="s">
        <v>31523</v>
      </c>
      <c r="D10008" t="s">
        <v>31524</v>
      </c>
      <c r="E10008">
        <v>13</v>
      </c>
      <c r="F10008" t="str">
        <f>HYPERLINK("https://github.com/PojavLauncherTeam/PojavLauncher/issues/4535", "show")</f>
        <v>show</v>
      </c>
      <c r="G10008" t="str">
        <f>HYPERLINK("https://github.com/PojavLauncherTeam/PojavLauncher", "show")</f>
        <v>show</v>
      </c>
      <c r="H10008" t="str">
        <f>HYPERLINK("https://github.com/PojavLauncherTeam/PojavLauncher/releases", "show")</f>
        <v>show</v>
      </c>
      <c r="I10008">
        <v>0</v>
      </c>
      <c r="J10008">
        <v>0</v>
      </c>
      <c r="K10008">
        <v>1</v>
      </c>
      <c r="L10008">
        <v>0</v>
      </c>
      <c r="M10008" t="s">
        <v>122</v>
      </c>
    </row>
    <row r="10009" spans="1:13" hidden="1" x14ac:dyDescent="0.15">
      <c r="A10009" t="s">
        <v>31525</v>
      </c>
      <c r="B10009" t="s">
        <v>31526</v>
      </c>
      <c r="C10009" t="s">
        <v>31527</v>
      </c>
      <c r="D10009" t="s">
        <v>31524</v>
      </c>
      <c r="E10009">
        <v>2</v>
      </c>
      <c r="F10009" t="str">
        <f>HYPERLINK("https://github.com/AndroidIDEOfficial/AndroidIDE/issues/1241", "show")</f>
        <v>show</v>
      </c>
      <c r="G10009" t="str">
        <f>HYPERLINK("https://github.com/AndroidIDEOfficial/AndroidIDE", "show")</f>
        <v>show</v>
      </c>
      <c r="H10009" t="str">
        <f>HYPERLINK("https://github.com/AndroidIDEOfficial/AndroidIDE/releases", "show")</f>
        <v>show</v>
      </c>
      <c r="I10009">
        <v>0</v>
      </c>
      <c r="J10009">
        <v>0</v>
      </c>
      <c r="K10009">
        <v>1</v>
      </c>
      <c r="L10009">
        <v>0</v>
      </c>
      <c r="M10009" t="s">
        <v>122</v>
      </c>
    </row>
    <row r="10010" spans="1:13" hidden="1" x14ac:dyDescent="0.15">
      <c r="A10010" t="s">
        <v>31528</v>
      </c>
      <c r="B10010" t="s">
        <v>31529</v>
      </c>
      <c r="C10010" t="s">
        <v>31530</v>
      </c>
      <c r="D10010" t="s">
        <v>31524</v>
      </c>
      <c r="E10010">
        <v>0</v>
      </c>
      <c r="F10010" t="str">
        <f>HYPERLINK("https://github.com/Anuken/Mindustry/issues/8989", "show")</f>
        <v>show</v>
      </c>
      <c r="G10010" t="str">
        <f>HYPERLINK("https://github.com/Anuken/Mindustry", "show")</f>
        <v>show</v>
      </c>
      <c r="H10010" t="str">
        <f>HYPERLINK("https://github.com/Anuken/Mindustry/releases", "show")</f>
        <v>show</v>
      </c>
      <c r="I10010">
        <v>1</v>
      </c>
      <c r="J10010">
        <v>0</v>
      </c>
      <c r="K10010">
        <v>1</v>
      </c>
      <c r="L10010">
        <v>0</v>
      </c>
      <c r="M10010" t="s">
        <v>64</v>
      </c>
    </row>
    <row r="10011" spans="1:13" hidden="1" x14ac:dyDescent="0.15">
      <c r="A10011" t="s">
        <v>31531</v>
      </c>
      <c r="B10011" t="s">
        <v>31532</v>
      </c>
      <c r="C10011" t="s">
        <v>31533</v>
      </c>
      <c r="D10011" t="s">
        <v>31524</v>
      </c>
      <c r="E10011">
        <v>0</v>
      </c>
      <c r="F10011" t="str">
        <f>HYPERLINK("https://github.com/AndroidIDEOfficial/AndroidIDE/issues/1238", "show")</f>
        <v>show</v>
      </c>
      <c r="G10011" t="str">
        <f>HYPERLINK("https://github.com/AndroidIDEOfficial/AndroidIDE", "show")</f>
        <v>show</v>
      </c>
      <c r="H10011" t="str">
        <f>HYPERLINK("https://github.com/AndroidIDEOfficial/AndroidIDE/releases", "show")</f>
        <v>show</v>
      </c>
      <c r="I10011">
        <v>1</v>
      </c>
      <c r="J10011">
        <v>0</v>
      </c>
      <c r="K10011">
        <v>1</v>
      </c>
      <c r="L10011">
        <v>0</v>
      </c>
      <c r="M10011" t="s">
        <v>64</v>
      </c>
    </row>
    <row r="10012" spans="1:13" hidden="1" x14ac:dyDescent="0.15">
      <c r="A10012" t="s">
        <v>31534</v>
      </c>
      <c r="B10012" t="s">
        <v>31535</v>
      </c>
      <c r="C10012" t="s">
        <v>31536</v>
      </c>
      <c r="D10012" t="s">
        <v>31537</v>
      </c>
      <c r="E10012">
        <v>0</v>
      </c>
      <c r="F10012" t="str">
        <f>HYPERLINK("https://github.com/raphw/byte-buddy/issues/1512", "show")</f>
        <v>show</v>
      </c>
      <c r="G10012" t="str">
        <f>HYPERLINK("https://github.com/raphw/byte-buddy", "show")</f>
        <v>show</v>
      </c>
      <c r="H10012" t="str">
        <f>HYPERLINK("https://github.com/raphw/byte-buddy/releases", "show")</f>
        <v>show</v>
      </c>
      <c r="I10012">
        <v>1</v>
      </c>
      <c r="J10012">
        <v>1</v>
      </c>
      <c r="K10012">
        <v>0</v>
      </c>
      <c r="L10012">
        <v>0</v>
      </c>
      <c r="M10012" t="s">
        <v>48</v>
      </c>
    </row>
    <row r="10013" spans="1:13" x14ac:dyDescent="0.15">
      <c r="A10013" t="s">
        <v>31538</v>
      </c>
      <c r="B10013" t="s">
        <v>31539</v>
      </c>
      <c r="C10013" t="s">
        <v>31540</v>
      </c>
      <c r="D10013" t="s">
        <v>31537</v>
      </c>
      <c r="E10013">
        <v>0</v>
      </c>
      <c r="F10013" t="str">
        <f>HYPERLINK("https://github.com/Anuken/Mindustry/issues/8977", "show")</f>
        <v>show</v>
      </c>
      <c r="G10013" t="str">
        <f>HYPERLINK("https://github.com/Anuken/Mindustry", "show")</f>
        <v>show</v>
      </c>
      <c r="H10013" t="str">
        <f>HYPERLINK("https://github.com/Anuken/Mindustry/releases", "show")</f>
        <v>show</v>
      </c>
      <c r="I10013">
        <v>0</v>
      </c>
      <c r="J10013">
        <v>1</v>
      </c>
      <c r="K10013">
        <v>0</v>
      </c>
      <c r="L10013">
        <v>0</v>
      </c>
      <c r="M10013" t="s">
        <v>139</v>
      </c>
    </row>
    <row r="10014" spans="1:13" hidden="1" x14ac:dyDescent="0.15">
      <c r="A10014" t="s">
        <v>31541</v>
      </c>
      <c r="B10014" t="s">
        <v>31542</v>
      </c>
      <c r="C10014" t="s">
        <v>31543</v>
      </c>
      <c r="D10014" t="s">
        <v>31537</v>
      </c>
      <c r="E10014">
        <v>0</v>
      </c>
      <c r="F10014" t="str">
        <f>HYPERLINK("https://github.com/SOFTENG310-VicRoy/310-RondayView/issues/61", "show")</f>
        <v>show</v>
      </c>
      <c r="G10014" t="str">
        <f>HYPERLINK("https://github.com/SOFTENG310-VicRoy/310-RondayView", "show")</f>
        <v>show</v>
      </c>
      <c r="H10014" t="str">
        <f>HYPERLINK("https://github.com/SOFTENG310-VicRoy/310-RondayView/releases", "show")</f>
        <v>show</v>
      </c>
      <c r="I10014">
        <v>1</v>
      </c>
      <c r="J10014">
        <v>1</v>
      </c>
      <c r="K10014">
        <v>0</v>
      </c>
      <c r="L10014">
        <v>0</v>
      </c>
      <c r="M10014" t="s">
        <v>48</v>
      </c>
    </row>
    <row r="10015" spans="1:13" hidden="1" x14ac:dyDescent="0.15">
      <c r="A10015" t="s">
        <v>31544</v>
      </c>
      <c r="B10015" t="s">
        <v>31545</v>
      </c>
      <c r="C10015" t="s">
        <v>31546</v>
      </c>
      <c r="D10015" t="s">
        <v>31547</v>
      </c>
      <c r="E10015">
        <v>0</v>
      </c>
      <c r="F10015" t="str">
        <f>HYPERLINK("https://github.com/PojavLauncherTeam/PojavLauncher/issues/4517", "show")</f>
        <v>show</v>
      </c>
      <c r="G10015" t="str">
        <f>HYPERLINK("https://github.com/PojavLauncherTeam/PojavLauncher", "show")</f>
        <v>show</v>
      </c>
      <c r="H10015" t="str">
        <f>HYPERLINK("https://github.com/PojavLauncherTeam/PojavLauncher/releases", "show")</f>
        <v>show</v>
      </c>
      <c r="I10015">
        <v>1</v>
      </c>
      <c r="J10015">
        <v>0</v>
      </c>
      <c r="K10015">
        <v>0</v>
      </c>
      <c r="L10015">
        <v>0</v>
      </c>
      <c r="M10015" t="s">
        <v>17</v>
      </c>
    </row>
    <row r="10016" spans="1:13" hidden="1" x14ac:dyDescent="0.15">
      <c r="A10016" t="s">
        <v>31548</v>
      </c>
      <c r="B10016" t="s">
        <v>31549</v>
      </c>
      <c r="C10016" t="s">
        <v>31550</v>
      </c>
      <c r="D10016" t="s">
        <v>31547</v>
      </c>
      <c r="E10016">
        <v>32</v>
      </c>
      <c r="F10016" t="str">
        <f>HYPERLINK("https://github.com/androidx/media/issues/613", "show")</f>
        <v>show</v>
      </c>
      <c r="G10016" t="str">
        <f>HYPERLINK("https://github.com/androidx/media", "show")</f>
        <v>show</v>
      </c>
      <c r="H10016" t="str">
        <f>HYPERLINK("https://github.com/androidx/media/releases", "show")</f>
        <v>show</v>
      </c>
      <c r="I10016">
        <v>0</v>
      </c>
      <c r="J10016">
        <v>0</v>
      </c>
      <c r="K10016">
        <v>1</v>
      </c>
      <c r="L10016">
        <v>0</v>
      </c>
      <c r="M10016" t="s">
        <v>122</v>
      </c>
    </row>
    <row r="10017" spans="1:13" hidden="1" x14ac:dyDescent="0.15">
      <c r="A10017" t="s">
        <v>31551</v>
      </c>
      <c r="B10017" t="s">
        <v>12612</v>
      </c>
      <c r="C10017" t="s">
        <v>31552</v>
      </c>
      <c r="D10017" t="s">
        <v>31553</v>
      </c>
      <c r="E10017">
        <v>0</v>
      </c>
      <c r="F10017" t="str">
        <f>HYPERLINK("https://github.com/AndroidIDEOfficial/AndroidIDE/issues/1233", "show")</f>
        <v>show</v>
      </c>
      <c r="G10017" t="str">
        <f>HYPERLINK("https://github.com/AndroidIDEOfficial/AndroidIDE", "show")</f>
        <v>show</v>
      </c>
      <c r="H10017" t="str">
        <f>HYPERLINK("https://github.com/AndroidIDEOfficial/AndroidIDE/releases", "show")</f>
        <v>show</v>
      </c>
      <c r="I10017">
        <v>0</v>
      </c>
      <c r="J10017">
        <v>0</v>
      </c>
      <c r="K10017">
        <v>1</v>
      </c>
      <c r="L10017">
        <v>0</v>
      </c>
      <c r="M10017" t="s">
        <v>122</v>
      </c>
    </row>
    <row r="10018" spans="1:13" hidden="1" x14ac:dyDescent="0.15">
      <c r="A10018" t="s">
        <v>31554</v>
      </c>
      <c r="B10018" t="s">
        <v>31555</v>
      </c>
      <c r="C10018" t="s">
        <v>31556</v>
      </c>
      <c r="D10018" t="s">
        <v>31553</v>
      </c>
      <c r="E10018">
        <v>11</v>
      </c>
      <c r="F10018" t="str">
        <f>HYPERLINK("https://github.com/Parsely/parsely-android/issues/57", "show")</f>
        <v>show</v>
      </c>
      <c r="G10018" t="str">
        <f>HYPERLINK("https://github.com/Parsely/parsely-android", "show")</f>
        <v>show</v>
      </c>
      <c r="H10018" t="str">
        <f>HYPERLINK("https://github.com/Parsely/parsely-android/releases", "show")</f>
        <v>show</v>
      </c>
      <c r="I10018">
        <v>1</v>
      </c>
      <c r="J10018">
        <v>0</v>
      </c>
      <c r="K10018">
        <v>1</v>
      </c>
      <c r="L10018">
        <v>0</v>
      </c>
      <c r="M10018" t="s">
        <v>64</v>
      </c>
    </row>
    <row r="10019" spans="1:13" hidden="1" x14ac:dyDescent="0.15">
      <c r="A10019" t="s">
        <v>31557</v>
      </c>
      <c r="B10019" t="s">
        <v>31558</v>
      </c>
      <c r="C10019" t="s">
        <v>31559</v>
      </c>
      <c r="D10019" t="s">
        <v>31553</v>
      </c>
      <c r="E10019">
        <v>34</v>
      </c>
      <c r="F10019" t="str">
        <f>HYPERLINK("https://github.com/OneSignal/OneSignal-Android-SDK/issues/1815", "show")</f>
        <v>show</v>
      </c>
      <c r="G10019" t="str">
        <f>HYPERLINK("https://github.com/OneSignal/OneSignal-Android-SDK", "show")</f>
        <v>show</v>
      </c>
      <c r="H10019" t="str">
        <f>HYPERLINK("https://github.com/OneSignal/OneSignal-Android-SDK/releases", "show")</f>
        <v>show</v>
      </c>
      <c r="I10019">
        <v>1</v>
      </c>
      <c r="J10019">
        <v>0</v>
      </c>
      <c r="K10019">
        <v>1</v>
      </c>
      <c r="L10019">
        <v>0</v>
      </c>
      <c r="M10019" t="s">
        <v>64</v>
      </c>
    </row>
    <row r="10020" spans="1:13" hidden="1" x14ac:dyDescent="0.15">
      <c r="A10020" t="s">
        <v>31560</v>
      </c>
      <c r="B10020" t="s">
        <v>31561</v>
      </c>
      <c r="C10020" t="s">
        <v>31562</v>
      </c>
      <c r="D10020" t="s">
        <v>31553</v>
      </c>
      <c r="E10020">
        <v>0</v>
      </c>
      <c r="F10020" t="str">
        <f>HYPERLINK("https://github.com/AndroidIDEOfficial/AndroidIDE/issues/1231", "show")</f>
        <v>show</v>
      </c>
      <c r="G10020" t="str">
        <f>HYPERLINK("https://github.com/AndroidIDEOfficial/AndroidIDE", "show")</f>
        <v>show</v>
      </c>
      <c r="H10020" t="str">
        <f>HYPERLINK("https://github.com/AndroidIDEOfficial/AndroidIDE/releases", "show")</f>
        <v>show</v>
      </c>
      <c r="I10020">
        <v>0</v>
      </c>
      <c r="J10020">
        <v>0</v>
      </c>
      <c r="K10020">
        <v>1</v>
      </c>
      <c r="L10020">
        <v>0</v>
      </c>
      <c r="M10020" t="s">
        <v>122</v>
      </c>
    </row>
    <row r="10021" spans="1:13" hidden="1" x14ac:dyDescent="0.15">
      <c r="A10021" t="s">
        <v>31563</v>
      </c>
      <c r="B10021" t="s">
        <v>31564</v>
      </c>
      <c r="C10021" t="s">
        <v>31565</v>
      </c>
      <c r="D10021" t="s">
        <v>31566</v>
      </c>
      <c r="E10021">
        <v>1</v>
      </c>
      <c r="F10021" t="str">
        <f>HYPERLINK("https://github.com/CappielloAntonio/tempo/issues/46", "show")</f>
        <v>show</v>
      </c>
      <c r="G10021" t="str">
        <f>HYPERLINK("https://github.com/CappielloAntonio/tempo", "show")</f>
        <v>show</v>
      </c>
      <c r="H10021" t="str">
        <f>HYPERLINK("https://github.com/CappielloAntonio/tempo/releases", "show")</f>
        <v>show</v>
      </c>
      <c r="I10021">
        <v>1</v>
      </c>
      <c r="J10021">
        <v>0</v>
      </c>
      <c r="K10021">
        <v>0</v>
      </c>
      <c r="L10021">
        <v>0</v>
      </c>
      <c r="M10021" t="s">
        <v>17</v>
      </c>
    </row>
    <row r="10022" spans="1:13" hidden="1" x14ac:dyDescent="0.15">
      <c r="A10022" t="s">
        <v>31567</v>
      </c>
      <c r="B10022" t="s">
        <v>31568</v>
      </c>
      <c r="C10022" t="s">
        <v>31569</v>
      </c>
      <c r="D10022" t="s">
        <v>31566</v>
      </c>
      <c r="E10022">
        <v>0</v>
      </c>
      <c r="F10022" t="str">
        <f>HYPERLINK("https://github.com/Keidan/HexViewer/issues/259", "show")</f>
        <v>show</v>
      </c>
      <c r="G10022" t="str">
        <f>HYPERLINK("https://github.com/Keidan/HexViewer", "show")</f>
        <v>show</v>
      </c>
      <c r="H10022" t="str">
        <f>HYPERLINK("https://github.com/Keidan/HexViewer/releases", "show")</f>
        <v>show</v>
      </c>
      <c r="I10022">
        <v>1</v>
      </c>
      <c r="J10022">
        <v>0</v>
      </c>
      <c r="K10022">
        <v>0</v>
      </c>
      <c r="L10022">
        <v>0</v>
      </c>
      <c r="M10022" t="s">
        <v>17</v>
      </c>
    </row>
    <row r="10023" spans="1:13" hidden="1" x14ac:dyDescent="0.15">
      <c r="A10023" t="s">
        <v>31570</v>
      </c>
      <c r="B10023" t="s">
        <v>31571</v>
      </c>
      <c r="C10023" t="s">
        <v>31572</v>
      </c>
      <c r="D10023" t="s">
        <v>31573</v>
      </c>
      <c r="E10023">
        <v>1</v>
      </c>
      <c r="F10023" t="str">
        <f>HYPERLINK("https://github.com/Igalia/wolvic/issues/934", "show")</f>
        <v>show</v>
      </c>
      <c r="G10023" t="str">
        <f>HYPERLINK("https://github.com/Igalia/wolvic", "show")</f>
        <v>show</v>
      </c>
      <c r="H10023" t="str">
        <f>HYPERLINK("https://github.com/Igalia/wolvic/releases", "show")</f>
        <v>show</v>
      </c>
      <c r="I10023">
        <v>1</v>
      </c>
      <c r="J10023">
        <v>1</v>
      </c>
      <c r="K10023">
        <v>0</v>
      </c>
      <c r="L10023">
        <v>0</v>
      </c>
      <c r="M10023" t="s">
        <v>48</v>
      </c>
    </row>
    <row r="10024" spans="1:13" hidden="1" x14ac:dyDescent="0.15">
      <c r="A10024" t="s">
        <v>31574</v>
      </c>
      <c r="B10024" t="s">
        <v>31575</v>
      </c>
      <c r="C10024" t="s">
        <v>31576</v>
      </c>
      <c r="D10024" t="s">
        <v>31573</v>
      </c>
      <c r="E10024">
        <v>1</v>
      </c>
      <c r="F10024" t="str">
        <f>HYPERLINK("https://github.com/wultra/powerauth-mobile-sdk/issues/539", "show")</f>
        <v>show</v>
      </c>
      <c r="G10024" t="str">
        <f>HYPERLINK("https://github.com/wultra/powerauth-mobile-sdk", "show")</f>
        <v>show</v>
      </c>
      <c r="H10024" t="str">
        <f>HYPERLINK("https://github.com/wultra/powerauth-mobile-sdk/releases", "show")</f>
        <v>show</v>
      </c>
      <c r="I10024">
        <v>1</v>
      </c>
      <c r="J10024">
        <v>0</v>
      </c>
      <c r="K10024">
        <v>0</v>
      </c>
      <c r="L10024">
        <v>0</v>
      </c>
      <c r="M10024" t="s">
        <v>17</v>
      </c>
    </row>
    <row r="10025" spans="1:13" hidden="1" x14ac:dyDescent="0.15">
      <c r="A10025" t="s">
        <v>31577</v>
      </c>
      <c r="B10025" t="s">
        <v>31578</v>
      </c>
      <c r="C10025" t="s">
        <v>31579</v>
      </c>
      <c r="D10025" t="s">
        <v>31573</v>
      </c>
      <c r="E10025">
        <v>1</v>
      </c>
      <c r="F10025" t="str">
        <f>HYPERLINK("https://github.com/bumptech/glide/issues/5256", "show")</f>
        <v>show</v>
      </c>
      <c r="G10025" t="str">
        <f>HYPERLINK("https://github.com/bumptech/glide", "show")</f>
        <v>show</v>
      </c>
      <c r="H10025" t="str">
        <f>HYPERLINK("https://github.com/bumptech/glide/releases", "show")</f>
        <v>show</v>
      </c>
      <c r="I10025">
        <v>1</v>
      </c>
      <c r="J10025">
        <v>1</v>
      </c>
      <c r="K10025">
        <v>0</v>
      </c>
      <c r="L10025">
        <v>0</v>
      </c>
      <c r="M10025" t="s">
        <v>48</v>
      </c>
    </row>
    <row r="10026" spans="1:13" hidden="1" x14ac:dyDescent="0.15">
      <c r="A10026" t="s">
        <v>31580</v>
      </c>
      <c r="B10026" t="s">
        <v>31581</v>
      </c>
      <c r="C10026" t="s">
        <v>31582</v>
      </c>
      <c r="D10026" t="s">
        <v>31583</v>
      </c>
      <c r="E10026">
        <v>2</v>
      </c>
      <c r="F10026" t="str">
        <f>HYPERLINK("https://github.com/AndroidIDEOfficial/AndroidIDE/issues/1223", "show")</f>
        <v>show</v>
      </c>
      <c r="G10026" t="str">
        <f>HYPERLINK("https://github.com/AndroidIDEOfficial/AndroidIDE", "show")</f>
        <v>show</v>
      </c>
      <c r="H10026" t="str">
        <f>HYPERLINK("https://github.com/AndroidIDEOfficial/AndroidIDE/releases", "show")</f>
        <v>show</v>
      </c>
      <c r="I10026">
        <v>0</v>
      </c>
      <c r="J10026">
        <v>0</v>
      </c>
      <c r="K10026">
        <v>1</v>
      </c>
      <c r="L10026">
        <v>0</v>
      </c>
      <c r="M10026" t="s">
        <v>122</v>
      </c>
    </row>
    <row r="10027" spans="1:13" hidden="1" x14ac:dyDescent="0.15">
      <c r="A10027" t="s">
        <v>31584</v>
      </c>
      <c r="B10027" t="s">
        <v>31585</v>
      </c>
      <c r="C10027" t="s">
        <v>31586</v>
      </c>
      <c r="D10027" t="s">
        <v>31583</v>
      </c>
      <c r="E10027">
        <v>7</v>
      </c>
      <c r="F10027" t="str">
        <f>HYPERLINK("https://github.com/AppLovin/AppLovin-MAX-React-Native/issues/238", "show")</f>
        <v>show</v>
      </c>
      <c r="G10027" t="str">
        <f>HYPERLINK("https://github.com/AppLovin/AppLovin-MAX-React-Native", "show")</f>
        <v>show</v>
      </c>
      <c r="H10027" t="str">
        <f>HYPERLINK("https://github.com/AppLovin/AppLovin-MAX-React-Native/releases", "show")</f>
        <v>show</v>
      </c>
      <c r="I10027">
        <v>0</v>
      </c>
      <c r="J10027">
        <v>0</v>
      </c>
      <c r="K10027">
        <v>1</v>
      </c>
      <c r="L10027">
        <v>0</v>
      </c>
      <c r="M10027" t="s">
        <v>122</v>
      </c>
    </row>
    <row r="10028" spans="1:13" hidden="1" x14ac:dyDescent="0.15">
      <c r="A10028" t="s">
        <v>31587</v>
      </c>
      <c r="B10028" t="s">
        <v>31588</v>
      </c>
      <c r="C10028" t="s">
        <v>31589</v>
      </c>
      <c r="D10028" t="s">
        <v>31583</v>
      </c>
      <c r="E10028">
        <v>1</v>
      </c>
      <c r="F10028" t="str">
        <f>HYPERLINK("https://github.com/PojavLauncherTeam/PojavLauncher/issues/4501", "show")</f>
        <v>show</v>
      </c>
      <c r="G10028" t="str">
        <f>HYPERLINK("https://github.com/PojavLauncherTeam/PojavLauncher", "show")</f>
        <v>show</v>
      </c>
      <c r="H10028" t="str">
        <f>HYPERLINK("https://github.com/PojavLauncherTeam/PojavLauncher/releases", "show")</f>
        <v>show</v>
      </c>
      <c r="I10028">
        <v>1</v>
      </c>
      <c r="J10028">
        <v>1</v>
      </c>
      <c r="K10028">
        <v>0</v>
      </c>
      <c r="L10028">
        <v>0</v>
      </c>
      <c r="M10028" t="s">
        <v>48</v>
      </c>
    </row>
    <row r="10029" spans="1:13" hidden="1" x14ac:dyDescent="0.15">
      <c r="A10029" t="s">
        <v>31590</v>
      </c>
      <c r="B10029" t="s">
        <v>31591</v>
      </c>
      <c r="C10029" t="s">
        <v>31592</v>
      </c>
      <c r="D10029" t="s">
        <v>31583</v>
      </c>
      <c r="E10029">
        <v>4</v>
      </c>
      <c r="F10029" t="str">
        <f>HYPERLINK("https://github.com/Igalia/wolvic/issues/925", "show")</f>
        <v>show</v>
      </c>
      <c r="G10029" t="str">
        <f>HYPERLINK("https://github.com/Igalia/wolvic", "show")</f>
        <v>show</v>
      </c>
      <c r="H10029" t="str">
        <f>HYPERLINK("https://github.com/Igalia/wolvic/releases", "show")</f>
        <v>show</v>
      </c>
      <c r="I10029">
        <v>1</v>
      </c>
      <c r="J10029">
        <v>0</v>
      </c>
      <c r="K10029">
        <v>0</v>
      </c>
      <c r="L10029">
        <v>1</v>
      </c>
      <c r="M10029" t="s">
        <v>29</v>
      </c>
    </row>
    <row r="10030" spans="1:13" hidden="1" x14ac:dyDescent="0.15">
      <c r="A10030" t="s">
        <v>31593</v>
      </c>
      <c r="B10030" t="s">
        <v>31594</v>
      </c>
      <c r="C10030" t="s">
        <v>31595</v>
      </c>
      <c r="D10030" t="s">
        <v>31596</v>
      </c>
      <c r="E10030">
        <v>3</v>
      </c>
      <c r="F10030" t="str">
        <f>HYPERLINK("https://github.com/AppLovin/AppLovin-MAX-SDK-Android/issues/534", "show")</f>
        <v>show</v>
      </c>
      <c r="G10030" t="str">
        <f>HYPERLINK("https://github.com/AppLovin/AppLovin-MAX-SDK-Android", "show")</f>
        <v>show</v>
      </c>
      <c r="H10030" t="str">
        <f>HYPERLINK("https://github.com/AppLovin/AppLovin-MAX-SDK-Android/releases", "show")</f>
        <v>show</v>
      </c>
      <c r="I10030">
        <v>0</v>
      </c>
      <c r="J10030">
        <v>0</v>
      </c>
      <c r="K10030">
        <v>0</v>
      </c>
      <c r="L10030">
        <v>0</v>
      </c>
      <c r="M10030" t="s">
        <v>43</v>
      </c>
    </row>
    <row r="10031" spans="1:13" hidden="1" x14ac:dyDescent="0.15">
      <c r="A10031" t="s">
        <v>31597</v>
      </c>
      <c r="B10031" t="s">
        <v>31598</v>
      </c>
      <c r="C10031" t="s">
        <v>31599</v>
      </c>
      <c r="D10031" t="s">
        <v>31596</v>
      </c>
      <c r="E10031">
        <v>0</v>
      </c>
      <c r="F10031" t="str">
        <f>HYPERLINK("https://github.com/OpenSeizureDetector/Android_Pebble_SD/issues/120", "show")</f>
        <v>show</v>
      </c>
      <c r="G10031" t="str">
        <f>HYPERLINK("https://github.com/OpenSeizureDetector/Android_Pebble_SD", "show")</f>
        <v>show</v>
      </c>
      <c r="H10031" t="str">
        <f>HYPERLINK("https://github.com/OpenSeizureDetector/Android_Pebble_SD/releases", "show")</f>
        <v>show</v>
      </c>
      <c r="I10031">
        <v>1</v>
      </c>
      <c r="J10031">
        <v>0</v>
      </c>
      <c r="K10031">
        <v>1</v>
      </c>
      <c r="L10031">
        <v>0</v>
      </c>
      <c r="M10031" t="s">
        <v>64</v>
      </c>
    </row>
    <row r="10032" spans="1:13" hidden="1" x14ac:dyDescent="0.15">
      <c r="A10032" t="s">
        <v>31600</v>
      </c>
      <c r="B10032" t="s">
        <v>31601</v>
      </c>
      <c r="C10032" t="s">
        <v>31602</v>
      </c>
      <c r="D10032" t="s">
        <v>31596</v>
      </c>
      <c r="E10032">
        <v>0</v>
      </c>
      <c r="F10032" t="str">
        <f>HYPERLINK("https://github.com/LSPosed/LSPosed/issues/2702", "show")</f>
        <v>show</v>
      </c>
      <c r="G10032" t="str">
        <f>HYPERLINK("https://github.com/LSPosed/LSPosed", "show")</f>
        <v>show</v>
      </c>
      <c r="H10032" t="str">
        <f>HYPERLINK("https://github.com/LSPosed/LSPosed/releases", "show")</f>
        <v>show</v>
      </c>
      <c r="I10032">
        <v>1</v>
      </c>
      <c r="J10032">
        <v>1</v>
      </c>
      <c r="K10032">
        <v>0</v>
      </c>
      <c r="L10032">
        <v>0</v>
      </c>
      <c r="M10032" t="s">
        <v>48</v>
      </c>
    </row>
    <row r="10033" spans="1:13" hidden="1" x14ac:dyDescent="0.15">
      <c r="A10033" t="s">
        <v>31603</v>
      </c>
      <c r="B10033" t="s">
        <v>31604</v>
      </c>
      <c r="C10033" t="s">
        <v>31605</v>
      </c>
      <c r="D10033" t="s">
        <v>31596</v>
      </c>
      <c r="E10033">
        <v>0</v>
      </c>
      <c r="F10033" t="str">
        <f>HYPERLINK("https://github.com/material-components/material-components-android/issues/3532", "show")</f>
        <v>show</v>
      </c>
      <c r="G10033" t="str">
        <f>HYPERLINK("https://github.com/material-components/material-components-android", "show")</f>
        <v>show</v>
      </c>
      <c r="H10033" t="str">
        <f>HYPERLINK("https://github.com/material-components/material-components-android/releases", "show")</f>
        <v>show</v>
      </c>
      <c r="I10033">
        <v>1</v>
      </c>
      <c r="J10033">
        <v>0</v>
      </c>
      <c r="K10033">
        <v>1</v>
      </c>
      <c r="L10033">
        <v>0</v>
      </c>
      <c r="M10033" t="s">
        <v>64</v>
      </c>
    </row>
    <row r="10034" spans="1:13" hidden="1" x14ac:dyDescent="0.15">
      <c r="A10034" t="s">
        <v>31606</v>
      </c>
      <c r="B10034" t="s">
        <v>31607</v>
      </c>
      <c r="C10034" t="s">
        <v>31608</v>
      </c>
      <c r="D10034" t="s">
        <v>31609</v>
      </c>
      <c r="E10034">
        <v>0</v>
      </c>
      <c r="F10034" t="str">
        <f>HYPERLINK("https://github.com/Anuken/Mindustry/issues/8963", "show")</f>
        <v>show</v>
      </c>
      <c r="G10034" t="str">
        <f>HYPERLINK("https://github.com/Anuken/Mindustry", "show")</f>
        <v>show</v>
      </c>
      <c r="H10034" t="str">
        <f>HYPERLINK("https://github.com/Anuken/Mindustry/releases", "show")</f>
        <v>show</v>
      </c>
      <c r="I10034">
        <v>0</v>
      </c>
      <c r="J10034">
        <v>1</v>
      </c>
      <c r="K10034">
        <v>0</v>
      </c>
      <c r="L10034">
        <v>1</v>
      </c>
      <c r="M10034" t="s">
        <v>1732</v>
      </c>
    </row>
    <row r="10035" spans="1:13" hidden="1" x14ac:dyDescent="0.15">
      <c r="A10035" t="s">
        <v>31610</v>
      </c>
      <c r="B10035" t="s">
        <v>31611</v>
      </c>
      <c r="C10035" t="s">
        <v>31612</v>
      </c>
      <c r="D10035" t="s">
        <v>31613</v>
      </c>
      <c r="E10035">
        <v>6</v>
      </c>
      <c r="F10035" t="str">
        <f>HYPERLINK("https://github.com/LawnchairLauncher/lawnchair/issues/3594", "show")</f>
        <v>show</v>
      </c>
      <c r="G10035" t="str">
        <f>HYPERLINK("https://github.com/LawnchairLauncher/lawnchair", "show")</f>
        <v>show</v>
      </c>
      <c r="H10035" t="str">
        <f>HYPERLINK("https://github.com/LawnchairLauncher/lawnchair/releases", "show")</f>
        <v>show</v>
      </c>
      <c r="I10035">
        <v>1</v>
      </c>
      <c r="J10035">
        <v>1</v>
      </c>
      <c r="K10035">
        <v>0</v>
      </c>
      <c r="L10035">
        <v>0</v>
      </c>
      <c r="M10035" t="s">
        <v>48</v>
      </c>
    </row>
    <row r="10036" spans="1:13" hidden="1" x14ac:dyDescent="0.15">
      <c r="A10036" t="s">
        <v>31614</v>
      </c>
      <c r="B10036" t="s">
        <v>31615</v>
      </c>
      <c r="C10036" t="s">
        <v>31616</v>
      </c>
      <c r="D10036" t="s">
        <v>31613</v>
      </c>
      <c r="E10036">
        <v>10</v>
      </c>
      <c r="F10036" t="str">
        <f>HYPERLINK("https://github.com/deltachat/deltachat-android/issues/2639", "show")</f>
        <v>show</v>
      </c>
      <c r="G10036" t="str">
        <f>HYPERLINK("https://github.com/deltachat/deltachat-android", "show")</f>
        <v>show</v>
      </c>
      <c r="H10036" t="str">
        <f>HYPERLINK("https://github.com/deltachat/deltachat-android/releases", "show")</f>
        <v>show</v>
      </c>
      <c r="I10036">
        <v>1</v>
      </c>
      <c r="J10036">
        <v>0</v>
      </c>
      <c r="K10036">
        <v>0</v>
      </c>
      <c r="L10036">
        <v>0</v>
      </c>
      <c r="M10036" t="s">
        <v>17</v>
      </c>
    </row>
    <row r="10037" spans="1:13" hidden="1" x14ac:dyDescent="0.15">
      <c r="A10037" t="s">
        <v>31617</v>
      </c>
      <c r="B10037" t="s">
        <v>13094</v>
      </c>
      <c r="C10037" t="s">
        <v>31618</v>
      </c>
      <c r="D10037" t="s">
        <v>31619</v>
      </c>
      <c r="E10037">
        <v>54</v>
      </c>
      <c r="F10037" t="str">
        <f>HYPERLINK("https://github.com/nextcloud/notes-android/issues/1876", "show")</f>
        <v>show</v>
      </c>
      <c r="G10037" t="str">
        <f>HYPERLINK("https://github.com/nextcloud/notes-android", "show")</f>
        <v>show</v>
      </c>
      <c r="H10037" t="str">
        <f>HYPERLINK("https://github.com/nextcloud/notes-android/releases", "show")</f>
        <v>show</v>
      </c>
      <c r="I10037">
        <v>1</v>
      </c>
      <c r="J10037">
        <v>1</v>
      </c>
      <c r="K10037">
        <v>1</v>
      </c>
      <c r="L10037">
        <v>0</v>
      </c>
      <c r="M10037" t="s">
        <v>59</v>
      </c>
    </row>
    <row r="10038" spans="1:13" hidden="1" x14ac:dyDescent="0.15">
      <c r="A10038" t="s">
        <v>31620</v>
      </c>
      <c r="B10038" t="s">
        <v>31621</v>
      </c>
      <c r="C10038" t="s">
        <v>31622</v>
      </c>
      <c r="D10038" t="s">
        <v>31619</v>
      </c>
      <c r="E10038">
        <v>4</v>
      </c>
      <c r="F10038" t="str">
        <f>HYPERLINK("https://github.com/rudderlabs/rudder-sdk-android/issues/282", "show")</f>
        <v>show</v>
      </c>
      <c r="G10038" t="str">
        <f>HYPERLINK("https://github.com/rudderlabs/rudder-sdk-android", "show")</f>
        <v>show</v>
      </c>
      <c r="H10038" t="str">
        <f>HYPERLINK("https://github.com/rudderlabs/rudder-sdk-android/releases", "show")</f>
        <v>show</v>
      </c>
      <c r="I10038">
        <v>1</v>
      </c>
      <c r="J10038">
        <v>1</v>
      </c>
      <c r="K10038">
        <v>1</v>
      </c>
      <c r="L10038">
        <v>0</v>
      </c>
      <c r="M10038" t="s">
        <v>59</v>
      </c>
    </row>
    <row r="10039" spans="1:13" hidden="1" x14ac:dyDescent="0.15">
      <c r="A10039" t="s">
        <v>31623</v>
      </c>
      <c r="B10039" t="s">
        <v>31624</v>
      </c>
      <c r="C10039" t="s">
        <v>31625</v>
      </c>
      <c r="D10039" t="s">
        <v>31619</v>
      </c>
      <c r="E10039">
        <v>0</v>
      </c>
      <c r="F10039" t="str">
        <f>HYPERLINK("https://github.com/Anuken/Mindustry/issues/8948", "show")</f>
        <v>show</v>
      </c>
      <c r="G10039" t="str">
        <f>HYPERLINK("https://github.com/Anuken/Mindustry", "show")</f>
        <v>show</v>
      </c>
      <c r="H10039" t="str">
        <f>HYPERLINK("https://github.com/Anuken/Mindustry/releases", "show")</f>
        <v>show</v>
      </c>
      <c r="I10039">
        <v>0</v>
      </c>
      <c r="J10039">
        <v>0</v>
      </c>
      <c r="K10039">
        <v>0</v>
      </c>
      <c r="L10039">
        <v>1</v>
      </c>
      <c r="M10039" t="s">
        <v>581</v>
      </c>
    </row>
    <row r="10040" spans="1:13" hidden="1" x14ac:dyDescent="0.15">
      <c r="A10040" t="s">
        <v>31626</v>
      </c>
      <c r="B10040" t="s">
        <v>31627</v>
      </c>
      <c r="C10040" t="s">
        <v>31628</v>
      </c>
      <c r="D10040" t="s">
        <v>31629</v>
      </c>
      <c r="E10040">
        <v>0</v>
      </c>
      <c r="F10040" t="str">
        <f>HYPERLINK("https://github.com/Anuken/Mindustry/issues/8947", "show")</f>
        <v>show</v>
      </c>
      <c r="G10040" t="str">
        <f>HYPERLINK("https://github.com/Anuken/Mindustry", "show")</f>
        <v>show</v>
      </c>
      <c r="H10040" t="str">
        <f>HYPERLINK("https://github.com/Anuken/Mindustry/releases", "show")</f>
        <v>show</v>
      </c>
      <c r="I10040">
        <v>1</v>
      </c>
      <c r="J10040">
        <v>1</v>
      </c>
      <c r="K10040">
        <v>1</v>
      </c>
      <c r="L10040">
        <v>0</v>
      </c>
      <c r="M10040" t="s">
        <v>59</v>
      </c>
    </row>
    <row r="10041" spans="1:13" x14ac:dyDescent="0.15">
      <c r="A10041" t="s">
        <v>31630</v>
      </c>
      <c r="B10041" t="s">
        <v>31631</v>
      </c>
      <c r="C10041" t="s">
        <v>31632</v>
      </c>
      <c r="D10041" t="s">
        <v>31629</v>
      </c>
      <c r="E10041">
        <v>0</v>
      </c>
      <c r="F10041" t="str">
        <f>HYPERLINK("https://github.com/Anuken/Mindustry/issues/8946", "show")</f>
        <v>show</v>
      </c>
      <c r="G10041" t="str">
        <f>HYPERLINK("https://github.com/Anuken/Mindustry", "show")</f>
        <v>show</v>
      </c>
      <c r="H10041" t="str">
        <f>HYPERLINK("https://github.com/Anuken/Mindustry/releases", "show")</f>
        <v>show</v>
      </c>
      <c r="I10041">
        <v>0</v>
      </c>
      <c r="J10041">
        <v>1</v>
      </c>
      <c r="K10041">
        <v>0</v>
      </c>
      <c r="L10041">
        <v>0</v>
      </c>
      <c r="M10041" t="s">
        <v>139</v>
      </c>
    </row>
    <row r="10042" spans="1:13" hidden="1" x14ac:dyDescent="0.15">
      <c r="A10042" t="s">
        <v>31633</v>
      </c>
      <c r="B10042" t="s">
        <v>31634</v>
      </c>
      <c r="C10042" t="s">
        <v>31635</v>
      </c>
      <c r="D10042" t="s">
        <v>31629</v>
      </c>
      <c r="E10042">
        <v>0</v>
      </c>
      <c r="F10042" t="str">
        <f>HYPERLINK("https://github.com/Anuken/Mindustry/issues/8944", "show")</f>
        <v>show</v>
      </c>
      <c r="G10042" t="str">
        <f>HYPERLINK("https://github.com/Anuken/Mindustry", "show")</f>
        <v>show</v>
      </c>
      <c r="H10042" t="str">
        <f>HYPERLINK("https://github.com/Anuken/Mindustry/releases", "show")</f>
        <v>show</v>
      </c>
      <c r="I10042">
        <v>1</v>
      </c>
      <c r="J10042">
        <v>1</v>
      </c>
      <c r="K10042">
        <v>1</v>
      </c>
      <c r="L10042">
        <v>0</v>
      </c>
      <c r="M10042" t="s">
        <v>59</v>
      </c>
    </row>
    <row r="10043" spans="1:13" hidden="1" x14ac:dyDescent="0.15">
      <c r="A10043" t="s">
        <v>31636</v>
      </c>
      <c r="B10043" t="s">
        <v>31637</v>
      </c>
      <c r="C10043" t="s">
        <v>31638</v>
      </c>
      <c r="D10043" t="s">
        <v>31639</v>
      </c>
      <c r="E10043">
        <v>1</v>
      </c>
      <c r="F10043" t="str">
        <f>HYPERLINK("https://github.com/PojavLauncherTeam/PojavLauncher/issues/4487", "show")</f>
        <v>show</v>
      </c>
      <c r="G10043" t="str">
        <f>HYPERLINK("https://github.com/PojavLauncherTeam/PojavLauncher", "show")</f>
        <v>show</v>
      </c>
      <c r="H10043" t="str">
        <f>HYPERLINK("https://github.com/PojavLauncherTeam/PojavLauncher/releases", "show")</f>
        <v>show</v>
      </c>
      <c r="I10043">
        <v>1</v>
      </c>
      <c r="J10043">
        <v>0</v>
      </c>
      <c r="K10043">
        <v>0</v>
      </c>
      <c r="L10043">
        <v>0</v>
      </c>
      <c r="M10043" t="s">
        <v>17</v>
      </c>
    </row>
    <row r="10044" spans="1:13" hidden="1" x14ac:dyDescent="0.15">
      <c r="A10044" t="s">
        <v>31640</v>
      </c>
      <c r="B10044" t="s">
        <v>31641</v>
      </c>
      <c r="C10044" t="s">
        <v>31642</v>
      </c>
      <c r="D10044" t="s">
        <v>31639</v>
      </c>
      <c r="E10044">
        <v>7</v>
      </c>
      <c r="F10044" t="str">
        <f>HYPERLINK("https://github.com/deepjavalibrary/djl/issues/2750", "show")</f>
        <v>show</v>
      </c>
      <c r="G10044" t="str">
        <f>HYPERLINK("https://github.com/deepjavalibrary/djl", "show")</f>
        <v>show</v>
      </c>
      <c r="H10044" t="str">
        <f>HYPERLINK("https://github.com/deepjavalibrary/djl/releases", "show")</f>
        <v>show</v>
      </c>
      <c r="I10044">
        <v>1</v>
      </c>
      <c r="J10044">
        <v>0</v>
      </c>
      <c r="K10044">
        <v>1</v>
      </c>
      <c r="L10044">
        <v>0</v>
      </c>
      <c r="M10044" t="s">
        <v>64</v>
      </c>
    </row>
    <row r="10045" spans="1:13" x14ac:dyDescent="0.15">
      <c r="A10045" t="s">
        <v>31643</v>
      </c>
      <c r="B10045" t="s">
        <v>31644</v>
      </c>
      <c r="C10045" t="s">
        <v>31645</v>
      </c>
      <c r="D10045" t="s">
        <v>31646</v>
      </c>
      <c r="E10045">
        <v>0</v>
      </c>
      <c r="F10045" t="str">
        <f>HYPERLINK("https://github.com/Anuken/Mindustry/issues/8939", "show")</f>
        <v>show</v>
      </c>
      <c r="G10045" t="str">
        <f>HYPERLINK("https://github.com/Anuken/Mindustry", "show")</f>
        <v>show</v>
      </c>
      <c r="H10045" t="str">
        <f>HYPERLINK("https://github.com/Anuken/Mindustry/releases", "show")</f>
        <v>show</v>
      </c>
      <c r="I10045">
        <v>0</v>
      </c>
      <c r="J10045">
        <v>1</v>
      </c>
      <c r="K10045">
        <v>0</v>
      </c>
      <c r="L10045">
        <v>0</v>
      </c>
      <c r="M10045" t="s">
        <v>139</v>
      </c>
    </row>
    <row r="10046" spans="1:13" hidden="1" x14ac:dyDescent="0.15">
      <c r="A10046" t="s">
        <v>31647</v>
      </c>
      <c r="B10046" t="s">
        <v>31648</v>
      </c>
      <c r="C10046" t="s">
        <v>31649</v>
      </c>
      <c r="D10046" t="s">
        <v>31646</v>
      </c>
      <c r="E10046">
        <v>1</v>
      </c>
      <c r="F10046" t="str">
        <f>HYPERLINK("https://github.com/PojavLauncherTeam/PojavLauncher/issues/4481", "show")</f>
        <v>show</v>
      </c>
      <c r="G10046" t="str">
        <f>HYPERLINK("https://github.com/PojavLauncherTeam/PojavLauncher", "show")</f>
        <v>show</v>
      </c>
      <c r="H10046" t="str">
        <f>HYPERLINK("https://github.com/PojavLauncherTeam/PojavLauncher/releases", "show")</f>
        <v>show</v>
      </c>
      <c r="I10046">
        <v>1</v>
      </c>
      <c r="J10046">
        <v>1</v>
      </c>
      <c r="K10046">
        <v>0</v>
      </c>
      <c r="L10046">
        <v>0</v>
      </c>
      <c r="M10046" t="s">
        <v>48</v>
      </c>
    </row>
    <row r="10047" spans="1:13" hidden="1" x14ac:dyDescent="0.15">
      <c r="A10047" t="s">
        <v>31650</v>
      </c>
      <c r="B10047" t="s">
        <v>31651</v>
      </c>
      <c r="C10047" t="s">
        <v>31652</v>
      </c>
      <c r="D10047" t="s">
        <v>31653</v>
      </c>
      <c r="E10047">
        <v>1</v>
      </c>
      <c r="F10047" t="str">
        <f>HYPERLINK("https://github.com/google/ExoPlayer/issues/11263", "show")</f>
        <v>show</v>
      </c>
      <c r="G10047" t="str">
        <f>HYPERLINK("https://github.com/google/ExoPlayer", "show")</f>
        <v>show</v>
      </c>
      <c r="H10047" t="str">
        <f>HYPERLINK("https://github.com/google/ExoPlayer/releases", "show")</f>
        <v>show</v>
      </c>
      <c r="I10047">
        <v>1</v>
      </c>
      <c r="J10047">
        <v>0</v>
      </c>
      <c r="K10047">
        <v>1</v>
      </c>
      <c r="L10047">
        <v>0</v>
      </c>
      <c r="M10047" t="s">
        <v>64</v>
      </c>
    </row>
    <row r="10048" spans="1:13" hidden="1" x14ac:dyDescent="0.15">
      <c r="A10048" t="s">
        <v>31654</v>
      </c>
      <c r="B10048" t="s">
        <v>31655</v>
      </c>
      <c r="C10048" t="s">
        <v>31656</v>
      </c>
      <c r="D10048" t="s">
        <v>31653</v>
      </c>
      <c r="E10048">
        <v>0</v>
      </c>
      <c r="F10048" t="str">
        <f>HYPERLINK("https://github.com/nextcloud/notes-android/issues/1875", "show")</f>
        <v>show</v>
      </c>
      <c r="G10048" t="str">
        <f>HYPERLINK("https://github.com/nextcloud/notes-android", "show")</f>
        <v>show</v>
      </c>
      <c r="H10048" t="str">
        <f>HYPERLINK("https://github.com/nextcloud/notes-android/releases", "show")</f>
        <v>show</v>
      </c>
      <c r="I10048">
        <v>1</v>
      </c>
      <c r="J10048">
        <v>1</v>
      </c>
      <c r="K10048">
        <v>1</v>
      </c>
      <c r="L10048">
        <v>0</v>
      </c>
      <c r="M10048" t="s">
        <v>59</v>
      </c>
    </row>
    <row r="10049" spans="1:13" hidden="1" x14ac:dyDescent="0.15">
      <c r="A10049" t="s">
        <v>31657</v>
      </c>
      <c r="B10049" t="s">
        <v>31658</v>
      </c>
      <c r="C10049" t="s">
        <v>31659</v>
      </c>
      <c r="D10049" t="s">
        <v>31653</v>
      </c>
      <c r="E10049">
        <v>9</v>
      </c>
      <c r="F10049" t="str">
        <f>HYPERLINK("https://github.com/aws-amplify/amplify-android/issues/2560", "show")</f>
        <v>show</v>
      </c>
      <c r="G10049" t="str">
        <f>HYPERLINK("https://github.com/aws-amplify/amplify-android", "show")</f>
        <v>show</v>
      </c>
      <c r="H10049" t="str">
        <f>HYPERLINK("https://github.com/aws-amplify/amplify-android/releases", "show")</f>
        <v>show</v>
      </c>
      <c r="I10049">
        <v>1</v>
      </c>
      <c r="J10049">
        <v>1</v>
      </c>
      <c r="K10049">
        <v>0</v>
      </c>
      <c r="L10049">
        <v>0</v>
      </c>
      <c r="M10049" t="s">
        <v>48</v>
      </c>
    </row>
    <row r="10050" spans="1:13" hidden="1" x14ac:dyDescent="0.15">
      <c r="A10050" t="s">
        <v>31660</v>
      </c>
      <c r="B10050" t="s">
        <v>31661</v>
      </c>
      <c r="C10050" t="s">
        <v>31662</v>
      </c>
      <c r="D10050" t="s">
        <v>31653</v>
      </c>
      <c r="E10050">
        <v>12</v>
      </c>
      <c r="F10050" t="str">
        <f>HYPERLINK("https://github.com/FCL-Team/FoldCraftLauncher/issues/87", "show")</f>
        <v>show</v>
      </c>
      <c r="G10050" t="str">
        <f>HYPERLINK("https://github.com/FCL-Team/FoldCraftLauncher", "show")</f>
        <v>show</v>
      </c>
      <c r="H10050" t="str">
        <f>HYPERLINK("https://github.com/FCL-Team/FoldCraftLauncher/releases", "show")</f>
        <v>show</v>
      </c>
      <c r="I10050">
        <v>1</v>
      </c>
      <c r="J10050">
        <v>0</v>
      </c>
      <c r="K10050">
        <v>0</v>
      </c>
      <c r="L10050">
        <v>0</v>
      </c>
      <c r="M10050" t="s">
        <v>17</v>
      </c>
    </row>
    <row r="10051" spans="1:13" hidden="1" x14ac:dyDescent="0.15">
      <c r="A10051" t="s">
        <v>31663</v>
      </c>
      <c r="B10051" t="s">
        <v>31664</v>
      </c>
      <c r="C10051" t="s">
        <v>31665</v>
      </c>
      <c r="D10051" t="s">
        <v>31653</v>
      </c>
      <c r="E10051">
        <v>0</v>
      </c>
      <c r="F10051" t="str">
        <f>HYPERLINK("https://github.com/Anuken/Mindustry/issues/8932", "show")</f>
        <v>show</v>
      </c>
      <c r="G10051" t="str">
        <f>HYPERLINK("https://github.com/Anuken/Mindustry", "show")</f>
        <v>show</v>
      </c>
      <c r="H10051" t="str">
        <f>HYPERLINK("https://github.com/Anuken/Mindustry/releases", "show")</f>
        <v>show</v>
      </c>
      <c r="I10051">
        <v>1</v>
      </c>
      <c r="J10051">
        <v>0</v>
      </c>
      <c r="K10051">
        <v>0</v>
      </c>
      <c r="L10051">
        <v>0</v>
      </c>
      <c r="M10051" t="s">
        <v>17</v>
      </c>
    </row>
    <row r="10052" spans="1:13" hidden="1" x14ac:dyDescent="0.15">
      <c r="A10052" t="s">
        <v>31666</v>
      </c>
      <c r="B10052" t="s">
        <v>31667</v>
      </c>
      <c r="C10052" t="s">
        <v>31668</v>
      </c>
      <c r="D10052" t="s">
        <v>31669</v>
      </c>
      <c r="E10052">
        <v>1</v>
      </c>
      <c r="F10052" t="str">
        <f>HYPERLINK("https://github.com/LSPosed/LSPosed/issues/2686", "show")</f>
        <v>show</v>
      </c>
      <c r="G10052" t="str">
        <f>HYPERLINK("https://github.com/LSPosed/LSPosed", "show")</f>
        <v>show</v>
      </c>
      <c r="H10052" t="str">
        <f>HYPERLINK("https://github.com/LSPosed/LSPosed/releases", "show")</f>
        <v>show</v>
      </c>
      <c r="I10052">
        <v>1</v>
      </c>
      <c r="J10052">
        <v>1</v>
      </c>
      <c r="K10052">
        <v>1</v>
      </c>
      <c r="L10052">
        <v>0</v>
      </c>
      <c r="M10052" t="s">
        <v>59</v>
      </c>
    </row>
    <row r="10053" spans="1:13" hidden="1" x14ac:dyDescent="0.15">
      <c r="A10053" t="s">
        <v>31670</v>
      </c>
      <c r="B10053" t="s">
        <v>31671</v>
      </c>
      <c r="C10053" t="s">
        <v>31672</v>
      </c>
      <c r="D10053" t="s">
        <v>31673</v>
      </c>
      <c r="E10053">
        <v>27</v>
      </c>
      <c r="F10053" t="str">
        <f>HYPERLINK("https://github.com/AndroidIDEOfficial/AndroidIDE/issues/1208", "show")</f>
        <v>show</v>
      </c>
      <c r="G10053" t="str">
        <f>HYPERLINK("https://github.com/AndroidIDEOfficial/AndroidIDE", "show")</f>
        <v>show</v>
      </c>
      <c r="H10053" t="str">
        <f>HYPERLINK("https://github.com/AndroidIDEOfficial/AndroidIDE/releases", "show")</f>
        <v>show</v>
      </c>
      <c r="I10053">
        <v>0</v>
      </c>
      <c r="J10053">
        <v>0</v>
      </c>
      <c r="K10053">
        <v>1</v>
      </c>
      <c r="L10053">
        <v>0</v>
      </c>
      <c r="M10053" t="s">
        <v>122</v>
      </c>
    </row>
    <row r="10054" spans="1:13" hidden="1" x14ac:dyDescent="0.15">
      <c r="A10054" t="s">
        <v>31674</v>
      </c>
      <c r="B10054" t="s">
        <v>31675</v>
      </c>
      <c r="C10054" t="s">
        <v>31676</v>
      </c>
      <c r="D10054" t="s">
        <v>31673</v>
      </c>
      <c r="E10054">
        <v>15</v>
      </c>
      <c r="F10054" t="str">
        <f>HYPERLINK("https://github.com/Doubi88/SlideshowWallpaper/issues/23", "show")</f>
        <v>show</v>
      </c>
      <c r="G10054" t="str">
        <f>HYPERLINK("https://github.com/Doubi88/SlideshowWallpaper", "show")</f>
        <v>show</v>
      </c>
      <c r="H10054" t="str">
        <f>HYPERLINK("https://github.com/Doubi88/SlideshowWallpaper/releases", "show")</f>
        <v>show</v>
      </c>
      <c r="I10054">
        <v>0</v>
      </c>
      <c r="J10054">
        <v>0</v>
      </c>
      <c r="K10054">
        <v>0</v>
      </c>
      <c r="L10054">
        <v>0</v>
      </c>
      <c r="M10054" t="s">
        <v>43</v>
      </c>
    </row>
    <row r="10055" spans="1:13" hidden="1" x14ac:dyDescent="0.15">
      <c r="A10055" t="s">
        <v>31677</v>
      </c>
      <c r="B10055" t="s">
        <v>31678</v>
      </c>
      <c r="C10055" t="s">
        <v>31679</v>
      </c>
      <c r="D10055" t="s">
        <v>31673</v>
      </c>
      <c r="E10055">
        <v>3</v>
      </c>
      <c r="F10055" t="str">
        <f>HYPERLINK("https://github.com/jellyfin/jellyfin-androidtv/issues/2963", "show")</f>
        <v>show</v>
      </c>
      <c r="G10055" t="str">
        <f>HYPERLINK("https://github.com/jellyfin/jellyfin-androidtv", "show")</f>
        <v>show</v>
      </c>
      <c r="H10055" t="str">
        <f>HYPERLINK("https://github.com/jellyfin/jellyfin-androidtv/releases", "show")</f>
        <v>show</v>
      </c>
      <c r="I10055">
        <v>0</v>
      </c>
      <c r="J10055">
        <v>0</v>
      </c>
      <c r="K10055">
        <v>0</v>
      </c>
      <c r="L10055">
        <v>0</v>
      </c>
      <c r="M10055" t="s">
        <v>43</v>
      </c>
    </row>
    <row r="10056" spans="1:13" hidden="1" x14ac:dyDescent="0.15">
      <c r="A10056" t="s">
        <v>31680</v>
      </c>
      <c r="B10056" t="s">
        <v>31681</v>
      </c>
      <c r="C10056" t="s">
        <v>31682</v>
      </c>
      <c r="D10056" t="s">
        <v>31683</v>
      </c>
      <c r="E10056">
        <v>2</v>
      </c>
      <c r="F10056" t="str">
        <f>HYPERLINK("https://github.com/jellyfin/jellyfin-androidtv/issues/2960", "show")</f>
        <v>show</v>
      </c>
      <c r="G10056" t="str">
        <f>HYPERLINK("https://github.com/jellyfin/jellyfin-androidtv", "show")</f>
        <v>show</v>
      </c>
      <c r="H10056" t="str">
        <f>HYPERLINK("https://github.com/jellyfin/jellyfin-androidtv/releases", "show")</f>
        <v>show</v>
      </c>
      <c r="I10056">
        <v>1</v>
      </c>
      <c r="J10056">
        <v>0</v>
      </c>
      <c r="K10056">
        <v>0</v>
      </c>
      <c r="L10056">
        <v>0</v>
      </c>
      <c r="M10056" t="s">
        <v>17</v>
      </c>
    </row>
    <row r="10057" spans="1:13" hidden="1" x14ac:dyDescent="0.15">
      <c r="A10057" t="s">
        <v>31684</v>
      </c>
      <c r="B10057" t="s">
        <v>31685</v>
      </c>
      <c r="C10057" t="s">
        <v>31686</v>
      </c>
      <c r="D10057" t="s">
        <v>31683</v>
      </c>
      <c r="E10057">
        <v>0</v>
      </c>
      <c r="F10057" t="str">
        <f>HYPERLINK("https://github.com/MuntashirAkon/AppManager/issues/1145", "show")</f>
        <v>show</v>
      </c>
      <c r="G10057" t="str">
        <f>HYPERLINK("https://github.com/MuntashirAkon/AppManager", "show")</f>
        <v>show</v>
      </c>
      <c r="H10057" t="str">
        <f>HYPERLINK("https://github.com/MuntashirAkon/AppManager/releases", "show")</f>
        <v>show</v>
      </c>
      <c r="I10057">
        <v>1</v>
      </c>
      <c r="J10057">
        <v>0</v>
      </c>
      <c r="K10057">
        <v>0</v>
      </c>
      <c r="L10057">
        <v>1</v>
      </c>
      <c r="M10057" t="s">
        <v>29</v>
      </c>
    </row>
    <row r="10058" spans="1:13" hidden="1" x14ac:dyDescent="0.15">
      <c r="A10058" t="s">
        <v>31687</v>
      </c>
      <c r="B10058" t="s">
        <v>31688</v>
      </c>
      <c r="C10058" t="s">
        <v>31689</v>
      </c>
      <c r="D10058" t="s">
        <v>31690</v>
      </c>
      <c r="E10058">
        <v>0</v>
      </c>
      <c r="F10058" t="str">
        <f>HYPERLINK("https://github.com/Anuken/Mindustry/issues/8916", "show")</f>
        <v>show</v>
      </c>
      <c r="G10058" t="str">
        <f>HYPERLINK("https://github.com/Anuken/Mindustry", "show")</f>
        <v>show</v>
      </c>
      <c r="H10058" t="str">
        <f>HYPERLINK("https://github.com/Anuken/Mindustry/releases", "show")</f>
        <v>show</v>
      </c>
      <c r="I10058">
        <v>0</v>
      </c>
      <c r="J10058">
        <v>0</v>
      </c>
      <c r="K10058">
        <v>0</v>
      </c>
      <c r="L10058">
        <v>0</v>
      </c>
      <c r="M10058" t="s">
        <v>43</v>
      </c>
    </row>
    <row r="10059" spans="1:13" hidden="1" x14ac:dyDescent="0.15">
      <c r="A10059" t="s">
        <v>31691</v>
      </c>
      <c r="B10059" t="s">
        <v>31692</v>
      </c>
      <c r="C10059" t="s">
        <v>31693</v>
      </c>
      <c r="D10059" t="s">
        <v>31690</v>
      </c>
      <c r="E10059">
        <v>0</v>
      </c>
      <c r="F10059" t="str">
        <f>HYPERLINK("https://github.com/Anuken/Mindustry/issues/8915", "show")</f>
        <v>show</v>
      </c>
      <c r="G10059" t="str">
        <f>HYPERLINK("https://github.com/Anuken/Mindustry", "show")</f>
        <v>show</v>
      </c>
      <c r="H10059" t="str">
        <f>HYPERLINK("https://github.com/Anuken/Mindustry/releases", "show")</f>
        <v>show</v>
      </c>
      <c r="I10059">
        <v>1</v>
      </c>
      <c r="J10059">
        <v>1</v>
      </c>
      <c r="K10059">
        <v>0</v>
      </c>
      <c r="L10059">
        <v>0</v>
      </c>
      <c r="M10059" t="s">
        <v>48</v>
      </c>
    </row>
    <row r="10060" spans="1:13" hidden="1" x14ac:dyDescent="0.15">
      <c r="A10060" t="s">
        <v>31694</v>
      </c>
      <c r="B10060" t="s">
        <v>31695</v>
      </c>
      <c r="C10060" t="s">
        <v>31696</v>
      </c>
      <c r="D10060" t="s">
        <v>31690</v>
      </c>
      <c r="E10060">
        <v>5</v>
      </c>
      <c r="F10060" t="str">
        <f>HYPERLINK("https://github.com/AndroidIDEOfficial/AndroidIDE/issues/1198", "show")</f>
        <v>show</v>
      </c>
      <c r="G10060" t="str">
        <f>HYPERLINK("https://github.com/AndroidIDEOfficial/AndroidIDE", "show")</f>
        <v>show</v>
      </c>
      <c r="H10060" t="str">
        <f>HYPERLINK("https://github.com/AndroidIDEOfficial/AndroidIDE/releases", "show")</f>
        <v>show</v>
      </c>
      <c r="I10060">
        <v>0</v>
      </c>
      <c r="J10060">
        <v>0</v>
      </c>
      <c r="K10060">
        <v>1</v>
      </c>
      <c r="L10060">
        <v>0</v>
      </c>
      <c r="M10060" t="s">
        <v>122</v>
      </c>
    </row>
    <row r="10061" spans="1:13" hidden="1" x14ac:dyDescent="0.15">
      <c r="A10061" t="s">
        <v>31697</v>
      </c>
      <c r="B10061" t="s">
        <v>31698</v>
      </c>
      <c r="C10061" t="s">
        <v>31699</v>
      </c>
      <c r="D10061" t="s">
        <v>31690</v>
      </c>
      <c r="E10061">
        <v>0</v>
      </c>
      <c r="F10061" t="str">
        <f>HYPERLINK("https://github.com/OpenTracksApp/OpenTracks/issues/1663", "show")</f>
        <v>show</v>
      </c>
      <c r="G10061" t="str">
        <f>HYPERLINK("https://github.com/OpenTracksApp/OpenTracks", "show")</f>
        <v>show</v>
      </c>
      <c r="H10061" t="str">
        <f>HYPERLINK("https://github.com/OpenTracksApp/OpenTracks/releases", "show")</f>
        <v>show</v>
      </c>
      <c r="I10061">
        <v>0</v>
      </c>
      <c r="J10061">
        <v>0</v>
      </c>
      <c r="K10061">
        <v>1</v>
      </c>
      <c r="L10061">
        <v>0</v>
      </c>
      <c r="M10061" t="s">
        <v>122</v>
      </c>
    </row>
    <row r="10062" spans="1:13" hidden="1" x14ac:dyDescent="0.15">
      <c r="A10062" t="s">
        <v>31700</v>
      </c>
      <c r="B10062" t="s">
        <v>31701</v>
      </c>
      <c r="C10062" t="s">
        <v>31702</v>
      </c>
      <c r="D10062" t="s">
        <v>31703</v>
      </c>
      <c r="E10062">
        <v>0</v>
      </c>
      <c r="F10062" t="str">
        <f>HYPERLINK("https://github.com/CSC207-2023Y-UofT/course-project-tnt/issues/50", "show")</f>
        <v>show</v>
      </c>
      <c r="G10062" t="str">
        <f>HYPERLINK("https://github.com/CSC207-2023Y-UofT/course-project-tnt", "show")</f>
        <v>show</v>
      </c>
      <c r="H10062" t="str">
        <f>HYPERLINK("https://github.com/CSC207-2023Y-UofT/course-project-tnt/releases", "show")</f>
        <v>show</v>
      </c>
      <c r="I10062">
        <v>1</v>
      </c>
      <c r="J10062">
        <v>0</v>
      </c>
      <c r="K10062">
        <v>0</v>
      </c>
      <c r="L10062">
        <v>0</v>
      </c>
      <c r="M10062" t="s">
        <v>17</v>
      </c>
    </row>
    <row r="10063" spans="1:13" hidden="1" x14ac:dyDescent="0.15">
      <c r="A10063" t="s">
        <v>31704</v>
      </c>
      <c r="B10063" t="s">
        <v>31705</v>
      </c>
      <c r="C10063" t="s">
        <v>31706</v>
      </c>
      <c r="D10063" t="s">
        <v>31703</v>
      </c>
      <c r="E10063">
        <v>0</v>
      </c>
      <c r="F10063" t="str">
        <f>HYPERLINK("https://github.com/jellyfin/jellyfin-androidtv/issues/2952", "show")</f>
        <v>show</v>
      </c>
      <c r="G10063" t="str">
        <f>HYPERLINK("https://github.com/jellyfin/jellyfin-androidtv", "show")</f>
        <v>show</v>
      </c>
      <c r="H10063" t="str">
        <f>HYPERLINK("https://github.com/jellyfin/jellyfin-androidtv/releases", "show")</f>
        <v>show</v>
      </c>
      <c r="I10063">
        <v>1</v>
      </c>
      <c r="J10063">
        <v>0</v>
      </c>
      <c r="K10063">
        <v>1</v>
      </c>
      <c r="L10063">
        <v>0</v>
      </c>
      <c r="M10063" t="s">
        <v>64</v>
      </c>
    </row>
    <row r="10064" spans="1:13" hidden="1" x14ac:dyDescent="0.15">
      <c r="A10064" t="s">
        <v>31707</v>
      </c>
      <c r="B10064" t="s">
        <v>31708</v>
      </c>
      <c r="C10064" t="s">
        <v>31709</v>
      </c>
      <c r="D10064" t="s">
        <v>31710</v>
      </c>
      <c r="E10064">
        <v>1</v>
      </c>
      <c r="F10064" t="str">
        <f>HYPERLINK("https://github.com/FCL-Team/FoldCraftLauncher/issues/79", "show")</f>
        <v>show</v>
      </c>
      <c r="G10064" t="str">
        <f>HYPERLINK("https://github.com/FCL-Team/FoldCraftLauncher", "show")</f>
        <v>show</v>
      </c>
      <c r="H10064" t="str">
        <f>HYPERLINK("https://github.com/FCL-Team/FoldCraftLauncher/releases", "show")</f>
        <v>show</v>
      </c>
      <c r="I10064">
        <v>1</v>
      </c>
      <c r="J10064">
        <v>0</v>
      </c>
      <c r="K10064">
        <v>0</v>
      </c>
      <c r="L10064">
        <v>0</v>
      </c>
      <c r="M10064" t="s">
        <v>17</v>
      </c>
    </row>
    <row r="10065" spans="1:13" hidden="1" x14ac:dyDescent="0.15">
      <c r="A10065" t="s">
        <v>31711</v>
      </c>
      <c r="B10065" t="s">
        <v>31712</v>
      </c>
      <c r="C10065" t="s">
        <v>31713</v>
      </c>
      <c r="D10065" t="s">
        <v>31710</v>
      </c>
      <c r="E10065">
        <v>15</v>
      </c>
      <c r="F10065" t="str">
        <f>HYPERLINK("https://github.com/AndroidIDEOfficial/AndroidIDE/issues/1195", "show")</f>
        <v>show</v>
      </c>
      <c r="G10065" t="str">
        <f>HYPERLINK("https://github.com/AndroidIDEOfficial/AndroidIDE", "show")</f>
        <v>show</v>
      </c>
      <c r="H10065" t="str">
        <f>HYPERLINK("https://github.com/AndroidIDEOfficial/AndroidIDE/releases", "show")</f>
        <v>show</v>
      </c>
      <c r="I10065">
        <v>0</v>
      </c>
      <c r="J10065">
        <v>0</v>
      </c>
      <c r="K10065">
        <v>1</v>
      </c>
      <c r="L10065">
        <v>1</v>
      </c>
      <c r="M10065" t="s">
        <v>351</v>
      </c>
    </row>
    <row r="10066" spans="1:13" hidden="1" x14ac:dyDescent="0.15">
      <c r="A10066" t="s">
        <v>31714</v>
      </c>
      <c r="B10066" t="s">
        <v>31715</v>
      </c>
      <c r="C10066" t="s">
        <v>31715</v>
      </c>
      <c r="D10066" t="s">
        <v>31710</v>
      </c>
      <c r="E10066">
        <v>3</v>
      </c>
      <c r="F10066" t="str">
        <f>HYPERLINK("https://github.com/ringcentral-tutorials/engage-digital-messaging-android-demo/issues/30", "show")</f>
        <v>show</v>
      </c>
      <c r="G10066" t="str">
        <f>HYPERLINK("https://github.com/ringcentral-tutorials/engage-digital-messaging-android-demo", "show")</f>
        <v>show</v>
      </c>
      <c r="H10066" t="str">
        <f>HYPERLINK("https://github.com/ringcentral-tutorials/engage-digital-messaging-android-demo/releases", "show")</f>
        <v>show</v>
      </c>
      <c r="I10066">
        <v>1</v>
      </c>
      <c r="J10066">
        <v>0</v>
      </c>
      <c r="K10066">
        <v>0</v>
      </c>
      <c r="L10066">
        <v>0</v>
      </c>
      <c r="M10066" t="s">
        <v>17</v>
      </c>
    </row>
    <row r="10067" spans="1:13" hidden="1" x14ac:dyDescent="0.15">
      <c r="A10067" t="s">
        <v>31716</v>
      </c>
      <c r="B10067" t="s">
        <v>31717</v>
      </c>
      <c r="C10067" t="s">
        <v>31718</v>
      </c>
      <c r="D10067" t="s">
        <v>31710</v>
      </c>
      <c r="E10067">
        <v>6</v>
      </c>
      <c r="F10067" t="str">
        <f>HYPERLINK("https://github.com/awslabs/aws-crt-java/issues/659", "show")</f>
        <v>show</v>
      </c>
      <c r="G10067" t="str">
        <f>HYPERLINK("https://github.com/awslabs/aws-crt-java", "show")</f>
        <v>show</v>
      </c>
      <c r="H10067" t="str">
        <f>HYPERLINK("https://github.com/awslabs/aws-crt-java/releases", "show")</f>
        <v>show</v>
      </c>
      <c r="I10067">
        <v>1</v>
      </c>
      <c r="J10067">
        <v>0</v>
      </c>
      <c r="K10067">
        <v>0</v>
      </c>
      <c r="L10067">
        <v>0</v>
      </c>
      <c r="M10067" t="s">
        <v>17</v>
      </c>
    </row>
    <row r="10068" spans="1:13" hidden="1" x14ac:dyDescent="0.15">
      <c r="A10068" t="s">
        <v>31719</v>
      </c>
      <c r="B10068" t="s">
        <v>31720</v>
      </c>
      <c r="C10068" t="s">
        <v>31721</v>
      </c>
      <c r="D10068" t="s">
        <v>31710</v>
      </c>
      <c r="E10068">
        <v>23</v>
      </c>
      <c r="F10068" t="str">
        <f>HYPERLINK("https://github.com/green-green-avk/AnotherTerm/issues/44", "show")</f>
        <v>show</v>
      </c>
      <c r="G10068" t="str">
        <f>HYPERLINK("https://github.com/green-green-avk/AnotherTerm", "show")</f>
        <v>show</v>
      </c>
      <c r="H10068" t="str">
        <f>HYPERLINK("https://github.com/green-green-avk/AnotherTerm/releases", "show")</f>
        <v>show</v>
      </c>
      <c r="I10068">
        <v>1</v>
      </c>
      <c r="J10068">
        <v>0</v>
      </c>
      <c r="K10068">
        <v>0</v>
      </c>
      <c r="L10068">
        <v>0</v>
      </c>
      <c r="M10068" t="s">
        <v>17</v>
      </c>
    </row>
    <row r="10069" spans="1:13" hidden="1" x14ac:dyDescent="0.15">
      <c r="A10069" t="s">
        <v>31722</v>
      </c>
      <c r="B10069" t="s">
        <v>31723</v>
      </c>
      <c r="C10069" t="s">
        <v>31724</v>
      </c>
      <c r="D10069" t="s">
        <v>31725</v>
      </c>
      <c r="E10069">
        <v>2</v>
      </c>
      <c r="F10069" t="str">
        <f>HYPERLINK("https://github.com/jellyfin/jellyfin-androidtv/issues/2949", "show")</f>
        <v>show</v>
      </c>
      <c r="G10069" t="str">
        <f>HYPERLINK("https://github.com/jellyfin/jellyfin-androidtv", "show")</f>
        <v>show</v>
      </c>
      <c r="H10069" t="str">
        <f>HYPERLINK("https://github.com/jellyfin/jellyfin-androidtv/releases", "show")</f>
        <v>show</v>
      </c>
      <c r="I10069">
        <v>1</v>
      </c>
      <c r="J10069">
        <v>0</v>
      </c>
      <c r="K10069">
        <v>0</v>
      </c>
      <c r="L10069">
        <v>0</v>
      </c>
      <c r="M10069" t="s">
        <v>17</v>
      </c>
    </row>
    <row r="10070" spans="1:13" hidden="1" x14ac:dyDescent="0.15">
      <c r="A10070" t="s">
        <v>31726</v>
      </c>
      <c r="B10070" t="s">
        <v>31727</v>
      </c>
      <c r="C10070" t="s">
        <v>31728</v>
      </c>
      <c r="D10070" t="s">
        <v>31725</v>
      </c>
      <c r="E10070">
        <v>8</v>
      </c>
      <c r="F10070" t="str">
        <f>HYPERLINK("https://github.com/PhenoApps/Field-Book/issues/706", "show")</f>
        <v>show</v>
      </c>
      <c r="G10070" t="str">
        <f>HYPERLINK("https://github.com/PhenoApps/Field-Book", "show")</f>
        <v>show</v>
      </c>
      <c r="H10070" t="str">
        <f>HYPERLINK("https://github.com/PhenoApps/Field-Book/releases", "show")</f>
        <v>show</v>
      </c>
      <c r="I10070">
        <v>0</v>
      </c>
      <c r="J10070">
        <v>0</v>
      </c>
      <c r="K10070">
        <v>0</v>
      </c>
      <c r="L10070">
        <v>1</v>
      </c>
      <c r="M10070" t="s">
        <v>581</v>
      </c>
    </row>
    <row r="10071" spans="1:13" hidden="1" x14ac:dyDescent="0.15">
      <c r="A10071" t="s">
        <v>31729</v>
      </c>
      <c r="B10071" t="s">
        <v>31730</v>
      </c>
      <c r="C10071" t="s">
        <v>31731</v>
      </c>
      <c r="D10071" t="s">
        <v>31725</v>
      </c>
      <c r="E10071">
        <v>1</v>
      </c>
      <c r="F10071" t="str">
        <f>HYPERLINK("https://github.com/bk138/droidVNC-NG/issues/157", "show")</f>
        <v>show</v>
      </c>
      <c r="G10071" t="str">
        <f>HYPERLINK("https://github.com/bk138/droidVNC-NG", "show")</f>
        <v>show</v>
      </c>
      <c r="H10071" t="str">
        <f>HYPERLINK("https://github.com/bk138/droidVNC-NG/releases", "show")</f>
        <v>show</v>
      </c>
      <c r="I10071">
        <v>1</v>
      </c>
      <c r="J10071">
        <v>1</v>
      </c>
      <c r="K10071">
        <v>0</v>
      </c>
      <c r="L10071">
        <v>0</v>
      </c>
      <c r="M10071" t="s">
        <v>48</v>
      </c>
    </row>
    <row r="10072" spans="1:13" hidden="1" x14ac:dyDescent="0.15">
      <c r="A10072" t="s">
        <v>31732</v>
      </c>
      <c r="B10072" t="s">
        <v>13094</v>
      </c>
      <c r="C10072" t="s">
        <v>31733</v>
      </c>
      <c r="D10072" t="s">
        <v>31725</v>
      </c>
      <c r="E10072">
        <v>0</v>
      </c>
      <c r="F10072" t="str">
        <f>HYPERLINK("https://github.com/nextcloud/notes-android/issues/1867", "show")</f>
        <v>show</v>
      </c>
      <c r="G10072" t="str">
        <f>HYPERLINK("https://github.com/nextcloud/notes-android", "show")</f>
        <v>show</v>
      </c>
      <c r="H10072" t="str">
        <f>HYPERLINK("https://github.com/nextcloud/notes-android/releases", "show")</f>
        <v>show</v>
      </c>
      <c r="I10072">
        <v>1</v>
      </c>
      <c r="J10072">
        <v>1</v>
      </c>
      <c r="K10072">
        <v>1</v>
      </c>
      <c r="L10072">
        <v>0</v>
      </c>
      <c r="M10072" t="s">
        <v>59</v>
      </c>
    </row>
    <row r="10073" spans="1:13" hidden="1" x14ac:dyDescent="0.15">
      <c r="A10073" t="s">
        <v>31734</v>
      </c>
      <c r="B10073" t="s">
        <v>31735</v>
      </c>
      <c r="C10073" t="s">
        <v>31736</v>
      </c>
      <c r="D10073" t="s">
        <v>31725</v>
      </c>
      <c r="E10073">
        <v>2</v>
      </c>
      <c r="F10073" t="str">
        <f>HYPERLINK("https://github.com/jellyfin/jellyfin-androidtv/issues/2948", "show")</f>
        <v>show</v>
      </c>
      <c r="G10073" t="str">
        <f>HYPERLINK("https://github.com/jellyfin/jellyfin-androidtv", "show")</f>
        <v>show</v>
      </c>
      <c r="H10073" t="str">
        <f>HYPERLINK("https://github.com/jellyfin/jellyfin-androidtv/releases", "show")</f>
        <v>show</v>
      </c>
      <c r="I10073">
        <v>1</v>
      </c>
      <c r="J10073">
        <v>0</v>
      </c>
      <c r="K10073">
        <v>0</v>
      </c>
      <c r="L10073">
        <v>0</v>
      </c>
      <c r="M10073" t="s">
        <v>17</v>
      </c>
    </row>
    <row r="10074" spans="1:13" hidden="1" x14ac:dyDescent="0.15">
      <c r="A10074" t="s">
        <v>31737</v>
      </c>
      <c r="B10074" t="s">
        <v>31738</v>
      </c>
      <c r="C10074" t="s">
        <v>31739</v>
      </c>
      <c r="D10074" t="s">
        <v>31725</v>
      </c>
      <c r="E10074">
        <v>0</v>
      </c>
      <c r="F10074" t="str">
        <f>HYPERLINK("https://github.com/AndroidIDEOfficial/AndroidIDE/issues/1189", "show")</f>
        <v>show</v>
      </c>
      <c r="G10074" t="str">
        <f>HYPERLINK("https://github.com/AndroidIDEOfficial/AndroidIDE", "show")</f>
        <v>show</v>
      </c>
      <c r="H10074" t="str">
        <f>HYPERLINK("https://github.com/AndroidIDEOfficial/AndroidIDE/releases", "show")</f>
        <v>show</v>
      </c>
      <c r="I10074">
        <v>1</v>
      </c>
      <c r="J10074">
        <v>0</v>
      </c>
      <c r="K10074">
        <v>1</v>
      </c>
      <c r="L10074">
        <v>0</v>
      </c>
      <c r="M10074" t="s">
        <v>64</v>
      </c>
    </row>
    <row r="10075" spans="1:13" hidden="1" x14ac:dyDescent="0.15">
      <c r="A10075" t="s">
        <v>31740</v>
      </c>
      <c r="B10075" t="s">
        <v>31741</v>
      </c>
      <c r="C10075" t="s">
        <v>31742</v>
      </c>
      <c r="D10075" t="s">
        <v>31743</v>
      </c>
      <c r="E10075">
        <v>1</v>
      </c>
      <c r="F10075" t="str">
        <f>HYPERLINK("https://github.com/AndroidIDEOfficial/AndroidIDE/issues/1186", "show")</f>
        <v>show</v>
      </c>
      <c r="G10075" t="str">
        <f>HYPERLINK("https://github.com/AndroidIDEOfficial/AndroidIDE", "show")</f>
        <v>show</v>
      </c>
      <c r="H10075" t="str">
        <f>HYPERLINK("https://github.com/AndroidIDEOfficial/AndroidIDE/releases", "show")</f>
        <v>show</v>
      </c>
      <c r="I10075">
        <v>0</v>
      </c>
      <c r="J10075">
        <v>0</v>
      </c>
      <c r="K10075">
        <v>1</v>
      </c>
      <c r="L10075">
        <v>0</v>
      </c>
      <c r="M10075" t="s">
        <v>122</v>
      </c>
    </row>
    <row r="10076" spans="1:13" hidden="1" x14ac:dyDescent="0.15">
      <c r="A10076" t="s">
        <v>31744</v>
      </c>
      <c r="B10076" t="s">
        <v>31745</v>
      </c>
      <c r="C10076" t="s">
        <v>31746</v>
      </c>
      <c r="D10076" t="s">
        <v>31747</v>
      </c>
      <c r="E10076">
        <v>0</v>
      </c>
      <c r="F10076" t="str">
        <f>HYPERLINK("https://github.com/nextcloud/notes-android/issues/1866", "show")</f>
        <v>show</v>
      </c>
      <c r="G10076" t="str">
        <f>HYPERLINK("https://github.com/nextcloud/notes-android", "show")</f>
        <v>show</v>
      </c>
      <c r="H10076" t="str">
        <f>HYPERLINK("https://github.com/nextcloud/notes-android/releases", "show")</f>
        <v>show</v>
      </c>
      <c r="I10076">
        <v>1</v>
      </c>
      <c r="J10076">
        <v>1</v>
      </c>
      <c r="K10076">
        <v>1</v>
      </c>
      <c r="L10076">
        <v>0</v>
      </c>
      <c r="M10076" t="s">
        <v>59</v>
      </c>
    </row>
    <row r="10077" spans="1:13" x14ac:dyDescent="0.15">
      <c r="A10077" t="s">
        <v>31748</v>
      </c>
      <c r="B10077" t="s">
        <v>31749</v>
      </c>
      <c r="C10077" t="s">
        <v>31750</v>
      </c>
      <c r="D10077" t="s">
        <v>31747</v>
      </c>
      <c r="E10077">
        <v>63</v>
      </c>
      <c r="F10077" t="str">
        <f>HYPERLINK("https://github.com/nextcloud/android/issues/11870", "show")</f>
        <v>show</v>
      </c>
      <c r="G10077" t="str">
        <f>HYPERLINK("https://github.com/nextcloud/android", "show")</f>
        <v>show</v>
      </c>
      <c r="H10077" t="str">
        <f>HYPERLINK("https://github.com/nextcloud/android/releases", "show")</f>
        <v>show</v>
      </c>
      <c r="I10077">
        <v>0</v>
      </c>
      <c r="J10077">
        <v>1</v>
      </c>
      <c r="K10077">
        <v>0</v>
      </c>
      <c r="L10077">
        <v>0</v>
      </c>
      <c r="M10077" t="s">
        <v>139</v>
      </c>
    </row>
    <row r="10078" spans="1:13" hidden="1" x14ac:dyDescent="0.15">
      <c r="A10078" t="s">
        <v>31751</v>
      </c>
      <c r="B10078" t="s">
        <v>31752</v>
      </c>
      <c r="C10078" t="s">
        <v>31753</v>
      </c>
      <c r="D10078" t="s">
        <v>31747</v>
      </c>
      <c r="E10078">
        <v>0</v>
      </c>
      <c r="F10078" t="str">
        <f>HYPERLINK("https://github.com/nextcloud/notes-android/issues/1865", "show")</f>
        <v>show</v>
      </c>
      <c r="G10078" t="str">
        <f>HYPERLINK("https://github.com/nextcloud/notes-android", "show")</f>
        <v>show</v>
      </c>
      <c r="H10078" t="str">
        <f>HYPERLINK("https://github.com/nextcloud/notes-android/releases", "show")</f>
        <v>show</v>
      </c>
      <c r="I10078">
        <v>1</v>
      </c>
      <c r="J10078">
        <v>1</v>
      </c>
      <c r="K10078">
        <v>1</v>
      </c>
      <c r="L10078">
        <v>0</v>
      </c>
      <c r="M10078" t="s">
        <v>59</v>
      </c>
    </row>
    <row r="10079" spans="1:13" hidden="1" x14ac:dyDescent="0.15">
      <c r="A10079" t="s">
        <v>31754</v>
      </c>
      <c r="B10079" t="s">
        <v>31755</v>
      </c>
      <c r="C10079" t="s">
        <v>31756</v>
      </c>
      <c r="D10079" t="s">
        <v>31757</v>
      </c>
      <c r="E10079">
        <v>33</v>
      </c>
      <c r="F10079" t="str">
        <f>HYPERLINK("https://github.com/AndroidIDEOfficial/AndroidIDE/issues/1176", "show")</f>
        <v>show</v>
      </c>
      <c r="G10079" t="str">
        <f>HYPERLINK("https://github.com/AndroidIDEOfficial/AndroidIDE", "show")</f>
        <v>show</v>
      </c>
      <c r="H10079" t="str">
        <f>HYPERLINK("https://github.com/AndroidIDEOfficial/AndroidIDE/releases", "show")</f>
        <v>show</v>
      </c>
      <c r="I10079">
        <v>0</v>
      </c>
      <c r="J10079">
        <v>0</v>
      </c>
      <c r="K10079">
        <v>1</v>
      </c>
      <c r="L10079">
        <v>0</v>
      </c>
      <c r="M10079" t="s">
        <v>122</v>
      </c>
    </row>
    <row r="10080" spans="1:13" hidden="1" x14ac:dyDescent="0.15">
      <c r="A10080" t="s">
        <v>31758</v>
      </c>
      <c r="B10080" t="s">
        <v>31484</v>
      </c>
      <c r="C10080" t="s">
        <v>31759</v>
      </c>
      <c r="D10080" t="s">
        <v>31757</v>
      </c>
      <c r="E10080">
        <v>0</v>
      </c>
      <c r="F10080" t="str">
        <f>HYPERLINK("https://github.com/AndroidIDEOfficial/AndroidIDE/issues/1175", "show")</f>
        <v>show</v>
      </c>
      <c r="G10080" t="str">
        <f>HYPERLINK("https://github.com/AndroidIDEOfficial/AndroidIDE", "show")</f>
        <v>show</v>
      </c>
      <c r="H10080" t="str">
        <f>HYPERLINK("https://github.com/AndroidIDEOfficial/AndroidIDE/releases", "show")</f>
        <v>show</v>
      </c>
      <c r="I10080">
        <v>0</v>
      </c>
      <c r="J10080">
        <v>0</v>
      </c>
      <c r="K10080">
        <v>1</v>
      </c>
      <c r="L10080">
        <v>0</v>
      </c>
      <c r="M10080" t="s">
        <v>122</v>
      </c>
    </row>
    <row r="10081" spans="1:13" hidden="1" x14ac:dyDescent="0.15">
      <c r="A10081" t="s">
        <v>31760</v>
      </c>
      <c r="B10081" t="s">
        <v>31761</v>
      </c>
      <c r="C10081" t="s">
        <v>31762</v>
      </c>
      <c r="D10081" t="s">
        <v>31757</v>
      </c>
      <c r="E10081">
        <v>41</v>
      </c>
      <c r="F10081" t="str">
        <f>HYPERLINK("https://github.com/microg/GmsCore/issues/2005", "show")</f>
        <v>show</v>
      </c>
      <c r="G10081" t="str">
        <f>HYPERLINK("https://github.com/microg/GmsCore", "show")</f>
        <v>show</v>
      </c>
      <c r="H10081" t="str">
        <f>HYPERLINK("https://github.com/microg/GmsCore/releases", "show")</f>
        <v>show</v>
      </c>
      <c r="I10081">
        <v>1</v>
      </c>
      <c r="J10081">
        <v>0</v>
      </c>
      <c r="K10081">
        <v>1</v>
      </c>
      <c r="L10081">
        <v>0</v>
      </c>
      <c r="M10081" t="s">
        <v>64</v>
      </c>
    </row>
    <row r="10082" spans="1:13" hidden="1" x14ac:dyDescent="0.15">
      <c r="A10082" t="s">
        <v>31763</v>
      </c>
      <c r="B10082" t="s">
        <v>31764</v>
      </c>
      <c r="C10082" t="s">
        <v>31765</v>
      </c>
      <c r="D10082" t="s">
        <v>31757</v>
      </c>
      <c r="E10082">
        <v>7</v>
      </c>
      <c r="F10082" t="str">
        <f>HYPERLINK("https://github.com/microg/GmsCore/issues/2004", "show")</f>
        <v>show</v>
      </c>
      <c r="G10082" t="str">
        <f>HYPERLINK("https://github.com/microg/GmsCore", "show")</f>
        <v>show</v>
      </c>
      <c r="H10082" t="str">
        <f>HYPERLINK("https://github.com/microg/GmsCore/releases", "show")</f>
        <v>show</v>
      </c>
      <c r="I10082">
        <v>1</v>
      </c>
      <c r="J10082">
        <v>1</v>
      </c>
      <c r="K10082">
        <v>1</v>
      </c>
      <c r="L10082">
        <v>0</v>
      </c>
      <c r="M10082" t="s">
        <v>59</v>
      </c>
    </row>
    <row r="10083" spans="1:13" hidden="1" x14ac:dyDescent="0.15">
      <c r="A10083" t="s">
        <v>31766</v>
      </c>
      <c r="B10083" t="s">
        <v>31767</v>
      </c>
      <c r="C10083" t="s">
        <v>31768</v>
      </c>
      <c r="D10083" t="s">
        <v>31757</v>
      </c>
      <c r="E10083">
        <v>0</v>
      </c>
      <c r="F10083" t="str">
        <f>HYPERLINK("https://github.com/AndroidIDEOfficial/AndroidIDE/issues/1174", "show")</f>
        <v>show</v>
      </c>
      <c r="G10083" t="str">
        <f>HYPERLINK("https://github.com/AndroidIDEOfficial/AndroidIDE", "show")</f>
        <v>show</v>
      </c>
      <c r="H10083" t="str">
        <f>HYPERLINK("https://github.com/AndroidIDEOfficial/AndroidIDE/releases", "show")</f>
        <v>show</v>
      </c>
      <c r="I10083">
        <v>0</v>
      </c>
      <c r="J10083">
        <v>0</v>
      </c>
      <c r="K10083">
        <v>0</v>
      </c>
      <c r="L10083">
        <v>0</v>
      </c>
      <c r="M10083" t="s">
        <v>43</v>
      </c>
    </row>
    <row r="10084" spans="1:13" hidden="1" x14ac:dyDescent="0.15">
      <c r="A10084" t="s">
        <v>31769</v>
      </c>
      <c r="B10084" t="s">
        <v>31770</v>
      </c>
      <c r="C10084" t="s">
        <v>31771</v>
      </c>
      <c r="D10084" t="s">
        <v>31772</v>
      </c>
      <c r="E10084">
        <v>0</v>
      </c>
      <c r="F10084" t="str">
        <f>HYPERLINK("https://github.com/FCL-Team/FoldCraftLauncher/issues/66", "show")</f>
        <v>show</v>
      </c>
      <c r="G10084" t="str">
        <f>HYPERLINK("https://github.com/FCL-Team/FoldCraftLauncher", "show")</f>
        <v>show</v>
      </c>
      <c r="H10084" t="str">
        <f>HYPERLINK("https://github.com/FCL-Team/FoldCraftLauncher/releases", "show")</f>
        <v>show</v>
      </c>
      <c r="I10084">
        <v>0</v>
      </c>
      <c r="J10084">
        <v>0</v>
      </c>
      <c r="K10084">
        <v>0</v>
      </c>
      <c r="L10084">
        <v>0</v>
      </c>
      <c r="M10084" t="s">
        <v>43</v>
      </c>
    </row>
    <row r="10085" spans="1:13" hidden="1" x14ac:dyDescent="0.15">
      <c r="A10085" t="s">
        <v>31773</v>
      </c>
      <c r="B10085" t="s">
        <v>31774</v>
      </c>
      <c r="C10085" t="s">
        <v>31775</v>
      </c>
      <c r="D10085" t="s">
        <v>31776</v>
      </c>
      <c r="E10085">
        <v>1</v>
      </c>
      <c r="F10085" t="str">
        <f>HYPERLINK("https://github.com/jellyfin/jellyfin-androidtv/issues/2940", "show")</f>
        <v>show</v>
      </c>
      <c r="G10085" t="str">
        <f>HYPERLINK("https://github.com/jellyfin/jellyfin-androidtv", "show")</f>
        <v>show</v>
      </c>
      <c r="H10085" t="str">
        <f>HYPERLINK("https://github.com/jellyfin/jellyfin-androidtv/releases", "show")</f>
        <v>show</v>
      </c>
      <c r="I10085">
        <v>1</v>
      </c>
      <c r="J10085">
        <v>1</v>
      </c>
      <c r="K10085">
        <v>0</v>
      </c>
      <c r="L10085">
        <v>0</v>
      </c>
      <c r="M10085" t="s">
        <v>48</v>
      </c>
    </row>
    <row r="10086" spans="1:13" hidden="1" x14ac:dyDescent="0.15">
      <c r="A10086" t="s">
        <v>31777</v>
      </c>
      <c r="B10086" t="s">
        <v>31778</v>
      </c>
      <c r="C10086" t="s">
        <v>31779</v>
      </c>
      <c r="D10086" t="s">
        <v>31776</v>
      </c>
      <c r="E10086">
        <v>1</v>
      </c>
      <c r="F10086" t="str">
        <f>HYPERLINK("https://github.com/FCL-Team/FoldCraftLauncher/issues/64", "show")</f>
        <v>show</v>
      </c>
      <c r="G10086" t="str">
        <f>HYPERLINK("https://github.com/FCL-Team/FoldCraftLauncher", "show")</f>
        <v>show</v>
      </c>
      <c r="H10086" t="str">
        <f>HYPERLINK("https://github.com/FCL-Team/FoldCraftLauncher/releases", "show")</f>
        <v>show</v>
      </c>
      <c r="I10086">
        <v>1</v>
      </c>
      <c r="J10086">
        <v>0</v>
      </c>
      <c r="K10086">
        <v>0</v>
      </c>
      <c r="L10086">
        <v>1</v>
      </c>
      <c r="M10086" t="s">
        <v>29</v>
      </c>
    </row>
    <row r="10087" spans="1:13" hidden="1" x14ac:dyDescent="0.15">
      <c r="A10087" t="s">
        <v>31780</v>
      </c>
      <c r="B10087" t="s">
        <v>31781</v>
      </c>
      <c r="C10087" t="s">
        <v>31782</v>
      </c>
      <c r="D10087" t="s">
        <v>31776</v>
      </c>
      <c r="E10087">
        <v>0</v>
      </c>
      <c r="F10087" t="str">
        <f>HYPERLINK("https://github.com/Anuken/Mindustry/issues/8883", "show")</f>
        <v>show</v>
      </c>
      <c r="G10087" t="str">
        <f>HYPERLINK("https://github.com/Anuken/Mindustry", "show")</f>
        <v>show</v>
      </c>
      <c r="H10087" t="str">
        <f>HYPERLINK("https://github.com/Anuken/Mindustry/releases", "show")</f>
        <v>show</v>
      </c>
      <c r="I10087">
        <v>1</v>
      </c>
      <c r="J10087">
        <v>1</v>
      </c>
      <c r="K10087">
        <v>0</v>
      </c>
      <c r="L10087">
        <v>0</v>
      </c>
      <c r="M10087" t="s">
        <v>48</v>
      </c>
    </row>
    <row r="10088" spans="1:13" hidden="1" x14ac:dyDescent="0.15">
      <c r="A10088" t="s">
        <v>31783</v>
      </c>
      <c r="B10088" t="s">
        <v>31784</v>
      </c>
      <c r="C10088" t="s">
        <v>31785</v>
      </c>
      <c r="D10088" t="s">
        <v>31786</v>
      </c>
      <c r="E10088">
        <v>2</v>
      </c>
      <c r="F10088" t="str">
        <f>HYPERLINK("https://github.com/AndroidIDEOfficial/AndroidIDE/issues/1169", "show")</f>
        <v>show</v>
      </c>
      <c r="G10088" t="str">
        <f>HYPERLINK("https://github.com/AndroidIDEOfficial/AndroidIDE", "show")</f>
        <v>show</v>
      </c>
      <c r="H10088" t="str">
        <f>HYPERLINK("https://github.com/AndroidIDEOfficial/AndroidIDE/releases", "show")</f>
        <v>show</v>
      </c>
      <c r="I10088">
        <v>0</v>
      </c>
      <c r="J10088">
        <v>0</v>
      </c>
      <c r="K10088">
        <v>1</v>
      </c>
      <c r="L10088">
        <v>0</v>
      </c>
      <c r="M10088" t="s">
        <v>122</v>
      </c>
    </row>
    <row r="10089" spans="1:13" hidden="1" x14ac:dyDescent="0.15">
      <c r="A10089" t="s">
        <v>31787</v>
      </c>
      <c r="B10089" t="s">
        <v>31788</v>
      </c>
      <c r="C10089" t="s">
        <v>31789</v>
      </c>
      <c r="D10089" t="s">
        <v>31790</v>
      </c>
      <c r="E10089">
        <v>0</v>
      </c>
      <c r="F10089" t="str">
        <f>HYPERLINK("https://github.com/cgeo/cgeo/issues/14466", "show")</f>
        <v>show</v>
      </c>
      <c r="G10089" t="str">
        <f>HYPERLINK("https://github.com/cgeo/cgeo", "show")</f>
        <v>show</v>
      </c>
      <c r="H10089" t="str">
        <f>HYPERLINK("https://github.com/cgeo/cgeo/releases", "show")</f>
        <v>show</v>
      </c>
      <c r="I10089">
        <v>1</v>
      </c>
      <c r="J10089">
        <v>0</v>
      </c>
      <c r="K10089">
        <v>1</v>
      </c>
      <c r="L10089">
        <v>0</v>
      </c>
      <c r="M10089" t="s">
        <v>64</v>
      </c>
    </row>
    <row r="10090" spans="1:13" hidden="1" x14ac:dyDescent="0.15">
      <c r="A10090" t="s">
        <v>31791</v>
      </c>
      <c r="B10090" t="s">
        <v>31792</v>
      </c>
      <c r="C10090" t="s">
        <v>31793</v>
      </c>
      <c r="D10090" t="s">
        <v>31790</v>
      </c>
      <c r="E10090">
        <v>0</v>
      </c>
      <c r="F10090" t="str">
        <f>HYPERLINK("https://github.com/cgeo/cgeo/issues/14465", "show")</f>
        <v>show</v>
      </c>
      <c r="G10090" t="str">
        <f>HYPERLINK("https://github.com/cgeo/cgeo", "show")</f>
        <v>show</v>
      </c>
      <c r="H10090" t="str">
        <f>HYPERLINK("https://github.com/cgeo/cgeo/releases", "show")</f>
        <v>show</v>
      </c>
      <c r="I10090">
        <v>1</v>
      </c>
      <c r="J10090">
        <v>0</v>
      </c>
      <c r="K10090">
        <v>1</v>
      </c>
      <c r="L10090">
        <v>0</v>
      </c>
      <c r="M10090" t="s">
        <v>64</v>
      </c>
    </row>
    <row r="10091" spans="1:13" hidden="1" x14ac:dyDescent="0.15">
      <c r="A10091" t="s">
        <v>31794</v>
      </c>
      <c r="B10091" t="s">
        <v>31795</v>
      </c>
      <c r="C10091" t="s">
        <v>31796</v>
      </c>
      <c r="D10091" t="s">
        <v>31790</v>
      </c>
      <c r="E10091">
        <v>0</v>
      </c>
      <c r="F10091" t="str">
        <f>HYPERLINK("https://github.com/deltachat/deltachat-android/issues/2626", "show")</f>
        <v>show</v>
      </c>
      <c r="G10091" t="str">
        <f>HYPERLINK("https://github.com/deltachat/deltachat-android", "show")</f>
        <v>show</v>
      </c>
      <c r="H10091" t="str">
        <f>HYPERLINK("https://github.com/deltachat/deltachat-android/releases", "show")</f>
        <v>show</v>
      </c>
      <c r="I10091">
        <v>0</v>
      </c>
      <c r="J10091">
        <v>0</v>
      </c>
      <c r="K10091">
        <v>0</v>
      </c>
      <c r="L10091">
        <v>0</v>
      </c>
      <c r="M10091" t="s">
        <v>43</v>
      </c>
    </row>
    <row r="10092" spans="1:13" hidden="1" x14ac:dyDescent="0.15">
      <c r="A10092" t="s">
        <v>31797</v>
      </c>
      <c r="B10092" t="s">
        <v>31798</v>
      </c>
      <c r="C10092" t="s">
        <v>31799</v>
      </c>
      <c r="D10092" t="s">
        <v>31790</v>
      </c>
      <c r="E10092">
        <v>1</v>
      </c>
      <c r="F10092" t="str">
        <f>HYPERLINK("https://github.com/Aliucord/Aliucord/issues/376", "show")</f>
        <v>show</v>
      </c>
      <c r="G10092" t="str">
        <f>HYPERLINK("https://github.com/Aliucord/Aliucord", "show")</f>
        <v>show</v>
      </c>
      <c r="H10092" t="str">
        <f>HYPERLINK("https://github.com/Aliucord/Aliucord/releases", "show")</f>
        <v>show</v>
      </c>
      <c r="I10092">
        <v>1</v>
      </c>
      <c r="J10092">
        <v>0</v>
      </c>
      <c r="K10092">
        <v>0</v>
      </c>
      <c r="L10092">
        <v>0</v>
      </c>
      <c r="M10092" t="s">
        <v>17</v>
      </c>
    </row>
    <row r="10093" spans="1:13" hidden="1" x14ac:dyDescent="0.15">
      <c r="A10093" t="s">
        <v>31800</v>
      </c>
      <c r="B10093" t="s">
        <v>31801</v>
      </c>
      <c r="C10093" t="s">
        <v>31802</v>
      </c>
      <c r="D10093" t="s">
        <v>31790</v>
      </c>
      <c r="E10093">
        <v>1</v>
      </c>
      <c r="F10093" t="str">
        <f>HYPERLINK("https://github.com/MuntashirAkon/AppManager/issues/1137", "show")</f>
        <v>show</v>
      </c>
      <c r="G10093" t="str">
        <f>HYPERLINK("https://github.com/MuntashirAkon/AppManager", "show")</f>
        <v>show</v>
      </c>
      <c r="H10093" t="str">
        <f>HYPERLINK("https://github.com/MuntashirAkon/AppManager/releases", "show")</f>
        <v>show</v>
      </c>
      <c r="I10093">
        <v>0</v>
      </c>
      <c r="J10093">
        <v>0</v>
      </c>
      <c r="K10093">
        <v>1</v>
      </c>
      <c r="L10093">
        <v>0</v>
      </c>
      <c r="M10093" t="s">
        <v>122</v>
      </c>
    </row>
    <row r="10094" spans="1:13" hidden="1" x14ac:dyDescent="0.15">
      <c r="A10094" t="s">
        <v>31803</v>
      </c>
      <c r="B10094" t="s">
        <v>31804</v>
      </c>
      <c r="C10094" t="s">
        <v>31805</v>
      </c>
      <c r="D10094" t="s">
        <v>31790</v>
      </c>
      <c r="E10094">
        <v>0</v>
      </c>
      <c r="F10094" t="str">
        <f>HYPERLINK("https://github.com/jellyfin/jellyfin-androidtv/issues/2932", "show")</f>
        <v>show</v>
      </c>
      <c r="G10094" t="str">
        <f>HYPERLINK("https://github.com/jellyfin/jellyfin-androidtv", "show")</f>
        <v>show</v>
      </c>
      <c r="H10094" t="str">
        <f>HYPERLINK("https://github.com/jellyfin/jellyfin-androidtv/releases", "show")</f>
        <v>show</v>
      </c>
      <c r="I10094">
        <v>1</v>
      </c>
      <c r="J10094">
        <v>1</v>
      </c>
      <c r="K10094">
        <v>0</v>
      </c>
      <c r="L10094">
        <v>0</v>
      </c>
      <c r="M10094" t="s">
        <v>48</v>
      </c>
    </row>
    <row r="10095" spans="1:13" hidden="1" x14ac:dyDescent="0.15">
      <c r="A10095" t="s">
        <v>31806</v>
      </c>
      <c r="B10095" t="s">
        <v>31807</v>
      </c>
      <c r="C10095" t="s">
        <v>31808</v>
      </c>
      <c r="D10095" t="s">
        <v>31790</v>
      </c>
      <c r="E10095">
        <v>3</v>
      </c>
      <c r="F10095" t="str">
        <f>HYPERLINK("https://github.com/jellyfin/jellyfin-androidtv/issues/2931", "show")</f>
        <v>show</v>
      </c>
      <c r="G10095" t="str">
        <f>HYPERLINK("https://github.com/jellyfin/jellyfin-androidtv", "show")</f>
        <v>show</v>
      </c>
      <c r="H10095" t="str">
        <f>HYPERLINK("https://github.com/jellyfin/jellyfin-androidtv/releases", "show")</f>
        <v>show</v>
      </c>
      <c r="I10095">
        <v>1</v>
      </c>
      <c r="J10095">
        <v>0</v>
      </c>
      <c r="K10095">
        <v>1</v>
      </c>
      <c r="L10095">
        <v>0</v>
      </c>
      <c r="M10095" t="s">
        <v>64</v>
      </c>
    </row>
    <row r="10096" spans="1:13" hidden="1" x14ac:dyDescent="0.15">
      <c r="A10096" t="s">
        <v>31809</v>
      </c>
      <c r="B10096" t="s">
        <v>31810</v>
      </c>
      <c r="C10096" t="s">
        <v>31811</v>
      </c>
      <c r="D10096" t="s">
        <v>31790</v>
      </c>
      <c r="E10096">
        <v>0</v>
      </c>
      <c r="F10096" t="str">
        <f>HYPERLINK("https://github.com/FCL-Team/FoldCraftLauncher/issues/54", "show")</f>
        <v>show</v>
      </c>
      <c r="G10096" t="str">
        <f>HYPERLINK("https://github.com/FCL-Team/FoldCraftLauncher", "show")</f>
        <v>show</v>
      </c>
      <c r="H10096" t="str">
        <f>HYPERLINK("https://github.com/FCL-Team/FoldCraftLauncher/releases", "show")</f>
        <v>show</v>
      </c>
      <c r="I10096">
        <v>1</v>
      </c>
      <c r="J10096">
        <v>0</v>
      </c>
      <c r="K10096">
        <v>1</v>
      </c>
      <c r="L10096">
        <v>0</v>
      </c>
      <c r="M10096" t="s">
        <v>64</v>
      </c>
    </row>
    <row r="10097" spans="1:13" hidden="1" x14ac:dyDescent="0.15">
      <c r="A10097" t="s">
        <v>31812</v>
      </c>
      <c r="B10097" t="s">
        <v>31813</v>
      </c>
      <c r="C10097" t="s">
        <v>31814</v>
      </c>
      <c r="D10097" t="s">
        <v>31790</v>
      </c>
      <c r="E10097">
        <v>0</v>
      </c>
      <c r="F10097" t="str">
        <f>HYPERLINK("https://github.com/FCL-Team/FoldCraftLauncher/issues/53", "show")</f>
        <v>show</v>
      </c>
      <c r="G10097" t="str">
        <f>HYPERLINK("https://github.com/FCL-Team/FoldCraftLauncher", "show")</f>
        <v>show</v>
      </c>
      <c r="H10097" t="str">
        <f>HYPERLINK("https://github.com/FCL-Team/FoldCraftLauncher/releases", "show")</f>
        <v>show</v>
      </c>
      <c r="I10097">
        <v>0</v>
      </c>
      <c r="J10097">
        <v>0</v>
      </c>
      <c r="K10097">
        <v>0</v>
      </c>
      <c r="L10097">
        <v>0</v>
      </c>
      <c r="M10097" t="s">
        <v>43</v>
      </c>
    </row>
    <row r="10098" spans="1:13" hidden="1" x14ac:dyDescent="0.15">
      <c r="A10098" t="s">
        <v>31815</v>
      </c>
      <c r="B10098" t="s">
        <v>31816</v>
      </c>
      <c r="C10098" t="s">
        <v>31817</v>
      </c>
      <c r="D10098" t="s">
        <v>31790</v>
      </c>
      <c r="E10098">
        <v>0</v>
      </c>
      <c r="F10098" t="str">
        <f>HYPERLINK("https://github.com/FCL-Team/FoldCraftLauncher/issues/52", "show")</f>
        <v>show</v>
      </c>
      <c r="G10098" t="str">
        <f>HYPERLINK("https://github.com/FCL-Team/FoldCraftLauncher", "show")</f>
        <v>show</v>
      </c>
      <c r="H10098" t="str">
        <f>HYPERLINK("https://github.com/FCL-Team/FoldCraftLauncher/releases", "show")</f>
        <v>show</v>
      </c>
      <c r="I10098">
        <v>1</v>
      </c>
      <c r="J10098">
        <v>0</v>
      </c>
      <c r="K10098">
        <v>0</v>
      </c>
      <c r="L10098">
        <v>0</v>
      </c>
      <c r="M10098" t="s">
        <v>17</v>
      </c>
    </row>
    <row r="10099" spans="1:13" hidden="1" x14ac:dyDescent="0.15">
      <c r="A10099" t="s">
        <v>31818</v>
      </c>
      <c r="B10099" t="s">
        <v>31819</v>
      </c>
      <c r="C10099" t="s">
        <v>31820</v>
      </c>
      <c r="D10099" t="s">
        <v>31790</v>
      </c>
      <c r="E10099">
        <v>0</v>
      </c>
      <c r="F10099" t="str">
        <f>HYPERLINK("https://github.com/FCL-Team/FoldCraftLauncher/issues/51", "show")</f>
        <v>show</v>
      </c>
      <c r="G10099" t="str">
        <f>HYPERLINK("https://github.com/FCL-Team/FoldCraftLauncher", "show")</f>
        <v>show</v>
      </c>
      <c r="H10099" t="str">
        <f>HYPERLINK("https://github.com/FCL-Team/FoldCraftLauncher/releases", "show")</f>
        <v>show</v>
      </c>
      <c r="I10099">
        <v>0</v>
      </c>
      <c r="J10099">
        <v>0</v>
      </c>
      <c r="K10099">
        <v>0</v>
      </c>
      <c r="L10099">
        <v>0</v>
      </c>
      <c r="M10099" t="s">
        <v>43</v>
      </c>
    </row>
    <row r="10100" spans="1:13" hidden="1" x14ac:dyDescent="0.15">
      <c r="A10100" t="s">
        <v>31821</v>
      </c>
      <c r="B10100" t="s">
        <v>31822</v>
      </c>
      <c r="C10100" t="s">
        <v>31823</v>
      </c>
      <c r="D10100" t="s">
        <v>31790</v>
      </c>
      <c r="E10100">
        <v>0</v>
      </c>
      <c r="F10100" t="str">
        <f>HYPERLINK("https://github.com/jellyfin/jellyfin-androidtv/issues/2930", "show")</f>
        <v>show</v>
      </c>
      <c r="G10100" t="str">
        <f>HYPERLINK("https://github.com/jellyfin/jellyfin-androidtv", "show")</f>
        <v>show</v>
      </c>
      <c r="H10100" t="str">
        <f>HYPERLINK("https://github.com/jellyfin/jellyfin-androidtv/releases", "show")</f>
        <v>show</v>
      </c>
      <c r="I10100">
        <v>1</v>
      </c>
      <c r="J10100">
        <v>0</v>
      </c>
      <c r="K10100">
        <v>1</v>
      </c>
      <c r="L10100">
        <v>0</v>
      </c>
      <c r="M10100" t="s">
        <v>64</v>
      </c>
    </row>
    <row r="10101" spans="1:13" hidden="1" x14ac:dyDescent="0.15">
      <c r="A10101" t="s">
        <v>31824</v>
      </c>
      <c r="B10101" t="s">
        <v>31825</v>
      </c>
      <c r="C10101" t="s">
        <v>31826</v>
      </c>
      <c r="D10101" t="s">
        <v>31827</v>
      </c>
      <c r="E10101">
        <v>5</v>
      </c>
      <c r="F10101" t="str">
        <f>HYPERLINK("https://github.com/AndroidIDEOfficial/AndroidIDE/issues/1168", "show")</f>
        <v>show</v>
      </c>
      <c r="G10101" t="str">
        <f>HYPERLINK("https://github.com/AndroidIDEOfficial/AndroidIDE", "show")</f>
        <v>show</v>
      </c>
      <c r="H10101" t="str">
        <f>HYPERLINK("https://github.com/AndroidIDEOfficial/AndroidIDE/releases", "show")</f>
        <v>show</v>
      </c>
      <c r="I10101">
        <v>1</v>
      </c>
      <c r="J10101">
        <v>0</v>
      </c>
      <c r="K10101">
        <v>1</v>
      </c>
      <c r="L10101">
        <v>0</v>
      </c>
      <c r="M10101" t="s">
        <v>64</v>
      </c>
    </row>
    <row r="10102" spans="1:13" hidden="1" x14ac:dyDescent="0.15">
      <c r="A10102" t="s">
        <v>31828</v>
      </c>
      <c r="B10102" t="s">
        <v>31829</v>
      </c>
      <c r="C10102" t="s">
        <v>31830</v>
      </c>
      <c r="D10102" t="s">
        <v>31827</v>
      </c>
      <c r="E10102">
        <v>0</v>
      </c>
      <c r="F10102" t="str">
        <f>HYPERLINK("https://github.com/Anuken/Mindustry/issues/8865", "show")</f>
        <v>show</v>
      </c>
      <c r="G10102" t="str">
        <f>HYPERLINK("https://github.com/Anuken/Mindustry", "show")</f>
        <v>show</v>
      </c>
      <c r="H10102" t="str">
        <f>HYPERLINK("https://github.com/Anuken/Mindustry/releases", "show")</f>
        <v>show</v>
      </c>
      <c r="I10102">
        <v>1</v>
      </c>
      <c r="J10102">
        <v>1</v>
      </c>
      <c r="K10102">
        <v>0</v>
      </c>
      <c r="L10102">
        <v>0</v>
      </c>
      <c r="M10102" t="s">
        <v>48</v>
      </c>
    </row>
    <row r="10103" spans="1:13" hidden="1" x14ac:dyDescent="0.15">
      <c r="A10103" t="s">
        <v>31831</v>
      </c>
      <c r="B10103" t="s">
        <v>31832</v>
      </c>
      <c r="C10103" t="s">
        <v>31833</v>
      </c>
      <c r="D10103" t="s">
        <v>31827</v>
      </c>
      <c r="E10103">
        <v>4</v>
      </c>
      <c r="F10103" t="str">
        <f>HYPERLINK("https://github.com/FCL-Team/FoldCraftLauncher/issues/46", "show")</f>
        <v>show</v>
      </c>
      <c r="G10103" t="str">
        <f>HYPERLINK("https://github.com/FCL-Team/FoldCraftLauncher", "show")</f>
        <v>show</v>
      </c>
      <c r="H10103" t="str">
        <f>HYPERLINK("https://github.com/FCL-Team/FoldCraftLauncher/releases", "show")</f>
        <v>show</v>
      </c>
      <c r="I10103">
        <v>1</v>
      </c>
      <c r="J10103">
        <v>0</v>
      </c>
      <c r="K10103">
        <v>0</v>
      </c>
      <c r="L10103">
        <v>0</v>
      </c>
      <c r="M10103" t="s">
        <v>17</v>
      </c>
    </row>
    <row r="10104" spans="1:13" hidden="1" x14ac:dyDescent="0.15">
      <c r="A10104" t="s">
        <v>31834</v>
      </c>
      <c r="B10104" t="s">
        <v>31835</v>
      </c>
      <c r="C10104" t="s">
        <v>31836</v>
      </c>
      <c r="D10104" t="s">
        <v>31837</v>
      </c>
      <c r="E10104">
        <v>1</v>
      </c>
      <c r="F10104" t="str">
        <f>HYPERLINK("https://github.com/jellyfin/jellyfin-androidtv/issues/2923", "show")</f>
        <v>show</v>
      </c>
      <c r="G10104" t="str">
        <f>HYPERLINK("https://github.com/jellyfin/jellyfin-androidtv", "show")</f>
        <v>show</v>
      </c>
      <c r="H10104" t="str">
        <f>HYPERLINK("https://github.com/jellyfin/jellyfin-androidtv/releases", "show")</f>
        <v>show</v>
      </c>
      <c r="I10104">
        <v>1</v>
      </c>
      <c r="J10104">
        <v>1</v>
      </c>
      <c r="K10104">
        <v>0</v>
      </c>
      <c r="L10104">
        <v>0</v>
      </c>
      <c r="M10104" t="s">
        <v>48</v>
      </c>
    </row>
    <row r="10105" spans="1:13" hidden="1" x14ac:dyDescent="0.15">
      <c r="A10105" t="s">
        <v>31838</v>
      </c>
      <c r="B10105" t="s">
        <v>31839</v>
      </c>
      <c r="C10105" t="s">
        <v>31840</v>
      </c>
      <c r="D10105" t="s">
        <v>31837</v>
      </c>
      <c r="E10105">
        <v>1</v>
      </c>
      <c r="F10105" t="str">
        <f>HYPERLINK("https://github.com/CappielloAntonio/tempo/issues/21", "show")</f>
        <v>show</v>
      </c>
      <c r="G10105" t="str">
        <f>HYPERLINK("https://github.com/CappielloAntonio/tempo", "show")</f>
        <v>show</v>
      </c>
      <c r="H10105" t="str">
        <f>HYPERLINK("https://github.com/CappielloAntonio/tempo/releases", "show")</f>
        <v>show</v>
      </c>
      <c r="I10105">
        <v>1</v>
      </c>
      <c r="J10105">
        <v>0</v>
      </c>
      <c r="K10105">
        <v>1</v>
      </c>
      <c r="L10105">
        <v>0</v>
      </c>
      <c r="M10105" t="s">
        <v>64</v>
      </c>
    </row>
    <row r="10106" spans="1:13" hidden="1" x14ac:dyDescent="0.15">
      <c r="A10106" t="s">
        <v>31841</v>
      </c>
      <c r="B10106" t="s">
        <v>31842</v>
      </c>
      <c r="C10106" t="s">
        <v>31843</v>
      </c>
      <c r="D10106" t="s">
        <v>31837</v>
      </c>
      <c r="E10106">
        <v>5</v>
      </c>
      <c r="F10106" t="str">
        <f>HYPERLINK("https://github.com/nextcloud/android/issues/11848", "show")</f>
        <v>show</v>
      </c>
      <c r="G10106" t="str">
        <f>HYPERLINK("https://github.com/nextcloud/android", "show")</f>
        <v>show</v>
      </c>
      <c r="H10106" t="str">
        <f>HYPERLINK("https://github.com/nextcloud/android/releases", "show")</f>
        <v>show</v>
      </c>
      <c r="I10106">
        <v>1</v>
      </c>
      <c r="J10106">
        <v>1</v>
      </c>
      <c r="K10106">
        <v>1</v>
      </c>
      <c r="L10106">
        <v>0</v>
      </c>
      <c r="M10106" t="s">
        <v>59</v>
      </c>
    </row>
    <row r="10107" spans="1:13" hidden="1" x14ac:dyDescent="0.15">
      <c r="A10107" t="s">
        <v>31844</v>
      </c>
      <c r="B10107" t="s">
        <v>31845</v>
      </c>
      <c r="C10107" t="s">
        <v>31846</v>
      </c>
      <c r="D10107" t="s">
        <v>31837</v>
      </c>
      <c r="E10107">
        <v>75</v>
      </c>
      <c r="F10107" t="str">
        <f>HYPERLINK("https://github.com/LSPosed/LSPatch/issues/224", "show")</f>
        <v>show</v>
      </c>
      <c r="G10107" t="str">
        <f>HYPERLINK("https://github.com/LSPosed/LSPatch", "show")</f>
        <v>show</v>
      </c>
      <c r="H10107" t="str">
        <f>HYPERLINK("https://github.com/LSPosed/LSPatch/releases", "show")</f>
        <v>show</v>
      </c>
      <c r="I10107">
        <v>0</v>
      </c>
      <c r="J10107">
        <v>0</v>
      </c>
      <c r="K10107">
        <v>1</v>
      </c>
      <c r="L10107">
        <v>1</v>
      </c>
      <c r="M10107" t="s">
        <v>351</v>
      </c>
    </row>
    <row r="10108" spans="1:13" hidden="1" x14ac:dyDescent="0.15">
      <c r="A10108" t="s">
        <v>31847</v>
      </c>
      <c r="B10108" t="s">
        <v>31848</v>
      </c>
      <c r="D10108" t="s">
        <v>31837</v>
      </c>
      <c r="E10108">
        <v>48</v>
      </c>
      <c r="F10108" t="str">
        <f>HYPERLINK("https://github.com/abdallah-odeh/flutter_file_downloader/issues/17", "show")</f>
        <v>show</v>
      </c>
      <c r="G10108" t="str">
        <f>HYPERLINK("https://github.com/abdallah-odeh/flutter_file_downloader", "show")</f>
        <v>show</v>
      </c>
      <c r="H10108" t="str">
        <f>HYPERLINK("https://github.com/abdallah-odeh/flutter_file_downloader/releases", "show")</f>
        <v>show</v>
      </c>
      <c r="I10108">
        <v>0</v>
      </c>
      <c r="J10108">
        <v>0</v>
      </c>
      <c r="K10108">
        <v>0</v>
      </c>
      <c r="L10108">
        <v>0</v>
      </c>
      <c r="M10108" t="s">
        <v>43</v>
      </c>
    </row>
    <row r="10109" spans="1:13" hidden="1" x14ac:dyDescent="0.15">
      <c r="A10109" t="s">
        <v>31849</v>
      </c>
      <c r="B10109" t="s">
        <v>31850</v>
      </c>
      <c r="C10109" t="s">
        <v>31851</v>
      </c>
      <c r="D10109" t="s">
        <v>31852</v>
      </c>
      <c r="E10109">
        <v>1</v>
      </c>
      <c r="F10109" t="str">
        <f>HYPERLINK("https://github.com/MuntashirAkon/AppManager/issues/1136", "show")</f>
        <v>show</v>
      </c>
      <c r="G10109" t="str">
        <f>HYPERLINK("https://github.com/MuntashirAkon/AppManager", "show")</f>
        <v>show</v>
      </c>
      <c r="H10109" t="str">
        <f>HYPERLINK("https://github.com/MuntashirAkon/AppManager/releases", "show")</f>
        <v>show</v>
      </c>
      <c r="I10109">
        <v>1</v>
      </c>
      <c r="J10109">
        <v>1</v>
      </c>
      <c r="K10109">
        <v>1</v>
      </c>
      <c r="L10109">
        <v>0</v>
      </c>
      <c r="M10109" t="s">
        <v>59</v>
      </c>
    </row>
    <row r="10110" spans="1:13" hidden="1" x14ac:dyDescent="0.15">
      <c r="A10110" t="s">
        <v>31853</v>
      </c>
      <c r="B10110" t="s">
        <v>31854</v>
      </c>
      <c r="C10110" t="s">
        <v>31855</v>
      </c>
      <c r="D10110" t="s">
        <v>31852</v>
      </c>
      <c r="E10110">
        <v>1</v>
      </c>
      <c r="F10110" t="str">
        <f>HYPERLINK("https://github.com/MuntashirAkon/AppManager/issues/1135", "show")</f>
        <v>show</v>
      </c>
      <c r="G10110" t="str">
        <f>HYPERLINK("https://github.com/MuntashirAkon/AppManager", "show")</f>
        <v>show</v>
      </c>
      <c r="H10110" t="str">
        <f>HYPERLINK("https://github.com/MuntashirAkon/AppManager/releases", "show")</f>
        <v>show</v>
      </c>
      <c r="I10110">
        <v>1</v>
      </c>
      <c r="J10110">
        <v>1</v>
      </c>
      <c r="K10110">
        <v>0</v>
      </c>
      <c r="L10110">
        <v>0</v>
      </c>
      <c r="M10110" t="s">
        <v>48</v>
      </c>
    </row>
    <row r="10111" spans="1:13" hidden="1" x14ac:dyDescent="0.15">
      <c r="A10111" t="s">
        <v>31856</v>
      </c>
      <c r="B10111" t="s">
        <v>31857</v>
      </c>
      <c r="C10111" t="s">
        <v>31858</v>
      </c>
      <c r="D10111" t="s">
        <v>31852</v>
      </c>
      <c r="E10111">
        <v>28</v>
      </c>
      <c r="F10111" t="str">
        <f>HYPERLINK("https://github.com/OneSignal/OneSignal-Android-SDK/issues/1789", "show")</f>
        <v>show</v>
      </c>
      <c r="G10111" t="str">
        <f>HYPERLINK("https://github.com/OneSignal/OneSignal-Android-SDK", "show")</f>
        <v>show</v>
      </c>
      <c r="H10111" t="str">
        <f>HYPERLINK("https://github.com/OneSignal/OneSignal-Android-SDK/releases", "show")</f>
        <v>show</v>
      </c>
      <c r="I10111">
        <v>0</v>
      </c>
      <c r="J10111">
        <v>0</v>
      </c>
      <c r="K10111">
        <v>1</v>
      </c>
      <c r="L10111">
        <v>0</v>
      </c>
      <c r="M10111" t="s">
        <v>122</v>
      </c>
    </row>
    <row r="10112" spans="1:13" hidden="1" x14ac:dyDescent="0.15">
      <c r="A10112" t="s">
        <v>31859</v>
      </c>
      <c r="B10112" t="s">
        <v>31860</v>
      </c>
      <c r="C10112" t="s">
        <v>31861</v>
      </c>
      <c r="D10112" t="s">
        <v>31852</v>
      </c>
      <c r="E10112">
        <v>6</v>
      </c>
      <c r="F10112" t="str">
        <f>HYPERLINK("https://github.com/OpenTracksApp/OpenTracks/issues/1647", "show")</f>
        <v>show</v>
      </c>
      <c r="G10112" t="str">
        <f>HYPERLINK("https://github.com/OpenTracksApp/OpenTracks", "show")</f>
        <v>show</v>
      </c>
      <c r="H10112" t="str">
        <f>HYPERLINK("https://github.com/OpenTracksApp/OpenTracks/releases", "show")</f>
        <v>show</v>
      </c>
      <c r="I10112">
        <v>1</v>
      </c>
      <c r="J10112">
        <v>0</v>
      </c>
      <c r="K10112">
        <v>1</v>
      </c>
      <c r="L10112">
        <v>0</v>
      </c>
      <c r="M10112" t="s">
        <v>64</v>
      </c>
    </row>
    <row r="10113" spans="1:13" hidden="1" x14ac:dyDescent="0.15">
      <c r="A10113" t="s">
        <v>31862</v>
      </c>
      <c r="B10113" t="s">
        <v>31863</v>
      </c>
      <c r="C10113" t="s">
        <v>31864</v>
      </c>
      <c r="D10113" t="s">
        <v>31852</v>
      </c>
      <c r="E10113">
        <v>4</v>
      </c>
      <c r="F10113" t="str">
        <f>HYPERLINK("https://github.com/AndroidIDEOfficial/AndroidIDE/issues/1156", "show")</f>
        <v>show</v>
      </c>
      <c r="G10113" t="str">
        <f>HYPERLINK("https://github.com/AndroidIDEOfficial/AndroidIDE", "show")</f>
        <v>show</v>
      </c>
      <c r="H10113" t="str">
        <f>HYPERLINK("https://github.com/AndroidIDEOfficial/AndroidIDE/releases", "show")</f>
        <v>show</v>
      </c>
      <c r="I10113">
        <v>0</v>
      </c>
      <c r="J10113">
        <v>0</v>
      </c>
      <c r="K10113">
        <v>1</v>
      </c>
      <c r="L10113">
        <v>0</v>
      </c>
      <c r="M10113" t="s">
        <v>122</v>
      </c>
    </row>
    <row r="10114" spans="1:13" hidden="1" x14ac:dyDescent="0.15">
      <c r="A10114" t="s">
        <v>31865</v>
      </c>
      <c r="B10114" t="s">
        <v>31866</v>
      </c>
      <c r="C10114" t="s">
        <v>31867</v>
      </c>
      <c r="D10114" t="s">
        <v>31852</v>
      </c>
      <c r="E10114">
        <v>0</v>
      </c>
      <c r="F10114" t="str">
        <f>HYPERLINK("https://github.com/nextcloud/notes-android/issues/1861", "show")</f>
        <v>show</v>
      </c>
      <c r="G10114" t="str">
        <f>HYPERLINK("https://github.com/nextcloud/notes-android", "show")</f>
        <v>show</v>
      </c>
      <c r="H10114" t="str">
        <f>HYPERLINK("https://github.com/nextcloud/notes-android/releases", "show")</f>
        <v>show</v>
      </c>
      <c r="I10114">
        <v>1</v>
      </c>
      <c r="J10114">
        <v>0</v>
      </c>
      <c r="K10114">
        <v>1</v>
      </c>
      <c r="L10114">
        <v>0</v>
      </c>
      <c r="M10114" t="s">
        <v>64</v>
      </c>
    </row>
    <row r="10115" spans="1:13" hidden="1" x14ac:dyDescent="0.15">
      <c r="A10115" t="s">
        <v>31868</v>
      </c>
      <c r="B10115" t="s">
        <v>31869</v>
      </c>
      <c r="C10115" t="s">
        <v>31870</v>
      </c>
      <c r="D10115" t="s">
        <v>31871</v>
      </c>
      <c r="E10115">
        <v>8</v>
      </c>
      <c r="F10115" t="str">
        <f>HYPERLINK("https://github.com/nextcloud/android/issues/11841", "show")</f>
        <v>show</v>
      </c>
      <c r="G10115" t="str">
        <f>HYPERLINK("https://github.com/nextcloud/android", "show")</f>
        <v>show</v>
      </c>
      <c r="H10115" t="str">
        <f>HYPERLINK("https://github.com/nextcloud/android/releases", "show")</f>
        <v>show</v>
      </c>
      <c r="I10115">
        <v>1</v>
      </c>
      <c r="J10115">
        <v>1</v>
      </c>
      <c r="K10115">
        <v>0</v>
      </c>
      <c r="L10115">
        <v>0</v>
      </c>
      <c r="M10115" t="s">
        <v>48</v>
      </c>
    </row>
    <row r="10116" spans="1:13" hidden="1" x14ac:dyDescent="0.15">
      <c r="A10116" t="s">
        <v>31872</v>
      </c>
      <c r="B10116" t="s">
        <v>31873</v>
      </c>
      <c r="C10116" t="s">
        <v>31874</v>
      </c>
      <c r="D10116" t="s">
        <v>31871</v>
      </c>
      <c r="E10116">
        <v>8</v>
      </c>
      <c r="F10116" t="str">
        <f>HYPERLINK("https://github.com/AndroidIDEOfficial/AndroidIDE/issues/1153", "show")</f>
        <v>show</v>
      </c>
      <c r="G10116" t="str">
        <f>HYPERLINK("https://github.com/AndroidIDEOfficial/AndroidIDE", "show")</f>
        <v>show</v>
      </c>
      <c r="H10116" t="str">
        <f>HYPERLINK("https://github.com/AndroidIDEOfficial/AndroidIDE/releases", "show")</f>
        <v>show</v>
      </c>
      <c r="I10116">
        <v>0</v>
      </c>
      <c r="J10116">
        <v>0</v>
      </c>
      <c r="K10116">
        <v>1</v>
      </c>
      <c r="L10116">
        <v>0</v>
      </c>
      <c r="M10116" t="s">
        <v>122</v>
      </c>
    </row>
    <row r="10117" spans="1:13" hidden="1" x14ac:dyDescent="0.15">
      <c r="A10117" t="s">
        <v>31875</v>
      </c>
      <c r="B10117" t="s">
        <v>31876</v>
      </c>
      <c r="C10117" t="s">
        <v>31877</v>
      </c>
      <c r="D10117" t="s">
        <v>31878</v>
      </c>
      <c r="E10117">
        <v>9</v>
      </c>
      <c r="F10117" t="str">
        <f>HYPERLINK("https://github.com/PojavLauncherTeam/PojavLauncher/issues/4408", "show")</f>
        <v>show</v>
      </c>
      <c r="G10117" t="str">
        <f>HYPERLINK("https://github.com/PojavLauncherTeam/PojavLauncher", "show")</f>
        <v>show</v>
      </c>
      <c r="H10117" t="str">
        <f>HYPERLINK("https://github.com/PojavLauncherTeam/PojavLauncher/releases", "show")</f>
        <v>show</v>
      </c>
      <c r="I10117">
        <v>1</v>
      </c>
      <c r="J10117">
        <v>1</v>
      </c>
      <c r="K10117">
        <v>0</v>
      </c>
      <c r="L10117">
        <v>0</v>
      </c>
      <c r="M10117" t="s">
        <v>48</v>
      </c>
    </row>
    <row r="10118" spans="1:13" hidden="1" x14ac:dyDescent="0.15">
      <c r="A10118" t="s">
        <v>31879</v>
      </c>
      <c r="B10118" t="s">
        <v>31880</v>
      </c>
      <c r="C10118" t="s">
        <v>31881</v>
      </c>
      <c r="D10118" t="s">
        <v>31878</v>
      </c>
      <c r="E10118">
        <v>0</v>
      </c>
      <c r="F10118" t="str">
        <f>HYPERLINK("https://github.com/AndroidIDEOfficial/AndroidIDE/issues/1151", "show")</f>
        <v>show</v>
      </c>
      <c r="G10118" t="str">
        <f>HYPERLINK("https://github.com/AndroidIDEOfficial/AndroidIDE", "show")</f>
        <v>show</v>
      </c>
      <c r="H10118" t="str">
        <f>HYPERLINK("https://github.com/AndroidIDEOfficial/AndroidIDE/releases", "show")</f>
        <v>show</v>
      </c>
      <c r="I10118">
        <v>0</v>
      </c>
      <c r="J10118">
        <v>0</v>
      </c>
      <c r="K10118">
        <v>1</v>
      </c>
      <c r="L10118">
        <v>0</v>
      </c>
      <c r="M10118" t="s">
        <v>122</v>
      </c>
    </row>
    <row r="10119" spans="1:13" hidden="1" x14ac:dyDescent="0.15">
      <c r="A10119" t="s">
        <v>31882</v>
      </c>
      <c r="B10119" t="s">
        <v>31883</v>
      </c>
      <c r="D10119" t="s">
        <v>31878</v>
      </c>
      <c r="E10119">
        <v>78</v>
      </c>
      <c r="F10119" t="str">
        <f>HYPERLINK("https://github.com/VinylMusicPlayer/VinylMusicPlayer/issues/766", "show")</f>
        <v>show</v>
      </c>
      <c r="G10119" t="str">
        <f>HYPERLINK("https://github.com/VinylMusicPlayer/VinylMusicPlayer", "show")</f>
        <v>show</v>
      </c>
      <c r="H10119" t="str">
        <f>HYPERLINK("https://github.com/VinylMusicPlayer/VinylMusicPlayer/releases", "show")</f>
        <v>show</v>
      </c>
      <c r="I10119">
        <v>0</v>
      </c>
      <c r="J10119">
        <v>0</v>
      </c>
      <c r="K10119">
        <v>0</v>
      </c>
      <c r="L10119">
        <v>0</v>
      </c>
      <c r="M10119" t="s">
        <v>43</v>
      </c>
    </row>
    <row r="10120" spans="1:13" hidden="1" x14ac:dyDescent="0.15">
      <c r="A10120" t="s">
        <v>31884</v>
      </c>
      <c r="B10120" t="s">
        <v>31885</v>
      </c>
      <c r="C10120" t="s">
        <v>31886</v>
      </c>
      <c r="D10120" t="s">
        <v>31878</v>
      </c>
      <c r="E10120">
        <v>6</v>
      </c>
      <c r="F10120" t="str">
        <f>HYPERLINK("https://github.com/patzly/grocy-android/issues/734", "show")</f>
        <v>show</v>
      </c>
      <c r="G10120" t="str">
        <f>HYPERLINK("https://github.com/patzly/grocy-android", "show")</f>
        <v>show</v>
      </c>
      <c r="H10120" t="str">
        <f>HYPERLINK("https://github.com/patzly/grocy-android/releases", "show")</f>
        <v>show</v>
      </c>
      <c r="I10120">
        <v>1</v>
      </c>
      <c r="J10120">
        <v>1</v>
      </c>
      <c r="K10120">
        <v>0</v>
      </c>
      <c r="L10120">
        <v>0</v>
      </c>
      <c r="M10120" t="s">
        <v>48</v>
      </c>
    </row>
    <row r="10121" spans="1:13" hidden="1" x14ac:dyDescent="0.15">
      <c r="A10121" t="s">
        <v>31887</v>
      </c>
      <c r="B10121" t="s">
        <v>31888</v>
      </c>
      <c r="C10121" t="s">
        <v>31889</v>
      </c>
      <c r="D10121" t="s">
        <v>31878</v>
      </c>
      <c r="E10121">
        <v>0</v>
      </c>
      <c r="F10121" t="str">
        <f>HYPERLINK("https://github.com/AndroidIDEOfficial/AndroidIDE/issues/1150", "show")</f>
        <v>show</v>
      </c>
      <c r="G10121" t="str">
        <f>HYPERLINK("https://github.com/AndroidIDEOfficial/AndroidIDE", "show")</f>
        <v>show</v>
      </c>
      <c r="H10121" t="str">
        <f>HYPERLINK("https://github.com/AndroidIDEOfficial/AndroidIDE/releases", "show")</f>
        <v>show</v>
      </c>
      <c r="I10121">
        <v>0</v>
      </c>
      <c r="J10121">
        <v>0</v>
      </c>
      <c r="K10121">
        <v>1</v>
      </c>
      <c r="L10121">
        <v>0</v>
      </c>
      <c r="M10121" t="s">
        <v>122</v>
      </c>
    </row>
    <row r="10122" spans="1:13" hidden="1" x14ac:dyDescent="0.15">
      <c r="A10122" t="s">
        <v>31890</v>
      </c>
      <c r="B10122" t="s">
        <v>31891</v>
      </c>
      <c r="C10122" t="s">
        <v>31892</v>
      </c>
      <c r="D10122" t="s">
        <v>31878</v>
      </c>
      <c r="E10122">
        <v>0</v>
      </c>
      <c r="F10122" t="str">
        <f>HYPERLINK("https://github.com/AndroidIDEOfficial/AndroidIDE/issues/1149", "show")</f>
        <v>show</v>
      </c>
      <c r="G10122" t="str">
        <f>HYPERLINK("https://github.com/AndroidIDEOfficial/AndroidIDE", "show")</f>
        <v>show</v>
      </c>
      <c r="H10122" t="str">
        <f>HYPERLINK("https://github.com/AndroidIDEOfficial/AndroidIDE/releases", "show")</f>
        <v>show</v>
      </c>
      <c r="I10122">
        <v>1</v>
      </c>
      <c r="J10122">
        <v>0</v>
      </c>
      <c r="K10122">
        <v>1</v>
      </c>
      <c r="L10122">
        <v>0</v>
      </c>
      <c r="M10122" t="s">
        <v>64</v>
      </c>
    </row>
    <row r="10123" spans="1:13" hidden="1" x14ac:dyDescent="0.15">
      <c r="A10123" t="s">
        <v>31893</v>
      </c>
      <c r="B10123" t="s">
        <v>31894</v>
      </c>
      <c r="C10123" t="s">
        <v>31895</v>
      </c>
      <c r="D10123" t="s">
        <v>31878</v>
      </c>
      <c r="E10123">
        <v>19</v>
      </c>
      <c r="F10123" t="str">
        <f>HYPERLINK("https://github.com/PojavLauncherTeam/PojavLauncher/issues/4402", "show")</f>
        <v>show</v>
      </c>
      <c r="G10123" t="str">
        <f>HYPERLINK("https://github.com/PojavLauncherTeam/PojavLauncher", "show")</f>
        <v>show</v>
      </c>
      <c r="H10123" t="str">
        <f>HYPERLINK("https://github.com/PojavLauncherTeam/PojavLauncher/releases", "show")</f>
        <v>show</v>
      </c>
      <c r="I10123">
        <v>0</v>
      </c>
      <c r="J10123">
        <v>0</v>
      </c>
      <c r="K10123">
        <v>0</v>
      </c>
      <c r="L10123">
        <v>0</v>
      </c>
      <c r="M10123" t="s">
        <v>43</v>
      </c>
    </row>
    <row r="10124" spans="1:13" hidden="1" x14ac:dyDescent="0.15">
      <c r="A10124" t="s">
        <v>31896</v>
      </c>
      <c r="B10124" t="s">
        <v>31897</v>
      </c>
      <c r="C10124" t="s">
        <v>31898</v>
      </c>
      <c r="D10124" t="s">
        <v>31899</v>
      </c>
      <c r="E10124">
        <v>0</v>
      </c>
      <c r="F10124" t="str">
        <f>HYPERLINK("https://github.com/AndroidIDEOfficial/AndroidIDE/issues/1147", "show")</f>
        <v>show</v>
      </c>
      <c r="G10124" t="str">
        <f>HYPERLINK("https://github.com/AndroidIDEOfficial/AndroidIDE", "show")</f>
        <v>show</v>
      </c>
      <c r="H10124" t="str">
        <f>HYPERLINK("https://github.com/AndroidIDEOfficial/AndroidIDE/releases", "show")</f>
        <v>show</v>
      </c>
      <c r="I10124">
        <v>0</v>
      </c>
      <c r="J10124">
        <v>0</v>
      </c>
      <c r="K10124">
        <v>1</v>
      </c>
      <c r="L10124">
        <v>0</v>
      </c>
      <c r="M10124" t="s">
        <v>122</v>
      </c>
    </row>
    <row r="10125" spans="1:13" hidden="1" x14ac:dyDescent="0.15">
      <c r="A10125" t="s">
        <v>31900</v>
      </c>
      <c r="B10125" t="s">
        <v>31901</v>
      </c>
      <c r="C10125" t="s">
        <v>31902</v>
      </c>
      <c r="D10125" t="s">
        <v>31899</v>
      </c>
      <c r="E10125">
        <v>22</v>
      </c>
      <c r="F10125" t="str">
        <f>HYPERLINK("https://github.com/kiwix/java-libkiwix/issues/51", "show")</f>
        <v>show</v>
      </c>
      <c r="G10125" t="str">
        <f>HYPERLINK("https://github.com/kiwix/java-libkiwix", "show")</f>
        <v>show</v>
      </c>
      <c r="H10125" t="str">
        <f>HYPERLINK("https://github.com/kiwix/java-libkiwix/releases", "show")</f>
        <v>show</v>
      </c>
      <c r="I10125">
        <v>0</v>
      </c>
      <c r="J10125">
        <v>0</v>
      </c>
      <c r="K10125">
        <v>0</v>
      </c>
      <c r="L10125">
        <v>0</v>
      </c>
      <c r="M10125" t="s">
        <v>43</v>
      </c>
    </row>
    <row r="10126" spans="1:13" hidden="1" x14ac:dyDescent="0.15">
      <c r="A10126" t="s">
        <v>31903</v>
      </c>
      <c r="B10126" t="s">
        <v>31904</v>
      </c>
      <c r="C10126" t="s">
        <v>31905</v>
      </c>
      <c r="D10126" t="s">
        <v>31906</v>
      </c>
      <c r="E10126">
        <v>0</v>
      </c>
      <c r="F10126" t="str">
        <f>HYPERLINK("https://github.com/iBotPeaches/Apktool/issues/3199", "show")</f>
        <v>show</v>
      </c>
      <c r="G10126" t="str">
        <f>HYPERLINK("https://github.com/iBotPeaches/Apktool", "show")</f>
        <v>show</v>
      </c>
      <c r="H10126" t="str">
        <f>HYPERLINK("https://github.com/iBotPeaches/Apktool/releases", "show")</f>
        <v>show</v>
      </c>
      <c r="I10126">
        <v>1</v>
      </c>
      <c r="J10126">
        <v>1</v>
      </c>
      <c r="K10126">
        <v>0</v>
      </c>
      <c r="L10126">
        <v>0</v>
      </c>
      <c r="M10126" t="s">
        <v>48</v>
      </c>
    </row>
    <row r="10127" spans="1:13" hidden="1" x14ac:dyDescent="0.15">
      <c r="A10127" t="s">
        <v>31907</v>
      </c>
      <c r="B10127" t="s">
        <v>31908</v>
      </c>
      <c r="C10127" t="s">
        <v>31909</v>
      </c>
      <c r="D10127" t="s">
        <v>31910</v>
      </c>
      <c r="E10127">
        <v>2</v>
      </c>
      <c r="F10127" t="str">
        <f>HYPERLINK("https://github.com/Theta-Limited/OpenAthenaAndroid/issues/80", "show")</f>
        <v>show</v>
      </c>
      <c r="G10127" t="str">
        <f>HYPERLINK("https://github.com/Theta-Limited/OpenAthenaAndroid", "show")</f>
        <v>show</v>
      </c>
      <c r="H10127" t="str">
        <f>HYPERLINK("https://github.com/Theta-Limited/OpenAthenaAndroid/releases", "show")</f>
        <v>show</v>
      </c>
      <c r="I10127">
        <v>0</v>
      </c>
      <c r="J10127">
        <v>0</v>
      </c>
      <c r="K10127">
        <v>0</v>
      </c>
      <c r="L10127">
        <v>0</v>
      </c>
      <c r="M10127" t="s">
        <v>43</v>
      </c>
    </row>
    <row r="10128" spans="1:13" hidden="1" x14ac:dyDescent="0.15">
      <c r="A10128" t="s">
        <v>31911</v>
      </c>
      <c r="B10128" t="s">
        <v>31912</v>
      </c>
      <c r="C10128" t="s">
        <v>31913</v>
      </c>
      <c r="D10128" t="s">
        <v>31910</v>
      </c>
      <c r="E10128">
        <v>48</v>
      </c>
      <c r="F10128" t="str">
        <f>HYPERLINK("https://github.com/MuntashirAkon/AppManager/issues/1131", "show")</f>
        <v>show</v>
      </c>
      <c r="G10128" t="str">
        <f>HYPERLINK("https://github.com/MuntashirAkon/AppManager", "show")</f>
        <v>show</v>
      </c>
      <c r="H10128" t="str">
        <f>HYPERLINK("https://github.com/MuntashirAkon/AppManager/releases", "show")</f>
        <v>show</v>
      </c>
      <c r="I10128">
        <v>1</v>
      </c>
      <c r="J10128">
        <v>1</v>
      </c>
      <c r="K10128">
        <v>1</v>
      </c>
      <c r="L10128">
        <v>0</v>
      </c>
      <c r="M10128" t="s">
        <v>59</v>
      </c>
    </row>
    <row r="10129" spans="1:13" hidden="1" x14ac:dyDescent="0.15">
      <c r="A10129" t="s">
        <v>31914</v>
      </c>
      <c r="B10129" t="s">
        <v>31915</v>
      </c>
      <c r="C10129" t="s">
        <v>31916</v>
      </c>
      <c r="D10129" t="s">
        <v>31910</v>
      </c>
      <c r="E10129">
        <v>1</v>
      </c>
      <c r="F10129" t="str">
        <f>HYPERLINK("https://github.com/AndroidIDEOfficial/AndroidIDE/issues/1137", "show")</f>
        <v>show</v>
      </c>
      <c r="G10129" t="str">
        <f>HYPERLINK("https://github.com/AndroidIDEOfficial/AndroidIDE", "show")</f>
        <v>show</v>
      </c>
      <c r="H10129" t="str">
        <f>HYPERLINK("https://github.com/AndroidIDEOfficial/AndroidIDE/releases", "show")</f>
        <v>show</v>
      </c>
      <c r="I10129">
        <v>0</v>
      </c>
      <c r="J10129">
        <v>0</v>
      </c>
      <c r="K10129">
        <v>1</v>
      </c>
      <c r="L10129">
        <v>0</v>
      </c>
      <c r="M10129" t="s">
        <v>122</v>
      </c>
    </row>
    <row r="10130" spans="1:13" hidden="1" x14ac:dyDescent="0.15">
      <c r="A10130" t="s">
        <v>31917</v>
      </c>
      <c r="B10130" t="s">
        <v>31918</v>
      </c>
      <c r="C10130" t="s">
        <v>31919</v>
      </c>
      <c r="D10130" t="s">
        <v>31920</v>
      </c>
      <c r="E10130">
        <v>29</v>
      </c>
      <c r="F10130" t="str">
        <f>HYPERLINK("https://github.com/PojavLauncherTeam/PojavLauncher/issues/4390", "show")</f>
        <v>show</v>
      </c>
      <c r="G10130" t="str">
        <f>HYPERLINK("https://github.com/PojavLauncherTeam/PojavLauncher", "show")</f>
        <v>show</v>
      </c>
      <c r="H10130" t="str">
        <f>HYPERLINK("https://github.com/PojavLauncherTeam/PojavLauncher/releases", "show")</f>
        <v>show</v>
      </c>
      <c r="I10130">
        <v>1</v>
      </c>
      <c r="J10130">
        <v>1</v>
      </c>
      <c r="K10130">
        <v>0</v>
      </c>
      <c r="L10130">
        <v>0</v>
      </c>
      <c r="M10130" t="s">
        <v>48</v>
      </c>
    </row>
    <row r="10131" spans="1:13" hidden="1" x14ac:dyDescent="0.15">
      <c r="A10131" t="s">
        <v>31921</v>
      </c>
      <c r="B10131" t="s">
        <v>31922</v>
      </c>
      <c r="C10131" t="s">
        <v>31923</v>
      </c>
      <c r="D10131" t="s">
        <v>31924</v>
      </c>
      <c r="E10131">
        <v>0</v>
      </c>
      <c r="F10131" t="str">
        <f>HYPERLINK("https://github.com/AndroidIDEOfficial/AndroidIDE/issues/1133", "show")</f>
        <v>show</v>
      </c>
      <c r="G10131" t="str">
        <f>HYPERLINK("https://github.com/AndroidIDEOfficial/AndroidIDE", "show")</f>
        <v>show</v>
      </c>
      <c r="H10131" t="str">
        <f>HYPERLINK("https://github.com/AndroidIDEOfficial/AndroidIDE/releases", "show")</f>
        <v>show</v>
      </c>
      <c r="I10131">
        <v>1</v>
      </c>
      <c r="J10131">
        <v>0</v>
      </c>
      <c r="K10131">
        <v>1</v>
      </c>
      <c r="L10131">
        <v>0</v>
      </c>
      <c r="M10131" t="s">
        <v>64</v>
      </c>
    </row>
    <row r="10132" spans="1:13" hidden="1" x14ac:dyDescent="0.15">
      <c r="A10132" t="s">
        <v>31925</v>
      </c>
      <c r="B10132" t="s">
        <v>31926</v>
      </c>
      <c r="C10132" t="s">
        <v>31927</v>
      </c>
      <c r="D10132" t="s">
        <v>31924</v>
      </c>
      <c r="E10132">
        <v>21</v>
      </c>
      <c r="F10132" t="str">
        <f>HYPERLINK("https://github.com/nextcloud/android/issues/11823", "show")</f>
        <v>show</v>
      </c>
      <c r="G10132" t="str">
        <f>HYPERLINK("https://github.com/nextcloud/android", "show")</f>
        <v>show</v>
      </c>
      <c r="H10132" t="str">
        <f>HYPERLINK("https://github.com/nextcloud/android/releases", "show")</f>
        <v>show</v>
      </c>
      <c r="I10132">
        <v>1</v>
      </c>
      <c r="J10132">
        <v>0</v>
      </c>
      <c r="K10132">
        <v>1</v>
      </c>
      <c r="L10132">
        <v>0</v>
      </c>
      <c r="M10132" t="s">
        <v>64</v>
      </c>
    </row>
    <row r="10133" spans="1:13" hidden="1" x14ac:dyDescent="0.15">
      <c r="A10133" t="s">
        <v>31928</v>
      </c>
      <c r="B10133" t="s">
        <v>31929</v>
      </c>
      <c r="C10133" t="s">
        <v>31930</v>
      </c>
      <c r="D10133" t="s">
        <v>31924</v>
      </c>
      <c r="E10133">
        <v>0</v>
      </c>
      <c r="F10133" t="str">
        <f>HYPERLINK("https://github.com/AndroidIDEOfficial/AndroidIDE/issues/1132", "show")</f>
        <v>show</v>
      </c>
      <c r="G10133" t="str">
        <f>HYPERLINK("https://github.com/AndroidIDEOfficial/AndroidIDE", "show")</f>
        <v>show</v>
      </c>
      <c r="H10133" t="str">
        <f>HYPERLINK("https://github.com/AndroidIDEOfficial/AndroidIDE/releases", "show")</f>
        <v>show</v>
      </c>
      <c r="I10133">
        <v>0</v>
      </c>
      <c r="J10133">
        <v>0</v>
      </c>
      <c r="K10133">
        <v>1</v>
      </c>
      <c r="L10133">
        <v>0</v>
      </c>
      <c r="M10133" t="s">
        <v>122</v>
      </c>
    </row>
    <row r="10134" spans="1:13" hidden="1" x14ac:dyDescent="0.15">
      <c r="A10134" t="s">
        <v>31931</v>
      </c>
      <c r="B10134" t="s">
        <v>31932</v>
      </c>
      <c r="C10134" t="s">
        <v>31933</v>
      </c>
      <c r="D10134" t="s">
        <v>31924</v>
      </c>
      <c r="E10134">
        <v>1</v>
      </c>
      <c r="F10134" t="str">
        <f>HYPERLINK("https://github.com/kiwix/java-libkiwix/issues/47", "show")</f>
        <v>show</v>
      </c>
      <c r="G10134" t="str">
        <f>HYPERLINK("https://github.com/kiwix/java-libkiwix", "show")</f>
        <v>show</v>
      </c>
      <c r="H10134" t="str">
        <f>HYPERLINK("https://github.com/kiwix/java-libkiwix/releases", "show")</f>
        <v>show</v>
      </c>
      <c r="I10134">
        <v>1</v>
      </c>
      <c r="J10134">
        <v>1</v>
      </c>
      <c r="K10134">
        <v>1</v>
      </c>
      <c r="L10134">
        <v>0</v>
      </c>
      <c r="M10134" t="s">
        <v>59</v>
      </c>
    </row>
    <row r="10135" spans="1:13" hidden="1" x14ac:dyDescent="0.15">
      <c r="A10135" t="s">
        <v>31934</v>
      </c>
      <c r="B10135" t="s">
        <v>31935</v>
      </c>
      <c r="C10135" t="s">
        <v>31936</v>
      </c>
      <c r="D10135" t="s">
        <v>31937</v>
      </c>
      <c r="E10135">
        <v>0</v>
      </c>
      <c r="F10135" t="str">
        <f>HYPERLINK("https://github.com/dgudim/Scheduler/issues/19", "show")</f>
        <v>show</v>
      </c>
      <c r="G10135" t="str">
        <f>HYPERLINK("https://github.com/dgudim/Scheduler", "show")</f>
        <v>show</v>
      </c>
      <c r="H10135" t="str">
        <f>HYPERLINK("https://github.com/dgudim/Scheduler/releases", "show")</f>
        <v>show</v>
      </c>
      <c r="I10135">
        <v>1</v>
      </c>
      <c r="J10135">
        <v>1</v>
      </c>
      <c r="K10135">
        <v>0</v>
      </c>
      <c r="L10135">
        <v>1</v>
      </c>
      <c r="M10135" t="s">
        <v>1894</v>
      </c>
    </row>
    <row r="10136" spans="1:13" hidden="1" x14ac:dyDescent="0.15">
      <c r="A10136" t="s">
        <v>31938</v>
      </c>
      <c r="B10136" t="s">
        <v>31939</v>
      </c>
      <c r="C10136" t="s">
        <v>31940</v>
      </c>
      <c r="D10136" t="s">
        <v>31937</v>
      </c>
      <c r="E10136">
        <v>7</v>
      </c>
      <c r="F10136" t="str">
        <f>HYPERLINK("https://github.com/HTCheater/SKDEditor/issues/5", "show")</f>
        <v>show</v>
      </c>
      <c r="G10136" t="str">
        <f>HYPERLINK("https://github.com/HTCheater/SKDEditor", "show")</f>
        <v>show</v>
      </c>
      <c r="H10136" t="str">
        <f>HYPERLINK("https://github.com/HTCheater/SKDEditor/releases", "show")</f>
        <v>show</v>
      </c>
      <c r="I10136">
        <v>1</v>
      </c>
      <c r="J10136">
        <v>0</v>
      </c>
      <c r="K10136">
        <v>0</v>
      </c>
      <c r="L10136">
        <v>0</v>
      </c>
      <c r="M10136" t="s">
        <v>17</v>
      </c>
    </row>
    <row r="10137" spans="1:13" hidden="1" x14ac:dyDescent="0.15">
      <c r="A10137" t="s">
        <v>31941</v>
      </c>
      <c r="B10137" t="s">
        <v>31942</v>
      </c>
      <c r="C10137" t="s">
        <v>31943</v>
      </c>
      <c r="D10137" t="s">
        <v>31944</v>
      </c>
      <c r="E10137">
        <v>2</v>
      </c>
      <c r="F10137" t="str">
        <f>HYPERLINK("https://github.com/stefan-niedermann/nextcloud-tables/issues/16", "show")</f>
        <v>show</v>
      </c>
      <c r="G10137" t="str">
        <f>HYPERLINK("https://github.com/stefan-niedermann/nextcloud-tables", "show")</f>
        <v>show</v>
      </c>
      <c r="H10137" t="str">
        <f>HYPERLINK("https://github.com/stefan-niedermann/nextcloud-tables/releases", "show")</f>
        <v>show</v>
      </c>
      <c r="I10137">
        <v>0</v>
      </c>
      <c r="J10137">
        <v>1</v>
      </c>
      <c r="K10137">
        <v>1</v>
      </c>
      <c r="L10137">
        <v>0</v>
      </c>
      <c r="M10137" t="s">
        <v>699</v>
      </c>
    </row>
    <row r="10138" spans="1:13" hidden="1" x14ac:dyDescent="0.15">
      <c r="A10138" t="s">
        <v>31945</v>
      </c>
      <c r="B10138" t="s">
        <v>31946</v>
      </c>
      <c r="C10138" t="s">
        <v>31947</v>
      </c>
      <c r="D10138" t="s">
        <v>31944</v>
      </c>
      <c r="E10138">
        <v>28</v>
      </c>
      <c r="F10138" t="str">
        <f>HYPERLINK("https://github.com/PhenoApps/Field-Book/issues/677", "show")</f>
        <v>show</v>
      </c>
      <c r="G10138" t="str">
        <f>HYPERLINK("https://github.com/PhenoApps/Field-Book", "show")</f>
        <v>show</v>
      </c>
      <c r="H10138" t="str">
        <f>HYPERLINK("https://github.com/PhenoApps/Field-Book/releases", "show")</f>
        <v>show</v>
      </c>
      <c r="I10138">
        <v>1</v>
      </c>
      <c r="J10138">
        <v>0</v>
      </c>
      <c r="K10138">
        <v>0</v>
      </c>
      <c r="L10138">
        <v>0</v>
      </c>
      <c r="M10138" t="s">
        <v>17</v>
      </c>
    </row>
    <row r="10139" spans="1:13" hidden="1" x14ac:dyDescent="0.15">
      <c r="A10139" t="s">
        <v>31948</v>
      </c>
      <c r="B10139" t="s">
        <v>31949</v>
      </c>
      <c r="C10139" t="s">
        <v>31950</v>
      </c>
      <c r="D10139" t="s">
        <v>31944</v>
      </c>
      <c r="E10139">
        <v>1</v>
      </c>
      <c r="F10139" t="str">
        <f>HYPERLINK("https://github.com/chesterbr/minitruco-android/issues/178", "show")</f>
        <v>show</v>
      </c>
      <c r="G10139" t="str">
        <f>HYPERLINK("https://github.com/chesterbr/minitruco-android", "show")</f>
        <v>show</v>
      </c>
      <c r="H10139" t="str">
        <f>HYPERLINK("https://github.com/chesterbr/minitruco-android/releases", "show")</f>
        <v>show</v>
      </c>
      <c r="I10139">
        <v>0</v>
      </c>
      <c r="J10139">
        <v>0</v>
      </c>
      <c r="K10139">
        <v>0</v>
      </c>
      <c r="L10139">
        <v>0</v>
      </c>
      <c r="M10139" t="s">
        <v>43</v>
      </c>
    </row>
    <row r="10140" spans="1:13" hidden="1" x14ac:dyDescent="0.15">
      <c r="A10140" t="s">
        <v>31951</v>
      </c>
      <c r="B10140" t="s">
        <v>31952</v>
      </c>
      <c r="C10140" t="s">
        <v>31953</v>
      </c>
      <c r="D10140" t="s">
        <v>31944</v>
      </c>
      <c r="E10140">
        <v>2</v>
      </c>
      <c r="F10140" t="str">
        <f>HYPERLINK("https://github.com/AndroidIDEOfficial/AndroidIDE/issues/1129", "show")</f>
        <v>show</v>
      </c>
      <c r="G10140" t="str">
        <f>HYPERLINK("https://github.com/AndroidIDEOfficial/AndroidIDE", "show")</f>
        <v>show</v>
      </c>
      <c r="H10140" t="str">
        <f>HYPERLINK("https://github.com/AndroidIDEOfficial/AndroidIDE/releases", "show")</f>
        <v>show</v>
      </c>
      <c r="I10140">
        <v>1</v>
      </c>
      <c r="J10140">
        <v>0</v>
      </c>
      <c r="K10140">
        <v>1</v>
      </c>
      <c r="L10140">
        <v>0</v>
      </c>
      <c r="M10140" t="s">
        <v>64</v>
      </c>
    </row>
    <row r="10141" spans="1:13" hidden="1" x14ac:dyDescent="0.15">
      <c r="A10141" t="s">
        <v>31954</v>
      </c>
      <c r="B10141" t="s">
        <v>31955</v>
      </c>
      <c r="C10141" t="s">
        <v>31956</v>
      </c>
      <c r="D10141" t="s">
        <v>31944</v>
      </c>
      <c r="E10141">
        <v>14</v>
      </c>
      <c r="F10141" t="str">
        <f>HYPERLINK("https://github.com/nextcloud/android/issues/11815", "show")</f>
        <v>show</v>
      </c>
      <c r="G10141" t="str">
        <f>HYPERLINK("https://github.com/nextcloud/android", "show")</f>
        <v>show</v>
      </c>
      <c r="H10141" t="str">
        <f>HYPERLINK("https://github.com/nextcloud/android/releases", "show")</f>
        <v>show</v>
      </c>
      <c r="I10141">
        <v>1</v>
      </c>
      <c r="J10141">
        <v>1</v>
      </c>
      <c r="K10141">
        <v>1</v>
      </c>
      <c r="L10141">
        <v>0</v>
      </c>
      <c r="M10141" t="s">
        <v>59</v>
      </c>
    </row>
    <row r="10142" spans="1:13" hidden="1" x14ac:dyDescent="0.15">
      <c r="A10142" t="s">
        <v>31957</v>
      </c>
      <c r="B10142" t="s">
        <v>31958</v>
      </c>
      <c r="C10142" t="s">
        <v>31959</v>
      </c>
      <c r="D10142" t="s">
        <v>31944</v>
      </c>
      <c r="E10142">
        <v>3</v>
      </c>
      <c r="F10142" t="str">
        <f>HYPERLINK("https://github.com/AndroidIDEOfficial/AndroidIDE/issues/1127", "show")</f>
        <v>show</v>
      </c>
      <c r="G10142" t="str">
        <f>HYPERLINK("https://github.com/AndroidIDEOfficial/AndroidIDE", "show")</f>
        <v>show</v>
      </c>
      <c r="H10142" t="str">
        <f>HYPERLINK("https://github.com/AndroidIDEOfficial/AndroidIDE/releases", "show")</f>
        <v>show</v>
      </c>
      <c r="I10142">
        <v>0</v>
      </c>
      <c r="J10142">
        <v>0</v>
      </c>
      <c r="K10142">
        <v>1</v>
      </c>
      <c r="L10142">
        <v>0</v>
      </c>
      <c r="M10142" t="s">
        <v>122</v>
      </c>
    </row>
    <row r="10143" spans="1:13" hidden="1" x14ac:dyDescent="0.15">
      <c r="A10143" t="s">
        <v>31960</v>
      </c>
      <c r="B10143" t="s">
        <v>31961</v>
      </c>
      <c r="C10143" t="s">
        <v>31962</v>
      </c>
      <c r="D10143" t="s">
        <v>31944</v>
      </c>
      <c r="E10143">
        <v>0</v>
      </c>
      <c r="F10143" t="str">
        <f>HYPERLINK("https://github.com/AndroidIDEOfficial/AndroidIDE/issues/1126", "show")</f>
        <v>show</v>
      </c>
      <c r="G10143" t="str">
        <f>HYPERLINK("https://github.com/AndroidIDEOfficial/AndroidIDE", "show")</f>
        <v>show</v>
      </c>
      <c r="H10143" t="str">
        <f>HYPERLINK("https://github.com/AndroidIDEOfficial/AndroidIDE/releases", "show")</f>
        <v>show</v>
      </c>
      <c r="I10143">
        <v>0</v>
      </c>
      <c r="J10143">
        <v>0</v>
      </c>
      <c r="K10143">
        <v>1</v>
      </c>
      <c r="L10143">
        <v>0</v>
      </c>
      <c r="M10143" t="s">
        <v>122</v>
      </c>
    </row>
    <row r="10144" spans="1:13" hidden="1" x14ac:dyDescent="0.15">
      <c r="A10144" t="s">
        <v>31963</v>
      </c>
      <c r="B10144" t="s">
        <v>31964</v>
      </c>
      <c r="C10144" t="s">
        <v>31965</v>
      </c>
      <c r="D10144" t="s">
        <v>31944</v>
      </c>
      <c r="E10144">
        <v>0</v>
      </c>
      <c r="F10144" t="str">
        <f>HYPERLINK("https://github.com/nextcloud/notes-android/issues/1845", "show")</f>
        <v>show</v>
      </c>
      <c r="G10144" t="str">
        <f>HYPERLINK("https://github.com/nextcloud/notes-android", "show")</f>
        <v>show</v>
      </c>
      <c r="H10144" t="str">
        <f>HYPERLINK("https://github.com/nextcloud/notes-android/releases", "show")</f>
        <v>show</v>
      </c>
      <c r="I10144">
        <v>1</v>
      </c>
      <c r="J10144">
        <v>1</v>
      </c>
      <c r="K10144">
        <v>1</v>
      </c>
      <c r="L10144">
        <v>0</v>
      </c>
      <c r="M10144" t="s">
        <v>59</v>
      </c>
    </row>
    <row r="10145" spans="1:13" hidden="1" x14ac:dyDescent="0.15">
      <c r="A10145" t="s">
        <v>31966</v>
      </c>
      <c r="B10145" t="s">
        <v>31967</v>
      </c>
      <c r="C10145" t="s">
        <v>31968</v>
      </c>
      <c r="D10145" t="s">
        <v>31944</v>
      </c>
      <c r="E10145">
        <v>0</v>
      </c>
      <c r="F10145" t="str">
        <f>HYPERLINK("https://github.com/nextcloud/android/issues/11814", "show")</f>
        <v>show</v>
      </c>
      <c r="G10145" t="str">
        <f>HYPERLINK("https://github.com/nextcloud/android", "show")</f>
        <v>show</v>
      </c>
      <c r="H10145" t="str">
        <f>HYPERLINK("https://github.com/nextcloud/android/releases", "show")</f>
        <v>show</v>
      </c>
      <c r="I10145">
        <v>1</v>
      </c>
      <c r="J10145">
        <v>0</v>
      </c>
      <c r="K10145">
        <v>0</v>
      </c>
      <c r="L10145">
        <v>0</v>
      </c>
      <c r="M10145" t="s">
        <v>17</v>
      </c>
    </row>
    <row r="10146" spans="1:13" hidden="1" x14ac:dyDescent="0.15">
      <c r="A10146" t="s">
        <v>31969</v>
      </c>
      <c r="B10146" t="s">
        <v>31970</v>
      </c>
      <c r="C10146" t="s">
        <v>31971</v>
      </c>
      <c r="D10146" t="s">
        <v>31944</v>
      </c>
      <c r="E10146">
        <v>5</v>
      </c>
      <c r="F10146" t="str">
        <f>HYPERLINK("https://github.com/AndroidIDEOfficial/AndroidIDE/issues/1121", "show")</f>
        <v>show</v>
      </c>
      <c r="G10146" t="str">
        <f t="shared" ref="G10146:G10151" si="38">HYPERLINK("https://github.com/AndroidIDEOfficial/AndroidIDE", "show")</f>
        <v>show</v>
      </c>
      <c r="H10146" t="str">
        <f t="shared" ref="H10146:H10151" si="39">HYPERLINK("https://github.com/AndroidIDEOfficial/AndroidIDE/releases", "show")</f>
        <v>show</v>
      </c>
      <c r="I10146">
        <v>0</v>
      </c>
      <c r="J10146">
        <v>0</v>
      </c>
      <c r="K10146">
        <v>1</v>
      </c>
      <c r="L10146">
        <v>0</v>
      </c>
      <c r="M10146" t="s">
        <v>122</v>
      </c>
    </row>
    <row r="10147" spans="1:13" hidden="1" x14ac:dyDescent="0.15">
      <c r="A10147" t="s">
        <v>31972</v>
      </c>
      <c r="B10147" t="s">
        <v>31973</v>
      </c>
      <c r="C10147" t="s">
        <v>31974</v>
      </c>
      <c r="D10147" t="s">
        <v>31944</v>
      </c>
      <c r="E10147">
        <v>0</v>
      </c>
      <c r="F10147" t="str">
        <f>HYPERLINK("https://github.com/AndroidIDEOfficial/AndroidIDE/issues/1119", "show")</f>
        <v>show</v>
      </c>
      <c r="G10147" t="str">
        <f t="shared" si="38"/>
        <v>show</v>
      </c>
      <c r="H10147" t="str">
        <f t="shared" si="39"/>
        <v>show</v>
      </c>
      <c r="I10147">
        <v>0</v>
      </c>
      <c r="J10147">
        <v>0</v>
      </c>
      <c r="K10147">
        <v>1</v>
      </c>
      <c r="L10147">
        <v>0</v>
      </c>
      <c r="M10147" t="s">
        <v>122</v>
      </c>
    </row>
    <row r="10148" spans="1:13" hidden="1" x14ac:dyDescent="0.15">
      <c r="A10148" t="s">
        <v>31975</v>
      </c>
      <c r="B10148" t="s">
        <v>31976</v>
      </c>
      <c r="C10148" t="s">
        <v>31977</v>
      </c>
      <c r="D10148" t="s">
        <v>31978</v>
      </c>
      <c r="E10148">
        <v>0</v>
      </c>
      <c r="F10148" t="str">
        <f>HYPERLINK("https://github.com/AndroidIDEOfficial/AndroidIDE/issues/1113", "show")</f>
        <v>show</v>
      </c>
      <c r="G10148" t="str">
        <f t="shared" si="38"/>
        <v>show</v>
      </c>
      <c r="H10148" t="str">
        <f t="shared" si="39"/>
        <v>show</v>
      </c>
      <c r="I10148">
        <v>0</v>
      </c>
      <c r="J10148">
        <v>0</v>
      </c>
      <c r="K10148">
        <v>1</v>
      </c>
      <c r="L10148">
        <v>0</v>
      </c>
      <c r="M10148" t="s">
        <v>122</v>
      </c>
    </row>
    <row r="10149" spans="1:13" hidden="1" x14ac:dyDescent="0.15">
      <c r="A10149" t="s">
        <v>31979</v>
      </c>
      <c r="B10149" t="s">
        <v>31980</v>
      </c>
      <c r="C10149" t="s">
        <v>31981</v>
      </c>
      <c r="D10149" t="s">
        <v>31982</v>
      </c>
      <c r="E10149">
        <v>1</v>
      </c>
      <c r="F10149" t="str">
        <f>HYPERLINK("https://github.com/AndroidIDEOfficial/AndroidIDE/issues/1110", "show")</f>
        <v>show</v>
      </c>
      <c r="G10149" t="str">
        <f t="shared" si="38"/>
        <v>show</v>
      </c>
      <c r="H10149" t="str">
        <f t="shared" si="39"/>
        <v>show</v>
      </c>
      <c r="I10149">
        <v>0</v>
      </c>
      <c r="J10149">
        <v>0</v>
      </c>
      <c r="K10149">
        <v>1</v>
      </c>
      <c r="L10149">
        <v>0</v>
      </c>
      <c r="M10149" t="s">
        <v>122</v>
      </c>
    </row>
    <row r="10150" spans="1:13" hidden="1" x14ac:dyDescent="0.15">
      <c r="A10150" t="s">
        <v>31983</v>
      </c>
      <c r="B10150" t="s">
        <v>31984</v>
      </c>
      <c r="C10150" t="s">
        <v>31985</v>
      </c>
      <c r="D10150" t="s">
        <v>31982</v>
      </c>
      <c r="E10150">
        <v>1</v>
      </c>
      <c r="F10150" t="str">
        <f>HYPERLINK("https://github.com/AndroidIDEOfficial/AndroidIDE/issues/1109", "show")</f>
        <v>show</v>
      </c>
      <c r="G10150" t="str">
        <f t="shared" si="38"/>
        <v>show</v>
      </c>
      <c r="H10150" t="str">
        <f t="shared" si="39"/>
        <v>show</v>
      </c>
      <c r="I10150">
        <v>0</v>
      </c>
      <c r="J10150">
        <v>0</v>
      </c>
      <c r="K10150">
        <v>1</v>
      </c>
      <c r="L10150">
        <v>0</v>
      </c>
      <c r="M10150" t="s">
        <v>122</v>
      </c>
    </row>
    <row r="10151" spans="1:13" hidden="1" x14ac:dyDescent="0.15">
      <c r="A10151" t="s">
        <v>31986</v>
      </c>
      <c r="B10151" t="s">
        <v>31987</v>
      </c>
      <c r="C10151" t="s">
        <v>31988</v>
      </c>
      <c r="D10151" t="s">
        <v>31982</v>
      </c>
      <c r="E10151">
        <v>1</v>
      </c>
      <c r="F10151" t="str">
        <f>HYPERLINK("https://github.com/AndroidIDEOfficial/AndroidIDE/issues/1108", "show")</f>
        <v>show</v>
      </c>
      <c r="G10151" t="str">
        <f t="shared" si="38"/>
        <v>show</v>
      </c>
      <c r="H10151" t="str">
        <f t="shared" si="39"/>
        <v>show</v>
      </c>
      <c r="I10151">
        <v>1</v>
      </c>
      <c r="J10151">
        <v>0</v>
      </c>
      <c r="K10151">
        <v>1</v>
      </c>
      <c r="L10151">
        <v>0</v>
      </c>
      <c r="M10151" t="s">
        <v>64</v>
      </c>
    </row>
    <row r="10152" spans="1:13" hidden="1" x14ac:dyDescent="0.15">
      <c r="A10152" t="s">
        <v>31989</v>
      </c>
      <c r="B10152" t="s">
        <v>31990</v>
      </c>
      <c r="C10152" t="s">
        <v>31991</v>
      </c>
      <c r="D10152" t="s">
        <v>31992</v>
      </c>
      <c r="E10152">
        <v>8</v>
      </c>
      <c r="F10152" t="str">
        <f>HYPERLINK("https://github.com/Anuken/Mindustry/issues/8819", "show")</f>
        <v>show</v>
      </c>
      <c r="G10152" t="str">
        <f>HYPERLINK("https://github.com/Anuken/Mindustry", "show")</f>
        <v>show</v>
      </c>
      <c r="H10152" t="str">
        <f>HYPERLINK("https://github.com/Anuken/Mindustry/releases", "show")</f>
        <v>show</v>
      </c>
      <c r="I10152">
        <v>1</v>
      </c>
      <c r="J10152">
        <v>1</v>
      </c>
      <c r="K10152">
        <v>0</v>
      </c>
      <c r="L10152">
        <v>1</v>
      </c>
      <c r="M10152" t="s">
        <v>1894</v>
      </c>
    </row>
    <row r="10153" spans="1:13" hidden="1" x14ac:dyDescent="0.15">
      <c r="A10153" t="s">
        <v>31993</v>
      </c>
      <c r="B10153" t="s">
        <v>31994</v>
      </c>
      <c r="C10153" t="s">
        <v>31995</v>
      </c>
      <c r="D10153" t="s">
        <v>31992</v>
      </c>
      <c r="E10153">
        <v>0</v>
      </c>
      <c r="F10153" t="str">
        <f>HYPERLINK("https://github.com/PojavLauncherTeam/PojavLauncher/issues/4374", "show")</f>
        <v>show</v>
      </c>
      <c r="G10153" t="str">
        <f>HYPERLINK("https://github.com/PojavLauncherTeam/PojavLauncher", "show")</f>
        <v>show</v>
      </c>
      <c r="H10153" t="str">
        <f>HYPERLINK("https://github.com/PojavLauncherTeam/PojavLauncher/releases", "show")</f>
        <v>show</v>
      </c>
      <c r="I10153">
        <v>0</v>
      </c>
      <c r="J10153">
        <v>0</v>
      </c>
      <c r="K10153">
        <v>0</v>
      </c>
      <c r="L10153">
        <v>1</v>
      </c>
      <c r="M10153" t="s">
        <v>581</v>
      </c>
    </row>
    <row r="10154" spans="1:13" hidden="1" x14ac:dyDescent="0.15">
      <c r="A10154" t="s">
        <v>31996</v>
      </c>
      <c r="B10154" t="s">
        <v>31997</v>
      </c>
      <c r="C10154" t="s">
        <v>31998</v>
      </c>
      <c r="D10154" t="s">
        <v>31999</v>
      </c>
      <c r="E10154">
        <v>3</v>
      </c>
      <c r="F10154" t="str">
        <f>HYPERLINK("https://github.com/AndroidIDEOfficial/AndroidIDE/issues/1103", "show")</f>
        <v>show</v>
      </c>
      <c r="G10154" t="str">
        <f>HYPERLINK("https://github.com/AndroidIDEOfficial/AndroidIDE", "show")</f>
        <v>show</v>
      </c>
      <c r="H10154" t="str">
        <f>HYPERLINK("https://github.com/AndroidIDEOfficial/AndroidIDE/releases", "show")</f>
        <v>show</v>
      </c>
      <c r="I10154">
        <v>1</v>
      </c>
      <c r="J10154">
        <v>0</v>
      </c>
      <c r="K10154">
        <v>1</v>
      </c>
      <c r="L10154">
        <v>1</v>
      </c>
      <c r="M10154" t="s">
        <v>1259</v>
      </c>
    </row>
    <row r="10155" spans="1:13" hidden="1" x14ac:dyDescent="0.15">
      <c r="A10155" t="s">
        <v>32000</v>
      </c>
      <c r="B10155" t="s">
        <v>32001</v>
      </c>
      <c r="C10155" t="s">
        <v>32002</v>
      </c>
      <c r="D10155" t="s">
        <v>31999</v>
      </c>
      <c r="E10155">
        <v>0</v>
      </c>
      <c r="F10155" t="str">
        <f>HYPERLINK("https://github.com/TeamNewPipe/NewPipe/issues/10229", "show")</f>
        <v>show</v>
      </c>
      <c r="G10155" t="str">
        <f>HYPERLINK("https://github.com/TeamNewPipe/NewPipe", "show")</f>
        <v>show</v>
      </c>
      <c r="H10155" t="str">
        <f>HYPERLINK("https://github.com/TeamNewPipe/NewPipe/releases", "show")</f>
        <v>show</v>
      </c>
      <c r="I10155">
        <v>1</v>
      </c>
      <c r="J10155">
        <v>1</v>
      </c>
      <c r="K10155">
        <v>0</v>
      </c>
      <c r="L10155">
        <v>0</v>
      </c>
      <c r="M10155" t="s">
        <v>48</v>
      </c>
    </row>
    <row r="10156" spans="1:13" hidden="1" x14ac:dyDescent="0.15">
      <c r="A10156" t="s">
        <v>32003</v>
      </c>
      <c r="B10156" t="s">
        <v>32004</v>
      </c>
      <c r="C10156" t="s">
        <v>32005</v>
      </c>
      <c r="D10156" t="s">
        <v>31999</v>
      </c>
      <c r="E10156">
        <v>0</v>
      </c>
      <c r="F10156" t="str">
        <f>HYPERLINK("https://github.com/AndroidIDEOfficial/AndroidIDE/issues/1102", "show")</f>
        <v>show</v>
      </c>
      <c r="G10156" t="str">
        <f>HYPERLINK("https://github.com/AndroidIDEOfficial/AndroidIDE", "show")</f>
        <v>show</v>
      </c>
      <c r="H10156" t="str">
        <f>HYPERLINK("https://github.com/AndroidIDEOfficial/AndroidIDE/releases", "show")</f>
        <v>show</v>
      </c>
      <c r="I10156">
        <v>1</v>
      </c>
      <c r="J10156">
        <v>0</v>
      </c>
      <c r="K10156">
        <v>1</v>
      </c>
      <c r="L10156">
        <v>0</v>
      </c>
      <c r="M10156" t="s">
        <v>64</v>
      </c>
    </row>
    <row r="10157" spans="1:13" hidden="1" x14ac:dyDescent="0.15">
      <c r="A10157" t="s">
        <v>32006</v>
      </c>
      <c r="B10157" t="s">
        <v>32007</v>
      </c>
      <c r="C10157" t="s">
        <v>32008</v>
      </c>
      <c r="D10157" t="s">
        <v>32009</v>
      </c>
      <c r="E10157">
        <v>1</v>
      </c>
      <c r="F10157" t="str">
        <f>HYPERLINK("https://github.com/AndroidIDEOfficial/AndroidIDE/issues/1101", "show")</f>
        <v>show</v>
      </c>
      <c r="G10157" t="str">
        <f>HYPERLINK("https://github.com/AndroidIDEOfficial/AndroidIDE", "show")</f>
        <v>show</v>
      </c>
      <c r="H10157" t="str">
        <f>HYPERLINK("https://github.com/AndroidIDEOfficial/AndroidIDE/releases", "show")</f>
        <v>show</v>
      </c>
      <c r="I10157">
        <v>1</v>
      </c>
      <c r="J10157">
        <v>0</v>
      </c>
      <c r="K10157">
        <v>1</v>
      </c>
      <c r="L10157">
        <v>0</v>
      </c>
      <c r="M10157" t="s">
        <v>64</v>
      </c>
    </row>
    <row r="10158" spans="1:13" hidden="1" x14ac:dyDescent="0.15">
      <c r="A10158" t="s">
        <v>32010</v>
      </c>
      <c r="B10158" t="s">
        <v>32011</v>
      </c>
      <c r="C10158" t="s">
        <v>32012</v>
      </c>
      <c r="D10158" t="s">
        <v>32009</v>
      </c>
      <c r="E10158">
        <v>3</v>
      </c>
      <c r="F10158" t="str">
        <f>HYPERLINK("https://github.com/MuntashirAkon/AppManager/issues/1123", "show")</f>
        <v>show</v>
      </c>
      <c r="G10158" t="str">
        <f>HYPERLINK("https://github.com/MuntashirAkon/AppManager", "show")</f>
        <v>show</v>
      </c>
      <c r="H10158" t="str">
        <f>HYPERLINK("https://github.com/MuntashirAkon/AppManager/releases", "show")</f>
        <v>show</v>
      </c>
      <c r="I10158">
        <v>0</v>
      </c>
      <c r="J10158">
        <v>0</v>
      </c>
      <c r="K10158">
        <v>0</v>
      </c>
      <c r="L10158">
        <v>0</v>
      </c>
      <c r="M10158" t="s">
        <v>43</v>
      </c>
    </row>
    <row r="10159" spans="1:13" hidden="1" x14ac:dyDescent="0.15">
      <c r="A10159" t="s">
        <v>32013</v>
      </c>
      <c r="B10159" t="s">
        <v>32014</v>
      </c>
      <c r="C10159" t="s">
        <v>32015</v>
      </c>
      <c r="D10159" t="s">
        <v>32009</v>
      </c>
      <c r="E10159">
        <v>0</v>
      </c>
      <c r="F10159" t="str">
        <f>HYPERLINK("https://github.com/MuntashirAkon/AppManager/issues/1121", "show")</f>
        <v>show</v>
      </c>
      <c r="G10159" t="str">
        <f>HYPERLINK("https://github.com/MuntashirAkon/AppManager", "show")</f>
        <v>show</v>
      </c>
      <c r="H10159" t="str">
        <f>HYPERLINK("https://github.com/MuntashirAkon/AppManager/releases", "show")</f>
        <v>show</v>
      </c>
      <c r="I10159">
        <v>1</v>
      </c>
      <c r="J10159">
        <v>0</v>
      </c>
      <c r="K10159">
        <v>1</v>
      </c>
      <c r="L10159">
        <v>0</v>
      </c>
      <c r="M10159" t="s">
        <v>64</v>
      </c>
    </row>
    <row r="10160" spans="1:13" hidden="1" x14ac:dyDescent="0.15">
      <c r="A10160" t="s">
        <v>32016</v>
      </c>
      <c r="B10160" t="s">
        <v>32017</v>
      </c>
      <c r="C10160" t="s">
        <v>32018</v>
      </c>
      <c r="D10160" t="s">
        <v>32019</v>
      </c>
      <c r="E10160">
        <v>56</v>
      </c>
      <c r="F10160" t="str">
        <f>HYPERLINK("https://github.com/sdcxtech/react-native-troika/issues/6", "show")</f>
        <v>show</v>
      </c>
      <c r="G10160" t="str">
        <f>HYPERLINK("https://github.com/sdcxtech/react-native-troika", "show")</f>
        <v>show</v>
      </c>
      <c r="H10160" t="str">
        <f>HYPERLINK("https://github.com/sdcxtech/react-native-troika/releases", "show")</f>
        <v>show</v>
      </c>
      <c r="I10160">
        <v>1</v>
      </c>
      <c r="J10160">
        <v>0</v>
      </c>
      <c r="K10160">
        <v>0</v>
      </c>
      <c r="L10160">
        <v>0</v>
      </c>
      <c r="M10160" t="s">
        <v>17</v>
      </c>
    </row>
    <row r="10161" spans="1:13" hidden="1" x14ac:dyDescent="0.15">
      <c r="A10161" t="s">
        <v>32020</v>
      </c>
      <c r="B10161" t="s">
        <v>32021</v>
      </c>
      <c r="C10161" t="s">
        <v>32022</v>
      </c>
      <c r="D10161" t="s">
        <v>32019</v>
      </c>
      <c r="E10161">
        <v>3</v>
      </c>
      <c r="F10161" t="str">
        <f>HYPERLINK("https://github.com/OffRange/KeyGo/issues/12", "show")</f>
        <v>show</v>
      </c>
      <c r="G10161" t="str">
        <f>HYPERLINK("https://github.com/OffRange/KeyGo", "show")</f>
        <v>show</v>
      </c>
      <c r="H10161" t="str">
        <f>HYPERLINK("https://github.com/OffRange/KeyGo/releases", "show")</f>
        <v>show</v>
      </c>
      <c r="I10161">
        <v>1</v>
      </c>
      <c r="J10161">
        <v>0</v>
      </c>
      <c r="K10161">
        <v>0</v>
      </c>
      <c r="L10161">
        <v>0</v>
      </c>
      <c r="M10161" t="s">
        <v>17</v>
      </c>
    </row>
    <row r="10162" spans="1:13" hidden="1" x14ac:dyDescent="0.15">
      <c r="A10162" t="s">
        <v>32023</v>
      </c>
      <c r="B10162" t="s">
        <v>32024</v>
      </c>
      <c r="C10162" t="s">
        <v>32025</v>
      </c>
      <c r="D10162" t="s">
        <v>32019</v>
      </c>
      <c r="E10162">
        <v>0</v>
      </c>
      <c r="F10162" t="str">
        <f>HYPERLINK("https://github.com/LSPosed/LSPosed/issues/2620", "show")</f>
        <v>show</v>
      </c>
      <c r="G10162" t="str">
        <f>HYPERLINK("https://github.com/LSPosed/LSPosed", "show")</f>
        <v>show</v>
      </c>
      <c r="H10162" t="str">
        <f>HYPERLINK("https://github.com/LSPosed/LSPosed/releases", "show")</f>
        <v>show</v>
      </c>
      <c r="I10162">
        <v>0</v>
      </c>
      <c r="J10162">
        <v>1</v>
      </c>
      <c r="K10162">
        <v>1</v>
      </c>
      <c r="L10162">
        <v>0</v>
      </c>
      <c r="M10162" t="s">
        <v>699</v>
      </c>
    </row>
    <row r="10163" spans="1:13" hidden="1" x14ac:dyDescent="0.15">
      <c r="A10163" t="s">
        <v>32026</v>
      </c>
      <c r="B10163" t="s">
        <v>32027</v>
      </c>
      <c r="C10163" t="s">
        <v>32028</v>
      </c>
      <c r="D10163" t="s">
        <v>32019</v>
      </c>
      <c r="E10163">
        <v>11</v>
      </c>
      <c r="F10163" t="str">
        <f>HYPERLINK("https://github.com/Anuken/Mindustry/issues/8814", "show")</f>
        <v>show</v>
      </c>
      <c r="G10163" t="str">
        <f>HYPERLINK("https://github.com/Anuken/Mindustry", "show")</f>
        <v>show</v>
      </c>
      <c r="H10163" t="str">
        <f>HYPERLINK("https://github.com/Anuken/Mindustry/releases", "show")</f>
        <v>show</v>
      </c>
      <c r="I10163">
        <v>1</v>
      </c>
      <c r="J10163">
        <v>1</v>
      </c>
      <c r="K10163">
        <v>0</v>
      </c>
      <c r="L10163">
        <v>0</v>
      </c>
      <c r="M10163" t="s">
        <v>48</v>
      </c>
    </row>
    <row r="10164" spans="1:13" hidden="1" x14ac:dyDescent="0.15">
      <c r="A10164" t="s">
        <v>32029</v>
      </c>
      <c r="B10164" t="s">
        <v>32030</v>
      </c>
      <c r="D10164" t="s">
        <v>32031</v>
      </c>
      <c r="E10164">
        <v>0</v>
      </c>
      <c r="F10164" t="str">
        <f>HYPERLINK("https://github.com/sspanak/tt9/issues/302", "show")</f>
        <v>show</v>
      </c>
      <c r="G10164" t="str">
        <f>HYPERLINK("https://github.com/sspanak/tt9", "show")</f>
        <v>show</v>
      </c>
      <c r="H10164" t="str">
        <f>HYPERLINK("https://github.com/sspanak/tt9/releases", "show")</f>
        <v>show</v>
      </c>
      <c r="I10164">
        <v>1</v>
      </c>
      <c r="J10164">
        <v>0</v>
      </c>
      <c r="K10164">
        <v>0</v>
      </c>
      <c r="L10164">
        <v>0</v>
      </c>
      <c r="M10164" t="s">
        <v>17</v>
      </c>
    </row>
    <row r="10165" spans="1:13" hidden="1" x14ac:dyDescent="0.15">
      <c r="A10165" t="s">
        <v>32032</v>
      </c>
      <c r="B10165" t="s">
        <v>32033</v>
      </c>
      <c r="C10165" t="s">
        <v>32034</v>
      </c>
      <c r="D10165" t="s">
        <v>32031</v>
      </c>
      <c r="E10165">
        <v>1</v>
      </c>
      <c r="F10165" t="str">
        <f>HYPERLINK("https://github.com/PojavLauncherTeam/PojavLauncher/issues/4355", "show")</f>
        <v>show</v>
      </c>
      <c r="G10165" t="str">
        <f>HYPERLINK("https://github.com/PojavLauncherTeam/PojavLauncher", "show")</f>
        <v>show</v>
      </c>
      <c r="H10165" t="str">
        <f>HYPERLINK("https://github.com/PojavLauncherTeam/PojavLauncher/releases", "show")</f>
        <v>show</v>
      </c>
      <c r="I10165">
        <v>1</v>
      </c>
      <c r="J10165">
        <v>1</v>
      </c>
      <c r="K10165">
        <v>1</v>
      </c>
      <c r="L10165">
        <v>0</v>
      </c>
      <c r="M10165" t="s">
        <v>59</v>
      </c>
    </row>
    <row r="10166" spans="1:13" hidden="1" x14ac:dyDescent="0.15">
      <c r="A10166" t="s">
        <v>32035</v>
      </c>
      <c r="B10166" t="s">
        <v>32036</v>
      </c>
      <c r="C10166" t="s">
        <v>32037</v>
      </c>
      <c r="D10166" t="s">
        <v>32031</v>
      </c>
      <c r="E10166">
        <v>2</v>
      </c>
      <c r="F10166" t="str">
        <f>HYPERLINK("https://github.com/deepjavalibrary/djl/issues/2702", "show")</f>
        <v>show</v>
      </c>
      <c r="G10166" t="str">
        <f>HYPERLINK("https://github.com/deepjavalibrary/djl", "show")</f>
        <v>show</v>
      </c>
      <c r="H10166" t="str">
        <f>HYPERLINK("https://github.com/deepjavalibrary/djl/releases", "show")</f>
        <v>show</v>
      </c>
      <c r="I10166">
        <v>0</v>
      </c>
      <c r="J10166">
        <v>0</v>
      </c>
      <c r="K10166">
        <v>0</v>
      </c>
      <c r="L10166">
        <v>0</v>
      </c>
      <c r="M10166" t="s">
        <v>43</v>
      </c>
    </row>
    <row r="10167" spans="1:13" hidden="1" x14ac:dyDescent="0.15">
      <c r="A10167" t="s">
        <v>32038</v>
      </c>
      <c r="B10167" t="s">
        <v>31484</v>
      </c>
      <c r="C10167" t="s">
        <v>32039</v>
      </c>
      <c r="D10167" t="s">
        <v>32040</v>
      </c>
      <c r="E10167">
        <v>0</v>
      </c>
      <c r="F10167" t="str">
        <f>HYPERLINK("https://github.com/AndroidIDEOfficial/AndroidIDE/issues/1081", "show")</f>
        <v>show</v>
      </c>
      <c r="G10167" t="str">
        <f>HYPERLINK("https://github.com/AndroidIDEOfficial/AndroidIDE", "show")</f>
        <v>show</v>
      </c>
      <c r="H10167" t="str">
        <f>HYPERLINK("https://github.com/AndroidIDEOfficial/AndroidIDE/releases", "show")</f>
        <v>show</v>
      </c>
      <c r="I10167">
        <v>1</v>
      </c>
      <c r="J10167">
        <v>0</v>
      </c>
      <c r="K10167">
        <v>1</v>
      </c>
      <c r="L10167">
        <v>0</v>
      </c>
      <c r="M10167" t="s">
        <v>64</v>
      </c>
    </row>
    <row r="10168" spans="1:13" hidden="1" x14ac:dyDescent="0.15">
      <c r="A10168" t="s">
        <v>32041</v>
      </c>
      <c r="B10168" t="s">
        <v>32042</v>
      </c>
      <c r="C10168" t="s">
        <v>32043</v>
      </c>
      <c r="D10168" t="s">
        <v>32044</v>
      </c>
      <c r="E10168">
        <v>1</v>
      </c>
      <c r="F10168" t="str">
        <f>HYPERLINK("https://github.com/AndroidIDEOfficial/AndroidIDE/issues/1079", "show")</f>
        <v>show</v>
      </c>
      <c r="G10168" t="str">
        <f>HYPERLINK("https://github.com/AndroidIDEOfficial/AndroidIDE", "show")</f>
        <v>show</v>
      </c>
      <c r="H10168" t="str">
        <f>HYPERLINK("https://github.com/AndroidIDEOfficial/AndroidIDE/releases", "show")</f>
        <v>show</v>
      </c>
      <c r="I10168">
        <v>0</v>
      </c>
      <c r="J10168">
        <v>0</v>
      </c>
      <c r="K10168">
        <v>1</v>
      </c>
      <c r="L10168">
        <v>0</v>
      </c>
      <c r="M10168" t="s">
        <v>122</v>
      </c>
    </row>
    <row r="10169" spans="1:13" hidden="1" x14ac:dyDescent="0.15">
      <c r="A10169" t="s">
        <v>32045</v>
      </c>
      <c r="B10169" t="s">
        <v>32046</v>
      </c>
      <c r="C10169" t="s">
        <v>32047</v>
      </c>
      <c r="D10169" t="s">
        <v>32044</v>
      </c>
      <c r="E10169">
        <v>1</v>
      </c>
      <c r="F10169" t="str">
        <f>HYPERLINK("https://github.com/AndroidIDEOfficial/AndroidIDE/issues/1078", "show")</f>
        <v>show</v>
      </c>
      <c r="G10169" t="str">
        <f>HYPERLINK("https://github.com/AndroidIDEOfficial/AndroidIDE", "show")</f>
        <v>show</v>
      </c>
      <c r="H10169" t="str">
        <f>HYPERLINK("https://github.com/AndroidIDEOfficial/AndroidIDE/releases", "show")</f>
        <v>show</v>
      </c>
      <c r="I10169">
        <v>0</v>
      </c>
      <c r="J10169">
        <v>0</v>
      </c>
      <c r="K10169">
        <v>1</v>
      </c>
      <c r="L10169">
        <v>0</v>
      </c>
      <c r="M10169" t="s">
        <v>122</v>
      </c>
    </row>
    <row r="10170" spans="1:13" hidden="1" x14ac:dyDescent="0.15">
      <c r="A10170" t="s">
        <v>32048</v>
      </c>
      <c r="B10170" t="s">
        <v>32049</v>
      </c>
      <c r="C10170" t="s">
        <v>32050</v>
      </c>
      <c r="D10170" t="s">
        <v>32044</v>
      </c>
      <c r="E10170">
        <v>0</v>
      </c>
      <c r="F10170" t="str">
        <f>HYPERLINK("https://github.com/jellyfin/jellyfin-androidtv/issues/2884", "show")</f>
        <v>show</v>
      </c>
      <c r="G10170" t="str">
        <f>HYPERLINK("https://github.com/jellyfin/jellyfin-androidtv", "show")</f>
        <v>show</v>
      </c>
      <c r="H10170" t="str">
        <f>HYPERLINK("https://github.com/jellyfin/jellyfin-androidtv/releases", "show")</f>
        <v>show</v>
      </c>
      <c r="I10170">
        <v>1</v>
      </c>
      <c r="J10170">
        <v>0</v>
      </c>
      <c r="K10170">
        <v>0</v>
      </c>
      <c r="L10170">
        <v>0</v>
      </c>
      <c r="M10170" t="s">
        <v>17</v>
      </c>
    </row>
    <row r="10171" spans="1:13" hidden="1" x14ac:dyDescent="0.15">
      <c r="A10171" t="s">
        <v>32051</v>
      </c>
      <c r="B10171" t="s">
        <v>32052</v>
      </c>
      <c r="C10171" t="s">
        <v>32053</v>
      </c>
      <c r="D10171" t="s">
        <v>32044</v>
      </c>
      <c r="E10171">
        <v>0</v>
      </c>
      <c r="F10171" t="str">
        <f>HYPERLINK("https://github.com/PojavLauncherTeam/PojavLauncher/issues/4343", "show")</f>
        <v>show</v>
      </c>
      <c r="G10171" t="str">
        <f>HYPERLINK("https://github.com/PojavLauncherTeam/PojavLauncher", "show")</f>
        <v>show</v>
      </c>
      <c r="H10171" t="str">
        <f>HYPERLINK("https://github.com/PojavLauncherTeam/PojavLauncher/releases", "show")</f>
        <v>show</v>
      </c>
      <c r="I10171">
        <v>1</v>
      </c>
      <c r="J10171">
        <v>0</v>
      </c>
      <c r="K10171">
        <v>0</v>
      </c>
      <c r="L10171">
        <v>0</v>
      </c>
      <c r="M10171" t="s">
        <v>17</v>
      </c>
    </row>
    <row r="10172" spans="1:13" hidden="1" x14ac:dyDescent="0.15">
      <c r="A10172" t="s">
        <v>32054</v>
      </c>
      <c r="B10172" t="s">
        <v>32055</v>
      </c>
      <c r="C10172" t="s">
        <v>32056</v>
      </c>
      <c r="D10172" t="s">
        <v>32044</v>
      </c>
      <c r="E10172">
        <v>0</v>
      </c>
      <c r="F10172" t="str">
        <f>HYPERLINK("https://github.com/microg/GmsCore/issues/1982", "show")</f>
        <v>show</v>
      </c>
      <c r="G10172" t="str">
        <f>HYPERLINK("https://github.com/microg/GmsCore", "show")</f>
        <v>show</v>
      </c>
      <c r="H10172" t="str">
        <f>HYPERLINK("https://github.com/microg/GmsCore/releases", "show")</f>
        <v>show</v>
      </c>
      <c r="I10172">
        <v>1</v>
      </c>
      <c r="J10172">
        <v>1</v>
      </c>
      <c r="K10172">
        <v>1</v>
      </c>
      <c r="L10172">
        <v>0</v>
      </c>
      <c r="M10172" t="s">
        <v>59</v>
      </c>
    </row>
    <row r="10173" spans="1:13" hidden="1" x14ac:dyDescent="0.15">
      <c r="A10173" t="s">
        <v>32057</v>
      </c>
      <c r="B10173" t="s">
        <v>32058</v>
      </c>
      <c r="C10173" t="s">
        <v>32059</v>
      </c>
      <c r="D10173" t="s">
        <v>32044</v>
      </c>
      <c r="E10173">
        <v>29</v>
      </c>
      <c r="F10173" t="str">
        <f>HYPERLINK("https://github.com/TS-Code-Editor/Android-Code-Editor/issues/4", "show")</f>
        <v>show</v>
      </c>
      <c r="G10173" t="str">
        <f>HYPERLINK("https://github.com/TS-Code-Editor/Android-Code-Editor", "show")</f>
        <v>show</v>
      </c>
      <c r="H10173" t="str">
        <f>HYPERLINK("https://github.com/TS-Code-Editor/Android-Code-Editor/releases", "show")</f>
        <v>show</v>
      </c>
      <c r="I10173">
        <v>0</v>
      </c>
      <c r="J10173">
        <v>1</v>
      </c>
      <c r="K10173">
        <v>1</v>
      </c>
      <c r="L10173">
        <v>0</v>
      </c>
      <c r="M10173" t="s">
        <v>699</v>
      </c>
    </row>
    <row r="10174" spans="1:13" hidden="1" x14ac:dyDescent="0.15">
      <c r="A10174" t="s">
        <v>32060</v>
      </c>
      <c r="B10174" t="s">
        <v>32061</v>
      </c>
      <c r="C10174" t="s">
        <v>32062</v>
      </c>
      <c r="D10174" t="s">
        <v>32063</v>
      </c>
      <c r="E10174">
        <v>38</v>
      </c>
      <c r="F10174" t="str">
        <f>HYPERLINK("https://github.com/osudroid/osu-droid/issues/256", "show")</f>
        <v>show</v>
      </c>
      <c r="G10174" t="str">
        <f>HYPERLINK("https://github.com/osudroid/osu-droid", "show")</f>
        <v>show</v>
      </c>
      <c r="H10174" t="str">
        <f>HYPERLINK("https://github.com/osudroid/osu-droid/releases", "show")</f>
        <v>show</v>
      </c>
      <c r="I10174">
        <v>0</v>
      </c>
      <c r="J10174">
        <v>0</v>
      </c>
      <c r="K10174">
        <v>0</v>
      </c>
      <c r="L10174">
        <v>1</v>
      </c>
      <c r="M10174" t="s">
        <v>581</v>
      </c>
    </row>
    <row r="10175" spans="1:13" hidden="1" x14ac:dyDescent="0.15">
      <c r="A10175" t="s">
        <v>32064</v>
      </c>
      <c r="B10175" t="s">
        <v>32065</v>
      </c>
      <c r="C10175" t="s">
        <v>32066</v>
      </c>
      <c r="D10175" t="s">
        <v>32063</v>
      </c>
      <c r="E10175">
        <v>15</v>
      </c>
      <c r="F10175" t="str">
        <f>HYPERLINK("https://github.com/Anuken/Mindustry/issues/8803", "show")</f>
        <v>show</v>
      </c>
      <c r="G10175" t="str">
        <f>HYPERLINK("https://github.com/Anuken/Mindustry", "show")</f>
        <v>show</v>
      </c>
      <c r="H10175" t="str">
        <f>HYPERLINK("https://github.com/Anuken/Mindustry/releases", "show")</f>
        <v>show</v>
      </c>
      <c r="I10175">
        <v>1</v>
      </c>
      <c r="J10175">
        <v>0</v>
      </c>
      <c r="K10175">
        <v>0</v>
      </c>
      <c r="L10175">
        <v>1</v>
      </c>
      <c r="M10175" t="s">
        <v>29</v>
      </c>
    </row>
    <row r="10176" spans="1:13" hidden="1" x14ac:dyDescent="0.15">
      <c r="A10176" t="s">
        <v>32067</v>
      </c>
      <c r="B10176" t="s">
        <v>32068</v>
      </c>
      <c r="C10176" t="s">
        <v>32069</v>
      </c>
      <c r="D10176" t="s">
        <v>32070</v>
      </c>
      <c r="E10176">
        <v>37</v>
      </c>
      <c r="F10176" t="str">
        <f>HYPERLINK("https://github.com/PojavLauncherTeam/PojavLauncher/issues/4337", "show")</f>
        <v>show</v>
      </c>
      <c r="G10176" t="str">
        <f>HYPERLINK("https://github.com/PojavLauncherTeam/PojavLauncher", "show")</f>
        <v>show</v>
      </c>
      <c r="H10176" t="str">
        <f>HYPERLINK("https://github.com/PojavLauncherTeam/PojavLauncher/releases", "show")</f>
        <v>show</v>
      </c>
      <c r="I10176">
        <v>1</v>
      </c>
      <c r="J10176">
        <v>1</v>
      </c>
      <c r="K10176">
        <v>0</v>
      </c>
      <c r="L10176">
        <v>0</v>
      </c>
      <c r="M10176" t="s">
        <v>48</v>
      </c>
    </row>
    <row r="10177" spans="1:13" hidden="1" x14ac:dyDescent="0.15">
      <c r="A10177" t="s">
        <v>32071</v>
      </c>
      <c r="B10177" t="s">
        <v>32072</v>
      </c>
      <c r="C10177" t="s">
        <v>32073</v>
      </c>
      <c r="D10177" t="s">
        <v>32074</v>
      </c>
      <c r="E10177">
        <v>3</v>
      </c>
      <c r="F10177" t="str">
        <f>HYPERLINK("https://github.com/cgeo/cgeo/issues/14395", "show")</f>
        <v>show</v>
      </c>
      <c r="G10177" t="str">
        <f>HYPERLINK("https://github.com/cgeo/cgeo", "show")</f>
        <v>show</v>
      </c>
      <c r="H10177" t="str">
        <f>HYPERLINK("https://github.com/cgeo/cgeo/releases", "show")</f>
        <v>show</v>
      </c>
      <c r="I10177">
        <v>1</v>
      </c>
      <c r="J10177">
        <v>1</v>
      </c>
      <c r="K10177">
        <v>0</v>
      </c>
      <c r="L10177">
        <v>0</v>
      </c>
      <c r="M10177" t="s">
        <v>48</v>
      </c>
    </row>
    <row r="10178" spans="1:13" hidden="1" x14ac:dyDescent="0.15">
      <c r="A10178" t="s">
        <v>32075</v>
      </c>
      <c r="B10178" t="s">
        <v>32076</v>
      </c>
      <c r="C10178" t="s">
        <v>32077</v>
      </c>
      <c r="D10178" t="s">
        <v>32074</v>
      </c>
      <c r="E10178">
        <v>27</v>
      </c>
      <c r="F10178" t="str">
        <f>HYPERLINK("https://github.com/capacitor-community/google-maps/issues/222", "show")</f>
        <v>show</v>
      </c>
      <c r="G10178" t="str">
        <f>HYPERLINK("https://github.com/capacitor-community/google-maps", "show")</f>
        <v>show</v>
      </c>
      <c r="H10178" t="str">
        <f>HYPERLINK("https://github.com/capacitor-community/google-maps/releases", "show")</f>
        <v>show</v>
      </c>
      <c r="I10178">
        <v>1</v>
      </c>
      <c r="J10178">
        <v>1</v>
      </c>
      <c r="K10178">
        <v>0</v>
      </c>
      <c r="L10178">
        <v>1</v>
      </c>
      <c r="M10178" t="s">
        <v>1894</v>
      </c>
    </row>
    <row r="10179" spans="1:13" hidden="1" x14ac:dyDescent="0.15">
      <c r="A10179" t="s">
        <v>32078</v>
      </c>
      <c r="B10179" t="s">
        <v>32079</v>
      </c>
      <c r="C10179" t="s">
        <v>32080</v>
      </c>
      <c r="D10179" t="s">
        <v>32074</v>
      </c>
      <c r="E10179">
        <v>2</v>
      </c>
      <c r="F10179" t="str">
        <f>HYPERLINK("https://github.com/AndroidIDEOfficial/AndroidIDE/issues/1065", "show")</f>
        <v>show</v>
      </c>
      <c r="G10179" t="str">
        <f>HYPERLINK("https://github.com/AndroidIDEOfficial/AndroidIDE", "show")</f>
        <v>show</v>
      </c>
      <c r="H10179" t="str">
        <f>HYPERLINK("https://github.com/AndroidIDEOfficial/AndroidIDE/releases", "show")</f>
        <v>show</v>
      </c>
      <c r="I10179">
        <v>0</v>
      </c>
      <c r="J10179">
        <v>0</v>
      </c>
      <c r="K10179">
        <v>1</v>
      </c>
      <c r="L10179">
        <v>0</v>
      </c>
      <c r="M10179" t="s">
        <v>122</v>
      </c>
    </row>
    <row r="10180" spans="1:13" hidden="1" x14ac:dyDescent="0.15">
      <c r="A10180" t="s">
        <v>32081</v>
      </c>
      <c r="B10180" t="s">
        <v>32082</v>
      </c>
      <c r="C10180" t="s">
        <v>32083</v>
      </c>
      <c r="D10180" t="s">
        <v>32074</v>
      </c>
      <c r="E10180">
        <v>0</v>
      </c>
      <c r="F10180" t="str">
        <f>HYPERLINK("https://github.com/PojavLauncherTeam/PojavLauncher/issues/4336", "show")</f>
        <v>show</v>
      </c>
      <c r="G10180" t="str">
        <f>HYPERLINK("https://github.com/PojavLauncherTeam/PojavLauncher", "show")</f>
        <v>show</v>
      </c>
      <c r="H10180" t="str">
        <f>HYPERLINK("https://github.com/PojavLauncherTeam/PojavLauncher/releases", "show")</f>
        <v>show</v>
      </c>
      <c r="I10180">
        <v>0</v>
      </c>
      <c r="J10180">
        <v>0</v>
      </c>
      <c r="K10180">
        <v>0</v>
      </c>
      <c r="L10180">
        <v>1</v>
      </c>
      <c r="M10180" t="s">
        <v>581</v>
      </c>
    </row>
    <row r="10181" spans="1:13" hidden="1" x14ac:dyDescent="0.15">
      <c r="A10181" t="s">
        <v>32084</v>
      </c>
      <c r="B10181" t="s">
        <v>32085</v>
      </c>
      <c r="C10181" t="s">
        <v>32086</v>
      </c>
      <c r="D10181" t="s">
        <v>32087</v>
      </c>
      <c r="E10181">
        <v>42</v>
      </c>
      <c r="F10181" t="str">
        <f>HYPERLINK("https://github.com/MuntashirAkon/AppManager/issues/1115", "show")</f>
        <v>show</v>
      </c>
      <c r="G10181" t="str">
        <f>HYPERLINK("https://github.com/MuntashirAkon/AppManager", "show")</f>
        <v>show</v>
      </c>
      <c r="H10181" t="str">
        <f>HYPERLINK("https://github.com/MuntashirAkon/AppManager/releases", "show")</f>
        <v>show</v>
      </c>
      <c r="I10181">
        <v>1</v>
      </c>
      <c r="J10181">
        <v>0</v>
      </c>
      <c r="K10181">
        <v>0</v>
      </c>
      <c r="L10181">
        <v>0</v>
      </c>
      <c r="M10181" t="s">
        <v>17</v>
      </c>
    </row>
    <row r="10182" spans="1:13" hidden="1" x14ac:dyDescent="0.15">
      <c r="A10182" t="s">
        <v>32088</v>
      </c>
      <c r="B10182" t="s">
        <v>32089</v>
      </c>
      <c r="C10182" t="s">
        <v>32090</v>
      </c>
      <c r="D10182" t="s">
        <v>32087</v>
      </c>
      <c r="E10182">
        <v>2</v>
      </c>
      <c r="F10182" t="str">
        <f>HYPERLINK("https://github.com/amplitude/Amplitude-Android/issues/374", "show")</f>
        <v>show</v>
      </c>
      <c r="G10182" t="str">
        <f>HYPERLINK("https://github.com/amplitude/Amplitude-Android", "show")</f>
        <v>show</v>
      </c>
      <c r="H10182" t="str">
        <f>HYPERLINK("https://github.com/amplitude/Amplitude-Android/releases", "show")</f>
        <v>show</v>
      </c>
      <c r="I10182">
        <v>1</v>
      </c>
      <c r="J10182">
        <v>0</v>
      </c>
      <c r="K10182">
        <v>1</v>
      </c>
      <c r="L10182">
        <v>0</v>
      </c>
      <c r="M10182" t="s">
        <v>64</v>
      </c>
    </row>
    <row r="10183" spans="1:13" hidden="1" x14ac:dyDescent="0.15">
      <c r="A10183" t="s">
        <v>32091</v>
      </c>
      <c r="B10183" t="s">
        <v>32092</v>
      </c>
      <c r="C10183" t="s">
        <v>32093</v>
      </c>
      <c r="D10183" t="s">
        <v>32087</v>
      </c>
      <c r="E10183">
        <v>91</v>
      </c>
      <c r="F10183" t="str">
        <f>HYPERLINK("https://github.com/axel358/smartdock/issues/63", "show")</f>
        <v>show</v>
      </c>
      <c r="G10183" t="str">
        <f>HYPERLINK("https://github.com/axel358/smartdock", "show")</f>
        <v>show</v>
      </c>
      <c r="H10183" t="str">
        <f>HYPERLINK("https://github.com/axel358/smartdock/releases", "show")</f>
        <v>show</v>
      </c>
      <c r="I10183">
        <v>1</v>
      </c>
      <c r="J10183">
        <v>0</v>
      </c>
      <c r="K10183">
        <v>0</v>
      </c>
      <c r="L10183">
        <v>0</v>
      </c>
      <c r="M10183" t="s">
        <v>17</v>
      </c>
    </row>
    <row r="10184" spans="1:13" hidden="1" x14ac:dyDescent="0.15">
      <c r="A10184" t="s">
        <v>32094</v>
      </c>
      <c r="B10184" t="s">
        <v>32095</v>
      </c>
      <c r="C10184" t="s">
        <v>32096</v>
      </c>
      <c r="D10184" t="s">
        <v>32097</v>
      </c>
      <c r="E10184">
        <v>36</v>
      </c>
      <c r="F10184" t="str">
        <f>HYPERLINK("https://github.com/Igalia/wolvic/issues/795", "show")</f>
        <v>show</v>
      </c>
      <c r="G10184" t="str">
        <f>HYPERLINK("https://github.com/Igalia/wolvic", "show")</f>
        <v>show</v>
      </c>
      <c r="H10184" t="str">
        <f>HYPERLINK("https://github.com/Igalia/wolvic/releases", "show")</f>
        <v>show</v>
      </c>
      <c r="I10184">
        <v>1</v>
      </c>
      <c r="J10184">
        <v>1</v>
      </c>
      <c r="K10184">
        <v>1</v>
      </c>
      <c r="L10184">
        <v>0</v>
      </c>
      <c r="M10184" t="s">
        <v>59</v>
      </c>
    </row>
    <row r="10185" spans="1:13" hidden="1" x14ac:dyDescent="0.15">
      <c r="A10185" t="s">
        <v>32098</v>
      </c>
      <c r="B10185" t="s">
        <v>32099</v>
      </c>
      <c r="C10185" t="s">
        <v>32100</v>
      </c>
      <c r="D10185" t="s">
        <v>32097</v>
      </c>
      <c r="E10185">
        <v>10</v>
      </c>
      <c r="F10185" t="str">
        <f>HYPERLINK("https://github.com/aws-amplify/amplify-android/issues/2504", "show")</f>
        <v>show</v>
      </c>
      <c r="G10185" t="str">
        <f>HYPERLINK("https://github.com/aws-amplify/amplify-android", "show")</f>
        <v>show</v>
      </c>
      <c r="H10185" t="str">
        <f>HYPERLINK("https://github.com/aws-amplify/amplify-android/releases", "show")</f>
        <v>show</v>
      </c>
      <c r="I10185">
        <v>1</v>
      </c>
      <c r="J10185">
        <v>1</v>
      </c>
      <c r="K10185">
        <v>1</v>
      </c>
      <c r="L10185">
        <v>0</v>
      </c>
      <c r="M10185" t="s">
        <v>59</v>
      </c>
    </row>
    <row r="10186" spans="1:13" x14ac:dyDescent="0.15">
      <c r="A10186" t="s">
        <v>32101</v>
      </c>
      <c r="B10186" t="s">
        <v>32102</v>
      </c>
      <c r="C10186" t="s">
        <v>32103</v>
      </c>
      <c r="D10186" t="s">
        <v>32104</v>
      </c>
      <c r="E10186">
        <v>0</v>
      </c>
      <c r="F10186" t="str">
        <f>HYPERLINK("https://github.com/LSPosed/LSPatch/issues/215", "show")</f>
        <v>show</v>
      </c>
      <c r="G10186" t="str">
        <f>HYPERLINK("https://github.com/LSPosed/LSPatch", "show")</f>
        <v>show</v>
      </c>
      <c r="H10186" t="str">
        <f>HYPERLINK("https://github.com/LSPosed/LSPatch/releases", "show")</f>
        <v>show</v>
      </c>
      <c r="I10186">
        <v>0</v>
      </c>
      <c r="J10186">
        <v>1</v>
      </c>
      <c r="K10186">
        <v>0</v>
      </c>
      <c r="L10186">
        <v>0</v>
      </c>
      <c r="M10186" t="s">
        <v>139</v>
      </c>
    </row>
    <row r="10187" spans="1:13" x14ac:dyDescent="0.15">
      <c r="A10187" t="s">
        <v>32105</v>
      </c>
      <c r="B10187" t="s">
        <v>32106</v>
      </c>
      <c r="C10187" t="s">
        <v>32107</v>
      </c>
      <c r="D10187" t="s">
        <v>32104</v>
      </c>
      <c r="E10187">
        <v>41</v>
      </c>
      <c r="F10187" t="str">
        <f>HYPERLINK("https://github.com/PojavLauncherTeam/PojavLauncher/issues/4327", "show")</f>
        <v>show</v>
      </c>
      <c r="G10187" t="str">
        <f>HYPERLINK("https://github.com/PojavLauncherTeam/PojavLauncher", "show")</f>
        <v>show</v>
      </c>
      <c r="H10187" t="str">
        <f>HYPERLINK("https://github.com/PojavLauncherTeam/PojavLauncher/releases", "show")</f>
        <v>show</v>
      </c>
      <c r="I10187">
        <v>0</v>
      </c>
      <c r="J10187">
        <v>1</v>
      </c>
      <c r="K10187">
        <v>0</v>
      </c>
      <c r="L10187">
        <v>0</v>
      </c>
      <c r="M10187" t="s">
        <v>139</v>
      </c>
    </row>
    <row r="10188" spans="1:13" hidden="1" x14ac:dyDescent="0.15">
      <c r="A10188" t="s">
        <v>32108</v>
      </c>
      <c r="B10188" t="s">
        <v>32109</v>
      </c>
      <c r="C10188" t="s">
        <v>32110</v>
      </c>
      <c r="D10188" t="s">
        <v>32111</v>
      </c>
      <c r="E10188">
        <v>3</v>
      </c>
      <c r="F10188" t="str">
        <f>HYPERLINK("https://github.com/MuntashirAkon/AppManager/issues/1113", "show")</f>
        <v>show</v>
      </c>
      <c r="G10188" t="str">
        <f>HYPERLINK("https://github.com/MuntashirAkon/AppManager", "show")</f>
        <v>show</v>
      </c>
      <c r="H10188" t="str">
        <f>HYPERLINK("https://github.com/MuntashirAkon/AppManager/releases", "show")</f>
        <v>show</v>
      </c>
      <c r="I10188">
        <v>1</v>
      </c>
      <c r="J10188">
        <v>0</v>
      </c>
      <c r="K10188">
        <v>1</v>
      </c>
      <c r="L10188">
        <v>0</v>
      </c>
      <c r="M10188" t="s">
        <v>64</v>
      </c>
    </row>
    <row r="10189" spans="1:13" hidden="1" x14ac:dyDescent="0.15">
      <c r="A10189" t="s">
        <v>32112</v>
      </c>
      <c r="B10189" t="s">
        <v>32113</v>
      </c>
      <c r="C10189" t="s">
        <v>32114</v>
      </c>
      <c r="D10189" t="s">
        <v>32111</v>
      </c>
      <c r="E10189">
        <v>0</v>
      </c>
      <c r="F10189" t="str">
        <f>HYPERLINK("https://github.com/jellyfin/jellyfin-androidtv/issues/2863", "show")</f>
        <v>show</v>
      </c>
      <c r="G10189" t="str">
        <f>HYPERLINK("https://github.com/jellyfin/jellyfin-androidtv", "show")</f>
        <v>show</v>
      </c>
      <c r="H10189" t="str">
        <f>HYPERLINK("https://github.com/jellyfin/jellyfin-androidtv/releases", "show")</f>
        <v>show</v>
      </c>
      <c r="I10189">
        <v>1</v>
      </c>
      <c r="J10189">
        <v>1</v>
      </c>
      <c r="K10189">
        <v>0</v>
      </c>
      <c r="L10189">
        <v>0</v>
      </c>
      <c r="M10189" t="s">
        <v>48</v>
      </c>
    </row>
    <row r="10190" spans="1:13" hidden="1" x14ac:dyDescent="0.15">
      <c r="A10190" t="s">
        <v>32115</v>
      </c>
      <c r="B10190" t="s">
        <v>32116</v>
      </c>
      <c r="D10190" t="s">
        <v>32117</v>
      </c>
      <c r="E10190">
        <v>92</v>
      </c>
      <c r="F10190" t="str">
        <f>HYPERLINK("https://github.com/GrapheneOS/Camera/issues/369", "show")</f>
        <v>show</v>
      </c>
      <c r="G10190" t="str">
        <f>HYPERLINK("https://github.com/GrapheneOS/Camera", "show")</f>
        <v>show</v>
      </c>
      <c r="H10190" t="str">
        <f>HYPERLINK("https://github.com/GrapheneOS/Camera/releases", "show")</f>
        <v>show</v>
      </c>
      <c r="I10190">
        <v>0</v>
      </c>
      <c r="J10190">
        <v>0</v>
      </c>
      <c r="K10190">
        <v>1</v>
      </c>
      <c r="L10190">
        <v>0</v>
      </c>
      <c r="M10190" t="s">
        <v>122</v>
      </c>
    </row>
    <row r="10191" spans="1:13" hidden="1" x14ac:dyDescent="0.15">
      <c r="A10191" t="s">
        <v>32118</v>
      </c>
      <c r="B10191" t="s">
        <v>32119</v>
      </c>
      <c r="C10191" t="s">
        <v>32120</v>
      </c>
      <c r="D10191" t="s">
        <v>32117</v>
      </c>
      <c r="E10191">
        <v>4</v>
      </c>
      <c r="F10191" t="str">
        <f>HYPERLINK("https://github.com/PojavLauncherTeam/PojavLauncher/issues/4301", "show")</f>
        <v>show</v>
      </c>
      <c r="G10191" t="str">
        <f>HYPERLINK("https://github.com/PojavLauncherTeam/PojavLauncher", "show")</f>
        <v>show</v>
      </c>
      <c r="H10191" t="str">
        <f>HYPERLINK("https://github.com/PojavLauncherTeam/PojavLauncher/releases", "show")</f>
        <v>show</v>
      </c>
      <c r="I10191">
        <v>0</v>
      </c>
      <c r="J10191">
        <v>0</v>
      </c>
      <c r="K10191">
        <v>0</v>
      </c>
      <c r="L10191">
        <v>0</v>
      </c>
      <c r="M10191" t="s">
        <v>43</v>
      </c>
    </row>
    <row r="10192" spans="1:13" hidden="1" x14ac:dyDescent="0.15">
      <c r="A10192" t="s">
        <v>32121</v>
      </c>
      <c r="B10192" t="s">
        <v>32122</v>
      </c>
      <c r="C10192" t="s">
        <v>32123</v>
      </c>
      <c r="D10192" t="s">
        <v>32124</v>
      </c>
      <c r="E10192">
        <v>0</v>
      </c>
      <c r="F10192" t="str">
        <f>HYPERLINK("https://github.com/Anuken/Mindustry/issues/8767", "show")</f>
        <v>show</v>
      </c>
      <c r="G10192" t="str">
        <f>HYPERLINK("https://github.com/Anuken/Mindustry", "show")</f>
        <v>show</v>
      </c>
      <c r="H10192" t="str">
        <f>HYPERLINK("https://github.com/Anuken/Mindustry/releases", "show")</f>
        <v>show</v>
      </c>
      <c r="I10192">
        <v>0</v>
      </c>
      <c r="J10192">
        <v>1</v>
      </c>
      <c r="K10192">
        <v>1</v>
      </c>
      <c r="L10192">
        <v>0</v>
      </c>
      <c r="M10192" t="s">
        <v>699</v>
      </c>
    </row>
    <row r="10193" spans="1:13" hidden="1" x14ac:dyDescent="0.15">
      <c r="A10193" t="s">
        <v>32125</v>
      </c>
      <c r="B10193" t="s">
        <v>32126</v>
      </c>
      <c r="C10193" t="s">
        <v>32127</v>
      </c>
      <c r="D10193" t="s">
        <v>32124</v>
      </c>
      <c r="E10193">
        <v>0</v>
      </c>
      <c r="F10193" t="str">
        <f>HYPERLINK("https://github.com/syncthing/syncthing-android/issues/1927", "show")</f>
        <v>show</v>
      </c>
      <c r="G10193" t="str">
        <f>HYPERLINK("https://github.com/syncthing/syncthing-android", "show")</f>
        <v>show</v>
      </c>
      <c r="H10193" t="str">
        <f>HYPERLINK("https://github.com/syncthing/syncthing-android/releases", "show")</f>
        <v>show</v>
      </c>
      <c r="I10193">
        <v>0</v>
      </c>
      <c r="J10193">
        <v>0</v>
      </c>
      <c r="K10193">
        <v>0</v>
      </c>
      <c r="L10193">
        <v>0</v>
      </c>
      <c r="M10193" t="s">
        <v>43</v>
      </c>
    </row>
    <row r="10194" spans="1:13" hidden="1" x14ac:dyDescent="0.15">
      <c r="A10194" t="s">
        <v>32128</v>
      </c>
      <c r="B10194" t="s">
        <v>32129</v>
      </c>
      <c r="C10194" t="s">
        <v>32130</v>
      </c>
      <c r="D10194" t="s">
        <v>32124</v>
      </c>
      <c r="E10194">
        <v>0</v>
      </c>
      <c r="F10194" t="str">
        <f>HYPERLINK("https://github.com/Anuken/Mindustry/issues/8765", "show")</f>
        <v>show</v>
      </c>
      <c r="G10194" t="str">
        <f>HYPERLINK("https://github.com/Anuken/Mindustry", "show")</f>
        <v>show</v>
      </c>
      <c r="H10194" t="str">
        <f>HYPERLINK("https://github.com/Anuken/Mindustry/releases", "show")</f>
        <v>show</v>
      </c>
      <c r="I10194">
        <v>0</v>
      </c>
      <c r="J10194">
        <v>0</v>
      </c>
      <c r="K10194">
        <v>0</v>
      </c>
      <c r="L10194">
        <v>0</v>
      </c>
      <c r="M10194" t="s">
        <v>43</v>
      </c>
    </row>
    <row r="10195" spans="1:13" hidden="1" x14ac:dyDescent="0.15">
      <c r="A10195" t="s">
        <v>32131</v>
      </c>
      <c r="B10195" t="s">
        <v>32132</v>
      </c>
      <c r="C10195" t="s">
        <v>32133</v>
      </c>
      <c r="D10195" t="s">
        <v>32134</v>
      </c>
      <c r="E10195">
        <v>29</v>
      </c>
      <c r="F10195" t="str">
        <f>HYPERLINK("https://github.com/nextcloud/notes-android/issues/1833", "show")</f>
        <v>show</v>
      </c>
      <c r="G10195" t="str">
        <f>HYPERLINK("https://github.com/nextcloud/notes-android", "show")</f>
        <v>show</v>
      </c>
      <c r="H10195" t="str">
        <f>HYPERLINK("https://github.com/nextcloud/notes-android/releases", "show")</f>
        <v>show</v>
      </c>
      <c r="I10195">
        <v>1</v>
      </c>
      <c r="J10195">
        <v>1</v>
      </c>
      <c r="K10195">
        <v>1</v>
      </c>
      <c r="L10195">
        <v>0</v>
      </c>
      <c r="M10195" t="s">
        <v>59</v>
      </c>
    </row>
    <row r="10196" spans="1:13" hidden="1" x14ac:dyDescent="0.15">
      <c r="A10196" t="s">
        <v>32135</v>
      </c>
      <c r="B10196" t="s">
        <v>32136</v>
      </c>
      <c r="C10196" t="s">
        <v>32137</v>
      </c>
      <c r="D10196" t="s">
        <v>32134</v>
      </c>
      <c r="E10196">
        <v>3</v>
      </c>
      <c r="F10196" t="str">
        <f>HYPERLINK("https://github.com/androidx/media/issues/480", "show")</f>
        <v>show</v>
      </c>
      <c r="G10196" t="str">
        <f>HYPERLINK("https://github.com/androidx/media", "show")</f>
        <v>show</v>
      </c>
      <c r="H10196" t="str">
        <f>HYPERLINK("https://github.com/androidx/media/releases", "show")</f>
        <v>show</v>
      </c>
      <c r="I10196">
        <v>0</v>
      </c>
      <c r="J10196">
        <v>0</v>
      </c>
      <c r="K10196">
        <v>1</v>
      </c>
      <c r="L10196">
        <v>0</v>
      </c>
      <c r="M10196" t="s">
        <v>122</v>
      </c>
    </row>
    <row r="10197" spans="1:13" hidden="1" x14ac:dyDescent="0.15">
      <c r="A10197" t="s">
        <v>32138</v>
      </c>
      <c r="B10197" t="s">
        <v>32139</v>
      </c>
      <c r="C10197" t="s">
        <v>32140</v>
      </c>
      <c r="D10197" t="s">
        <v>32141</v>
      </c>
      <c r="E10197">
        <v>0</v>
      </c>
      <c r="F10197" t="str">
        <f>HYPERLINK("https://github.com/LSPosed/LSPosed/issues/2582", "show")</f>
        <v>show</v>
      </c>
      <c r="G10197" t="str">
        <f>HYPERLINK("https://github.com/LSPosed/LSPosed", "show")</f>
        <v>show</v>
      </c>
      <c r="H10197" t="str">
        <f>HYPERLINK("https://github.com/LSPosed/LSPosed/releases", "show")</f>
        <v>show</v>
      </c>
      <c r="I10197">
        <v>1</v>
      </c>
      <c r="J10197">
        <v>1</v>
      </c>
      <c r="K10197">
        <v>1</v>
      </c>
      <c r="L10197">
        <v>0</v>
      </c>
      <c r="M10197" t="s">
        <v>59</v>
      </c>
    </row>
    <row r="10198" spans="1:13" hidden="1" x14ac:dyDescent="0.15">
      <c r="A10198" t="s">
        <v>32142</v>
      </c>
      <c r="B10198" t="s">
        <v>32143</v>
      </c>
      <c r="C10198" t="s">
        <v>32144</v>
      </c>
      <c r="D10198" t="s">
        <v>32141</v>
      </c>
      <c r="E10198">
        <v>0</v>
      </c>
      <c r="F10198" t="str">
        <f>HYPERLINK("https://github.com/MuntashirAkon/AppManager/issues/1109", "show")</f>
        <v>show</v>
      </c>
      <c r="G10198" t="str">
        <f>HYPERLINK("https://github.com/MuntashirAkon/AppManager", "show")</f>
        <v>show</v>
      </c>
      <c r="H10198" t="str">
        <f>HYPERLINK("https://github.com/MuntashirAkon/AppManager/releases", "show")</f>
        <v>show</v>
      </c>
      <c r="I10198">
        <v>1</v>
      </c>
      <c r="J10198">
        <v>1</v>
      </c>
      <c r="K10198">
        <v>1</v>
      </c>
      <c r="L10198">
        <v>0</v>
      </c>
      <c r="M10198" t="s">
        <v>59</v>
      </c>
    </row>
    <row r="10199" spans="1:13" hidden="1" x14ac:dyDescent="0.15">
      <c r="A10199" t="s">
        <v>32145</v>
      </c>
      <c r="B10199" t="s">
        <v>141</v>
      </c>
      <c r="C10199" t="s">
        <v>32146</v>
      </c>
      <c r="D10199" t="s">
        <v>32141</v>
      </c>
      <c r="E10199">
        <v>0</v>
      </c>
      <c r="F10199" t="str">
        <f>HYPERLINK("https://github.com/Anuken/Mindustry/issues/8758", "show")</f>
        <v>show</v>
      </c>
      <c r="G10199" t="str">
        <f>HYPERLINK("https://github.com/Anuken/Mindustry", "show")</f>
        <v>show</v>
      </c>
      <c r="H10199" t="str">
        <f>HYPERLINK("https://github.com/Anuken/Mindustry/releases", "show")</f>
        <v>show</v>
      </c>
      <c r="I10199">
        <v>0</v>
      </c>
      <c r="J10199">
        <v>1</v>
      </c>
      <c r="K10199">
        <v>0</v>
      </c>
      <c r="L10199">
        <v>1</v>
      </c>
      <c r="M10199" t="s">
        <v>1732</v>
      </c>
    </row>
    <row r="10200" spans="1:13" hidden="1" x14ac:dyDescent="0.15">
      <c r="A10200" t="s">
        <v>32147</v>
      </c>
      <c r="B10200" t="s">
        <v>32148</v>
      </c>
      <c r="C10200" t="s">
        <v>32149</v>
      </c>
      <c r="D10200" t="s">
        <v>32150</v>
      </c>
      <c r="E10200">
        <v>88</v>
      </c>
      <c r="F10200" t="str">
        <f>HYPERLINK("https://github.com/PojavLauncherTeam/PojavLauncher/issues/4298", "show")</f>
        <v>show</v>
      </c>
      <c r="G10200" t="str">
        <f>HYPERLINK("https://github.com/PojavLauncherTeam/PojavLauncher", "show")</f>
        <v>show</v>
      </c>
      <c r="H10200" t="str">
        <f>HYPERLINK("https://github.com/PojavLauncherTeam/PojavLauncher/releases", "show")</f>
        <v>show</v>
      </c>
      <c r="I10200">
        <v>0</v>
      </c>
      <c r="J10200">
        <v>0</v>
      </c>
      <c r="K10200">
        <v>0</v>
      </c>
      <c r="L10200">
        <v>0</v>
      </c>
      <c r="M10200" t="s">
        <v>43</v>
      </c>
    </row>
    <row r="10201" spans="1:13" hidden="1" x14ac:dyDescent="0.15">
      <c r="A10201" t="s">
        <v>32151</v>
      </c>
      <c r="B10201" t="s">
        <v>32152</v>
      </c>
      <c r="C10201" t="s">
        <v>32153</v>
      </c>
      <c r="D10201" t="s">
        <v>32150</v>
      </c>
      <c r="E10201">
        <v>29</v>
      </c>
      <c r="F10201" t="str">
        <f>HYPERLINK("https://github.com/aws-amplify/amplify-android/issues/2489", "show")</f>
        <v>show</v>
      </c>
      <c r="G10201" t="str">
        <f>HYPERLINK("https://github.com/aws-amplify/amplify-android", "show")</f>
        <v>show</v>
      </c>
      <c r="H10201" t="str">
        <f>HYPERLINK("https://github.com/aws-amplify/amplify-android/releases", "show")</f>
        <v>show</v>
      </c>
      <c r="I10201">
        <v>1</v>
      </c>
      <c r="J10201">
        <v>1</v>
      </c>
      <c r="K10201">
        <v>0</v>
      </c>
      <c r="L10201">
        <v>0</v>
      </c>
      <c r="M10201" t="s">
        <v>48</v>
      </c>
    </row>
    <row r="10202" spans="1:13" hidden="1" x14ac:dyDescent="0.15">
      <c r="A10202" t="s">
        <v>32154</v>
      </c>
      <c r="B10202" t="s">
        <v>32155</v>
      </c>
      <c r="C10202" t="s">
        <v>32156</v>
      </c>
      <c r="D10202" t="s">
        <v>32150</v>
      </c>
      <c r="E10202">
        <v>19</v>
      </c>
      <c r="F10202" t="str">
        <f>HYPERLINK("https://github.com/mollyim/mollyim-android/issues/198", "show")</f>
        <v>show</v>
      </c>
      <c r="G10202" t="str">
        <f>HYPERLINK("https://github.com/mollyim/mollyim-android", "show")</f>
        <v>show</v>
      </c>
      <c r="H10202" t="str">
        <f>HYPERLINK("https://github.com/mollyim/mollyim-android/releases", "show")</f>
        <v>show</v>
      </c>
      <c r="I10202">
        <v>1</v>
      </c>
      <c r="J10202">
        <v>1</v>
      </c>
      <c r="K10202">
        <v>0</v>
      </c>
      <c r="L10202">
        <v>0</v>
      </c>
      <c r="M10202" t="s">
        <v>48</v>
      </c>
    </row>
    <row r="10203" spans="1:13" hidden="1" x14ac:dyDescent="0.15">
      <c r="A10203" t="s">
        <v>32157</v>
      </c>
      <c r="B10203" t="s">
        <v>32158</v>
      </c>
      <c r="C10203" t="s">
        <v>32159</v>
      </c>
      <c r="D10203" t="s">
        <v>32160</v>
      </c>
      <c r="E10203">
        <v>0</v>
      </c>
      <c r="F10203" t="str">
        <f>HYPERLINK("https://github.com/Anuken/Mindustry/issues/8752", "show")</f>
        <v>show</v>
      </c>
      <c r="G10203" t="str">
        <f>HYPERLINK("https://github.com/Anuken/Mindustry", "show")</f>
        <v>show</v>
      </c>
      <c r="H10203" t="str">
        <f>HYPERLINK("https://github.com/Anuken/Mindustry/releases", "show")</f>
        <v>show</v>
      </c>
      <c r="I10203">
        <v>0</v>
      </c>
      <c r="J10203">
        <v>0</v>
      </c>
      <c r="K10203">
        <v>0</v>
      </c>
      <c r="L10203">
        <v>0</v>
      </c>
      <c r="M10203" t="s">
        <v>43</v>
      </c>
    </row>
    <row r="10204" spans="1:13" hidden="1" x14ac:dyDescent="0.15">
      <c r="A10204" t="s">
        <v>32161</v>
      </c>
      <c r="B10204" t="s">
        <v>32162</v>
      </c>
      <c r="C10204" t="s">
        <v>32163</v>
      </c>
      <c r="D10204" t="s">
        <v>32160</v>
      </c>
      <c r="E10204">
        <v>14</v>
      </c>
      <c r="F10204" t="str">
        <f>HYPERLINK("https://github.com/jellyfin/jellyfin-androidtv/issues/2854", "show")</f>
        <v>show</v>
      </c>
      <c r="G10204" t="str">
        <f>HYPERLINK("https://github.com/jellyfin/jellyfin-androidtv", "show")</f>
        <v>show</v>
      </c>
      <c r="H10204" t="str">
        <f>HYPERLINK("https://github.com/jellyfin/jellyfin-androidtv/releases", "show")</f>
        <v>show</v>
      </c>
      <c r="I10204">
        <v>1</v>
      </c>
      <c r="J10204">
        <v>0</v>
      </c>
      <c r="K10204">
        <v>1</v>
      </c>
      <c r="L10204">
        <v>0</v>
      </c>
      <c r="M10204" t="s">
        <v>64</v>
      </c>
    </row>
    <row r="10205" spans="1:13" hidden="1" x14ac:dyDescent="0.15">
      <c r="A10205" t="s">
        <v>32164</v>
      </c>
      <c r="B10205" t="s">
        <v>32165</v>
      </c>
      <c r="C10205" t="s">
        <v>32166</v>
      </c>
      <c r="D10205" t="s">
        <v>32160</v>
      </c>
      <c r="E10205">
        <v>0</v>
      </c>
      <c r="F10205" t="str">
        <f>HYPERLINK("https://github.com/Anuken/Mindustry/issues/8750", "show")</f>
        <v>show</v>
      </c>
      <c r="G10205" t="str">
        <f>HYPERLINK("https://github.com/Anuken/Mindustry", "show")</f>
        <v>show</v>
      </c>
      <c r="H10205" t="str">
        <f>HYPERLINK("https://github.com/Anuken/Mindustry/releases", "show")</f>
        <v>show</v>
      </c>
      <c r="I10205">
        <v>0</v>
      </c>
      <c r="J10205">
        <v>0</v>
      </c>
      <c r="K10205">
        <v>0</v>
      </c>
      <c r="L10205">
        <v>0</v>
      </c>
      <c r="M10205" t="s">
        <v>43</v>
      </c>
    </row>
    <row r="10206" spans="1:13" hidden="1" x14ac:dyDescent="0.15">
      <c r="A10206" t="s">
        <v>32167</v>
      </c>
      <c r="B10206" t="s">
        <v>32168</v>
      </c>
      <c r="C10206" t="s">
        <v>32169</v>
      </c>
      <c r="D10206" t="s">
        <v>32170</v>
      </c>
      <c r="E10206">
        <v>1</v>
      </c>
      <c r="F10206" t="str">
        <f>HYPERLINK("https://github.com/AndroidIDEOfficial/AndroidIDE/issues/1057", "show")</f>
        <v>show</v>
      </c>
      <c r="G10206" t="str">
        <f>HYPERLINK("https://github.com/AndroidIDEOfficial/AndroidIDE", "show")</f>
        <v>show</v>
      </c>
      <c r="H10206" t="str">
        <f>HYPERLINK("https://github.com/AndroidIDEOfficial/AndroidIDE/releases", "show")</f>
        <v>show</v>
      </c>
      <c r="I10206">
        <v>0</v>
      </c>
      <c r="J10206">
        <v>0</v>
      </c>
      <c r="K10206">
        <v>1</v>
      </c>
      <c r="L10206">
        <v>0</v>
      </c>
      <c r="M10206" t="s">
        <v>122</v>
      </c>
    </row>
    <row r="10207" spans="1:13" hidden="1" x14ac:dyDescent="0.15">
      <c r="A10207" t="s">
        <v>32171</v>
      </c>
      <c r="B10207" t="s">
        <v>32172</v>
      </c>
      <c r="C10207" t="s">
        <v>32173</v>
      </c>
      <c r="D10207" t="s">
        <v>32170</v>
      </c>
      <c r="E10207">
        <v>4</v>
      </c>
      <c r="F10207" t="str">
        <f>HYPERLINK("https://github.com/CappielloAntonio/tempo/issues/2", "show")</f>
        <v>show</v>
      </c>
      <c r="G10207" t="str">
        <f>HYPERLINK("https://github.com/CappielloAntonio/tempo", "show")</f>
        <v>show</v>
      </c>
      <c r="H10207" t="str">
        <f>HYPERLINK("https://github.com/CappielloAntonio/tempo/releases", "show")</f>
        <v>show</v>
      </c>
      <c r="I10207">
        <v>1</v>
      </c>
      <c r="J10207">
        <v>0</v>
      </c>
      <c r="K10207">
        <v>0</v>
      </c>
      <c r="L10207">
        <v>0</v>
      </c>
      <c r="M10207" t="s">
        <v>17</v>
      </c>
    </row>
    <row r="10208" spans="1:13" hidden="1" x14ac:dyDescent="0.15">
      <c r="A10208" t="s">
        <v>32174</v>
      </c>
      <c r="B10208" t="s">
        <v>32175</v>
      </c>
      <c r="C10208" t="s">
        <v>32176</v>
      </c>
      <c r="D10208" t="s">
        <v>32177</v>
      </c>
      <c r="E10208">
        <v>0</v>
      </c>
      <c r="F10208" t="str">
        <f>HYPERLINK("https://github.com/Anuken/Mindustry/issues/8745", "show")</f>
        <v>show</v>
      </c>
      <c r="G10208" t="str">
        <f>HYPERLINK("https://github.com/Anuken/Mindustry", "show")</f>
        <v>show</v>
      </c>
      <c r="H10208" t="str">
        <f>HYPERLINK("https://github.com/Anuken/Mindustry/releases", "show")</f>
        <v>show</v>
      </c>
      <c r="I10208">
        <v>1</v>
      </c>
      <c r="J10208">
        <v>1</v>
      </c>
      <c r="K10208">
        <v>0</v>
      </c>
      <c r="L10208">
        <v>0</v>
      </c>
      <c r="M10208" t="s">
        <v>48</v>
      </c>
    </row>
    <row r="10209" spans="1:13" hidden="1" x14ac:dyDescent="0.15">
      <c r="A10209" t="s">
        <v>32178</v>
      </c>
      <c r="B10209" t="s">
        <v>18193</v>
      </c>
      <c r="C10209" t="s">
        <v>32179</v>
      </c>
      <c r="D10209" t="s">
        <v>32177</v>
      </c>
      <c r="E10209">
        <v>0</v>
      </c>
      <c r="F10209" t="str">
        <f>HYPERLINK("https://github.com/Anuken/Mindustry/issues/8741", "show")</f>
        <v>show</v>
      </c>
      <c r="G10209" t="str">
        <f>HYPERLINK("https://github.com/Anuken/Mindustry", "show")</f>
        <v>show</v>
      </c>
      <c r="H10209" t="str">
        <f>HYPERLINK("https://github.com/Anuken/Mindustry/releases", "show")</f>
        <v>show</v>
      </c>
      <c r="I10209">
        <v>0</v>
      </c>
      <c r="J10209">
        <v>0</v>
      </c>
      <c r="K10209">
        <v>1</v>
      </c>
      <c r="L10209">
        <v>0</v>
      </c>
      <c r="M10209" t="s">
        <v>122</v>
      </c>
    </row>
    <row r="10210" spans="1:13" x14ac:dyDescent="0.15">
      <c r="A10210" t="s">
        <v>32180</v>
      </c>
      <c r="B10210" t="s">
        <v>32181</v>
      </c>
      <c r="C10210" t="s">
        <v>32182</v>
      </c>
      <c r="D10210" t="s">
        <v>32183</v>
      </c>
      <c r="E10210">
        <v>0</v>
      </c>
      <c r="F10210" t="str">
        <f>HYPERLINK("https://github.com/Anuken/Mindustry/issues/8737", "show")</f>
        <v>show</v>
      </c>
      <c r="G10210" t="str">
        <f>HYPERLINK("https://github.com/Anuken/Mindustry", "show")</f>
        <v>show</v>
      </c>
      <c r="H10210" t="str">
        <f>HYPERLINK("https://github.com/Anuken/Mindustry/releases", "show")</f>
        <v>show</v>
      </c>
      <c r="I10210">
        <v>0</v>
      </c>
      <c r="J10210">
        <v>1</v>
      </c>
      <c r="K10210">
        <v>0</v>
      </c>
      <c r="L10210">
        <v>0</v>
      </c>
      <c r="M10210" t="s">
        <v>139</v>
      </c>
    </row>
    <row r="10211" spans="1:13" hidden="1" x14ac:dyDescent="0.15">
      <c r="A10211" t="s">
        <v>32184</v>
      </c>
      <c r="B10211" t="s">
        <v>32185</v>
      </c>
      <c r="C10211" t="s">
        <v>32186</v>
      </c>
      <c r="D10211" t="s">
        <v>32187</v>
      </c>
      <c r="E10211">
        <v>0</v>
      </c>
      <c r="F10211" t="str">
        <f>HYPERLINK("https://github.com/jellyfin/jellyfin-androidtv/issues/2848", "show")</f>
        <v>show</v>
      </c>
      <c r="G10211" t="str">
        <f>HYPERLINK("https://github.com/jellyfin/jellyfin-androidtv", "show")</f>
        <v>show</v>
      </c>
      <c r="H10211" t="str">
        <f>HYPERLINK("https://github.com/jellyfin/jellyfin-androidtv/releases", "show")</f>
        <v>show</v>
      </c>
      <c r="I10211">
        <v>1</v>
      </c>
      <c r="J10211">
        <v>1</v>
      </c>
      <c r="K10211">
        <v>0</v>
      </c>
      <c r="L10211">
        <v>0</v>
      </c>
      <c r="M10211" t="s">
        <v>48</v>
      </c>
    </row>
    <row r="10212" spans="1:13" x14ac:dyDescent="0.15">
      <c r="A10212" t="s">
        <v>32188</v>
      </c>
      <c r="B10212" t="s">
        <v>32189</v>
      </c>
      <c r="C10212" t="s">
        <v>32190</v>
      </c>
      <c r="D10212" t="s">
        <v>32187</v>
      </c>
      <c r="E10212">
        <v>7</v>
      </c>
      <c r="F10212" t="str">
        <f>HYPERLINK("https://github.com/BranchMetrics/capacitor-branch-deep-links/issues/111", "show")</f>
        <v>show</v>
      </c>
      <c r="G10212" t="str">
        <f>HYPERLINK("https://github.com/BranchMetrics/capacitor-branch-deep-links", "show")</f>
        <v>show</v>
      </c>
      <c r="H10212" t="str">
        <f>HYPERLINK("https://github.com/BranchMetrics/capacitor-branch-deep-links/releases", "show")</f>
        <v>show</v>
      </c>
      <c r="I10212">
        <v>0</v>
      </c>
      <c r="J10212">
        <v>1</v>
      </c>
      <c r="K10212">
        <v>0</v>
      </c>
      <c r="L10212">
        <v>0</v>
      </c>
      <c r="M10212" t="s">
        <v>139</v>
      </c>
    </row>
    <row r="10213" spans="1:13" hidden="1" x14ac:dyDescent="0.15">
      <c r="A10213" t="s">
        <v>32191</v>
      </c>
      <c r="B10213" t="s">
        <v>32192</v>
      </c>
      <c r="C10213" t="s">
        <v>32193</v>
      </c>
      <c r="D10213" t="s">
        <v>32187</v>
      </c>
      <c r="E10213">
        <v>0</v>
      </c>
      <c r="F10213" t="str">
        <f>HYPERLINK("https://github.com/MuntashirAkon/AppManager/issues/1105", "show")</f>
        <v>show</v>
      </c>
      <c r="G10213" t="str">
        <f>HYPERLINK("https://github.com/MuntashirAkon/AppManager", "show")</f>
        <v>show</v>
      </c>
      <c r="H10213" t="str">
        <f>HYPERLINK("https://github.com/MuntashirAkon/AppManager/releases", "show")</f>
        <v>show</v>
      </c>
      <c r="I10213">
        <v>1</v>
      </c>
      <c r="J10213">
        <v>0</v>
      </c>
      <c r="K10213">
        <v>1</v>
      </c>
      <c r="L10213">
        <v>0</v>
      </c>
      <c r="M10213" t="s">
        <v>64</v>
      </c>
    </row>
    <row r="10214" spans="1:13" hidden="1" x14ac:dyDescent="0.15">
      <c r="A10214" t="s">
        <v>32194</v>
      </c>
      <c r="B10214" t="s">
        <v>14589</v>
      </c>
      <c r="C10214" t="s">
        <v>32195</v>
      </c>
      <c r="D10214" t="s">
        <v>32187</v>
      </c>
      <c r="E10214">
        <v>2</v>
      </c>
      <c r="F10214" t="str">
        <f>HYPERLINK("https://github.com/MuntashirAkon/AppManager/issues/1106", "show")</f>
        <v>show</v>
      </c>
      <c r="G10214" t="str">
        <f>HYPERLINK("https://github.com/MuntashirAkon/AppManager", "show")</f>
        <v>show</v>
      </c>
      <c r="H10214" t="str">
        <f>HYPERLINK("https://github.com/MuntashirAkon/AppManager/releases", "show")</f>
        <v>show</v>
      </c>
      <c r="I10214">
        <v>0</v>
      </c>
      <c r="J10214">
        <v>0</v>
      </c>
      <c r="K10214">
        <v>1</v>
      </c>
      <c r="L10214">
        <v>0</v>
      </c>
      <c r="M10214" t="s">
        <v>122</v>
      </c>
    </row>
    <row r="10215" spans="1:13" hidden="1" x14ac:dyDescent="0.15">
      <c r="A10215" t="s">
        <v>32196</v>
      </c>
      <c r="B10215" t="s">
        <v>32197</v>
      </c>
      <c r="C10215" t="s">
        <v>32198</v>
      </c>
      <c r="D10215" t="s">
        <v>32199</v>
      </c>
      <c r="E10215">
        <v>0</v>
      </c>
      <c r="F10215" t="str">
        <f>HYPERLINK("https://github.com/Anuken/Mindustry/issues/8729", "show")</f>
        <v>show</v>
      </c>
      <c r="G10215" t="str">
        <f>HYPERLINK("https://github.com/Anuken/Mindustry", "show")</f>
        <v>show</v>
      </c>
      <c r="H10215" t="str">
        <f>HYPERLINK("https://github.com/Anuken/Mindustry/releases", "show")</f>
        <v>show</v>
      </c>
      <c r="I10215">
        <v>1</v>
      </c>
      <c r="J10215">
        <v>0</v>
      </c>
      <c r="K10215">
        <v>0</v>
      </c>
      <c r="L10215">
        <v>0</v>
      </c>
      <c r="M10215" t="s">
        <v>17</v>
      </c>
    </row>
    <row r="10216" spans="1:13" hidden="1" x14ac:dyDescent="0.15">
      <c r="A10216" t="s">
        <v>32200</v>
      </c>
      <c r="B10216" t="s">
        <v>32201</v>
      </c>
      <c r="C10216" t="s">
        <v>32202</v>
      </c>
      <c r="D10216" t="s">
        <v>32199</v>
      </c>
      <c r="E10216">
        <v>79</v>
      </c>
      <c r="F10216" t="str">
        <f>HYPERLINK("https://github.com/AndroidIDEOfficial/AndroidIDE/issues/1050", "show")</f>
        <v>show</v>
      </c>
      <c r="G10216" t="str">
        <f>HYPERLINK("https://github.com/AndroidIDEOfficial/AndroidIDE", "show")</f>
        <v>show</v>
      </c>
      <c r="H10216" t="str">
        <f>HYPERLINK("https://github.com/AndroidIDEOfficial/AndroidIDE/releases", "show")</f>
        <v>show</v>
      </c>
      <c r="I10216">
        <v>0</v>
      </c>
      <c r="J10216">
        <v>0</v>
      </c>
      <c r="K10216">
        <v>1</v>
      </c>
      <c r="L10216">
        <v>0</v>
      </c>
      <c r="M10216" t="s">
        <v>122</v>
      </c>
    </row>
    <row r="10217" spans="1:13" hidden="1" x14ac:dyDescent="0.15">
      <c r="A10217" t="s">
        <v>32203</v>
      </c>
      <c r="B10217" t="s">
        <v>31484</v>
      </c>
      <c r="C10217" t="s">
        <v>32204</v>
      </c>
      <c r="D10217" t="s">
        <v>32205</v>
      </c>
      <c r="E10217">
        <v>1</v>
      </c>
      <c r="F10217" t="str">
        <f>HYPERLINK("https://github.com/AndroidIDEOfficial/AndroidIDE/issues/1049", "show")</f>
        <v>show</v>
      </c>
      <c r="G10217" t="str">
        <f>HYPERLINK("https://github.com/AndroidIDEOfficial/AndroidIDE", "show")</f>
        <v>show</v>
      </c>
      <c r="H10217" t="str">
        <f>HYPERLINK("https://github.com/AndroidIDEOfficial/AndroidIDE/releases", "show")</f>
        <v>show</v>
      </c>
      <c r="I10217">
        <v>0</v>
      </c>
      <c r="J10217">
        <v>0</v>
      </c>
      <c r="K10217">
        <v>1</v>
      </c>
      <c r="L10217">
        <v>0</v>
      </c>
      <c r="M10217" t="s">
        <v>122</v>
      </c>
    </row>
    <row r="10218" spans="1:13" hidden="1" x14ac:dyDescent="0.15">
      <c r="A10218" t="s">
        <v>32206</v>
      </c>
      <c r="B10218" t="s">
        <v>32207</v>
      </c>
      <c r="C10218" t="s">
        <v>32208</v>
      </c>
      <c r="D10218" t="s">
        <v>32205</v>
      </c>
      <c r="E10218">
        <v>35</v>
      </c>
      <c r="F10218" t="str">
        <f>HYPERLINK("https://github.com/OpenSeizureDetector/Android_Pebble_SD/issues/106", "show")</f>
        <v>show</v>
      </c>
      <c r="G10218" t="str">
        <f>HYPERLINK("https://github.com/OpenSeizureDetector/Android_Pebble_SD", "show")</f>
        <v>show</v>
      </c>
      <c r="H10218" t="str">
        <f>HYPERLINK("https://github.com/OpenSeizureDetector/Android_Pebble_SD/releases", "show")</f>
        <v>show</v>
      </c>
      <c r="I10218">
        <v>1</v>
      </c>
      <c r="J10218">
        <v>0</v>
      </c>
      <c r="K10218">
        <v>1</v>
      </c>
      <c r="L10218">
        <v>0</v>
      </c>
      <c r="M10218" t="s">
        <v>64</v>
      </c>
    </row>
    <row r="10219" spans="1:13" hidden="1" x14ac:dyDescent="0.15">
      <c r="A10219" t="s">
        <v>32209</v>
      </c>
      <c r="B10219" t="s">
        <v>32210</v>
      </c>
      <c r="C10219" t="s">
        <v>32211</v>
      </c>
      <c r="D10219" t="s">
        <v>32205</v>
      </c>
      <c r="E10219">
        <v>99</v>
      </c>
      <c r="F10219" t="str">
        <f>HYPERLINK("https://github.com/commons-app/apps-android-commons/issues/5240", "show")</f>
        <v>show</v>
      </c>
      <c r="G10219" t="str">
        <f>HYPERLINK("https://github.com/commons-app/apps-android-commons", "show")</f>
        <v>show</v>
      </c>
      <c r="H10219" t="str">
        <f>HYPERLINK("https://github.com/commons-app/apps-android-commons/releases", "show")</f>
        <v>show</v>
      </c>
      <c r="I10219">
        <v>1</v>
      </c>
      <c r="J10219">
        <v>0</v>
      </c>
      <c r="K10219">
        <v>1</v>
      </c>
      <c r="L10219">
        <v>0</v>
      </c>
      <c r="M10219" t="s">
        <v>64</v>
      </c>
    </row>
    <row r="10220" spans="1:13" hidden="1" x14ac:dyDescent="0.15">
      <c r="A10220" t="s">
        <v>32212</v>
      </c>
      <c r="B10220" t="s">
        <v>32213</v>
      </c>
      <c r="C10220" t="s">
        <v>32214</v>
      </c>
      <c r="D10220" t="s">
        <v>32205</v>
      </c>
      <c r="E10220">
        <v>16</v>
      </c>
      <c r="F10220" t="str">
        <f>HYPERLINK("https://github.com/microg/GmsCore/issues/1962", "show")</f>
        <v>show</v>
      </c>
      <c r="G10220" t="str">
        <f>HYPERLINK("https://github.com/microg/GmsCore", "show")</f>
        <v>show</v>
      </c>
      <c r="H10220" t="str">
        <f>HYPERLINK("https://github.com/microg/GmsCore/releases", "show")</f>
        <v>show</v>
      </c>
      <c r="I10220">
        <v>1</v>
      </c>
      <c r="J10220">
        <v>1</v>
      </c>
      <c r="K10220">
        <v>0</v>
      </c>
      <c r="L10220">
        <v>0</v>
      </c>
      <c r="M10220" t="s">
        <v>48</v>
      </c>
    </row>
    <row r="10221" spans="1:13" hidden="1" x14ac:dyDescent="0.15">
      <c r="A10221" t="s">
        <v>32215</v>
      </c>
      <c r="B10221" t="s">
        <v>32216</v>
      </c>
      <c r="C10221" t="s">
        <v>32217</v>
      </c>
      <c r="D10221" t="s">
        <v>32205</v>
      </c>
      <c r="E10221">
        <v>43</v>
      </c>
      <c r="F10221" t="str">
        <f>HYPERLINK("https://github.com/TeamNewPipe/NewPipe/issues/10174", "show")</f>
        <v>show</v>
      </c>
      <c r="G10221" t="str">
        <f>HYPERLINK("https://github.com/TeamNewPipe/NewPipe", "show")</f>
        <v>show</v>
      </c>
      <c r="H10221" t="str">
        <f>HYPERLINK("https://github.com/TeamNewPipe/NewPipe/releases", "show")</f>
        <v>show</v>
      </c>
      <c r="I10221">
        <v>0</v>
      </c>
      <c r="J10221">
        <v>0</v>
      </c>
      <c r="K10221">
        <v>1</v>
      </c>
      <c r="L10221">
        <v>0</v>
      </c>
      <c r="M10221" t="s">
        <v>122</v>
      </c>
    </row>
    <row r="10222" spans="1:13" hidden="1" x14ac:dyDescent="0.15">
      <c r="A10222" t="s">
        <v>32218</v>
      </c>
      <c r="B10222" t="s">
        <v>32219</v>
      </c>
      <c r="C10222" t="s">
        <v>32220</v>
      </c>
      <c r="D10222" t="s">
        <v>32205</v>
      </c>
      <c r="E10222">
        <v>0</v>
      </c>
      <c r="F10222" t="str">
        <f>HYPERLINK("https://github.com/Anuken/Mindustry/issues/8721", "show")</f>
        <v>show</v>
      </c>
      <c r="G10222" t="str">
        <f>HYPERLINK("https://github.com/Anuken/Mindustry", "show")</f>
        <v>show</v>
      </c>
      <c r="H10222" t="str">
        <f>HYPERLINK("https://github.com/Anuken/Mindustry/releases", "show")</f>
        <v>show</v>
      </c>
      <c r="I10222">
        <v>0</v>
      </c>
      <c r="J10222">
        <v>0</v>
      </c>
      <c r="K10222">
        <v>0</v>
      </c>
      <c r="L10222">
        <v>0</v>
      </c>
      <c r="M10222" t="s">
        <v>43</v>
      </c>
    </row>
    <row r="10223" spans="1:13" hidden="1" x14ac:dyDescent="0.15">
      <c r="A10223" t="s">
        <v>32221</v>
      </c>
      <c r="B10223" t="s">
        <v>32222</v>
      </c>
      <c r="C10223" t="s">
        <v>32223</v>
      </c>
      <c r="D10223" t="s">
        <v>32205</v>
      </c>
      <c r="E10223">
        <v>0</v>
      </c>
      <c r="F10223" t="str">
        <f>HYPERLINK("https://github.com/Anuken/Mindustry/issues/8718", "show")</f>
        <v>show</v>
      </c>
      <c r="G10223" t="str">
        <f>HYPERLINK("https://github.com/Anuken/Mindustry", "show")</f>
        <v>show</v>
      </c>
      <c r="H10223" t="str">
        <f>HYPERLINK("https://github.com/Anuken/Mindustry/releases", "show")</f>
        <v>show</v>
      </c>
      <c r="I10223">
        <v>1</v>
      </c>
      <c r="J10223">
        <v>0</v>
      </c>
      <c r="K10223">
        <v>0</v>
      </c>
      <c r="L10223">
        <v>0</v>
      </c>
      <c r="M10223" t="s">
        <v>17</v>
      </c>
    </row>
    <row r="10224" spans="1:13" hidden="1" x14ac:dyDescent="0.15">
      <c r="A10224" t="s">
        <v>32224</v>
      </c>
      <c r="B10224" t="s">
        <v>32225</v>
      </c>
      <c r="C10224" t="s">
        <v>32226</v>
      </c>
      <c r="D10224" t="s">
        <v>32205</v>
      </c>
      <c r="E10224">
        <v>0</v>
      </c>
      <c r="F10224" t="str">
        <f>HYPERLINK("https://github.com/Anuken/Mindustry/issues/8717", "show")</f>
        <v>show</v>
      </c>
      <c r="G10224" t="str">
        <f>HYPERLINK("https://github.com/Anuken/Mindustry", "show")</f>
        <v>show</v>
      </c>
      <c r="H10224" t="str">
        <f>HYPERLINK("https://github.com/Anuken/Mindustry/releases", "show")</f>
        <v>show</v>
      </c>
      <c r="I10224">
        <v>0</v>
      </c>
      <c r="J10224">
        <v>1</v>
      </c>
      <c r="K10224">
        <v>1</v>
      </c>
      <c r="L10224">
        <v>0</v>
      </c>
      <c r="M10224" t="s">
        <v>699</v>
      </c>
    </row>
    <row r="10225" spans="1:13" hidden="1" x14ac:dyDescent="0.15">
      <c r="A10225" t="s">
        <v>32227</v>
      </c>
      <c r="B10225" t="s">
        <v>32228</v>
      </c>
      <c r="C10225" t="s">
        <v>32229</v>
      </c>
      <c r="D10225" t="s">
        <v>32230</v>
      </c>
      <c r="E10225">
        <v>1</v>
      </c>
      <c r="F10225" t="str">
        <f>HYPERLINK("https://github.com/AndroidIDEOfficial/AndroidIDE/issues/1048", "show")</f>
        <v>show</v>
      </c>
      <c r="G10225" t="str">
        <f>HYPERLINK("https://github.com/AndroidIDEOfficial/AndroidIDE", "show")</f>
        <v>show</v>
      </c>
      <c r="H10225" t="str">
        <f>HYPERLINK("https://github.com/AndroidIDEOfficial/AndroidIDE/releases", "show")</f>
        <v>show</v>
      </c>
      <c r="I10225">
        <v>0</v>
      </c>
      <c r="J10225">
        <v>0</v>
      </c>
      <c r="K10225">
        <v>1</v>
      </c>
      <c r="L10225">
        <v>0</v>
      </c>
      <c r="M10225" t="s">
        <v>122</v>
      </c>
    </row>
    <row r="10226" spans="1:13" hidden="1" x14ac:dyDescent="0.15">
      <c r="A10226" t="s">
        <v>32231</v>
      </c>
      <c r="B10226" t="s">
        <v>32232</v>
      </c>
      <c r="C10226" t="s">
        <v>32233</v>
      </c>
      <c r="D10226" t="s">
        <v>32234</v>
      </c>
      <c r="E10226">
        <v>1</v>
      </c>
      <c r="F10226" t="str">
        <f>HYPERLINK("https://github.com/otpless-tech/otpless-android-sdk/issues/35", "show")</f>
        <v>show</v>
      </c>
      <c r="G10226" t="str">
        <f>HYPERLINK("https://github.com/otpless-tech/otpless-android-sdk", "show")</f>
        <v>show</v>
      </c>
      <c r="H10226" t="str">
        <f>HYPERLINK("https://github.com/otpless-tech/otpless-android-sdk/releases", "show")</f>
        <v>show</v>
      </c>
      <c r="I10226">
        <v>0</v>
      </c>
      <c r="J10226">
        <v>0</v>
      </c>
      <c r="K10226">
        <v>0</v>
      </c>
      <c r="L10226">
        <v>0</v>
      </c>
      <c r="M10226" t="s">
        <v>43</v>
      </c>
    </row>
    <row r="10227" spans="1:13" hidden="1" x14ac:dyDescent="0.15">
      <c r="A10227" t="s">
        <v>32235</v>
      </c>
      <c r="B10227" t="s">
        <v>32236</v>
      </c>
      <c r="C10227" t="s">
        <v>32237</v>
      </c>
      <c r="D10227" t="s">
        <v>32234</v>
      </c>
      <c r="E10227">
        <v>1</v>
      </c>
      <c r="F10227" t="str">
        <f>HYPERLINK("https://github.com/OpenSeizureDetector/Android_Pebble_SD/issues/102", "show")</f>
        <v>show</v>
      </c>
      <c r="G10227" t="str">
        <f>HYPERLINK("https://github.com/OpenSeizureDetector/Android_Pebble_SD", "show")</f>
        <v>show</v>
      </c>
      <c r="H10227" t="str">
        <f>HYPERLINK("https://github.com/OpenSeizureDetector/Android_Pebble_SD/releases", "show")</f>
        <v>show</v>
      </c>
      <c r="I10227">
        <v>0</v>
      </c>
      <c r="J10227">
        <v>0</v>
      </c>
      <c r="K10227">
        <v>1</v>
      </c>
      <c r="L10227">
        <v>0</v>
      </c>
      <c r="M10227" t="s">
        <v>122</v>
      </c>
    </row>
    <row r="10228" spans="1:13" hidden="1" x14ac:dyDescent="0.15">
      <c r="A10228" t="s">
        <v>32238</v>
      </c>
      <c r="B10228" t="s">
        <v>32239</v>
      </c>
      <c r="C10228" t="s">
        <v>32240</v>
      </c>
      <c r="D10228" t="s">
        <v>32234</v>
      </c>
      <c r="E10228">
        <v>14</v>
      </c>
      <c r="F10228" t="str">
        <f>HYPERLINK("https://github.com/deltazefiro/Amarok-Hider/issues/70", "show")</f>
        <v>show</v>
      </c>
      <c r="G10228" t="str">
        <f>HYPERLINK("https://github.com/deltazefiro/Amarok-Hider", "show")</f>
        <v>show</v>
      </c>
      <c r="H10228" t="str">
        <f>HYPERLINK("https://github.com/deltazefiro/Amarok-Hider/releases", "show")</f>
        <v>show</v>
      </c>
      <c r="I10228">
        <v>1</v>
      </c>
      <c r="J10228">
        <v>1</v>
      </c>
      <c r="K10228">
        <v>1</v>
      </c>
      <c r="L10228">
        <v>0</v>
      </c>
      <c r="M10228" t="s">
        <v>59</v>
      </c>
    </row>
    <row r="10229" spans="1:13" hidden="1" x14ac:dyDescent="0.15">
      <c r="A10229" t="s">
        <v>32241</v>
      </c>
      <c r="B10229" t="s">
        <v>32242</v>
      </c>
      <c r="C10229" t="s">
        <v>32243</v>
      </c>
      <c r="D10229" t="s">
        <v>32244</v>
      </c>
      <c r="E10229">
        <v>83</v>
      </c>
      <c r="F10229" t="str">
        <f>HYPERLINK("https://github.com/MuntashirAkon/AppManager/issues/1097", "show")</f>
        <v>show</v>
      </c>
      <c r="G10229" t="str">
        <f>HYPERLINK("https://github.com/MuntashirAkon/AppManager", "show")</f>
        <v>show</v>
      </c>
      <c r="H10229" t="str">
        <f>HYPERLINK("https://github.com/MuntashirAkon/AppManager/releases", "show")</f>
        <v>show</v>
      </c>
      <c r="I10229">
        <v>1</v>
      </c>
      <c r="J10229">
        <v>1</v>
      </c>
      <c r="K10229">
        <v>1</v>
      </c>
      <c r="L10229">
        <v>0</v>
      </c>
      <c r="M10229" t="s">
        <v>59</v>
      </c>
    </row>
    <row r="10230" spans="1:13" hidden="1" x14ac:dyDescent="0.15">
      <c r="A10230" t="s">
        <v>32245</v>
      </c>
      <c r="B10230" t="s">
        <v>32246</v>
      </c>
      <c r="C10230" t="s">
        <v>32247</v>
      </c>
      <c r="D10230" t="s">
        <v>32244</v>
      </c>
      <c r="E10230">
        <v>19</v>
      </c>
      <c r="F10230" t="str">
        <f>HYPERLINK("https://github.com/nextcloud/android/issues/11740", "show")</f>
        <v>show</v>
      </c>
      <c r="G10230" t="str">
        <f>HYPERLINK("https://github.com/nextcloud/android", "show")</f>
        <v>show</v>
      </c>
      <c r="H10230" t="str">
        <f>HYPERLINK("https://github.com/nextcloud/android/releases", "show")</f>
        <v>show</v>
      </c>
      <c r="I10230">
        <v>0</v>
      </c>
      <c r="J10230">
        <v>0</v>
      </c>
      <c r="K10230">
        <v>1</v>
      </c>
      <c r="L10230">
        <v>0</v>
      </c>
      <c r="M10230" t="s">
        <v>122</v>
      </c>
    </row>
    <row r="10231" spans="1:13" hidden="1" x14ac:dyDescent="0.15">
      <c r="A10231" t="s">
        <v>32248</v>
      </c>
      <c r="B10231" t="s">
        <v>32249</v>
      </c>
      <c r="C10231" t="s">
        <v>32250</v>
      </c>
      <c r="D10231" t="s">
        <v>32244</v>
      </c>
      <c r="E10231">
        <v>6</v>
      </c>
      <c r="F10231" t="str">
        <f>HYPERLINK("https://github.com/jellyfin/jellyfin-androidtv/issues/2843", "show")</f>
        <v>show</v>
      </c>
      <c r="G10231" t="str">
        <f>HYPERLINK("https://github.com/jellyfin/jellyfin-androidtv", "show")</f>
        <v>show</v>
      </c>
      <c r="H10231" t="str">
        <f>HYPERLINK("https://github.com/jellyfin/jellyfin-androidtv/releases", "show")</f>
        <v>show</v>
      </c>
      <c r="I10231">
        <v>1</v>
      </c>
      <c r="J10231">
        <v>0</v>
      </c>
      <c r="K10231">
        <v>1</v>
      </c>
      <c r="L10231">
        <v>0</v>
      </c>
      <c r="M10231" t="s">
        <v>64</v>
      </c>
    </row>
    <row r="10232" spans="1:13" hidden="1" x14ac:dyDescent="0.15">
      <c r="A10232" t="s">
        <v>32251</v>
      </c>
      <c r="B10232" t="s">
        <v>31484</v>
      </c>
      <c r="C10232" t="s">
        <v>32252</v>
      </c>
      <c r="D10232" t="s">
        <v>32244</v>
      </c>
      <c r="E10232">
        <v>0</v>
      </c>
      <c r="F10232" t="str">
        <f>HYPERLINK("https://github.com/AndroidIDEOfficial/AndroidIDE/issues/1042", "show")</f>
        <v>show</v>
      </c>
      <c r="G10232" t="str">
        <f>HYPERLINK("https://github.com/AndroidIDEOfficial/AndroidIDE", "show")</f>
        <v>show</v>
      </c>
      <c r="H10232" t="str">
        <f>HYPERLINK("https://github.com/AndroidIDEOfficial/AndroidIDE/releases", "show")</f>
        <v>show</v>
      </c>
      <c r="I10232">
        <v>0</v>
      </c>
      <c r="J10232">
        <v>0</v>
      </c>
      <c r="K10232">
        <v>1</v>
      </c>
      <c r="L10232">
        <v>0</v>
      </c>
      <c r="M10232" t="s">
        <v>122</v>
      </c>
    </row>
    <row r="10233" spans="1:13" hidden="1" x14ac:dyDescent="0.15">
      <c r="A10233" t="s">
        <v>32253</v>
      </c>
      <c r="B10233" t="s">
        <v>32168</v>
      </c>
      <c r="C10233" t="s">
        <v>32254</v>
      </c>
      <c r="D10233" t="s">
        <v>32255</v>
      </c>
      <c r="E10233">
        <v>1</v>
      </c>
      <c r="F10233" t="str">
        <f>HYPERLINK("https://github.com/AndroidIDEOfficial/AndroidIDE/issues/1040", "show")</f>
        <v>show</v>
      </c>
      <c r="G10233" t="str">
        <f>HYPERLINK("https://github.com/AndroidIDEOfficial/AndroidIDE", "show")</f>
        <v>show</v>
      </c>
      <c r="H10233" t="str">
        <f>HYPERLINK("https://github.com/AndroidIDEOfficial/AndroidIDE/releases", "show")</f>
        <v>show</v>
      </c>
      <c r="I10233">
        <v>0</v>
      </c>
      <c r="J10233">
        <v>0</v>
      </c>
      <c r="K10233">
        <v>1</v>
      </c>
      <c r="L10233">
        <v>0</v>
      </c>
      <c r="M10233" t="s">
        <v>122</v>
      </c>
    </row>
    <row r="10234" spans="1:13" hidden="1" x14ac:dyDescent="0.15">
      <c r="A10234" t="s">
        <v>32256</v>
      </c>
      <c r="B10234" t="s">
        <v>32257</v>
      </c>
      <c r="C10234" t="s">
        <v>32258</v>
      </c>
      <c r="D10234" t="s">
        <v>32255</v>
      </c>
      <c r="E10234">
        <v>0</v>
      </c>
      <c r="F10234" t="str">
        <f>HYPERLINK("https://github.com/androidx/media/issues/462", "show")</f>
        <v>show</v>
      </c>
      <c r="G10234" t="str">
        <f>HYPERLINK("https://github.com/androidx/media", "show")</f>
        <v>show</v>
      </c>
      <c r="H10234" t="str">
        <f>HYPERLINK("https://github.com/androidx/media/releases", "show")</f>
        <v>show</v>
      </c>
      <c r="I10234">
        <v>0</v>
      </c>
      <c r="J10234">
        <v>0</v>
      </c>
      <c r="K10234">
        <v>1</v>
      </c>
      <c r="L10234">
        <v>1</v>
      </c>
      <c r="M10234" t="s">
        <v>351</v>
      </c>
    </row>
    <row r="10235" spans="1:13" hidden="1" x14ac:dyDescent="0.15">
      <c r="A10235" t="s">
        <v>32259</v>
      </c>
      <c r="B10235" t="s">
        <v>32260</v>
      </c>
      <c r="C10235" t="s">
        <v>32261</v>
      </c>
      <c r="D10235" t="s">
        <v>32255</v>
      </c>
      <c r="E10235">
        <v>1</v>
      </c>
      <c r="F10235" t="str">
        <f>HYPERLINK("https://github.com/SkyTubeTeam/SkyTube/issues/1191", "show")</f>
        <v>show</v>
      </c>
      <c r="G10235" t="str">
        <f>HYPERLINK("https://github.com/SkyTubeTeam/SkyTube", "show")</f>
        <v>show</v>
      </c>
      <c r="H10235" t="str">
        <f>HYPERLINK("https://github.com/SkyTubeTeam/SkyTube/releases", "show")</f>
        <v>show</v>
      </c>
      <c r="I10235">
        <v>1</v>
      </c>
      <c r="J10235">
        <v>1</v>
      </c>
      <c r="K10235">
        <v>1</v>
      </c>
      <c r="L10235">
        <v>0</v>
      </c>
      <c r="M10235" t="s">
        <v>59</v>
      </c>
    </row>
    <row r="10236" spans="1:13" hidden="1" x14ac:dyDescent="0.15">
      <c r="A10236" t="s">
        <v>32262</v>
      </c>
      <c r="B10236" t="s">
        <v>32263</v>
      </c>
      <c r="C10236" t="s">
        <v>32264</v>
      </c>
      <c r="D10236" t="s">
        <v>32255</v>
      </c>
      <c r="E10236">
        <v>0</v>
      </c>
      <c r="F10236" t="str">
        <f>HYPERLINK("https://github.com/Woosmap/geofencing-core-android-sdk/issues/12", "show")</f>
        <v>show</v>
      </c>
      <c r="G10236" t="str">
        <f>HYPERLINK("https://github.com/Woosmap/geofencing-core-android-sdk", "show")</f>
        <v>show</v>
      </c>
      <c r="H10236" t="str">
        <f>HYPERLINK("https://github.com/Woosmap/geofencing-core-android-sdk/releases", "show")</f>
        <v>show</v>
      </c>
      <c r="I10236">
        <v>1</v>
      </c>
      <c r="J10236">
        <v>0</v>
      </c>
      <c r="K10236">
        <v>0</v>
      </c>
      <c r="L10236">
        <v>0</v>
      </c>
      <c r="M10236" t="s">
        <v>17</v>
      </c>
    </row>
    <row r="10237" spans="1:13" hidden="1" x14ac:dyDescent="0.15">
      <c r="A10237" t="s">
        <v>32265</v>
      </c>
      <c r="B10237" t="s">
        <v>32266</v>
      </c>
      <c r="C10237" t="s">
        <v>32267</v>
      </c>
      <c r="D10237" t="s">
        <v>32255</v>
      </c>
      <c r="E10237">
        <v>1</v>
      </c>
      <c r="F10237" t="str">
        <f>HYPERLINK("https://github.com/AndroidIDEOfficial/AndroidIDE/issues/1038", "show")</f>
        <v>show</v>
      </c>
      <c r="G10237" t="str">
        <f>HYPERLINK("https://github.com/AndroidIDEOfficial/AndroidIDE", "show")</f>
        <v>show</v>
      </c>
      <c r="H10237" t="str">
        <f>HYPERLINK("https://github.com/AndroidIDEOfficial/AndroidIDE/releases", "show")</f>
        <v>show</v>
      </c>
      <c r="I10237">
        <v>0</v>
      </c>
      <c r="J10237">
        <v>0</v>
      </c>
      <c r="K10237">
        <v>1</v>
      </c>
      <c r="L10237">
        <v>0</v>
      </c>
      <c r="M10237" t="s">
        <v>122</v>
      </c>
    </row>
    <row r="10238" spans="1:13" hidden="1" x14ac:dyDescent="0.15">
      <c r="A10238" t="s">
        <v>32268</v>
      </c>
      <c r="B10238" t="s">
        <v>32269</v>
      </c>
      <c r="C10238" t="s">
        <v>32270</v>
      </c>
      <c r="D10238" t="s">
        <v>32255</v>
      </c>
      <c r="E10238">
        <v>1</v>
      </c>
      <c r="F10238" t="str">
        <f>HYPERLINK("https://github.com/AndroidIDEOfficial/AndroidIDE/issues/1037", "show")</f>
        <v>show</v>
      </c>
      <c r="G10238" t="str">
        <f>HYPERLINK("https://github.com/AndroidIDEOfficial/AndroidIDE", "show")</f>
        <v>show</v>
      </c>
      <c r="H10238" t="str">
        <f>HYPERLINK("https://github.com/AndroidIDEOfficial/AndroidIDE/releases", "show")</f>
        <v>show</v>
      </c>
      <c r="I10238">
        <v>0</v>
      </c>
      <c r="J10238">
        <v>0</v>
      </c>
      <c r="K10238">
        <v>1</v>
      </c>
      <c r="L10238">
        <v>0</v>
      </c>
      <c r="M10238" t="s">
        <v>122</v>
      </c>
    </row>
    <row r="10239" spans="1:13" hidden="1" x14ac:dyDescent="0.15">
      <c r="A10239" t="s">
        <v>32271</v>
      </c>
      <c r="B10239" t="s">
        <v>32272</v>
      </c>
      <c r="C10239" t="s">
        <v>32273</v>
      </c>
      <c r="D10239" t="s">
        <v>32255</v>
      </c>
      <c r="E10239">
        <v>1</v>
      </c>
      <c r="F10239" t="str">
        <f>HYPERLINK("https://github.com/AndroidIDEOfficial/AndroidIDE/issues/1036", "show")</f>
        <v>show</v>
      </c>
      <c r="G10239" t="str">
        <f>HYPERLINK("https://github.com/AndroidIDEOfficial/AndroidIDE", "show")</f>
        <v>show</v>
      </c>
      <c r="H10239" t="str">
        <f>HYPERLINK("https://github.com/AndroidIDEOfficial/AndroidIDE/releases", "show")</f>
        <v>show</v>
      </c>
      <c r="I10239">
        <v>1</v>
      </c>
      <c r="J10239">
        <v>0</v>
      </c>
      <c r="K10239">
        <v>1</v>
      </c>
      <c r="L10239">
        <v>0</v>
      </c>
      <c r="M10239" t="s">
        <v>64</v>
      </c>
    </row>
    <row r="10240" spans="1:13" hidden="1" x14ac:dyDescent="0.15">
      <c r="A10240" t="s">
        <v>32274</v>
      </c>
      <c r="B10240" t="s">
        <v>32275</v>
      </c>
      <c r="C10240" t="s">
        <v>32276</v>
      </c>
      <c r="D10240" t="s">
        <v>32277</v>
      </c>
      <c r="E10240">
        <v>0</v>
      </c>
      <c r="F10240" t="str">
        <f>HYPERLINK("https://github.com/Anuken/Mindustry/issues/8710", "show")</f>
        <v>show</v>
      </c>
      <c r="G10240" t="str">
        <f>HYPERLINK("https://github.com/Anuken/Mindustry", "show")</f>
        <v>show</v>
      </c>
      <c r="H10240" t="str">
        <f>HYPERLINK("https://github.com/Anuken/Mindustry/releases", "show")</f>
        <v>show</v>
      </c>
      <c r="I10240">
        <v>0</v>
      </c>
      <c r="J10240">
        <v>0</v>
      </c>
      <c r="K10240">
        <v>0</v>
      </c>
      <c r="L10240">
        <v>0</v>
      </c>
      <c r="M10240" t="s">
        <v>43</v>
      </c>
    </row>
    <row r="10241" spans="1:13" hidden="1" x14ac:dyDescent="0.15">
      <c r="A10241" t="s">
        <v>32278</v>
      </c>
      <c r="B10241" t="s">
        <v>32279</v>
      </c>
      <c r="C10241" t="s">
        <v>32280</v>
      </c>
      <c r="D10241" t="s">
        <v>32277</v>
      </c>
      <c r="E10241">
        <v>0</v>
      </c>
      <c r="F10241" t="str">
        <f>HYPERLINK("https://github.com/Anuken/Mindustry/issues/8708", "show")</f>
        <v>show</v>
      </c>
      <c r="G10241" t="str">
        <f>HYPERLINK("https://github.com/Anuken/Mindustry", "show")</f>
        <v>show</v>
      </c>
      <c r="H10241" t="str">
        <f>HYPERLINK("https://github.com/Anuken/Mindustry/releases", "show")</f>
        <v>show</v>
      </c>
      <c r="I10241">
        <v>1</v>
      </c>
      <c r="J10241">
        <v>1</v>
      </c>
      <c r="K10241">
        <v>0</v>
      </c>
      <c r="L10241">
        <v>0</v>
      </c>
      <c r="M10241" t="s">
        <v>48</v>
      </c>
    </row>
    <row r="10242" spans="1:13" hidden="1" x14ac:dyDescent="0.15">
      <c r="A10242" t="s">
        <v>32281</v>
      </c>
      <c r="B10242" t="s">
        <v>32282</v>
      </c>
      <c r="C10242" t="s">
        <v>32283</v>
      </c>
      <c r="D10242" t="s">
        <v>32277</v>
      </c>
      <c r="E10242">
        <v>98</v>
      </c>
      <c r="F10242" t="str">
        <f>HYPERLINK("https://github.com/PojavLauncherTeam/PojavLauncher/issues/4266", "show")</f>
        <v>show</v>
      </c>
      <c r="G10242" t="str">
        <f>HYPERLINK("https://github.com/PojavLauncherTeam/PojavLauncher", "show")</f>
        <v>show</v>
      </c>
      <c r="H10242" t="str">
        <f>HYPERLINK("https://github.com/PojavLauncherTeam/PojavLauncher/releases", "show")</f>
        <v>show</v>
      </c>
      <c r="I10242">
        <v>1</v>
      </c>
      <c r="J10242">
        <v>1</v>
      </c>
      <c r="K10242">
        <v>0</v>
      </c>
      <c r="L10242">
        <v>0</v>
      </c>
      <c r="M10242" t="s">
        <v>48</v>
      </c>
    </row>
    <row r="10243" spans="1:13" hidden="1" x14ac:dyDescent="0.15">
      <c r="A10243" t="s">
        <v>32284</v>
      </c>
      <c r="B10243" t="s">
        <v>32285</v>
      </c>
      <c r="C10243" t="s">
        <v>32286</v>
      </c>
      <c r="D10243" t="s">
        <v>32287</v>
      </c>
      <c r="E10243">
        <v>50</v>
      </c>
      <c r="F10243" t="str">
        <f>HYPERLINK("https://github.com/aws-amplify/aws-sdk-android/issues/3322", "show")</f>
        <v>show</v>
      </c>
      <c r="G10243" t="str">
        <f>HYPERLINK("https://github.com/aws-amplify/aws-sdk-android", "show")</f>
        <v>show</v>
      </c>
      <c r="H10243" t="str">
        <f>HYPERLINK("https://github.com/aws-amplify/aws-sdk-android/releases", "show")</f>
        <v>show</v>
      </c>
      <c r="I10243">
        <v>0</v>
      </c>
      <c r="J10243">
        <v>1</v>
      </c>
      <c r="K10243">
        <v>1</v>
      </c>
      <c r="L10243">
        <v>0</v>
      </c>
      <c r="M10243" t="s">
        <v>699</v>
      </c>
    </row>
    <row r="10244" spans="1:13" hidden="1" x14ac:dyDescent="0.15">
      <c r="A10244" t="s">
        <v>32288</v>
      </c>
      <c r="B10244" t="s">
        <v>32289</v>
      </c>
      <c r="C10244" t="s">
        <v>32290</v>
      </c>
      <c r="D10244" t="s">
        <v>32287</v>
      </c>
      <c r="E10244">
        <v>0</v>
      </c>
      <c r="F10244" t="str">
        <f>HYPERLINK("https://github.com/Anuken/Mindustry/issues/8703", "show")</f>
        <v>show</v>
      </c>
      <c r="G10244" t="str">
        <f>HYPERLINK("https://github.com/Anuken/Mindustry", "show")</f>
        <v>show</v>
      </c>
      <c r="H10244" t="str">
        <f>HYPERLINK("https://github.com/Anuken/Mindustry/releases", "show")</f>
        <v>show</v>
      </c>
      <c r="I10244">
        <v>0</v>
      </c>
      <c r="J10244">
        <v>0</v>
      </c>
      <c r="K10244">
        <v>0</v>
      </c>
      <c r="L10244">
        <v>1</v>
      </c>
      <c r="M10244" t="s">
        <v>581</v>
      </c>
    </row>
    <row r="10245" spans="1:13" hidden="1" x14ac:dyDescent="0.15">
      <c r="A10245" t="s">
        <v>32291</v>
      </c>
      <c r="B10245" t="s">
        <v>32292</v>
      </c>
      <c r="C10245" t="s">
        <v>32293</v>
      </c>
      <c r="D10245" t="s">
        <v>32287</v>
      </c>
      <c r="E10245">
        <v>0</v>
      </c>
      <c r="F10245" t="str">
        <f>HYPERLINK("https://github.com/Card-Forge/forge/issues/3250", "show")</f>
        <v>show</v>
      </c>
      <c r="G10245" t="str">
        <f>HYPERLINK("https://github.com/Card-Forge/forge", "show")</f>
        <v>show</v>
      </c>
      <c r="H10245" t="str">
        <f>HYPERLINK("https://github.com/Card-Forge/forge/releases", "show")</f>
        <v>show</v>
      </c>
      <c r="I10245">
        <v>1</v>
      </c>
      <c r="J10245">
        <v>0</v>
      </c>
      <c r="K10245">
        <v>0</v>
      </c>
      <c r="L10245">
        <v>0</v>
      </c>
      <c r="M10245" t="s">
        <v>17</v>
      </c>
    </row>
    <row r="10246" spans="1:13" hidden="1" x14ac:dyDescent="0.15">
      <c r="A10246" t="s">
        <v>32294</v>
      </c>
      <c r="B10246" t="s">
        <v>32295</v>
      </c>
      <c r="C10246" t="s">
        <v>32296</v>
      </c>
      <c r="D10246" t="s">
        <v>32297</v>
      </c>
      <c r="E10246">
        <v>0</v>
      </c>
      <c r="F10246" t="str">
        <f>HYPERLINK("https://github.com/OpenTracksApp/OpenTracks/issues/1599", "show")</f>
        <v>show</v>
      </c>
      <c r="G10246" t="str">
        <f>HYPERLINK("https://github.com/OpenTracksApp/OpenTracks", "show")</f>
        <v>show</v>
      </c>
      <c r="H10246" t="str">
        <f>HYPERLINK("https://github.com/OpenTracksApp/OpenTracks/releases", "show")</f>
        <v>show</v>
      </c>
      <c r="I10246">
        <v>1</v>
      </c>
      <c r="J10246">
        <v>0</v>
      </c>
      <c r="K10246">
        <v>1</v>
      </c>
      <c r="L10246">
        <v>0</v>
      </c>
      <c r="M10246" t="s">
        <v>64</v>
      </c>
    </row>
    <row r="10247" spans="1:13" hidden="1" x14ac:dyDescent="0.15">
      <c r="A10247" t="s">
        <v>32298</v>
      </c>
      <c r="B10247" t="s">
        <v>32299</v>
      </c>
      <c r="C10247" t="s">
        <v>32300</v>
      </c>
      <c r="D10247" t="s">
        <v>32297</v>
      </c>
      <c r="E10247">
        <v>0</v>
      </c>
      <c r="F10247" t="str">
        <f>HYPERLINK("https://github.com/OpenSeizureDetector/Android_Pebble_SD/issues/99", "show")</f>
        <v>show</v>
      </c>
      <c r="G10247" t="str">
        <f>HYPERLINK("https://github.com/OpenSeizureDetector/Android_Pebble_SD", "show")</f>
        <v>show</v>
      </c>
      <c r="H10247" t="str">
        <f>HYPERLINK("https://github.com/OpenSeizureDetector/Android_Pebble_SD/releases", "show")</f>
        <v>show</v>
      </c>
      <c r="I10247">
        <v>1</v>
      </c>
      <c r="J10247">
        <v>0</v>
      </c>
      <c r="K10247">
        <v>1</v>
      </c>
      <c r="L10247">
        <v>0</v>
      </c>
      <c r="M10247" t="s">
        <v>64</v>
      </c>
    </row>
    <row r="10248" spans="1:13" hidden="1" x14ac:dyDescent="0.15">
      <c r="A10248" t="s">
        <v>32301</v>
      </c>
      <c r="B10248" t="s">
        <v>32302</v>
      </c>
      <c r="C10248" t="s">
        <v>32303</v>
      </c>
      <c r="D10248" t="s">
        <v>32297</v>
      </c>
      <c r="E10248">
        <v>48</v>
      </c>
      <c r="F10248" t="str">
        <f>HYPERLINK("https://github.com/tradle/react-native-udp/issues/248", "show")</f>
        <v>show</v>
      </c>
      <c r="G10248" t="str">
        <f>HYPERLINK("https://github.com/tradle/react-native-udp", "show")</f>
        <v>show</v>
      </c>
      <c r="H10248" t="str">
        <f>HYPERLINK("https://github.com/tradle/react-native-udp/releases", "show")</f>
        <v>show</v>
      </c>
      <c r="I10248">
        <v>1</v>
      </c>
      <c r="J10248">
        <v>0</v>
      </c>
      <c r="K10248">
        <v>0</v>
      </c>
      <c r="L10248">
        <v>0</v>
      </c>
      <c r="M10248" t="s">
        <v>17</v>
      </c>
    </row>
    <row r="10249" spans="1:13" hidden="1" x14ac:dyDescent="0.15">
      <c r="A10249" t="s">
        <v>32304</v>
      </c>
      <c r="B10249" t="s">
        <v>32305</v>
      </c>
      <c r="C10249" t="s">
        <v>32306</v>
      </c>
      <c r="D10249" t="s">
        <v>32297</v>
      </c>
      <c r="E10249">
        <v>4</v>
      </c>
      <c r="F10249" t="str">
        <f>HYPERLINK("https://github.com/AndroidIDEOfficial/AndroidIDE/issues/1034", "show")</f>
        <v>show</v>
      </c>
      <c r="G10249" t="str">
        <f>HYPERLINK("https://github.com/AndroidIDEOfficial/AndroidIDE", "show")</f>
        <v>show</v>
      </c>
      <c r="H10249" t="str">
        <f>HYPERLINK("https://github.com/AndroidIDEOfficial/AndroidIDE/releases", "show")</f>
        <v>show</v>
      </c>
      <c r="I10249">
        <v>0</v>
      </c>
      <c r="J10249">
        <v>0</v>
      </c>
      <c r="K10249">
        <v>1</v>
      </c>
      <c r="L10249">
        <v>0</v>
      </c>
      <c r="M10249" t="s">
        <v>122</v>
      </c>
    </row>
    <row r="10250" spans="1:13" hidden="1" x14ac:dyDescent="0.15">
      <c r="A10250" t="s">
        <v>32307</v>
      </c>
      <c r="B10250" t="s">
        <v>32308</v>
      </c>
      <c r="C10250" t="s">
        <v>32309</v>
      </c>
      <c r="D10250" t="s">
        <v>32297</v>
      </c>
      <c r="E10250">
        <v>4</v>
      </c>
      <c r="F10250" t="str">
        <f>HYPERLINK("https://github.com/AndroidIDEOfficial/AndroidIDE/issues/1032", "show")</f>
        <v>show</v>
      </c>
      <c r="G10250" t="str">
        <f>HYPERLINK("https://github.com/AndroidIDEOfficial/AndroidIDE", "show")</f>
        <v>show</v>
      </c>
      <c r="H10250" t="str">
        <f>HYPERLINK("https://github.com/AndroidIDEOfficial/AndroidIDE/releases", "show")</f>
        <v>show</v>
      </c>
      <c r="I10250">
        <v>0</v>
      </c>
      <c r="J10250">
        <v>0</v>
      </c>
      <c r="K10250">
        <v>1</v>
      </c>
      <c r="L10250">
        <v>0</v>
      </c>
      <c r="M10250" t="s">
        <v>122</v>
      </c>
    </row>
    <row r="10251" spans="1:13" hidden="1" x14ac:dyDescent="0.15">
      <c r="A10251" t="s">
        <v>32310</v>
      </c>
      <c r="B10251" t="s">
        <v>32311</v>
      </c>
      <c r="C10251" t="s">
        <v>32312</v>
      </c>
      <c r="D10251" t="s">
        <v>32313</v>
      </c>
      <c r="E10251">
        <v>0</v>
      </c>
      <c r="F10251" t="str">
        <f>HYPERLINK("https://github.com/Anuken/Mindustry/issues/8698", "show")</f>
        <v>show</v>
      </c>
      <c r="G10251" t="str">
        <f>HYPERLINK("https://github.com/Anuken/Mindustry", "show")</f>
        <v>show</v>
      </c>
      <c r="H10251" t="str">
        <f>HYPERLINK("https://github.com/Anuken/Mindustry/releases", "show")</f>
        <v>show</v>
      </c>
      <c r="I10251">
        <v>1</v>
      </c>
      <c r="J10251">
        <v>0</v>
      </c>
      <c r="K10251">
        <v>0</v>
      </c>
      <c r="L10251">
        <v>1</v>
      </c>
      <c r="M10251" t="s">
        <v>29</v>
      </c>
    </row>
    <row r="10252" spans="1:13" hidden="1" x14ac:dyDescent="0.15">
      <c r="A10252" t="s">
        <v>32314</v>
      </c>
      <c r="B10252" t="s">
        <v>32315</v>
      </c>
      <c r="C10252" t="s">
        <v>32316</v>
      </c>
      <c r="D10252" t="s">
        <v>32317</v>
      </c>
      <c r="E10252">
        <v>3</v>
      </c>
      <c r="F10252" t="str">
        <f>HYPERLINK("https://github.com/nextcloud/android/issues/11718", "show")</f>
        <v>show</v>
      </c>
      <c r="G10252" t="str">
        <f>HYPERLINK("https://github.com/nextcloud/android", "show")</f>
        <v>show</v>
      </c>
      <c r="H10252" t="str">
        <f>HYPERLINK("https://github.com/nextcloud/android/releases", "show")</f>
        <v>show</v>
      </c>
      <c r="I10252">
        <v>1</v>
      </c>
      <c r="J10252">
        <v>0</v>
      </c>
      <c r="K10252">
        <v>1</v>
      </c>
      <c r="L10252">
        <v>0</v>
      </c>
      <c r="M10252" t="s">
        <v>64</v>
      </c>
    </row>
    <row r="10253" spans="1:13" hidden="1" x14ac:dyDescent="0.15">
      <c r="A10253" t="s">
        <v>32318</v>
      </c>
      <c r="B10253" t="s">
        <v>32319</v>
      </c>
      <c r="C10253" t="s">
        <v>32320</v>
      </c>
      <c r="D10253" t="s">
        <v>32317</v>
      </c>
      <c r="E10253">
        <v>0</v>
      </c>
      <c r="F10253" t="str">
        <f>HYPERLINK("https://github.com/Shared-Reality-Lab/IMAGE-Monarch/issues/36", "show")</f>
        <v>show</v>
      </c>
      <c r="G10253" t="str">
        <f>HYPERLINK("https://github.com/Shared-Reality-Lab/IMAGE-Monarch", "show")</f>
        <v>show</v>
      </c>
      <c r="H10253" t="str">
        <f>HYPERLINK("https://github.com/Shared-Reality-Lab/IMAGE-Monarch/releases", "show")</f>
        <v>show</v>
      </c>
      <c r="I10253">
        <v>1</v>
      </c>
      <c r="J10253">
        <v>0</v>
      </c>
      <c r="K10253">
        <v>0</v>
      </c>
      <c r="L10253">
        <v>1</v>
      </c>
      <c r="M10253" t="s">
        <v>29</v>
      </c>
    </row>
    <row r="10254" spans="1:13" hidden="1" x14ac:dyDescent="0.15">
      <c r="A10254" t="s">
        <v>32321</v>
      </c>
      <c r="B10254" t="s">
        <v>32322</v>
      </c>
      <c r="C10254" t="s">
        <v>32323</v>
      </c>
      <c r="D10254" t="s">
        <v>32324</v>
      </c>
      <c r="E10254">
        <v>66</v>
      </c>
      <c r="F10254" t="str">
        <f>HYPERLINK("https://github.com/PojavLauncherTeam/PojavLauncher/issues/4256", "show")</f>
        <v>show</v>
      </c>
      <c r="G10254" t="str">
        <f>HYPERLINK("https://github.com/PojavLauncherTeam/PojavLauncher", "show")</f>
        <v>show</v>
      </c>
      <c r="H10254" t="str">
        <f>HYPERLINK("https://github.com/PojavLauncherTeam/PojavLauncher/releases", "show")</f>
        <v>show</v>
      </c>
      <c r="I10254">
        <v>1</v>
      </c>
      <c r="J10254">
        <v>1</v>
      </c>
      <c r="K10254">
        <v>0</v>
      </c>
      <c r="L10254">
        <v>1</v>
      </c>
      <c r="M10254" t="s">
        <v>1894</v>
      </c>
    </row>
    <row r="10255" spans="1:13" hidden="1" x14ac:dyDescent="0.15">
      <c r="A10255" t="s">
        <v>32325</v>
      </c>
      <c r="B10255" t="s">
        <v>32326</v>
      </c>
      <c r="C10255" t="s">
        <v>32327</v>
      </c>
      <c r="D10255" t="s">
        <v>32324</v>
      </c>
      <c r="E10255">
        <v>34</v>
      </c>
      <c r="F10255" t="str">
        <f>HYPERLINK("https://github.com/nextcloud/android/issues/11716", "show")</f>
        <v>show</v>
      </c>
      <c r="G10255" t="str">
        <f>HYPERLINK("https://github.com/nextcloud/android", "show")</f>
        <v>show</v>
      </c>
      <c r="H10255" t="str">
        <f>HYPERLINK("https://github.com/nextcloud/android/releases", "show")</f>
        <v>show</v>
      </c>
      <c r="I10255">
        <v>1</v>
      </c>
      <c r="J10255">
        <v>1</v>
      </c>
      <c r="K10255">
        <v>1</v>
      </c>
      <c r="L10255">
        <v>0</v>
      </c>
      <c r="M10255" t="s">
        <v>59</v>
      </c>
    </row>
    <row r="10256" spans="1:13" hidden="1" x14ac:dyDescent="0.15">
      <c r="A10256" t="s">
        <v>32328</v>
      </c>
      <c r="B10256" t="s">
        <v>32329</v>
      </c>
      <c r="C10256" t="s">
        <v>32330</v>
      </c>
      <c r="D10256" t="s">
        <v>32324</v>
      </c>
      <c r="E10256">
        <v>1</v>
      </c>
      <c r="F10256" t="str">
        <f>HYPERLINK("https://github.com/deltachat/deltachat-android/issues/2585", "show")</f>
        <v>show</v>
      </c>
      <c r="G10256" t="str">
        <f>HYPERLINK("https://github.com/deltachat/deltachat-android", "show")</f>
        <v>show</v>
      </c>
      <c r="H10256" t="str">
        <f>HYPERLINK("https://github.com/deltachat/deltachat-android/releases", "show")</f>
        <v>show</v>
      </c>
      <c r="I10256">
        <v>1</v>
      </c>
      <c r="J10256">
        <v>0</v>
      </c>
      <c r="K10256">
        <v>0</v>
      </c>
      <c r="L10256">
        <v>0</v>
      </c>
      <c r="M10256" t="s">
        <v>17</v>
      </c>
    </row>
    <row r="10257" spans="1:13" hidden="1" x14ac:dyDescent="0.15">
      <c r="A10257" t="s">
        <v>32331</v>
      </c>
      <c r="B10257" t="s">
        <v>32332</v>
      </c>
      <c r="D10257" t="s">
        <v>32324</v>
      </c>
      <c r="E10257">
        <v>56</v>
      </c>
      <c r="F10257" t="str">
        <f>HYPERLINK("https://github.com/PhenoApps/Field-Book/issues/631", "show")</f>
        <v>show</v>
      </c>
      <c r="G10257" t="str">
        <f>HYPERLINK("https://github.com/PhenoApps/Field-Book", "show")</f>
        <v>show</v>
      </c>
      <c r="H10257" t="str">
        <f>HYPERLINK("https://github.com/PhenoApps/Field-Book/releases", "show")</f>
        <v>show</v>
      </c>
      <c r="I10257">
        <v>0</v>
      </c>
      <c r="J10257">
        <v>0</v>
      </c>
      <c r="K10257">
        <v>0</v>
      </c>
      <c r="L10257">
        <v>0</v>
      </c>
      <c r="M10257" t="s">
        <v>43</v>
      </c>
    </row>
    <row r="10258" spans="1:13" hidden="1" x14ac:dyDescent="0.15">
      <c r="A10258" t="s">
        <v>32333</v>
      </c>
      <c r="B10258" t="s">
        <v>32334</v>
      </c>
      <c r="C10258" t="s">
        <v>32335</v>
      </c>
      <c r="D10258" t="s">
        <v>32336</v>
      </c>
      <c r="E10258">
        <v>13</v>
      </c>
      <c r="F10258" t="str">
        <f>HYPERLINK("https://github.com/smartdevicelink/sdl_java_suite/issues/1848", "show")</f>
        <v>show</v>
      </c>
      <c r="G10258" t="str">
        <f>HYPERLINK("https://github.com/smartdevicelink/sdl_java_suite", "show")</f>
        <v>show</v>
      </c>
      <c r="H10258" t="str">
        <f>HYPERLINK("https://github.com/smartdevicelink/sdl_java_suite/releases", "show")</f>
        <v>show</v>
      </c>
      <c r="I10258">
        <v>0</v>
      </c>
      <c r="J10258">
        <v>0</v>
      </c>
      <c r="K10258">
        <v>0</v>
      </c>
      <c r="L10258">
        <v>0</v>
      </c>
      <c r="M10258" t="s">
        <v>43</v>
      </c>
    </row>
    <row r="10259" spans="1:13" hidden="1" x14ac:dyDescent="0.15">
      <c r="A10259" t="s">
        <v>32337</v>
      </c>
      <c r="B10259" t="s">
        <v>32338</v>
      </c>
      <c r="C10259" t="s">
        <v>32339</v>
      </c>
      <c r="D10259" t="s">
        <v>32340</v>
      </c>
      <c r="E10259">
        <v>0</v>
      </c>
      <c r="F10259" t="str">
        <f>HYPERLINK("https://github.com/MuntashirAkon/AppManager/issues/1087", "show")</f>
        <v>show</v>
      </c>
      <c r="G10259" t="str">
        <f>HYPERLINK("https://github.com/MuntashirAkon/AppManager", "show")</f>
        <v>show</v>
      </c>
      <c r="H10259" t="str">
        <f>HYPERLINK("https://github.com/MuntashirAkon/AppManager/releases", "show")</f>
        <v>show</v>
      </c>
      <c r="I10259">
        <v>1</v>
      </c>
      <c r="J10259">
        <v>1</v>
      </c>
      <c r="K10259">
        <v>0</v>
      </c>
      <c r="L10259">
        <v>0</v>
      </c>
      <c r="M10259" t="s">
        <v>48</v>
      </c>
    </row>
    <row r="10260" spans="1:13" hidden="1" x14ac:dyDescent="0.15">
      <c r="A10260" t="s">
        <v>32341</v>
      </c>
      <c r="B10260" t="s">
        <v>32342</v>
      </c>
      <c r="C10260" t="s">
        <v>32343</v>
      </c>
      <c r="D10260" t="s">
        <v>32340</v>
      </c>
      <c r="E10260">
        <v>0</v>
      </c>
      <c r="F10260" t="str">
        <f>HYPERLINK("https://github.com/AndroidIDEOfficial/AndroidIDE/issues/1024", "show")</f>
        <v>show</v>
      </c>
      <c r="G10260" t="str">
        <f>HYPERLINK("https://github.com/AndroidIDEOfficial/AndroidIDE", "show")</f>
        <v>show</v>
      </c>
      <c r="H10260" t="str">
        <f>HYPERLINK("https://github.com/AndroidIDEOfficial/AndroidIDE/releases", "show")</f>
        <v>show</v>
      </c>
      <c r="I10260">
        <v>0</v>
      </c>
      <c r="J10260">
        <v>0</v>
      </c>
      <c r="K10260">
        <v>1</v>
      </c>
      <c r="L10260">
        <v>0</v>
      </c>
      <c r="M10260" t="s">
        <v>122</v>
      </c>
    </row>
    <row r="10261" spans="1:13" hidden="1" x14ac:dyDescent="0.15">
      <c r="A10261" t="s">
        <v>32344</v>
      </c>
      <c r="B10261" t="s">
        <v>32345</v>
      </c>
      <c r="C10261" t="s">
        <v>32346</v>
      </c>
      <c r="D10261" t="s">
        <v>32347</v>
      </c>
      <c r="E10261">
        <v>0</v>
      </c>
      <c r="F10261" t="str">
        <f>HYPERLINK("https://github.com/Anuken/Mindustry/issues/8675", "show")</f>
        <v>show</v>
      </c>
      <c r="G10261" t="str">
        <f>HYPERLINK("https://github.com/Anuken/Mindustry", "show")</f>
        <v>show</v>
      </c>
      <c r="H10261" t="str">
        <f>HYPERLINK("https://github.com/Anuken/Mindustry/releases", "show")</f>
        <v>show</v>
      </c>
      <c r="I10261">
        <v>0</v>
      </c>
      <c r="J10261">
        <v>0</v>
      </c>
      <c r="K10261">
        <v>0</v>
      </c>
      <c r="L10261">
        <v>0</v>
      </c>
      <c r="M10261" t="s">
        <v>43</v>
      </c>
    </row>
    <row r="10262" spans="1:13" hidden="1" x14ac:dyDescent="0.15">
      <c r="A10262" t="s">
        <v>32348</v>
      </c>
      <c r="B10262" t="s">
        <v>32349</v>
      </c>
      <c r="C10262" t="s">
        <v>32350</v>
      </c>
      <c r="D10262" t="s">
        <v>32347</v>
      </c>
      <c r="E10262">
        <v>0</v>
      </c>
      <c r="F10262" t="str">
        <f>HYPERLINK("https://github.com/Anuken/Mindustry/issues/8671", "show")</f>
        <v>show</v>
      </c>
      <c r="G10262" t="str">
        <f>HYPERLINK("https://github.com/Anuken/Mindustry", "show")</f>
        <v>show</v>
      </c>
      <c r="H10262" t="str">
        <f>HYPERLINK("https://github.com/Anuken/Mindustry/releases", "show")</f>
        <v>show</v>
      </c>
      <c r="I10262">
        <v>1</v>
      </c>
      <c r="J10262">
        <v>1</v>
      </c>
      <c r="K10262">
        <v>0</v>
      </c>
      <c r="L10262">
        <v>1</v>
      </c>
      <c r="M10262" t="s">
        <v>1894</v>
      </c>
    </row>
    <row r="10263" spans="1:13" hidden="1" x14ac:dyDescent="0.15">
      <c r="A10263" t="s">
        <v>32351</v>
      </c>
      <c r="B10263" t="s">
        <v>32352</v>
      </c>
      <c r="C10263" t="s">
        <v>32353</v>
      </c>
      <c r="D10263" t="s">
        <v>32354</v>
      </c>
      <c r="E10263">
        <v>10</v>
      </c>
      <c r="F10263" t="str">
        <f>HYPERLINK("https://github.com/androidx/media/issues/437", "show")</f>
        <v>show</v>
      </c>
      <c r="G10263" t="str">
        <f>HYPERLINK("https://github.com/androidx/media", "show")</f>
        <v>show</v>
      </c>
      <c r="H10263" t="str">
        <f>HYPERLINK("https://github.com/androidx/media/releases", "show")</f>
        <v>show</v>
      </c>
      <c r="I10263">
        <v>1</v>
      </c>
      <c r="J10263">
        <v>0</v>
      </c>
      <c r="K10263">
        <v>0</v>
      </c>
      <c r="L10263">
        <v>0</v>
      </c>
      <c r="M10263" t="s">
        <v>17</v>
      </c>
    </row>
    <row r="10264" spans="1:13" hidden="1" x14ac:dyDescent="0.15">
      <c r="A10264" t="s">
        <v>32355</v>
      </c>
      <c r="B10264" t="s">
        <v>32356</v>
      </c>
      <c r="C10264" t="s">
        <v>32357</v>
      </c>
      <c r="D10264" t="s">
        <v>32354</v>
      </c>
      <c r="E10264">
        <v>0</v>
      </c>
      <c r="F10264" t="str">
        <f>HYPERLINK("https://github.com/Anuken/Mindustry/issues/8668", "show")</f>
        <v>show</v>
      </c>
      <c r="G10264" t="str">
        <f>HYPERLINK("https://github.com/Anuken/Mindustry", "show")</f>
        <v>show</v>
      </c>
      <c r="H10264" t="str">
        <f>HYPERLINK("https://github.com/Anuken/Mindustry/releases", "show")</f>
        <v>show</v>
      </c>
      <c r="I10264">
        <v>0</v>
      </c>
      <c r="J10264">
        <v>1</v>
      </c>
      <c r="K10264">
        <v>0</v>
      </c>
      <c r="L10264">
        <v>1</v>
      </c>
      <c r="M10264" t="s">
        <v>1732</v>
      </c>
    </row>
    <row r="10265" spans="1:13" x14ac:dyDescent="0.15">
      <c r="A10265" t="s">
        <v>32358</v>
      </c>
      <c r="B10265" t="s">
        <v>32359</v>
      </c>
      <c r="C10265" t="s">
        <v>32360</v>
      </c>
      <c r="D10265" t="s">
        <v>32354</v>
      </c>
      <c r="E10265">
        <v>0</v>
      </c>
      <c r="F10265" t="str">
        <f>HYPERLINK("https://github.com/Anuken/Mindustry/issues/8667", "show")</f>
        <v>show</v>
      </c>
      <c r="G10265" t="str">
        <f>HYPERLINK("https://github.com/Anuken/Mindustry", "show")</f>
        <v>show</v>
      </c>
      <c r="H10265" t="str">
        <f>HYPERLINK("https://github.com/Anuken/Mindustry/releases", "show")</f>
        <v>show</v>
      </c>
      <c r="I10265">
        <v>0</v>
      </c>
      <c r="J10265">
        <v>1</v>
      </c>
      <c r="K10265">
        <v>0</v>
      </c>
      <c r="L10265">
        <v>0</v>
      </c>
      <c r="M10265" t="s">
        <v>139</v>
      </c>
    </row>
    <row r="10266" spans="1:13" hidden="1" x14ac:dyDescent="0.15">
      <c r="A10266" t="s">
        <v>32361</v>
      </c>
      <c r="B10266" t="s">
        <v>32362</v>
      </c>
      <c r="C10266" t="s">
        <v>32363</v>
      </c>
      <c r="D10266" t="s">
        <v>32354</v>
      </c>
      <c r="E10266">
        <v>0</v>
      </c>
      <c r="F10266" t="str">
        <f>HYPERLINK("https://github.com/Anuken/Mindustry/issues/8661", "show")</f>
        <v>show</v>
      </c>
      <c r="G10266" t="str">
        <f>HYPERLINK("https://github.com/Anuken/Mindustry", "show")</f>
        <v>show</v>
      </c>
      <c r="H10266" t="str">
        <f>HYPERLINK("https://github.com/Anuken/Mindustry/releases", "show")</f>
        <v>show</v>
      </c>
      <c r="I10266">
        <v>1</v>
      </c>
      <c r="J10266">
        <v>0</v>
      </c>
      <c r="K10266">
        <v>0</v>
      </c>
      <c r="L10266">
        <v>1</v>
      </c>
      <c r="M10266" t="s">
        <v>29</v>
      </c>
    </row>
    <row r="10267" spans="1:13" hidden="1" x14ac:dyDescent="0.15">
      <c r="A10267" t="s">
        <v>32364</v>
      </c>
      <c r="B10267" t="s">
        <v>32365</v>
      </c>
      <c r="C10267" t="s">
        <v>32366</v>
      </c>
      <c r="D10267" t="s">
        <v>32367</v>
      </c>
      <c r="E10267">
        <v>0</v>
      </c>
      <c r="F10267" t="str">
        <f>HYPERLINK("https://github.com/Anuken/Mindustry/issues/8659", "show")</f>
        <v>show</v>
      </c>
      <c r="G10267" t="str">
        <f>HYPERLINK("https://github.com/Anuken/Mindustry", "show")</f>
        <v>show</v>
      </c>
      <c r="H10267" t="str">
        <f>HYPERLINK("https://github.com/Anuken/Mindustry/releases", "show")</f>
        <v>show</v>
      </c>
      <c r="I10267">
        <v>1</v>
      </c>
      <c r="J10267">
        <v>1</v>
      </c>
      <c r="K10267">
        <v>0</v>
      </c>
      <c r="L10267">
        <v>0</v>
      </c>
      <c r="M10267" t="s">
        <v>48</v>
      </c>
    </row>
    <row r="10268" spans="1:13" hidden="1" x14ac:dyDescent="0.15">
      <c r="A10268" t="s">
        <v>32368</v>
      </c>
      <c r="B10268" t="s">
        <v>32369</v>
      </c>
      <c r="C10268" t="s">
        <v>32370</v>
      </c>
      <c r="D10268" t="s">
        <v>32367</v>
      </c>
      <c r="E10268">
        <v>18</v>
      </c>
      <c r="F10268" t="str">
        <f>HYPERLINK("https://github.com/PhenoApps/Field-Book/issues/630", "show")</f>
        <v>show</v>
      </c>
      <c r="G10268" t="str">
        <f>HYPERLINK("https://github.com/PhenoApps/Field-Book", "show")</f>
        <v>show</v>
      </c>
      <c r="H10268" t="str">
        <f>HYPERLINK("https://github.com/PhenoApps/Field-Book/releases", "show")</f>
        <v>show</v>
      </c>
      <c r="I10268">
        <v>0</v>
      </c>
      <c r="J10268">
        <v>0</v>
      </c>
      <c r="K10268">
        <v>0</v>
      </c>
      <c r="L10268">
        <v>0</v>
      </c>
      <c r="M10268" t="s">
        <v>43</v>
      </c>
    </row>
    <row r="10269" spans="1:13" hidden="1" x14ac:dyDescent="0.15">
      <c r="A10269" t="s">
        <v>32371</v>
      </c>
      <c r="B10269" t="s">
        <v>32372</v>
      </c>
      <c r="C10269" t="s">
        <v>32373</v>
      </c>
      <c r="D10269" t="s">
        <v>32367</v>
      </c>
      <c r="E10269">
        <v>107</v>
      </c>
      <c r="F10269" t="str">
        <f>HYPERLINK("https://github.com/MuntashirAkon/AppManager/issues/1084", "show")</f>
        <v>show</v>
      </c>
      <c r="G10269" t="str">
        <f>HYPERLINK("https://github.com/MuntashirAkon/AppManager", "show")</f>
        <v>show</v>
      </c>
      <c r="H10269" t="str">
        <f>HYPERLINK("https://github.com/MuntashirAkon/AppManager/releases", "show")</f>
        <v>show</v>
      </c>
      <c r="I10269">
        <v>1</v>
      </c>
      <c r="J10269">
        <v>0</v>
      </c>
      <c r="K10269">
        <v>0</v>
      </c>
      <c r="L10269">
        <v>0</v>
      </c>
      <c r="M10269" t="s">
        <v>17</v>
      </c>
    </row>
    <row r="10270" spans="1:13" hidden="1" x14ac:dyDescent="0.15">
      <c r="A10270" t="s">
        <v>32374</v>
      </c>
      <c r="B10270" t="s">
        <v>32375</v>
      </c>
      <c r="C10270" t="s">
        <v>32376</v>
      </c>
      <c r="D10270" t="s">
        <v>32377</v>
      </c>
      <c r="E10270">
        <v>15</v>
      </c>
      <c r="F10270" t="str">
        <f>HYPERLINK("https://github.com/AndroidIDEOfficial/AndroidIDE/issues/1016", "show")</f>
        <v>show</v>
      </c>
      <c r="G10270" t="str">
        <f>HYPERLINK("https://github.com/AndroidIDEOfficial/AndroidIDE", "show")</f>
        <v>show</v>
      </c>
      <c r="H10270" t="str">
        <f>HYPERLINK("https://github.com/AndroidIDEOfficial/AndroidIDE/releases", "show")</f>
        <v>show</v>
      </c>
      <c r="I10270">
        <v>1</v>
      </c>
      <c r="J10270">
        <v>0</v>
      </c>
      <c r="K10270">
        <v>1</v>
      </c>
      <c r="L10270">
        <v>0</v>
      </c>
      <c r="M10270" t="s">
        <v>64</v>
      </c>
    </row>
    <row r="10271" spans="1:13" x14ac:dyDescent="0.15">
      <c r="A10271" t="s">
        <v>32378</v>
      </c>
      <c r="B10271" t="s">
        <v>32379</v>
      </c>
      <c r="C10271" t="s">
        <v>32380</v>
      </c>
      <c r="D10271" t="s">
        <v>32377</v>
      </c>
      <c r="E10271">
        <v>0</v>
      </c>
      <c r="F10271" t="str">
        <f>HYPERLINK("https://github.com/m-arquiza/Workoutholic/issues/101", "show")</f>
        <v>show</v>
      </c>
      <c r="G10271" t="str">
        <f>HYPERLINK("https://github.com/m-arquiza/Workoutholic", "show")</f>
        <v>show</v>
      </c>
      <c r="H10271" t="str">
        <f>HYPERLINK("https://github.com/m-arquiza/Workoutholic/releases", "show")</f>
        <v>show</v>
      </c>
      <c r="I10271">
        <v>0</v>
      </c>
      <c r="J10271">
        <v>1</v>
      </c>
      <c r="K10271">
        <v>0</v>
      </c>
      <c r="L10271">
        <v>0</v>
      </c>
      <c r="M10271" t="s">
        <v>139</v>
      </c>
    </row>
    <row r="10272" spans="1:13" hidden="1" x14ac:dyDescent="0.15">
      <c r="A10272" t="s">
        <v>32381</v>
      </c>
      <c r="B10272" t="s">
        <v>32342</v>
      </c>
      <c r="C10272" t="s">
        <v>32382</v>
      </c>
      <c r="D10272" t="s">
        <v>32383</v>
      </c>
      <c r="E10272">
        <v>2</v>
      </c>
      <c r="F10272" t="str">
        <f>HYPERLINK("https://github.com/AndroidIDEOfficial/AndroidIDE/issues/1012", "show")</f>
        <v>show</v>
      </c>
      <c r="G10272" t="str">
        <f>HYPERLINK("https://github.com/AndroidIDEOfficial/AndroidIDE", "show")</f>
        <v>show</v>
      </c>
      <c r="H10272" t="str">
        <f>HYPERLINK("https://github.com/AndroidIDEOfficial/AndroidIDE/releases", "show")</f>
        <v>show</v>
      </c>
      <c r="I10272">
        <v>0</v>
      </c>
      <c r="J10272">
        <v>0</v>
      </c>
      <c r="K10272">
        <v>1</v>
      </c>
      <c r="L10272">
        <v>0</v>
      </c>
      <c r="M10272" t="s">
        <v>122</v>
      </c>
    </row>
    <row r="10273" spans="1:13" hidden="1" x14ac:dyDescent="0.15">
      <c r="A10273" t="s">
        <v>32384</v>
      </c>
      <c r="B10273" t="s">
        <v>32385</v>
      </c>
      <c r="C10273" t="s">
        <v>32386</v>
      </c>
      <c r="D10273" t="s">
        <v>32383</v>
      </c>
      <c r="E10273">
        <v>2</v>
      </c>
      <c r="F10273" t="str">
        <f>HYPERLINK("https://github.com/peiva-git/SDM_project/issues/106", "show")</f>
        <v>show</v>
      </c>
      <c r="G10273" t="str">
        <f>HYPERLINK("https://github.com/peiva-git/SDM_project", "show")</f>
        <v>show</v>
      </c>
      <c r="H10273" t="str">
        <f>HYPERLINK("https://github.com/peiva-git/SDM_project/releases", "show")</f>
        <v>show</v>
      </c>
      <c r="I10273">
        <v>1</v>
      </c>
      <c r="J10273">
        <v>1</v>
      </c>
      <c r="K10273">
        <v>0</v>
      </c>
      <c r="L10273">
        <v>0</v>
      </c>
      <c r="M10273" t="s">
        <v>48</v>
      </c>
    </row>
    <row r="10274" spans="1:13" hidden="1" x14ac:dyDescent="0.15">
      <c r="A10274" t="s">
        <v>32387</v>
      </c>
      <c r="B10274" t="s">
        <v>32388</v>
      </c>
      <c r="C10274" t="s">
        <v>32389</v>
      </c>
      <c r="D10274" t="s">
        <v>32383</v>
      </c>
      <c r="E10274">
        <v>0</v>
      </c>
      <c r="F10274" t="str">
        <f>HYPERLINK("https://github.com/PhenoApps/Field-Book/issues/621", "show")</f>
        <v>show</v>
      </c>
      <c r="G10274" t="str">
        <f>HYPERLINK("https://github.com/PhenoApps/Field-Book", "show")</f>
        <v>show</v>
      </c>
      <c r="H10274" t="str">
        <f>HYPERLINK("https://github.com/PhenoApps/Field-Book/releases", "show")</f>
        <v>show</v>
      </c>
      <c r="I10274">
        <v>1</v>
      </c>
      <c r="J10274">
        <v>0</v>
      </c>
      <c r="K10274">
        <v>1</v>
      </c>
      <c r="L10274">
        <v>0</v>
      </c>
      <c r="M10274" t="s">
        <v>64</v>
      </c>
    </row>
    <row r="10275" spans="1:13" hidden="1" x14ac:dyDescent="0.15">
      <c r="A10275" t="s">
        <v>32390</v>
      </c>
      <c r="B10275" t="s">
        <v>31484</v>
      </c>
      <c r="C10275" t="s">
        <v>32391</v>
      </c>
      <c r="D10275" t="s">
        <v>32392</v>
      </c>
      <c r="E10275">
        <v>3</v>
      </c>
      <c r="F10275" t="str">
        <f>HYPERLINK("https://github.com/AndroidIDEOfficial/AndroidIDE/issues/1010", "show")</f>
        <v>show</v>
      </c>
      <c r="G10275" t="str">
        <f>HYPERLINK("https://github.com/AndroidIDEOfficial/AndroidIDE", "show")</f>
        <v>show</v>
      </c>
      <c r="H10275" t="str">
        <f>HYPERLINK("https://github.com/AndroidIDEOfficial/AndroidIDE/releases", "show")</f>
        <v>show</v>
      </c>
      <c r="I10275">
        <v>0</v>
      </c>
      <c r="J10275">
        <v>0</v>
      </c>
      <c r="K10275">
        <v>1</v>
      </c>
      <c r="L10275">
        <v>0</v>
      </c>
      <c r="M10275" t="s">
        <v>122</v>
      </c>
    </row>
    <row r="10276" spans="1:13" hidden="1" x14ac:dyDescent="0.15">
      <c r="A10276" t="s">
        <v>32393</v>
      </c>
      <c r="B10276" t="s">
        <v>32394</v>
      </c>
      <c r="C10276" t="s">
        <v>32395</v>
      </c>
      <c r="D10276" t="s">
        <v>32392</v>
      </c>
      <c r="E10276">
        <v>1</v>
      </c>
      <c r="F10276" t="str">
        <f>HYPERLINK("https://github.com/microg/GmsCore/issues/1945", "show")</f>
        <v>show</v>
      </c>
      <c r="G10276" t="str">
        <f>HYPERLINK("https://github.com/microg/GmsCore", "show")</f>
        <v>show</v>
      </c>
      <c r="H10276" t="str">
        <f>HYPERLINK("https://github.com/microg/GmsCore/releases", "show")</f>
        <v>show</v>
      </c>
      <c r="I10276">
        <v>1</v>
      </c>
      <c r="J10276">
        <v>0</v>
      </c>
      <c r="K10276">
        <v>1</v>
      </c>
      <c r="L10276">
        <v>0</v>
      </c>
      <c r="M10276" t="s">
        <v>64</v>
      </c>
    </row>
    <row r="10277" spans="1:13" hidden="1" x14ac:dyDescent="0.15">
      <c r="A10277" t="s">
        <v>32396</v>
      </c>
      <c r="B10277" t="s">
        <v>32397</v>
      </c>
      <c r="C10277" t="s">
        <v>32398</v>
      </c>
      <c r="D10277" t="s">
        <v>32392</v>
      </c>
      <c r="E10277">
        <v>3</v>
      </c>
      <c r="F10277" t="str">
        <f>HYPERLINK("https://github.com/PojavLauncherTeam/PojavLauncher/issues/4239", "show")</f>
        <v>show</v>
      </c>
      <c r="G10277" t="str">
        <f>HYPERLINK("https://github.com/PojavLauncherTeam/PojavLauncher", "show")</f>
        <v>show</v>
      </c>
      <c r="H10277" t="str">
        <f>HYPERLINK("https://github.com/PojavLauncherTeam/PojavLauncher/releases", "show")</f>
        <v>show</v>
      </c>
      <c r="I10277">
        <v>1</v>
      </c>
      <c r="J10277">
        <v>1</v>
      </c>
      <c r="K10277">
        <v>0</v>
      </c>
      <c r="L10277">
        <v>1</v>
      </c>
      <c r="M10277" t="s">
        <v>1894</v>
      </c>
    </row>
    <row r="10278" spans="1:13" hidden="1" x14ac:dyDescent="0.15">
      <c r="A10278" t="s">
        <v>32399</v>
      </c>
      <c r="B10278" t="s">
        <v>32400</v>
      </c>
      <c r="C10278" t="s">
        <v>32401</v>
      </c>
      <c r="D10278" t="s">
        <v>32392</v>
      </c>
      <c r="E10278">
        <v>1</v>
      </c>
      <c r="F10278" t="str">
        <f>HYPERLINK("https://github.com/microg/GmsCore/issues/1943", "show")</f>
        <v>show</v>
      </c>
      <c r="G10278" t="str">
        <f>HYPERLINK("https://github.com/microg/GmsCore", "show")</f>
        <v>show</v>
      </c>
      <c r="H10278" t="str">
        <f>HYPERLINK("https://github.com/microg/GmsCore/releases", "show")</f>
        <v>show</v>
      </c>
      <c r="I10278">
        <v>1</v>
      </c>
      <c r="J10278">
        <v>0</v>
      </c>
      <c r="K10278">
        <v>0</v>
      </c>
      <c r="L10278">
        <v>0</v>
      </c>
      <c r="M10278" t="s">
        <v>17</v>
      </c>
    </row>
    <row r="10279" spans="1:13" hidden="1" x14ac:dyDescent="0.15">
      <c r="A10279" t="s">
        <v>32402</v>
      </c>
      <c r="B10279" t="s">
        <v>32403</v>
      </c>
      <c r="C10279" t="s">
        <v>32404</v>
      </c>
      <c r="D10279" t="s">
        <v>32392</v>
      </c>
      <c r="E10279">
        <v>3</v>
      </c>
      <c r="F10279" t="str">
        <f>HYPERLINK("https://github.com/PojavLauncherTeam/PojavLauncher/issues/4238", "show")</f>
        <v>show</v>
      </c>
      <c r="G10279" t="str">
        <f>HYPERLINK("https://github.com/PojavLauncherTeam/PojavLauncher", "show")</f>
        <v>show</v>
      </c>
      <c r="H10279" t="str">
        <f>HYPERLINK("https://github.com/PojavLauncherTeam/PojavLauncher/releases", "show")</f>
        <v>show</v>
      </c>
      <c r="I10279">
        <v>1</v>
      </c>
      <c r="J10279">
        <v>0</v>
      </c>
      <c r="K10279">
        <v>0</v>
      </c>
      <c r="L10279">
        <v>0</v>
      </c>
      <c r="M10279" t="s">
        <v>17</v>
      </c>
    </row>
    <row r="10280" spans="1:13" hidden="1" x14ac:dyDescent="0.15">
      <c r="A10280" t="s">
        <v>32405</v>
      </c>
      <c r="B10280" t="s">
        <v>32406</v>
      </c>
      <c r="C10280" t="s">
        <v>32407</v>
      </c>
      <c r="D10280" t="s">
        <v>32392</v>
      </c>
      <c r="E10280">
        <v>0</v>
      </c>
      <c r="F10280" t="str">
        <f>HYPERLINK("https://github.com/microg/GmsCore/issues/1942", "show")</f>
        <v>show</v>
      </c>
      <c r="G10280" t="str">
        <f>HYPERLINK("https://github.com/microg/GmsCore", "show")</f>
        <v>show</v>
      </c>
      <c r="H10280" t="str">
        <f>HYPERLINK("https://github.com/microg/GmsCore/releases", "show")</f>
        <v>show</v>
      </c>
      <c r="I10280">
        <v>1</v>
      </c>
      <c r="J10280">
        <v>1</v>
      </c>
      <c r="K10280">
        <v>0</v>
      </c>
      <c r="L10280">
        <v>0</v>
      </c>
      <c r="M10280" t="s">
        <v>48</v>
      </c>
    </row>
    <row r="10281" spans="1:13" hidden="1" x14ac:dyDescent="0.15">
      <c r="A10281" t="s">
        <v>32408</v>
      </c>
      <c r="B10281" t="s">
        <v>32409</v>
      </c>
      <c r="C10281" t="s">
        <v>32410</v>
      </c>
      <c r="D10281" t="s">
        <v>32392</v>
      </c>
      <c r="E10281">
        <v>0</v>
      </c>
      <c r="F10281" t="str">
        <f>HYPERLINK("https://github.com/jellyfin/jellyfin-androidtv/issues/2805", "show")</f>
        <v>show</v>
      </c>
      <c r="G10281" t="str">
        <f>HYPERLINK("https://github.com/jellyfin/jellyfin-androidtv", "show")</f>
        <v>show</v>
      </c>
      <c r="H10281" t="str">
        <f>HYPERLINK("https://github.com/jellyfin/jellyfin-androidtv/releases", "show")</f>
        <v>show</v>
      </c>
      <c r="I10281">
        <v>1</v>
      </c>
      <c r="J10281">
        <v>1</v>
      </c>
      <c r="K10281">
        <v>0</v>
      </c>
      <c r="L10281">
        <v>0</v>
      </c>
      <c r="M10281" t="s">
        <v>48</v>
      </c>
    </row>
    <row r="10282" spans="1:13" hidden="1" x14ac:dyDescent="0.15">
      <c r="A10282" t="s">
        <v>32411</v>
      </c>
      <c r="B10282" t="s">
        <v>31484</v>
      </c>
      <c r="C10282" t="s">
        <v>32412</v>
      </c>
      <c r="D10282" t="s">
        <v>32413</v>
      </c>
      <c r="E10282">
        <v>6</v>
      </c>
      <c r="F10282" t="str">
        <f>HYPERLINK("https://github.com/AndroidIDEOfficial/AndroidIDE/issues/1007", "show")</f>
        <v>show</v>
      </c>
      <c r="G10282" t="str">
        <f>HYPERLINK("https://github.com/AndroidIDEOfficial/AndroidIDE", "show")</f>
        <v>show</v>
      </c>
      <c r="H10282" t="str">
        <f>HYPERLINK("https://github.com/AndroidIDEOfficial/AndroidIDE/releases", "show")</f>
        <v>show</v>
      </c>
      <c r="I10282">
        <v>0</v>
      </c>
      <c r="J10282">
        <v>0</v>
      </c>
      <c r="K10282">
        <v>1</v>
      </c>
      <c r="L10282">
        <v>0</v>
      </c>
      <c r="M10282" t="s">
        <v>122</v>
      </c>
    </row>
    <row r="10283" spans="1:13" hidden="1" x14ac:dyDescent="0.15">
      <c r="A10283" t="s">
        <v>32414</v>
      </c>
      <c r="B10283" t="s">
        <v>32415</v>
      </c>
      <c r="C10283" t="s">
        <v>32416</v>
      </c>
      <c r="D10283" t="s">
        <v>32413</v>
      </c>
      <c r="E10283">
        <v>0</v>
      </c>
      <c r="F10283" t="str">
        <f>HYPERLINK("https://github.com/Anuken/Mindustry/issues/8649", "show")</f>
        <v>show</v>
      </c>
      <c r="G10283" t="str">
        <f>HYPERLINK("https://github.com/Anuken/Mindustry", "show")</f>
        <v>show</v>
      </c>
      <c r="H10283" t="str">
        <f>HYPERLINK("https://github.com/Anuken/Mindustry/releases", "show")</f>
        <v>show</v>
      </c>
      <c r="I10283">
        <v>1</v>
      </c>
      <c r="J10283">
        <v>1</v>
      </c>
      <c r="K10283">
        <v>0</v>
      </c>
      <c r="L10283">
        <v>0</v>
      </c>
      <c r="M10283" t="s">
        <v>48</v>
      </c>
    </row>
    <row r="10284" spans="1:13" hidden="1" x14ac:dyDescent="0.15">
      <c r="A10284" t="s">
        <v>32417</v>
      </c>
      <c r="B10284" t="s">
        <v>32418</v>
      </c>
      <c r="C10284" t="s">
        <v>32419</v>
      </c>
      <c r="D10284" t="s">
        <v>32420</v>
      </c>
      <c r="E10284">
        <v>12</v>
      </c>
      <c r="F10284" t="str">
        <f>HYPERLINK("https://github.com/MuntashirAkon/AppManager/issues/1079", "show")</f>
        <v>show</v>
      </c>
      <c r="G10284" t="str">
        <f>HYPERLINK("https://github.com/MuntashirAkon/AppManager", "show")</f>
        <v>show</v>
      </c>
      <c r="H10284" t="str">
        <f>HYPERLINK("https://github.com/MuntashirAkon/AppManager/releases", "show")</f>
        <v>show</v>
      </c>
      <c r="I10284">
        <v>1</v>
      </c>
      <c r="J10284">
        <v>1</v>
      </c>
      <c r="K10284">
        <v>1</v>
      </c>
      <c r="L10284">
        <v>0</v>
      </c>
      <c r="M10284" t="s">
        <v>59</v>
      </c>
    </row>
    <row r="10285" spans="1:13" hidden="1" x14ac:dyDescent="0.15">
      <c r="A10285" t="s">
        <v>32421</v>
      </c>
      <c r="B10285" t="s">
        <v>32422</v>
      </c>
      <c r="C10285" t="s">
        <v>32423</v>
      </c>
      <c r="D10285" t="s">
        <v>32420</v>
      </c>
      <c r="E10285">
        <v>0</v>
      </c>
      <c r="F10285" t="str">
        <f>HYPERLINK("https://github.com/AndroidIDEOfficial/AndroidIDE/issues/1006", "show")</f>
        <v>show</v>
      </c>
      <c r="G10285" t="str">
        <f>HYPERLINK("https://github.com/AndroidIDEOfficial/AndroidIDE", "show")</f>
        <v>show</v>
      </c>
      <c r="H10285" t="str">
        <f>HYPERLINK("https://github.com/AndroidIDEOfficial/AndroidIDE/releases", "show")</f>
        <v>show</v>
      </c>
      <c r="I10285">
        <v>0</v>
      </c>
      <c r="J10285">
        <v>0</v>
      </c>
      <c r="K10285">
        <v>1</v>
      </c>
      <c r="L10285">
        <v>0</v>
      </c>
      <c r="M10285" t="s">
        <v>122</v>
      </c>
    </row>
    <row r="10286" spans="1:13" hidden="1" x14ac:dyDescent="0.15">
      <c r="A10286" t="s">
        <v>32424</v>
      </c>
      <c r="B10286" t="s">
        <v>32425</v>
      </c>
      <c r="C10286" t="s">
        <v>32426</v>
      </c>
      <c r="D10286" t="s">
        <v>32427</v>
      </c>
      <c r="E10286">
        <v>3</v>
      </c>
      <c r="F10286" t="str">
        <f>HYPERLINK("https://github.com/AppLovin/AppLovin-MAX-React-Native/issues/224", "show")</f>
        <v>show</v>
      </c>
      <c r="G10286" t="str">
        <f>HYPERLINK("https://github.com/AppLovin/AppLovin-MAX-React-Native", "show")</f>
        <v>show</v>
      </c>
      <c r="H10286" t="str">
        <f>HYPERLINK("https://github.com/AppLovin/AppLovin-MAX-React-Native/releases", "show")</f>
        <v>show</v>
      </c>
      <c r="I10286">
        <v>1</v>
      </c>
      <c r="J10286">
        <v>0</v>
      </c>
      <c r="K10286">
        <v>1</v>
      </c>
      <c r="L10286">
        <v>0</v>
      </c>
      <c r="M10286" t="s">
        <v>64</v>
      </c>
    </row>
    <row r="10287" spans="1:13" hidden="1" x14ac:dyDescent="0.15">
      <c r="A10287" t="s">
        <v>32428</v>
      </c>
      <c r="B10287" t="s">
        <v>32429</v>
      </c>
      <c r="C10287" t="s">
        <v>32430</v>
      </c>
      <c r="D10287" t="s">
        <v>32431</v>
      </c>
      <c r="E10287">
        <v>12</v>
      </c>
      <c r="F10287" t="str">
        <f>HYPERLINK("https://github.com/Azure/azure-iot-sdk-java/issues/1718", "show")</f>
        <v>show</v>
      </c>
      <c r="G10287" t="str">
        <f>HYPERLINK("https://github.com/Azure/azure-iot-sdk-java", "show")</f>
        <v>show</v>
      </c>
      <c r="H10287" t="str">
        <f>HYPERLINK("https://github.com/Azure/azure-iot-sdk-java/releases", "show")</f>
        <v>show</v>
      </c>
      <c r="I10287">
        <v>0</v>
      </c>
      <c r="J10287">
        <v>1</v>
      </c>
      <c r="K10287">
        <v>1</v>
      </c>
      <c r="L10287">
        <v>0</v>
      </c>
      <c r="M10287" t="s">
        <v>699</v>
      </c>
    </row>
    <row r="10288" spans="1:13" hidden="1" x14ac:dyDescent="0.15">
      <c r="A10288" t="s">
        <v>32432</v>
      </c>
      <c r="B10288" t="s">
        <v>32433</v>
      </c>
      <c r="C10288" t="s">
        <v>32434</v>
      </c>
      <c r="D10288" t="s">
        <v>32431</v>
      </c>
      <c r="E10288">
        <v>15</v>
      </c>
      <c r="F10288" t="str">
        <f>HYPERLINK("https://github.com/react-native-webrtc/react-native-callkeep/issues/693", "show")</f>
        <v>show</v>
      </c>
      <c r="G10288" t="str">
        <f>HYPERLINK("https://github.com/react-native-webrtc/react-native-callkeep", "show")</f>
        <v>show</v>
      </c>
      <c r="H10288" t="str">
        <f>HYPERLINK("https://github.com/react-native-webrtc/react-native-callkeep/releases", "show")</f>
        <v>show</v>
      </c>
      <c r="I10288">
        <v>0</v>
      </c>
      <c r="J10288">
        <v>0</v>
      </c>
      <c r="K10288">
        <v>0</v>
      </c>
      <c r="L10288">
        <v>0</v>
      </c>
      <c r="M10288" t="s">
        <v>43</v>
      </c>
    </row>
    <row r="10289" spans="1:13" hidden="1" x14ac:dyDescent="0.15">
      <c r="A10289" t="s">
        <v>32435</v>
      </c>
      <c r="B10289" t="s">
        <v>32436</v>
      </c>
      <c r="C10289" t="s">
        <v>32437</v>
      </c>
      <c r="D10289" t="s">
        <v>32438</v>
      </c>
      <c r="E10289">
        <v>6</v>
      </c>
      <c r="F10289" t="str">
        <f>HYPERLINK("https://github.com/patzly/grocy-android/issues/708", "show")</f>
        <v>show</v>
      </c>
      <c r="G10289" t="str">
        <f>HYPERLINK("https://github.com/patzly/grocy-android", "show")</f>
        <v>show</v>
      </c>
      <c r="H10289" t="str">
        <f>HYPERLINK("https://github.com/patzly/grocy-android/releases", "show")</f>
        <v>show</v>
      </c>
      <c r="I10289">
        <v>1</v>
      </c>
      <c r="J10289">
        <v>0</v>
      </c>
      <c r="K10289">
        <v>1</v>
      </c>
      <c r="L10289">
        <v>0</v>
      </c>
      <c r="M10289" t="s">
        <v>64</v>
      </c>
    </row>
    <row r="10290" spans="1:13" hidden="1" x14ac:dyDescent="0.15">
      <c r="A10290" t="s">
        <v>32439</v>
      </c>
      <c r="B10290" t="s">
        <v>32440</v>
      </c>
      <c r="C10290" t="s">
        <v>32441</v>
      </c>
      <c r="D10290" t="s">
        <v>32442</v>
      </c>
      <c r="E10290">
        <v>1</v>
      </c>
      <c r="F10290" t="str">
        <f>HYPERLINK("https://github.com/Aliucord/Aliucord/issues/357", "show")</f>
        <v>show</v>
      </c>
      <c r="G10290" t="str">
        <f>HYPERLINK("https://github.com/Aliucord/Aliucord", "show")</f>
        <v>show</v>
      </c>
      <c r="H10290" t="str">
        <f>HYPERLINK("https://github.com/Aliucord/Aliucord/releases", "show")</f>
        <v>show</v>
      </c>
      <c r="I10290">
        <v>1</v>
      </c>
      <c r="J10290">
        <v>1</v>
      </c>
      <c r="K10290">
        <v>0</v>
      </c>
      <c r="L10290">
        <v>0</v>
      </c>
      <c r="M10290" t="s">
        <v>48</v>
      </c>
    </row>
    <row r="10291" spans="1:13" hidden="1" x14ac:dyDescent="0.15">
      <c r="A10291" t="s">
        <v>32443</v>
      </c>
      <c r="B10291" t="s">
        <v>32444</v>
      </c>
      <c r="C10291" t="s">
        <v>32445</v>
      </c>
      <c r="D10291" t="s">
        <v>32442</v>
      </c>
      <c r="E10291">
        <v>90</v>
      </c>
      <c r="F10291" t="str">
        <f>HYPERLINK("https://github.com/nextcloud/android/issues/11646", "show")</f>
        <v>show</v>
      </c>
      <c r="G10291" t="str">
        <f>HYPERLINK("https://github.com/nextcloud/android", "show")</f>
        <v>show</v>
      </c>
      <c r="H10291" t="str">
        <f>HYPERLINK("https://github.com/nextcloud/android/releases", "show")</f>
        <v>show</v>
      </c>
      <c r="I10291">
        <v>1</v>
      </c>
      <c r="J10291">
        <v>1</v>
      </c>
      <c r="K10291">
        <v>1</v>
      </c>
      <c r="L10291">
        <v>0</v>
      </c>
      <c r="M10291" t="s">
        <v>59</v>
      </c>
    </row>
    <row r="10292" spans="1:13" hidden="1" x14ac:dyDescent="0.15">
      <c r="A10292" t="s">
        <v>32446</v>
      </c>
      <c r="B10292" t="s">
        <v>32447</v>
      </c>
      <c r="C10292" t="s">
        <v>32448</v>
      </c>
      <c r="D10292" t="s">
        <v>32442</v>
      </c>
      <c r="E10292">
        <v>0</v>
      </c>
      <c r="F10292" t="str">
        <f>HYPERLINK("https://github.com/AlfaazPlus/QuranApp/issues/328", "show")</f>
        <v>show</v>
      </c>
      <c r="G10292" t="str">
        <f>HYPERLINK("https://github.com/AlfaazPlus/QuranApp", "show")</f>
        <v>show</v>
      </c>
      <c r="H10292" t="str">
        <f>HYPERLINK("https://github.com/AlfaazPlus/QuranApp/releases", "show")</f>
        <v>show</v>
      </c>
      <c r="I10292">
        <v>1</v>
      </c>
      <c r="J10292">
        <v>1</v>
      </c>
      <c r="K10292">
        <v>0</v>
      </c>
      <c r="L10292">
        <v>0</v>
      </c>
      <c r="M10292" t="s">
        <v>48</v>
      </c>
    </row>
    <row r="10293" spans="1:13" hidden="1" x14ac:dyDescent="0.15">
      <c r="A10293" t="s">
        <v>32449</v>
      </c>
      <c r="B10293" t="s">
        <v>32450</v>
      </c>
      <c r="C10293" t="s">
        <v>32451</v>
      </c>
      <c r="D10293" t="s">
        <v>32442</v>
      </c>
      <c r="E10293">
        <v>0</v>
      </c>
      <c r="F10293" t="str">
        <f>HYPERLINK("https://github.com/backtrace-labs/backtrace-android/issues/97", "show")</f>
        <v>show</v>
      </c>
      <c r="G10293" t="str">
        <f>HYPERLINK("https://github.com/backtrace-labs/backtrace-android", "show")</f>
        <v>show</v>
      </c>
      <c r="H10293" t="str">
        <f>HYPERLINK("https://github.com/backtrace-labs/backtrace-android/releases", "show")</f>
        <v>show</v>
      </c>
      <c r="I10293">
        <v>1</v>
      </c>
      <c r="J10293">
        <v>0</v>
      </c>
      <c r="K10293">
        <v>0</v>
      </c>
      <c r="L10293">
        <v>0</v>
      </c>
      <c r="M10293" t="s">
        <v>17</v>
      </c>
    </row>
    <row r="10294" spans="1:13" hidden="1" x14ac:dyDescent="0.15">
      <c r="A10294" t="s">
        <v>32452</v>
      </c>
      <c r="B10294" t="s">
        <v>32453</v>
      </c>
      <c r="C10294" t="s">
        <v>32454</v>
      </c>
      <c r="D10294" t="s">
        <v>32455</v>
      </c>
      <c r="E10294">
        <v>0</v>
      </c>
      <c r="F10294" t="str">
        <f>HYPERLINK("https://github.com/LSPosed/LSPosed/issues/2544", "show")</f>
        <v>show</v>
      </c>
      <c r="G10294" t="str">
        <f>HYPERLINK("https://github.com/LSPosed/LSPosed", "show")</f>
        <v>show</v>
      </c>
      <c r="H10294" t="str">
        <f>HYPERLINK("https://github.com/LSPosed/LSPosed/releases", "show")</f>
        <v>show</v>
      </c>
      <c r="I10294">
        <v>1</v>
      </c>
      <c r="J10294">
        <v>0</v>
      </c>
      <c r="K10294">
        <v>0</v>
      </c>
      <c r="L10294">
        <v>0</v>
      </c>
      <c r="M10294" t="s">
        <v>17</v>
      </c>
    </row>
    <row r="10295" spans="1:13" hidden="1" x14ac:dyDescent="0.15">
      <c r="A10295" t="s">
        <v>32456</v>
      </c>
      <c r="B10295" t="s">
        <v>32457</v>
      </c>
      <c r="C10295" t="s">
        <v>32458</v>
      </c>
      <c r="D10295" t="s">
        <v>32455</v>
      </c>
      <c r="E10295">
        <v>8</v>
      </c>
      <c r="F10295" t="str">
        <f>HYPERLINK("https://github.com/smartdevicelink/sdl_java_suite/issues/1843", "show")</f>
        <v>show</v>
      </c>
      <c r="G10295" t="str">
        <f>HYPERLINK("https://github.com/smartdevicelink/sdl_java_suite", "show")</f>
        <v>show</v>
      </c>
      <c r="H10295" t="str">
        <f>HYPERLINK("https://github.com/smartdevicelink/sdl_java_suite/releases", "show")</f>
        <v>show</v>
      </c>
      <c r="I10295">
        <v>0</v>
      </c>
      <c r="J10295">
        <v>0</v>
      </c>
      <c r="K10295">
        <v>0</v>
      </c>
      <c r="L10295">
        <v>0</v>
      </c>
      <c r="M10295" t="s">
        <v>43</v>
      </c>
    </row>
    <row r="10296" spans="1:13" hidden="1" x14ac:dyDescent="0.15">
      <c r="A10296" t="s">
        <v>32459</v>
      </c>
      <c r="B10296" t="s">
        <v>32460</v>
      </c>
      <c r="C10296" t="s">
        <v>32461</v>
      </c>
      <c r="D10296" t="s">
        <v>32455</v>
      </c>
      <c r="E10296">
        <v>88</v>
      </c>
      <c r="F10296" t="str">
        <f>HYPERLINK("https://github.com/aws-amplify/amplify-android/issues/2458", "show")</f>
        <v>show</v>
      </c>
      <c r="G10296" t="str">
        <f>HYPERLINK("https://github.com/aws-amplify/amplify-android", "show")</f>
        <v>show</v>
      </c>
      <c r="H10296" t="str">
        <f>HYPERLINK("https://github.com/aws-amplify/amplify-android/releases", "show")</f>
        <v>show</v>
      </c>
      <c r="I10296">
        <v>1</v>
      </c>
      <c r="J10296">
        <v>1</v>
      </c>
      <c r="K10296">
        <v>1</v>
      </c>
      <c r="L10296">
        <v>0</v>
      </c>
      <c r="M10296" t="s">
        <v>59</v>
      </c>
    </row>
    <row r="10297" spans="1:13" x14ac:dyDescent="0.15">
      <c r="A10297" t="s">
        <v>32462</v>
      </c>
      <c r="B10297" t="s">
        <v>11287</v>
      </c>
      <c r="C10297" t="s">
        <v>32463</v>
      </c>
      <c r="D10297" t="s">
        <v>32464</v>
      </c>
      <c r="E10297">
        <v>0</v>
      </c>
      <c r="F10297" t="str">
        <f>HYPERLINK("https://github.com/LawnchairLauncher/lawnchair/issues/3477", "show")</f>
        <v>show</v>
      </c>
      <c r="G10297" t="str">
        <f>HYPERLINK("https://github.com/LawnchairLauncher/lawnchair", "show")</f>
        <v>show</v>
      </c>
      <c r="H10297" t="str">
        <f>HYPERLINK("https://github.com/LawnchairLauncher/lawnchair/releases", "show")</f>
        <v>show</v>
      </c>
      <c r="I10297">
        <v>0</v>
      </c>
      <c r="J10297">
        <v>1</v>
      </c>
      <c r="K10297">
        <v>0</v>
      </c>
      <c r="L10297">
        <v>0</v>
      </c>
      <c r="M10297" t="s">
        <v>139</v>
      </c>
    </row>
    <row r="10298" spans="1:13" hidden="1" x14ac:dyDescent="0.15">
      <c r="A10298" t="s">
        <v>32465</v>
      </c>
      <c r="B10298" t="s">
        <v>32466</v>
      </c>
      <c r="C10298" t="s">
        <v>32467</v>
      </c>
      <c r="D10298" t="s">
        <v>32468</v>
      </c>
      <c r="E10298">
        <v>1</v>
      </c>
      <c r="F10298" t="str">
        <f>HYPERLINK("https://github.com/cgeo/cgeo/issues/14278", "show")</f>
        <v>show</v>
      </c>
      <c r="G10298" t="str">
        <f>HYPERLINK("https://github.com/cgeo/cgeo", "show")</f>
        <v>show</v>
      </c>
      <c r="H10298" t="str">
        <f>HYPERLINK("https://github.com/cgeo/cgeo/releases", "show")</f>
        <v>show</v>
      </c>
      <c r="I10298">
        <v>1</v>
      </c>
      <c r="J10298">
        <v>0</v>
      </c>
      <c r="K10298">
        <v>1</v>
      </c>
      <c r="L10298">
        <v>0</v>
      </c>
      <c r="M10298" t="s">
        <v>64</v>
      </c>
    </row>
    <row r="10299" spans="1:13" hidden="1" x14ac:dyDescent="0.15">
      <c r="A10299" t="s">
        <v>32469</v>
      </c>
      <c r="B10299" t="s">
        <v>32168</v>
      </c>
      <c r="C10299" t="s">
        <v>32470</v>
      </c>
      <c r="D10299" t="s">
        <v>32468</v>
      </c>
      <c r="E10299">
        <v>4</v>
      </c>
      <c r="F10299" t="str">
        <f>HYPERLINK("https://github.com/AndroidIDEOfficial/AndroidIDE/issues/985", "show")</f>
        <v>show</v>
      </c>
      <c r="G10299" t="str">
        <f>HYPERLINK("https://github.com/AndroidIDEOfficial/AndroidIDE", "show")</f>
        <v>show</v>
      </c>
      <c r="H10299" t="str">
        <f>HYPERLINK("https://github.com/AndroidIDEOfficial/AndroidIDE/releases", "show")</f>
        <v>show</v>
      </c>
      <c r="I10299">
        <v>0</v>
      </c>
      <c r="J10299">
        <v>0</v>
      </c>
      <c r="K10299">
        <v>1</v>
      </c>
      <c r="L10299">
        <v>0</v>
      </c>
      <c r="M10299" t="s">
        <v>122</v>
      </c>
    </row>
    <row r="10300" spans="1:13" hidden="1" x14ac:dyDescent="0.15">
      <c r="A10300" t="s">
        <v>32471</v>
      </c>
      <c r="B10300" t="s">
        <v>32472</v>
      </c>
      <c r="C10300" t="s">
        <v>32473</v>
      </c>
      <c r="D10300" t="s">
        <v>32474</v>
      </c>
      <c r="E10300">
        <v>0</v>
      </c>
      <c r="F10300" t="str">
        <f>HYPERLINK("https://github.com/PhenoApps/Field-Book/issues/606", "show")</f>
        <v>show</v>
      </c>
      <c r="G10300" t="str">
        <f>HYPERLINK("https://github.com/PhenoApps/Field-Book", "show")</f>
        <v>show</v>
      </c>
      <c r="H10300" t="str">
        <f>HYPERLINK("https://github.com/PhenoApps/Field-Book/releases", "show")</f>
        <v>show</v>
      </c>
      <c r="I10300">
        <v>0</v>
      </c>
      <c r="J10300">
        <v>0</v>
      </c>
      <c r="K10300">
        <v>0</v>
      </c>
      <c r="L10300">
        <v>0</v>
      </c>
      <c r="M10300" t="s">
        <v>43</v>
      </c>
    </row>
    <row r="10301" spans="1:13" hidden="1" x14ac:dyDescent="0.15">
      <c r="A10301" t="s">
        <v>32475</v>
      </c>
      <c r="B10301" t="s">
        <v>32476</v>
      </c>
      <c r="C10301" t="s">
        <v>32477</v>
      </c>
      <c r="D10301" t="s">
        <v>32474</v>
      </c>
      <c r="E10301">
        <v>1</v>
      </c>
      <c r="F10301" t="str">
        <f>HYPERLINK("https://github.com/patzly/grocy-android/issues/699", "show")</f>
        <v>show</v>
      </c>
      <c r="G10301" t="str">
        <f>HYPERLINK("https://github.com/patzly/grocy-android", "show")</f>
        <v>show</v>
      </c>
      <c r="H10301" t="str">
        <f>HYPERLINK("https://github.com/patzly/grocy-android/releases", "show")</f>
        <v>show</v>
      </c>
      <c r="I10301">
        <v>1</v>
      </c>
      <c r="J10301">
        <v>0</v>
      </c>
      <c r="K10301">
        <v>0</v>
      </c>
      <c r="L10301">
        <v>0</v>
      </c>
      <c r="M10301" t="s">
        <v>17</v>
      </c>
    </row>
    <row r="10302" spans="1:13" hidden="1" x14ac:dyDescent="0.15">
      <c r="A10302" t="s">
        <v>32478</v>
      </c>
      <c r="B10302" t="s">
        <v>32479</v>
      </c>
      <c r="C10302" t="s">
        <v>32480</v>
      </c>
      <c r="D10302" t="s">
        <v>32474</v>
      </c>
      <c r="E10302">
        <v>8</v>
      </c>
      <c r="F10302" t="str">
        <f>HYPERLINK("https://github.com/AndroidIDEOfficial/AndroidIDE/issues/982", "show")</f>
        <v>show</v>
      </c>
      <c r="G10302" t="str">
        <f>HYPERLINK("https://github.com/AndroidIDEOfficial/AndroidIDE", "show")</f>
        <v>show</v>
      </c>
      <c r="H10302" t="str">
        <f>HYPERLINK("https://github.com/AndroidIDEOfficial/AndroidIDE/releases", "show")</f>
        <v>show</v>
      </c>
      <c r="I10302">
        <v>0</v>
      </c>
      <c r="J10302">
        <v>0</v>
      </c>
      <c r="K10302">
        <v>1</v>
      </c>
      <c r="L10302">
        <v>0</v>
      </c>
      <c r="M10302" t="s">
        <v>122</v>
      </c>
    </row>
    <row r="10303" spans="1:13" hidden="1" x14ac:dyDescent="0.15">
      <c r="A10303" t="s">
        <v>32481</v>
      </c>
      <c r="B10303" t="s">
        <v>32482</v>
      </c>
      <c r="C10303" t="s">
        <v>32483</v>
      </c>
      <c r="D10303" t="s">
        <v>32484</v>
      </c>
      <c r="E10303">
        <v>0</v>
      </c>
      <c r="F10303" t="str">
        <f>HYPERLINK("https://github.com/jellyfin/jellyfin-androidtv/issues/2780", "show")</f>
        <v>show</v>
      </c>
      <c r="G10303" t="str">
        <f>HYPERLINK("https://github.com/jellyfin/jellyfin-androidtv", "show")</f>
        <v>show</v>
      </c>
      <c r="H10303" t="str">
        <f>HYPERLINK("https://github.com/jellyfin/jellyfin-androidtv/releases", "show")</f>
        <v>show</v>
      </c>
      <c r="I10303">
        <v>1</v>
      </c>
      <c r="J10303">
        <v>0</v>
      </c>
      <c r="K10303">
        <v>0</v>
      </c>
      <c r="L10303">
        <v>0</v>
      </c>
      <c r="M10303" t="s">
        <v>17</v>
      </c>
    </row>
    <row r="10304" spans="1:13" hidden="1" x14ac:dyDescent="0.15">
      <c r="A10304" t="s">
        <v>32485</v>
      </c>
      <c r="B10304" t="s">
        <v>32486</v>
      </c>
      <c r="C10304" t="s">
        <v>32487</v>
      </c>
      <c r="D10304" t="s">
        <v>32488</v>
      </c>
      <c r="E10304">
        <v>5</v>
      </c>
      <c r="F10304" t="str">
        <f>HYPERLINK("https://github.com/aws-amplify/amplify-android/issues/2456", "show")</f>
        <v>show</v>
      </c>
      <c r="G10304" t="str">
        <f>HYPERLINK("https://github.com/aws-amplify/amplify-android", "show")</f>
        <v>show</v>
      </c>
      <c r="H10304" t="str">
        <f>HYPERLINK("https://github.com/aws-amplify/amplify-android/releases", "show")</f>
        <v>show</v>
      </c>
      <c r="I10304">
        <v>1</v>
      </c>
      <c r="J10304">
        <v>1</v>
      </c>
      <c r="K10304">
        <v>1</v>
      </c>
      <c r="L10304">
        <v>0</v>
      </c>
      <c r="M10304" t="s">
        <v>59</v>
      </c>
    </row>
    <row r="10305" spans="1:13" hidden="1" x14ac:dyDescent="0.15">
      <c r="A10305" t="s">
        <v>32489</v>
      </c>
      <c r="B10305" t="s">
        <v>32490</v>
      </c>
      <c r="D10305" t="s">
        <v>32488</v>
      </c>
      <c r="E10305">
        <v>22</v>
      </c>
      <c r="F10305" t="str">
        <f>HYPERLINK("https://github.com/nikita36078/J2ME-Loader/issues/998", "show")</f>
        <v>show</v>
      </c>
      <c r="G10305" t="str">
        <f>HYPERLINK("https://github.com/nikita36078/J2ME-Loader", "show")</f>
        <v>show</v>
      </c>
      <c r="H10305" t="str">
        <f>HYPERLINK("https://github.com/nikita36078/J2ME-Loader/releases", "show")</f>
        <v>show</v>
      </c>
      <c r="I10305">
        <v>0</v>
      </c>
      <c r="J10305">
        <v>0</v>
      </c>
      <c r="K10305">
        <v>0</v>
      </c>
      <c r="L10305">
        <v>1</v>
      </c>
      <c r="M10305" t="s">
        <v>581</v>
      </c>
    </row>
    <row r="10306" spans="1:13" hidden="1" x14ac:dyDescent="0.15">
      <c r="A10306" t="s">
        <v>32491</v>
      </c>
      <c r="B10306" t="s">
        <v>32492</v>
      </c>
      <c r="C10306" t="s">
        <v>32493</v>
      </c>
      <c r="D10306" t="s">
        <v>32494</v>
      </c>
      <c r="E10306">
        <v>0</v>
      </c>
      <c r="F10306" t="str">
        <f>HYPERLINK("https://github.com/MuntashirAkon/AppManager/issues/1066", "show")</f>
        <v>show</v>
      </c>
      <c r="G10306" t="str">
        <f>HYPERLINK("https://github.com/MuntashirAkon/AppManager", "show")</f>
        <v>show</v>
      </c>
      <c r="H10306" t="str">
        <f>HYPERLINK("https://github.com/MuntashirAkon/AppManager/releases", "show")</f>
        <v>show</v>
      </c>
      <c r="I10306">
        <v>1</v>
      </c>
      <c r="J10306">
        <v>0</v>
      </c>
      <c r="K10306">
        <v>1</v>
      </c>
      <c r="L10306">
        <v>0</v>
      </c>
      <c r="M10306" t="s">
        <v>64</v>
      </c>
    </row>
    <row r="10307" spans="1:13" hidden="1" x14ac:dyDescent="0.15">
      <c r="A10307" t="s">
        <v>32495</v>
      </c>
      <c r="B10307" t="s">
        <v>32496</v>
      </c>
      <c r="C10307" t="s">
        <v>32497</v>
      </c>
      <c r="D10307" t="s">
        <v>32494</v>
      </c>
      <c r="E10307">
        <v>15</v>
      </c>
      <c r="F10307" t="str">
        <f>HYPERLINK("https://github.com/androidx/media/issues/395", "show")</f>
        <v>show</v>
      </c>
      <c r="G10307" t="str">
        <f>HYPERLINK("https://github.com/androidx/media", "show")</f>
        <v>show</v>
      </c>
      <c r="H10307" t="str">
        <f>HYPERLINK("https://github.com/androidx/media/releases", "show")</f>
        <v>show</v>
      </c>
      <c r="I10307">
        <v>0</v>
      </c>
      <c r="J10307">
        <v>0</v>
      </c>
      <c r="K10307">
        <v>0</v>
      </c>
      <c r="L10307">
        <v>0</v>
      </c>
      <c r="M10307" t="s">
        <v>43</v>
      </c>
    </row>
    <row r="10308" spans="1:13" hidden="1" x14ac:dyDescent="0.15">
      <c r="A10308" t="s">
        <v>32498</v>
      </c>
      <c r="B10308" t="s">
        <v>32499</v>
      </c>
      <c r="C10308" t="s">
        <v>32500</v>
      </c>
      <c r="D10308" t="s">
        <v>32501</v>
      </c>
      <c r="E10308">
        <v>1</v>
      </c>
      <c r="F10308" t="str">
        <f>HYPERLINK("https://github.com/PojavLauncherTeam/PojavLauncher/issues/4199", "show")</f>
        <v>show</v>
      </c>
      <c r="G10308" t="str">
        <f>HYPERLINK("https://github.com/PojavLauncherTeam/PojavLauncher", "show")</f>
        <v>show</v>
      </c>
      <c r="H10308" t="str">
        <f>HYPERLINK("https://github.com/PojavLauncherTeam/PojavLauncher/releases", "show")</f>
        <v>show</v>
      </c>
      <c r="I10308">
        <v>1</v>
      </c>
      <c r="J10308">
        <v>0</v>
      </c>
      <c r="K10308">
        <v>0</v>
      </c>
      <c r="L10308">
        <v>0</v>
      </c>
      <c r="M10308" t="s">
        <v>17</v>
      </c>
    </row>
    <row r="10309" spans="1:13" hidden="1" x14ac:dyDescent="0.15">
      <c r="A10309" t="s">
        <v>32502</v>
      </c>
      <c r="B10309" t="s">
        <v>32503</v>
      </c>
      <c r="C10309" t="s">
        <v>32504</v>
      </c>
      <c r="D10309" t="s">
        <v>32501</v>
      </c>
      <c r="E10309">
        <v>0</v>
      </c>
      <c r="F10309" t="str">
        <f>HYPERLINK("https://github.com/Anuken/Mindustry/issues/8612", "show")</f>
        <v>show</v>
      </c>
      <c r="G10309" t="str">
        <f>HYPERLINK("https://github.com/Anuken/Mindustry", "show")</f>
        <v>show</v>
      </c>
      <c r="H10309" t="str">
        <f>HYPERLINK("https://github.com/Anuken/Mindustry/releases", "show")</f>
        <v>show</v>
      </c>
      <c r="I10309">
        <v>0</v>
      </c>
      <c r="J10309">
        <v>0</v>
      </c>
      <c r="K10309">
        <v>0</v>
      </c>
      <c r="L10309">
        <v>1</v>
      </c>
      <c r="M10309" t="s">
        <v>581</v>
      </c>
    </row>
    <row r="10310" spans="1:13" hidden="1" x14ac:dyDescent="0.15">
      <c r="A10310" t="s">
        <v>32505</v>
      </c>
      <c r="B10310" t="s">
        <v>32506</v>
      </c>
      <c r="C10310" t="s">
        <v>32507</v>
      </c>
      <c r="D10310" t="s">
        <v>32501</v>
      </c>
      <c r="E10310">
        <v>0</v>
      </c>
      <c r="F10310" t="str">
        <f>HYPERLINK("https://github.com/material-components/material-components-android/issues/3399", "show")</f>
        <v>show</v>
      </c>
      <c r="G10310" t="str">
        <f>HYPERLINK("https://github.com/material-components/material-components-android", "show")</f>
        <v>show</v>
      </c>
      <c r="H10310" t="str">
        <f>HYPERLINK("https://github.com/material-components/material-components-android/releases", "show")</f>
        <v>show</v>
      </c>
      <c r="I10310">
        <v>1</v>
      </c>
      <c r="J10310">
        <v>0</v>
      </c>
      <c r="K10310">
        <v>1</v>
      </c>
      <c r="L10310">
        <v>0</v>
      </c>
      <c r="M10310" t="s">
        <v>64</v>
      </c>
    </row>
    <row r="10311" spans="1:13" hidden="1" x14ac:dyDescent="0.15">
      <c r="A10311" t="s">
        <v>32508</v>
      </c>
      <c r="B10311" t="s">
        <v>32509</v>
      </c>
      <c r="C10311" t="s">
        <v>32510</v>
      </c>
      <c r="D10311" t="s">
        <v>32501</v>
      </c>
      <c r="E10311">
        <v>0</v>
      </c>
      <c r="F10311" t="str">
        <f>HYPERLINK("https://github.com/jMonkeyEngine/jmonkeyengine/issues/2011", "show")</f>
        <v>show</v>
      </c>
      <c r="G10311" t="str">
        <f>HYPERLINK("https://github.com/jMonkeyEngine/jmonkeyengine", "show")</f>
        <v>show</v>
      </c>
      <c r="H10311" t="str">
        <f>HYPERLINK("https://github.com/jMonkeyEngine/jmonkeyengine/releases", "show")</f>
        <v>show</v>
      </c>
      <c r="I10311">
        <v>1</v>
      </c>
      <c r="J10311">
        <v>0</v>
      </c>
      <c r="K10311">
        <v>1</v>
      </c>
      <c r="L10311">
        <v>0</v>
      </c>
      <c r="M10311" t="s">
        <v>64</v>
      </c>
    </row>
    <row r="10312" spans="1:13" hidden="1" x14ac:dyDescent="0.15">
      <c r="A10312" t="s">
        <v>32511</v>
      </c>
      <c r="B10312" t="s">
        <v>32512</v>
      </c>
      <c r="C10312" t="s">
        <v>32513</v>
      </c>
      <c r="D10312" t="s">
        <v>32501</v>
      </c>
      <c r="E10312">
        <v>150</v>
      </c>
      <c r="F10312" t="str">
        <f>HYPERLINK("https://github.com/androidx/media/issues/392", "show")</f>
        <v>show</v>
      </c>
      <c r="G10312" t="str">
        <f>HYPERLINK("https://github.com/androidx/media", "show")</f>
        <v>show</v>
      </c>
      <c r="H10312" t="str">
        <f>HYPERLINK("https://github.com/androidx/media/releases", "show")</f>
        <v>show</v>
      </c>
      <c r="I10312">
        <v>1</v>
      </c>
      <c r="J10312">
        <v>0</v>
      </c>
      <c r="K10312">
        <v>1</v>
      </c>
      <c r="L10312">
        <v>0</v>
      </c>
      <c r="M10312" t="s">
        <v>64</v>
      </c>
    </row>
    <row r="10313" spans="1:13" hidden="1" x14ac:dyDescent="0.15">
      <c r="A10313" t="s">
        <v>32514</v>
      </c>
      <c r="B10313" t="s">
        <v>32515</v>
      </c>
      <c r="C10313" t="s">
        <v>32516</v>
      </c>
      <c r="D10313" t="s">
        <v>32501</v>
      </c>
      <c r="E10313">
        <v>0</v>
      </c>
      <c r="F10313" t="str">
        <f>HYPERLINK("https://github.com/Anuken/Mindustry/issues/8607", "show")</f>
        <v>show</v>
      </c>
      <c r="G10313" t="str">
        <f>HYPERLINK("https://github.com/Anuken/Mindustry", "show")</f>
        <v>show</v>
      </c>
      <c r="H10313" t="str">
        <f>HYPERLINK("https://github.com/Anuken/Mindustry/releases", "show")</f>
        <v>show</v>
      </c>
      <c r="I10313">
        <v>0</v>
      </c>
      <c r="J10313">
        <v>1</v>
      </c>
      <c r="K10313">
        <v>0</v>
      </c>
      <c r="L10313">
        <v>1</v>
      </c>
      <c r="M10313" t="s">
        <v>1732</v>
      </c>
    </row>
    <row r="10314" spans="1:13" hidden="1" x14ac:dyDescent="0.15">
      <c r="A10314" t="s">
        <v>32517</v>
      </c>
      <c r="B10314" t="s">
        <v>32518</v>
      </c>
      <c r="C10314" t="s">
        <v>32519</v>
      </c>
      <c r="D10314" t="s">
        <v>32520</v>
      </c>
      <c r="E10314">
        <v>6</v>
      </c>
      <c r="F10314" t="str">
        <f>HYPERLINK("https://github.com/patzly/grocy-android/issues/697", "show")</f>
        <v>show</v>
      </c>
      <c r="G10314" t="str">
        <f>HYPERLINK("https://github.com/patzly/grocy-android", "show")</f>
        <v>show</v>
      </c>
      <c r="H10314" t="str">
        <f>HYPERLINK("https://github.com/patzly/grocy-android/releases", "show")</f>
        <v>show</v>
      </c>
      <c r="I10314">
        <v>0</v>
      </c>
      <c r="J10314">
        <v>0</v>
      </c>
      <c r="K10314">
        <v>1</v>
      </c>
      <c r="L10314">
        <v>0</v>
      </c>
      <c r="M10314" t="s">
        <v>122</v>
      </c>
    </row>
    <row r="10315" spans="1:13" hidden="1" x14ac:dyDescent="0.15">
      <c r="A10315" t="s">
        <v>32521</v>
      </c>
      <c r="B10315" t="s">
        <v>32522</v>
      </c>
      <c r="C10315" t="s">
        <v>32523</v>
      </c>
      <c r="D10315" t="s">
        <v>32520</v>
      </c>
      <c r="E10315">
        <v>0</v>
      </c>
      <c r="F10315" t="str">
        <f>HYPERLINK("https://github.com/LSPosed/LSPosed/issues/2535", "show")</f>
        <v>show</v>
      </c>
      <c r="G10315" t="str">
        <f>HYPERLINK("https://github.com/LSPosed/LSPosed", "show")</f>
        <v>show</v>
      </c>
      <c r="H10315" t="str">
        <f>HYPERLINK("https://github.com/LSPosed/LSPosed/releases", "show")</f>
        <v>show</v>
      </c>
      <c r="I10315">
        <v>0</v>
      </c>
      <c r="J10315">
        <v>0</v>
      </c>
      <c r="K10315">
        <v>1</v>
      </c>
      <c r="L10315">
        <v>0</v>
      </c>
      <c r="M10315" t="s">
        <v>122</v>
      </c>
    </row>
    <row r="10316" spans="1:13" hidden="1" x14ac:dyDescent="0.15">
      <c r="A10316" t="s">
        <v>32524</v>
      </c>
      <c r="B10316" t="s">
        <v>32525</v>
      </c>
      <c r="C10316" t="s">
        <v>32526</v>
      </c>
      <c r="D10316" t="s">
        <v>32527</v>
      </c>
      <c r="E10316">
        <v>0</v>
      </c>
      <c r="F10316" t="str">
        <f>HYPERLINK("https://github.com/Anuken/Mindustry/issues/8602", "show")</f>
        <v>show</v>
      </c>
      <c r="G10316" t="str">
        <f>HYPERLINK("https://github.com/Anuken/Mindustry", "show")</f>
        <v>show</v>
      </c>
      <c r="H10316" t="str">
        <f>HYPERLINK("https://github.com/Anuken/Mindustry/releases", "show")</f>
        <v>show</v>
      </c>
      <c r="I10316">
        <v>1</v>
      </c>
      <c r="J10316">
        <v>0</v>
      </c>
      <c r="K10316">
        <v>0</v>
      </c>
      <c r="L10316">
        <v>0</v>
      </c>
      <c r="M10316" t="s">
        <v>17</v>
      </c>
    </row>
    <row r="10317" spans="1:13" hidden="1" x14ac:dyDescent="0.15">
      <c r="A10317" t="s">
        <v>32528</v>
      </c>
      <c r="B10317" t="s">
        <v>32529</v>
      </c>
      <c r="C10317" t="s">
        <v>32530</v>
      </c>
      <c r="D10317" t="s">
        <v>32527</v>
      </c>
      <c r="E10317">
        <v>0</v>
      </c>
      <c r="F10317" t="str">
        <f>HYPERLINK("https://github.com/OpenTracksApp/OpenTracks/issues/1561", "show")</f>
        <v>show</v>
      </c>
      <c r="G10317" t="str">
        <f>HYPERLINK("https://github.com/OpenTracksApp/OpenTracks", "show")</f>
        <v>show</v>
      </c>
      <c r="H10317" t="str">
        <f>HYPERLINK("https://github.com/OpenTracksApp/OpenTracks/releases", "show")</f>
        <v>show</v>
      </c>
      <c r="I10317">
        <v>0</v>
      </c>
      <c r="J10317">
        <v>0</v>
      </c>
      <c r="K10317">
        <v>1</v>
      </c>
      <c r="L10317">
        <v>0</v>
      </c>
      <c r="M10317" t="s">
        <v>122</v>
      </c>
    </row>
    <row r="10318" spans="1:13" hidden="1" x14ac:dyDescent="0.15">
      <c r="A10318" t="s">
        <v>32531</v>
      </c>
      <c r="B10318" t="s">
        <v>32532</v>
      </c>
      <c r="C10318" t="s">
        <v>32533</v>
      </c>
      <c r="D10318" t="s">
        <v>32534</v>
      </c>
      <c r="E10318">
        <v>0</v>
      </c>
      <c r="F10318" t="str">
        <f>HYPERLINK("https://github.com/Anuken/Mindustry/issues/8594", "show")</f>
        <v>show</v>
      </c>
      <c r="G10318" t="str">
        <f>HYPERLINK("https://github.com/Anuken/Mindustry", "show")</f>
        <v>show</v>
      </c>
      <c r="H10318" t="str">
        <f>HYPERLINK("https://github.com/Anuken/Mindustry/releases", "show")</f>
        <v>show</v>
      </c>
      <c r="I10318">
        <v>0</v>
      </c>
      <c r="J10318">
        <v>0</v>
      </c>
      <c r="K10318">
        <v>0</v>
      </c>
      <c r="L10318">
        <v>1</v>
      </c>
      <c r="M10318" t="s">
        <v>581</v>
      </c>
    </row>
    <row r="10319" spans="1:13" hidden="1" x14ac:dyDescent="0.15">
      <c r="A10319" t="s">
        <v>32535</v>
      </c>
      <c r="B10319" t="s">
        <v>32536</v>
      </c>
      <c r="C10319" t="s">
        <v>32537</v>
      </c>
      <c r="D10319" t="s">
        <v>32534</v>
      </c>
      <c r="E10319">
        <v>0</v>
      </c>
      <c r="F10319" t="str">
        <f>HYPERLINK("https://github.com/Anuken/Mindustry/issues/8589", "show")</f>
        <v>show</v>
      </c>
      <c r="G10319" t="str">
        <f>HYPERLINK("https://github.com/Anuken/Mindustry", "show")</f>
        <v>show</v>
      </c>
      <c r="H10319" t="str">
        <f>HYPERLINK("https://github.com/Anuken/Mindustry/releases", "show")</f>
        <v>show</v>
      </c>
      <c r="I10319">
        <v>0</v>
      </c>
      <c r="J10319">
        <v>0</v>
      </c>
      <c r="K10319">
        <v>0</v>
      </c>
      <c r="L10319">
        <v>1</v>
      </c>
      <c r="M10319" t="s">
        <v>581</v>
      </c>
    </row>
    <row r="10320" spans="1:13" hidden="1" x14ac:dyDescent="0.15">
      <c r="A10320" t="s">
        <v>32538</v>
      </c>
      <c r="B10320" t="s">
        <v>32539</v>
      </c>
      <c r="C10320" t="s">
        <v>32540</v>
      </c>
      <c r="D10320" t="s">
        <v>32534</v>
      </c>
      <c r="E10320">
        <v>0</v>
      </c>
      <c r="F10320" t="str">
        <f>HYPERLINK("https://github.com/Anuken/Mindustry/issues/8588", "show")</f>
        <v>show</v>
      </c>
      <c r="G10320" t="str">
        <f>HYPERLINK("https://github.com/Anuken/Mindustry", "show")</f>
        <v>show</v>
      </c>
      <c r="H10320" t="str">
        <f>HYPERLINK("https://github.com/Anuken/Mindustry/releases", "show")</f>
        <v>show</v>
      </c>
      <c r="I10320">
        <v>1</v>
      </c>
      <c r="J10320">
        <v>0</v>
      </c>
      <c r="K10320">
        <v>0</v>
      </c>
      <c r="L10320">
        <v>0</v>
      </c>
      <c r="M10320" t="s">
        <v>17</v>
      </c>
    </row>
    <row r="10321" spans="1:13" hidden="1" x14ac:dyDescent="0.15">
      <c r="A10321" t="s">
        <v>32541</v>
      </c>
      <c r="B10321" t="s">
        <v>32542</v>
      </c>
      <c r="C10321" t="s">
        <v>32543</v>
      </c>
      <c r="D10321" t="s">
        <v>32534</v>
      </c>
      <c r="E10321">
        <v>0</v>
      </c>
      <c r="F10321" t="str">
        <f>HYPERLINK("https://github.com/Anuken/Mindustry/issues/8587", "show")</f>
        <v>show</v>
      </c>
      <c r="G10321" t="str">
        <f>HYPERLINK("https://github.com/Anuken/Mindustry", "show")</f>
        <v>show</v>
      </c>
      <c r="H10321" t="str">
        <f>HYPERLINK("https://github.com/Anuken/Mindustry/releases", "show")</f>
        <v>show</v>
      </c>
      <c r="I10321">
        <v>1</v>
      </c>
      <c r="J10321">
        <v>1</v>
      </c>
      <c r="K10321">
        <v>0</v>
      </c>
      <c r="L10321">
        <v>0</v>
      </c>
      <c r="M10321" t="s">
        <v>48</v>
      </c>
    </row>
    <row r="10322" spans="1:13" hidden="1" x14ac:dyDescent="0.15">
      <c r="A10322" t="s">
        <v>32544</v>
      </c>
      <c r="B10322" t="s">
        <v>32545</v>
      </c>
      <c r="C10322" t="s">
        <v>32546</v>
      </c>
      <c r="D10322" t="s">
        <v>32534</v>
      </c>
      <c r="E10322">
        <v>0</v>
      </c>
      <c r="F10322" t="str">
        <f>HYPERLINK("https://github.com/LSPosed/LSPosed/issues/2531", "show")</f>
        <v>show</v>
      </c>
      <c r="G10322" t="str">
        <f>HYPERLINK("https://github.com/LSPosed/LSPosed", "show")</f>
        <v>show</v>
      </c>
      <c r="H10322" t="str">
        <f>HYPERLINK("https://github.com/LSPosed/LSPosed/releases", "show")</f>
        <v>show</v>
      </c>
      <c r="I10322">
        <v>1</v>
      </c>
      <c r="J10322">
        <v>0</v>
      </c>
      <c r="K10322">
        <v>0</v>
      </c>
      <c r="L10322">
        <v>0</v>
      </c>
      <c r="M10322" t="s">
        <v>17</v>
      </c>
    </row>
    <row r="10323" spans="1:13" hidden="1" x14ac:dyDescent="0.15">
      <c r="A10323" t="s">
        <v>32547</v>
      </c>
      <c r="B10323" t="s">
        <v>32548</v>
      </c>
      <c r="C10323" t="s">
        <v>32549</v>
      </c>
      <c r="D10323" t="s">
        <v>32534</v>
      </c>
      <c r="E10323">
        <v>3</v>
      </c>
      <c r="F10323" t="str">
        <f>HYPERLINK("https://github.com/aws-amplify/amplify-android/issues/2449", "show")</f>
        <v>show</v>
      </c>
      <c r="G10323" t="str">
        <f>HYPERLINK("https://github.com/aws-amplify/amplify-android", "show")</f>
        <v>show</v>
      </c>
      <c r="H10323" t="str">
        <f>HYPERLINK("https://github.com/aws-amplify/amplify-android/releases", "show")</f>
        <v>show</v>
      </c>
      <c r="I10323">
        <v>0</v>
      </c>
      <c r="J10323">
        <v>1</v>
      </c>
      <c r="K10323">
        <v>1</v>
      </c>
      <c r="L10323">
        <v>0</v>
      </c>
      <c r="M10323" t="s">
        <v>699</v>
      </c>
    </row>
    <row r="10324" spans="1:13" hidden="1" x14ac:dyDescent="0.15">
      <c r="A10324" t="s">
        <v>32550</v>
      </c>
      <c r="B10324" t="s">
        <v>32551</v>
      </c>
      <c r="C10324" t="s">
        <v>32552</v>
      </c>
      <c r="D10324" t="s">
        <v>32534</v>
      </c>
      <c r="E10324">
        <v>0</v>
      </c>
      <c r="F10324" t="str">
        <f>HYPERLINK("https://github.com/Androidacy/MagiskModuleManager/issues/21", "show")</f>
        <v>show</v>
      </c>
      <c r="G10324" t="str">
        <f>HYPERLINK("https://github.com/Androidacy/MagiskModuleManager", "show")</f>
        <v>show</v>
      </c>
      <c r="H10324" t="str">
        <f>HYPERLINK("https://github.com/Androidacy/MagiskModuleManager/releases", "show")</f>
        <v>show</v>
      </c>
      <c r="I10324">
        <v>1</v>
      </c>
      <c r="J10324">
        <v>1</v>
      </c>
      <c r="K10324">
        <v>0</v>
      </c>
      <c r="L10324">
        <v>0</v>
      </c>
      <c r="M10324" t="s">
        <v>48</v>
      </c>
    </row>
    <row r="10325" spans="1:13" hidden="1" x14ac:dyDescent="0.15">
      <c r="A10325" t="s">
        <v>32553</v>
      </c>
      <c r="B10325" t="s">
        <v>32554</v>
      </c>
      <c r="C10325" t="s">
        <v>32555</v>
      </c>
      <c r="D10325" t="s">
        <v>32556</v>
      </c>
      <c r="E10325">
        <v>40</v>
      </c>
      <c r="F10325" t="str">
        <f>HYPERLINK("https://github.com/SleepingApps/Slurp/issues/150", "show")</f>
        <v>show</v>
      </c>
      <c r="G10325" t="str">
        <f>HYPERLINK("https://github.com/SleepingApps/Slurp", "show")</f>
        <v>show</v>
      </c>
      <c r="H10325" t="str">
        <f>HYPERLINK("https://github.com/SleepingApps/Slurp/releases", "show")</f>
        <v>show</v>
      </c>
      <c r="I10325">
        <v>1</v>
      </c>
      <c r="J10325">
        <v>0</v>
      </c>
      <c r="K10325">
        <v>0</v>
      </c>
      <c r="L10325">
        <v>0</v>
      </c>
      <c r="M10325" t="s">
        <v>17</v>
      </c>
    </row>
    <row r="10326" spans="1:13" hidden="1" x14ac:dyDescent="0.15">
      <c r="A10326" t="s">
        <v>32557</v>
      </c>
      <c r="B10326" t="s">
        <v>32558</v>
      </c>
      <c r="C10326" t="s">
        <v>32559</v>
      </c>
      <c r="D10326" t="s">
        <v>32556</v>
      </c>
      <c r="E10326">
        <v>0</v>
      </c>
      <c r="F10326" t="str">
        <f>HYPERLINK("https://github.com/material-components/material-components-android/issues/3393", "show")</f>
        <v>show</v>
      </c>
      <c r="G10326" t="str">
        <f>HYPERLINK("https://github.com/material-components/material-components-android", "show")</f>
        <v>show</v>
      </c>
      <c r="H10326" t="str">
        <f>HYPERLINK("https://github.com/material-components/material-components-android/releases", "show")</f>
        <v>show</v>
      </c>
      <c r="I10326">
        <v>1</v>
      </c>
      <c r="J10326">
        <v>0</v>
      </c>
      <c r="K10326">
        <v>1</v>
      </c>
      <c r="L10326">
        <v>0</v>
      </c>
      <c r="M10326" t="s">
        <v>64</v>
      </c>
    </row>
    <row r="10327" spans="1:13" hidden="1" x14ac:dyDescent="0.15">
      <c r="A10327" t="s">
        <v>32560</v>
      </c>
      <c r="B10327" t="s">
        <v>32561</v>
      </c>
      <c r="C10327" t="s">
        <v>32562</v>
      </c>
      <c r="D10327" t="s">
        <v>32556</v>
      </c>
      <c r="E10327">
        <v>21</v>
      </c>
      <c r="F10327" t="str">
        <f>HYPERLINK("https://github.com/SecUSo/privacy-friendly-qr-scanner/issues/165", "show")</f>
        <v>show</v>
      </c>
      <c r="G10327" t="str">
        <f>HYPERLINK("https://github.com/SecUSo/privacy-friendly-qr-scanner", "show")</f>
        <v>show</v>
      </c>
      <c r="H10327" t="str">
        <f>HYPERLINK("https://github.com/SecUSo/privacy-friendly-qr-scanner/releases", "show")</f>
        <v>show</v>
      </c>
      <c r="I10327">
        <v>1</v>
      </c>
      <c r="J10327">
        <v>0</v>
      </c>
      <c r="K10327">
        <v>0</v>
      </c>
      <c r="L10327">
        <v>0</v>
      </c>
      <c r="M10327" t="s">
        <v>17</v>
      </c>
    </row>
    <row r="10328" spans="1:13" hidden="1" x14ac:dyDescent="0.15">
      <c r="A10328" t="s">
        <v>32563</v>
      </c>
      <c r="B10328" t="s">
        <v>32564</v>
      </c>
      <c r="C10328" t="s">
        <v>32565</v>
      </c>
      <c r="D10328" t="s">
        <v>32566</v>
      </c>
      <c r="E10328">
        <v>71</v>
      </c>
      <c r="F10328" t="str">
        <f>HYPERLINK("https://github.com/RoboTutorLLC/RTFace_Login/issues/63", "show")</f>
        <v>show</v>
      </c>
      <c r="G10328" t="str">
        <f>HYPERLINK("https://github.com/RoboTutorLLC/RTFace_Login", "show")</f>
        <v>show</v>
      </c>
      <c r="H10328" t="str">
        <f>HYPERLINK("https://github.com/RoboTutorLLC/RTFace_Login/releases", "show")</f>
        <v>show</v>
      </c>
      <c r="I10328">
        <v>1</v>
      </c>
      <c r="J10328">
        <v>0</v>
      </c>
      <c r="K10328">
        <v>0</v>
      </c>
      <c r="L10328">
        <v>0</v>
      </c>
      <c r="M10328" t="s">
        <v>17</v>
      </c>
    </row>
    <row r="10329" spans="1:13" hidden="1" x14ac:dyDescent="0.15">
      <c r="A10329" t="s">
        <v>32567</v>
      </c>
      <c r="B10329" t="s">
        <v>32568</v>
      </c>
      <c r="C10329" t="s">
        <v>32569</v>
      </c>
      <c r="D10329" t="s">
        <v>32566</v>
      </c>
      <c r="E10329">
        <v>0</v>
      </c>
      <c r="F10329" t="str">
        <f>HYPERLINK("https://github.com/Androidacy/MagiskModuleManager/issues/19", "show")</f>
        <v>show</v>
      </c>
      <c r="G10329" t="str">
        <f>HYPERLINK("https://github.com/Androidacy/MagiskModuleManager", "show")</f>
        <v>show</v>
      </c>
      <c r="H10329" t="str">
        <f>HYPERLINK("https://github.com/Androidacy/MagiskModuleManager/releases", "show")</f>
        <v>show</v>
      </c>
      <c r="I10329">
        <v>1</v>
      </c>
      <c r="J10329">
        <v>1</v>
      </c>
      <c r="K10329">
        <v>0</v>
      </c>
      <c r="L10329">
        <v>1</v>
      </c>
      <c r="M10329" t="s">
        <v>1894</v>
      </c>
    </row>
    <row r="10330" spans="1:13" hidden="1" x14ac:dyDescent="0.15">
      <c r="A10330" t="s">
        <v>32570</v>
      </c>
      <c r="B10330" t="s">
        <v>32571</v>
      </c>
      <c r="C10330" t="s">
        <v>32572</v>
      </c>
      <c r="D10330" t="s">
        <v>32573</v>
      </c>
      <c r="E10330">
        <v>1</v>
      </c>
      <c r="F10330" t="str">
        <f>HYPERLINK("https://github.com/capacitor-community/barcode-scanner/issues/239", "show")</f>
        <v>show</v>
      </c>
      <c r="G10330" t="str">
        <f>HYPERLINK("https://github.com/capacitor-community/barcode-scanner", "show")</f>
        <v>show</v>
      </c>
      <c r="H10330" t="str">
        <f>HYPERLINK("https://github.com/capacitor-community/barcode-scanner/releases", "show")</f>
        <v>show</v>
      </c>
      <c r="I10330">
        <v>1</v>
      </c>
      <c r="J10330">
        <v>1</v>
      </c>
      <c r="K10330">
        <v>1</v>
      </c>
      <c r="L10330">
        <v>0</v>
      </c>
      <c r="M10330" t="s">
        <v>59</v>
      </c>
    </row>
    <row r="10331" spans="1:13" hidden="1" x14ac:dyDescent="0.15">
      <c r="A10331" t="s">
        <v>32574</v>
      </c>
      <c r="B10331" t="s">
        <v>32575</v>
      </c>
      <c r="C10331" t="s">
        <v>32576</v>
      </c>
      <c r="D10331" t="s">
        <v>32577</v>
      </c>
      <c r="E10331">
        <v>1</v>
      </c>
      <c r="F10331" t="str">
        <f>HYPERLINK("https://github.com/Androidacy/MagiskModuleManager/issues/18", "show")</f>
        <v>show</v>
      </c>
      <c r="G10331" t="str">
        <f>HYPERLINK("https://github.com/Androidacy/MagiskModuleManager", "show")</f>
        <v>show</v>
      </c>
      <c r="H10331" t="str">
        <f>HYPERLINK("https://github.com/Androidacy/MagiskModuleManager/releases", "show")</f>
        <v>show</v>
      </c>
      <c r="I10331">
        <v>0</v>
      </c>
      <c r="J10331">
        <v>0</v>
      </c>
      <c r="K10331">
        <v>0</v>
      </c>
      <c r="L10331">
        <v>1</v>
      </c>
      <c r="M10331" t="s">
        <v>581</v>
      </c>
    </row>
    <row r="10332" spans="1:13" hidden="1" x14ac:dyDescent="0.15">
      <c r="A10332" t="s">
        <v>32578</v>
      </c>
      <c r="B10332" t="s">
        <v>32579</v>
      </c>
      <c r="C10332" t="s">
        <v>32580</v>
      </c>
      <c r="D10332" t="s">
        <v>32577</v>
      </c>
      <c r="E10332">
        <v>113</v>
      </c>
      <c r="F10332" t="str">
        <f>HYPERLINK("https://github.com/VishnuSanal/DialogMusicPlayer/issues/37", "show")</f>
        <v>show</v>
      </c>
      <c r="G10332" t="str">
        <f>HYPERLINK("https://github.com/VishnuSanal/DialogMusicPlayer", "show")</f>
        <v>show</v>
      </c>
      <c r="H10332" t="str">
        <f>HYPERLINK("https://github.com/VishnuSanal/DialogMusicPlayer/releases", "show")</f>
        <v>show</v>
      </c>
      <c r="I10332">
        <v>1</v>
      </c>
      <c r="J10332">
        <v>0</v>
      </c>
      <c r="K10332">
        <v>0</v>
      </c>
      <c r="L10332">
        <v>0</v>
      </c>
      <c r="M10332" t="s">
        <v>17</v>
      </c>
    </row>
    <row r="10333" spans="1:13" hidden="1" x14ac:dyDescent="0.15">
      <c r="A10333" t="s">
        <v>32581</v>
      </c>
      <c r="B10333" t="s">
        <v>32582</v>
      </c>
      <c r="C10333" t="s">
        <v>32583</v>
      </c>
      <c r="D10333" t="s">
        <v>32577</v>
      </c>
      <c r="E10333">
        <v>97</v>
      </c>
      <c r="F10333" t="str">
        <f>HYPERLINK("https://github.com/PojavLauncherTeam/PojavLauncher/issues/4178", "show")</f>
        <v>show</v>
      </c>
      <c r="G10333" t="str">
        <f>HYPERLINK("https://github.com/PojavLauncherTeam/PojavLauncher", "show")</f>
        <v>show</v>
      </c>
      <c r="H10333" t="str">
        <f>HYPERLINK("https://github.com/PojavLauncherTeam/PojavLauncher/releases", "show")</f>
        <v>show</v>
      </c>
      <c r="I10333">
        <v>1</v>
      </c>
      <c r="J10333">
        <v>0</v>
      </c>
      <c r="K10333">
        <v>0</v>
      </c>
      <c r="L10333">
        <v>0</v>
      </c>
      <c r="M10333" t="s">
        <v>17</v>
      </c>
    </row>
    <row r="10334" spans="1:13" hidden="1" x14ac:dyDescent="0.15">
      <c r="A10334" t="s">
        <v>32584</v>
      </c>
      <c r="B10334" t="s">
        <v>32585</v>
      </c>
      <c r="C10334" t="s">
        <v>32586</v>
      </c>
      <c r="D10334" t="s">
        <v>32587</v>
      </c>
      <c r="E10334">
        <v>156</v>
      </c>
      <c r="F10334" t="str">
        <f>HYPERLINK("https://github.com/babybuddy/babybuddy-for-android/issues/27", "show")</f>
        <v>show</v>
      </c>
      <c r="G10334" t="str">
        <f>HYPERLINK("https://github.com/babybuddy/babybuddy-for-android", "show")</f>
        <v>show</v>
      </c>
      <c r="H10334" t="str">
        <f>HYPERLINK("https://github.com/babybuddy/babybuddy-for-android/releases", "show")</f>
        <v>show</v>
      </c>
      <c r="I10334">
        <v>1</v>
      </c>
      <c r="J10334">
        <v>0</v>
      </c>
      <c r="K10334">
        <v>0</v>
      </c>
      <c r="L10334">
        <v>0</v>
      </c>
      <c r="M10334" t="s">
        <v>17</v>
      </c>
    </row>
    <row r="10335" spans="1:13" hidden="1" x14ac:dyDescent="0.15">
      <c r="A10335" t="s">
        <v>32588</v>
      </c>
      <c r="B10335" t="s">
        <v>32589</v>
      </c>
      <c r="C10335" t="s">
        <v>32590</v>
      </c>
      <c r="D10335" t="s">
        <v>32587</v>
      </c>
      <c r="E10335">
        <v>0</v>
      </c>
      <c r="F10335" t="str">
        <f>HYPERLINK("https://github.com/Androidacy/MagiskModuleManager/issues/14", "show")</f>
        <v>show</v>
      </c>
      <c r="G10335" t="str">
        <f>HYPERLINK("https://github.com/Androidacy/MagiskModuleManager", "show")</f>
        <v>show</v>
      </c>
      <c r="H10335" t="str">
        <f>HYPERLINK("https://github.com/Androidacy/MagiskModuleManager/releases", "show")</f>
        <v>show</v>
      </c>
      <c r="I10335">
        <v>0</v>
      </c>
      <c r="J10335">
        <v>1</v>
      </c>
      <c r="K10335">
        <v>0</v>
      </c>
      <c r="L10335">
        <v>1</v>
      </c>
      <c r="M10335" t="s">
        <v>1732</v>
      </c>
    </row>
    <row r="10336" spans="1:13" hidden="1" x14ac:dyDescent="0.15">
      <c r="A10336" t="s">
        <v>32591</v>
      </c>
      <c r="B10336" t="s">
        <v>32592</v>
      </c>
      <c r="C10336" t="s">
        <v>32593</v>
      </c>
      <c r="D10336" t="s">
        <v>32587</v>
      </c>
      <c r="E10336">
        <v>153</v>
      </c>
      <c r="F10336" t="str">
        <f>HYPERLINK("https://github.com/nextcloud/android/issues/11598", "show")</f>
        <v>show</v>
      </c>
      <c r="G10336" t="str">
        <f>HYPERLINK("https://github.com/nextcloud/android", "show")</f>
        <v>show</v>
      </c>
      <c r="H10336" t="str">
        <f>HYPERLINK("https://github.com/nextcloud/android/releases", "show")</f>
        <v>show</v>
      </c>
      <c r="I10336">
        <v>1</v>
      </c>
      <c r="J10336">
        <v>1</v>
      </c>
      <c r="K10336">
        <v>0</v>
      </c>
      <c r="L10336">
        <v>0</v>
      </c>
      <c r="M10336" t="s">
        <v>48</v>
      </c>
    </row>
    <row r="10337" spans="1:13" hidden="1" x14ac:dyDescent="0.15">
      <c r="A10337" t="s">
        <v>32594</v>
      </c>
      <c r="B10337" t="s">
        <v>32595</v>
      </c>
      <c r="C10337" t="s">
        <v>32596</v>
      </c>
      <c r="D10337" t="s">
        <v>32587</v>
      </c>
      <c r="E10337">
        <v>0</v>
      </c>
      <c r="F10337" t="str">
        <f>HYPERLINK("https://github.com/Androidacy/MagiskModuleManager/issues/13", "show")</f>
        <v>show</v>
      </c>
      <c r="G10337" t="str">
        <f>HYPERLINK("https://github.com/Androidacy/MagiskModuleManager", "show")</f>
        <v>show</v>
      </c>
      <c r="H10337" t="str">
        <f>HYPERLINK("https://github.com/Androidacy/MagiskModuleManager/releases", "show")</f>
        <v>show</v>
      </c>
      <c r="I10337">
        <v>1</v>
      </c>
      <c r="J10337">
        <v>0</v>
      </c>
      <c r="K10337">
        <v>0</v>
      </c>
      <c r="L10337">
        <v>0</v>
      </c>
      <c r="M10337" t="s">
        <v>17</v>
      </c>
    </row>
    <row r="10338" spans="1:13" hidden="1" x14ac:dyDescent="0.15">
      <c r="A10338" t="s">
        <v>32597</v>
      </c>
      <c r="B10338" t="s">
        <v>32598</v>
      </c>
      <c r="C10338" t="s">
        <v>32599</v>
      </c>
      <c r="D10338" t="s">
        <v>32587</v>
      </c>
      <c r="E10338">
        <v>4</v>
      </c>
      <c r="F10338" t="str">
        <f>HYPERLINK("https://github.com/MuntashirAkon/AppManager/issues/1062", "show")</f>
        <v>show</v>
      </c>
      <c r="G10338" t="str">
        <f>HYPERLINK("https://github.com/MuntashirAkon/AppManager", "show")</f>
        <v>show</v>
      </c>
      <c r="H10338" t="str">
        <f>HYPERLINK("https://github.com/MuntashirAkon/AppManager/releases", "show")</f>
        <v>show</v>
      </c>
      <c r="I10338">
        <v>0</v>
      </c>
      <c r="J10338">
        <v>1</v>
      </c>
      <c r="K10338">
        <v>1</v>
      </c>
      <c r="L10338">
        <v>0</v>
      </c>
      <c r="M10338" t="s">
        <v>699</v>
      </c>
    </row>
    <row r="10339" spans="1:13" hidden="1" x14ac:dyDescent="0.15">
      <c r="A10339" t="s">
        <v>32600</v>
      </c>
      <c r="B10339" t="s">
        <v>32601</v>
      </c>
      <c r="C10339" t="s">
        <v>32602</v>
      </c>
      <c r="D10339" t="s">
        <v>32603</v>
      </c>
      <c r="E10339">
        <v>0</v>
      </c>
      <c r="F10339" t="str">
        <f>HYPERLINK("https://github.com/Androidacy/MagiskModuleManager/issues/12", "show")</f>
        <v>show</v>
      </c>
      <c r="G10339" t="str">
        <f>HYPERLINK("https://github.com/Androidacy/MagiskModuleManager", "show")</f>
        <v>show</v>
      </c>
      <c r="H10339" t="str">
        <f>HYPERLINK("https://github.com/Androidacy/MagiskModuleManager/releases", "show")</f>
        <v>show</v>
      </c>
      <c r="I10339">
        <v>0</v>
      </c>
      <c r="J10339">
        <v>0</v>
      </c>
      <c r="K10339">
        <v>0</v>
      </c>
      <c r="L10339">
        <v>1</v>
      </c>
      <c r="M10339" t="s">
        <v>581</v>
      </c>
    </row>
    <row r="10340" spans="1:13" hidden="1" x14ac:dyDescent="0.15">
      <c r="A10340" t="s">
        <v>32604</v>
      </c>
      <c r="B10340" t="s">
        <v>32605</v>
      </c>
      <c r="C10340" t="s">
        <v>32606</v>
      </c>
      <c r="D10340" t="s">
        <v>32607</v>
      </c>
      <c r="E10340">
        <v>6</v>
      </c>
      <c r="F10340" t="str">
        <f>HYPERLINK("https://github.com/MuntashirAkon/AppManager/issues/1059", "show")</f>
        <v>show</v>
      </c>
      <c r="G10340" t="str">
        <f>HYPERLINK("https://github.com/MuntashirAkon/AppManager", "show")</f>
        <v>show</v>
      </c>
      <c r="H10340" t="str">
        <f>HYPERLINK("https://github.com/MuntashirAkon/AppManager/releases", "show")</f>
        <v>show</v>
      </c>
      <c r="I10340">
        <v>1</v>
      </c>
      <c r="J10340">
        <v>1</v>
      </c>
      <c r="K10340">
        <v>1</v>
      </c>
      <c r="L10340">
        <v>0</v>
      </c>
      <c r="M10340" t="s">
        <v>59</v>
      </c>
    </row>
    <row r="10341" spans="1:13" hidden="1" x14ac:dyDescent="0.15">
      <c r="A10341" t="s">
        <v>32608</v>
      </c>
      <c r="B10341" t="s">
        <v>32609</v>
      </c>
      <c r="C10341" t="s">
        <v>32610</v>
      </c>
      <c r="D10341" t="s">
        <v>32611</v>
      </c>
      <c r="E10341">
        <v>34</v>
      </c>
      <c r="F10341" t="str">
        <f>HYPERLINK("https://github.com/sspanak/tt9/issues/251", "show")</f>
        <v>show</v>
      </c>
      <c r="G10341" t="str">
        <f>HYPERLINK("https://github.com/sspanak/tt9", "show")</f>
        <v>show</v>
      </c>
      <c r="H10341" t="str">
        <f>HYPERLINK("https://github.com/sspanak/tt9/releases", "show")</f>
        <v>show</v>
      </c>
      <c r="I10341">
        <v>1</v>
      </c>
      <c r="J10341">
        <v>1</v>
      </c>
      <c r="K10341">
        <v>0</v>
      </c>
      <c r="L10341">
        <v>0</v>
      </c>
      <c r="M10341" t="s">
        <v>48</v>
      </c>
    </row>
    <row r="10342" spans="1:13" hidden="1" x14ac:dyDescent="0.15">
      <c r="A10342" t="s">
        <v>32612</v>
      </c>
      <c r="B10342" t="s">
        <v>32613</v>
      </c>
      <c r="C10342" t="s">
        <v>32614</v>
      </c>
      <c r="D10342" t="s">
        <v>32611</v>
      </c>
      <c r="E10342">
        <v>1</v>
      </c>
      <c r="F10342" t="str">
        <f>HYPERLINK("https://github.com/deepjavalibrary/djl/issues/2581", "show")</f>
        <v>show</v>
      </c>
      <c r="G10342" t="str">
        <f>HYPERLINK("https://github.com/deepjavalibrary/djl", "show")</f>
        <v>show</v>
      </c>
      <c r="H10342" t="str">
        <f>HYPERLINK("https://github.com/deepjavalibrary/djl/releases", "show")</f>
        <v>show</v>
      </c>
      <c r="I10342">
        <v>1</v>
      </c>
      <c r="J10342">
        <v>0</v>
      </c>
      <c r="K10342">
        <v>1</v>
      </c>
      <c r="L10342">
        <v>0</v>
      </c>
      <c r="M10342" t="s">
        <v>64</v>
      </c>
    </row>
    <row r="10343" spans="1:13" hidden="1" x14ac:dyDescent="0.15">
      <c r="A10343" t="s">
        <v>32615</v>
      </c>
      <c r="B10343" t="s">
        <v>32616</v>
      </c>
      <c r="C10343" t="s">
        <v>32617</v>
      </c>
      <c r="D10343" t="s">
        <v>32618</v>
      </c>
      <c r="E10343">
        <v>8</v>
      </c>
      <c r="F10343" t="str">
        <f>HYPERLINK("https://github.com/aws-amplify/amplify-android/issues/2431", "show")</f>
        <v>show</v>
      </c>
      <c r="G10343" t="str">
        <f>HYPERLINK("https://github.com/aws-amplify/amplify-android", "show")</f>
        <v>show</v>
      </c>
      <c r="H10343" t="str">
        <f>HYPERLINK("https://github.com/aws-amplify/amplify-android/releases", "show")</f>
        <v>show</v>
      </c>
      <c r="I10343">
        <v>1</v>
      </c>
      <c r="J10343">
        <v>1</v>
      </c>
      <c r="K10343">
        <v>0</v>
      </c>
      <c r="L10343">
        <v>0</v>
      </c>
      <c r="M10343" t="s">
        <v>48</v>
      </c>
    </row>
    <row r="10344" spans="1:13" hidden="1" x14ac:dyDescent="0.15">
      <c r="A10344" t="s">
        <v>32619</v>
      </c>
      <c r="B10344" t="s">
        <v>32620</v>
      </c>
      <c r="C10344" t="s">
        <v>32621</v>
      </c>
      <c r="D10344" t="s">
        <v>32618</v>
      </c>
      <c r="E10344">
        <v>7</v>
      </c>
      <c r="F10344" t="str">
        <f>HYPERLINK("https://github.com/dedis/popstellar/issues/1539", "show")</f>
        <v>show</v>
      </c>
      <c r="G10344" t="str">
        <f>HYPERLINK("https://github.com/dedis/popstellar", "show")</f>
        <v>show</v>
      </c>
      <c r="H10344" t="str">
        <f>HYPERLINK("https://github.com/dedis/popstellar/releases", "show")</f>
        <v>show</v>
      </c>
      <c r="I10344">
        <v>1</v>
      </c>
      <c r="J10344">
        <v>1</v>
      </c>
      <c r="K10344">
        <v>0</v>
      </c>
      <c r="L10344">
        <v>0</v>
      </c>
      <c r="M10344" t="s">
        <v>48</v>
      </c>
    </row>
    <row r="10345" spans="1:13" hidden="1" x14ac:dyDescent="0.15">
      <c r="A10345" t="s">
        <v>32622</v>
      </c>
      <c r="B10345" t="s">
        <v>32623</v>
      </c>
      <c r="C10345" t="s">
        <v>32624</v>
      </c>
      <c r="D10345" t="s">
        <v>32625</v>
      </c>
      <c r="E10345">
        <v>5</v>
      </c>
      <c r="F10345" t="str">
        <f>HYPERLINK("https://github.com/Anuken/Mindustry/issues/8557", "show")</f>
        <v>show</v>
      </c>
      <c r="G10345" t="str">
        <f>HYPERLINK("https://github.com/Anuken/Mindustry", "show")</f>
        <v>show</v>
      </c>
      <c r="H10345" t="str">
        <f>HYPERLINK("https://github.com/Anuken/Mindustry/releases", "show")</f>
        <v>show</v>
      </c>
      <c r="I10345">
        <v>0</v>
      </c>
      <c r="J10345">
        <v>0</v>
      </c>
      <c r="K10345">
        <v>0</v>
      </c>
      <c r="L10345">
        <v>1</v>
      </c>
      <c r="M10345" t="s">
        <v>581</v>
      </c>
    </row>
    <row r="10346" spans="1:13" hidden="1" x14ac:dyDescent="0.15">
      <c r="A10346" t="s">
        <v>32626</v>
      </c>
      <c r="B10346" t="s">
        <v>32627</v>
      </c>
      <c r="C10346" t="s">
        <v>32628</v>
      </c>
      <c r="D10346" t="s">
        <v>32625</v>
      </c>
      <c r="E10346">
        <v>3</v>
      </c>
      <c r="F10346" t="str">
        <f>HYPERLINK("https://github.com/aws-amplify/aws-sdk-android/issues/3273", "show")</f>
        <v>show</v>
      </c>
      <c r="G10346" t="str">
        <f>HYPERLINK("https://github.com/aws-amplify/aws-sdk-android", "show")</f>
        <v>show</v>
      </c>
      <c r="H10346" t="str">
        <f>HYPERLINK("https://github.com/aws-amplify/aws-sdk-android/releases", "show")</f>
        <v>show</v>
      </c>
      <c r="I10346">
        <v>1</v>
      </c>
      <c r="J10346">
        <v>0</v>
      </c>
      <c r="K10346">
        <v>1</v>
      </c>
      <c r="L10346">
        <v>0</v>
      </c>
      <c r="M10346" t="s">
        <v>64</v>
      </c>
    </row>
    <row r="10347" spans="1:13" x14ac:dyDescent="0.15">
      <c r="A10347" t="s">
        <v>32629</v>
      </c>
      <c r="B10347" t="s">
        <v>32630</v>
      </c>
      <c r="C10347" t="s">
        <v>32631</v>
      </c>
      <c r="D10347" t="s">
        <v>32625</v>
      </c>
      <c r="E10347">
        <v>1</v>
      </c>
      <c r="F10347" t="str">
        <f>HYPERLINK("https://github.com/Anuken/Mindustry/issues/8554", "show")</f>
        <v>show</v>
      </c>
      <c r="G10347" t="str">
        <f>HYPERLINK("https://github.com/Anuken/Mindustry", "show")</f>
        <v>show</v>
      </c>
      <c r="H10347" t="str">
        <f>HYPERLINK("https://github.com/Anuken/Mindustry/releases", "show")</f>
        <v>show</v>
      </c>
      <c r="I10347">
        <v>0</v>
      </c>
      <c r="J10347">
        <v>1</v>
      </c>
      <c r="K10347">
        <v>0</v>
      </c>
      <c r="L10347">
        <v>0</v>
      </c>
      <c r="M10347" t="s">
        <v>139</v>
      </c>
    </row>
    <row r="10348" spans="1:13" hidden="1" x14ac:dyDescent="0.15">
      <c r="A10348" t="s">
        <v>32632</v>
      </c>
      <c r="B10348" t="s">
        <v>32633</v>
      </c>
      <c r="C10348" t="s">
        <v>32634</v>
      </c>
      <c r="D10348" t="s">
        <v>32635</v>
      </c>
      <c r="E10348">
        <v>11</v>
      </c>
      <c r="F10348" t="str">
        <f>HYPERLINK("https://github.com/PojavLauncherTeam/PojavLauncher/issues/4157", "show")</f>
        <v>show</v>
      </c>
      <c r="G10348" t="str">
        <f>HYPERLINK("https://github.com/PojavLauncherTeam/PojavLauncher", "show")</f>
        <v>show</v>
      </c>
      <c r="H10348" t="str">
        <f>HYPERLINK("https://github.com/PojavLauncherTeam/PojavLauncher/releases", "show")</f>
        <v>show</v>
      </c>
      <c r="I10348">
        <v>1</v>
      </c>
      <c r="J10348">
        <v>0</v>
      </c>
      <c r="K10348">
        <v>0</v>
      </c>
      <c r="L10348">
        <v>0</v>
      </c>
      <c r="M10348" t="s">
        <v>17</v>
      </c>
    </row>
    <row r="10349" spans="1:13" hidden="1" x14ac:dyDescent="0.15">
      <c r="A10349" t="s">
        <v>32636</v>
      </c>
      <c r="B10349" t="s">
        <v>32637</v>
      </c>
      <c r="C10349" t="s">
        <v>32638</v>
      </c>
      <c r="D10349" t="s">
        <v>32635</v>
      </c>
      <c r="E10349">
        <v>42</v>
      </c>
      <c r="F10349" t="str">
        <f>HYPERLINK("https://github.com/openremote/openremote/issues/1050", "show")</f>
        <v>show</v>
      </c>
      <c r="G10349" t="str">
        <f>HYPERLINK("https://github.com/openremote/openremote", "show")</f>
        <v>show</v>
      </c>
      <c r="H10349" t="str">
        <f>HYPERLINK("https://github.com/openremote/openremote/releases", "show")</f>
        <v>show</v>
      </c>
      <c r="I10349">
        <v>0</v>
      </c>
      <c r="J10349">
        <v>0</v>
      </c>
      <c r="K10349">
        <v>0</v>
      </c>
      <c r="L10349">
        <v>1</v>
      </c>
      <c r="M10349" t="s">
        <v>581</v>
      </c>
    </row>
    <row r="10350" spans="1:13" hidden="1" x14ac:dyDescent="0.15">
      <c r="A10350" t="s">
        <v>32639</v>
      </c>
      <c r="B10350" t="s">
        <v>32640</v>
      </c>
      <c r="C10350" t="s">
        <v>32641</v>
      </c>
      <c r="D10350" t="s">
        <v>32642</v>
      </c>
      <c r="E10350">
        <v>2</v>
      </c>
      <c r="F10350" t="str">
        <f>HYPERLINK("https://github.com/cr4sh-me/NHLauncher/issues/1", "show")</f>
        <v>show</v>
      </c>
      <c r="G10350" t="str">
        <f>HYPERLINK("https://github.com/cr4sh-me/NHLauncher", "show")</f>
        <v>show</v>
      </c>
      <c r="H10350" t="str">
        <f>HYPERLINK("https://github.com/cr4sh-me/NHLauncher/releases", "show")</f>
        <v>show</v>
      </c>
      <c r="I10350">
        <v>1</v>
      </c>
      <c r="J10350">
        <v>0</v>
      </c>
      <c r="K10350">
        <v>0</v>
      </c>
      <c r="L10350">
        <v>0</v>
      </c>
      <c r="M10350" t="s">
        <v>17</v>
      </c>
    </row>
    <row r="10351" spans="1:13" hidden="1" x14ac:dyDescent="0.15">
      <c r="A10351" t="s">
        <v>32643</v>
      </c>
      <c r="B10351" t="s">
        <v>32644</v>
      </c>
      <c r="C10351" t="s">
        <v>32645</v>
      </c>
      <c r="D10351" t="s">
        <v>32642</v>
      </c>
      <c r="E10351">
        <v>1</v>
      </c>
      <c r="F10351" t="str">
        <f>HYPERLINK("https://github.com/PojavLauncherTeam/PojavLauncher/issues/4154", "show")</f>
        <v>show</v>
      </c>
      <c r="G10351" t="str">
        <f>HYPERLINK("https://github.com/PojavLauncherTeam/PojavLauncher", "show")</f>
        <v>show</v>
      </c>
      <c r="H10351" t="str">
        <f>HYPERLINK("https://github.com/PojavLauncherTeam/PojavLauncher/releases", "show")</f>
        <v>show</v>
      </c>
      <c r="I10351">
        <v>1</v>
      </c>
      <c r="J10351">
        <v>0</v>
      </c>
      <c r="K10351">
        <v>1</v>
      </c>
      <c r="L10351">
        <v>0</v>
      </c>
      <c r="M10351" t="s">
        <v>64</v>
      </c>
    </row>
    <row r="10352" spans="1:13" hidden="1" x14ac:dyDescent="0.15">
      <c r="A10352" t="s">
        <v>32646</v>
      </c>
      <c r="B10352" t="s">
        <v>32647</v>
      </c>
      <c r="C10352" t="s">
        <v>32648</v>
      </c>
      <c r="D10352" t="s">
        <v>32642</v>
      </c>
      <c r="E10352">
        <v>0</v>
      </c>
      <c r="F10352" t="str">
        <f>HYPERLINK("https://github.com/jellyfin/jellyfin-androidtv/issues/2723", "show")</f>
        <v>show</v>
      </c>
      <c r="G10352" t="str">
        <f>HYPERLINK("https://github.com/jellyfin/jellyfin-androidtv", "show")</f>
        <v>show</v>
      </c>
      <c r="H10352" t="str">
        <f>HYPERLINK("https://github.com/jellyfin/jellyfin-androidtv/releases", "show")</f>
        <v>show</v>
      </c>
      <c r="I10352">
        <v>0</v>
      </c>
      <c r="J10352">
        <v>0</v>
      </c>
      <c r="K10352">
        <v>0</v>
      </c>
      <c r="L10352">
        <v>0</v>
      </c>
      <c r="M10352" t="s">
        <v>43</v>
      </c>
    </row>
    <row r="10353" spans="1:13" hidden="1" x14ac:dyDescent="0.15">
      <c r="A10353" t="s">
        <v>32649</v>
      </c>
      <c r="B10353" t="s">
        <v>32650</v>
      </c>
      <c r="C10353" t="s">
        <v>32651</v>
      </c>
      <c r="D10353" t="s">
        <v>32642</v>
      </c>
      <c r="E10353">
        <v>0</v>
      </c>
      <c r="F10353" t="str">
        <f>HYPERLINK("https://github.com/Anuken/Mindustry/issues/8545", "show")</f>
        <v>show</v>
      </c>
      <c r="G10353" t="str">
        <f>HYPERLINK("https://github.com/Anuken/Mindustry", "show")</f>
        <v>show</v>
      </c>
      <c r="H10353" t="str">
        <f>HYPERLINK("https://github.com/Anuken/Mindustry/releases", "show")</f>
        <v>show</v>
      </c>
      <c r="I10353">
        <v>1</v>
      </c>
      <c r="J10353">
        <v>1</v>
      </c>
      <c r="K10353">
        <v>1</v>
      </c>
      <c r="L10353">
        <v>1</v>
      </c>
      <c r="M10353" t="s">
        <v>2875</v>
      </c>
    </row>
    <row r="10354" spans="1:13" hidden="1" x14ac:dyDescent="0.15">
      <c r="A10354" t="s">
        <v>32652</v>
      </c>
      <c r="B10354" t="s">
        <v>32653</v>
      </c>
      <c r="C10354" t="s">
        <v>32654</v>
      </c>
      <c r="D10354" t="s">
        <v>32655</v>
      </c>
      <c r="E10354">
        <v>0</v>
      </c>
      <c r="F10354" t="str">
        <f>HYPERLINK("https://github.com/MuntashirAkon/AppManager/issues/1054", "show")</f>
        <v>show</v>
      </c>
      <c r="G10354" t="str">
        <f>HYPERLINK("https://github.com/MuntashirAkon/AppManager", "show")</f>
        <v>show</v>
      </c>
      <c r="H10354" t="str">
        <f>HYPERLINK("https://github.com/MuntashirAkon/AppManager/releases", "show")</f>
        <v>show</v>
      </c>
      <c r="I10354">
        <v>1</v>
      </c>
      <c r="J10354">
        <v>0</v>
      </c>
      <c r="K10354">
        <v>1</v>
      </c>
      <c r="L10354">
        <v>0</v>
      </c>
      <c r="M10354" t="s">
        <v>64</v>
      </c>
    </row>
    <row r="10355" spans="1:13" hidden="1" x14ac:dyDescent="0.15">
      <c r="A10355" t="s">
        <v>32656</v>
      </c>
      <c r="B10355" t="s">
        <v>32657</v>
      </c>
      <c r="C10355" t="s">
        <v>32658</v>
      </c>
      <c r="D10355" t="s">
        <v>32655</v>
      </c>
      <c r="E10355">
        <v>27</v>
      </c>
      <c r="F10355" t="str">
        <f>HYPERLINK("https://github.com/PojavLauncherTeam/PojavLauncher/issues/4148", "show")</f>
        <v>show</v>
      </c>
      <c r="G10355" t="str">
        <f>HYPERLINK("https://github.com/PojavLauncherTeam/PojavLauncher", "show")</f>
        <v>show</v>
      </c>
      <c r="H10355" t="str">
        <f>HYPERLINK("https://github.com/PojavLauncherTeam/PojavLauncher/releases", "show")</f>
        <v>show</v>
      </c>
      <c r="I10355">
        <v>0</v>
      </c>
      <c r="J10355">
        <v>1</v>
      </c>
      <c r="K10355">
        <v>1</v>
      </c>
      <c r="L10355">
        <v>0</v>
      </c>
      <c r="M10355" t="s">
        <v>699</v>
      </c>
    </row>
    <row r="10356" spans="1:13" hidden="1" x14ac:dyDescent="0.15">
      <c r="A10356" t="s">
        <v>32659</v>
      </c>
      <c r="B10356" t="s">
        <v>32660</v>
      </c>
      <c r="C10356" t="s">
        <v>32661</v>
      </c>
      <c r="D10356" t="s">
        <v>32655</v>
      </c>
      <c r="E10356">
        <v>3</v>
      </c>
      <c r="F10356" t="str">
        <f>HYPERLINK("https://github.com/Fox2Code/FoxMagiskModuleManager/issues/316", "show")</f>
        <v>show</v>
      </c>
      <c r="G10356" t="str">
        <f>HYPERLINK("https://github.com/Fox2Code/FoxMagiskModuleManager", "show")</f>
        <v>show</v>
      </c>
      <c r="H10356" t="str">
        <f>HYPERLINK("https://github.com/Fox2Code/FoxMagiskModuleManager/releases", "show")</f>
        <v>show</v>
      </c>
      <c r="I10356">
        <v>0</v>
      </c>
      <c r="J10356">
        <v>1</v>
      </c>
      <c r="K10356">
        <v>0</v>
      </c>
      <c r="L10356">
        <v>1</v>
      </c>
      <c r="M10356" t="s">
        <v>1732</v>
      </c>
    </row>
    <row r="10357" spans="1:13" hidden="1" x14ac:dyDescent="0.15">
      <c r="A10357" t="s">
        <v>32662</v>
      </c>
      <c r="B10357" t="s">
        <v>32663</v>
      </c>
      <c r="C10357" t="s">
        <v>32664</v>
      </c>
      <c r="D10357" t="s">
        <v>32665</v>
      </c>
      <c r="E10357">
        <v>0</v>
      </c>
      <c r="F10357" t="str">
        <f>HYPERLINK("https://github.com/mixpanel/mixpanel-android/issues/815", "show")</f>
        <v>show</v>
      </c>
      <c r="G10357" t="str">
        <f>HYPERLINK("https://github.com/mixpanel/mixpanel-android", "show")</f>
        <v>show</v>
      </c>
      <c r="H10357" t="str">
        <f>HYPERLINK("https://github.com/mixpanel/mixpanel-android/releases", "show")</f>
        <v>show</v>
      </c>
      <c r="I10357">
        <v>1</v>
      </c>
      <c r="J10357">
        <v>0</v>
      </c>
      <c r="K10357">
        <v>0</v>
      </c>
      <c r="L10357">
        <v>0</v>
      </c>
      <c r="M10357" t="s">
        <v>17</v>
      </c>
    </row>
    <row r="10358" spans="1:13" hidden="1" x14ac:dyDescent="0.15">
      <c r="A10358" t="s">
        <v>32666</v>
      </c>
      <c r="B10358" t="s">
        <v>32667</v>
      </c>
      <c r="C10358" t="s">
        <v>32668</v>
      </c>
      <c r="D10358" t="s">
        <v>32669</v>
      </c>
      <c r="E10358">
        <v>1</v>
      </c>
      <c r="F10358" t="str">
        <f>HYPERLINK("https://github.com/Fox2Code/FoxMagiskModuleManager/issues/308", "show")</f>
        <v>show</v>
      </c>
      <c r="G10358" t="str">
        <f>HYPERLINK("https://github.com/Fox2Code/FoxMagiskModuleManager", "show")</f>
        <v>show</v>
      </c>
      <c r="H10358" t="str">
        <f>HYPERLINK("https://github.com/Fox2Code/FoxMagiskModuleManager/releases", "show")</f>
        <v>show</v>
      </c>
      <c r="I10358">
        <v>0</v>
      </c>
      <c r="J10358">
        <v>1</v>
      </c>
      <c r="K10358">
        <v>0</v>
      </c>
      <c r="L10358">
        <v>1</v>
      </c>
      <c r="M10358" t="s">
        <v>1732</v>
      </c>
    </row>
    <row r="10359" spans="1:13" hidden="1" x14ac:dyDescent="0.15">
      <c r="A10359" t="s">
        <v>32670</v>
      </c>
      <c r="B10359" t="s">
        <v>32671</v>
      </c>
      <c r="C10359" t="s">
        <v>32672</v>
      </c>
      <c r="D10359" t="s">
        <v>32669</v>
      </c>
      <c r="E10359">
        <v>2</v>
      </c>
      <c r="F10359" t="str">
        <f>HYPERLINK("https://github.com/AndroidIDEOfficial/AndroidIDE/issues/962", "show")</f>
        <v>show</v>
      </c>
      <c r="G10359" t="str">
        <f>HYPERLINK("https://github.com/AndroidIDEOfficial/AndroidIDE", "show")</f>
        <v>show</v>
      </c>
      <c r="H10359" t="str">
        <f>HYPERLINK("https://github.com/AndroidIDEOfficial/AndroidIDE/releases", "show")</f>
        <v>show</v>
      </c>
      <c r="I10359">
        <v>1</v>
      </c>
      <c r="J10359">
        <v>0</v>
      </c>
      <c r="K10359">
        <v>1</v>
      </c>
      <c r="L10359">
        <v>0</v>
      </c>
      <c r="M10359" t="s">
        <v>64</v>
      </c>
    </row>
    <row r="10360" spans="1:13" x14ac:dyDescent="0.15">
      <c r="A10360" t="s">
        <v>32673</v>
      </c>
      <c r="B10360" t="s">
        <v>32674</v>
      </c>
      <c r="C10360" t="s">
        <v>32675</v>
      </c>
      <c r="D10360" t="s">
        <v>32669</v>
      </c>
      <c r="E10360">
        <v>4</v>
      </c>
      <c r="F10360" t="str">
        <f>HYPERLINK("https://github.com/aws-amplify/amplify-android/issues/2416", "show")</f>
        <v>show</v>
      </c>
      <c r="G10360" t="str">
        <f>HYPERLINK("https://github.com/aws-amplify/amplify-android", "show")</f>
        <v>show</v>
      </c>
      <c r="H10360" t="str">
        <f>HYPERLINK("https://github.com/aws-amplify/amplify-android/releases", "show")</f>
        <v>show</v>
      </c>
      <c r="I10360">
        <v>0</v>
      </c>
      <c r="J10360">
        <v>1</v>
      </c>
      <c r="K10360">
        <v>0</v>
      </c>
      <c r="L10360">
        <v>0</v>
      </c>
      <c r="M10360" t="s">
        <v>139</v>
      </c>
    </row>
    <row r="10361" spans="1:13" hidden="1" x14ac:dyDescent="0.15">
      <c r="A10361" t="s">
        <v>32676</v>
      </c>
      <c r="B10361" t="s">
        <v>32677</v>
      </c>
      <c r="C10361" t="s">
        <v>32678</v>
      </c>
      <c r="D10361" t="s">
        <v>32679</v>
      </c>
      <c r="E10361">
        <v>7</v>
      </c>
      <c r="F10361" t="str">
        <f>HYPERLINK("https://github.com/commons-app/apps-android-commons/issues/5217", "show")</f>
        <v>show</v>
      </c>
      <c r="G10361" t="str">
        <f>HYPERLINK("https://github.com/commons-app/apps-android-commons", "show")</f>
        <v>show</v>
      </c>
      <c r="H10361" t="str">
        <f>HYPERLINK("https://github.com/commons-app/apps-android-commons/releases", "show")</f>
        <v>show</v>
      </c>
      <c r="I10361">
        <v>1</v>
      </c>
      <c r="J10361">
        <v>1</v>
      </c>
      <c r="K10361">
        <v>0</v>
      </c>
      <c r="L10361">
        <v>0</v>
      </c>
      <c r="M10361" t="s">
        <v>48</v>
      </c>
    </row>
    <row r="10362" spans="1:13" hidden="1" x14ac:dyDescent="0.15">
      <c r="A10362" t="s">
        <v>32680</v>
      </c>
      <c r="B10362" t="s">
        <v>32681</v>
      </c>
      <c r="C10362" t="s">
        <v>32682</v>
      </c>
      <c r="D10362" t="s">
        <v>32679</v>
      </c>
      <c r="E10362">
        <v>2</v>
      </c>
      <c r="F10362" t="str">
        <f>HYPERLINK("https://github.com/Anuken/Mindustry/issues/8539", "show")</f>
        <v>show</v>
      </c>
      <c r="G10362" t="str">
        <f>HYPERLINK("https://github.com/Anuken/Mindustry", "show")</f>
        <v>show</v>
      </c>
      <c r="H10362" t="str">
        <f>HYPERLINK("https://github.com/Anuken/Mindustry/releases", "show")</f>
        <v>show</v>
      </c>
      <c r="I10362">
        <v>0</v>
      </c>
      <c r="J10362">
        <v>0</v>
      </c>
      <c r="K10362">
        <v>0</v>
      </c>
      <c r="L10362">
        <v>0</v>
      </c>
      <c r="M10362" t="s">
        <v>43</v>
      </c>
    </row>
    <row r="10363" spans="1:13" hidden="1" x14ac:dyDescent="0.15">
      <c r="A10363" t="s">
        <v>32683</v>
      </c>
      <c r="B10363" t="s">
        <v>32684</v>
      </c>
      <c r="C10363" t="s">
        <v>32685</v>
      </c>
      <c r="D10363" t="s">
        <v>32679</v>
      </c>
      <c r="E10363">
        <v>117</v>
      </c>
      <c r="F10363" t="str">
        <f>HYPERLINK("https://github.com/nextcloud/android/issues/11558", "show")</f>
        <v>show</v>
      </c>
      <c r="G10363" t="str">
        <f>HYPERLINK("https://github.com/nextcloud/android", "show")</f>
        <v>show</v>
      </c>
      <c r="H10363" t="str">
        <f>HYPERLINK("https://github.com/nextcloud/android/releases", "show")</f>
        <v>show</v>
      </c>
      <c r="I10363">
        <v>0</v>
      </c>
      <c r="J10363">
        <v>0</v>
      </c>
      <c r="K10363">
        <v>1</v>
      </c>
      <c r="L10363">
        <v>0</v>
      </c>
      <c r="M10363" t="s">
        <v>122</v>
      </c>
    </row>
    <row r="10364" spans="1:13" hidden="1" x14ac:dyDescent="0.15">
      <c r="A10364" t="s">
        <v>32686</v>
      </c>
      <c r="B10364" t="s">
        <v>32687</v>
      </c>
      <c r="C10364" t="s">
        <v>32688</v>
      </c>
      <c r="D10364" t="s">
        <v>32679</v>
      </c>
      <c r="E10364">
        <v>0</v>
      </c>
      <c r="F10364" t="str">
        <f>HYPERLINK("https://github.com/PojavLauncherTeam/PojavLauncher/issues/4136", "show")</f>
        <v>show</v>
      </c>
      <c r="G10364" t="str">
        <f>HYPERLINK("https://github.com/PojavLauncherTeam/PojavLauncher", "show")</f>
        <v>show</v>
      </c>
      <c r="H10364" t="str">
        <f>HYPERLINK("https://github.com/PojavLauncherTeam/PojavLauncher/releases", "show")</f>
        <v>show</v>
      </c>
      <c r="I10364">
        <v>1</v>
      </c>
      <c r="J10364">
        <v>0</v>
      </c>
      <c r="K10364">
        <v>0</v>
      </c>
      <c r="L10364">
        <v>0</v>
      </c>
      <c r="M10364" t="s">
        <v>17</v>
      </c>
    </row>
    <row r="10365" spans="1:13" hidden="1" x14ac:dyDescent="0.15">
      <c r="A10365" t="s">
        <v>32689</v>
      </c>
      <c r="B10365" t="s">
        <v>32690</v>
      </c>
      <c r="C10365" t="s">
        <v>32691</v>
      </c>
      <c r="D10365" t="s">
        <v>32679</v>
      </c>
      <c r="E10365">
        <v>2</v>
      </c>
      <c r="F10365" t="str">
        <f>HYPERLINK("https://github.com/Anuken/Mindustry/issues/8537", "show")</f>
        <v>show</v>
      </c>
      <c r="G10365" t="str">
        <f>HYPERLINK("https://github.com/Anuken/Mindustry", "show")</f>
        <v>show</v>
      </c>
      <c r="H10365" t="str">
        <f>HYPERLINK("https://github.com/Anuken/Mindustry/releases", "show")</f>
        <v>show</v>
      </c>
      <c r="I10365">
        <v>1</v>
      </c>
      <c r="J10365">
        <v>1</v>
      </c>
      <c r="K10365">
        <v>0</v>
      </c>
      <c r="L10365">
        <v>0</v>
      </c>
      <c r="M10365" t="s">
        <v>48</v>
      </c>
    </row>
    <row r="10366" spans="1:13" hidden="1" x14ac:dyDescent="0.15">
      <c r="A10366" t="s">
        <v>32692</v>
      </c>
      <c r="B10366" t="s">
        <v>32693</v>
      </c>
      <c r="C10366" t="s">
        <v>32694</v>
      </c>
      <c r="D10366" t="s">
        <v>32695</v>
      </c>
      <c r="E10366">
        <v>56</v>
      </c>
      <c r="F10366" t="str">
        <f>HYPERLINK("https://github.com/smartdevicelink/sdl_java_suite/issues/1842", "show")</f>
        <v>show</v>
      </c>
      <c r="G10366" t="str">
        <f>HYPERLINK("https://github.com/smartdevicelink/sdl_java_suite", "show")</f>
        <v>show</v>
      </c>
      <c r="H10366" t="str">
        <f>HYPERLINK("https://github.com/smartdevicelink/sdl_java_suite/releases", "show")</f>
        <v>show</v>
      </c>
      <c r="I10366">
        <v>1</v>
      </c>
      <c r="J10366">
        <v>0</v>
      </c>
      <c r="K10366">
        <v>1</v>
      </c>
      <c r="L10366">
        <v>0</v>
      </c>
      <c r="M10366" t="s">
        <v>64</v>
      </c>
    </row>
    <row r="10367" spans="1:13" hidden="1" x14ac:dyDescent="0.15">
      <c r="A10367" t="s">
        <v>32696</v>
      </c>
      <c r="B10367" t="s">
        <v>32697</v>
      </c>
      <c r="D10367" t="s">
        <v>32698</v>
      </c>
      <c r="E10367">
        <v>0</v>
      </c>
      <c r="F10367" t="str">
        <f>HYPERLINK("https://github.com/SCCapstone/BoredBards/issues/220", "show")</f>
        <v>show</v>
      </c>
      <c r="G10367" t="str">
        <f>HYPERLINK("https://github.com/SCCapstone/BoredBards", "show")</f>
        <v>show</v>
      </c>
      <c r="H10367" t="str">
        <f>HYPERLINK("https://github.com/SCCapstone/BoredBards/releases", "show")</f>
        <v>show</v>
      </c>
      <c r="I10367">
        <v>1</v>
      </c>
      <c r="J10367">
        <v>0</v>
      </c>
      <c r="K10367">
        <v>0</v>
      </c>
      <c r="L10367">
        <v>0</v>
      </c>
      <c r="M10367" t="s">
        <v>17</v>
      </c>
    </row>
    <row r="10368" spans="1:13" hidden="1" x14ac:dyDescent="0.15">
      <c r="A10368" t="s">
        <v>32699</v>
      </c>
      <c r="B10368" t="s">
        <v>32700</v>
      </c>
      <c r="D10368" t="s">
        <v>32698</v>
      </c>
      <c r="E10368">
        <v>0</v>
      </c>
      <c r="F10368" t="str">
        <f>HYPERLINK("https://github.com/SCCapstone/BoredBards/issues/219", "show")</f>
        <v>show</v>
      </c>
      <c r="G10368" t="str">
        <f>HYPERLINK("https://github.com/SCCapstone/BoredBards", "show")</f>
        <v>show</v>
      </c>
      <c r="H10368" t="str">
        <f>HYPERLINK("https://github.com/SCCapstone/BoredBards/releases", "show")</f>
        <v>show</v>
      </c>
      <c r="I10368">
        <v>1</v>
      </c>
      <c r="J10368">
        <v>0</v>
      </c>
      <c r="K10368">
        <v>0</v>
      </c>
      <c r="L10368">
        <v>0</v>
      </c>
      <c r="M10368" t="s">
        <v>17</v>
      </c>
    </row>
    <row r="10369" spans="1:13" hidden="1" x14ac:dyDescent="0.15">
      <c r="A10369" t="s">
        <v>32701</v>
      </c>
      <c r="B10369" t="s">
        <v>32702</v>
      </c>
      <c r="C10369" t="s">
        <v>32703</v>
      </c>
      <c r="D10369" t="s">
        <v>32698</v>
      </c>
      <c r="E10369">
        <v>30</v>
      </c>
      <c r="F10369" t="str">
        <f>HYPERLINK("https://github.com/AndroidIDEOfficial/AndroidIDE/issues/958", "show")</f>
        <v>show</v>
      </c>
      <c r="G10369" t="str">
        <f>HYPERLINK("https://github.com/AndroidIDEOfficial/AndroidIDE", "show")</f>
        <v>show</v>
      </c>
      <c r="H10369" t="str">
        <f>HYPERLINK("https://github.com/AndroidIDEOfficial/AndroidIDE/releases", "show")</f>
        <v>show</v>
      </c>
      <c r="I10369">
        <v>0</v>
      </c>
      <c r="J10369">
        <v>0</v>
      </c>
      <c r="K10369">
        <v>0</v>
      </c>
      <c r="L10369">
        <v>0</v>
      </c>
      <c r="M10369" t="s">
        <v>43</v>
      </c>
    </row>
    <row r="10370" spans="1:13" hidden="1" x14ac:dyDescent="0.15">
      <c r="A10370" t="s">
        <v>32704</v>
      </c>
      <c r="B10370" t="s">
        <v>32705</v>
      </c>
      <c r="C10370" t="s">
        <v>32706</v>
      </c>
      <c r="D10370" t="s">
        <v>32707</v>
      </c>
      <c r="E10370">
        <v>1</v>
      </c>
      <c r="F10370" t="str">
        <f>HYPERLINK("https://github.com/androidx/media/issues/350", "show")</f>
        <v>show</v>
      </c>
      <c r="G10370" t="str">
        <f>HYPERLINK("https://github.com/androidx/media", "show")</f>
        <v>show</v>
      </c>
      <c r="H10370" t="str">
        <f>HYPERLINK("https://github.com/androidx/media/releases", "show")</f>
        <v>show</v>
      </c>
      <c r="I10370">
        <v>1</v>
      </c>
      <c r="J10370">
        <v>0</v>
      </c>
      <c r="K10370">
        <v>1</v>
      </c>
      <c r="L10370">
        <v>0</v>
      </c>
      <c r="M10370" t="s">
        <v>64</v>
      </c>
    </row>
    <row r="10371" spans="1:13" hidden="1" x14ac:dyDescent="0.15">
      <c r="A10371" t="s">
        <v>32708</v>
      </c>
      <c r="B10371" t="s">
        <v>32709</v>
      </c>
      <c r="C10371" t="s">
        <v>32710</v>
      </c>
      <c r="D10371" t="s">
        <v>32707</v>
      </c>
      <c r="E10371">
        <v>0</v>
      </c>
      <c r="F10371" t="str">
        <f>HYPERLINK("https://github.com/libgdx/libgdx/issues/7127", "show")</f>
        <v>show</v>
      </c>
      <c r="G10371" t="str">
        <f>HYPERLINK("https://github.com/libgdx/libgdx", "show")</f>
        <v>show</v>
      </c>
      <c r="H10371" t="str">
        <f>HYPERLINK("https://github.com/libgdx/libgdx/releases", "show")</f>
        <v>show</v>
      </c>
      <c r="I10371">
        <v>0</v>
      </c>
      <c r="J10371">
        <v>0</v>
      </c>
      <c r="K10371">
        <v>0</v>
      </c>
      <c r="L10371">
        <v>0</v>
      </c>
      <c r="M10371" t="s">
        <v>43</v>
      </c>
    </row>
    <row r="10372" spans="1:13" hidden="1" x14ac:dyDescent="0.15">
      <c r="A10372" t="s">
        <v>32711</v>
      </c>
      <c r="B10372" t="s">
        <v>32712</v>
      </c>
      <c r="C10372" t="s">
        <v>32713</v>
      </c>
      <c r="D10372" t="s">
        <v>32707</v>
      </c>
      <c r="E10372">
        <v>0</v>
      </c>
      <c r="F10372" t="str">
        <f>HYPERLINK("https://github.com/libgdx/libgdx/issues/7126", "show")</f>
        <v>show</v>
      </c>
      <c r="G10372" t="str">
        <f>HYPERLINK("https://github.com/libgdx/libgdx", "show")</f>
        <v>show</v>
      </c>
      <c r="H10372" t="str">
        <f>HYPERLINK("https://github.com/libgdx/libgdx/releases", "show")</f>
        <v>show</v>
      </c>
      <c r="I10372">
        <v>0</v>
      </c>
      <c r="J10372">
        <v>0</v>
      </c>
      <c r="K10372">
        <v>0</v>
      </c>
      <c r="L10372">
        <v>0</v>
      </c>
      <c r="M10372" t="s">
        <v>43</v>
      </c>
    </row>
    <row r="10373" spans="1:13" hidden="1" x14ac:dyDescent="0.15">
      <c r="A10373" t="s">
        <v>32714</v>
      </c>
      <c r="B10373" t="s">
        <v>32715</v>
      </c>
      <c r="C10373" t="s">
        <v>32716</v>
      </c>
      <c r="D10373" t="s">
        <v>32707</v>
      </c>
      <c r="E10373">
        <v>87</v>
      </c>
      <c r="F10373" t="str">
        <f>HYPERLINK("https://github.com/cgeo/cgeo/issues/14217", "show")</f>
        <v>show</v>
      </c>
      <c r="G10373" t="str">
        <f>HYPERLINK("https://github.com/cgeo/cgeo", "show")</f>
        <v>show</v>
      </c>
      <c r="H10373" t="str">
        <f>HYPERLINK("https://github.com/cgeo/cgeo/releases", "show")</f>
        <v>show</v>
      </c>
      <c r="I10373">
        <v>1</v>
      </c>
      <c r="J10373">
        <v>1</v>
      </c>
      <c r="K10373">
        <v>1</v>
      </c>
      <c r="L10373">
        <v>0</v>
      </c>
      <c r="M10373" t="s">
        <v>59</v>
      </c>
    </row>
    <row r="10374" spans="1:13" hidden="1" x14ac:dyDescent="0.15">
      <c r="A10374" t="s">
        <v>32717</v>
      </c>
      <c r="B10374" t="s">
        <v>32718</v>
      </c>
      <c r="C10374" t="s">
        <v>32719</v>
      </c>
      <c r="D10374" t="s">
        <v>32707</v>
      </c>
      <c r="E10374">
        <v>46</v>
      </c>
      <c r="F10374" t="str">
        <f>HYPERLINK("https://github.com/Rapsssito/react-native-tcp-socket/issues/173", "show")</f>
        <v>show</v>
      </c>
      <c r="G10374" t="str">
        <f>HYPERLINK("https://github.com/Rapsssito/react-native-tcp-socket", "show")</f>
        <v>show</v>
      </c>
      <c r="H10374" t="str">
        <f>HYPERLINK("https://github.com/Rapsssito/react-native-tcp-socket/releases", "show")</f>
        <v>show</v>
      </c>
      <c r="I10374">
        <v>1</v>
      </c>
      <c r="J10374">
        <v>1</v>
      </c>
      <c r="K10374">
        <v>0</v>
      </c>
      <c r="L10374">
        <v>0</v>
      </c>
      <c r="M10374" t="s">
        <v>48</v>
      </c>
    </row>
    <row r="10375" spans="1:13" hidden="1" x14ac:dyDescent="0.15">
      <c r="A10375" t="s">
        <v>32720</v>
      </c>
      <c r="B10375" t="s">
        <v>32721</v>
      </c>
      <c r="D10375" t="s">
        <v>32707</v>
      </c>
      <c r="E10375">
        <v>0</v>
      </c>
      <c r="F10375" t="str">
        <f>HYPERLINK("https://github.com/SCCapstone/BoredBards/issues/206", "show")</f>
        <v>show</v>
      </c>
      <c r="G10375" t="str">
        <f>HYPERLINK("https://github.com/SCCapstone/BoredBards", "show")</f>
        <v>show</v>
      </c>
      <c r="H10375" t="str">
        <f>HYPERLINK("https://github.com/SCCapstone/BoredBards/releases", "show")</f>
        <v>show</v>
      </c>
      <c r="I10375">
        <v>1</v>
      </c>
      <c r="J10375">
        <v>0</v>
      </c>
      <c r="K10375">
        <v>0</v>
      </c>
      <c r="L10375">
        <v>0</v>
      </c>
      <c r="M10375" t="s">
        <v>17</v>
      </c>
    </row>
    <row r="10376" spans="1:13" hidden="1" x14ac:dyDescent="0.15">
      <c r="A10376" t="s">
        <v>32722</v>
      </c>
      <c r="B10376" t="s">
        <v>32723</v>
      </c>
      <c r="C10376" t="s">
        <v>32724</v>
      </c>
      <c r="D10376" t="s">
        <v>32725</v>
      </c>
      <c r="E10376">
        <v>35</v>
      </c>
      <c r="F10376" t="str">
        <f>HYPERLINK("https://github.com/cgeo/cgeo/issues/14212", "show")</f>
        <v>show</v>
      </c>
      <c r="G10376" t="str">
        <f>HYPERLINK("https://github.com/cgeo/cgeo", "show")</f>
        <v>show</v>
      </c>
      <c r="H10376" t="str">
        <f>HYPERLINK("https://github.com/cgeo/cgeo/releases", "show")</f>
        <v>show</v>
      </c>
      <c r="I10376">
        <v>1</v>
      </c>
      <c r="J10376">
        <v>0</v>
      </c>
      <c r="K10376">
        <v>1</v>
      </c>
      <c r="L10376">
        <v>0</v>
      </c>
      <c r="M10376" t="s">
        <v>64</v>
      </c>
    </row>
    <row r="10377" spans="1:13" hidden="1" x14ac:dyDescent="0.15">
      <c r="A10377" t="s">
        <v>32726</v>
      </c>
      <c r="B10377" t="s">
        <v>32727</v>
      </c>
      <c r="C10377" t="s">
        <v>32728</v>
      </c>
      <c r="D10377" t="s">
        <v>32729</v>
      </c>
      <c r="E10377">
        <v>9</v>
      </c>
      <c r="F10377" t="str">
        <f>HYPERLINK("https://github.com/AndroidIDEOfficial/AndroidIDE/issues/956", "show")</f>
        <v>show</v>
      </c>
      <c r="G10377" t="str">
        <f>HYPERLINK("https://github.com/AndroidIDEOfficial/AndroidIDE", "show")</f>
        <v>show</v>
      </c>
      <c r="H10377" t="str">
        <f>HYPERLINK("https://github.com/AndroidIDEOfficial/AndroidIDE/releases", "show")</f>
        <v>show</v>
      </c>
      <c r="I10377">
        <v>0</v>
      </c>
      <c r="J10377">
        <v>0</v>
      </c>
      <c r="K10377">
        <v>1</v>
      </c>
      <c r="L10377">
        <v>0</v>
      </c>
      <c r="M10377" t="s">
        <v>122</v>
      </c>
    </row>
    <row r="10378" spans="1:13" hidden="1" x14ac:dyDescent="0.15">
      <c r="A10378" t="s">
        <v>32730</v>
      </c>
      <c r="B10378" t="s">
        <v>32731</v>
      </c>
      <c r="C10378" t="s">
        <v>32732</v>
      </c>
      <c r="D10378" t="s">
        <v>32733</v>
      </c>
      <c r="E10378">
        <v>2</v>
      </c>
      <c r="F10378" t="str">
        <f>HYPERLINK("https://github.com/Anuken/Mindustry/issues/8522", "show")</f>
        <v>show</v>
      </c>
      <c r="G10378" t="str">
        <f>HYPERLINK("https://github.com/Anuken/Mindustry", "show")</f>
        <v>show</v>
      </c>
      <c r="H10378" t="str">
        <f>HYPERLINK("https://github.com/Anuken/Mindustry/releases", "show")</f>
        <v>show</v>
      </c>
      <c r="I10378">
        <v>1</v>
      </c>
      <c r="J10378">
        <v>1</v>
      </c>
      <c r="K10378">
        <v>0</v>
      </c>
      <c r="L10378">
        <v>1</v>
      </c>
      <c r="M10378" t="s">
        <v>1894</v>
      </c>
    </row>
    <row r="10379" spans="1:13" hidden="1" x14ac:dyDescent="0.15">
      <c r="A10379" t="s">
        <v>32734</v>
      </c>
      <c r="B10379" t="s">
        <v>32735</v>
      </c>
      <c r="C10379" t="s">
        <v>32736</v>
      </c>
      <c r="D10379" t="s">
        <v>32737</v>
      </c>
      <c r="E10379">
        <v>16</v>
      </c>
      <c r="F10379" t="str">
        <f>HYPERLINK("https://github.com/aws-amplify/amplify-android/issues/2401", "show")</f>
        <v>show</v>
      </c>
      <c r="G10379" t="str">
        <f>HYPERLINK("https://github.com/aws-amplify/amplify-android", "show")</f>
        <v>show</v>
      </c>
      <c r="H10379" t="str">
        <f>HYPERLINK("https://github.com/aws-amplify/amplify-android/releases", "show")</f>
        <v>show</v>
      </c>
      <c r="I10379">
        <v>1</v>
      </c>
      <c r="J10379">
        <v>0</v>
      </c>
      <c r="K10379">
        <v>1</v>
      </c>
      <c r="L10379">
        <v>0</v>
      </c>
      <c r="M10379" t="s">
        <v>64</v>
      </c>
    </row>
    <row r="10380" spans="1:13" hidden="1" x14ac:dyDescent="0.15">
      <c r="A10380" t="s">
        <v>32738</v>
      </c>
      <c r="B10380" t="s">
        <v>32739</v>
      </c>
      <c r="C10380" t="s">
        <v>32740</v>
      </c>
      <c r="D10380" t="s">
        <v>32737</v>
      </c>
      <c r="E10380">
        <v>99</v>
      </c>
      <c r="F10380" t="str">
        <f>HYPERLINK("https://github.com/LawnchairLauncher/lawnchair/issues/3428", "show")</f>
        <v>show</v>
      </c>
      <c r="G10380" t="str">
        <f>HYPERLINK("https://github.com/LawnchairLauncher/lawnchair", "show")</f>
        <v>show</v>
      </c>
      <c r="H10380" t="str">
        <f>HYPERLINK("https://github.com/LawnchairLauncher/lawnchair/releases", "show")</f>
        <v>show</v>
      </c>
      <c r="I10380">
        <v>0</v>
      </c>
      <c r="J10380">
        <v>1</v>
      </c>
      <c r="K10380">
        <v>1</v>
      </c>
      <c r="L10380">
        <v>0</v>
      </c>
      <c r="M10380" t="s">
        <v>699</v>
      </c>
    </row>
    <row r="10381" spans="1:13" hidden="1" x14ac:dyDescent="0.15">
      <c r="A10381" t="s">
        <v>32741</v>
      </c>
      <c r="B10381" t="s">
        <v>32742</v>
      </c>
      <c r="C10381" t="s">
        <v>32743</v>
      </c>
      <c r="D10381" t="s">
        <v>32737</v>
      </c>
      <c r="E10381">
        <v>0</v>
      </c>
      <c r="F10381" t="str">
        <f>HYPERLINK("https://github.com/AlfaazPlus/QuranApp/issues/233", "show")</f>
        <v>show</v>
      </c>
      <c r="G10381" t="str">
        <f>HYPERLINK("https://github.com/AlfaazPlus/QuranApp", "show")</f>
        <v>show</v>
      </c>
      <c r="H10381" t="str">
        <f>HYPERLINK("https://github.com/AlfaazPlus/QuranApp/releases", "show")</f>
        <v>show</v>
      </c>
      <c r="I10381">
        <v>1</v>
      </c>
      <c r="J10381">
        <v>1</v>
      </c>
      <c r="K10381">
        <v>1</v>
      </c>
      <c r="L10381">
        <v>0</v>
      </c>
      <c r="M10381" t="s">
        <v>59</v>
      </c>
    </row>
    <row r="10382" spans="1:13" hidden="1" x14ac:dyDescent="0.15">
      <c r="A10382" t="s">
        <v>32744</v>
      </c>
      <c r="B10382" t="s">
        <v>32745</v>
      </c>
      <c r="C10382" t="s">
        <v>32746</v>
      </c>
      <c r="D10382" t="s">
        <v>32747</v>
      </c>
      <c r="E10382">
        <v>0</v>
      </c>
      <c r="F10382" t="str">
        <f>HYPERLINK("https://github.com/AndroidIDEOfficial/AndroidIDE/issues/951", "show")</f>
        <v>show</v>
      </c>
      <c r="G10382" t="str">
        <f>HYPERLINK("https://github.com/AndroidIDEOfficial/AndroidIDE", "show")</f>
        <v>show</v>
      </c>
      <c r="H10382" t="str">
        <f>HYPERLINK("https://github.com/AndroidIDEOfficial/AndroidIDE/releases", "show")</f>
        <v>show</v>
      </c>
      <c r="I10382">
        <v>1</v>
      </c>
      <c r="J10382">
        <v>0</v>
      </c>
      <c r="K10382">
        <v>1</v>
      </c>
      <c r="L10382">
        <v>1</v>
      </c>
      <c r="M10382" t="s">
        <v>1259</v>
      </c>
    </row>
    <row r="10383" spans="1:13" hidden="1" x14ac:dyDescent="0.15">
      <c r="A10383" t="s">
        <v>32748</v>
      </c>
      <c r="B10383" t="s">
        <v>32749</v>
      </c>
      <c r="C10383" t="s">
        <v>32750</v>
      </c>
      <c r="D10383" t="s">
        <v>32747</v>
      </c>
      <c r="E10383">
        <v>0</v>
      </c>
      <c r="F10383" t="str">
        <f>HYPERLINK("https://github.com/Anuken/Mindustry/issues/8515", "show")</f>
        <v>show</v>
      </c>
      <c r="G10383" t="str">
        <f>HYPERLINK("https://github.com/Anuken/Mindustry", "show")</f>
        <v>show</v>
      </c>
      <c r="H10383" t="str">
        <f>HYPERLINK("https://github.com/Anuken/Mindustry/releases", "show")</f>
        <v>show</v>
      </c>
      <c r="I10383">
        <v>1</v>
      </c>
      <c r="J10383">
        <v>1</v>
      </c>
      <c r="K10383">
        <v>0</v>
      </c>
      <c r="L10383">
        <v>0</v>
      </c>
      <c r="M10383" t="s">
        <v>48</v>
      </c>
    </row>
    <row r="10384" spans="1:13" hidden="1" x14ac:dyDescent="0.15">
      <c r="A10384" t="s">
        <v>32751</v>
      </c>
      <c r="B10384" t="s">
        <v>32752</v>
      </c>
      <c r="C10384" t="s">
        <v>32753</v>
      </c>
      <c r="D10384" t="s">
        <v>32754</v>
      </c>
      <c r="E10384">
        <v>40</v>
      </c>
      <c r="F10384" t="str">
        <f>HYPERLINK("https://github.com/AndroidIDEOfficial/AndroidIDE/issues/950", "show")</f>
        <v>show</v>
      </c>
      <c r="G10384" t="str">
        <f>HYPERLINK("https://github.com/AndroidIDEOfficial/AndroidIDE", "show")</f>
        <v>show</v>
      </c>
      <c r="H10384" t="str">
        <f>HYPERLINK("https://github.com/AndroidIDEOfficial/AndroidIDE/releases", "show")</f>
        <v>show</v>
      </c>
      <c r="I10384">
        <v>1</v>
      </c>
      <c r="J10384">
        <v>0</v>
      </c>
      <c r="K10384">
        <v>1</v>
      </c>
      <c r="L10384">
        <v>0</v>
      </c>
      <c r="M10384" t="s">
        <v>64</v>
      </c>
    </row>
    <row r="10385" spans="1:13" hidden="1" x14ac:dyDescent="0.15">
      <c r="A10385" t="s">
        <v>32755</v>
      </c>
      <c r="B10385" t="s">
        <v>32756</v>
      </c>
      <c r="C10385" t="s">
        <v>32757</v>
      </c>
      <c r="D10385" t="s">
        <v>32758</v>
      </c>
      <c r="E10385">
        <v>20</v>
      </c>
      <c r="F10385" t="str">
        <f>HYPERLINK("https://github.com/cgeo/cgeo/issues/14202", "show")</f>
        <v>show</v>
      </c>
      <c r="G10385" t="str">
        <f>HYPERLINK("https://github.com/cgeo/cgeo", "show")</f>
        <v>show</v>
      </c>
      <c r="H10385" t="str">
        <f>HYPERLINK("https://github.com/cgeo/cgeo/releases", "show")</f>
        <v>show</v>
      </c>
      <c r="I10385">
        <v>1</v>
      </c>
      <c r="J10385">
        <v>0</v>
      </c>
      <c r="K10385">
        <v>1</v>
      </c>
      <c r="L10385">
        <v>0</v>
      </c>
      <c r="M10385" t="s">
        <v>64</v>
      </c>
    </row>
    <row r="10386" spans="1:13" hidden="1" x14ac:dyDescent="0.15">
      <c r="A10386" t="s">
        <v>32759</v>
      </c>
      <c r="B10386" t="s">
        <v>32760</v>
      </c>
      <c r="C10386" t="s">
        <v>32761</v>
      </c>
      <c r="D10386" t="s">
        <v>32758</v>
      </c>
      <c r="E10386">
        <v>0</v>
      </c>
      <c r="F10386" t="str">
        <f>HYPERLINK("https://github.com/wiglenet/wigle-wifi-wardriving/issues/585", "show")</f>
        <v>show</v>
      </c>
      <c r="G10386" t="str">
        <f>HYPERLINK("https://github.com/wiglenet/wigle-wifi-wardriving", "show")</f>
        <v>show</v>
      </c>
      <c r="H10386" t="str">
        <f>HYPERLINK("https://github.com/wiglenet/wigle-wifi-wardriving/releases", "show")</f>
        <v>show</v>
      </c>
      <c r="I10386">
        <v>0</v>
      </c>
      <c r="J10386">
        <v>0</v>
      </c>
      <c r="K10386">
        <v>0</v>
      </c>
      <c r="L10386">
        <v>0</v>
      </c>
      <c r="M10386" t="s">
        <v>43</v>
      </c>
    </row>
    <row r="10387" spans="1:13" hidden="1" x14ac:dyDescent="0.15">
      <c r="A10387" t="s">
        <v>32762</v>
      </c>
      <c r="B10387" t="s">
        <v>32763</v>
      </c>
      <c r="C10387" t="s">
        <v>32764</v>
      </c>
      <c r="D10387" t="s">
        <v>32765</v>
      </c>
      <c r="E10387">
        <v>0</v>
      </c>
      <c r="F10387" t="str">
        <f>HYPERLINK("https://github.com/LSPosed/LSPosed/issues/2492", "show")</f>
        <v>show</v>
      </c>
      <c r="G10387" t="str">
        <f>HYPERLINK("https://github.com/LSPosed/LSPosed", "show")</f>
        <v>show</v>
      </c>
      <c r="H10387" t="str">
        <f>HYPERLINK("https://github.com/LSPosed/LSPosed/releases", "show")</f>
        <v>show</v>
      </c>
      <c r="I10387">
        <v>1</v>
      </c>
      <c r="J10387">
        <v>0</v>
      </c>
      <c r="K10387">
        <v>0</v>
      </c>
      <c r="L10387">
        <v>0</v>
      </c>
      <c r="M10387" t="s">
        <v>17</v>
      </c>
    </row>
    <row r="10388" spans="1:13" hidden="1" x14ac:dyDescent="0.15">
      <c r="A10388" t="s">
        <v>32766</v>
      </c>
      <c r="B10388" t="s">
        <v>32767</v>
      </c>
      <c r="C10388" t="s">
        <v>32768</v>
      </c>
      <c r="D10388" t="s">
        <v>32765</v>
      </c>
      <c r="E10388">
        <v>4</v>
      </c>
      <c r="F10388" t="str">
        <f>HYPERLINK("https://github.com/nextcloud/android/issues/11527", "show")</f>
        <v>show</v>
      </c>
      <c r="G10388" t="str">
        <f>HYPERLINK("https://github.com/nextcloud/android", "show")</f>
        <v>show</v>
      </c>
      <c r="H10388" t="str">
        <f>HYPERLINK("https://github.com/nextcloud/android/releases", "show")</f>
        <v>show</v>
      </c>
      <c r="I10388">
        <v>1</v>
      </c>
      <c r="J10388">
        <v>1</v>
      </c>
      <c r="K10388">
        <v>1</v>
      </c>
      <c r="L10388">
        <v>0</v>
      </c>
      <c r="M10388" t="s">
        <v>59</v>
      </c>
    </row>
    <row r="10389" spans="1:13" hidden="1" x14ac:dyDescent="0.15">
      <c r="A10389" t="s">
        <v>32769</v>
      </c>
      <c r="B10389" t="s">
        <v>32770</v>
      </c>
      <c r="C10389" t="s">
        <v>32771</v>
      </c>
      <c r="D10389" t="s">
        <v>32765</v>
      </c>
      <c r="E10389">
        <v>95</v>
      </c>
      <c r="F10389" t="str">
        <f>HYPERLINK("https://github.com/VinylMusicPlayer/VinylMusicPlayer/issues/737", "show")</f>
        <v>show</v>
      </c>
      <c r="G10389" t="str">
        <f>HYPERLINK("https://github.com/VinylMusicPlayer/VinylMusicPlayer", "show")</f>
        <v>show</v>
      </c>
      <c r="H10389" t="str">
        <f>HYPERLINK("https://github.com/VinylMusicPlayer/VinylMusicPlayer/releases", "show")</f>
        <v>show</v>
      </c>
      <c r="I10389">
        <v>1</v>
      </c>
      <c r="J10389">
        <v>1</v>
      </c>
      <c r="K10389">
        <v>1</v>
      </c>
      <c r="L10389">
        <v>1</v>
      </c>
      <c r="M10389" t="s">
        <v>2875</v>
      </c>
    </row>
    <row r="10390" spans="1:13" hidden="1" x14ac:dyDescent="0.15">
      <c r="A10390" t="s">
        <v>32772</v>
      </c>
      <c r="B10390" t="s">
        <v>32773</v>
      </c>
      <c r="C10390" t="s">
        <v>32774</v>
      </c>
      <c r="D10390" t="s">
        <v>32775</v>
      </c>
      <c r="E10390">
        <v>1</v>
      </c>
      <c r="F10390" t="str">
        <f>HYPERLINK("https://github.com/jellyfin/jellyfin-androidtv/issues/2668", "show")</f>
        <v>show</v>
      </c>
      <c r="G10390" t="str">
        <f>HYPERLINK("https://github.com/jellyfin/jellyfin-androidtv", "show")</f>
        <v>show</v>
      </c>
      <c r="H10390" t="str">
        <f>HYPERLINK("https://github.com/jellyfin/jellyfin-androidtv/releases", "show")</f>
        <v>show</v>
      </c>
      <c r="I10390">
        <v>1</v>
      </c>
      <c r="J10390">
        <v>1</v>
      </c>
      <c r="K10390">
        <v>0</v>
      </c>
      <c r="L10390">
        <v>0</v>
      </c>
      <c r="M10390" t="s">
        <v>48</v>
      </c>
    </row>
    <row r="10391" spans="1:13" hidden="1" x14ac:dyDescent="0.15">
      <c r="A10391" t="s">
        <v>32776</v>
      </c>
      <c r="B10391" t="s">
        <v>32777</v>
      </c>
      <c r="C10391" t="s">
        <v>32778</v>
      </c>
      <c r="D10391" t="s">
        <v>32775</v>
      </c>
      <c r="E10391">
        <v>99</v>
      </c>
      <c r="F10391" t="str">
        <f>HYPERLINK("https://github.com/oliexdev/openScale/issues/952", "show")</f>
        <v>show</v>
      </c>
      <c r="G10391" t="str">
        <f>HYPERLINK("https://github.com/oliexdev/openScale", "show")</f>
        <v>show</v>
      </c>
      <c r="H10391" t="str">
        <f>HYPERLINK("https://github.com/oliexdev/openScale/releases", "show")</f>
        <v>show</v>
      </c>
      <c r="I10391">
        <v>1</v>
      </c>
      <c r="J10391">
        <v>0</v>
      </c>
      <c r="K10391">
        <v>1</v>
      </c>
      <c r="L10391">
        <v>0</v>
      </c>
      <c r="M10391" t="s">
        <v>64</v>
      </c>
    </row>
    <row r="10392" spans="1:13" hidden="1" x14ac:dyDescent="0.15">
      <c r="A10392" t="s">
        <v>32779</v>
      </c>
      <c r="B10392" t="s">
        <v>32780</v>
      </c>
      <c r="C10392" t="s">
        <v>32781</v>
      </c>
      <c r="D10392" t="s">
        <v>32775</v>
      </c>
      <c r="E10392">
        <v>121</v>
      </c>
      <c r="F10392" t="str">
        <f>HYPERLINK("https://github.com/PojavLauncherTeam/PojavLauncher/issues/4115", "show")</f>
        <v>show</v>
      </c>
      <c r="G10392" t="str">
        <f>HYPERLINK("https://github.com/PojavLauncherTeam/PojavLauncher", "show")</f>
        <v>show</v>
      </c>
      <c r="H10392" t="str">
        <f>HYPERLINK("https://github.com/PojavLauncherTeam/PojavLauncher/releases", "show")</f>
        <v>show</v>
      </c>
      <c r="I10392">
        <v>0</v>
      </c>
      <c r="J10392">
        <v>0</v>
      </c>
      <c r="K10392">
        <v>1</v>
      </c>
      <c r="L10392">
        <v>0</v>
      </c>
      <c r="M10392" t="s">
        <v>122</v>
      </c>
    </row>
    <row r="10393" spans="1:13" hidden="1" x14ac:dyDescent="0.15">
      <c r="A10393" t="s">
        <v>32782</v>
      </c>
      <c r="B10393" t="s">
        <v>32783</v>
      </c>
      <c r="C10393" t="s">
        <v>32784</v>
      </c>
      <c r="D10393" t="s">
        <v>32785</v>
      </c>
      <c r="E10393">
        <v>17</v>
      </c>
      <c r="F10393" t="str">
        <f>HYPERLINK("https://github.com/babybuddy/babybuddy-for-android/issues/24", "show")</f>
        <v>show</v>
      </c>
      <c r="G10393" t="str">
        <f>HYPERLINK("https://github.com/babybuddy/babybuddy-for-android", "show")</f>
        <v>show</v>
      </c>
      <c r="H10393" t="str">
        <f>HYPERLINK("https://github.com/babybuddy/babybuddy-for-android/releases", "show")</f>
        <v>show</v>
      </c>
      <c r="I10393">
        <v>0</v>
      </c>
      <c r="J10393">
        <v>0</v>
      </c>
      <c r="K10393">
        <v>1</v>
      </c>
      <c r="L10393">
        <v>0</v>
      </c>
      <c r="M10393" t="s">
        <v>122</v>
      </c>
    </row>
    <row r="10394" spans="1:13" hidden="1" x14ac:dyDescent="0.15">
      <c r="A10394" t="s">
        <v>32786</v>
      </c>
      <c r="B10394" t="s">
        <v>32787</v>
      </c>
      <c r="C10394" t="s">
        <v>32788</v>
      </c>
      <c r="D10394" t="s">
        <v>32785</v>
      </c>
      <c r="E10394">
        <v>0</v>
      </c>
      <c r="F10394" t="str">
        <f>HYPERLINK("https://github.com/SCCapstone/BoredBards/issues/187", "show")</f>
        <v>show</v>
      </c>
      <c r="G10394" t="str">
        <f>HYPERLINK("https://github.com/SCCapstone/BoredBards", "show")</f>
        <v>show</v>
      </c>
      <c r="H10394" t="str">
        <f>HYPERLINK("https://github.com/SCCapstone/BoredBards/releases", "show")</f>
        <v>show</v>
      </c>
      <c r="I10394">
        <v>1</v>
      </c>
      <c r="J10394">
        <v>0</v>
      </c>
      <c r="K10394">
        <v>0</v>
      </c>
      <c r="L10394">
        <v>1</v>
      </c>
      <c r="M10394" t="s">
        <v>29</v>
      </c>
    </row>
    <row r="10395" spans="1:13" hidden="1" x14ac:dyDescent="0.15">
      <c r="A10395" t="s">
        <v>32789</v>
      </c>
      <c r="B10395" t="s">
        <v>32790</v>
      </c>
      <c r="C10395" t="s">
        <v>32791</v>
      </c>
      <c r="D10395" t="s">
        <v>32785</v>
      </c>
      <c r="E10395">
        <v>12</v>
      </c>
      <c r="F10395" t="str">
        <f>HYPERLINK("https://github.com/Aliucord/Aliucord/issues/338", "show")</f>
        <v>show</v>
      </c>
      <c r="G10395" t="str">
        <f>HYPERLINK("https://github.com/Aliucord/Aliucord", "show")</f>
        <v>show</v>
      </c>
      <c r="H10395" t="str">
        <f>HYPERLINK("https://github.com/Aliucord/Aliucord/releases", "show")</f>
        <v>show</v>
      </c>
      <c r="I10395">
        <v>1</v>
      </c>
      <c r="J10395">
        <v>1</v>
      </c>
      <c r="K10395">
        <v>0</v>
      </c>
      <c r="L10395">
        <v>0</v>
      </c>
      <c r="M10395" t="s">
        <v>48</v>
      </c>
    </row>
    <row r="10396" spans="1:13" hidden="1" x14ac:dyDescent="0.15">
      <c r="A10396" t="s">
        <v>32792</v>
      </c>
      <c r="B10396" t="s">
        <v>32793</v>
      </c>
      <c r="C10396" t="s">
        <v>32794</v>
      </c>
      <c r="D10396" t="s">
        <v>32785</v>
      </c>
      <c r="E10396">
        <v>0</v>
      </c>
      <c r="F10396" t="str">
        <f>HYPERLINK("https://github.com/AndroidIDEOfficial/AndroidIDE/issues/943", "show")</f>
        <v>show</v>
      </c>
      <c r="G10396" t="str">
        <f>HYPERLINK("https://github.com/AndroidIDEOfficial/AndroidIDE", "show")</f>
        <v>show</v>
      </c>
      <c r="H10396" t="str">
        <f>HYPERLINK("https://github.com/AndroidIDEOfficial/AndroidIDE/releases", "show")</f>
        <v>show</v>
      </c>
      <c r="I10396">
        <v>0</v>
      </c>
      <c r="J10396">
        <v>0</v>
      </c>
      <c r="K10396">
        <v>1</v>
      </c>
      <c r="L10396">
        <v>0</v>
      </c>
      <c r="M10396" t="s">
        <v>122</v>
      </c>
    </row>
    <row r="10397" spans="1:13" hidden="1" x14ac:dyDescent="0.15">
      <c r="A10397" t="s">
        <v>32795</v>
      </c>
      <c r="B10397" t="s">
        <v>32796</v>
      </c>
      <c r="C10397" t="s">
        <v>32797</v>
      </c>
      <c r="D10397" t="s">
        <v>32785</v>
      </c>
      <c r="E10397">
        <v>3</v>
      </c>
      <c r="F10397" t="str">
        <f>HYPERLINK("https://github.com/Anuken/Mindustry/issues/8507", "show")</f>
        <v>show</v>
      </c>
      <c r="G10397" t="str">
        <f>HYPERLINK("https://github.com/Anuken/Mindustry", "show")</f>
        <v>show</v>
      </c>
      <c r="H10397" t="str">
        <f>HYPERLINK("https://github.com/Anuken/Mindustry/releases", "show")</f>
        <v>show</v>
      </c>
      <c r="I10397">
        <v>1</v>
      </c>
      <c r="J10397">
        <v>0</v>
      </c>
      <c r="K10397">
        <v>0</v>
      </c>
      <c r="L10397">
        <v>0</v>
      </c>
      <c r="M10397" t="s">
        <v>17</v>
      </c>
    </row>
    <row r="10398" spans="1:13" hidden="1" x14ac:dyDescent="0.15">
      <c r="A10398" t="s">
        <v>32798</v>
      </c>
      <c r="B10398" t="s">
        <v>32799</v>
      </c>
      <c r="C10398" t="s">
        <v>32800</v>
      </c>
      <c r="D10398" t="s">
        <v>32785</v>
      </c>
      <c r="E10398">
        <v>181</v>
      </c>
      <c r="F10398" t="str">
        <f>HYPERLINK("https://github.com/Mahmud0808/Iconify/issues/132", "show")</f>
        <v>show</v>
      </c>
      <c r="G10398" t="str">
        <f>HYPERLINK("https://github.com/Mahmud0808/Iconify", "show")</f>
        <v>show</v>
      </c>
      <c r="H10398" t="str">
        <f>HYPERLINK("https://github.com/Mahmud0808/Iconify/releases", "show")</f>
        <v>show</v>
      </c>
      <c r="I10398">
        <v>0</v>
      </c>
      <c r="J10398">
        <v>1</v>
      </c>
      <c r="K10398">
        <v>1</v>
      </c>
      <c r="L10398">
        <v>1</v>
      </c>
      <c r="M10398" t="s">
        <v>427</v>
      </c>
    </row>
    <row r="10399" spans="1:13" hidden="1" x14ac:dyDescent="0.15">
      <c r="A10399" t="s">
        <v>32801</v>
      </c>
      <c r="B10399" t="s">
        <v>32802</v>
      </c>
      <c r="C10399" t="s">
        <v>32803</v>
      </c>
      <c r="D10399" t="s">
        <v>32804</v>
      </c>
      <c r="E10399">
        <v>4</v>
      </c>
      <c r="F10399" t="str">
        <f>HYPERLINK("https://github.com/Anuken/Mindustry/issues/8505", "show")</f>
        <v>show</v>
      </c>
      <c r="G10399" t="str">
        <f>HYPERLINK("https://github.com/Anuken/Mindustry", "show")</f>
        <v>show</v>
      </c>
      <c r="H10399" t="str">
        <f>HYPERLINK("https://github.com/Anuken/Mindustry/releases", "show")</f>
        <v>show</v>
      </c>
      <c r="I10399">
        <v>1</v>
      </c>
      <c r="J10399">
        <v>1</v>
      </c>
      <c r="K10399">
        <v>0</v>
      </c>
      <c r="L10399">
        <v>1</v>
      </c>
      <c r="M10399" t="s">
        <v>1894</v>
      </c>
    </row>
    <row r="10400" spans="1:13" hidden="1" x14ac:dyDescent="0.15">
      <c r="A10400" t="s">
        <v>32805</v>
      </c>
      <c r="B10400" t="s">
        <v>32806</v>
      </c>
      <c r="C10400" t="s">
        <v>32807</v>
      </c>
      <c r="D10400" t="s">
        <v>32804</v>
      </c>
      <c r="E10400">
        <v>27</v>
      </c>
      <c r="F10400" t="str">
        <f>HYPERLINK("https://github.com/Aliucord/Aliucord/issues/336", "show")</f>
        <v>show</v>
      </c>
      <c r="G10400" t="str">
        <f>HYPERLINK("https://github.com/Aliucord/Aliucord", "show")</f>
        <v>show</v>
      </c>
      <c r="H10400" t="str">
        <f>HYPERLINK("https://github.com/Aliucord/Aliucord/releases", "show")</f>
        <v>show</v>
      </c>
      <c r="I10400">
        <v>1</v>
      </c>
      <c r="J10400">
        <v>0</v>
      </c>
      <c r="K10400">
        <v>0</v>
      </c>
      <c r="L10400">
        <v>1</v>
      </c>
      <c r="M10400" t="s">
        <v>29</v>
      </c>
    </row>
    <row r="10401" spans="1:13" hidden="1" x14ac:dyDescent="0.15">
      <c r="A10401" t="s">
        <v>32808</v>
      </c>
      <c r="B10401" t="s">
        <v>32809</v>
      </c>
      <c r="C10401" t="s">
        <v>32810</v>
      </c>
      <c r="D10401" t="s">
        <v>32804</v>
      </c>
      <c r="E10401">
        <v>8</v>
      </c>
      <c r="F10401" t="str">
        <f>HYPERLINK("https://github.com/androidx/media/issues/318", "show")</f>
        <v>show</v>
      </c>
      <c r="G10401" t="str">
        <f>HYPERLINK("https://github.com/androidx/media", "show")</f>
        <v>show</v>
      </c>
      <c r="H10401" t="str">
        <f>HYPERLINK("https://github.com/androidx/media/releases", "show")</f>
        <v>show</v>
      </c>
      <c r="I10401">
        <v>1</v>
      </c>
      <c r="J10401">
        <v>0</v>
      </c>
      <c r="K10401">
        <v>1</v>
      </c>
      <c r="L10401">
        <v>0</v>
      </c>
      <c r="M10401" t="s">
        <v>64</v>
      </c>
    </row>
    <row r="10402" spans="1:13" hidden="1" x14ac:dyDescent="0.15">
      <c r="A10402" t="s">
        <v>32811</v>
      </c>
      <c r="B10402" t="s">
        <v>32812</v>
      </c>
      <c r="C10402" t="s">
        <v>32813</v>
      </c>
      <c r="D10402" t="s">
        <v>32804</v>
      </c>
      <c r="E10402">
        <v>2</v>
      </c>
      <c r="F10402" t="str">
        <f>HYPERLINK("https://github.com/AndroidIDEOfficial/AndroidIDE/issues/939", "show")</f>
        <v>show</v>
      </c>
      <c r="G10402" t="str">
        <f>HYPERLINK("https://github.com/AndroidIDEOfficial/AndroidIDE", "show")</f>
        <v>show</v>
      </c>
      <c r="H10402" t="str">
        <f>HYPERLINK("https://github.com/AndroidIDEOfficial/AndroidIDE/releases", "show")</f>
        <v>show</v>
      </c>
      <c r="I10402">
        <v>1</v>
      </c>
      <c r="J10402">
        <v>1</v>
      </c>
      <c r="K10402">
        <v>1</v>
      </c>
      <c r="L10402">
        <v>0</v>
      </c>
      <c r="M10402" t="s">
        <v>59</v>
      </c>
    </row>
    <row r="10403" spans="1:13" hidden="1" x14ac:dyDescent="0.15">
      <c r="A10403" t="s">
        <v>32814</v>
      </c>
      <c r="B10403" t="s">
        <v>32815</v>
      </c>
      <c r="C10403" t="s">
        <v>32816</v>
      </c>
      <c r="D10403" t="s">
        <v>32804</v>
      </c>
      <c r="E10403">
        <v>6</v>
      </c>
      <c r="F10403" t="str">
        <f>HYPERLINK("https://github.com/Tencent/Shadow/issues/1171", "show")</f>
        <v>show</v>
      </c>
      <c r="G10403" t="str">
        <f>HYPERLINK("https://github.com/Tencent/Shadow", "show")</f>
        <v>show</v>
      </c>
      <c r="H10403" t="str">
        <f>HYPERLINK("https://github.com/Tencent/Shadow/releases", "show")</f>
        <v>show</v>
      </c>
      <c r="I10403">
        <v>0</v>
      </c>
      <c r="J10403">
        <v>0</v>
      </c>
      <c r="K10403">
        <v>0</v>
      </c>
      <c r="L10403">
        <v>0</v>
      </c>
      <c r="M10403" t="s">
        <v>43</v>
      </c>
    </row>
    <row r="10404" spans="1:13" hidden="1" x14ac:dyDescent="0.15">
      <c r="A10404" t="s">
        <v>32817</v>
      </c>
      <c r="B10404" t="s">
        <v>32818</v>
      </c>
      <c r="C10404" t="s">
        <v>32819</v>
      </c>
      <c r="D10404" t="s">
        <v>32820</v>
      </c>
      <c r="E10404">
        <v>105</v>
      </c>
      <c r="F10404" t="str">
        <f>HYPERLINK("https://github.com/caoccao/Javet/issues/238", "show")</f>
        <v>show</v>
      </c>
      <c r="G10404" t="str">
        <f>HYPERLINK("https://github.com/caoccao/Javet", "show")</f>
        <v>show</v>
      </c>
      <c r="H10404" t="str">
        <f>HYPERLINK("https://github.com/caoccao/Javet/releases", "show")</f>
        <v>show</v>
      </c>
      <c r="I10404">
        <v>1</v>
      </c>
      <c r="J10404">
        <v>0</v>
      </c>
      <c r="K10404">
        <v>0</v>
      </c>
      <c r="L10404">
        <v>0</v>
      </c>
      <c r="M10404" t="s">
        <v>17</v>
      </c>
    </row>
    <row r="10405" spans="1:13" hidden="1" x14ac:dyDescent="0.15">
      <c r="A10405" t="s">
        <v>32821</v>
      </c>
      <c r="B10405" t="s">
        <v>32822</v>
      </c>
      <c r="C10405" t="s">
        <v>32823</v>
      </c>
      <c r="D10405" t="s">
        <v>32820</v>
      </c>
      <c r="E10405">
        <v>2</v>
      </c>
      <c r="F10405" t="str">
        <f>HYPERLINK("https://github.com/OneSignal/OneSignal-Android-SDK/issues/1759", "show")</f>
        <v>show</v>
      </c>
      <c r="G10405" t="str">
        <f>HYPERLINK("https://github.com/OneSignal/OneSignal-Android-SDK", "show")</f>
        <v>show</v>
      </c>
      <c r="H10405" t="str">
        <f>HYPERLINK("https://github.com/OneSignal/OneSignal-Android-SDK/releases", "show")</f>
        <v>show</v>
      </c>
      <c r="I10405">
        <v>0</v>
      </c>
      <c r="J10405">
        <v>0</v>
      </c>
      <c r="K10405">
        <v>1</v>
      </c>
      <c r="L10405">
        <v>0</v>
      </c>
      <c r="M10405" t="s">
        <v>122</v>
      </c>
    </row>
    <row r="10406" spans="1:13" hidden="1" x14ac:dyDescent="0.15">
      <c r="A10406" t="s">
        <v>32824</v>
      </c>
      <c r="B10406" t="s">
        <v>32825</v>
      </c>
      <c r="C10406" t="s">
        <v>32826</v>
      </c>
      <c r="D10406" t="s">
        <v>32827</v>
      </c>
      <c r="E10406">
        <v>13</v>
      </c>
      <c r="F10406" t="str">
        <f>HYPERLINK("https://github.com/SCCapstone/BoredBards/issues/179", "show")</f>
        <v>show</v>
      </c>
      <c r="G10406" t="str">
        <f>HYPERLINK("https://github.com/SCCapstone/BoredBards", "show")</f>
        <v>show</v>
      </c>
      <c r="H10406" t="str">
        <f>HYPERLINK("https://github.com/SCCapstone/BoredBards/releases", "show")</f>
        <v>show</v>
      </c>
      <c r="I10406">
        <v>1</v>
      </c>
      <c r="J10406">
        <v>0</v>
      </c>
      <c r="K10406">
        <v>0</v>
      </c>
      <c r="L10406">
        <v>0</v>
      </c>
      <c r="M10406" t="s">
        <v>17</v>
      </c>
    </row>
    <row r="10407" spans="1:13" hidden="1" x14ac:dyDescent="0.15">
      <c r="A10407" t="s">
        <v>32828</v>
      </c>
      <c r="B10407" t="s">
        <v>32829</v>
      </c>
      <c r="C10407" t="s">
        <v>32830</v>
      </c>
      <c r="D10407" t="s">
        <v>32831</v>
      </c>
      <c r="E10407">
        <v>0</v>
      </c>
      <c r="F10407" t="str">
        <f>HYPERLINK("https://github.com/LSPosed/LSPosed/issues/2481", "show")</f>
        <v>show</v>
      </c>
      <c r="G10407" t="str">
        <f>HYPERLINK("https://github.com/LSPosed/LSPosed", "show")</f>
        <v>show</v>
      </c>
      <c r="H10407" t="str">
        <f>HYPERLINK("https://github.com/LSPosed/LSPosed/releases", "show")</f>
        <v>show</v>
      </c>
      <c r="I10407">
        <v>1</v>
      </c>
      <c r="J10407">
        <v>1</v>
      </c>
      <c r="K10407">
        <v>0</v>
      </c>
      <c r="L10407">
        <v>0</v>
      </c>
      <c r="M10407" t="s">
        <v>48</v>
      </c>
    </row>
    <row r="10408" spans="1:13" hidden="1" x14ac:dyDescent="0.15">
      <c r="A10408" t="s">
        <v>32832</v>
      </c>
      <c r="B10408" t="s">
        <v>32833</v>
      </c>
      <c r="C10408" t="s">
        <v>32834</v>
      </c>
      <c r="D10408" t="s">
        <v>32831</v>
      </c>
      <c r="E10408">
        <v>1</v>
      </c>
      <c r="F10408" t="str">
        <f>HYPERLINK("https://github.com/OffRange/KeyGo/issues/3", "show")</f>
        <v>show</v>
      </c>
      <c r="G10408" t="str">
        <f>HYPERLINK("https://github.com/OffRange/KeyGo", "show")</f>
        <v>show</v>
      </c>
      <c r="H10408" t="str">
        <f>HYPERLINK("https://github.com/OffRange/KeyGo/releases", "show")</f>
        <v>show</v>
      </c>
      <c r="I10408">
        <v>1</v>
      </c>
      <c r="J10408">
        <v>1</v>
      </c>
      <c r="K10408">
        <v>0</v>
      </c>
      <c r="L10408">
        <v>0</v>
      </c>
      <c r="M10408" t="s">
        <v>48</v>
      </c>
    </row>
    <row r="10409" spans="1:13" hidden="1" x14ac:dyDescent="0.15">
      <c r="A10409" t="s">
        <v>32835</v>
      </c>
      <c r="B10409" t="s">
        <v>32836</v>
      </c>
      <c r="C10409" t="s">
        <v>32837</v>
      </c>
      <c r="D10409" t="s">
        <v>32831</v>
      </c>
      <c r="E10409">
        <v>0</v>
      </c>
      <c r="F10409" t="str">
        <f>HYPERLINK("https://github.com/Anuken/Mindustry/issues/8495", "show")</f>
        <v>show</v>
      </c>
      <c r="G10409" t="str">
        <f>HYPERLINK("https://github.com/Anuken/Mindustry", "show")</f>
        <v>show</v>
      </c>
      <c r="H10409" t="str">
        <f>HYPERLINK("https://github.com/Anuken/Mindustry/releases", "show")</f>
        <v>show</v>
      </c>
      <c r="I10409">
        <v>0</v>
      </c>
      <c r="J10409">
        <v>0</v>
      </c>
      <c r="K10409">
        <v>0</v>
      </c>
      <c r="L10409">
        <v>1</v>
      </c>
      <c r="M10409" t="s">
        <v>581</v>
      </c>
    </row>
    <row r="10410" spans="1:13" x14ac:dyDescent="0.15">
      <c r="A10410" t="s">
        <v>32838</v>
      </c>
      <c r="B10410" t="s">
        <v>32839</v>
      </c>
      <c r="C10410" t="s">
        <v>32840</v>
      </c>
      <c r="D10410" t="s">
        <v>32831</v>
      </c>
      <c r="E10410">
        <v>0</v>
      </c>
      <c r="F10410" t="str">
        <f>HYPERLINK("https://github.com/Anuken/Mindustry/issues/8494", "show")</f>
        <v>show</v>
      </c>
      <c r="G10410" t="str">
        <f>HYPERLINK("https://github.com/Anuken/Mindustry", "show")</f>
        <v>show</v>
      </c>
      <c r="H10410" t="str">
        <f>HYPERLINK("https://github.com/Anuken/Mindustry/releases", "show")</f>
        <v>show</v>
      </c>
      <c r="I10410">
        <v>0</v>
      </c>
      <c r="J10410">
        <v>1</v>
      </c>
      <c r="K10410">
        <v>0</v>
      </c>
      <c r="L10410">
        <v>0</v>
      </c>
      <c r="M10410" t="s">
        <v>139</v>
      </c>
    </row>
    <row r="10411" spans="1:13" hidden="1" x14ac:dyDescent="0.15">
      <c r="A10411" t="s">
        <v>32841</v>
      </c>
      <c r="B10411" t="s">
        <v>32842</v>
      </c>
      <c r="C10411" t="s">
        <v>32843</v>
      </c>
      <c r="D10411" t="s">
        <v>32844</v>
      </c>
      <c r="E10411">
        <v>2</v>
      </c>
      <c r="F10411" t="str">
        <f>HYPERLINK("https://github.com/cgeo/cgeo/issues/14173", "show")</f>
        <v>show</v>
      </c>
      <c r="G10411" t="str">
        <f>HYPERLINK("https://github.com/cgeo/cgeo", "show")</f>
        <v>show</v>
      </c>
      <c r="H10411" t="str">
        <f>HYPERLINK("https://github.com/cgeo/cgeo/releases", "show")</f>
        <v>show</v>
      </c>
      <c r="I10411">
        <v>1</v>
      </c>
      <c r="J10411">
        <v>1</v>
      </c>
      <c r="K10411">
        <v>0</v>
      </c>
      <c r="L10411">
        <v>0</v>
      </c>
      <c r="M10411" t="s">
        <v>48</v>
      </c>
    </row>
    <row r="10412" spans="1:13" hidden="1" x14ac:dyDescent="0.15">
      <c r="A10412" t="s">
        <v>32845</v>
      </c>
      <c r="B10412" t="s">
        <v>32846</v>
      </c>
      <c r="C10412" t="s">
        <v>32847</v>
      </c>
      <c r="D10412" t="s">
        <v>32844</v>
      </c>
      <c r="E10412">
        <v>0</v>
      </c>
      <c r="F10412" t="str">
        <f>HYPERLINK("https://github.com/Anuken/Mindustry/issues/8491", "show")</f>
        <v>show</v>
      </c>
      <c r="G10412" t="str">
        <f>HYPERLINK("https://github.com/Anuken/Mindustry", "show")</f>
        <v>show</v>
      </c>
      <c r="H10412" t="str">
        <f>HYPERLINK("https://github.com/Anuken/Mindustry/releases", "show")</f>
        <v>show</v>
      </c>
      <c r="I10412">
        <v>0</v>
      </c>
      <c r="J10412">
        <v>0</v>
      </c>
      <c r="K10412">
        <v>0</v>
      </c>
      <c r="L10412">
        <v>1</v>
      </c>
      <c r="M10412" t="s">
        <v>581</v>
      </c>
    </row>
    <row r="10413" spans="1:13" hidden="1" x14ac:dyDescent="0.15">
      <c r="A10413" t="s">
        <v>32848</v>
      </c>
      <c r="B10413" t="s">
        <v>32849</v>
      </c>
      <c r="C10413" t="s">
        <v>32850</v>
      </c>
      <c r="D10413" t="s">
        <v>32844</v>
      </c>
      <c r="E10413">
        <v>0</v>
      </c>
      <c r="F10413" t="str">
        <f>HYPERLINK("https://github.com/Anuken/Mindustry/issues/8490", "show")</f>
        <v>show</v>
      </c>
      <c r="G10413" t="str">
        <f>HYPERLINK("https://github.com/Anuken/Mindustry", "show")</f>
        <v>show</v>
      </c>
      <c r="H10413" t="str">
        <f>HYPERLINK("https://github.com/Anuken/Mindustry/releases", "show")</f>
        <v>show</v>
      </c>
      <c r="I10413">
        <v>1</v>
      </c>
      <c r="J10413">
        <v>0</v>
      </c>
      <c r="K10413">
        <v>0</v>
      </c>
      <c r="L10413">
        <v>0</v>
      </c>
      <c r="M10413" t="s">
        <v>17</v>
      </c>
    </row>
    <row r="10414" spans="1:13" hidden="1" x14ac:dyDescent="0.15">
      <c r="A10414" t="s">
        <v>32851</v>
      </c>
      <c r="B10414" t="s">
        <v>32852</v>
      </c>
      <c r="C10414" t="s">
        <v>32853</v>
      </c>
      <c r="D10414" t="s">
        <v>32854</v>
      </c>
      <c r="E10414">
        <v>8</v>
      </c>
      <c r="F10414" t="str">
        <f>HYPERLINK("https://github.com/jellyfin/jellyfin-androidtv/issues/2653", "show")</f>
        <v>show</v>
      </c>
      <c r="G10414" t="str">
        <f>HYPERLINK("https://github.com/jellyfin/jellyfin-androidtv", "show")</f>
        <v>show</v>
      </c>
      <c r="H10414" t="str">
        <f>HYPERLINK("https://github.com/jellyfin/jellyfin-androidtv/releases", "show")</f>
        <v>show</v>
      </c>
      <c r="I10414">
        <v>1</v>
      </c>
      <c r="J10414">
        <v>0</v>
      </c>
      <c r="K10414">
        <v>1</v>
      </c>
      <c r="L10414">
        <v>0</v>
      </c>
      <c r="M10414" t="s">
        <v>64</v>
      </c>
    </row>
    <row r="10415" spans="1:13" hidden="1" x14ac:dyDescent="0.15">
      <c r="A10415" t="s">
        <v>32855</v>
      </c>
      <c r="B10415" t="s">
        <v>32856</v>
      </c>
      <c r="C10415" t="s">
        <v>32857</v>
      </c>
      <c r="D10415" t="s">
        <v>32854</v>
      </c>
      <c r="E10415">
        <v>5</v>
      </c>
      <c r="F10415" t="str">
        <f>HYPERLINK("https://github.com/joewilliams007/skyRant/issues/2", "show")</f>
        <v>show</v>
      </c>
      <c r="G10415" t="str">
        <f>HYPERLINK("https://github.com/joewilliams007/skyRant", "show")</f>
        <v>show</v>
      </c>
      <c r="H10415" t="str">
        <f>HYPERLINK("https://github.com/joewilliams007/skyRant/releases", "show")</f>
        <v>show</v>
      </c>
      <c r="I10415">
        <v>1</v>
      </c>
      <c r="J10415">
        <v>0</v>
      </c>
      <c r="K10415">
        <v>0</v>
      </c>
      <c r="L10415">
        <v>0</v>
      </c>
      <c r="M10415" t="s">
        <v>17</v>
      </c>
    </row>
    <row r="10416" spans="1:13" hidden="1" x14ac:dyDescent="0.15">
      <c r="A10416" t="s">
        <v>32858</v>
      </c>
      <c r="B10416" t="s">
        <v>32859</v>
      </c>
      <c r="C10416" t="s">
        <v>32860</v>
      </c>
      <c r="D10416" t="s">
        <v>32854</v>
      </c>
      <c r="E10416">
        <v>0</v>
      </c>
      <c r="F10416" t="str">
        <f>HYPERLINK("https://github.com/Anuken/Mindustry/issues/8483", "show")</f>
        <v>show</v>
      </c>
      <c r="G10416" t="str">
        <f>HYPERLINK("https://github.com/Anuken/Mindustry", "show")</f>
        <v>show</v>
      </c>
      <c r="H10416" t="str">
        <f>HYPERLINK("https://github.com/Anuken/Mindustry/releases", "show")</f>
        <v>show</v>
      </c>
      <c r="I10416">
        <v>1</v>
      </c>
      <c r="J10416">
        <v>1</v>
      </c>
      <c r="K10416">
        <v>1</v>
      </c>
      <c r="L10416">
        <v>0</v>
      </c>
      <c r="M10416" t="s">
        <v>59</v>
      </c>
    </row>
    <row r="10417" spans="1:13" hidden="1" x14ac:dyDescent="0.15">
      <c r="A10417" t="s">
        <v>32861</v>
      </c>
      <c r="B10417" t="s">
        <v>32862</v>
      </c>
      <c r="C10417" t="s">
        <v>32863</v>
      </c>
      <c r="D10417" t="s">
        <v>32854</v>
      </c>
      <c r="E10417">
        <v>0</v>
      </c>
      <c r="F10417" t="str">
        <f>HYPERLINK("https://github.com/AlfaazPlus/QuranApp/issues/197", "show")</f>
        <v>show</v>
      </c>
      <c r="G10417" t="str">
        <f>HYPERLINK("https://github.com/AlfaazPlus/QuranApp", "show")</f>
        <v>show</v>
      </c>
      <c r="H10417" t="str">
        <f>HYPERLINK("https://github.com/AlfaazPlus/QuranApp/releases", "show")</f>
        <v>show</v>
      </c>
      <c r="I10417">
        <v>1</v>
      </c>
      <c r="J10417">
        <v>0</v>
      </c>
      <c r="K10417">
        <v>1</v>
      </c>
      <c r="L10417">
        <v>0</v>
      </c>
      <c r="M10417" t="s">
        <v>64</v>
      </c>
    </row>
    <row r="10418" spans="1:13" hidden="1" x14ac:dyDescent="0.15">
      <c r="A10418" t="s">
        <v>32864</v>
      </c>
      <c r="B10418" t="s">
        <v>32865</v>
      </c>
      <c r="C10418" t="s">
        <v>32866</v>
      </c>
      <c r="D10418" t="s">
        <v>32867</v>
      </c>
      <c r="E10418">
        <v>20</v>
      </c>
      <c r="F10418" t="str">
        <f>HYPERLINK("https://github.com/androidx/media/issues/302", "show")</f>
        <v>show</v>
      </c>
      <c r="G10418" t="str">
        <f>HYPERLINK("https://github.com/androidx/media", "show")</f>
        <v>show</v>
      </c>
      <c r="H10418" t="str">
        <f>HYPERLINK("https://github.com/androidx/media/releases", "show")</f>
        <v>show</v>
      </c>
      <c r="I10418">
        <v>1</v>
      </c>
      <c r="J10418">
        <v>0</v>
      </c>
      <c r="K10418">
        <v>0</v>
      </c>
      <c r="L10418">
        <v>1</v>
      </c>
      <c r="M10418" t="s">
        <v>29</v>
      </c>
    </row>
    <row r="10419" spans="1:13" hidden="1" x14ac:dyDescent="0.15">
      <c r="A10419" t="s">
        <v>32868</v>
      </c>
      <c r="B10419" t="s">
        <v>32869</v>
      </c>
      <c r="C10419" t="s">
        <v>32870</v>
      </c>
      <c r="D10419" t="s">
        <v>32867</v>
      </c>
      <c r="E10419">
        <v>0</v>
      </c>
      <c r="F10419" t="str">
        <f>HYPERLINK("https://github.com/omnilaboratory/OBAndroid/issues/67", "show")</f>
        <v>show</v>
      </c>
      <c r="G10419" t="str">
        <f>HYPERLINK("https://github.com/omnilaboratory/OBAndroid", "show")</f>
        <v>show</v>
      </c>
      <c r="H10419" t="str">
        <f>HYPERLINK("https://github.com/omnilaboratory/OBAndroid/releases", "show")</f>
        <v>show</v>
      </c>
      <c r="I10419">
        <v>1</v>
      </c>
      <c r="J10419">
        <v>0</v>
      </c>
      <c r="K10419">
        <v>0</v>
      </c>
      <c r="L10419">
        <v>0</v>
      </c>
      <c r="M10419" t="s">
        <v>17</v>
      </c>
    </row>
    <row r="10420" spans="1:13" hidden="1" x14ac:dyDescent="0.15">
      <c r="A10420" t="s">
        <v>32871</v>
      </c>
      <c r="B10420" t="s">
        <v>32872</v>
      </c>
      <c r="C10420" t="s">
        <v>32873</v>
      </c>
      <c r="D10420" t="s">
        <v>32867</v>
      </c>
      <c r="E10420">
        <v>1</v>
      </c>
      <c r="F10420" t="str">
        <f>HYPERLINK("https://github.com/androidx/media/issues/299", "show")</f>
        <v>show</v>
      </c>
      <c r="G10420" t="str">
        <f>HYPERLINK("https://github.com/androidx/media", "show")</f>
        <v>show</v>
      </c>
      <c r="H10420" t="str">
        <f>HYPERLINK("https://github.com/androidx/media/releases", "show")</f>
        <v>show</v>
      </c>
      <c r="I10420">
        <v>1</v>
      </c>
      <c r="J10420">
        <v>0</v>
      </c>
      <c r="K10420">
        <v>1</v>
      </c>
      <c r="L10420">
        <v>0</v>
      </c>
      <c r="M10420" t="s">
        <v>64</v>
      </c>
    </row>
    <row r="10421" spans="1:13" hidden="1" x14ac:dyDescent="0.15">
      <c r="A10421" t="s">
        <v>32874</v>
      </c>
      <c r="B10421" t="s">
        <v>32875</v>
      </c>
      <c r="C10421" t="s">
        <v>32876</v>
      </c>
      <c r="D10421" t="s">
        <v>32867</v>
      </c>
      <c r="E10421">
        <v>0</v>
      </c>
      <c r="F10421" t="str">
        <f>HYPERLINK("https://github.com/LSPosed/LSPosed/issues/2477", "show")</f>
        <v>show</v>
      </c>
      <c r="G10421" t="str">
        <f>HYPERLINK("https://github.com/LSPosed/LSPosed", "show")</f>
        <v>show</v>
      </c>
      <c r="H10421" t="str">
        <f>HYPERLINK("https://github.com/LSPosed/LSPosed/releases", "show")</f>
        <v>show</v>
      </c>
      <c r="I10421">
        <v>0</v>
      </c>
      <c r="J10421">
        <v>0</v>
      </c>
      <c r="K10421">
        <v>0</v>
      </c>
      <c r="L10421">
        <v>0</v>
      </c>
      <c r="M10421" t="s">
        <v>43</v>
      </c>
    </row>
    <row r="10422" spans="1:13" hidden="1" x14ac:dyDescent="0.15">
      <c r="A10422" t="s">
        <v>32877</v>
      </c>
      <c r="B10422" t="s">
        <v>32878</v>
      </c>
      <c r="C10422" t="s">
        <v>32879</v>
      </c>
      <c r="D10422" t="s">
        <v>32867</v>
      </c>
      <c r="E10422">
        <v>0</v>
      </c>
      <c r="F10422" t="str">
        <f>HYPERLINK("https://github.com/LSPosed/LSPosed/issues/2476", "show")</f>
        <v>show</v>
      </c>
      <c r="G10422" t="str">
        <f>HYPERLINK("https://github.com/LSPosed/LSPosed", "show")</f>
        <v>show</v>
      </c>
      <c r="H10422" t="str">
        <f>HYPERLINK("https://github.com/LSPosed/LSPosed/releases", "show")</f>
        <v>show</v>
      </c>
      <c r="I10422">
        <v>1</v>
      </c>
      <c r="J10422">
        <v>0</v>
      </c>
      <c r="K10422">
        <v>1</v>
      </c>
      <c r="L10422">
        <v>0</v>
      </c>
      <c r="M10422" t="s">
        <v>64</v>
      </c>
    </row>
    <row r="10423" spans="1:13" hidden="1" x14ac:dyDescent="0.15">
      <c r="A10423" t="s">
        <v>32880</v>
      </c>
      <c r="B10423" t="s">
        <v>32881</v>
      </c>
      <c r="C10423" t="s">
        <v>32882</v>
      </c>
      <c r="D10423" t="s">
        <v>32883</v>
      </c>
      <c r="E10423">
        <v>0</v>
      </c>
      <c r="F10423" t="str">
        <f>HYPERLINK("https://github.com/Aliucord/Aliucord/issues/334", "show")</f>
        <v>show</v>
      </c>
      <c r="G10423" t="str">
        <f>HYPERLINK("https://github.com/Aliucord/Aliucord", "show")</f>
        <v>show</v>
      </c>
      <c r="H10423" t="str">
        <f>HYPERLINK("https://github.com/Aliucord/Aliucord/releases", "show")</f>
        <v>show</v>
      </c>
      <c r="I10423">
        <v>1</v>
      </c>
      <c r="J10423">
        <v>0</v>
      </c>
      <c r="K10423">
        <v>0</v>
      </c>
      <c r="L10423">
        <v>0</v>
      </c>
      <c r="M10423" t="s">
        <v>17</v>
      </c>
    </row>
    <row r="10424" spans="1:13" hidden="1" x14ac:dyDescent="0.15">
      <c r="A10424" t="s">
        <v>32884</v>
      </c>
      <c r="B10424" t="s">
        <v>32885</v>
      </c>
      <c r="C10424" t="s">
        <v>32886</v>
      </c>
      <c r="D10424" t="s">
        <v>32883</v>
      </c>
      <c r="E10424">
        <v>57</v>
      </c>
      <c r="F10424" t="str">
        <f>HYPERLINK("https://github.com/AppLovin/AppLovin-MAX-React-Native/issues/200", "show")</f>
        <v>show</v>
      </c>
      <c r="G10424" t="str">
        <f>HYPERLINK("https://github.com/AppLovin/AppLovin-MAX-React-Native", "show")</f>
        <v>show</v>
      </c>
      <c r="H10424" t="str">
        <f>HYPERLINK("https://github.com/AppLovin/AppLovin-MAX-React-Native/releases", "show")</f>
        <v>show</v>
      </c>
      <c r="I10424">
        <v>0</v>
      </c>
      <c r="J10424">
        <v>0</v>
      </c>
      <c r="K10424">
        <v>1</v>
      </c>
      <c r="L10424">
        <v>0</v>
      </c>
      <c r="M10424" t="s">
        <v>122</v>
      </c>
    </row>
    <row r="10425" spans="1:13" hidden="1" x14ac:dyDescent="0.15">
      <c r="A10425" t="s">
        <v>32887</v>
      </c>
      <c r="B10425" t="s">
        <v>32888</v>
      </c>
      <c r="C10425" t="s">
        <v>32889</v>
      </c>
      <c r="D10425" t="s">
        <v>32883</v>
      </c>
      <c r="E10425">
        <v>53</v>
      </c>
      <c r="F10425" t="str">
        <f>HYPERLINK("https://github.com/AndroidIDEOfficial/AndroidIDE/issues/927", "show")</f>
        <v>show</v>
      </c>
      <c r="G10425" t="str">
        <f>HYPERLINK("https://github.com/AndroidIDEOfficial/AndroidIDE", "show")</f>
        <v>show</v>
      </c>
      <c r="H10425" t="str">
        <f>HYPERLINK("https://github.com/AndroidIDEOfficial/AndroidIDE/releases", "show")</f>
        <v>show</v>
      </c>
      <c r="I10425">
        <v>1</v>
      </c>
      <c r="J10425">
        <v>0</v>
      </c>
      <c r="K10425">
        <v>1</v>
      </c>
      <c r="L10425">
        <v>0</v>
      </c>
      <c r="M10425" t="s">
        <v>64</v>
      </c>
    </row>
    <row r="10426" spans="1:13" hidden="1" x14ac:dyDescent="0.15">
      <c r="A10426" t="s">
        <v>32890</v>
      </c>
      <c r="B10426" t="s">
        <v>32891</v>
      </c>
      <c r="C10426" t="s">
        <v>32892</v>
      </c>
      <c r="D10426" t="s">
        <v>32883</v>
      </c>
      <c r="E10426">
        <v>23</v>
      </c>
      <c r="F10426" t="str">
        <f>HYPERLINK("https://github.com/sspanak/tt9/issues/236", "show")</f>
        <v>show</v>
      </c>
      <c r="G10426" t="str">
        <f>HYPERLINK("https://github.com/sspanak/tt9", "show")</f>
        <v>show</v>
      </c>
      <c r="H10426" t="str">
        <f>HYPERLINK("https://github.com/sspanak/tt9/releases", "show")</f>
        <v>show</v>
      </c>
      <c r="I10426">
        <v>1</v>
      </c>
      <c r="J10426">
        <v>0</v>
      </c>
      <c r="K10426">
        <v>0</v>
      </c>
      <c r="L10426">
        <v>0</v>
      </c>
      <c r="M10426" t="s">
        <v>17</v>
      </c>
    </row>
    <row r="10427" spans="1:13" hidden="1" x14ac:dyDescent="0.15">
      <c r="A10427" t="s">
        <v>32893</v>
      </c>
      <c r="B10427" t="s">
        <v>32894</v>
      </c>
      <c r="C10427" t="s">
        <v>32895</v>
      </c>
      <c r="D10427" t="s">
        <v>32883</v>
      </c>
      <c r="E10427">
        <v>0</v>
      </c>
      <c r="F10427" t="str">
        <f>HYPERLINK("https://github.com/Anuken/Mindustry/issues/8475", "show")</f>
        <v>show</v>
      </c>
      <c r="G10427" t="str">
        <f>HYPERLINK("https://github.com/Anuken/Mindustry", "show")</f>
        <v>show</v>
      </c>
      <c r="H10427" t="str">
        <f>HYPERLINK("https://github.com/Anuken/Mindustry/releases", "show")</f>
        <v>show</v>
      </c>
      <c r="I10427">
        <v>1</v>
      </c>
      <c r="J10427">
        <v>1</v>
      </c>
      <c r="K10427">
        <v>0</v>
      </c>
      <c r="L10427">
        <v>1</v>
      </c>
      <c r="M10427" t="s">
        <v>1894</v>
      </c>
    </row>
    <row r="10428" spans="1:13" hidden="1" x14ac:dyDescent="0.15">
      <c r="A10428" t="s">
        <v>32896</v>
      </c>
      <c r="B10428" t="s">
        <v>32897</v>
      </c>
      <c r="C10428" t="s">
        <v>32898</v>
      </c>
      <c r="D10428" t="s">
        <v>32899</v>
      </c>
      <c r="E10428">
        <v>30</v>
      </c>
      <c r="F10428" t="str">
        <f>HYPERLINK("https://github.com/googleads/googleads-ima-android-dai/issues/67", "show")</f>
        <v>show</v>
      </c>
      <c r="G10428" t="str">
        <f>HYPERLINK("https://github.com/googleads/googleads-ima-android-dai", "show")</f>
        <v>show</v>
      </c>
      <c r="H10428" t="str">
        <f>HYPERLINK("https://github.com/googleads/googleads-ima-android-dai/releases", "show")</f>
        <v>show</v>
      </c>
      <c r="I10428">
        <v>1</v>
      </c>
      <c r="J10428">
        <v>1</v>
      </c>
      <c r="K10428">
        <v>0</v>
      </c>
      <c r="L10428">
        <v>0</v>
      </c>
      <c r="M10428" t="s">
        <v>48</v>
      </c>
    </row>
    <row r="10429" spans="1:13" hidden="1" x14ac:dyDescent="0.15">
      <c r="A10429" t="s">
        <v>32900</v>
      </c>
      <c r="B10429" t="s">
        <v>32901</v>
      </c>
      <c r="C10429" t="s">
        <v>32902</v>
      </c>
      <c r="D10429" t="s">
        <v>32899</v>
      </c>
      <c r="E10429">
        <v>0</v>
      </c>
      <c r="F10429" t="str">
        <f>HYPERLINK("https://github.com/facebook/react-native/issues/36796", "show")</f>
        <v>show</v>
      </c>
      <c r="G10429" t="str">
        <f>HYPERLINK("https://github.com/facebook/react-native", "show")</f>
        <v>show</v>
      </c>
      <c r="H10429" t="str">
        <f>HYPERLINK("https://github.com/facebook/react-native/releases", "show")</f>
        <v>show</v>
      </c>
      <c r="I10429">
        <v>1</v>
      </c>
      <c r="J10429">
        <v>0</v>
      </c>
      <c r="K10429">
        <v>0</v>
      </c>
      <c r="L10429">
        <v>0</v>
      </c>
      <c r="M10429" t="s">
        <v>17</v>
      </c>
    </row>
    <row r="10430" spans="1:13" hidden="1" x14ac:dyDescent="0.15">
      <c r="A10430" t="s">
        <v>32903</v>
      </c>
      <c r="B10430" t="s">
        <v>32904</v>
      </c>
      <c r="C10430" t="s">
        <v>32905</v>
      </c>
      <c r="D10430" t="s">
        <v>32899</v>
      </c>
      <c r="E10430">
        <v>4</v>
      </c>
      <c r="F10430" t="str">
        <f>HYPERLINK("https://github.com/AndroidIDEOfficial/AndroidIDE/issues/919", "show")</f>
        <v>show</v>
      </c>
      <c r="G10430" t="str">
        <f>HYPERLINK("https://github.com/AndroidIDEOfficial/AndroidIDE", "show")</f>
        <v>show</v>
      </c>
      <c r="H10430" t="str">
        <f>HYPERLINK("https://github.com/AndroidIDEOfficial/AndroidIDE/releases", "show")</f>
        <v>show</v>
      </c>
      <c r="I10430">
        <v>1</v>
      </c>
      <c r="J10430">
        <v>0</v>
      </c>
      <c r="K10430">
        <v>0</v>
      </c>
      <c r="L10430">
        <v>0</v>
      </c>
      <c r="M10430" t="s">
        <v>17</v>
      </c>
    </row>
    <row r="10431" spans="1:13" hidden="1" x14ac:dyDescent="0.15">
      <c r="A10431" t="s">
        <v>32906</v>
      </c>
      <c r="B10431" t="s">
        <v>32907</v>
      </c>
      <c r="C10431" t="s">
        <v>32908</v>
      </c>
      <c r="D10431" t="s">
        <v>32899</v>
      </c>
      <c r="E10431">
        <v>1</v>
      </c>
      <c r="F10431" t="str">
        <f>HYPERLINK("https://github.com/deltachat/deltachat-android/issues/2531", "show")</f>
        <v>show</v>
      </c>
      <c r="G10431" t="str">
        <f>HYPERLINK("https://github.com/deltachat/deltachat-android", "show")</f>
        <v>show</v>
      </c>
      <c r="H10431" t="str">
        <f>HYPERLINK("https://github.com/deltachat/deltachat-android/releases", "show")</f>
        <v>show</v>
      </c>
      <c r="I10431">
        <v>0</v>
      </c>
      <c r="J10431">
        <v>0</v>
      </c>
      <c r="K10431">
        <v>0</v>
      </c>
      <c r="L10431">
        <v>0</v>
      </c>
      <c r="M10431" t="s">
        <v>43</v>
      </c>
    </row>
    <row r="10432" spans="1:13" hidden="1" x14ac:dyDescent="0.15">
      <c r="A10432" t="s">
        <v>32909</v>
      </c>
      <c r="B10432" t="s">
        <v>32910</v>
      </c>
      <c r="D10432" t="s">
        <v>32899</v>
      </c>
      <c r="E10432">
        <v>0</v>
      </c>
      <c r="F10432" t="str">
        <f>HYPERLINK("https://github.com/chetan7020/Smart-Mess/issues/5", "show")</f>
        <v>show</v>
      </c>
      <c r="G10432" t="str">
        <f>HYPERLINK("https://github.com/chetan7020/Smart-Mess", "show")</f>
        <v>show</v>
      </c>
      <c r="H10432" t="str">
        <f>HYPERLINK("https://github.com/chetan7020/Smart-Mess/releases", "show")</f>
        <v>show</v>
      </c>
      <c r="I10432">
        <v>0</v>
      </c>
      <c r="J10432">
        <v>0</v>
      </c>
      <c r="K10432">
        <v>0</v>
      </c>
      <c r="L10432">
        <v>0</v>
      </c>
      <c r="M10432" t="s">
        <v>43</v>
      </c>
    </row>
    <row r="10433" spans="1:13" hidden="1" x14ac:dyDescent="0.15">
      <c r="A10433" t="s">
        <v>32911</v>
      </c>
      <c r="B10433" t="s">
        <v>32912</v>
      </c>
      <c r="C10433" t="s">
        <v>32913</v>
      </c>
      <c r="D10433" t="s">
        <v>32899</v>
      </c>
      <c r="E10433">
        <v>0</v>
      </c>
      <c r="F10433" t="str">
        <f>HYPERLINK("https://github.com/PojavLauncherTeam/PojavLauncher/issues/4094", "show")</f>
        <v>show</v>
      </c>
      <c r="G10433" t="str">
        <f>HYPERLINK("https://github.com/PojavLauncherTeam/PojavLauncher", "show")</f>
        <v>show</v>
      </c>
      <c r="H10433" t="str">
        <f>HYPERLINK("https://github.com/PojavLauncherTeam/PojavLauncher/releases", "show")</f>
        <v>show</v>
      </c>
      <c r="I10433">
        <v>1</v>
      </c>
      <c r="J10433">
        <v>0</v>
      </c>
      <c r="K10433">
        <v>1</v>
      </c>
      <c r="L10433">
        <v>0</v>
      </c>
      <c r="M10433" t="s">
        <v>64</v>
      </c>
    </row>
    <row r="10434" spans="1:13" hidden="1" x14ac:dyDescent="0.15">
      <c r="A10434" t="s">
        <v>32914</v>
      </c>
      <c r="B10434" t="s">
        <v>32915</v>
      </c>
      <c r="C10434" t="s">
        <v>32916</v>
      </c>
      <c r="D10434" t="s">
        <v>32917</v>
      </c>
      <c r="E10434">
        <v>13</v>
      </c>
      <c r="F10434" t="str">
        <f>HYPERLINK("https://github.com/AppLovin/AppLovin-MAX-React-Native/issues/196", "show")</f>
        <v>show</v>
      </c>
      <c r="G10434" t="str">
        <f>HYPERLINK("https://github.com/AppLovin/AppLovin-MAX-React-Native", "show")</f>
        <v>show</v>
      </c>
      <c r="H10434" t="str">
        <f>HYPERLINK("https://github.com/AppLovin/AppLovin-MAX-React-Native/releases", "show")</f>
        <v>show</v>
      </c>
      <c r="I10434">
        <v>1</v>
      </c>
      <c r="J10434">
        <v>1</v>
      </c>
      <c r="K10434">
        <v>1</v>
      </c>
      <c r="L10434">
        <v>0</v>
      </c>
      <c r="M10434" t="s">
        <v>59</v>
      </c>
    </row>
    <row r="10435" spans="1:13" hidden="1" x14ac:dyDescent="0.15">
      <c r="A10435" t="s">
        <v>32918</v>
      </c>
      <c r="B10435" t="s">
        <v>32919</v>
      </c>
      <c r="C10435" t="s">
        <v>32920</v>
      </c>
      <c r="D10435" t="s">
        <v>32917</v>
      </c>
      <c r="E10435">
        <v>0</v>
      </c>
      <c r="F10435" t="str">
        <f>HYPERLINK("https://github.com/facebook/react-native/issues/36770", "show")</f>
        <v>show</v>
      </c>
      <c r="G10435" t="str">
        <f>HYPERLINK("https://github.com/facebook/react-native", "show")</f>
        <v>show</v>
      </c>
      <c r="H10435" t="str">
        <f>HYPERLINK("https://github.com/facebook/react-native/releases", "show")</f>
        <v>show</v>
      </c>
      <c r="I10435">
        <v>0</v>
      </c>
      <c r="J10435">
        <v>0</v>
      </c>
      <c r="K10435">
        <v>0</v>
      </c>
      <c r="L10435">
        <v>0</v>
      </c>
      <c r="M10435" t="s">
        <v>43</v>
      </c>
    </row>
    <row r="10436" spans="1:13" hidden="1" x14ac:dyDescent="0.15">
      <c r="A10436" t="s">
        <v>32921</v>
      </c>
      <c r="B10436" t="s">
        <v>32922</v>
      </c>
      <c r="C10436" t="s">
        <v>32923</v>
      </c>
      <c r="D10436" t="s">
        <v>32917</v>
      </c>
      <c r="E10436">
        <v>3</v>
      </c>
      <c r="F10436" t="str">
        <f>HYPERLINK("https://github.com/RosettaDrone/rosettadrone/issues/145", "show")</f>
        <v>show</v>
      </c>
      <c r="G10436" t="str">
        <f>HYPERLINK("https://github.com/RosettaDrone/rosettadrone", "show")</f>
        <v>show</v>
      </c>
      <c r="H10436" t="str">
        <f>HYPERLINK("https://github.com/RosettaDrone/rosettadrone/releases", "show")</f>
        <v>show</v>
      </c>
      <c r="I10436">
        <v>1</v>
      </c>
      <c r="J10436">
        <v>1</v>
      </c>
      <c r="K10436">
        <v>0</v>
      </c>
      <c r="L10436">
        <v>0</v>
      </c>
      <c r="M10436" t="s">
        <v>48</v>
      </c>
    </row>
    <row r="10437" spans="1:13" hidden="1" x14ac:dyDescent="0.15">
      <c r="A10437" t="s">
        <v>32924</v>
      </c>
      <c r="B10437" t="s">
        <v>32925</v>
      </c>
      <c r="C10437" t="s">
        <v>32926</v>
      </c>
      <c r="D10437" t="s">
        <v>32917</v>
      </c>
      <c r="E10437">
        <v>1</v>
      </c>
      <c r="F10437" t="str">
        <f>HYPERLINK("https://github.com/PojavLauncherTeam/PojavLauncher/issues/4091", "show")</f>
        <v>show</v>
      </c>
      <c r="G10437" t="str">
        <f>HYPERLINK("https://github.com/PojavLauncherTeam/PojavLauncher", "show")</f>
        <v>show</v>
      </c>
      <c r="H10437" t="str">
        <f>HYPERLINK("https://github.com/PojavLauncherTeam/PojavLauncher/releases", "show")</f>
        <v>show</v>
      </c>
      <c r="I10437">
        <v>1</v>
      </c>
      <c r="J10437">
        <v>0</v>
      </c>
      <c r="K10437">
        <v>1</v>
      </c>
      <c r="L10437">
        <v>0</v>
      </c>
      <c r="M10437" t="s">
        <v>64</v>
      </c>
    </row>
    <row r="10438" spans="1:13" hidden="1" x14ac:dyDescent="0.15">
      <c r="A10438" t="s">
        <v>32927</v>
      </c>
      <c r="B10438" t="s">
        <v>32928</v>
      </c>
      <c r="C10438" t="s">
        <v>32929</v>
      </c>
      <c r="D10438" t="s">
        <v>32930</v>
      </c>
      <c r="E10438">
        <v>0</v>
      </c>
      <c r="F10438" t="str">
        <f>HYPERLINK("https://github.com/Anuken/Mindustry/issues/8463", "show")</f>
        <v>show</v>
      </c>
      <c r="G10438" t="str">
        <f>HYPERLINK("https://github.com/Anuken/Mindustry", "show")</f>
        <v>show</v>
      </c>
      <c r="H10438" t="str">
        <f>HYPERLINK("https://github.com/Anuken/Mindustry/releases", "show")</f>
        <v>show</v>
      </c>
      <c r="I10438">
        <v>0</v>
      </c>
      <c r="J10438">
        <v>0</v>
      </c>
      <c r="K10438">
        <v>0</v>
      </c>
      <c r="L10438">
        <v>1</v>
      </c>
      <c r="M10438" t="s">
        <v>581</v>
      </c>
    </row>
    <row r="10439" spans="1:13" hidden="1" x14ac:dyDescent="0.15">
      <c r="A10439" t="s">
        <v>32931</v>
      </c>
      <c r="B10439" t="s">
        <v>32932</v>
      </c>
      <c r="C10439" t="s">
        <v>32933</v>
      </c>
      <c r="D10439" t="s">
        <v>32930</v>
      </c>
      <c r="E10439">
        <v>49</v>
      </c>
      <c r="F10439" t="str">
        <f>HYPERLINK("https://github.com/itsdrnoob/DataMonitor/issues/164", "show")</f>
        <v>show</v>
      </c>
      <c r="G10439" t="str">
        <f>HYPERLINK("https://github.com/itsdrnoob/DataMonitor", "show")</f>
        <v>show</v>
      </c>
      <c r="H10439" t="str">
        <f>HYPERLINK("https://github.com/itsdrnoob/DataMonitor/releases", "show")</f>
        <v>show</v>
      </c>
      <c r="I10439">
        <v>1</v>
      </c>
      <c r="J10439">
        <v>1</v>
      </c>
      <c r="K10439">
        <v>1</v>
      </c>
      <c r="L10439">
        <v>1</v>
      </c>
      <c r="M10439" t="s">
        <v>2875</v>
      </c>
    </row>
    <row r="10440" spans="1:13" hidden="1" x14ac:dyDescent="0.15">
      <c r="A10440" t="s">
        <v>32934</v>
      </c>
      <c r="B10440" t="s">
        <v>32935</v>
      </c>
      <c r="C10440" t="s">
        <v>32936</v>
      </c>
      <c r="D10440" t="s">
        <v>32937</v>
      </c>
      <c r="E10440">
        <v>0</v>
      </c>
      <c r="F10440" t="str">
        <f>HYPERLINK("https://github.com/Sesu8642/FeudalTactics/issues/48", "show")</f>
        <v>show</v>
      </c>
      <c r="G10440" t="str">
        <f>HYPERLINK("https://github.com/Sesu8642/FeudalTactics", "show")</f>
        <v>show</v>
      </c>
      <c r="H10440" t="str">
        <f>HYPERLINK("https://github.com/Sesu8642/FeudalTactics/releases", "show")</f>
        <v>show</v>
      </c>
      <c r="I10440">
        <v>1</v>
      </c>
      <c r="J10440">
        <v>0</v>
      </c>
      <c r="K10440">
        <v>0</v>
      </c>
      <c r="L10440">
        <v>0</v>
      </c>
      <c r="M10440" t="s">
        <v>17</v>
      </c>
    </row>
    <row r="10441" spans="1:13" hidden="1" x14ac:dyDescent="0.15">
      <c r="A10441" t="s">
        <v>32938</v>
      </c>
      <c r="B10441" t="s">
        <v>32939</v>
      </c>
      <c r="C10441" t="s">
        <v>32940</v>
      </c>
      <c r="D10441" t="s">
        <v>32937</v>
      </c>
      <c r="E10441">
        <v>4</v>
      </c>
      <c r="F10441" t="str">
        <f>HYPERLINK("https://github.com/AppLovin/AppLovin-MAX-React-Native/issues/194", "show")</f>
        <v>show</v>
      </c>
      <c r="G10441" t="str">
        <f>HYPERLINK("https://github.com/AppLovin/AppLovin-MAX-React-Native", "show")</f>
        <v>show</v>
      </c>
      <c r="H10441" t="str">
        <f>HYPERLINK("https://github.com/AppLovin/AppLovin-MAX-React-Native/releases", "show")</f>
        <v>show</v>
      </c>
      <c r="I10441">
        <v>1</v>
      </c>
      <c r="J10441">
        <v>0</v>
      </c>
      <c r="K10441">
        <v>0</v>
      </c>
      <c r="L10441">
        <v>0</v>
      </c>
      <c r="M10441" t="s">
        <v>17</v>
      </c>
    </row>
    <row r="10442" spans="1:13" hidden="1" x14ac:dyDescent="0.15">
      <c r="A10442" t="s">
        <v>32941</v>
      </c>
      <c r="B10442" t="s">
        <v>32942</v>
      </c>
      <c r="C10442" t="s">
        <v>32943</v>
      </c>
      <c r="D10442" t="s">
        <v>32937</v>
      </c>
      <c r="E10442">
        <v>10</v>
      </c>
      <c r="F10442" t="str">
        <f>HYPERLINK("https://github.com/androidx/media/issues/290", "show")</f>
        <v>show</v>
      </c>
      <c r="G10442" t="str">
        <f>HYPERLINK("https://github.com/androidx/media", "show")</f>
        <v>show</v>
      </c>
      <c r="H10442" t="str">
        <f>HYPERLINK("https://github.com/androidx/media/releases", "show")</f>
        <v>show</v>
      </c>
      <c r="I10442">
        <v>0</v>
      </c>
      <c r="J10442">
        <v>0</v>
      </c>
      <c r="K10442">
        <v>1</v>
      </c>
      <c r="L10442">
        <v>0</v>
      </c>
      <c r="M10442" t="s">
        <v>122</v>
      </c>
    </row>
    <row r="10443" spans="1:13" hidden="1" x14ac:dyDescent="0.15">
      <c r="A10443" t="s">
        <v>32944</v>
      </c>
      <c r="B10443" t="s">
        <v>32945</v>
      </c>
      <c r="C10443" t="s">
        <v>32946</v>
      </c>
      <c r="D10443" t="s">
        <v>32937</v>
      </c>
      <c r="E10443">
        <v>152</v>
      </c>
      <c r="F10443" t="str">
        <f>HYPERLINK("https://github.com/nextcloud/android/issues/11495", "show")</f>
        <v>show</v>
      </c>
      <c r="G10443" t="str">
        <f>HYPERLINK("https://github.com/nextcloud/android", "show")</f>
        <v>show</v>
      </c>
      <c r="H10443" t="str">
        <f>HYPERLINK("https://github.com/nextcloud/android/releases", "show")</f>
        <v>show</v>
      </c>
      <c r="I10443">
        <v>1</v>
      </c>
      <c r="J10443">
        <v>1</v>
      </c>
      <c r="K10443">
        <v>0</v>
      </c>
      <c r="L10443">
        <v>0</v>
      </c>
      <c r="M10443" t="s">
        <v>48</v>
      </c>
    </row>
    <row r="10444" spans="1:13" hidden="1" x14ac:dyDescent="0.15">
      <c r="A10444" t="s">
        <v>32947</v>
      </c>
      <c r="B10444" t="s">
        <v>32948</v>
      </c>
      <c r="C10444" t="s">
        <v>32949</v>
      </c>
      <c r="D10444" t="s">
        <v>32937</v>
      </c>
      <c r="E10444">
        <v>1</v>
      </c>
      <c r="F10444" t="str">
        <f>HYPERLINK("https://github.com/MuntashirAkon/AppManager/issues/1039", "show")</f>
        <v>show</v>
      </c>
      <c r="G10444" t="str">
        <f>HYPERLINK("https://github.com/MuntashirAkon/AppManager", "show")</f>
        <v>show</v>
      </c>
      <c r="H10444" t="str">
        <f>HYPERLINK("https://github.com/MuntashirAkon/AppManager/releases", "show")</f>
        <v>show</v>
      </c>
      <c r="I10444">
        <v>0</v>
      </c>
      <c r="J10444">
        <v>0</v>
      </c>
      <c r="K10444">
        <v>0</v>
      </c>
      <c r="L10444">
        <v>0</v>
      </c>
      <c r="M10444" t="s">
        <v>43</v>
      </c>
    </row>
    <row r="10445" spans="1:13" hidden="1" x14ac:dyDescent="0.15">
      <c r="A10445" t="s">
        <v>32950</v>
      </c>
      <c r="B10445" t="s">
        <v>32951</v>
      </c>
      <c r="C10445" t="s">
        <v>32952</v>
      </c>
      <c r="D10445" t="s">
        <v>32953</v>
      </c>
      <c r="E10445">
        <v>10</v>
      </c>
      <c r="F10445" t="str">
        <f>HYPERLINK("https://github.com/material-components/material-components-android/issues/3322", "show")</f>
        <v>show</v>
      </c>
      <c r="G10445" t="str">
        <f>HYPERLINK("https://github.com/material-components/material-components-android", "show")</f>
        <v>show</v>
      </c>
      <c r="H10445" t="str">
        <f>HYPERLINK("https://github.com/material-components/material-components-android/releases", "show")</f>
        <v>show</v>
      </c>
      <c r="I10445">
        <v>0</v>
      </c>
      <c r="J10445">
        <v>0</v>
      </c>
      <c r="K10445">
        <v>0</v>
      </c>
      <c r="L10445">
        <v>0</v>
      </c>
      <c r="M10445" t="s">
        <v>43</v>
      </c>
    </row>
    <row r="10446" spans="1:13" hidden="1" x14ac:dyDescent="0.15">
      <c r="A10446" t="s">
        <v>32954</v>
      </c>
      <c r="B10446" t="s">
        <v>32955</v>
      </c>
      <c r="C10446" t="s">
        <v>32956</v>
      </c>
      <c r="D10446" t="s">
        <v>32957</v>
      </c>
      <c r="E10446">
        <v>0</v>
      </c>
      <c r="F10446" t="str">
        <f>HYPERLINK("https://github.com/AndroidIDEOfficial/AndroidIDE/issues/910", "show")</f>
        <v>show</v>
      </c>
      <c r="G10446" t="str">
        <f>HYPERLINK("https://github.com/AndroidIDEOfficial/AndroidIDE", "show")</f>
        <v>show</v>
      </c>
      <c r="H10446" t="str">
        <f>HYPERLINK("https://github.com/AndroidIDEOfficial/AndroidIDE/releases", "show")</f>
        <v>show</v>
      </c>
      <c r="I10446">
        <v>0</v>
      </c>
      <c r="J10446">
        <v>0</v>
      </c>
      <c r="K10446">
        <v>1</v>
      </c>
      <c r="L10446">
        <v>0</v>
      </c>
      <c r="M10446" t="s">
        <v>122</v>
      </c>
    </row>
    <row r="10447" spans="1:13" hidden="1" x14ac:dyDescent="0.15">
      <c r="A10447" t="s">
        <v>32958</v>
      </c>
      <c r="B10447" t="s">
        <v>32959</v>
      </c>
      <c r="C10447" t="s">
        <v>32960</v>
      </c>
      <c r="D10447" t="s">
        <v>32957</v>
      </c>
      <c r="E10447">
        <v>179</v>
      </c>
      <c r="F10447" t="str">
        <f>HYPERLINK("https://github.com/commons-app/apps-android-commons/issues/5195", "show")</f>
        <v>show</v>
      </c>
      <c r="G10447" t="str">
        <f>HYPERLINK("https://github.com/commons-app/apps-android-commons", "show")</f>
        <v>show</v>
      </c>
      <c r="H10447" t="str">
        <f>HYPERLINK("https://github.com/commons-app/apps-android-commons/releases", "show")</f>
        <v>show</v>
      </c>
      <c r="I10447">
        <v>1</v>
      </c>
      <c r="J10447">
        <v>1</v>
      </c>
      <c r="K10447">
        <v>1</v>
      </c>
      <c r="L10447">
        <v>0</v>
      </c>
      <c r="M10447" t="s">
        <v>59</v>
      </c>
    </row>
    <row r="10448" spans="1:13" hidden="1" x14ac:dyDescent="0.15">
      <c r="A10448" t="s">
        <v>32961</v>
      </c>
      <c r="B10448" t="s">
        <v>32962</v>
      </c>
      <c r="C10448" t="s">
        <v>32963</v>
      </c>
      <c r="D10448" t="s">
        <v>32957</v>
      </c>
      <c r="E10448">
        <v>3</v>
      </c>
      <c r="F10448" t="str">
        <f>HYPERLINK("https://github.com/GrapheneOS/Camera/issues/352", "show")</f>
        <v>show</v>
      </c>
      <c r="G10448" t="str">
        <f>HYPERLINK("https://github.com/GrapheneOS/Camera", "show")</f>
        <v>show</v>
      </c>
      <c r="H10448" t="str">
        <f>HYPERLINK("https://github.com/GrapheneOS/Camera/releases", "show")</f>
        <v>show</v>
      </c>
      <c r="I10448">
        <v>1</v>
      </c>
      <c r="J10448">
        <v>0</v>
      </c>
      <c r="K10448">
        <v>0</v>
      </c>
      <c r="L10448">
        <v>0</v>
      </c>
      <c r="M10448" t="s">
        <v>17</v>
      </c>
    </row>
    <row r="10449" spans="1:13" hidden="1" x14ac:dyDescent="0.15">
      <c r="A10449" t="s">
        <v>32964</v>
      </c>
      <c r="B10449" t="s">
        <v>32965</v>
      </c>
      <c r="C10449" t="s">
        <v>32966</v>
      </c>
      <c r="D10449" t="s">
        <v>32957</v>
      </c>
      <c r="E10449">
        <v>4</v>
      </c>
      <c r="F10449" t="str">
        <f>HYPERLINK("https://github.com/RosettaDrone/rosettadrone/issues/139", "show")</f>
        <v>show</v>
      </c>
      <c r="G10449" t="str">
        <f>HYPERLINK("https://github.com/RosettaDrone/rosettadrone", "show")</f>
        <v>show</v>
      </c>
      <c r="H10449" t="str">
        <f>HYPERLINK("https://github.com/RosettaDrone/rosettadrone/releases", "show")</f>
        <v>show</v>
      </c>
      <c r="I10449">
        <v>0</v>
      </c>
      <c r="J10449">
        <v>1</v>
      </c>
      <c r="K10449">
        <v>1</v>
      </c>
      <c r="L10449">
        <v>0</v>
      </c>
      <c r="M10449" t="s">
        <v>699</v>
      </c>
    </row>
    <row r="10450" spans="1:13" hidden="1" x14ac:dyDescent="0.15">
      <c r="A10450" t="s">
        <v>32967</v>
      </c>
      <c r="B10450" t="s">
        <v>32968</v>
      </c>
      <c r="C10450" t="s">
        <v>32969</v>
      </c>
      <c r="D10450" t="s">
        <v>32957</v>
      </c>
      <c r="E10450">
        <v>11</v>
      </c>
      <c r="F10450" t="str">
        <f>HYPERLINK("https://github.com/rudderlabs/rudder-sdk-android/issues/215", "show")</f>
        <v>show</v>
      </c>
      <c r="G10450" t="str">
        <f>HYPERLINK("https://github.com/rudderlabs/rudder-sdk-android", "show")</f>
        <v>show</v>
      </c>
      <c r="H10450" t="str">
        <f>HYPERLINK("https://github.com/rudderlabs/rudder-sdk-android/releases", "show")</f>
        <v>show</v>
      </c>
      <c r="I10450">
        <v>0</v>
      </c>
      <c r="J10450">
        <v>0</v>
      </c>
      <c r="K10450">
        <v>0</v>
      </c>
      <c r="L10450">
        <v>0</v>
      </c>
      <c r="M10450" t="s">
        <v>43</v>
      </c>
    </row>
    <row r="10451" spans="1:13" hidden="1" x14ac:dyDescent="0.15">
      <c r="A10451" t="s">
        <v>32970</v>
      </c>
      <c r="B10451" t="s">
        <v>32971</v>
      </c>
      <c r="C10451" t="s">
        <v>32972</v>
      </c>
      <c r="D10451" t="s">
        <v>32973</v>
      </c>
      <c r="E10451">
        <v>162</v>
      </c>
      <c r="F10451" t="str">
        <f>HYPERLINK("https://github.com/jellyfin/jellyfin-androidtv/issues/2626", "show")</f>
        <v>show</v>
      </c>
      <c r="G10451" t="str">
        <f>HYPERLINK("https://github.com/jellyfin/jellyfin-androidtv", "show")</f>
        <v>show</v>
      </c>
      <c r="H10451" t="str">
        <f>HYPERLINK("https://github.com/jellyfin/jellyfin-androidtv/releases", "show")</f>
        <v>show</v>
      </c>
      <c r="I10451">
        <v>0</v>
      </c>
      <c r="J10451">
        <v>0</v>
      </c>
      <c r="K10451">
        <v>1</v>
      </c>
      <c r="L10451">
        <v>0</v>
      </c>
      <c r="M10451" t="s">
        <v>122</v>
      </c>
    </row>
    <row r="10452" spans="1:13" hidden="1" x14ac:dyDescent="0.15">
      <c r="A10452" t="s">
        <v>32974</v>
      </c>
      <c r="B10452" t="s">
        <v>32975</v>
      </c>
      <c r="C10452" t="s">
        <v>32976</v>
      </c>
      <c r="D10452" t="s">
        <v>32973</v>
      </c>
      <c r="E10452">
        <v>104</v>
      </c>
      <c r="F10452" t="str">
        <f>HYPERLINK("https://github.com/square/react-native-square-reader-sdk/issues/219", "show")</f>
        <v>show</v>
      </c>
      <c r="G10452" t="str">
        <f>HYPERLINK("https://github.com/square/react-native-square-reader-sdk", "show")</f>
        <v>show</v>
      </c>
      <c r="H10452" t="str">
        <f>HYPERLINK("https://github.com/square/react-native-square-reader-sdk/releases", "show")</f>
        <v>show</v>
      </c>
      <c r="I10452">
        <v>1</v>
      </c>
      <c r="J10452">
        <v>1</v>
      </c>
      <c r="K10452">
        <v>0</v>
      </c>
      <c r="L10452">
        <v>0</v>
      </c>
      <c r="M10452" t="s">
        <v>48</v>
      </c>
    </row>
    <row r="10453" spans="1:13" x14ac:dyDescent="0.15">
      <c r="A10453" t="s">
        <v>32977</v>
      </c>
      <c r="B10453" t="s">
        <v>32978</v>
      </c>
      <c r="C10453" t="s">
        <v>32979</v>
      </c>
      <c r="D10453" t="s">
        <v>32980</v>
      </c>
      <c r="E10453">
        <v>43</v>
      </c>
      <c r="F10453" t="str">
        <f>HYPERLINK("https://github.com/PhenoApps/Field-Book/issues/554", "show")</f>
        <v>show</v>
      </c>
      <c r="G10453" t="str">
        <f>HYPERLINK("https://github.com/PhenoApps/Field-Book", "show")</f>
        <v>show</v>
      </c>
      <c r="H10453" t="str">
        <f>HYPERLINK("https://github.com/PhenoApps/Field-Book/releases", "show")</f>
        <v>show</v>
      </c>
      <c r="I10453">
        <v>0</v>
      </c>
      <c r="J10453">
        <v>1</v>
      </c>
      <c r="K10453">
        <v>0</v>
      </c>
      <c r="L10453">
        <v>0</v>
      </c>
      <c r="M10453" t="s">
        <v>139</v>
      </c>
    </row>
    <row r="10454" spans="1:13" hidden="1" x14ac:dyDescent="0.15">
      <c r="A10454" t="s">
        <v>32981</v>
      </c>
      <c r="B10454" t="s">
        <v>32982</v>
      </c>
      <c r="C10454" t="s">
        <v>32983</v>
      </c>
      <c r="D10454" t="s">
        <v>32980</v>
      </c>
      <c r="E10454">
        <v>0</v>
      </c>
      <c r="F10454" t="str">
        <f>HYPERLINK("https://github.com/AndroidIDEOfficial/AndroidIDE/issues/907", "show")</f>
        <v>show</v>
      </c>
      <c r="G10454" t="str">
        <f>HYPERLINK("https://github.com/AndroidIDEOfficial/AndroidIDE", "show")</f>
        <v>show</v>
      </c>
      <c r="H10454" t="str">
        <f>HYPERLINK("https://github.com/AndroidIDEOfficial/AndroidIDE/releases", "show")</f>
        <v>show</v>
      </c>
      <c r="I10454">
        <v>1</v>
      </c>
      <c r="J10454">
        <v>0</v>
      </c>
      <c r="K10454">
        <v>1</v>
      </c>
      <c r="L10454">
        <v>0</v>
      </c>
      <c r="M10454" t="s">
        <v>64</v>
      </c>
    </row>
    <row r="10455" spans="1:13" hidden="1" x14ac:dyDescent="0.15">
      <c r="A10455" t="s">
        <v>32984</v>
      </c>
      <c r="B10455" t="s">
        <v>32985</v>
      </c>
      <c r="C10455" t="s">
        <v>32986</v>
      </c>
      <c r="D10455" t="s">
        <v>32987</v>
      </c>
      <c r="E10455">
        <v>62</v>
      </c>
      <c r="F10455" t="str">
        <f>HYPERLINK("https://github.com/AndroidIDEOfficial/AndroidIDE/issues/906", "show")</f>
        <v>show</v>
      </c>
      <c r="G10455" t="str">
        <f>HYPERLINK("https://github.com/AndroidIDEOfficial/AndroidIDE", "show")</f>
        <v>show</v>
      </c>
      <c r="H10455" t="str">
        <f>HYPERLINK("https://github.com/AndroidIDEOfficial/AndroidIDE/releases", "show")</f>
        <v>show</v>
      </c>
      <c r="I10455">
        <v>1</v>
      </c>
      <c r="J10455">
        <v>0</v>
      </c>
      <c r="K10455">
        <v>1</v>
      </c>
      <c r="L10455">
        <v>0</v>
      </c>
      <c r="M10455" t="s">
        <v>64</v>
      </c>
    </row>
    <row r="10456" spans="1:13" hidden="1" x14ac:dyDescent="0.15">
      <c r="A10456" t="s">
        <v>32988</v>
      </c>
      <c r="B10456" t="s">
        <v>32989</v>
      </c>
      <c r="C10456" t="s">
        <v>32990</v>
      </c>
      <c r="D10456" t="s">
        <v>32987</v>
      </c>
      <c r="E10456">
        <v>1</v>
      </c>
      <c r="F10456" t="str">
        <f>HYPERLINK("https://github.com/AndroidIDEOfficial/AndroidIDE/issues/905", "show")</f>
        <v>show</v>
      </c>
      <c r="G10456" t="str">
        <f>HYPERLINK("https://github.com/AndroidIDEOfficial/AndroidIDE", "show")</f>
        <v>show</v>
      </c>
      <c r="H10456" t="str">
        <f>HYPERLINK("https://github.com/AndroidIDEOfficial/AndroidIDE/releases", "show")</f>
        <v>show</v>
      </c>
      <c r="I10456">
        <v>1</v>
      </c>
      <c r="J10456">
        <v>0</v>
      </c>
      <c r="K10456">
        <v>1</v>
      </c>
      <c r="L10456">
        <v>0</v>
      </c>
      <c r="M10456" t="s">
        <v>64</v>
      </c>
    </row>
    <row r="10457" spans="1:13" hidden="1" x14ac:dyDescent="0.15">
      <c r="A10457" t="s">
        <v>32991</v>
      </c>
      <c r="B10457" t="s">
        <v>32992</v>
      </c>
      <c r="C10457" t="s">
        <v>32993</v>
      </c>
      <c r="D10457" t="s">
        <v>32987</v>
      </c>
      <c r="E10457">
        <v>2</v>
      </c>
      <c r="F10457" t="str">
        <f>HYPERLINK("https://github.com/devoxx/MyDevoxxGluon/issues/347", "show")</f>
        <v>show</v>
      </c>
      <c r="G10457" t="str">
        <f>HYPERLINK("https://github.com/devoxx/MyDevoxxGluon", "show")</f>
        <v>show</v>
      </c>
      <c r="H10457" t="str">
        <f>HYPERLINK("https://github.com/devoxx/MyDevoxxGluon/releases", "show")</f>
        <v>show</v>
      </c>
      <c r="I10457">
        <v>1</v>
      </c>
      <c r="J10457">
        <v>0</v>
      </c>
      <c r="K10457">
        <v>1</v>
      </c>
      <c r="L10457">
        <v>0</v>
      </c>
      <c r="M10457" t="s">
        <v>64</v>
      </c>
    </row>
    <row r="10458" spans="1:13" hidden="1" x14ac:dyDescent="0.15">
      <c r="A10458" t="s">
        <v>32994</v>
      </c>
      <c r="B10458" t="s">
        <v>32995</v>
      </c>
      <c r="C10458" t="s">
        <v>32996</v>
      </c>
      <c r="D10458" t="s">
        <v>32987</v>
      </c>
      <c r="E10458">
        <v>0</v>
      </c>
      <c r="F10458" t="str">
        <f>HYPERLINK("https://github.com/AndroidIDEOfficial/AndroidIDE/issues/904", "show")</f>
        <v>show</v>
      </c>
      <c r="G10458" t="str">
        <f>HYPERLINK("https://github.com/AndroidIDEOfficial/AndroidIDE", "show")</f>
        <v>show</v>
      </c>
      <c r="H10458" t="str">
        <f>HYPERLINK("https://github.com/AndroidIDEOfficial/AndroidIDE/releases", "show")</f>
        <v>show</v>
      </c>
      <c r="I10458">
        <v>0</v>
      </c>
      <c r="J10458">
        <v>0</v>
      </c>
      <c r="K10458">
        <v>1</v>
      </c>
      <c r="L10458">
        <v>0</v>
      </c>
      <c r="M10458" t="s">
        <v>122</v>
      </c>
    </row>
    <row r="10459" spans="1:13" hidden="1" x14ac:dyDescent="0.15">
      <c r="A10459" t="s">
        <v>32997</v>
      </c>
      <c r="B10459" t="s">
        <v>32998</v>
      </c>
      <c r="C10459" t="s">
        <v>32999</v>
      </c>
      <c r="D10459" t="s">
        <v>33000</v>
      </c>
      <c r="E10459">
        <v>1</v>
      </c>
      <c r="F10459" t="str">
        <f>HYPERLINK("https://github.com/deltachat/deltachat-android/issues/2516", "show")</f>
        <v>show</v>
      </c>
      <c r="G10459" t="str">
        <f>HYPERLINK("https://github.com/deltachat/deltachat-android", "show")</f>
        <v>show</v>
      </c>
      <c r="H10459" t="str">
        <f>HYPERLINK("https://github.com/deltachat/deltachat-android/releases", "show")</f>
        <v>show</v>
      </c>
      <c r="I10459">
        <v>1</v>
      </c>
      <c r="J10459">
        <v>0</v>
      </c>
      <c r="K10459">
        <v>1</v>
      </c>
      <c r="L10459">
        <v>0</v>
      </c>
      <c r="M10459" t="s">
        <v>64</v>
      </c>
    </row>
    <row r="10460" spans="1:13" hidden="1" x14ac:dyDescent="0.15">
      <c r="A10460" t="s">
        <v>33001</v>
      </c>
      <c r="B10460" t="s">
        <v>33002</v>
      </c>
      <c r="C10460" t="s">
        <v>33003</v>
      </c>
      <c r="D10460" t="s">
        <v>33000</v>
      </c>
      <c r="E10460">
        <v>15</v>
      </c>
      <c r="F10460" t="str">
        <f>HYPERLINK("https://github.com/PojavLauncherTeam/PojavLauncher/issues/4078", "show")</f>
        <v>show</v>
      </c>
      <c r="G10460" t="str">
        <f>HYPERLINK("https://github.com/PojavLauncherTeam/PojavLauncher", "show")</f>
        <v>show</v>
      </c>
      <c r="H10460" t="str">
        <f>HYPERLINK("https://github.com/PojavLauncherTeam/PojavLauncher/releases", "show")</f>
        <v>show</v>
      </c>
      <c r="I10460">
        <v>1</v>
      </c>
      <c r="J10460">
        <v>0</v>
      </c>
      <c r="K10460">
        <v>1</v>
      </c>
      <c r="L10460">
        <v>0</v>
      </c>
      <c r="M10460" t="s">
        <v>64</v>
      </c>
    </row>
    <row r="10461" spans="1:13" x14ac:dyDescent="0.15">
      <c r="A10461" t="s">
        <v>33004</v>
      </c>
      <c r="B10461" t="s">
        <v>33005</v>
      </c>
      <c r="C10461" t="s">
        <v>33006</v>
      </c>
      <c r="D10461" t="s">
        <v>33000</v>
      </c>
      <c r="E10461">
        <v>1</v>
      </c>
      <c r="F10461" t="str">
        <f>HYPERLINK("https://github.com/mollyim/mollyim-android/issues/174", "show")</f>
        <v>show</v>
      </c>
      <c r="G10461" t="str">
        <f>HYPERLINK("https://github.com/mollyim/mollyim-android", "show")</f>
        <v>show</v>
      </c>
      <c r="H10461" t="str">
        <f>HYPERLINK("https://github.com/mollyim/mollyim-android/releases", "show")</f>
        <v>show</v>
      </c>
      <c r="I10461">
        <v>0</v>
      </c>
      <c r="J10461">
        <v>1</v>
      </c>
      <c r="K10461">
        <v>0</v>
      </c>
      <c r="L10461">
        <v>0</v>
      </c>
      <c r="M10461" t="s">
        <v>139</v>
      </c>
    </row>
    <row r="10462" spans="1:13" hidden="1" x14ac:dyDescent="0.15">
      <c r="A10462" t="s">
        <v>33007</v>
      </c>
      <c r="B10462" t="s">
        <v>33008</v>
      </c>
      <c r="C10462" t="s">
        <v>33009</v>
      </c>
      <c r="D10462" t="s">
        <v>33000</v>
      </c>
      <c r="E10462">
        <v>0</v>
      </c>
      <c r="F10462" t="str">
        <f>HYPERLINK("https://github.com/PojavLauncherTeam/PojavLauncher/issues/4077", "show")</f>
        <v>show</v>
      </c>
      <c r="G10462" t="str">
        <f>HYPERLINK("https://github.com/PojavLauncherTeam/PojavLauncher", "show")</f>
        <v>show</v>
      </c>
      <c r="H10462" t="str">
        <f>HYPERLINK("https://github.com/PojavLauncherTeam/PojavLauncher/releases", "show")</f>
        <v>show</v>
      </c>
      <c r="I10462">
        <v>0</v>
      </c>
      <c r="J10462">
        <v>0</v>
      </c>
      <c r="K10462">
        <v>0</v>
      </c>
      <c r="L10462">
        <v>0</v>
      </c>
      <c r="M10462" t="s">
        <v>43</v>
      </c>
    </row>
    <row r="10463" spans="1:13" hidden="1" x14ac:dyDescent="0.15">
      <c r="A10463" t="s">
        <v>33010</v>
      </c>
      <c r="B10463" t="s">
        <v>33011</v>
      </c>
      <c r="C10463" t="s">
        <v>33012</v>
      </c>
      <c r="D10463" t="s">
        <v>33000</v>
      </c>
      <c r="E10463">
        <v>0</v>
      </c>
      <c r="F10463" t="str">
        <f>HYPERLINK("https://github.com/PojavLauncherTeam/PojavLauncher/issues/4075", "show")</f>
        <v>show</v>
      </c>
      <c r="G10463" t="str">
        <f>HYPERLINK("https://github.com/PojavLauncherTeam/PojavLauncher", "show")</f>
        <v>show</v>
      </c>
      <c r="H10463" t="str">
        <f>HYPERLINK("https://github.com/PojavLauncherTeam/PojavLauncher/releases", "show")</f>
        <v>show</v>
      </c>
      <c r="I10463">
        <v>0</v>
      </c>
      <c r="J10463">
        <v>0</v>
      </c>
      <c r="K10463">
        <v>0</v>
      </c>
      <c r="L10463">
        <v>0</v>
      </c>
      <c r="M10463" t="s">
        <v>43</v>
      </c>
    </row>
    <row r="10464" spans="1:13" hidden="1" x14ac:dyDescent="0.15">
      <c r="A10464" t="s">
        <v>33013</v>
      </c>
      <c r="B10464" t="s">
        <v>33014</v>
      </c>
      <c r="C10464" t="s">
        <v>33015</v>
      </c>
      <c r="D10464" t="s">
        <v>33016</v>
      </c>
      <c r="E10464">
        <v>1</v>
      </c>
      <c r="F10464" t="str">
        <f>HYPERLINK("https://github.com/Aliucord/Aliucord/issues/333", "show")</f>
        <v>show</v>
      </c>
      <c r="G10464" t="str">
        <f>HYPERLINK("https://github.com/Aliucord/Aliucord", "show")</f>
        <v>show</v>
      </c>
      <c r="H10464" t="str">
        <f>HYPERLINK("https://github.com/Aliucord/Aliucord/releases", "show")</f>
        <v>show</v>
      </c>
      <c r="I10464">
        <v>1</v>
      </c>
      <c r="J10464">
        <v>1</v>
      </c>
      <c r="K10464">
        <v>0</v>
      </c>
      <c r="L10464">
        <v>0</v>
      </c>
      <c r="M10464" t="s">
        <v>48</v>
      </c>
    </row>
    <row r="10465" spans="1:13" hidden="1" x14ac:dyDescent="0.15">
      <c r="A10465" t="s">
        <v>33017</v>
      </c>
      <c r="B10465" t="s">
        <v>33018</v>
      </c>
      <c r="C10465" t="s">
        <v>33019</v>
      </c>
      <c r="D10465" t="s">
        <v>33016</v>
      </c>
      <c r="E10465">
        <v>26</v>
      </c>
      <c r="F10465" t="str">
        <f>HYPERLINK("https://github.com/microg/GmsCore/issues/1909", "show")</f>
        <v>show</v>
      </c>
      <c r="G10465" t="str">
        <f>HYPERLINK("https://github.com/microg/GmsCore", "show")</f>
        <v>show</v>
      </c>
      <c r="H10465" t="str">
        <f>HYPERLINK("https://github.com/microg/GmsCore/releases", "show")</f>
        <v>show</v>
      </c>
      <c r="I10465">
        <v>0</v>
      </c>
      <c r="J10465">
        <v>1</v>
      </c>
      <c r="K10465">
        <v>0</v>
      </c>
      <c r="L10465">
        <v>1</v>
      </c>
      <c r="M10465" t="s">
        <v>1732</v>
      </c>
    </row>
    <row r="10466" spans="1:13" hidden="1" x14ac:dyDescent="0.15">
      <c r="A10466" t="s">
        <v>33020</v>
      </c>
      <c r="B10466" t="s">
        <v>33021</v>
      </c>
      <c r="C10466" t="s">
        <v>33022</v>
      </c>
      <c r="D10466" t="s">
        <v>33016</v>
      </c>
      <c r="E10466">
        <v>0</v>
      </c>
      <c r="F10466" t="str">
        <f>HYPERLINK("https://github.com/Anuken/Mindustry/issues/8427", "show")</f>
        <v>show</v>
      </c>
      <c r="G10466" t="str">
        <f>HYPERLINK("https://github.com/Anuken/Mindustry", "show")</f>
        <v>show</v>
      </c>
      <c r="H10466" t="str">
        <f>HYPERLINK("https://github.com/Anuken/Mindustry/releases", "show")</f>
        <v>show</v>
      </c>
      <c r="I10466">
        <v>1</v>
      </c>
      <c r="J10466">
        <v>1</v>
      </c>
      <c r="K10466">
        <v>0</v>
      </c>
      <c r="L10466">
        <v>1</v>
      </c>
      <c r="M10466" t="s">
        <v>1894</v>
      </c>
    </row>
    <row r="10467" spans="1:13" hidden="1" x14ac:dyDescent="0.15">
      <c r="A10467" t="s">
        <v>33023</v>
      </c>
      <c r="B10467" t="s">
        <v>33024</v>
      </c>
      <c r="C10467" t="s">
        <v>33025</v>
      </c>
      <c r="D10467" t="s">
        <v>33016</v>
      </c>
      <c r="E10467">
        <v>0</v>
      </c>
      <c r="F10467" t="str">
        <f>HYPERLINK("https://github.com/AndroidIDEOfficial/AndroidIDE/issues/900", "show")</f>
        <v>show</v>
      </c>
      <c r="G10467" t="str">
        <f>HYPERLINK("https://github.com/AndroidIDEOfficial/AndroidIDE", "show")</f>
        <v>show</v>
      </c>
      <c r="H10467" t="str">
        <f>HYPERLINK("https://github.com/AndroidIDEOfficial/AndroidIDE/releases", "show")</f>
        <v>show</v>
      </c>
      <c r="I10467">
        <v>0</v>
      </c>
      <c r="J10467">
        <v>0</v>
      </c>
      <c r="K10467">
        <v>1</v>
      </c>
      <c r="L10467">
        <v>0</v>
      </c>
      <c r="M10467" t="s">
        <v>122</v>
      </c>
    </row>
    <row r="10468" spans="1:13" hidden="1" x14ac:dyDescent="0.15">
      <c r="A10468" t="s">
        <v>33026</v>
      </c>
      <c r="B10468" t="s">
        <v>33027</v>
      </c>
      <c r="C10468" t="s">
        <v>33028</v>
      </c>
      <c r="D10468" t="s">
        <v>33016</v>
      </c>
      <c r="E10468">
        <v>2</v>
      </c>
      <c r="F10468" t="str">
        <f>HYPERLINK("https://github.com/openid/AppAuth-Android/issues/956", "show")</f>
        <v>show</v>
      </c>
      <c r="G10468" t="str">
        <f>HYPERLINK("https://github.com/openid/AppAuth-Android", "show")</f>
        <v>show</v>
      </c>
      <c r="H10468" t="str">
        <f>HYPERLINK("https://github.com/openid/AppAuth-Android/releases", "show")</f>
        <v>show</v>
      </c>
      <c r="I10468">
        <v>1</v>
      </c>
      <c r="J10468">
        <v>0</v>
      </c>
      <c r="K10468">
        <v>0</v>
      </c>
      <c r="L10468">
        <v>0</v>
      </c>
      <c r="M10468" t="s">
        <v>17</v>
      </c>
    </row>
    <row r="10469" spans="1:13" hidden="1" x14ac:dyDescent="0.15">
      <c r="A10469" t="s">
        <v>33029</v>
      </c>
      <c r="B10469" t="s">
        <v>33030</v>
      </c>
      <c r="C10469" t="s">
        <v>33031</v>
      </c>
      <c r="D10469" t="s">
        <v>33032</v>
      </c>
      <c r="E10469">
        <v>111</v>
      </c>
      <c r="F10469" t="str">
        <f>HYPERLINK("https://github.com/GetFeedback/getfeedback-g4a-capacitor/issues/14", "show")</f>
        <v>show</v>
      </c>
      <c r="G10469" t="str">
        <f>HYPERLINK("https://github.com/GetFeedback/getfeedback-g4a-capacitor", "show")</f>
        <v>show</v>
      </c>
      <c r="H10469" t="str">
        <f>HYPERLINK("https://github.com/GetFeedback/getfeedback-g4a-capacitor/releases", "show")</f>
        <v>show</v>
      </c>
      <c r="I10469">
        <v>1</v>
      </c>
      <c r="J10469">
        <v>0</v>
      </c>
      <c r="K10469">
        <v>1</v>
      </c>
      <c r="L10469">
        <v>0</v>
      </c>
      <c r="M10469" t="s">
        <v>64</v>
      </c>
    </row>
    <row r="10470" spans="1:13" hidden="1" x14ac:dyDescent="0.15">
      <c r="A10470" t="s">
        <v>33033</v>
      </c>
      <c r="B10470" t="s">
        <v>33034</v>
      </c>
      <c r="C10470" t="s">
        <v>33035</v>
      </c>
      <c r="D10470" t="s">
        <v>33032</v>
      </c>
      <c r="E10470">
        <v>20</v>
      </c>
      <c r="F10470" t="str">
        <f>HYPERLINK("https://github.com/commons-app/apps-android-commons/issues/5187", "show")</f>
        <v>show</v>
      </c>
      <c r="G10470" t="str">
        <f>HYPERLINK("https://github.com/commons-app/apps-android-commons", "show")</f>
        <v>show</v>
      </c>
      <c r="H10470" t="str">
        <f>HYPERLINK("https://github.com/commons-app/apps-android-commons/releases", "show")</f>
        <v>show</v>
      </c>
      <c r="I10470">
        <v>1</v>
      </c>
      <c r="J10470">
        <v>1</v>
      </c>
      <c r="K10470">
        <v>1</v>
      </c>
      <c r="L10470">
        <v>0</v>
      </c>
      <c r="M10470" t="s">
        <v>59</v>
      </c>
    </row>
    <row r="10471" spans="1:13" hidden="1" x14ac:dyDescent="0.15">
      <c r="A10471" t="s">
        <v>33036</v>
      </c>
      <c r="B10471" t="s">
        <v>33037</v>
      </c>
      <c r="C10471" t="s">
        <v>33038</v>
      </c>
      <c r="D10471" t="s">
        <v>33039</v>
      </c>
      <c r="E10471">
        <v>0</v>
      </c>
      <c r="F10471" t="str">
        <f>HYPERLINK("https://github.com/CMPUT301W23T07/catch-me-if-you-scan/issues/151", "show")</f>
        <v>show</v>
      </c>
      <c r="G10471" t="str">
        <f>HYPERLINK("https://github.com/CMPUT301W23T07/catch-me-if-you-scan", "show")</f>
        <v>show</v>
      </c>
      <c r="H10471" t="str">
        <f>HYPERLINK("https://github.com/CMPUT301W23T07/catch-me-if-you-scan/releases", "show")</f>
        <v>show</v>
      </c>
      <c r="I10471">
        <v>1</v>
      </c>
      <c r="J10471">
        <v>0</v>
      </c>
      <c r="K10471">
        <v>0</v>
      </c>
      <c r="L10471">
        <v>0</v>
      </c>
      <c r="M10471" t="s">
        <v>17</v>
      </c>
    </row>
    <row r="10472" spans="1:13" hidden="1" x14ac:dyDescent="0.15">
      <c r="A10472" t="s">
        <v>33040</v>
      </c>
      <c r="B10472" t="s">
        <v>33041</v>
      </c>
      <c r="C10472" t="s">
        <v>33042</v>
      </c>
      <c r="D10472" t="s">
        <v>33043</v>
      </c>
      <c r="E10472">
        <v>10</v>
      </c>
      <c r="F10472" t="str">
        <f>HYPERLINK("https://github.com/PojavLauncherTeam/PojavLauncher/issues/4065", "show")</f>
        <v>show</v>
      </c>
      <c r="G10472" t="str">
        <f>HYPERLINK("https://github.com/PojavLauncherTeam/PojavLauncher", "show")</f>
        <v>show</v>
      </c>
      <c r="H10472" t="str">
        <f>HYPERLINK("https://github.com/PojavLauncherTeam/PojavLauncher/releases", "show")</f>
        <v>show</v>
      </c>
      <c r="I10472">
        <v>1</v>
      </c>
      <c r="J10472">
        <v>1</v>
      </c>
      <c r="K10472">
        <v>0</v>
      </c>
      <c r="L10472">
        <v>1</v>
      </c>
      <c r="M10472" t="s">
        <v>1894</v>
      </c>
    </row>
    <row r="10473" spans="1:13" hidden="1" x14ac:dyDescent="0.15">
      <c r="A10473" t="s">
        <v>33044</v>
      </c>
      <c r="B10473" t="s">
        <v>33045</v>
      </c>
      <c r="C10473" t="s">
        <v>33046</v>
      </c>
      <c r="D10473" t="s">
        <v>33043</v>
      </c>
      <c r="E10473">
        <v>1</v>
      </c>
      <c r="F10473" t="str">
        <f>HYPERLINK("https://github.com/omnilaboratory/OBAndroid/issues/44", "show")</f>
        <v>show</v>
      </c>
      <c r="G10473" t="str">
        <f>HYPERLINK("https://github.com/omnilaboratory/OBAndroid", "show")</f>
        <v>show</v>
      </c>
      <c r="H10473" t="str">
        <f>HYPERLINK("https://github.com/omnilaboratory/OBAndroid/releases", "show")</f>
        <v>show</v>
      </c>
      <c r="I10473">
        <v>1</v>
      </c>
      <c r="J10473">
        <v>0</v>
      </c>
      <c r="K10473">
        <v>0</v>
      </c>
      <c r="L10473">
        <v>0</v>
      </c>
      <c r="M10473" t="s">
        <v>17</v>
      </c>
    </row>
    <row r="10474" spans="1:13" hidden="1" x14ac:dyDescent="0.15">
      <c r="A10474" t="s">
        <v>33047</v>
      </c>
      <c r="B10474" t="s">
        <v>33048</v>
      </c>
      <c r="C10474" t="s">
        <v>33049</v>
      </c>
      <c r="D10474" t="s">
        <v>33043</v>
      </c>
      <c r="E10474">
        <v>1</v>
      </c>
      <c r="F10474" t="str">
        <f>HYPERLINK("https://github.com/prashasth-nair/AnimePeak/issues/7", "show")</f>
        <v>show</v>
      </c>
      <c r="G10474" t="str">
        <f>HYPERLINK("https://github.com/prashasth-nair/AnimePeak", "show")</f>
        <v>show</v>
      </c>
      <c r="H10474" t="str">
        <f>HYPERLINK("https://github.com/prashasth-nair/AnimePeak/releases", "show")</f>
        <v>show</v>
      </c>
      <c r="I10474">
        <v>1</v>
      </c>
      <c r="J10474">
        <v>0</v>
      </c>
      <c r="K10474">
        <v>0</v>
      </c>
      <c r="L10474">
        <v>0</v>
      </c>
      <c r="M10474" t="s">
        <v>17</v>
      </c>
    </row>
    <row r="10475" spans="1:13" hidden="1" x14ac:dyDescent="0.15">
      <c r="A10475" t="s">
        <v>33050</v>
      </c>
      <c r="B10475" t="s">
        <v>33051</v>
      </c>
      <c r="C10475" t="s">
        <v>33052</v>
      </c>
      <c r="D10475" t="s">
        <v>33043</v>
      </c>
      <c r="E10475">
        <v>98</v>
      </c>
      <c r="F10475" t="str">
        <f>HYPERLINK("https://github.com/LawnchairLauncher/lawnchair/issues/3383", "show")</f>
        <v>show</v>
      </c>
      <c r="G10475" t="str">
        <f>HYPERLINK("https://github.com/LawnchairLauncher/lawnchair", "show")</f>
        <v>show</v>
      </c>
      <c r="H10475" t="str">
        <f>HYPERLINK("https://github.com/LawnchairLauncher/lawnchair/releases", "show")</f>
        <v>show</v>
      </c>
      <c r="I10475">
        <v>1</v>
      </c>
      <c r="J10475">
        <v>1</v>
      </c>
      <c r="K10475">
        <v>1</v>
      </c>
      <c r="L10475">
        <v>0</v>
      </c>
      <c r="M10475" t="s">
        <v>59</v>
      </c>
    </row>
    <row r="10476" spans="1:13" hidden="1" x14ac:dyDescent="0.15">
      <c r="A10476" t="s">
        <v>33053</v>
      </c>
      <c r="B10476" t="s">
        <v>33054</v>
      </c>
      <c r="C10476" t="s">
        <v>33055</v>
      </c>
      <c r="D10476" t="s">
        <v>33056</v>
      </c>
      <c r="E10476">
        <v>4</v>
      </c>
      <c r="F10476" t="str">
        <f>HYPERLINK("https://github.com/peiva-git/SDM_project/issues/42", "show")</f>
        <v>show</v>
      </c>
      <c r="G10476" t="str">
        <f>HYPERLINK("https://github.com/peiva-git/SDM_project", "show")</f>
        <v>show</v>
      </c>
      <c r="H10476" t="str">
        <f>HYPERLINK("https://github.com/peiva-git/SDM_project/releases", "show")</f>
        <v>show</v>
      </c>
      <c r="I10476">
        <v>0</v>
      </c>
      <c r="J10476">
        <v>0</v>
      </c>
      <c r="K10476">
        <v>0</v>
      </c>
      <c r="L10476">
        <v>0</v>
      </c>
      <c r="M10476" t="s">
        <v>43</v>
      </c>
    </row>
    <row r="10477" spans="1:13" hidden="1" x14ac:dyDescent="0.15">
      <c r="A10477" t="s">
        <v>33057</v>
      </c>
      <c r="B10477" t="s">
        <v>33058</v>
      </c>
      <c r="C10477" t="s">
        <v>33059</v>
      </c>
      <c r="D10477" t="s">
        <v>33056</v>
      </c>
      <c r="E10477">
        <v>146</v>
      </c>
      <c r="F10477" t="str">
        <f>HYPERLINK("https://github.com/PojavLauncherTeam/PojavLauncher/issues/4059", "show")</f>
        <v>show</v>
      </c>
      <c r="G10477" t="str">
        <f>HYPERLINK("https://github.com/PojavLauncherTeam/PojavLauncher", "show")</f>
        <v>show</v>
      </c>
      <c r="H10477" t="str">
        <f>HYPERLINK("https://github.com/PojavLauncherTeam/PojavLauncher/releases", "show")</f>
        <v>show</v>
      </c>
      <c r="I10477">
        <v>0</v>
      </c>
      <c r="J10477">
        <v>0</v>
      </c>
      <c r="K10477">
        <v>0</v>
      </c>
      <c r="L10477">
        <v>0</v>
      </c>
      <c r="M10477" t="s">
        <v>43</v>
      </c>
    </row>
    <row r="10478" spans="1:13" hidden="1" x14ac:dyDescent="0.15">
      <c r="A10478" t="s">
        <v>33060</v>
      </c>
      <c r="B10478" t="s">
        <v>33061</v>
      </c>
      <c r="C10478" t="s">
        <v>33062</v>
      </c>
      <c r="D10478" t="s">
        <v>33063</v>
      </c>
      <c r="E10478">
        <v>5</v>
      </c>
      <c r="F10478" t="str">
        <f>HYPERLINK("https://github.com/Anuken/Mindustry/issues/8412", "show")</f>
        <v>show</v>
      </c>
      <c r="G10478" t="str">
        <f>HYPERLINK("https://github.com/Anuken/Mindustry", "show")</f>
        <v>show</v>
      </c>
      <c r="H10478" t="str">
        <f>HYPERLINK("https://github.com/Anuken/Mindustry/releases", "show")</f>
        <v>show</v>
      </c>
      <c r="I10478">
        <v>1</v>
      </c>
      <c r="J10478">
        <v>0</v>
      </c>
      <c r="K10478">
        <v>0</v>
      </c>
      <c r="L10478">
        <v>0</v>
      </c>
      <c r="M10478" t="s">
        <v>17</v>
      </c>
    </row>
    <row r="10479" spans="1:13" hidden="1" x14ac:dyDescent="0.15">
      <c r="A10479" t="s">
        <v>33064</v>
      </c>
      <c r="B10479" t="s">
        <v>33065</v>
      </c>
      <c r="C10479" t="s">
        <v>33066</v>
      </c>
      <c r="D10479" t="s">
        <v>33063</v>
      </c>
      <c r="E10479">
        <v>1</v>
      </c>
      <c r="F10479" t="str">
        <f>HYPERLINK("https://github.com/AlfaazPlus/QuranApp/issues/111", "show")</f>
        <v>show</v>
      </c>
      <c r="G10479" t="str">
        <f>HYPERLINK("https://github.com/AlfaazPlus/QuranApp", "show")</f>
        <v>show</v>
      </c>
      <c r="H10479" t="str">
        <f>HYPERLINK("https://github.com/AlfaazPlus/QuranApp/releases", "show")</f>
        <v>show</v>
      </c>
      <c r="I10479">
        <v>1</v>
      </c>
      <c r="J10479">
        <v>0</v>
      </c>
      <c r="K10479">
        <v>1</v>
      </c>
      <c r="L10479">
        <v>0</v>
      </c>
      <c r="M10479" t="s">
        <v>64</v>
      </c>
    </row>
    <row r="10480" spans="1:13" hidden="1" x14ac:dyDescent="0.15">
      <c r="A10480" t="s">
        <v>33067</v>
      </c>
      <c r="B10480" t="s">
        <v>33068</v>
      </c>
      <c r="C10480" t="s">
        <v>33069</v>
      </c>
      <c r="D10480" t="s">
        <v>33063</v>
      </c>
      <c r="E10480">
        <v>0</v>
      </c>
      <c r="F10480" t="str">
        <f>HYPERLINK("https://github.com/nextcloud/android/issues/11465", "show")</f>
        <v>show</v>
      </c>
      <c r="G10480" t="str">
        <f>HYPERLINK("https://github.com/nextcloud/android", "show")</f>
        <v>show</v>
      </c>
      <c r="H10480" t="str">
        <f>HYPERLINK("https://github.com/nextcloud/android/releases", "show")</f>
        <v>show</v>
      </c>
      <c r="I10480">
        <v>1</v>
      </c>
      <c r="J10480">
        <v>1</v>
      </c>
      <c r="K10480">
        <v>1</v>
      </c>
      <c r="L10480">
        <v>0</v>
      </c>
      <c r="M10480" t="s">
        <v>59</v>
      </c>
    </row>
    <row r="10481" spans="1:13" hidden="1" x14ac:dyDescent="0.15">
      <c r="A10481" t="s">
        <v>33070</v>
      </c>
      <c r="B10481" t="s">
        <v>33071</v>
      </c>
      <c r="C10481" t="s">
        <v>33072</v>
      </c>
      <c r="D10481" t="s">
        <v>33063</v>
      </c>
      <c r="E10481">
        <v>7</v>
      </c>
      <c r="F10481" t="str">
        <f>HYPERLINK("https://github.com/VinylMusicPlayer/VinylMusicPlayer/issues/728", "show")</f>
        <v>show</v>
      </c>
      <c r="G10481" t="str">
        <f>HYPERLINK("https://github.com/VinylMusicPlayer/VinylMusicPlayer", "show")</f>
        <v>show</v>
      </c>
      <c r="H10481" t="str">
        <f>HYPERLINK("https://github.com/VinylMusicPlayer/VinylMusicPlayer/releases", "show")</f>
        <v>show</v>
      </c>
      <c r="I10481">
        <v>1</v>
      </c>
      <c r="J10481">
        <v>0</v>
      </c>
      <c r="K10481">
        <v>0</v>
      </c>
      <c r="L10481">
        <v>0</v>
      </c>
      <c r="M10481" t="s">
        <v>17</v>
      </c>
    </row>
    <row r="10482" spans="1:13" hidden="1" x14ac:dyDescent="0.15">
      <c r="A10482" t="s">
        <v>33073</v>
      </c>
      <c r="B10482" t="s">
        <v>33074</v>
      </c>
      <c r="C10482" t="s">
        <v>33075</v>
      </c>
      <c r="D10482" t="s">
        <v>33076</v>
      </c>
      <c r="E10482">
        <v>2</v>
      </c>
      <c r="F10482" t="str">
        <f>HYPERLINK("https://github.com/AndroidIDEOfficial/AndroidIDE/issues/882", "show")</f>
        <v>show</v>
      </c>
      <c r="G10482" t="str">
        <f>HYPERLINK("https://github.com/AndroidIDEOfficial/AndroidIDE", "show")</f>
        <v>show</v>
      </c>
      <c r="H10482" t="str">
        <f>HYPERLINK("https://github.com/AndroidIDEOfficial/AndroidIDE/releases", "show")</f>
        <v>show</v>
      </c>
      <c r="I10482">
        <v>1</v>
      </c>
      <c r="J10482">
        <v>0</v>
      </c>
      <c r="K10482">
        <v>1</v>
      </c>
      <c r="L10482">
        <v>0</v>
      </c>
      <c r="M10482" t="s">
        <v>64</v>
      </c>
    </row>
    <row r="10483" spans="1:13" hidden="1" x14ac:dyDescent="0.15">
      <c r="A10483" t="s">
        <v>33077</v>
      </c>
      <c r="B10483" t="s">
        <v>33078</v>
      </c>
      <c r="C10483" t="s">
        <v>33079</v>
      </c>
      <c r="D10483" t="s">
        <v>33076</v>
      </c>
      <c r="E10483">
        <v>6</v>
      </c>
      <c r="F10483" t="str">
        <f>HYPERLINK("https://github.com/Anuken/Mindustry/issues/8409", "show")</f>
        <v>show</v>
      </c>
      <c r="G10483" t="str">
        <f>HYPERLINK("https://github.com/Anuken/Mindustry", "show")</f>
        <v>show</v>
      </c>
      <c r="H10483" t="str">
        <f>HYPERLINK("https://github.com/Anuken/Mindustry/releases", "show")</f>
        <v>show</v>
      </c>
      <c r="I10483">
        <v>1</v>
      </c>
      <c r="J10483">
        <v>1</v>
      </c>
      <c r="K10483">
        <v>0</v>
      </c>
      <c r="L10483">
        <v>0</v>
      </c>
      <c r="M10483" t="s">
        <v>48</v>
      </c>
    </row>
    <row r="10484" spans="1:13" hidden="1" x14ac:dyDescent="0.15">
      <c r="A10484" t="s">
        <v>33080</v>
      </c>
      <c r="B10484" t="s">
        <v>33081</v>
      </c>
      <c r="C10484" t="s">
        <v>33082</v>
      </c>
      <c r="D10484" t="s">
        <v>33083</v>
      </c>
      <c r="E10484">
        <v>6</v>
      </c>
      <c r="F10484" t="str">
        <f>HYPERLINK("https://github.com/patzly/grocy-android/issues/674", "show")</f>
        <v>show</v>
      </c>
      <c r="G10484" t="str">
        <f>HYPERLINK("https://github.com/patzly/grocy-android", "show")</f>
        <v>show</v>
      </c>
      <c r="H10484" t="str">
        <f>HYPERLINK("https://github.com/patzly/grocy-android/releases", "show")</f>
        <v>show</v>
      </c>
      <c r="I10484">
        <v>1</v>
      </c>
      <c r="J10484">
        <v>0</v>
      </c>
      <c r="K10484">
        <v>1</v>
      </c>
      <c r="L10484">
        <v>0</v>
      </c>
      <c r="M10484" t="s">
        <v>64</v>
      </c>
    </row>
    <row r="10485" spans="1:13" hidden="1" x14ac:dyDescent="0.15">
      <c r="A10485" t="s">
        <v>33084</v>
      </c>
      <c r="B10485" t="s">
        <v>33085</v>
      </c>
      <c r="C10485" t="s">
        <v>33086</v>
      </c>
      <c r="D10485" t="s">
        <v>33083</v>
      </c>
      <c r="E10485">
        <v>0</v>
      </c>
      <c r="F10485" t="str">
        <f>HYPERLINK("https://github.com/PojavLauncherTeam/PojavLauncher/issues/4049", "show")</f>
        <v>show</v>
      </c>
      <c r="G10485" t="str">
        <f>HYPERLINK("https://github.com/PojavLauncherTeam/PojavLauncher", "show")</f>
        <v>show</v>
      </c>
      <c r="H10485" t="str">
        <f>HYPERLINK("https://github.com/PojavLauncherTeam/PojavLauncher/releases", "show")</f>
        <v>show</v>
      </c>
      <c r="I10485">
        <v>1</v>
      </c>
      <c r="J10485">
        <v>1</v>
      </c>
      <c r="K10485">
        <v>0</v>
      </c>
      <c r="L10485">
        <v>0</v>
      </c>
      <c r="M10485" t="s">
        <v>48</v>
      </c>
    </row>
    <row r="10486" spans="1:13" hidden="1" x14ac:dyDescent="0.15">
      <c r="A10486" t="s">
        <v>33087</v>
      </c>
      <c r="B10486" t="s">
        <v>33088</v>
      </c>
      <c r="C10486" t="s">
        <v>33089</v>
      </c>
      <c r="D10486" t="s">
        <v>33083</v>
      </c>
      <c r="E10486">
        <v>0</v>
      </c>
      <c r="F10486" t="str">
        <f>HYPERLINK("https://github.com/LSPosed/LSPosed/issues/2443", "show")</f>
        <v>show</v>
      </c>
      <c r="G10486" t="str">
        <f>HYPERLINK("https://github.com/LSPosed/LSPosed", "show")</f>
        <v>show</v>
      </c>
      <c r="H10486" t="str">
        <f>HYPERLINK("https://github.com/LSPosed/LSPosed/releases", "show")</f>
        <v>show</v>
      </c>
      <c r="I10486">
        <v>1</v>
      </c>
      <c r="J10486">
        <v>0</v>
      </c>
      <c r="K10486">
        <v>0</v>
      </c>
      <c r="L10486">
        <v>0</v>
      </c>
      <c r="M10486" t="s">
        <v>17</v>
      </c>
    </row>
    <row r="10487" spans="1:13" hidden="1" x14ac:dyDescent="0.15">
      <c r="A10487" t="s">
        <v>33090</v>
      </c>
      <c r="B10487" t="s">
        <v>33091</v>
      </c>
      <c r="C10487" t="s">
        <v>33092</v>
      </c>
      <c r="D10487" t="s">
        <v>33083</v>
      </c>
      <c r="E10487">
        <v>64</v>
      </c>
      <c r="F10487" t="str">
        <f>HYPERLINK("https://github.com/patzly/grocy-android/issues/673", "show")</f>
        <v>show</v>
      </c>
      <c r="G10487" t="str">
        <f>HYPERLINK("https://github.com/patzly/grocy-android", "show")</f>
        <v>show</v>
      </c>
      <c r="H10487" t="str">
        <f>HYPERLINK("https://github.com/patzly/grocy-android/releases", "show")</f>
        <v>show</v>
      </c>
      <c r="I10487">
        <v>0</v>
      </c>
      <c r="J10487">
        <v>0</v>
      </c>
      <c r="K10487">
        <v>1</v>
      </c>
      <c r="L10487">
        <v>0</v>
      </c>
      <c r="M10487" t="s">
        <v>122</v>
      </c>
    </row>
    <row r="10488" spans="1:13" hidden="1" x14ac:dyDescent="0.15">
      <c r="A10488" t="s">
        <v>33093</v>
      </c>
      <c r="B10488" t="s">
        <v>33094</v>
      </c>
      <c r="C10488" t="s">
        <v>33095</v>
      </c>
      <c r="D10488" t="s">
        <v>33083</v>
      </c>
      <c r="E10488">
        <v>3</v>
      </c>
      <c r="F10488" t="str">
        <f>HYPERLINK("https://github.com/PojavLauncherTeam/PojavLauncher/issues/4047", "show")</f>
        <v>show</v>
      </c>
      <c r="G10488" t="str">
        <f>HYPERLINK("https://github.com/PojavLauncherTeam/PojavLauncher", "show")</f>
        <v>show</v>
      </c>
      <c r="H10488" t="str">
        <f>HYPERLINK("https://github.com/PojavLauncherTeam/PojavLauncher/releases", "show")</f>
        <v>show</v>
      </c>
      <c r="I10488">
        <v>0</v>
      </c>
      <c r="J10488">
        <v>1</v>
      </c>
      <c r="K10488">
        <v>1</v>
      </c>
      <c r="L10488">
        <v>0</v>
      </c>
      <c r="M10488" t="s">
        <v>699</v>
      </c>
    </row>
    <row r="10489" spans="1:13" hidden="1" x14ac:dyDescent="0.15">
      <c r="A10489" t="s">
        <v>33096</v>
      </c>
      <c r="B10489" t="s">
        <v>33097</v>
      </c>
      <c r="C10489" t="s">
        <v>33098</v>
      </c>
      <c r="D10489" t="s">
        <v>33099</v>
      </c>
      <c r="E10489">
        <v>0</v>
      </c>
      <c r="F10489" t="str">
        <f>HYPERLINK("https://github.com/PojavLauncherTeam/PojavLauncher/issues/4745", "show")</f>
        <v>show</v>
      </c>
      <c r="G10489" t="str">
        <f>HYPERLINK("https://github.com/PojavLauncherTeam/PojavLauncher", "show")</f>
        <v>show</v>
      </c>
      <c r="H10489" t="str">
        <f>HYPERLINK("https://github.com/PojavLauncherTeam/PojavLauncher/releases", "show")</f>
        <v>show</v>
      </c>
      <c r="I10489">
        <v>1</v>
      </c>
      <c r="J10489">
        <v>1</v>
      </c>
      <c r="K10489">
        <v>0</v>
      </c>
      <c r="L10489">
        <v>0</v>
      </c>
      <c r="M10489" t="s">
        <v>48</v>
      </c>
    </row>
    <row r="10490" spans="1:13" hidden="1" x14ac:dyDescent="0.15">
      <c r="A10490" t="s">
        <v>33100</v>
      </c>
      <c r="B10490" t="s">
        <v>33101</v>
      </c>
      <c r="C10490" t="s">
        <v>33102</v>
      </c>
      <c r="D10490" t="s">
        <v>33103</v>
      </c>
      <c r="E10490">
        <v>51</v>
      </c>
      <c r="F10490" t="str">
        <f>HYPERLINK("https://github.com/cgeo/cgeo/issues/14109", "show")</f>
        <v>show</v>
      </c>
      <c r="G10490" t="str">
        <f>HYPERLINK("https://github.com/cgeo/cgeo", "show")</f>
        <v>show</v>
      </c>
      <c r="H10490" t="str">
        <f>HYPERLINK("https://github.com/cgeo/cgeo/releases", "show")</f>
        <v>show</v>
      </c>
      <c r="I10490">
        <v>1</v>
      </c>
      <c r="J10490">
        <v>1</v>
      </c>
      <c r="K10490">
        <v>0</v>
      </c>
      <c r="L10490">
        <v>0</v>
      </c>
      <c r="M10490" t="s">
        <v>48</v>
      </c>
    </row>
    <row r="10491" spans="1:13" hidden="1" x14ac:dyDescent="0.15">
      <c r="A10491" t="s">
        <v>33104</v>
      </c>
      <c r="B10491" t="s">
        <v>33105</v>
      </c>
      <c r="C10491" t="s">
        <v>33106</v>
      </c>
      <c r="D10491" t="s">
        <v>33103</v>
      </c>
      <c r="E10491">
        <v>5</v>
      </c>
      <c r="F10491" t="str">
        <f>HYPERLINK("https://github.com/AndroidIDEOfficial/AndroidIDE/issues/874", "show")</f>
        <v>show</v>
      </c>
      <c r="G10491" t="str">
        <f>HYPERLINK("https://github.com/AndroidIDEOfficial/AndroidIDE", "show")</f>
        <v>show</v>
      </c>
      <c r="H10491" t="str">
        <f>HYPERLINK("https://github.com/AndroidIDEOfficial/AndroidIDE/releases", "show")</f>
        <v>show</v>
      </c>
      <c r="I10491">
        <v>1</v>
      </c>
      <c r="J10491">
        <v>0</v>
      </c>
      <c r="K10491">
        <v>0</v>
      </c>
      <c r="L10491">
        <v>0</v>
      </c>
      <c r="M10491" t="s">
        <v>17</v>
      </c>
    </row>
    <row r="10492" spans="1:13" hidden="1" x14ac:dyDescent="0.15">
      <c r="A10492" t="s">
        <v>33107</v>
      </c>
      <c r="B10492" t="s">
        <v>33108</v>
      </c>
      <c r="C10492" t="s">
        <v>33109</v>
      </c>
      <c r="D10492" t="s">
        <v>33103</v>
      </c>
      <c r="E10492">
        <v>2</v>
      </c>
      <c r="F10492" t="str">
        <f>HYPERLINK("https://github.com/AndroidIDEOfficial/AndroidIDE/issues/873", "show")</f>
        <v>show</v>
      </c>
      <c r="G10492" t="str">
        <f>HYPERLINK("https://github.com/AndroidIDEOfficial/AndroidIDE", "show")</f>
        <v>show</v>
      </c>
      <c r="H10492" t="str">
        <f>HYPERLINK("https://github.com/AndroidIDEOfficial/AndroidIDE/releases", "show")</f>
        <v>show</v>
      </c>
      <c r="I10492">
        <v>1</v>
      </c>
      <c r="J10492">
        <v>0</v>
      </c>
      <c r="K10492">
        <v>1</v>
      </c>
      <c r="L10492">
        <v>0</v>
      </c>
      <c r="M10492" t="s">
        <v>64</v>
      </c>
    </row>
    <row r="10493" spans="1:13" hidden="1" x14ac:dyDescent="0.15">
      <c r="A10493" t="s">
        <v>33110</v>
      </c>
      <c r="B10493" t="s">
        <v>33111</v>
      </c>
      <c r="C10493" t="s">
        <v>33112</v>
      </c>
      <c r="D10493" t="s">
        <v>33103</v>
      </c>
      <c r="E10493">
        <v>71</v>
      </c>
      <c r="F10493" t="str">
        <f>HYPERLINK("https://github.com/AndroidIDEOfficial/AndroidIDE/issues/870", "show")</f>
        <v>show</v>
      </c>
      <c r="G10493" t="str">
        <f>HYPERLINK("https://github.com/AndroidIDEOfficial/AndroidIDE", "show")</f>
        <v>show</v>
      </c>
      <c r="H10493" t="str">
        <f>HYPERLINK("https://github.com/AndroidIDEOfficial/AndroidIDE/releases", "show")</f>
        <v>show</v>
      </c>
      <c r="I10493">
        <v>0</v>
      </c>
      <c r="J10493">
        <v>0</v>
      </c>
      <c r="K10493">
        <v>1</v>
      </c>
      <c r="L10493">
        <v>0</v>
      </c>
      <c r="M10493" t="s">
        <v>122</v>
      </c>
    </row>
    <row r="10494" spans="1:13" hidden="1" x14ac:dyDescent="0.15">
      <c r="A10494" t="s">
        <v>33113</v>
      </c>
      <c r="B10494" t="s">
        <v>33114</v>
      </c>
      <c r="C10494" t="s">
        <v>33115</v>
      </c>
      <c r="D10494" t="s">
        <v>33116</v>
      </c>
      <c r="E10494">
        <v>99</v>
      </c>
      <c r="F10494" t="str">
        <f>HYPERLINK("https://github.com/LawnchairLauncher/lawnchair/issues/3373", "show")</f>
        <v>show</v>
      </c>
      <c r="G10494" t="str">
        <f>HYPERLINK("https://github.com/LawnchairLauncher/lawnchair", "show")</f>
        <v>show</v>
      </c>
      <c r="H10494" t="str">
        <f>HYPERLINK("https://github.com/LawnchairLauncher/lawnchair/releases", "show")</f>
        <v>show</v>
      </c>
      <c r="I10494">
        <v>0</v>
      </c>
      <c r="J10494">
        <v>1</v>
      </c>
      <c r="K10494">
        <v>1</v>
      </c>
      <c r="L10494">
        <v>0</v>
      </c>
      <c r="M10494" t="s">
        <v>699</v>
      </c>
    </row>
    <row r="10495" spans="1:13" hidden="1" x14ac:dyDescent="0.15">
      <c r="A10495" t="s">
        <v>33117</v>
      </c>
      <c r="B10495" t="s">
        <v>33118</v>
      </c>
      <c r="C10495" t="s">
        <v>33119</v>
      </c>
      <c r="D10495" t="s">
        <v>33116</v>
      </c>
      <c r="E10495">
        <v>0</v>
      </c>
      <c r="F10495" t="str">
        <f>HYPERLINK("https://github.com/AndroidIDEOfficial/AndroidIDE/issues/867", "show")</f>
        <v>show</v>
      </c>
      <c r="G10495" t="str">
        <f>HYPERLINK("https://github.com/AndroidIDEOfficial/AndroidIDE", "show")</f>
        <v>show</v>
      </c>
      <c r="H10495" t="str">
        <f>HYPERLINK("https://github.com/AndroidIDEOfficial/AndroidIDE/releases", "show")</f>
        <v>show</v>
      </c>
      <c r="I10495">
        <v>0</v>
      </c>
      <c r="J10495">
        <v>0</v>
      </c>
      <c r="K10495">
        <v>1</v>
      </c>
      <c r="L10495">
        <v>0</v>
      </c>
      <c r="M10495" t="s">
        <v>122</v>
      </c>
    </row>
    <row r="10496" spans="1:13" hidden="1" x14ac:dyDescent="0.15">
      <c r="A10496" t="s">
        <v>33120</v>
      </c>
      <c r="B10496" t="s">
        <v>33121</v>
      </c>
      <c r="C10496" t="s">
        <v>33122</v>
      </c>
      <c r="D10496" t="s">
        <v>33123</v>
      </c>
      <c r="E10496">
        <v>0</v>
      </c>
      <c r="F10496" t="str">
        <f>HYPERLINK("https://github.com/PojavLauncherTeam/PojavLauncher/issues/4041", "show")</f>
        <v>show</v>
      </c>
      <c r="G10496" t="str">
        <f>HYPERLINK("https://github.com/PojavLauncherTeam/PojavLauncher", "show")</f>
        <v>show</v>
      </c>
      <c r="H10496" t="str">
        <f>HYPERLINK("https://github.com/PojavLauncherTeam/PojavLauncher/releases", "show")</f>
        <v>show</v>
      </c>
      <c r="I10496">
        <v>1</v>
      </c>
      <c r="J10496">
        <v>1</v>
      </c>
      <c r="K10496">
        <v>0</v>
      </c>
      <c r="L10496">
        <v>0</v>
      </c>
      <c r="M10496" t="s">
        <v>48</v>
      </c>
    </row>
    <row r="10497" spans="1:13" hidden="1" x14ac:dyDescent="0.15">
      <c r="A10497" t="s">
        <v>33124</v>
      </c>
      <c r="B10497" t="s">
        <v>33125</v>
      </c>
      <c r="C10497" t="s">
        <v>33126</v>
      </c>
      <c r="D10497" t="s">
        <v>33127</v>
      </c>
      <c r="E10497">
        <v>0</v>
      </c>
      <c r="F10497" t="str">
        <f>HYPERLINK("https://github.com/SecUSo/privacy-friendly-todo-list/issues/88", "show")</f>
        <v>show</v>
      </c>
      <c r="G10497" t="str">
        <f>HYPERLINK("https://github.com/SecUSo/privacy-friendly-todo-list", "show")</f>
        <v>show</v>
      </c>
      <c r="H10497" t="str">
        <f>HYPERLINK("https://github.com/SecUSo/privacy-friendly-todo-list/releases", "show")</f>
        <v>show</v>
      </c>
      <c r="I10497">
        <v>1</v>
      </c>
      <c r="J10497">
        <v>0</v>
      </c>
      <c r="K10497">
        <v>0</v>
      </c>
      <c r="L10497">
        <v>0</v>
      </c>
      <c r="M10497" t="s">
        <v>17</v>
      </c>
    </row>
    <row r="10498" spans="1:13" hidden="1" x14ac:dyDescent="0.15">
      <c r="A10498" t="s">
        <v>33128</v>
      </c>
      <c r="B10498" t="s">
        <v>33129</v>
      </c>
      <c r="C10498" t="s">
        <v>33130</v>
      </c>
      <c r="D10498" t="s">
        <v>33131</v>
      </c>
      <c r="E10498">
        <v>115</v>
      </c>
      <c r="F10498" t="str">
        <f>HYPERLINK("https://github.com/OfekiAlm/SoloBeast/issues/19", "show")</f>
        <v>show</v>
      </c>
      <c r="G10498" t="str">
        <f>HYPERLINK("https://github.com/OfekiAlm/SoloBeast", "show")</f>
        <v>show</v>
      </c>
      <c r="H10498" t="str">
        <f>HYPERLINK("https://github.com/OfekiAlm/SoloBeast/releases", "show")</f>
        <v>show</v>
      </c>
      <c r="I10498">
        <v>1</v>
      </c>
      <c r="J10498">
        <v>0</v>
      </c>
      <c r="K10498">
        <v>0</v>
      </c>
      <c r="L10498">
        <v>0</v>
      </c>
      <c r="M10498" t="s">
        <v>17</v>
      </c>
    </row>
    <row r="10499" spans="1:13" hidden="1" x14ac:dyDescent="0.15">
      <c r="A10499" t="s">
        <v>33132</v>
      </c>
      <c r="B10499" t="s">
        <v>33133</v>
      </c>
      <c r="C10499" t="s">
        <v>33134</v>
      </c>
      <c r="D10499" t="s">
        <v>33131</v>
      </c>
      <c r="E10499">
        <v>0</v>
      </c>
      <c r="F10499" t="str">
        <f>HYPERLINK("https://github.com/Hellikandra/ATAK-Weather-Plugin/issues/8", "show")</f>
        <v>show</v>
      </c>
      <c r="G10499" t="str">
        <f>HYPERLINK("https://github.com/Hellikandra/ATAK-Weather-Plugin", "show")</f>
        <v>show</v>
      </c>
      <c r="H10499" t="str">
        <f>HYPERLINK("https://github.com/Hellikandra/ATAK-Weather-Plugin/releases", "show")</f>
        <v>show</v>
      </c>
      <c r="I10499">
        <v>1</v>
      </c>
      <c r="J10499">
        <v>0</v>
      </c>
      <c r="K10499">
        <v>0</v>
      </c>
      <c r="L10499">
        <v>0</v>
      </c>
      <c r="M10499" t="s">
        <v>17</v>
      </c>
    </row>
    <row r="10500" spans="1:13" hidden="1" x14ac:dyDescent="0.15">
      <c r="A10500" t="s">
        <v>33135</v>
      </c>
      <c r="B10500" t="s">
        <v>33136</v>
      </c>
      <c r="C10500" t="s">
        <v>33137</v>
      </c>
      <c r="D10500" t="s">
        <v>33131</v>
      </c>
      <c r="E10500">
        <v>30</v>
      </c>
      <c r="F10500" t="str">
        <f>HYPERLINK("https://github.com/regulaforensics/react-native-face-api/issues/18", "show")</f>
        <v>show</v>
      </c>
      <c r="G10500" t="str">
        <f>HYPERLINK("https://github.com/regulaforensics/react-native-face-api", "show")</f>
        <v>show</v>
      </c>
      <c r="H10500" t="str">
        <f>HYPERLINK("https://github.com/regulaforensics/react-native-face-api/releases", "show")</f>
        <v>show</v>
      </c>
      <c r="I10500">
        <v>1</v>
      </c>
      <c r="J10500">
        <v>0</v>
      </c>
      <c r="K10500">
        <v>0</v>
      </c>
      <c r="L10500">
        <v>0</v>
      </c>
      <c r="M10500" t="s">
        <v>17</v>
      </c>
    </row>
    <row r="10501" spans="1:13" hidden="1" x14ac:dyDescent="0.15">
      <c r="A10501" t="s">
        <v>33138</v>
      </c>
      <c r="B10501" t="s">
        <v>33139</v>
      </c>
      <c r="C10501" t="s">
        <v>33140</v>
      </c>
      <c r="D10501" t="s">
        <v>33141</v>
      </c>
      <c r="E10501">
        <v>0</v>
      </c>
      <c r="F10501" t="str">
        <f>HYPERLINK("https://github.com/osamaqarem/react-native-image-colors/issues/63", "show")</f>
        <v>show</v>
      </c>
      <c r="G10501" t="str">
        <f>HYPERLINK("https://github.com/osamaqarem/react-native-image-colors", "show")</f>
        <v>show</v>
      </c>
      <c r="H10501" t="str">
        <f>HYPERLINK("https://github.com/osamaqarem/react-native-image-colors/releases", "show")</f>
        <v>show</v>
      </c>
      <c r="I10501">
        <v>0</v>
      </c>
      <c r="J10501">
        <v>0</v>
      </c>
      <c r="K10501">
        <v>0</v>
      </c>
      <c r="L10501">
        <v>1</v>
      </c>
      <c r="M10501" t="s">
        <v>581</v>
      </c>
    </row>
    <row r="10502" spans="1:13" hidden="1" x14ac:dyDescent="0.15">
      <c r="A10502" t="s">
        <v>33142</v>
      </c>
      <c r="B10502" t="s">
        <v>33143</v>
      </c>
      <c r="C10502" t="s">
        <v>33144</v>
      </c>
      <c r="D10502" t="s">
        <v>33141</v>
      </c>
      <c r="E10502">
        <v>0</v>
      </c>
      <c r="F10502" t="str">
        <f>HYPERLINK("https://github.com/PojavLauncherTeam/PojavLauncher/issues/4032", "show")</f>
        <v>show</v>
      </c>
      <c r="G10502" t="str">
        <f>HYPERLINK("https://github.com/PojavLauncherTeam/PojavLauncher", "show")</f>
        <v>show</v>
      </c>
      <c r="H10502" t="str">
        <f>HYPERLINK("https://github.com/PojavLauncherTeam/PojavLauncher/releases", "show")</f>
        <v>show</v>
      </c>
      <c r="I10502">
        <v>0</v>
      </c>
      <c r="J10502">
        <v>0</v>
      </c>
      <c r="K10502">
        <v>0</v>
      </c>
      <c r="L10502">
        <v>0</v>
      </c>
      <c r="M10502" t="s">
        <v>43</v>
      </c>
    </row>
    <row r="10503" spans="1:13" hidden="1" x14ac:dyDescent="0.15">
      <c r="A10503" t="s">
        <v>33145</v>
      </c>
      <c r="B10503" t="s">
        <v>33146</v>
      </c>
      <c r="C10503" t="s">
        <v>33147</v>
      </c>
      <c r="D10503" t="s">
        <v>33141</v>
      </c>
      <c r="E10503">
        <v>0</v>
      </c>
      <c r="F10503" t="str">
        <f>HYPERLINK("https://github.com/AndroidIDEOfficial/AndroidIDE/issues/854", "show")</f>
        <v>show</v>
      </c>
      <c r="G10503" t="str">
        <f>HYPERLINK("https://github.com/AndroidIDEOfficial/AndroidIDE", "show")</f>
        <v>show</v>
      </c>
      <c r="H10503" t="str">
        <f>HYPERLINK("https://github.com/AndroidIDEOfficial/AndroidIDE/releases", "show")</f>
        <v>show</v>
      </c>
      <c r="I10503">
        <v>1</v>
      </c>
      <c r="J10503">
        <v>0</v>
      </c>
      <c r="K10503">
        <v>1</v>
      </c>
      <c r="L10503">
        <v>0</v>
      </c>
      <c r="M10503" t="s">
        <v>64</v>
      </c>
    </row>
    <row r="10504" spans="1:13" hidden="1" x14ac:dyDescent="0.15">
      <c r="A10504" t="s">
        <v>33148</v>
      </c>
      <c r="B10504" t="s">
        <v>33149</v>
      </c>
      <c r="C10504" t="s">
        <v>33150</v>
      </c>
      <c r="D10504" t="s">
        <v>33151</v>
      </c>
      <c r="E10504">
        <v>4</v>
      </c>
      <c r="F10504" t="str">
        <f>HYPERLINK("https://github.com/AndroidIDEOfficial/AndroidIDE/issues/853", "show")</f>
        <v>show</v>
      </c>
      <c r="G10504" t="str">
        <f>HYPERLINK("https://github.com/AndroidIDEOfficial/AndroidIDE", "show")</f>
        <v>show</v>
      </c>
      <c r="H10504" t="str">
        <f>HYPERLINK("https://github.com/AndroidIDEOfficial/AndroidIDE/releases", "show")</f>
        <v>show</v>
      </c>
      <c r="I10504">
        <v>1</v>
      </c>
      <c r="J10504">
        <v>0</v>
      </c>
      <c r="K10504">
        <v>1</v>
      </c>
      <c r="L10504">
        <v>0</v>
      </c>
      <c r="M10504" t="s">
        <v>64</v>
      </c>
    </row>
    <row r="10505" spans="1:13" hidden="1" x14ac:dyDescent="0.15">
      <c r="A10505" t="s">
        <v>33152</v>
      </c>
      <c r="B10505" t="s">
        <v>33153</v>
      </c>
      <c r="C10505" t="s">
        <v>33154</v>
      </c>
      <c r="D10505" t="s">
        <v>33151</v>
      </c>
      <c r="E10505">
        <v>8</v>
      </c>
      <c r="F10505" t="str">
        <f>HYPERLINK("https://github.com/woheller69/TimeLapseCamera/issues/8", "show")</f>
        <v>show</v>
      </c>
      <c r="G10505" t="str">
        <f>HYPERLINK("https://github.com/woheller69/TimeLapseCamera", "show")</f>
        <v>show</v>
      </c>
      <c r="H10505" t="str">
        <f>HYPERLINK("https://github.com/woheller69/TimeLapseCamera/releases", "show")</f>
        <v>show</v>
      </c>
      <c r="I10505">
        <v>1</v>
      </c>
      <c r="J10505">
        <v>0</v>
      </c>
      <c r="K10505">
        <v>0</v>
      </c>
      <c r="L10505">
        <v>0</v>
      </c>
      <c r="M10505" t="s">
        <v>17</v>
      </c>
    </row>
    <row r="10506" spans="1:13" hidden="1" x14ac:dyDescent="0.15">
      <c r="A10506" t="s">
        <v>33155</v>
      </c>
      <c r="B10506" t="s">
        <v>33156</v>
      </c>
      <c r="C10506" t="s">
        <v>33157</v>
      </c>
      <c r="D10506" t="s">
        <v>33158</v>
      </c>
      <c r="E10506">
        <v>1</v>
      </c>
      <c r="F10506" t="str">
        <f>HYPERLINK("https://github.com/AndroidIDEOfficial/AndroidIDE/issues/852", "show")</f>
        <v>show</v>
      </c>
      <c r="G10506" t="str">
        <f>HYPERLINK("https://github.com/AndroidIDEOfficial/AndroidIDE", "show")</f>
        <v>show</v>
      </c>
      <c r="H10506" t="str">
        <f>HYPERLINK("https://github.com/AndroidIDEOfficial/AndroidIDE/releases", "show")</f>
        <v>show</v>
      </c>
      <c r="I10506">
        <v>1</v>
      </c>
      <c r="J10506">
        <v>0</v>
      </c>
      <c r="K10506">
        <v>1</v>
      </c>
      <c r="L10506">
        <v>0</v>
      </c>
      <c r="M10506" t="s">
        <v>64</v>
      </c>
    </row>
    <row r="10507" spans="1:13" hidden="1" x14ac:dyDescent="0.15">
      <c r="A10507" t="s">
        <v>33159</v>
      </c>
      <c r="B10507" t="s">
        <v>33160</v>
      </c>
      <c r="C10507" t="s">
        <v>33161</v>
      </c>
      <c r="D10507" t="s">
        <v>33158</v>
      </c>
      <c r="E10507">
        <v>175</v>
      </c>
      <c r="F10507" t="str">
        <f>HYPERLINK("https://github.com/skewyapp/skewyapp/issues/31", "show")</f>
        <v>show</v>
      </c>
      <c r="G10507" t="str">
        <f>HYPERLINK("https://github.com/skewyapp/skewyapp", "show")</f>
        <v>show</v>
      </c>
      <c r="H10507" t="str">
        <f>HYPERLINK("https://github.com/skewyapp/skewyapp/releases", "show")</f>
        <v>show</v>
      </c>
      <c r="I10507">
        <v>1</v>
      </c>
      <c r="J10507">
        <v>0</v>
      </c>
      <c r="K10507">
        <v>1</v>
      </c>
      <c r="L10507">
        <v>0</v>
      </c>
      <c r="M10507" t="s">
        <v>64</v>
      </c>
    </row>
    <row r="10508" spans="1:13" hidden="1" x14ac:dyDescent="0.15">
      <c r="A10508" t="s">
        <v>33162</v>
      </c>
      <c r="B10508" t="s">
        <v>33163</v>
      </c>
      <c r="C10508" t="s">
        <v>33164</v>
      </c>
      <c r="D10508" t="s">
        <v>33165</v>
      </c>
      <c r="E10508">
        <v>0</v>
      </c>
      <c r="F10508" t="str">
        <f>HYPERLINK("https://github.com/PojavLauncherTeam/PojavLauncher/issues/4027", "show")</f>
        <v>show</v>
      </c>
      <c r="G10508" t="str">
        <f>HYPERLINK("https://github.com/PojavLauncherTeam/PojavLauncher", "show")</f>
        <v>show</v>
      </c>
      <c r="H10508" t="str">
        <f>HYPERLINK("https://github.com/PojavLauncherTeam/PojavLauncher/releases", "show")</f>
        <v>show</v>
      </c>
      <c r="I10508">
        <v>1</v>
      </c>
      <c r="J10508">
        <v>1</v>
      </c>
      <c r="K10508">
        <v>0</v>
      </c>
      <c r="L10508">
        <v>0</v>
      </c>
      <c r="M10508" t="s">
        <v>48</v>
      </c>
    </row>
    <row r="10509" spans="1:13" hidden="1" x14ac:dyDescent="0.15">
      <c r="A10509" t="s">
        <v>33166</v>
      </c>
      <c r="B10509" t="s">
        <v>33167</v>
      </c>
      <c r="C10509" t="s">
        <v>33168</v>
      </c>
      <c r="D10509" t="s">
        <v>33165</v>
      </c>
      <c r="E10509">
        <v>0</v>
      </c>
      <c r="F10509" t="str">
        <f>HYPERLINK("https://github.com/Anuken/Mindustry/issues/8379", "show")</f>
        <v>show</v>
      </c>
      <c r="G10509" t="str">
        <f>HYPERLINK("https://github.com/Anuken/Mindustry", "show")</f>
        <v>show</v>
      </c>
      <c r="H10509" t="str">
        <f>HYPERLINK("https://github.com/Anuken/Mindustry/releases", "show")</f>
        <v>show</v>
      </c>
      <c r="I10509">
        <v>0</v>
      </c>
      <c r="J10509">
        <v>0</v>
      </c>
      <c r="K10509">
        <v>0</v>
      </c>
      <c r="L10509">
        <v>0</v>
      </c>
      <c r="M10509" t="s">
        <v>43</v>
      </c>
    </row>
    <row r="10510" spans="1:13" hidden="1" x14ac:dyDescent="0.15">
      <c r="A10510" t="s">
        <v>33169</v>
      </c>
      <c r="B10510" t="s">
        <v>33170</v>
      </c>
      <c r="C10510" t="s">
        <v>33171</v>
      </c>
      <c r="D10510" t="s">
        <v>33165</v>
      </c>
      <c r="E10510">
        <v>0</v>
      </c>
      <c r="F10510" t="str">
        <f>HYPERLINK("https://github.com/nextcloud/android/issues/11444", "show")</f>
        <v>show</v>
      </c>
      <c r="G10510" t="str">
        <f>HYPERLINK("https://github.com/nextcloud/android", "show")</f>
        <v>show</v>
      </c>
      <c r="H10510" t="str">
        <f>HYPERLINK("https://github.com/nextcloud/android/releases", "show")</f>
        <v>show</v>
      </c>
      <c r="I10510">
        <v>1</v>
      </c>
      <c r="J10510">
        <v>0</v>
      </c>
      <c r="K10510">
        <v>1</v>
      </c>
      <c r="L10510">
        <v>0</v>
      </c>
      <c r="M10510" t="s">
        <v>64</v>
      </c>
    </row>
    <row r="10511" spans="1:13" hidden="1" x14ac:dyDescent="0.15">
      <c r="A10511" t="s">
        <v>33172</v>
      </c>
      <c r="B10511" t="s">
        <v>33173</v>
      </c>
      <c r="C10511" t="s">
        <v>33174</v>
      </c>
      <c r="D10511" t="s">
        <v>33165</v>
      </c>
      <c r="E10511">
        <v>0</v>
      </c>
      <c r="F10511" t="str">
        <f>HYPERLINK("https://github.com/Anuken/Mindustry/issues/8378", "show")</f>
        <v>show</v>
      </c>
      <c r="G10511" t="str">
        <f>HYPERLINK("https://github.com/Anuken/Mindustry", "show")</f>
        <v>show</v>
      </c>
      <c r="H10511" t="str">
        <f>HYPERLINK("https://github.com/Anuken/Mindustry/releases", "show")</f>
        <v>show</v>
      </c>
      <c r="I10511">
        <v>1</v>
      </c>
      <c r="J10511">
        <v>1</v>
      </c>
      <c r="K10511">
        <v>0</v>
      </c>
      <c r="L10511">
        <v>0</v>
      </c>
      <c r="M10511" t="s">
        <v>48</v>
      </c>
    </row>
    <row r="10512" spans="1:13" x14ac:dyDescent="0.15">
      <c r="A10512" t="s">
        <v>33175</v>
      </c>
      <c r="B10512" t="s">
        <v>33176</v>
      </c>
      <c r="C10512" t="s">
        <v>33177</v>
      </c>
      <c r="D10512" t="s">
        <v>33165</v>
      </c>
      <c r="E10512">
        <v>2</v>
      </c>
      <c r="F10512" t="str">
        <f>HYPERLINK("https://github.com/PojavLauncherTeam/PojavLauncher/issues/4026", "show")</f>
        <v>show</v>
      </c>
      <c r="G10512" t="str">
        <f>HYPERLINK("https://github.com/PojavLauncherTeam/PojavLauncher", "show")</f>
        <v>show</v>
      </c>
      <c r="H10512" t="str">
        <f>HYPERLINK("https://github.com/PojavLauncherTeam/PojavLauncher/releases", "show")</f>
        <v>show</v>
      </c>
      <c r="I10512">
        <v>0</v>
      </c>
      <c r="J10512">
        <v>1</v>
      </c>
      <c r="K10512">
        <v>0</v>
      </c>
      <c r="L10512">
        <v>0</v>
      </c>
      <c r="M10512" t="s">
        <v>139</v>
      </c>
    </row>
    <row r="10513" spans="1:13" hidden="1" x14ac:dyDescent="0.15">
      <c r="A10513" t="s">
        <v>33178</v>
      </c>
      <c r="B10513" t="s">
        <v>33179</v>
      </c>
      <c r="C10513" t="s">
        <v>33180</v>
      </c>
      <c r="D10513" t="s">
        <v>33165</v>
      </c>
      <c r="E10513">
        <v>142</v>
      </c>
      <c r="F10513" t="str">
        <f>HYPERLINK("https://github.com/jellyfin/jellyfin-androidtv/issues/2578", "show")</f>
        <v>show</v>
      </c>
      <c r="G10513" t="str">
        <f>HYPERLINK("https://github.com/jellyfin/jellyfin-androidtv", "show")</f>
        <v>show</v>
      </c>
      <c r="H10513" t="str">
        <f>HYPERLINK("https://github.com/jellyfin/jellyfin-androidtv/releases", "show")</f>
        <v>show</v>
      </c>
      <c r="I10513">
        <v>0</v>
      </c>
      <c r="J10513">
        <v>1</v>
      </c>
      <c r="K10513">
        <v>1</v>
      </c>
      <c r="L10513">
        <v>0</v>
      </c>
      <c r="M10513" t="s">
        <v>699</v>
      </c>
    </row>
    <row r="10514" spans="1:13" hidden="1" x14ac:dyDescent="0.15">
      <c r="A10514" t="s">
        <v>33181</v>
      </c>
      <c r="B10514" t="s">
        <v>33182</v>
      </c>
      <c r="C10514" t="s">
        <v>33183</v>
      </c>
      <c r="D10514" t="s">
        <v>33184</v>
      </c>
      <c r="E10514">
        <v>0</v>
      </c>
      <c r="F10514" t="str">
        <f>HYPERLINK("https://github.com/Anuken/Mindustry/issues/8376", "show")</f>
        <v>show</v>
      </c>
      <c r="G10514" t="str">
        <f>HYPERLINK("https://github.com/Anuken/Mindustry", "show")</f>
        <v>show</v>
      </c>
      <c r="H10514" t="str">
        <f>HYPERLINK("https://github.com/Anuken/Mindustry/releases", "show")</f>
        <v>show</v>
      </c>
      <c r="I10514">
        <v>1</v>
      </c>
      <c r="J10514">
        <v>1</v>
      </c>
      <c r="K10514">
        <v>0</v>
      </c>
      <c r="L10514">
        <v>0</v>
      </c>
      <c r="M10514" t="s">
        <v>48</v>
      </c>
    </row>
    <row r="10515" spans="1:13" hidden="1" x14ac:dyDescent="0.15">
      <c r="A10515" t="s">
        <v>33185</v>
      </c>
      <c r="B10515" t="s">
        <v>33186</v>
      </c>
      <c r="C10515" t="s">
        <v>33187</v>
      </c>
      <c r="D10515" t="s">
        <v>33188</v>
      </c>
      <c r="E10515">
        <v>1</v>
      </c>
      <c r="F10515" t="str">
        <f>HYPERLINK("https://github.com/nextcloud/android/issues/11442", "show")</f>
        <v>show</v>
      </c>
      <c r="G10515" t="str">
        <f>HYPERLINK("https://github.com/nextcloud/android", "show")</f>
        <v>show</v>
      </c>
      <c r="H10515" t="str">
        <f>HYPERLINK("https://github.com/nextcloud/android/releases", "show")</f>
        <v>show</v>
      </c>
      <c r="I10515">
        <v>1</v>
      </c>
      <c r="J10515">
        <v>1</v>
      </c>
      <c r="K10515">
        <v>0</v>
      </c>
      <c r="L10515">
        <v>0</v>
      </c>
      <c r="M10515" t="s">
        <v>48</v>
      </c>
    </row>
    <row r="10516" spans="1:13" hidden="1" x14ac:dyDescent="0.15">
      <c r="A10516" t="s">
        <v>33189</v>
      </c>
      <c r="B10516" t="s">
        <v>33190</v>
      </c>
      <c r="C10516" t="s">
        <v>33191</v>
      </c>
      <c r="D10516" t="s">
        <v>33188</v>
      </c>
      <c r="E10516">
        <v>2</v>
      </c>
      <c r="F10516" t="str">
        <f>HYPERLINK("https://github.com/AndroidIDEOfficial/AndroidIDE/issues/843", "show")</f>
        <v>show</v>
      </c>
      <c r="G10516" t="str">
        <f>HYPERLINK("https://github.com/AndroidIDEOfficial/AndroidIDE", "show")</f>
        <v>show</v>
      </c>
      <c r="H10516" t="str">
        <f>HYPERLINK("https://github.com/AndroidIDEOfficial/AndroidIDE/releases", "show")</f>
        <v>show</v>
      </c>
      <c r="I10516">
        <v>1</v>
      </c>
      <c r="J10516">
        <v>0</v>
      </c>
      <c r="K10516">
        <v>1</v>
      </c>
      <c r="L10516">
        <v>0</v>
      </c>
      <c r="M10516" t="s">
        <v>64</v>
      </c>
    </row>
    <row r="10517" spans="1:13" hidden="1" x14ac:dyDescent="0.15">
      <c r="A10517" t="s">
        <v>33192</v>
      </c>
      <c r="B10517" t="s">
        <v>33193</v>
      </c>
      <c r="C10517" t="s">
        <v>33194</v>
      </c>
      <c r="D10517" t="s">
        <v>33188</v>
      </c>
      <c r="E10517">
        <v>1</v>
      </c>
      <c r="F10517" t="str">
        <f>HYPERLINK("https://github.com/ucfcs/GrowthPlus/issues/193", "show")</f>
        <v>show</v>
      </c>
      <c r="G10517" t="str">
        <f>HYPERLINK("https://github.com/ucfcs/GrowthPlus", "show")</f>
        <v>show</v>
      </c>
      <c r="H10517" t="str">
        <f>HYPERLINK("https://github.com/ucfcs/GrowthPlus/releases", "show")</f>
        <v>show</v>
      </c>
      <c r="I10517">
        <v>1</v>
      </c>
      <c r="J10517">
        <v>0</v>
      </c>
      <c r="K10517">
        <v>0</v>
      </c>
      <c r="L10517">
        <v>0</v>
      </c>
      <c r="M10517" t="s">
        <v>17</v>
      </c>
    </row>
    <row r="10518" spans="1:13" hidden="1" x14ac:dyDescent="0.15">
      <c r="A10518" t="s">
        <v>33195</v>
      </c>
      <c r="B10518" t="s">
        <v>33196</v>
      </c>
      <c r="C10518" t="s">
        <v>33197</v>
      </c>
      <c r="D10518" t="s">
        <v>33188</v>
      </c>
      <c r="E10518">
        <v>52</v>
      </c>
      <c r="F10518" t="str">
        <f>HYPERLINK("https://github.com/sspanak/tt9/issues/207", "show")</f>
        <v>show</v>
      </c>
      <c r="G10518" t="str">
        <f>HYPERLINK("https://github.com/sspanak/tt9", "show")</f>
        <v>show</v>
      </c>
      <c r="H10518" t="str">
        <f>HYPERLINK("https://github.com/sspanak/tt9/releases", "show")</f>
        <v>show</v>
      </c>
      <c r="I10518">
        <v>0</v>
      </c>
      <c r="J10518">
        <v>0</v>
      </c>
      <c r="K10518">
        <v>0</v>
      </c>
      <c r="L10518">
        <v>0</v>
      </c>
      <c r="M10518" t="s">
        <v>43</v>
      </c>
    </row>
    <row r="10519" spans="1:13" hidden="1" x14ac:dyDescent="0.15">
      <c r="A10519" t="s">
        <v>33198</v>
      </c>
      <c r="B10519" t="s">
        <v>33199</v>
      </c>
      <c r="C10519" t="s">
        <v>33200</v>
      </c>
      <c r="D10519" t="s">
        <v>33188</v>
      </c>
      <c r="E10519">
        <v>3</v>
      </c>
      <c r="F10519" t="str">
        <f>HYPERLINK("https://github.com/AndroidIDEOfficial/AndroidIDE/issues/842", "show")</f>
        <v>show</v>
      </c>
      <c r="G10519" t="str">
        <f>HYPERLINK("https://github.com/AndroidIDEOfficial/AndroidIDE", "show")</f>
        <v>show</v>
      </c>
      <c r="H10519" t="str">
        <f>HYPERLINK("https://github.com/AndroidIDEOfficial/AndroidIDE/releases", "show")</f>
        <v>show</v>
      </c>
      <c r="I10519">
        <v>0</v>
      </c>
      <c r="J10519">
        <v>0</v>
      </c>
      <c r="K10519">
        <v>1</v>
      </c>
      <c r="L10519">
        <v>0</v>
      </c>
      <c r="M10519" t="s">
        <v>122</v>
      </c>
    </row>
    <row r="10520" spans="1:13" hidden="1" x14ac:dyDescent="0.15">
      <c r="A10520" t="s">
        <v>33201</v>
      </c>
      <c r="B10520" t="s">
        <v>33202</v>
      </c>
      <c r="C10520" t="s">
        <v>33203</v>
      </c>
      <c r="D10520" t="s">
        <v>33188</v>
      </c>
      <c r="E10520">
        <v>6</v>
      </c>
      <c r="F10520" t="str">
        <f>HYPERLINK("https://github.com/CMPUT301W23T32/lordofthewings/issues/67", "show")</f>
        <v>show</v>
      </c>
      <c r="G10520" t="str">
        <f>HYPERLINK("https://github.com/CMPUT301W23T32/lordofthewings", "show")</f>
        <v>show</v>
      </c>
      <c r="H10520" t="str">
        <f>HYPERLINK("https://github.com/CMPUT301W23T32/lordofthewings/releases", "show")</f>
        <v>show</v>
      </c>
      <c r="I10520">
        <v>1</v>
      </c>
      <c r="J10520">
        <v>0</v>
      </c>
      <c r="K10520">
        <v>0</v>
      </c>
      <c r="L10520">
        <v>0</v>
      </c>
      <c r="M10520" t="s">
        <v>17</v>
      </c>
    </row>
    <row r="10521" spans="1:13" hidden="1" x14ac:dyDescent="0.15">
      <c r="A10521" t="s">
        <v>33204</v>
      </c>
      <c r="B10521" t="s">
        <v>33205</v>
      </c>
      <c r="C10521" t="s">
        <v>33206</v>
      </c>
      <c r="D10521" t="s">
        <v>33207</v>
      </c>
      <c r="E10521">
        <v>4</v>
      </c>
      <c r="F10521" t="str">
        <f>HYPERLINK("https://github.com/AndroidIDEOfficial/AndroidIDE/issues/841", "show")</f>
        <v>show</v>
      </c>
      <c r="G10521" t="str">
        <f>HYPERLINK("https://github.com/AndroidIDEOfficial/AndroidIDE", "show")</f>
        <v>show</v>
      </c>
      <c r="H10521" t="str">
        <f>HYPERLINK("https://github.com/AndroidIDEOfficial/AndroidIDE/releases", "show")</f>
        <v>show</v>
      </c>
      <c r="I10521">
        <v>0</v>
      </c>
      <c r="J10521">
        <v>0</v>
      </c>
      <c r="K10521">
        <v>1</v>
      </c>
      <c r="L10521">
        <v>0</v>
      </c>
      <c r="M10521" t="s">
        <v>122</v>
      </c>
    </row>
    <row r="10522" spans="1:13" hidden="1" x14ac:dyDescent="0.15">
      <c r="A10522" t="s">
        <v>33208</v>
      </c>
      <c r="B10522" t="s">
        <v>33209</v>
      </c>
      <c r="C10522" t="s">
        <v>33210</v>
      </c>
      <c r="D10522" t="s">
        <v>33207</v>
      </c>
      <c r="E10522">
        <v>8</v>
      </c>
      <c r="F10522" t="str">
        <f>HYPERLINK("https://github.com/Alwinator/react-native-http-bridge-refurbished/issues/8", "show")</f>
        <v>show</v>
      </c>
      <c r="G10522" t="str">
        <f>HYPERLINK("https://github.com/Alwinator/react-native-http-bridge-refurbished", "show")</f>
        <v>show</v>
      </c>
      <c r="H10522" t="str">
        <f>HYPERLINK("https://github.com/Alwinator/react-native-http-bridge-refurbished/releases", "show")</f>
        <v>show</v>
      </c>
      <c r="I10522">
        <v>0</v>
      </c>
      <c r="J10522">
        <v>0</v>
      </c>
      <c r="K10522">
        <v>0</v>
      </c>
      <c r="L10522">
        <v>0</v>
      </c>
      <c r="M10522" t="s">
        <v>43</v>
      </c>
    </row>
    <row r="10523" spans="1:13" hidden="1" x14ac:dyDescent="0.15">
      <c r="A10523" t="s">
        <v>33211</v>
      </c>
      <c r="B10523" t="s">
        <v>33212</v>
      </c>
      <c r="C10523" t="s">
        <v>33213</v>
      </c>
      <c r="D10523" t="s">
        <v>33207</v>
      </c>
      <c r="E10523">
        <v>16</v>
      </c>
      <c r="F10523" t="str">
        <f>HYPERLINK("https://github.com/AppLovin/AppLovin-MAX-React-Native/issues/181", "show")</f>
        <v>show</v>
      </c>
      <c r="G10523" t="str">
        <f>HYPERLINK("https://github.com/AppLovin/AppLovin-MAX-React-Native", "show")</f>
        <v>show</v>
      </c>
      <c r="H10523" t="str">
        <f>HYPERLINK("https://github.com/AppLovin/AppLovin-MAX-React-Native/releases", "show")</f>
        <v>show</v>
      </c>
      <c r="I10523">
        <v>1</v>
      </c>
      <c r="J10523">
        <v>0</v>
      </c>
      <c r="K10523">
        <v>0</v>
      </c>
      <c r="L10523">
        <v>0</v>
      </c>
      <c r="M10523" t="s">
        <v>17</v>
      </c>
    </row>
    <row r="10524" spans="1:13" hidden="1" x14ac:dyDescent="0.15">
      <c r="A10524" t="s">
        <v>33214</v>
      </c>
      <c r="B10524" t="s">
        <v>33215</v>
      </c>
      <c r="C10524" t="s">
        <v>33216</v>
      </c>
      <c r="D10524" t="s">
        <v>33207</v>
      </c>
      <c r="E10524">
        <v>2</v>
      </c>
      <c r="F10524" t="str">
        <f>HYPERLINK("https://github.com/Anuken/Mindustry/issues/8368", "show")</f>
        <v>show</v>
      </c>
      <c r="G10524" t="str">
        <f>HYPERLINK("https://github.com/Anuken/Mindustry", "show")</f>
        <v>show</v>
      </c>
      <c r="H10524" t="str">
        <f>HYPERLINK("https://github.com/Anuken/Mindustry/releases", "show")</f>
        <v>show</v>
      </c>
      <c r="I10524">
        <v>0</v>
      </c>
      <c r="J10524">
        <v>1</v>
      </c>
      <c r="K10524">
        <v>0</v>
      </c>
      <c r="L10524">
        <v>1</v>
      </c>
      <c r="M10524" t="s">
        <v>1732</v>
      </c>
    </row>
    <row r="10525" spans="1:13" hidden="1" x14ac:dyDescent="0.15">
      <c r="A10525" t="s">
        <v>33217</v>
      </c>
      <c r="B10525" t="s">
        <v>33218</v>
      </c>
      <c r="C10525" t="s">
        <v>33219</v>
      </c>
      <c r="D10525" t="s">
        <v>33220</v>
      </c>
      <c r="E10525">
        <v>6</v>
      </c>
      <c r="F10525" t="str">
        <f>HYPERLINK("https://github.com/PojavLauncherTeam/PojavLauncher/issues/4018", "show")</f>
        <v>show</v>
      </c>
      <c r="G10525" t="str">
        <f>HYPERLINK("https://github.com/PojavLauncherTeam/PojavLauncher", "show")</f>
        <v>show</v>
      </c>
      <c r="H10525" t="str">
        <f>HYPERLINK("https://github.com/PojavLauncherTeam/PojavLauncher/releases", "show")</f>
        <v>show</v>
      </c>
      <c r="I10525">
        <v>0</v>
      </c>
      <c r="J10525">
        <v>0</v>
      </c>
      <c r="K10525">
        <v>0</v>
      </c>
      <c r="L10525">
        <v>0</v>
      </c>
      <c r="M10525" t="s">
        <v>43</v>
      </c>
    </row>
    <row r="10526" spans="1:13" hidden="1" x14ac:dyDescent="0.15">
      <c r="A10526" t="s">
        <v>33221</v>
      </c>
      <c r="B10526" t="s">
        <v>31484</v>
      </c>
      <c r="C10526" t="s">
        <v>33222</v>
      </c>
      <c r="D10526" t="s">
        <v>33220</v>
      </c>
      <c r="E10526">
        <v>0</v>
      </c>
      <c r="F10526" t="str">
        <f>HYPERLINK("https://github.com/AndroidIDEOfficial/AndroidIDE/issues/840", "show")</f>
        <v>show</v>
      </c>
      <c r="G10526" t="str">
        <f>HYPERLINK("https://github.com/AndroidIDEOfficial/AndroidIDE", "show")</f>
        <v>show</v>
      </c>
      <c r="H10526" t="str">
        <f>HYPERLINK("https://github.com/AndroidIDEOfficial/AndroidIDE/releases", "show")</f>
        <v>show</v>
      </c>
      <c r="I10526">
        <v>0</v>
      </c>
      <c r="J10526">
        <v>0</v>
      </c>
      <c r="K10526">
        <v>1</v>
      </c>
      <c r="L10526">
        <v>0</v>
      </c>
      <c r="M10526" t="s">
        <v>122</v>
      </c>
    </row>
    <row r="10527" spans="1:13" hidden="1" x14ac:dyDescent="0.15">
      <c r="A10527" t="s">
        <v>33223</v>
      </c>
      <c r="B10527" t="s">
        <v>11287</v>
      </c>
      <c r="C10527" t="s">
        <v>33224</v>
      </c>
      <c r="D10527" t="s">
        <v>33220</v>
      </c>
      <c r="E10527">
        <v>0</v>
      </c>
      <c r="F10527" t="str">
        <f>HYPERLINK("https://github.com/LawnchairLauncher/lawnchair/issues/3351", "show")</f>
        <v>show</v>
      </c>
      <c r="G10527" t="str">
        <f>HYPERLINK("https://github.com/LawnchairLauncher/lawnchair", "show")</f>
        <v>show</v>
      </c>
      <c r="H10527" t="str">
        <f>HYPERLINK("https://github.com/LawnchairLauncher/lawnchair/releases", "show")</f>
        <v>show</v>
      </c>
      <c r="I10527">
        <v>0</v>
      </c>
      <c r="J10527">
        <v>1</v>
      </c>
      <c r="K10527">
        <v>1</v>
      </c>
      <c r="L10527">
        <v>0</v>
      </c>
      <c r="M10527" t="s">
        <v>699</v>
      </c>
    </row>
    <row r="10528" spans="1:13" hidden="1" x14ac:dyDescent="0.15">
      <c r="A10528" t="s">
        <v>33225</v>
      </c>
      <c r="B10528" t="s">
        <v>33226</v>
      </c>
      <c r="C10528" t="s">
        <v>33227</v>
      </c>
      <c r="D10528" t="s">
        <v>33220</v>
      </c>
      <c r="E10528">
        <v>0</v>
      </c>
      <c r="F10528" t="str">
        <f>HYPERLINK("https://github.com/AndroidIDEOfficial/AndroidIDE/issues/839", "show")</f>
        <v>show</v>
      </c>
      <c r="G10528" t="str">
        <f>HYPERLINK("https://github.com/AndroidIDEOfficial/AndroidIDE", "show")</f>
        <v>show</v>
      </c>
      <c r="H10528" t="str">
        <f>HYPERLINK("https://github.com/AndroidIDEOfficial/AndroidIDE/releases", "show")</f>
        <v>show</v>
      </c>
      <c r="I10528">
        <v>0</v>
      </c>
      <c r="J10528">
        <v>0</v>
      </c>
      <c r="K10528">
        <v>1</v>
      </c>
      <c r="L10528">
        <v>0</v>
      </c>
      <c r="M10528" t="s">
        <v>122</v>
      </c>
    </row>
    <row r="10529" spans="1:13" hidden="1" x14ac:dyDescent="0.15">
      <c r="A10529" t="s">
        <v>33228</v>
      </c>
      <c r="B10529" t="s">
        <v>33229</v>
      </c>
      <c r="C10529" t="s">
        <v>33230</v>
      </c>
      <c r="D10529" t="s">
        <v>33220</v>
      </c>
      <c r="E10529">
        <v>0</v>
      </c>
      <c r="F10529" t="str">
        <f>HYPERLINK("https://github.com/AlfaazPlus/QuranApp/issues/80", "show")</f>
        <v>show</v>
      </c>
      <c r="G10529" t="str">
        <f>HYPERLINK("https://github.com/AlfaazPlus/QuranApp", "show")</f>
        <v>show</v>
      </c>
      <c r="H10529" t="str">
        <f>HYPERLINK("https://github.com/AlfaazPlus/QuranApp/releases", "show")</f>
        <v>show</v>
      </c>
      <c r="I10529">
        <v>0</v>
      </c>
      <c r="J10529">
        <v>1</v>
      </c>
      <c r="K10529">
        <v>1</v>
      </c>
      <c r="L10529">
        <v>0</v>
      </c>
      <c r="M10529" t="s">
        <v>699</v>
      </c>
    </row>
    <row r="10530" spans="1:13" hidden="1" x14ac:dyDescent="0.15">
      <c r="A10530" t="s">
        <v>33231</v>
      </c>
      <c r="B10530" t="s">
        <v>33232</v>
      </c>
      <c r="C10530" t="s">
        <v>33233</v>
      </c>
      <c r="D10530" t="s">
        <v>33220</v>
      </c>
      <c r="E10530">
        <v>0</v>
      </c>
      <c r="F10530" t="str">
        <f>HYPERLINK("https://github.com/AndroidIDEOfficial/AndroidIDE/issues/838", "show")</f>
        <v>show</v>
      </c>
      <c r="G10530" t="str">
        <f>HYPERLINK("https://github.com/AndroidIDEOfficial/AndroidIDE", "show")</f>
        <v>show</v>
      </c>
      <c r="H10530" t="str">
        <f>HYPERLINK("https://github.com/AndroidIDEOfficial/AndroidIDE/releases", "show")</f>
        <v>show</v>
      </c>
      <c r="I10530">
        <v>1</v>
      </c>
      <c r="J10530">
        <v>0</v>
      </c>
      <c r="K10530">
        <v>1</v>
      </c>
      <c r="L10530">
        <v>0</v>
      </c>
      <c r="M10530" t="s">
        <v>64</v>
      </c>
    </row>
    <row r="10531" spans="1:13" hidden="1" x14ac:dyDescent="0.15">
      <c r="A10531" t="s">
        <v>33234</v>
      </c>
      <c r="B10531" t="s">
        <v>33235</v>
      </c>
      <c r="C10531" t="s">
        <v>33236</v>
      </c>
      <c r="D10531" t="s">
        <v>33220</v>
      </c>
      <c r="E10531">
        <v>0</v>
      </c>
      <c r="F10531" t="str">
        <f>HYPERLINK("https://github.com/PojavLauncherTeam/PojavLauncher/issues/4013", "show")</f>
        <v>show</v>
      </c>
      <c r="G10531" t="str">
        <f>HYPERLINK("https://github.com/PojavLauncherTeam/PojavLauncher", "show")</f>
        <v>show</v>
      </c>
      <c r="H10531" t="str">
        <f>HYPERLINK("https://github.com/PojavLauncherTeam/PojavLauncher/releases", "show")</f>
        <v>show</v>
      </c>
      <c r="I10531">
        <v>1</v>
      </c>
      <c r="J10531">
        <v>1</v>
      </c>
      <c r="K10531">
        <v>0</v>
      </c>
      <c r="L10531">
        <v>1</v>
      </c>
      <c r="M10531" t="s">
        <v>1894</v>
      </c>
    </row>
    <row r="10532" spans="1:13" hidden="1" x14ac:dyDescent="0.15">
      <c r="A10532" t="s">
        <v>33237</v>
      </c>
      <c r="B10532" t="s">
        <v>33238</v>
      </c>
      <c r="C10532" t="s">
        <v>33239</v>
      </c>
      <c r="D10532" t="s">
        <v>33240</v>
      </c>
      <c r="E10532">
        <v>6</v>
      </c>
      <c r="F10532" t="str">
        <f>HYPERLINK("https://github.com/jellyfin/jellyfin-androidtv/issues/2567", "show")</f>
        <v>show</v>
      </c>
      <c r="G10532" t="str">
        <f>HYPERLINK("https://github.com/jellyfin/jellyfin-androidtv", "show")</f>
        <v>show</v>
      </c>
      <c r="H10532" t="str">
        <f>HYPERLINK("https://github.com/jellyfin/jellyfin-androidtv/releases", "show")</f>
        <v>show</v>
      </c>
      <c r="I10532">
        <v>1</v>
      </c>
      <c r="J10532">
        <v>1</v>
      </c>
      <c r="K10532">
        <v>0</v>
      </c>
      <c r="L10532">
        <v>0</v>
      </c>
      <c r="M10532" t="s">
        <v>48</v>
      </c>
    </row>
    <row r="10533" spans="1:13" hidden="1" x14ac:dyDescent="0.15">
      <c r="A10533" t="s">
        <v>33241</v>
      </c>
      <c r="B10533" t="s">
        <v>33242</v>
      </c>
      <c r="C10533" t="s">
        <v>33243</v>
      </c>
      <c r="D10533" t="s">
        <v>33240</v>
      </c>
      <c r="E10533">
        <v>4</v>
      </c>
      <c r="F10533" t="str">
        <f>HYPERLINK("https://github.com/Anuken/Mindustry/issues/8362", "show")</f>
        <v>show</v>
      </c>
      <c r="G10533" t="str">
        <f>HYPERLINK("https://github.com/Anuken/Mindustry", "show")</f>
        <v>show</v>
      </c>
      <c r="H10533" t="str">
        <f>HYPERLINK("https://github.com/Anuken/Mindustry/releases", "show")</f>
        <v>show</v>
      </c>
      <c r="I10533">
        <v>1</v>
      </c>
      <c r="J10533">
        <v>1</v>
      </c>
      <c r="K10533">
        <v>0</v>
      </c>
      <c r="L10533">
        <v>0</v>
      </c>
      <c r="M10533" t="s">
        <v>48</v>
      </c>
    </row>
    <row r="10534" spans="1:13" hidden="1" x14ac:dyDescent="0.15">
      <c r="A10534" t="s">
        <v>33244</v>
      </c>
      <c r="B10534" t="s">
        <v>33245</v>
      </c>
      <c r="C10534" t="s">
        <v>33246</v>
      </c>
      <c r="D10534" t="s">
        <v>33240</v>
      </c>
      <c r="E10534">
        <v>0</v>
      </c>
      <c r="F10534" t="str">
        <f>HYPERLINK("https://github.com/PojavLauncherTeam/PojavLauncher/issues/4012", "show")</f>
        <v>show</v>
      </c>
      <c r="G10534" t="str">
        <f>HYPERLINK("https://github.com/PojavLauncherTeam/PojavLauncher", "show")</f>
        <v>show</v>
      </c>
      <c r="H10534" t="str">
        <f>HYPERLINK("https://github.com/PojavLauncherTeam/PojavLauncher/releases", "show")</f>
        <v>show</v>
      </c>
      <c r="I10534">
        <v>1</v>
      </c>
      <c r="J10534">
        <v>0</v>
      </c>
      <c r="K10534">
        <v>0</v>
      </c>
      <c r="L10534">
        <v>0</v>
      </c>
      <c r="M10534" t="s">
        <v>17</v>
      </c>
    </row>
    <row r="10535" spans="1:13" hidden="1" x14ac:dyDescent="0.15">
      <c r="A10535" t="s">
        <v>33247</v>
      </c>
      <c r="B10535" t="s">
        <v>33248</v>
      </c>
      <c r="D10535" t="s">
        <v>33249</v>
      </c>
      <c r="E10535">
        <v>0</v>
      </c>
      <c r="F10535" t="str">
        <f>HYPERLINK("https://github.com/PDA-UR/DIPPID-android/issues/5", "show")</f>
        <v>show</v>
      </c>
      <c r="G10535" t="str">
        <f>HYPERLINK("https://github.com/PDA-UR/DIPPID-android", "show")</f>
        <v>show</v>
      </c>
      <c r="H10535" t="str">
        <f>HYPERLINK("https://github.com/PDA-UR/DIPPID-android/releases", "show")</f>
        <v>show</v>
      </c>
      <c r="I10535">
        <v>1</v>
      </c>
      <c r="J10535">
        <v>0</v>
      </c>
      <c r="K10535">
        <v>0</v>
      </c>
      <c r="L10535">
        <v>0</v>
      </c>
      <c r="M10535" t="s">
        <v>17</v>
      </c>
    </row>
    <row r="10536" spans="1:13" hidden="1" x14ac:dyDescent="0.15">
      <c r="A10536" t="s">
        <v>33250</v>
      </c>
      <c r="B10536" t="s">
        <v>33251</v>
      </c>
      <c r="C10536" t="s">
        <v>33252</v>
      </c>
      <c r="D10536" t="s">
        <v>33249</v>
      </c>
      <c r="E10536">
        <v>1</v>
      </c>
      <c r="F10536" t="str">
        <f>HYPERLINK("https://github.com/PojavLauncherTeam/PojavLauncher/issues/4004", "show")</f>
        <v>show</v>
      </c>
      <c r="G10536" t="str">
        <f>HYPERLINK("https://github.com/PojavLauncherTeam/PojavLauncher", "show")</f>
        <v>show</v>
      </c>
      <c r="H10536" t="str">
        <f>HYPERLINK("https://github.com/PojavLauncherTeam/PojavLauncher/releases", "show")</f>
        <v>show</v>
      </c>
      <c r="I10536">
        <v>1</v>
      </c>
      <c r="J10536">
        <v>1</v>
      </c>
      <c r="K10536">
        <v>0</v>
      </c>
      <c r="L10536">
        <v>0</v>
      </c>
      <c r="M10536" t="s">
        <v>48</v>
      </c>
    </row>
    <row r="10537" spans="1:13" hidden="1" x14ac:dyDescent="0.15">
      <c r="A10537" t="s">
        <v>33253</v>
      </c>
      <c r="B10537" t="s">
        <v>33254</v>
      </c>
      <c r="C10537" t="s">
        <v>33255</v>
      </c>
      <c r="D10537" t="s">
        <v>33249</v>
      </c>
      <c r="E10537">
        <v>6</v>
      </c>
      <c r="F10537" t="str">
        <f>HYPERLINK("https://github.com/Aliucord/Aliucord/issues/306", "show")</f>
        <v>show</v>
      </c>
      <c r="G10537" t="str">
        <f>HYPERLINK("https://github.com/Aliucord/Aliucord", "show")</f>
        <v>show</v>
      </c>
      <c r="H10537" t="str">
        <f>HYPERLINK("https://github.com/Aliucord/Aliucord/releases", "show")</f>
        <v>show</v>
      </c>
      <c r="I10537">
        <v>1</v>
      </c>
      <c r="J10537">
        <v>1</v>
      </c>
      <c r="K10537">
        <v>1</v>
      </c>
      <c r="L10537">
        <v>0</v>
      </c>
      <c r="M10537" t="s">
        <v>59</v>
      </c>
    </row>
    <row r="10538" spans="1:13" hidden="1" x14ac:dyDescent="0.15">
      <c r="A10538" t="s">
        <v>33256</v>
      </c>
      <c r="B10538" t="s">
        <v>33257</v>
      </c>
      <c r="C10538" t="s">
        <v>33258</v>
      </c>
      <c r="D10538" t="s">
        <v>33259</v>
      </c>
      <c r="E10538">
        <v>0</v>
      </c>
      <c r="F10538" t="str">
        <f>HYPERLINK("https://github.com/AppLovin/AppLovin-MAX-React-Native/issues/176", "show")</f>
        <v>show</v>
      </c>
      <c r="G10538" t="str">
        <f>HYPERLINK("https://github.com/AppLovin/AppLovin-MAX-React-Native", "show")</f>
        <v>show</v>
      </c>
      <c r="H10538" t="str">
        <f>HYPERLINK("https://github.com/AppLovin/AppLovin-MAX-React-Native/releases", "show")</f>
        <v>show</v>
      </c>
      <c r="I10538">
        <v>1</v>
      </c>
      <c r="J10538">
        <v>0</v>
      </c>
      <c r="K10538">
        <v>1</v>
      </c>
      <c r="L10538">
        <v>0</v>
      </c>
      <c r="M10538" t="s">
        <v>64</v>
      </c>
    </row>
    <row r="10539" spans="1:13" hidden="1" x14ac:dyDescent="0.15">
      <c r="A10539" t="s">
        <v>33260</v>
      </c>
      <c r="B10539" t="s">
        <v>33261</v>
      </c>
      <c r="C10539" t="s">
        <v>33262</v>
      </c>
      <c r="D10539" t="s">
        <v>33259</v>
      </c>
      <c r="E10539">
        <v>32</v>
      </c>
      <c r="F10539" t="str">
        <f>HYPERLINK("https://github.com/RishabhRathi-Dev/AI-Sight/issues/11", "show")</f>
        <v>show</v>
      </c>
      <c r="G10539" t="str">
        <f>HYPERLINK("https://github.com/RishabhRathi-Dev/AI-Sight", "show")</f>
        <v>show</v>
      </c>
      <c r="H10539" t="str">
        <f>HYPERLINK("https://github.com/RishabhRathi-Dev/AI-Sight/releases", "show")</f>
        <v>show</v>
      </c>
      <c r="I10539">
        <v>0</v>
      </c>
      <c r="J10539">
        <v>0</v>
      </c>
      <c r="K10539">
        <v>0</v>
      </c>
      <c r="L10539">
        <v>0</v>
      </c>
      <c r="M10539" t="s">
        <v>43</v>
      </c>
    </row>
    <row r="10540" spans="1:13" hidden="1" x14ac:dyDescent="0.15">
      <c r="A10540" t="s">
        <v>33263</v>
      </c>
      <c r="B10540" t="s">
        <v>33264</v>
      </c>
      <c r="C10540" t="s">
        <v>33265</v>
      </c>
      <c r="D10540" t="s">
        <v>33266</v>
      </c>
      <c r="E10540">
        <v>5</v>
      </c>
      <c r="F10540" t="str">
        <f>HYPERLINK("https://github.com/AndroidIDEOfficial/AndroidIDE/issues/833", "show")</f>
        <v>show</v>
      </c>
      <c r="G10540" t="str">
        <f>HYPERLINK("https://github.com/AndroidIDEOfficial/AndroidIDE", "show")</f>
        <v>show</v>
      </c>
      <c r="H10540" t="str">
        <f>HYPERLINK("https://github.com/AndroidIDEOfficial/AndroidIDE/releases", "show")</f>
        <v>show</v>
      </c>
      <c r="I10540">
        <v>0</v>
      </c>
      <c r="J10540">
        <v>0</v>
      </c>
      <c r="K10540">
        <v>1</v>
      </c>
      <c r="L10540">
        <v>0</v>
      </c>
      <c r="M10540" t="s">
        <v>122</v>
      </c>
    </row>
    <row r="10541" spans="1:13" hidden="1" x14ac:dyDescent="0.15">
      <c r="A10541" t="s">
        <v>33267</v>
      </c>
      <c r="B10541" t="s">
        <v>33268</v>
      </c>
      <c r="C10541" t="s">
        <v>33269</v>
      </c>
      <c r="D10541" t="s">
        <v>33266</v>
      </c>
      <c r="E10541">
        <v>0</v>
      </c>
      <c r="F10541" t="str">
        <f>HYPERLINK("https://github.com/PojavLauncherTeam/PojavLauncher/issues/4000", "show")</f>
        <v>show</v>
      </c>
      <c r="G10541" t="str">
        <f>HYPERLINK("https://github.com/PojavLauncherTeam/PojavLauncher", "show")</f>
        <v>show</v>
      </c>
      <c r="H10541" t="str">
        <f>HYPERLINK("https://github.com/PojavLauncherTeam/PojavLauncher/releases", "show")</f>
        <v>show</v>
      </c>
      <c r="I10541">
        <v>1</v>
      </c>
      <c r="J10541">
        <v>1</v>
      </c>
      <c r="K10541">
        <v>0</v>
      </c>
      <c r="L10541">
        <v>0</v>
      </c>
      <c r="M10541" t="s">
        <v>48</v>
      </c>
    </row>
    <row r="10542" spans="1:13" hidden="1" x14ac:dyDescent="0.15">
      <c r="A10542" t="s">
        <v>33270</v>
      </c>
      <c r="B10542" t="s">
        <v>33271</v>
      </c>
      <c r="C10542" t="s">
        <v>33272</v>
      </c>
      <c r="D10542" t="s">
        <v>33266</v>
      </c>
      <c r="E10542">
        <v>0</v>
      </c>
      <c r="F10542" t="str">
        <f>HYPERLINK("https://github.com/jellyfin/jellyfin-androidtv/issues/2554", "show")</f>
        <v>show</v>
      </c>
      <c r="G10542" t="str">
        <f>HYPERLINK("https://github.com/jellyfin/jellyfin-androidtv", "show")</f>
        <v>show</v>
      </c>
      <c r="H10542" t="str">
        <f>HYPERLINK("https://github.com/jellyfin/jellyfin-androidtv/releases", "show")</f>
        <v>show</v>
      </c>
      <c r="I10542">
        <v>1</v>
      </c>
      <c r="J10542">
        <v>1</v>
      </c>
      <c r="K10542">
        <v>0</v>
      </c>
      <c r="L10542">
        <v>0</v>
      </c>
      <c r="M10542" t="s">
        <v>48</v>
      </c>
    </row>
    <row r="10543" spans="1:13" hidden="1" x14ac:dyDescent="0.15">
      <c r="A10543" t="s">
        <v>33273</v>
      </c>
      <c r="B10543" t="s">
        <v>33274</v>
      </c>
      <c r="C10543" t="s">
        <v>33275</v>
      </c>
      <c r="D10543" t="s">
        <v>33266</v>
      </c>
      <c r="E10543">
        <v>86</v>
      </c>
      <c r="F10543" t="str">
        <f>HYPERLINK("https://github.com/0XDE57/SpaceProject/issues/28", "show")</f>
        <v>show</v>
      </c>
      <c r="G10543" t="str">
        <f>HYPERLINK("https://github.com/0XDE57/SpaceProject", "show")</f>
        <v>show</v>
      </c>
      <c r="H10543" t="str">
        <f>HYPERLINK("https://github.com/0XDE57/SpaceProject/releases", "show")</f>
        <v>show</v>
      </c>
      <c r="I10543">
        <v>1</v>
      </c>
      <c r="J10543">
        <v>0</v>
      </c>
      <c r="K10543">
        <v>0</v>
      </c>
      <c r="L10543">
        <v>0</v>
      </c>
      <c r="M10543" t="s">
        <v>17</v>
      </c>
    </row>
    <row r="10544" spans="1:13" hidden="1" x14ac:dyDescent="0.15">
      <c r="A10544" t="s">
        <v>33276</v>
      </c>
      <c r="B10544" t="s">
        <v>33277</v>
      </c>
      <c r="C10544" t="s">
        <v>33278</v>
      </c>
      <c r="D10544" t="s">
        <v>33279</v>
      </c>
      <c r="E10544">
        <v>0</v>
      </c>
      <c r="F10544" t="str">
        <f>HYPERLINK("https://github.com/jellyfin/jellyfin-androidtv/issues/2551", "show")</f>
        <v>show</v>
      </c>
      <c r="G10544" t="str">
        <f>HYPERLINK("https://github.com/jellyfin/jellyfin-androidtv", "show")</f>
        <v>show</v>
      </c>
      <c r="H10544" t="str">
        <f>HYPERLINK("https://github.com/jellyfin/jellyfin-androidtv/releases", "show")</f>
        <v>show</v>
      </c>
      <c r="I10544">
        <v>0</v>
      </c>
      <c r="J10544">
        <v>0</v>
      </c>
      <c r="K10544">
        <v>0</v>
      </c>
      <c r="L10544">
        <v>0</v>
      </c>
      <c r="M10544" t="s">
        <v>43</v>
      </c>
    </row>
    <row r="10545" spans="1:13" hidden="1" x14ac:dyDescent="0.15">
      <c r="A10545" t="s">
        <v>33280</v>
      </c>
      <c r="B10545" t="s">
        <v>33281</v>
      </c>
      <c r="C10545" t="s">
        <v>33282</v>
      </c>
      <c r="D10545" t="s">
        <v>33279</v>
      </c>
      <c r="E10545">
        <v>9</v>
      </c>
      <c r="F10545" t="str">
        <f>HYPERLINK("https://github.com/Anuken/Mindustry/issues/8352", "show")</f>
        <v>show</v>
      </c>
      <c r="G10545" t="str">
        <f>HYPERLINK("https://github.com/Anuken/Mindustry", "show")</f>
        <v>show</v>
      </c>
      <c r="H10545" t="str">
        <f>HYPERLINK("https://github.com/Anuken/Mindustry/releases", "show")</f>
        <v>show</v>
      </c>
      <c r="I10545">
        <v>1</v>
      </c>
      <c r="J10545">
        <v>1</v>
      </c>
      <c r="K10545">
        <v>0</v>
      </c>
      <c r="L10545">
        <v>0</v>
      </c>
      <c r="M10545" t="s">
        <v>48</v>
      </c>
    </row>
    <row r="10546" spans="1:13" hidden="1" x14ac:dyDescent="0.15">
      <c r="A10546" t="s">
        <v>33283</v>
      </c>
      <c r="B10546" t="s">
        <v>33284</v>
      </c>
      <c r="C10546" t="s">
        <v>33285</v>
      </c>
      <c r="D10546" t="s">
        <v>33279</v>
      </c>
      <c r="E10546">
        <v>5</v>
      </c>
      <c r="F10546" t="str">
        <f>HYPERLINK("https://github.com/PojavLauncherTeam/PojavLauncher/issues/3996", "show")</f>
        <v>show</v>
      </c>
      <c r="G10546" t="str">
        <f>HYPERLINK("https://github.com/PojavLauncherTeam/PojavLauncher", "show")</f>
        <v>show</v>
      </c>
      <c r="H10546" t="str">
        <f>HYPERLINK("https://github.com/PojavLauncherTeam/PojavLauncher/releases", "show")</f>
        <v>show</v>
      </c>
      <c r="I10546">
        <v>1</v>
      </c>
      <c r="J10546">
        <v>0</v>
      </c>
      <c r="K10546">
        <v>0</v>
      </c>
      <c r="L10546">
        <v>0</v>
      </c>
      <c r="M10546" t="s">
        <v>17</v>
      </c>
    </row>
    <row r="10547" spans="1:13" hidden="1" x14ac:dyDescent="0.15">
      <c r="A10547" t="s">
        <v>33286</v>
      </c>
      <c r="B10547" t="s">
        <v>33287</v>
      </c>
      <c r="C10547" t="s">
        <v>33288</v>
      </c>
      <c r="D10547" t="s">
        <v>33279</v>
      </c>
      <c r="E10547">
        <v>214</v>
      </c>
      <c r="F10547" t="str">
        <f>HYPERLINK("https://github.com/rudderlabs/rudder-sdk-android/issues/210", "show")</f>
        <v>show</v>
      </c>
      <c r="G10547" t="str">
        <f>HYPERLINK("https://github.com/rudderlabs/rudder-sdk-android", "show")</f>
        <v>show</v>
      </c>
      <c r="H10547" t="str">
        <f>HYPERLINK("https://github.com/rudderlabs/rudder-sdk-android/releases", "show")</f>
        <v>show</v>
      </c>
      <c r="I10547">
        <v>1</v>
      </c>
      <c r="J10547">
        <v>0</v>
      </c>
      <c r="K10547">
        <v>1</v>
      </c>
      <c r="L10547">
        <v>0</v>
      </c>
      <c r="M10547" t="s">
        <v>64</v>
      </c>
    </row>
    <row r="10548" spans="1:13" hidden="1" x14ac:dyDescent="0.15">
      <c r="A10548" t="s">
        <v>33289</v>
      </c>
      <c r="B10548" t="s">
        <v>33290</v>
      </c>
      <c r="C10548" t="s">
        <v>33291</v>
      </c>
      <c r="D10548" t="s">
        <v>33292</v>
      </c>
      <c r="E10548">
        <v>0</v>
      </c>
      <c r="F10548" t="str">
        <f>HYPERLINK("https://github.com/PojavLauncherTeam/PojavLauncher/issues/3993", "show")</f>
        <v>show</v>
      </c>
      <c r="G10548" t="str">
        <f>HYPERLINK("https://github.com/PojavLauncherTeam/PojavLauncher", "show")</f>
        <v>show</v>
      </c>
      <c r="H10548" t="str">
        <f>HYPERLINK("https://github.com/PojavLauncherTeam/PojavLauncher/releases", "show")</f>
        <v>show</v>
      </c>
      <c r="I10548">
        <v>1</v>
      </c>
      <c r="J10548">
        <v>1</v>
      </c>
      <c r="K10548">
        <v>0</v>
      </c>
      <c r="L10548">
        <v>0</v>
      </c>
      <c r="M10548" t="s">
        <v>48</v>
      </c>
    </row>
    <row r="10549" spans="1:13" hidden="1" x14ac:dyDescent="0.15">
      <c r="A10549" t="s">
        <v>33293</v>
      </c>
      <c r="B10549" t="s">
        <v>33294</v>
      </c>
      <c r="C10549" t="s">
        <v>33295</v>
      </c>
      <c r="D10549" t="s">
        <v>33292</v>
      </c>
      <c r="E10549">
        <v>3</v>
      </c>
      <c r="F10549" t="str">
        <f>HYPERLINK("https://github.com/nextcloud/android/issues/11420", "show")</f>
        <v>show</v>
      </c>
      <c r="G10549" t="str">
        <f>HYPERLINK("https://github.com/nextcloud/android", "show")</f>
        <v>show</v>
      </c>
      <c r="H10549" t="str">
        <f>HYPERLINK("https://github.com/nextcloud/android/releases", "show")</f>
        <v>show</v>
      </c>
      <c r="I10549">
        <v>1</v>
      </c>
      <c r="J10549">
        <v>0</v>
      </c>
      <c r="K10549">
        <v>0</v>
      </c>
      <c r="L10549">
        <v>0</v>
      </c>
      <c r="M10549" t="s">
        <v>17</v>
      </c>
    </row>
    <row r="10550" spans="1:13" hidden="1" x14ac:dyDescent="0.15">
      <c r="A10550" t="s">
        <v>33296</v>
      </c>
      <c r="B10550" t="s">
        <v>33297</v>
      </c>
      <c r="C10550" t="s">
        <v>33298</v>
      </c>
      <c r="D10550" t="s">
        <v>33292</v>
      </c>
      <c r="E10550">
        <v>2</v>
      </c>
      <c r="F10550" t="str">
        <f>HYPERLINK("https://github.com/maityamit/Sleepometer-Android-App/issues/89", "show")</f>
        <v>show</v>
      </c>
      <c r="G10550" t="str">
        <f>HYPERLINK("https://github.com/maityamit/Sleepometer-Android-App", "show")</f>
        <v>show</v>
      </c>
      <c r="H10550" t="str">
        <f>HYPERLINK("https://github.com/maityamit/Sleepometer-Android-App/releases", "show")</f>
        <v>show</v>
      </c>
      <c r="I10550">
        <v>1</v>
      </c>
      <c r="J10550">
        <v>0</v>
      </c>
      <c r="K10550">
        <v>0</v>
      </c>
      <c r="L10550">
        <v>0</v>
      </c>
      <c r="M10550" t="s">
        <v>17</v>
      </c>
    </row>
    <row r="10551" spans="1:13" hidden="1" x14ac:dyDescent="0.15">
      <c r="A10551" t="s">
        <v>33299</v>
      </c>
      <c r="B10551" t="s">
        <v>33300</v>
      </c>
      <c r="C10551" t="s">
        <v>33301</v>
      </c>
      <c r="D10551" t="s">
        <v>33292</v>
      </c>
      <c r="E10551">
        <v>0</v>
      </c>
      <c r="F10551" t="str">
        <f>HYPERLINK("https://github.com/PojavLauncherTeam/PojavLauncher/issues/3992", "show")</f>
        <v>show</v>
      </c>
      <c r="G10551" t="str">
        <f>HYPERLINK("https://github.com/PojavLauncherTeam/PojavLauncher", "show")</f>
        <v>show</v>
      </c>
      <c r="H10551" t="str">
        <f>HYPERLINK("https://github.com/PojavLauncherTeam/PojavLauncher/releases", "show")</f>
        <v>show</v>
      </c>
      <c r="I10551">
        <v>0</v>
      </c>
      <c r="J10551">
        <v>0</v>
      </c>
      <c r="K10551">
        <v>0</v>
      </c>
      <c r="L10551">
        <v>0</v>
      </c>
      <c r="M10551" t="s">
        <v>43</v>
      </c>
    </row>
    <row r="10552" spans="1:13" x14ac:dyDescent="0.15">
      <c r="A10552" t="s">
        <v>33302</v>
      </c>
      <c r="B10552" t="s">
        <v>33303</v>
      </c>
      <c r="C10552" t="s">
        <v>33304</v>
      </c>
      <c r="D10552" t="s">
        <v>33292</v>
      </c>
      <c r="E10552">
        <v>10</v>
      </c>
      <c r="F10552" t="str">
        <f>HYPERLINK("https://github.com/Anuken/Mindustry/issues/8348", "show")</f>
        <v>show</v>
      </c>
      <c r="G10552" t="str">
        <f>HYPERLINK("https://github.com/Anuken/Mindustry", "show")</f>
        <v>show</v>
      </c>
      <c r="H10552" t="str">
        <f>HYPERLINK("https://github.com/Anuken/Mindustry/releases", "show")</f>
        <v>show</v>
      </c>
      <c r="I10552">
        <v>0</v>
      </c>
      <c r="J10552">
        <v>1</v>
      </c>
      <c r="K10552">
        <v>0</v>
      </c>
      <c r="L10552">
        <v>0</v>
      </c>
      <c r="M10552" t="s">
        <v>139</v>
      </c>
    </row>
    <row r="10553" spans="1:13" hidden="1" x14ac:dyDescent="0.15">
      <c r="A10553" t="s">
        <v>33305</v>
      </c>
      <c r="B10553" t="s">
        <v>33306</v>
      </c>
      <c r="C10553" t="s">
        <v>33307</v>
      </c>
      <c r="D10553" t="s">
        <v>33292</v>
      </c>
      <c r="E10553">
        <v>0</v>
      </c>
      <c r="F10553" t="str">
        <f>HYPERLINK("https://github.com/PojavLauncherTeam/PojavLauncher/issues/3990", "show")</f>
        <v>show</v>
      </c>
      <c r="G10553" t="str">
        <f>HYPERLINK("https://github.com/PojavLauncherTeam/PojavLauncher", "show")</f>
        <v>show</v>
      </c>
      <c r="H10553" t="str">
        <f>HYPERLINK("https://github.com/PojavLauncherTeam/PojavLauncher/releases", "show")</f>
        <v>show</v>
      </c>
      <c r="I10553">
        <v>1</v>
      </c>
      <c r="J10553">
        <v>0</v>
      </c>
      <c r="K10553">
        <v>0</v>
      </c>
      <c r="L10553">
        <v>1</v>
      </c>
      <c r="M10553" t="s">
        <v>29</v>
      </c>
    </row>
    <row r="10554" spans="1:13" hidden="1" x14ac:dyDescent="0.15">
      <c r="A10554" t="s">
        <v>33308</v>
      </c>
      <c r="B10554" t="s">
        <v>33309</v>
      </c>
      <c r="C10554" t="s">
        <v>33310</v>
      </c>
      <c r="D10554" t="s">
        <v>33292</v>
      </c>
      <c r="E10554">
        <v>0</v>
      </c>
      <c r="F10554" t="str">
        <f>HYPERLINK("https://github.com/Anuken/Mindustry/issues/8347", "show")</f>
        <v>show</v>
      </c>
      <c r="G10554" t="str">
        <f>HYPERLINK("https://github.com/Anuken/Mindustry", "show")</f>
        <v>show</v>
      </c>
      <c r="H10554" t="str">
        <f>HYPERLINK("https://github.com/Anuken/Mindustry/releases", "show")</f>
        <v>show</v>
      </c>
      <c r="I10554">
        <v>0</v>
      </c>
      <c r="J10554">
        <v>0</v>
      </c>
      <c r="K10554">
        <v>0</v>
      </c>
      <c r="L10554">
        <v>1</v>
      </c>
      <c r="M10554" t="s">
        <v>581</v>
      </c>
    </row>
    <row r="10555" spans="1:13" x14ac:dyDescent="0.15">
      <c r="A10555" t="s">
        <v>33311</v>
      </c>
      <c r="B10555" t="s">
        <v>33312</v>
      </c>
      <c r="C10555" t="s">
        <v>33313</v>
      </c>
      <c r="D10555" t="s">
        <v>33292</v>
      </c>
      <c r="E10555">
        <v>0</v>
      </c>
      <c r="F10555" t="str">
        <f>HYPERLINK("https://github.com/jellyfin/jellyfin-androidtv/issues/2540", "show")</f>
        <v>show</v>
      </c>
      <c r="G10555" t="str">
        <f>HYPERLINK("https://github.com/jellyfin/jellyfin-androidtv", "show")</f>
        <v>show</v>
      </c>
      <c r="H10555" t="str">
        <f>HYPERLINK("https://github.com/jellyfin/jellyfin-androidtv/releases", "show")</f>
        <v>show</v>
      </c>
      <c r="I10555">
        <v>0</v>
      </c>
      <c r="J10555">
        <v>1</v>
      </c>
      <c r="K10555">
        <v>0</v>
      </c>
      <c r="L10555">
        <v>0</v>
      </c>
      <c r="M10555" t="s">
        <v>139</v>
      </c>
    </row>
    <row r="10556" spans="1:13" hidden="1" x14ac:dyDescent="0.15">
      <c r="A10556" t="s">
        <v>33314</v>
      </c>
      <c r="B10556" t="s">
        <v>33315</v>
      </c>
      <c r="C10556" t="s">
        <v>33316</v>
      </c>
      <c r="D10556" t="s">
        <v>33292</v>
      </c>
      <c r="E10556">
        <v>0</v>
      </c>
      <c r="F10556" t="str">
        <f>HYPERLINK("https://github.com/AndroidIDEOfficial/AndroidIDE/issues/821", "show")</f>
        <v>show</v>
      </c>
      <c r="G10556" t="str">
        <f>HYPERLINK("https://github.com/AndroidIDEOfficial/AndroidIDE", "show")</f>
        <v>show</v>
      </c>
      <c r="H10556" t="str">
        <f>HYPERLINK("https://github.com/AndroidIDEOfficial/AndroidIDE/releases", "show")</f>
        <v>show</v>
      </c>
      <c r="I10556">
        <v>1</v>
      </c>
      <c r="J10556">
        <v>0</v>
      </c>
      <c r="K10556">
        <v>1</v>
      </c>
      <c r="L10556">
        <v>0</v>
      </c>
      <c r="M10556" t="s">
        <v>64</v>
      </c>
    </row>
    <row r="10557" spans="1:13" hidden="1" x14ac:dyDescent="0.15">
      <c r="A10557" t="s">
        <v>33317</v>
      </c>
      <c r="B10557" t="s">
        <v>33318</v>
      </c>
      <c r="C10557" t="s">
        <v>33319</v>
      </c>
      <c r="D10557" t="s">
        <v>33320</v>
      </c>
      <c r="E10557">
        <v>28</v>
      </c>
      <c r="F10557" t="str">
        <f>HYPERLINK("https://github.com/mindustry-antigrief/mindustry-client/issues/148", "show")</f>
        <v>show</v>
      </c>
      <c r="G10557" t="str">
        <f>HYPERLINK("https://github.com/mindustry-antigrief/mindustry-client", "show")</f>
        <v>show</v>
      </c>
      <c r="H10557" t="str">
        <f>HYPERLINK("https://github.com/mindustry-antigrief/mindustry-client/releases", "show")</f>
        <v>show</v>
      </c>
      <c r="I10557">
        <v>1</v>
      </c>
      <c r="J10557">
        <v>0</v>
      </c>
      <c r="K10557">
        <v>0</v>
      </c>
      <c r="L10557">
        <v>0</v>
      </c>
      <c r="M10557" t="s">
        <v>17</v>
      </c>
    </row>
    <row r="10558" spans="1:13" hidden="1" x14ac:dyDescent="0.15">
      <c r="A10558" t="s">
        <v>33321</v>
      </c>
      <c r="B10558" t="s">
        <v>33322</v>
      </c>
      <c r="C10558" t="s">
        <v>33323</v>
      </c>
      <c r="D10558" t="s">
        <v>33320</v>
      </c>
      <c r="E10558">
        <v>0</v>
      </c>
      <c r="F10558" t="str">
        <f>HYPERLINK("https://github.com/PojavLauncherTeam/PojavLauncher/issues/3985", "show")</f>
        <v>show</v>
      </c>
      <c r="G10558" t="str">
        <f>HYPERLINK("https://github.com/PojavLauncherTeam/PojavLauncher", "show")</f>
        <v>show</v>
      </c>
      <c r="H10558" t="str">
        <f>HYPERLINK("https://github.com/PojavLauncherTeam/PojavLauncher/releases", "show")</f>
        <v>show</v>
      </c>
      <c r="I10558">
        <v>1</v>
      </c>
      <c r="J10558">
        <v>1</v>
      </c>
      <c r="K10558">
        <v>0</v>
      </c>
      <c r="L10558">
        <v>0</v>
      </c>
      <c r="M10558" t="s">
        <v>48</v>
      </c>
    </row>
    <row r="10559" spans="1:13" hidden="1" x14ac:dyDescent="0.15">
      <c r="A10559" t="s">
        <v>33324</v>
      </c>
      <c r="B10559" t="s">
        <v>33325</v>
      </c>
      <c r="C10559" t="s">
        <v>33326</v>
      </c>
      <c r="D10559" t="s">
        <v>33320</v>
      </c>
      <c r="E10559">
        <v>7</v>
      </c>
      <c r="F10559" t="str">
        <f>HYPERLINK("https://github.com/deepjavalibrary/djl/issues/2426", "show")</f>
        <v>show</v>
      </c>
      <c r="G10559" t="str">
        <f>HYPERLINK("https://github.com/deepjavalibrary/djl", "show")</f>
        <v>show</v>
      </c>
      <c r="H10559" t="str">
        <f>HYPERLINK("https://github.com/deepjavalibrary/djl/releases", "show")</f>
        <v>show</v>
      </c>
      <c r="I10559">
        <v>0</v>
      </c>
      <c r="J10559">
        <v>0</v>
      </c>
      <c r="K10559">
        <v>0</v>
      </c>
      <c r="L10559">
        <v>0</v>
      </c>
      <c r="M10559" t="s">
        <v>43</v>
      </c>
    </row>
    <row r="10560" spans="1:13" hidden="1" x14ac:dyDescent="0.15">
      <c r="A10560" t="s">
        <v>33327</v>
      </c>
      <c r="B10560" t="s">
        <v>33328</v>
      </c>
      <c r="C10560" t="s">
        <v>33329</v>
      </c>
      <c r="D10560" t="s">
        <v>33320</v>
      </c>
      <c r="E10560">
        <v>1</v>
      </c>
      <c r="F10560" t="str">
        <f>HYPERLINK("https://github.com/jMonkeyEngine/jmonkeyengine/issues/1969", "show")</f>
        <v>show</v>
      </c>
      <c r="G10560" t="str">
        <f>HYPERLINK("https://github.com/jMonkeyEngine/jmonkeyengine", "show")</f>
        <v>show</v>
      </c>
      <c r="H10560" t="str">
        <f>HYPERLINK("https://github.com/jMonkeyEngine/jmonkeyengine/releases", "show")</f>
        <v>show</v>
      </c>
      <c r="I10560">
        <v>1</v>
      </c>
      <c r="J10560">
        <v>0</v>
      </c>
      <c r="K10560">
        <v>1</v>
      </c>
      <c r="L10560">
        <v>0</v>
      </c>
      <c r="M10560" t="s">
        <v>64</v>
      </c>
    </row>
    <row r="10561" spans="1:13" hidden="1" x14ac:dyDescent="0.15">
      <c r="A10561" t="s">
        <v>33330</v>
      </c>
      <c r="B10561" t="s">
        <v>33331</v>
      </c>
      <c r="C10561" t="s">
        <v>33332</v>
      </c>
      <c r="D10561" t="s">
        <v>33333</v>
      </c>
      <c r="E10561">
        <v>3</v>
      </c>
      <c r="F10561" t="str">
        <f>HYPERLINK("https://github.com/PojavLauncherTeam/PojavLauncher/issues/3982", "show")</f>
        <v>show</v>
      </c>
      <c r="G10561" t="str">
        <f>HYPERLINK("https://github.com/PojavLauncherTeam/PojavLauncher", "show")</f>
        <v>show</v>
      </c>
      <c r="H10561" t="str">
        <f>HYPERLINK("https://github.com/PojavLauncherTeam/PojavLauncher/releases", "show")</f>
        <v>show</v>
      </c>
      <c r="I10561">
        <v>1</v>
      </c>
      <c r="J10561">
        <v>0</v>
      </c>
      <c r="K10561">
        <v>0</v>
      </c>
      <c r="L10561">
        <v>0</v>
      </c>
      <c r="M10561" t="s">
        <v>17</v>
      </c>
    </row>
    <row r="10562" spans="1:13" hidden="1" x14ac:dyDescent="0.15">
      <c r="A10562" t="s">
        <v>33334</v>
      </c>
      <c r="B10562" t="s">
        <v>33335</v>
      </c>
      <c r="C10562" t="s">
        <v>33336</v>
      </c>
      <c r="D10562" t="s">
        <v>33333</v>
      </c>
      <c r="E10562">
        <v>12</v>
      </c>
      <c r="F10562" t="str">
        <f>HYPERLINK("https://github.com/Anuken/Mindustry/issues/8340", "show")</f>
        <v>show</v>
      </c>
      <c r="G10562" t="str">
        <f>HYPERLINK("https://github.com/Anuken/Mindustry", "show")</f>
        <v>show</v>
      </c>
      <c r="H10562" t="str">
        <f>HYPERLINK("https://github.com/Anuken/Mindustry/releases", "show")</f>
        <v>show</v>
      </c>
      <c r="I10562">
        <v>1</v>
      </c>
      <c r="J10562">
        <v>1</v>
      </c>
      <c r="K10562">
        <v>0</v>
      </c>
      <c r="L10562">
        <v>0</v>
      </c>
      <c r="M10562" t="s">
        <v>48</v>
      </c>
    </row>
    <row r="10563" spans="1:13" hidden="1" x14ac:dyDescent="0.15">
      <c r="A10563" t="s">
        <v>33337</v>
      </c>
      <c r="B10563" t="s">
        <v>33338</v>
      </c>
      <c r="C10563" t="s">
        <v>33339</v>
      </c>
      <c r="D10563" t="s">
        <v>33333</v>
      </c>
      <c r="E10563">
        <v>1</v>
      </c>
      <c r="F10563" t="str">
        <f>HYPERLINK("https://github.com/AndroidIDEOfficial/AndroidIDE/issues/815", "show")</f>
        <v>show</v>
      </c>
      <c r="G10563" t="str">
        <f>HYPERLINK("https://github.com/AndroidIDEOfficial/AndroidIDE", "show")</f>
        <v>show</v>
      </c>
      <c r="H10563" t="str">
        <f>HYPERLINK("https://github.com/AndroidIDEOfficial/AndroidIDE/releases", "show")</f>
        <v>show</v>
      </c>
      <c r="I10563">
        <v>0</v>
      </c>
      <c r="J10563">
        <v>0</v>
      </c>
      <c r="K10563">
        <v>1</v>
      </c>
      <c r="L10563">
        <v>0</v>
      </c>
      <c r="M10563" t="s">
        <v>122</v>
      </c>
    </row>
    <row r="10564" spans="1:13" hidden="1" x14ac:dyDescent="0.15">
      <c r="A10564" t="s">
        <v>33340</v>
      </c>
      <c r="B10564" t="s">
        <v>33341</v>
      </c>
      <c r="C10564" t="s">
        <v>33342</v>
      </c>
      <c r="D10564" t="s">
        <v>33343</v>
      </c>
      <c r="E10564">
        <v>1</v>
      </c>
      <c r="F10564" t="str">
        <f>HYPERLINK("https://github.com/Anuken/Mindustry/issues/8335", "show")</f>
        <v>show</v>
      </c>
      <c r="G10564" t="str">
        <f>HYPERLINK("https://github.com/Anuken/Mindustry", "show")</f>
        <v>show</v>
      </c>
      <c r="H10564" t="str">
        <f>HYPERLINK("https://github.com/Anuken/Mindustry/releases", "show")</f>
        <v>show</v>
      </c>
      <c r="I10564">
        <v>1</v>
      </c>
      <c r="J10564">
        <v>0</v>
      </c>
      <c r="K10564">
        <v>0</v>
      </c>
      <c r="L10564">
        <v>0</v>
      </c>
      <c r="M10564" t="s">
        <v>17</v>
      </c>
    </row>
    <row r="10565" spans="1:13" hidden="1" x14ac:dyDescent="0.15">
      <c r="A10565" t="s">
        <v>33344</v>
      </c>
      <c r="B10565" t="s">
        <v>33345</v>
      </c>
      <c r="C10565" t="s">
        <v>11701</v>
      </c>
      <c r="D10565" t="s">
        <v>33343</v>
      </c>
      <c r="E10565">
        <v>0</v>
      </c>
      <c r="F10565" t="str">
        <f>HYPERLINK("https://github.com/Anuken/Mindustry/issues/8333", "show")</f>
        <v>show</v>
      </c>
      <c r="G10565" t="str">
        <f>HYPERLINK("https://github.com/Anuken/Mindustry", "show")</f>
        <v>show</v>
      </c>
      <c r="H10565" t="str">
        <f>HYPERLINK("https://github.com/Anuken/Mindustry/releases", "show")</f>
        <v>show</v>
      </c>
      <c r="I10565">
        <v>1</v>
      </c>
      <c r="J10565">
        <v>1</v>
      </c>
      <c r="K10565">
        <v>0</v>
      </c>
      <c r="L10565">
        <v>0</v>
      </c>
      <c r="M10565" t="s">
        <v>48</v>
      </c>
    </row>
    <row r="10566" spans="1:13" hidden="1" x14ac:dyDescent="0.15">
      <c r="A10566" t="s">
        <v>33346</v>
      </c>
      <c r="B10566" t="s">
        <v>33347</v>
      </c>
      <c r="C10566" t="s">
        <v>33348</v>
      </c>
      <c r="D10566" t="s">
        <v>33343</v>
      </c>
      <c r="E10566">
        <v>0</v>
      </c>
      <c r="F10566" t="str">
        <f>HYPERLINK("https://github.com/VinylMusicPlayer/VinylMusicPlayer/issues/704", "show")</f>
        <v>show</v>
      </c>
      <c r="G10566" t="str">
        <f>HYPERLINK("https://github.com/VinylMusicPlayer/VinylMusicPlayer", "show")</f>
        <v>show</v>
      </c>
      <c r="H10566" t="str">
        <f>HYPERLINK("https://github.com/VinylMusicPlayer/VinylMusicPlayer/releases", "show")</f>
        <v>show</v>
      </c>
      <c r="I10566">
        <v>0</v>
      </c>
      <c r="J10566">
        <v>0</v>
      </c>
      <c r="K10566">
        <v>1</v>
      </c>
      <c r="L10566">
        <v>0</v>
      </c>
      <c r="M10566" t="s">
        <v>122</v>
      </c>
    </row>
    <row r="10567" spans="1:13" hidden="1" x14ac:dyDescent="0.15">
      <c r="A10567" t="s">
        <v>33349</v>
      </c>
      <c r="B10567" t="s">
        <v>33350</v>
      </c>
      <c r="C10567" t="s">
        <v>33351</v>
      </c>
      <c r="D10567" t="s">
        <v>33352</v>
      </c>
      <c r="E10567">
        <v>1</v>
      </c>
      <c r="F10567" t="str">
        <f>HYPERLINK("https://github.com/MuntashirAkon/AppManager/issues/1007", "show")</f>
        <v>show</v>
      </c>
      <c r="G10567" t="str">
        <f>HYPERLINK("https://github.com/MuntashirAkon/AppManager", "show")</f>
        <v>show</v>
      </c>
      <c r="H10567" t="str">
        <f>HYPERLINK("https://github.com/MuntashirAkon/AppManager/releases", "show")</f>
        <v>show</v>
      </c>
      <c r="I10567">
        <v>1</v>
      </c>
      <c r="J10567">
        <v>0</v>
      </c>
      <c r="K10567">
        <v>1</v>
      </c>
      <c r="L10567">
        <v>0</v>
      </c>
      <c r="M10567" t="s">
        <v>64</v>
      </c>
    </row>
    <row r="10568" spans="1:13" hidden="1" x14ac:dyDescent="0.15">
      <c r="A10568" t="s">
        <v>33353</v>
      </c>
      <c r="B10568" t="s">
        <v>33354</v>
      </c>
      <c r="C10568" t="s">
        <v>33355</v>
      </c>
      <c r="D10568" t="s">
        <v>33352</v>
      </c>
      <c r="E10568">
        <v>205</v>
      </c>
      <c r="F10568" t="str">
        <f>HYPERLINK("https://github.com/jellyfin/jellyfin-androidtv/issues/2532", "show")</f>
        <v>show</v>
      </c>
      <c r="G10568" t="str">
        <f>HYPERLINK("https://github.com/jellyfin/jellyfin-androidtv", "show")</f>
        <v>show</v>
      </c>
      <c r="H10568" t="str">
        <f>HYPERLINK("https://github.com/jellyfin/jellyfin-androidtv/releases", "show")</f>
        <v>show</v>
      </c>
      <c r="I10568">
        <v>1</v>
      </c>
      <c r="J10568">
        <v>1</v>
      </c>
      <c r="K10568">
        <v>0</v>
      </c>
      <c r="L10568">
        <v>0</v>
      </c>
      <c r="M10568" t="s">
        <v>48</v>
      </c>
    </row>
    <row r="10569" spans="1:13" hidden="1" x14ac:dyDescent="0.15">
      <c r="A10569" t="s">
        <v>33356</v>
      </c>
      <c r="B10569" t="s">
        <v>33357</v>
      </c>
      <c r="C10569" t="s">
        <v>33358</v>
      </c>
      <c r="D10569" t="s">
        <v>33352</v>
      </c>
      <c r="E10569">
        <v>0</v>
      </c>
      <c r="F10569" t="str">
        <f>HYPERLINK("https://github.com/VinylMusicPlayer/VinylMusicPlayer/issues/702", "show")</f>
        <v>show</v>
      </c>
      <c r="G10569" t="str">
        <f>HYPERLINK("https://github.com/VinylMusicPlayer/VinylMusicPlayer", "show")</f>
        <v>show</v>
      </c>
      <c r="H10569" t="str">
        <f>HYPERLINK("https://github.com/VinylMusicPlayer/VinylMusicPlayer/releases", "show")</f>
        <v>show</v>
      </c>
      <c r="I10569">
        <v>1</v>
      </c>
      <c r="J10569">
        <v>1</v>
      </c>
      <c r="K10569">
        <v>0</v>
      </c>
      <c r="L10569">
        <v>0</v>
      </c>
      <c r="M10569" t="s">
        <v>48</v>
      </c>
    </row>
    <row r="10570" spans="1:13" hidden="1" x14ac:dyDescent="0.15">
      <c r="A10570" t="s">
        <v>33359</v>
      </c>
      <c r="B10570" t="s">
        <v>33360</v>
      </c>
      <c r="C10570" t="s">
        <v>33361</v>
      </c>
      <c r="D10570" t="s">
        <v>33362</v>
      </c>
      <c r="E10570">
        <v>4</v>
      </c>
      <c r="F10570" t="str">
        <f>HYPERLINK("https://github.com/PojavLauncherTeam/PojavLauncher/issues/3978", "show")</f>
        <v>show</v>
      </c>
      <c r="G10570" t="str">
        <f>HYPERLINK("https://github.com/PojavLauncherTeam/PojavLauncher", "show")</f>
        <v>show</v>
      </c>
      <c r="H10570" t="str">
        <f>HYPERLINK("https://github.com/PojavLauncherTeam/PojavLauncher/releases", "show")</f>
        <v>show</v>
      </c>
      <c r="I10570">
        <v>1</v>
      </c>
      <c r="J10570">
        <v>1</v>
      </c>
      <c r="K10570">
        <v>0</v>
      </c>
      <c r="L10570">
        <v>1</v>
      </c>
      <c r="M10570" t="s">
        <v>1894</v>
      </c>
    </row>
    <row r="10571" spans="1:13" hidden="1" x14ac:dyDescent="0.15">
      <c r="A10571" t="s">
        <v>33363</v>
      </c>
      <c r="B10571" t="s">
        <v>33364</v>
      </c>
      <c r="C10571" t="s">
        <v>33365</v>
      </c>
      <c r="D10571" t="s">
        <v>33362</v>
      </c>
      <c r="E10571">
        <v>0</v>
      </c>
      <c r="F10571" t="str">
        <f>HYPERLINK("https://github.com/Anuken/Mindustry/issues/8326", "show")</f>
        <v>show</v>
      </c>
      <c r="G10571" t="str">
        <f>HYPERLINK("https://github.com/Anuken/Mindustry", "show")</f>
        <v>show</v>
      </c>
      <c r="H10571" t="str">
        <f>HYPERLINK("https://github.com/Anuken/Mindustry/releases", "show")</f>
        <v>show</v>
      </c>
      <c r="I10571">
        <v>0</v>
      </c>
      <c r="J10571">
        <v>0</v>
      </c>
      <c r="K10571">
        <v>0</v>
      </c>
      <c r="L10571">
        <v>1</v>
      </c>
      <c r="M10571" t="s">
        <v>581</v>
      </c>
    </row>
    <row r="10572" spans="1:13" hidden="1" x14ac:dyDescent="0.15">
      <c r="A10572" t="s">
        <v>33366</v>
      </c>
      <c r="B10572" t="s">
        <v>33367</v>
      </c>
      <c r="C10572" t="s">
        <v>33368</v>
      </c>
      <c r="D10572" t="s">
        <v>33362</v>
      </c>
      <c r="E10572">
        <v>6</v>
      </c>
      <c r="F10572" t="str">
        <f>HYPERLINK("https://github.com/oliexdev/openScale/issues/932", "show")</f>
        <v>show</v>
      </c>
      <c r="G10572" t="str">
        <f>HYPERLINK("https://github.com/oliexdev/openScale", "show")</f>
        <v>show</v>
      </c>
      <c r="H10572" t="str">
        <f>HYPERLINK("https://github.com/oliexdev/openScale/releases", "show")</f>
        <v>show</v>
      </c>
      <c r="I10572">
        <v>0</v>
      </c>
      <c r="J10572">
        <v>0</v>
      </c>
      <c r="K10572">
        <v>1</v>
      </c>
      <c r="L10572">
        <v>0</v>
      </c>
      <c r="M10572" t="s">
        <v>122</v>
      </c>
    </row>
    <row r="10573" spans="1:13" hidden="1" x14ac:dyDescent="0.15">
      <c r="A10573" t="s">
        <v>33369</v>
      </c>
      <c r="B10573" t="s">
        <v>33370</v>
      </c>
      <c r="C10573" t="s">
        <v>33371</v>
      </c>
      <c r="D10573" t="s">
        <v>33362</v>
      </c>
      <c r="E10573">
        <v>5</v>
      </c>
      <c r="F10573" t="str">
        <f>HYPERLINK("https://github.com/maniac-tech/react-native-expo-read-sms/issues/23", "show")</f>
        <v>show</v>
      </c>
      <c r="G10573" t="str">
        <f>HYPERLINK("https://github.com/maniac-tech/react-native-expo-read-sms", "show")</f>
        <v>show</v>
      </c>
      <c r="H10573" t="str">
        <f>HYPERLINK("https://github.com/maniac-tech/react-native-expo-read-sms/releases", "show")</f>
        <v>show</v>
      </c>
      <c r="I10573">
        <v>1</v>
      </c>
      <c r="J10573">
        <v>0</v>
      </c>
      <c r="K10573">
        <v>0</v>
      </c>
      <c r="L10573">
        <v>0</v>
      </c>
      <c r="M10573" t="s">
        <v>17</v>
      </c>
    </row>
    <row r="10574" spans="1:13" hidden="1" x14ac:dyDescent="0.15">
      <c r="A10574" t="s">
        <v>33372</v>
      </c>
      <c r="B10574" t="s">
        <v>33373</v>
      </c>
      <c r="D10574" t="s">
        <v>33362</v>
      </c>
      <c r="E10574">
        <v>26</v>
      </c>
      <c r="F10574" t="str">
        <f>HYPERLINK("https://github.com/hlp-ai/mt-mobile/issues/23", "show")</f>
        <v>show</v>
      </c>
      <c r="G10574" t="str">
        <f>HYPERLINK("https://github.com/hlp-ai/mt-mobile", "show")</f>
        <v>show</v>
      </c>
      <c r="H10574" t="str">
        <f>HYPERLINK("https://github.com/hlp-ai/mt-mobile/releases", "show")</f>
        <v>show</v>
      </c>
      <c r="I10574">
        <v>1</v>
      </c>
      <c r="J10574">
        <v>0</v>
      </c>
      <c r="K10574">
        <v>0</v>
      </c>
      <c r="L10574">
        <v>0</v>
      </c>
      <c r="M10574" t="s">
        <v>17</v>
      </c>
    </row>
    <row r="10575" spans="1:13" hidden="1" x14ac:dyDescent="0.15">
      <c r="A10575" t="s">
        <v>33374</v>
      </c>
      <c r="B10575" t="s">
        <v>33375</v>
      </c>
      <c r="C10575" t="s">
        <v>33376</v>
      </c>
      <c r="D10575" t="s">
        <v>33362</v>
      </c>
      <c r="E10575">
        <v>4</v>
      </c>
      <c r="F10575" t="str">
        <f>HYPERLINK("https://github.com/PojavLauncherTeam/PojavLauncher/issues/3973", "show")</f>
        <v>show</v>
      </c>
      <c r="G10575" t="str">
        <f>HYPERLINK("https://github.com/PojavLauncherTeam/PojavLauncher", "show")</f>
        <v>show</v>
      </c>
      <c r="H10575" t="str">
        <f>HYPERLINK("https://github.com/PojavLauncherTeam/PojavLauncher/releases", "show")</f>
        <v>show</v>
      </c>
      <c r="I10575">
        <v>1</v>
      </c>
      <c r="J10575">
        <v>1</v>
      </c>
      <c r="K10575">
        <v>0</v>
      </c>
      <c r="L10575">
        <v>0</v>
      </c>
      <c r="M10575" t="s">
        <v>48</v>
      </c>
    </row>
    <row r="10576" spans="1:13" hidden="1" x14ac:dyDescent="0.15">
      <c r="A10576" t="s">
        <v>33377</v>
      </c>
      <c r="B10576" t="s">
        <v>33378</v>
      </c>
      <c r="C10576" t="s">
        <v>33379</v>
      </c>
      <c r="D10576" t="s">
        <v>33380</v>
      </c>
      <c r="E10576">
        <v>2</v>
      </c>
      <c r="F10576" t="str">
        <f>HYPERLINK("https://github.com/ItsCalebJones/SpaceLaunchNow-Android/issues/196", "show")</f>
        <v>show</v>
      </c>
      <c r="G10576" t="str">
        <f>HYPERLINK("https://github.com/ItsCalebJones/SpaceLaunchNow-Android", "show")</f>
        <v>show</v>
      </c>
      <c r="H10576" t="str">
        <f>HYPERLINK("https://github.com/ItsCalebJones/SpaceLaunchNow-Android/releases", "show")</f>
        <v>show</v>
      </c>
      <c r="I10576">
        <v>0</v>
      </c>
      <c r="J10576">
        <v>0</v>
      </c>
      <c r="K10576">
        <v>1</v>
      </c>
      <c r="L10576">
        <v>0</v>
      </c>
      <c r="M10576" t="s">
        <v>122</v>
      </c>
    </row>
    <row r="10577" spans="1:13" hidden="1" x14ac:dyDescent="0.15">
      <c r="A10577" t="s">
        <v>33381</v>
      </c>
      <c r="B10577" t="s">
        <v>33382</v>
      </c>
      <c r="C10577" t="s">
        <v>33383</v>
      </c>
      <c r="D10577" t="s">
        <v>33384</v>
      </c>
      <c r="E10577">
        <v>144</v>
      </c>
      <c r="F10577" t="str">
        <f>HYPERLINK("https://github.com/jellyfin/jellyfin-androidtv/issues/2514", "show")</f>
        <v>show</v>
      </c>
      <c r="G10577" t="str">
        <f>HYPERLINK("https://github.com/jellyfin/jellyfin-androidtv", "show")</f>
        <v>show</v>
      </c>
      <c r="H10577" t="str">
        <f>HYPERLINK("https://github.com/jellyfin/jellyfin-androidtv/releases", "show")</f>
        <v>show</v>
      </c>
      <c r="I10577">
        <v>0</v>
      </c>
      <c r="J10577">
        <v>0</v>
      </c>
      <c r="K10577">
        <v>1</v>
      </c>
      <c r="L10577">
        <v>0</v>
      </c>
      <c r="M10577" t="s">
        <v>122</v>
      </c>
    </row>
    <row r="10578" spans="1:13" x14ac:dyDescent="0.15">
      <c r="A10578" t="s">
        <v>33385</v>
      </c>
      <c r="B10578" t="s">
        <v>33386</v>
      </c>
      <c r="C10578" t="s">
        <v>33387</v>
      </c>
      <c r="D10578" t="s">
        <v>33384</v>
      </c>
      <c r="E10578">
        <v>7</v>
      </c>
      <c r="F10578" t="str">
        <f>HYPERLINK("https://github.com/gsantner/markor/issues/1985", "show")</f>
        <v>show</v>
      </c>
      <c r="G10578" t="str">
        <f>HYPERLINK("https://github.com/gsantner/markor", "show")</f>
        <v>show</v>
      </c>
      <c r="H10578" t="str">
        <f>HYPERLINK("https://github.com/gsantner/markor/releases", "show")</f>
        <v>show</v>
      </c>
      <c r="I10578">
        <v>0</v>
      </c>
      <c r="J10578">
        <v>1</v>
      </c>
      <c r="K10578">
        <v>0</v>
      </c>
      <c r="L10578">
        <v>0</v>
      </c>
      <c r="M10578" t="s">
        <v>139</v>
      </c>
    </row>
    <row r="10579" spans="1:13" hidden="1" x14ac:dyDescent="0.15">
      <c r="A10579" t="s">
        <v>33388</v>
      </c>
      <c r="B10579" t="s">
        <v>33389</v>
      </c>
      <c r="C10579" t="s">
        <v>33390</v>
      </c>
      <c r="D10579" t="s">
        <v>33384</v>
      </c>
      <c r="E10579">
        <v>0</v>
      </c>
      <c r="F10579" t="str">
        <f>HYPERLINK("https://github.com/Anuken/Mindustry/issues/8316", "show")</f>
        <v>show</v>
      </c>
      <c r="G10579" t="str">
        <f>HYPERLINK("https://github.com/Anuken/Mindustry", "show")</f>
        <v>show</v>
      </c>
      <c r="H10579" t="str">
        <f>HYPERLINK("https://github.com/Anuken/Mindustry/releases", "show")</f>
        <v>show</v>
      </c>
      <c r="I10579">
        <v>0</v>
      </c>
      <c r="J10579">
        <v>0</v>
      </c>
      <c r="K10579">
        <v>0</v>
      </c>
      <c r="L10579">
        <v>0</v>
      </c>
      <c r="M10579" t="s">
        <v>43</v>
      </c>
    </row>
    <row r="10580" spans="1:13" hidden="1" x14ac:dyDescent="0.15">
      <c r="A10580" t="s">
        <v>33391</v>
      </c>
      <c r="B10580" t="s">
        <v>33392</v>
      </c>
      <c r="C10580" t="s">
        <v>33393</v>
      </c>
      <c r="D10580" t="s">
        <v>33394</v>
      </c>
      <c r="E10580">
        <v>2</v>
      </c>
      <c r="F10580" t="str">
        <f>HYPERLINK("https://github.com/PojavLauncherTeam/PojavLauncher/issues/3967", "show")</f>
        <v>show</v>
      </c>
      <c r="G10580" t="str">
        <f>HYPERLINK("https://github.com/PojavLauncherTeam/PojavLauncher", "show")</f>
        <v>show</v>
      </c>
      <c r="H10580" t="str">
        <f>HYPERLINK("https://github.com/PojavLauncherTeam/PojavLauncher/releases", "show")</f>
        <v>show</v>
      </c>
      <c r="I10580">
        <v>0</v>
      </c>
      <c r="J10580">
        <v>0</v>
      </c>
      <c r="K10580">
        <v>0</v>
      </c>
      <c r="L10580">
        <v>1</v>
      </c>
      <c r="M10580" t="s">
        <v>581</v>
      </c>
    </row>
    <row r="10581" spans="1:13" hidden="1" x14ac:dyDescent="0.15">
      <c r="A10581" t="s">
        <v>33395</v>
      </c>
      <c r="B10581" t="s">
        <v>33396</v>
      </c>
      <c r="C10581" t="s">
        <v>33397</v>
      </c>
      <c r="D10581" t="s">
        <v>33394</v>
      </c>
      <c r="E10581">
        <v>0</v>
      </c>
      <c r="F10581" t="str">
        <f>HYPERLINK("https://github.com/Anuken/Mindustry/issues/8311", "show")</f>
        <v>show</v>
      </c>
      <c r="G10581" t="str">
        <f>HYPERLINK("https://github.com/Anuken/Mindustry", "show")</f>
        <v>show</v>
      </c>
      <c r="H10581" t="str">
        <f>HYPERLINK("https://github.com/Anuken/Mindustry/releases", "show")</f>
        <v>show</v>
      </c>
      <c r="I10581">
        <v>0</v>
      </c>
      <c r="J10581">
        <v>0</v>
      </c>
      <c r="K10581">
        <v>0</v>
      </c>
      <c r="L10581">
        <v>1</v>
      </c>
      <c r="M10581" t="s">
        <v>581</v>
      </c>
    </row>
    <row r="10582" spans="1:13" hidden="1" x14ac:dyDescent="0.15">
      <c r="A10582" t="s">
        <v>33398</v>
      </c>
      <c r="B10582" t="s">
        <v>33399</v>
      </c>
      <c r="C10582" t="s">
        <v>33400</v>
      </c>
      <c r="D10582" t="s">
        <v>33394</v>
      </c>
      <c r="E10582">
        <v>0</v>
      </c>
      <c r="F10582" t="str">
        <f>HYPERLINK("https://github.com/PojavLauncherTeam/PojavLauncher/issues/3963", "show")</f>
        <v>show</v>
      </c>
      <c r="G10582" t="str">
        <f>HYPERLINK("https://github.com/PojavLauncherTeam/PojavLauncher", "show")</f>
        <v>show</v>
      </c>
      <c r="H10582" t="str">
        <f>HYPERLINK("https://github.com/PojavLauncherTeam/PojavLauncher/releases", "show")</f>
        <v>show</v>
      </c>
      <c r="I10582">
        <v>0</v>
      </c>
      <c r="J10582">
        <v>0</v>
      </c>
      <c r="K10582">
        <v>0</v>
      </c>
      <c r="L10582">
        <v>0</v>
      </c>
      <c r="M10582" t="s">
        <v>43</v>
      </c>
    </row>
    <row r="10583" spans="1:13" hidden="1" x14ac:dyDescent="0.15">
      <c r="A10583" t="s">
        <v>33401</v>
      </c>
      <c r="B10583" t="s">
        <v>33402</v>
      </c>
      <c r="C10583" t="s">
        <v>33403</v>
      </c>
      <c r="D10583" t="s">
        <v>33394</v>
      </c>
      <c r="E10583">
        <v>2</v>
      </c>
      <c r="F10583" t="str">
        <f>HYPERLINK("https://github.com/mirrorworld-universe/mirrorworld-sdk-android/issues/22", "show")</f>
        <v>show</v>
      </c>
      <c r="G10583" t="str">
        <f>HYPERLINK("https://github.com/mirrorworld-universe/mirrorworld-sdk-android", "show")</f>
        <v>show</v>
      </c>
      <c r="H10583" t="str">
        <f>HYPERLINK("https://github.com/mirrorworld-universe/mirrorworld-sdk-android/releases", "show")</f>
        <v>show</v>
      </c>
      <c r="I10583">
        <v>1</v>
      </c>
      <c r="J10583">
        <v>0</v>
      </c>
      <c r="K10583">
        <v>1</v>
      </c>
      <c r="L10583">
        <v>0</v>
      </c>
      <c r="M10583" t="s">
        <v>64</v>
      </c>
    </row>
    <row r="10584" spans="1:13" hidden="1" x14ac:dyDescent="0.15">
      <c r="A10584" t="s">
        <v>33404</v>
      </c>
      <c r="B10584" t="s">
        <v>33405</v>
      </c>
      <c r="C10584" t="s">
        <v>33406</v>
      </c>
      <c r="D10584" t="s">
        <v>33407</v>
      </c>
      <c r="E10584">
        <v>1</v>
      </c>
      <c r="F10584" t="str">
        <f>HYPERLINK("https://github.com/PojavLauncherTeam/PojavLauncher/issues/3960", "show")</f>
        <v>show</v>
      </c>
      <c r="G10584" t="str">
        <f>HYPERLINK("https://github.com/PojavLauncherTeam/PojavLauncher", "show")</f>
        <v>show</v>
      </c>
      <c r="H10584" t="str">
        <f>HYPERLINK("https://github.com/PojavLauncherTeam/PojavLauncher/releases", "show")</f>
        <v>show</v>
      </c>
      <c r="I10584">
        <v>1</v>
      </c>
      <c r="J10584">
        <v>0</v>
      </c>
      <c r="K10584">
        <v>1</v>
      </c>
      <c r="L10584">
        <v>0</v>
      </c>
      <c r="M10584" t="s">
        <v>64</v>
      </c>
    </row>
    <row r="10585" spans="1:13" hidden="1" x14ac:dyDescent="0.15">
      <c r="A10585" t="s">
        <v>33408</v>
      </c>
      <c r="B10585" t="s">
        <v>32735</v>
      </c>
      <c r="C10585" t="s">
        <v>33409</v>
      </c>
      <c r="D10585" t="s">
        <v>33407</v>
      </c>
      <c r="E10585">
        <v>42</v>
      </c>
      <c r="F10585" t="str">
        <f>HYPERLINK("https://github.com/aws-amplify/amplify-android/issues/2297", "show")</f>
        <v>show</v>
      </c>
      <c r="G10585" t="str">
        <f>HYPERLINK("https://github.com/aws-amplify/amplify-android", "show")</f>
        <v>show</v>
      </c>
      <c r="H10585" t="str">
        <f>HYPERLINK("https://github.com/aws-amplify/amplify-android/releases", "show")</f>
        <v>show</v>
      </c>
      <c r="I10585">
        <v>1</v>
      </c>
      <c r="J10585">
        <v>0</v>
      </c>
      <c r="K10585">
        <v>1</v>
      </c>
      <c r="L10585">
        <v>0</v>
      </c>
      <c r="M10585" t="s">
        <v>64</v>
      </c>
    </row>
    <row r="10586" spans="1:13" hidden="1" x14ac:dyDescent="0.15">
      <c r="A10586" t="s">
        <v>33410</v>
      </c>
      <c r="B10586" t="s">
        <v>33411</v>
      </c>
      <c r="C10586" t="s">
        <v>33412</v>
      </c>
      <c r="D10586" t="s">
        <v>33407</v>
      </c>
      <c r="E10586">
        <v>3</v>
      </c>
      <c r="F10586" t="str">
        <f>HYPERLINK("https://github.com/cgeo/cgeo/issues/13988", "show")</f>
        <v>show</v>
      </c>
      <c r="G10586" t="str">
        <f>HYPERLINK("https://github.com/cgeo/cgeo", "show")</f>
        <v>show</v>
      </c>
      <c r="H10586" t="str">
        <f>HYPERLINK("https://github.com/cgeo/cgeo/releases", "show")</f>
        <v>show</v>
      </c>
      <c r="I10586">
        <v>0</v>
      </c>
      <c r="J10586">
        <v>1</v>
      </c>
      <c r="K10586">
        <v>1</v>
      </c>
      <c r="L10586">
        <v>0</v>
      </c>
      <c r="M10586" t="s">
        <v>699</v>
      </c>
    </row>
    <row r="10587" spans="1:13" hidden="1" x14ac:dyDescent="0.15">
      <c r="A10587" t="s">
        <v>33413</v>
      </c>
      <c r="B10587" t="s">
        <v>33414</v>
      </c>
      <c r="C10587" t="s">
        <v>33415</v>
      </c>
      <c r="D10587" t="s">
        <v>33407</v>
      </c>
      <c r="E10587">
        <v>4</v>
      </c>
      <c r="F10587" t="str">
        <f>HYPERLINK("https://github.com/jMonkeyEngine/jmonkeyengine/issues/1955", "show")</f>
        <v>show</v>
      </c>
      <c r="G10587" t="str">
        <f>HYPERLINK("https://github.com/jMonkeyEngine/jmonkeyengine", "show")</f>
        <v>show</v>
      </c>
      <c r="H10587" t="str">
        <f>HYPERLINK("https://github.com/jMonkeyEngine/jmonkeyengine/releases", "show")</f>
        <v>show</v>
      </c>
      <c r="I10587">
        <v>0</v>
      </c>
      <c r="J10587">
        <v>0</v>
      </c>
      <c r="K10587">
        <v>0</v>
      </c>
      <c r="L10587">
        <v>0</v>
      </c>
      <c r="M10587" t="s">
        <v>43</v>
      </c>
    </row>
    <row r="10588" spans="1:13" hidden="1" x14ac:dyDescent="0.15">
      <c r="A10588" t="s">
        <v>33416</v>
      </c>
      <c r="B10588" t="s">
        <v>33417</v>
      </c>
      <c r="C10588" t="s">
        <v>33418</v>
      </c>
      <c r="D10588" t="s">
        <v>33407</v>
      </c>
      <c r="E10588">
        <v>148</v>
      </c>
      <c r="F10588" t="str">
        <f>HYPERLINK("https://github.com/jellyfin/jellyfin-androidtv/issues/2508", "show")</f>
        <v>show</v>
      </c>
      <c r="G10588" t="str">
        <f>HYPERLINK("https://github.com/jellyfin/jellyfin-androidtv", "show")</f>
        <v>show</v>
      </c>
      <c r="H10588" t="str">
        <f>HYPERLINK("https://github.com/jellyfin/jellyfin-androidtv/releases", "show")</f>
        <v>show</v>
      </c>
      <c r="I10588">
        <v>1</v>
      </c>
      <c r="J10588">
        <v>1</v>
      </c>
      <c r="K10588">
        <v>1</v>
      </c>
      <c r="L10588">
        <v>0</v>
      </c>
      <c r="M10588" t="s">
        <v>59</v>
      </c>
    </row>
    <row r="10589" spans="1:13" hidden="1" x14ac:dyDescent="0.15">
      <c r="A10589" t="s">
        <v>33419</v>
      </c>
      <c r="B10589" t="s">
        <v>33420</v>
      </c>
      <c r="C10589" t="s">
        <v>33421</v>
      </c>
      <c r="D10589" t="s">
        <v>33407</v>
      </c>
      <c r="E10589">
        <v>1</v>
      </c>
      <c r="F10589" t="str">
        <f>HYPERLINK("https://github.com/blackboxembedded/WunderLINQ-Android/issues/109", "show")</f>
        <v>show</v>
      </c>
      <c r="G10589" t="str">
        <f>HYPERLINK("https://github.com/blackboxembedded/WunderLINQ-Android", "show")</f>
        <v>show</v>
      </c>
      <c r="H10589" t="str">
        <f>HYPERLINK("https://github.com/blackboxembedded/WunderLINQ-Android/releases", "show")</f>
        <v>show</v>
      </c>
      <c r="I10589">
        <v>1</v>
      </c>
      <c r="J10589">
        <v>0</v>
      </c>
      <c r="K10589">
        <v>0</v>
      </c>
      <c r="L10589">
        <v>0</v>
      </c>
      <c r="M10589" t="s">
        <v>17</v>
      </c>
    </row>
    <row r="10590" spans="1:13" hidden="1" x14ac:dyDescent="0.15">
      <c r="A10590" t="s">
        <v>33422</v>
      </c>
      <c r="B10590" t="s">
        <v>33423</v>
      </c>
      <c r="C10590" t="s">
        <v>33424</v>
      </c>
      <c r="D10590" t="s">
        <v>33425</v>
      </c>
      <c r="E10590">
        <v>1</v>
      </c>
      <c r="F10590" t="str">
        <f>HYPERLINK("https://github.com/nextcloud/android/issues/11390", "show")</f>
        <v>show</v>
      </c>
      <c r="G10590" t="str">
        <f>HYPERLINK("https://github.com/nextcloud/android", "show")</f>
        <v>show</v>
      </c>
      <c r="H10590" t="str">
        <f>HYPERLINK("https://github.com/nextcloud/android/releases", "show")</f>
        <v>show</v>
      </c>
      <c r="I10590">
        <v>1</v>
      </c>
      <c r="J10590">
        <v>0</v>
      </c>
      <c r="K10590">
        <v>1</v>
      </c>
      <c r="L10590">
        <v>1</v>
      </c>
      <c r="M10590" t="s">
        <v>1259</v>
      </c>
    </row>
    <row r="10591" spans="1:13" hidden="1" x14ac:dyDescent="0.15">
      <c r="A10591" t="s">
        <v>33426</v>
      </c>
      <c r="B10591" t="s">
        <v>33427</v>
      </c>
      <c r="C10591" t="s">
        <v>33428</v>
      </c>
      <c r="D10591" t="s">
        <v>33425</v>
      </c>
      <c r="E10591">
        <v>0</v>
      </c>
      <c r="F10591" t="str">
        <f>HYPERLINK("https://github.com/ghusta/android-docker-search/issues/330", "show")</f>
        <v>show</v>
      </c>
      <c r="G10591" t="str">
        <f>HYPERLINK("https://github.com/ghusta/android-docker-search", "show")</f>
        <v>show</v>
      </c>
      <c r="H10591" t="str">
        <f>HYPERLINK("https://github.com/ghusta/android-docker-search/releases", "show")</f>
        <v>show</v>
      </c>
      <c r="I10591">
        <v>0</v>
      </c>
      <c r="J10591">
        <v>0</v>
      </c>
      <c r="K10591">
        <v>0</v>
      </c>
      <c r="L10591">
        <v>0</v>
      </c>
      <c r="M10591" t="s">
        <v>43</v>
      </c>
    </row>
    <row r="10592" spans="1:13" hidden="1" x14ac:dyDescent="0.15">
      <c r="A10592" t="s">
        <v>33429</v>
      </c>
      <c r="B10592" t="s">
        <v>33430</v>
      </c>
      <c r="C10592" t="s">
        <v>33431</v>
      </c>
      <c r="D10592" t="s">
        <v>33425</v>
      </c>
      <c r="E10592">
        <v>0</v>
      </c>
      <c r="F10592" t="str">
        <f>HYPERLINK("https://github.com/facebook/react-native/issues/36164", "show")</f>
        <v>show</v>
      </c>
      <c r="G10592" t="str">
        <f>HYPERLINK("https://github.com/facebook/react-native", "show")</f>
        <v>show</v>
      </c>
      <c r="H10592" t="str">
        <f>HYPERLINK("https://github.com/facebook/react-native/releases", "show")</f>
        <v>show</v>
      </c>
      <c r="I10592">
        <v>1</v>
      </c>
      <c r="J10592">
        <v>1</v>
      </c>
      <c r="K10592">
        <v>0</v>
      </c>
      <c r="L10592">
        <v>0</v>
      </c>
      <c r="M10592" t="s">
        <v>48</v>
      </c>
    </row>
    <row r="10593" spans="1:13" hidden="1" x14ac:dyDescent="0.15">
      <c r="A10593" t="s">
        <v>33432</v>
      </c>
      <c r="B10593" t="s">
        <v>33433</v>
      </c>
      <c r="C10593" t="s">
        <v>33434</v>
      </c>
      <c r="D10593" t="s">
        <v>33425</v>
      </c>
      <c r="E10593">
        <v>0</v>
      </c>
      <c r="F10593" t="str">
        <f>HYPERLINK("https://github.com/Anuken/Mindustry/issues/8304", "show")</f>
        <v>show</v>
      </c>
      <c r="G10593" t="str">
        <f>HYPERLINK("https://github.com/Anuken/Mindustry", "show")</f>
        <v>show</v>
      </c>
      <c r="H10593" t="str">
        <f>HYPERLINK("https://github.com/Anuken/Mindustry/releases", "show")</f>
        <v>show</v>
      </c>
      <c r="I10593">
        <v>0</v>
      </c>
      <c r="J10593">
        <v>0</v>
      </c>
      <c r="K10593">
        <v>0</v>
      </c>
      <c r="L10593">
        <v>0</v>
      </c>
      <c r="M10593" t="s">
        <v>43</v>
      </c>
    </row>
    <row r="10594" spans="1:13" hidden="1" x14ac:dyDescent="0.15">
      <c r="A10594" t="s">
        <v>33435</v>
      </c>
      <c r="B10594" t="s">
        <v>33436</v>
      </c>
      <c r="C10594" t="s">
        <v>33437</v>
      </c>
      <c r="D10594" t="s">
        <v>33425</v>
      </c>
      <c r="E10594">
        <v>1</v>
      </c>
      <c r="F10594" t="str">
        <f>HYPERLINK("https://github.com/material-components/material-components-android/issues/3237", "show")</f>
        <v>show</v>
      </c>
      <c r="G10594" t="str">
        <f>HYPERLINK("https://github.com/material-components/material-components-android", "show")</f>
        <v>show</v>
      </c>
      <c r="H10594" t="str">
        <f>HYPERLINK("https://github.com/material-components/material-components-android/releases", "show")</f>
        <v>show</v>
      </c>
      <c r="I10594">
        <v>1</v>
      </c>
      <c r="J10594">
        <v>0</v>
      </c>
      <c r="K10594">
        <v>1</v>
      </c>
      <c r="L10594">
        <v>0</v>
      </c>
      <c r="M10594" t="s">
        <v>64</v>
      </c>
    </row>
    <row r="10595" spans="1:13" hidden="1" x14ac:dyDescent="0.15">
      <c r="A10595" t="s">
        <v>33438</v>
      </c>
      <c r="B10595" t="s">
        <v>33439</v>
      </c>
      <c r="C10595" t="s">
        <v>33440</v>
      </c>
      <c r="D10595" t="s">
        <v>33425</v>
      </c>
      <c r="E10595">
        <v>0</v>
      </c>
      <c r="F10595" t="str">
        <f>HYPERLINK("https://github.com/MuntashirAkon/AppManager/issues/998", "show")</f>
        <v>show</v>
      </c>
      <c r="G10595" t="str">
        <f>HYPERLINK("https://github.com/MuntashirAkon/AppManager", "show")</f>
        <v>show</v>
      </c>
      <c r="H10595" t="str">
        <f>HYPERLINK("https://github.com/MuntashirAkon/AppManager/releases", "show")</f>
        <v>show</v>
      </c>
      <c r="I10595">
        <v>0</v>
      </c>
      <c r="J10595">
        <v>1</v>
      </c>
      <c r="K10595">
        <v>1</v>
      </c>
      <c r="L10595">
        <v>0</v>
      </c>
      <c r="M10595" t="s">
        <v>699</v>
      </c>
    </row>
    <row r="10596" spans="1:13" hidden="1" x14ac:dyDescent="0.15">
      <c r="A10596" t="s">
        <v>33441</v>
      </c>
      <c r="B10596" t="s">
        <v>33442</v>
      </c>
      <c r="C10596" t="s">
        <v>33443</v>
      </c>
      <c r="D10596" t="s">
        <v>33444</v>
      </c>
      <c r="E10596">
        <v>3</v>
      </c>
      <c r="F10596" t="str">
        <f>HYPERLINK("https://github.com/cgeo/cgeo/issues/13979", "show")</f>
        <v>show</v>
      </c>
      <c r="G10596" t="str">
        <f>HYPERLINK("https://github.com/cgeo/cgeo", "show")</f>
        <v>show</v>
      </c>
      <c r="H10596" t="str">
        <f>HYPERLINK("https://github.com/cgeo/cgeo/releases", "show")</f>
        <v>show</v>
      </c>
      <c r="I10596">
        <v>1</v>
      </c>
      <c r="J10596">
        <v>0</v>
      </c>
      <c r="K10596">
        <v>1</v>
      </c>
      <c r="L10596">
        <v>0</v>
      </c>
      <c r="M10596" t="s">
        <v>64</v>
      </c>
    </row>
    <row r="10597" spans="1:13" hidden="1" x14ac:dyDescent="0.15">
      <c r="A10597" t="s">
        <v>33445</v>
      </c>
      <c r="B10597" t="s">
        <v>33446</v>
      </c>
      <c r="C10597" t="s">
        <v>33447</v>
      </c>
      <c r="D10597" t="s">
        <v>33444</v>
      </c>
      <c r="E10597">
        <v>6</v>
      </c>
      <c r="F10597" t="str">
        <f>HYPERLINK("https://github.com/AndroidIDEOfficial/AndroidIDE/issues/798", "show")</f>
        <v>show</v>
      </c>
      <c r="G10597" t="str">
        <f>HYPERLINK("https://github.com/AndroidIDEOfficial/AndroidIDE", "show")</f>
        <v>show</v>
      </c>
      <c r="H10597" t="str">
        <f>HYPERLINK("https://github.com/AndroidIDEOfficial/AndroidIDE/releases", "show")</f>
        <v>show</v>
      </c>
      <c r="I10597">
        <v>0</v>
      </c>
      <c r="J10597">
        <v>0</v>
      </c>
      <c r="K10597">
        <v>1</v>
      </c>
      <c r="L10597">
        <v>0</v>
      </c>
      <c r="M10597" t="s">
        <v>122</v>
      </c>
    </row>
    <row r="10598" spans="1:13" hidden="1" x14ac:dyDescent="0.15">
      <c r="A10598" t="s">
        <v>33448</v>
      </c>
      <c r="B10598" t="s">
        <v>33449</v>
      </c>
      <c r="C10598" t="s">
        <v>33450</v>
      </c>
      <c r="D10598" t="s">
        <v>33444</v>
      </c>
      <c r="E10598">
        <v>141</v>
      </c>
      <c r="F10598" t="str">
        <f>HYPERLINK("https://github.com/jellyfin/jellyfin-androidtv/issues/2496", "show")</f>
        <v>show</v>
      </c>
      <c r="G10598" t="str">
        <f>HYPERLINK("https://github.com/jellyfin/jellyfin-androidtv", "show")</f>
        <v>show</v>
      </c>
      <c r="H10598" t="str">
        <f>HYPERLINK("https://github.com/jellyfin/jellyfin-androidtv/releases", "show")</f>
        <v>show</v>
      </c>
      <c r="I10598">
        <v>1</v>
      </c>
      <c r="J10598">
        <v>1</v>
      </c>
      <c r="K10598">
        <v>0</v>
      </c>
      <c r="L10598">
        <v>0</v>
      </c>
      <c r="M10598" t="s">
        <v>48</v>
      </c>
    </row>
    <row r="10599" spans="1:13" hidden="1" x14ac:dyDescent="0.15">
      <c r="A10599" t="s">
        <v>33451</v>
      </c>
      <c r="B10599" t="s">
        <v>33452</v>
      </c>
      <c r="C10599" t="s">
        <v>33453</v>
      </c>
      <c r="D10599" t="s">
        <v>33454</v>
      </c>
      <c r="E10599">
        <v>3</v>
      </c>
      <c r="F10599" t="str">
        <f>HYPERLINK("https://github.com/PojavLauncherTeam/PojavLauncher/issues/3952", "show")</f>
        <v>show</v>
      </c>
      <c r="G10599" t="str">
        <f>HYPERLINK("https://github.com/PojavLauncherTeam/PojavLauncher", "show")</f>
        <v>show</v>
      </c>
      <c r="H10599" t="str">
        <f>HYPERLINK("https://github.com/PojavLauncherTeam/PojavLauncher/releases", "show")</f>
        <v>show</v>
      </c>
      <c r="I10599">
        <v>0</v>
      </c>
      <c r="J10599">
        <v>0</v>
      </c>
      <c r="K10599">
        <v>0</v>
      </c>
      <c r="L10599">
        <v>1</v>
      </c>
      <c r="M10599" t="s">
        <v>581</v>
      </c>
    </row>
    <row r="10600" spans="1:13" hidden="1" x14ac:dyDescent="0.15">
      <c r="A10600" t="s">
        <v>33455</v>
      </c>
      <c r="B10600" t="s">
        <v>33456</v>
      </c>
      <c r="C10600" t="s">
        <v>33457</v>
      </c>
      <c r="D10600" t="s">
        <v>33454</v>
      </c>
      <c r="E10600">
        <v>0</v>
      </c>
      <c r="F10600" t="str">
        <f>HYPERLINK("https://github.com/nextcloud/android/issues/11380", "show")</f>
        <v>show</v>
      </c>
      <c r="G10600" t="str">
        <f>HYPERLINK("https://github.com/nextcloud/android", "show")</f>
        <v>show</v>
      </c>
      <c r="H10600" t="str">
        <f>HYPERLINK("https://github.com/nextcloud/android/releases", "show")</f>
        <v>show</v>
      </c>
      <c r="I10600">
        <v>1</v>
      </c>
      <c r="J10600">
        <v>0</v>
      </c>
      <c r="K10600">
        <v>0</v>
      </c>
      <c r="L10600">
        <v>0</v>
      </c>
      <c r="M10600" t="s">
        <v>17</v>
      </c>
    </row>
    <row r="10601" spans="1:13" hidden="1" x14ac:dyDescent="0.15">
      <c r="A10601" t="s">
        <v>33458</v>
      </c>
      <c r="B10601" t="s">
        <v>33459</v>
      </c>
      <c r="C10601" t="s">
        <v>33460</v>
      </c>
      <c r="D10601" t="s">
        <v>33461</v>
      </c>
      <c r="E10601">
        <v>1</v>
      </c>
      <c r="F10601" t="str">
        <f>HYPERLINK("https://github.com/PojavLauncherTeam/PojavLauncher/issues/3948", "show")</f>
        <v>show</v>
      </c>
      <c r="G10601" t="str">
        <f>HYPERLINK("https://github.com/PojavLauncherTeam/PojavLauncher", "show")</f>
        <v>show</v>
      </c>
      <c r="H10601" t="str">
        <f>HYPERLINK("https://github.com/PojavLauncherTeam/PojavLauncher/releases", "show")</f>
        <v>show</v>
      </c>
      <c r="I10601">
        <v>0</v>
      </c>
      <c r="J10601">
        <v>0</v>
      </c>
      <c r="K10601">
        <v>0</v>
      </c>
      <c r="L10601">
        <v>1</v>
      </c>
      <c r="M10601" t="s">
        <v>581</v>
      </c>
    </row>
    <row r="10602" spans="1:13" hidden="1" x14ac:dyDescent="0.15">
      <c r="A10602" t="s">
        <v>33462</v>
      </c>
      <c r="B10602" t="s">
        <v>33463</v>
      </c>
      <c r="C10602" t="s">
        <v>33464</v>
      </c>
      <c r="D10602" t="s">
        <v>33461</v>
      </c>
      <c r="E10602">
        <v>48</v>
      </c>
      <c r="F10602" t="str">
        <f>HYPERLINK("https://github.com/Sesu8642/FeudalTactics/issues/40", "show")</f>
        <v>show</v>
      </c>
      <c r="G10602" t="str">
        <f>HYPERLINK("https://github.com/Sesu8642/FeudalTactics", "show")</f>
        <v>show</v>
      </c>
      <c r="H10602" t="str">
        <f>HYPERLINK("https://github.com/Sesu8642/FeudalTactics/releases", "show")</f>
        <v>show</v>
      </c>
      <c r="I10602">
        <v>1</v>
      </c>
      <c r="J10602">
        <v>0</v>
      </c>
      <c r="K10602">
        <v>0</v>
      </c>
      <c r="L10602">
        <v>0</v>
      </c>
      <c r="M10602" t="s">
        <v>17</v>
      </c>
    </row>
    <row r="10603" spans="1:13" hidden="1" x14ac:dyDescent="0.15">
      <c r="A10603" t="s">
        <v>33465</v>
      </c>
      <c r="B10603" t="s">
        <v>33466</v>
      </c>
      <c r="C10603" t="s">
        <v>33467</v>
      </c>
      <c r="D10603" t="s">
        <v>33461</v>
      </c>
      <c r="E10603">
        <v>59</v>
      </c>
      <c r="F10603" t="str">
        <f>HYPERLINK("https://github.com/nextcloud/news-android/issues/1147", "show")</f>
        <v>show</v>
      </c>
      <c r="G10603" t="str">
        <f>HYPERLINK("https://github.com/nextcloud/news-android", "show")</f>
        <v>show</v>
      </c>
      <c r="H10603" t="str">
        <f>HYPERLINK("https://github.com/nextcloud/news-android/releases", "show")</f>
        <v>show</v>
      </c>
      <c r="I10603">
        <v>0</v>
      </c>
      <c r="J10603">
        <v>1</v>
      </c>
      <c r="K10603">
        <v>1</v>
      </c>
      <c r="L10603">
        <v>0</v>
      </c>
      <c r="M10603" t="s">
        <v>699</v>
      </c>
    </row>
    <row r="10604" spans="1:13" hidden="1" x14ac:dyDescent="0.15">
      <c r="A10604" t="s">
        <v>33468</v>
      </c>
      <c r="B10604" t="s">
        <v>33469</v>
      </c>
      <c r="C10604" t="s">
        <v>33470</v>
      </c>
      <c r="D10604" t="s">
        <v>33461</v>
      </c>
      <c r="E10604">
        <v>3</v>
      </c>
      <c r="F10604" t="str">
        <f>HYPERLINK("https://github.com/PojavLauncherTeam/PojavLauncher/issues/3946", "show")</f>
        <v>show</v>
      </c>
      <c r="G10604" t="str">
        <f>HYPERLINK("https://github.com/PojavLauncherTeam/PojavLauncher", "show")</f>
        <v>show</v>
      </c>
      <c r="H10604" t="str">
        <f>HYPERLINK("https://github.com/PojavLauncherTeam/PojavLauncher/releases", "show")</f>
        <v>show</v>
      </c>
      <c r="I10604">
        <v>1</v>
      </c>
      <c r="J10604">
        <v>1</v>
      </c>
      <c r="K10604">
        <v>0</v>
      </c>
      <c r="L10604">
        <v>0</v>
      </c>
      <c r="M10604" t="s">
        <v>48</v>
      </c>
    </row>
    <row r="10605" spans="1:13" hidden="1" x14ac:dyDescent="0.15">
      <c r="A10605" t="s">
        <v>33471</v>
      </c>
      <c r="B10605" t="s">
        <v>33472</v>
      </c>
      <c r="C10605" t="s">
        <v>33473</v>
      </c>
      <c r="D10605" t="s">
        <v>33461</v>
      </c>
      <c r="E10605">
        <v>0</v>
      </c>
      <c r="F10605" t="str">
        <f>HYPERLINK("https://github.com/cgeo/cgeo/issues/13976", "show")</f>
        <v>show</v>
      </c>
      <c r="G10605" t="str">
        <f>HYPERLINK("https://github.com/cgeo/cgeo", "show")</f>
        <v>show</v>
      </c>
      <c r="H10605" t="str">
        <f>HYPERLINK("https://github.com/cgeo/cgeo/releases", "show")</f>
        <v>show</v>
      </c>
      <c r="I10605">
        <v>1</v>
      </c>
      <c r="J10605">
        <v>1</v>
      </c>
      <c r="K10605">
        <v>0</v>
      </c>
      <c r="L10605">
        <v>0</v>
      </c>
      <c r="M10605" t="s">
        <v>48</v>
      </c>
    </row>
    <row r="10606" spans="1:13" hidden="1" x14ac:dyDescent="0.15">
      <c r="A10606" t="s">
        <v>33474</v>
      </c>
      <c r="B10606" t="s">
        <v>33475</v>
      </c>
      <c r="C10606" t="s">
        <v>33476</v>
      </c>
      <c r="D10606" t="s">
        <v>33461</v>
      </c>
      <c r="E10606">
        <v>26</v>
      </c>
      <c r="F10606" t="str">
        <f>HYPERLINK("https://github.com/VinylMusicPlayer/VinylMusicPlayer/issues/690", "show")</f>
        <v>show</v>
      </c>
      <c r="G10606" t="str">
        <f>HYPERLINK("https://github.com/VinylMusicPlayer/VinylMusicPlayer", "show")</f>
        <v>show</v>
      </c>
      <c r="H10606" t="str">
        <f>HYPERLINK("https://github.com/VinylMusicPlayer/VinylMusicPlayer/releases", "show")</f>
        <v>show</v>
      </c>
      <c r="I10606">
        <v>1</v>
      </c>
      <c r="J10606">
        <v>0</v>
      </c>
      <c r="K10606">
        <v>0</v>
      </c>
      <c r="L10606">
        <v>0</v>
      </c>
      <c r="M10606" t="s">
        <v>17</v>
      </c>
    </row>
    <row r="10607" spans="1:13" hidden="1" x14ac:dyDescent="0.15">
      <c r="A10607" t="s">
        <v>33477</v>
      </c>
      <c r="B10607" t="s">
        <v>33478</v>
      </c>
      <c r="C10607" t="s">
        <v>33479</v>
      </c>
      <c r="D10607" t="s">
        <v>33480</v>
      </c>
      <c r="E10607">
        <v>46</v>
      </c>
      <c r="F10607" t="str">
        <f>HYPERLINK("https://github.com/tradle/react-native-udp/issues/244", "show")</f>
        <v>show</v>
      </c>
      <c r="G10607" t="str">
        <f>HYPERLINK("https://github.com/tradle/react-native-udp", "show")</f>
        <v>show</v>
      </c>
      <c r="H10607" t="str">
        <f>HYPERLINK("https://github.com/tradle/react-native-udp/releases", "show")</f>
        <v>show</v>
      </c>
      <c r="I10607">
        <v>1</v>
      </c>
      <c r="J10607">
        <v>0</v>
      </c>
      <c r="K10607">
        <v>0</v>
      </c>
      <c r="L10607">
        <v>1</v>
      </c>
      <c r="M10607" t="s">
        <v>29</v>
      </c>
    </row>
    <row r="10608" spans="1:13" hidden="1" x14ac:dyDescent="0.15">
      <c r="A10608" t="s">
        <v>33481</v>
      </c>
      <c r="B10608" t="s">
        <v>33482</v>
      </c>
      <c r="C10608" t="s">
        <v>11701</v>
      </c>
      <c r="D10608" t="s">
        <v>33480</v>
      </c>
      <c r="E10608">
        <v>4</v>
      </c>
      <c r="F10608" t="str">
        <f>HYPERLINK("https://github.com/Anuken/Mindustry/issues/8287", "show")</f>
        <v>show</v>
      </c>
      <c r="G10608" t="str">
        <f>HYPERLINK("https://github.com/Anuken/Mindustry", "show")</f>
        <v>show</v>
      </c>
      <c r="H10608" t="str">
        <f>HYPERLINK("https://github.com/Anuken/Mindustry/releases", "show")</f>
        <v>show</v>
      </c>
      <c r="I10608">
        <v>1</v>
      </c>
      <c r="J10608">
        <v>1</v>
      </c>
      <c r="K10608">
        <v>0</v>
      </c>
      <c r="L10608">
        <v>1</v>
      </c>
      <c r="M10608" t="s">
        <v>1894</v>
      </c>
    </row>
    <row r="10609" spans="1:13" hidden="1" x14ac:dyDescent="0.15">
      <c r="A10609" t="s">
        <v>33483</v>
      </c>
      <c r="B10609" t="s">
        <v>33484</v>
      </c>
      <c r="C10609" t="s">
        <v>33485</v>
      </c>
      <c r="D10609" t="s">
        <v>33480</v>
      </c>
      <c r="E10609">
        <v>3</v>
      </c>
      <c r="F10609" t="str">
        <f>HYPERLINK("https://github.com/MuntashirAkon/AppManager/issues/994", "show")</f>
        <v>show</v>
      </c>
      <c r="G10609" t="str">
        <f>HYPERLINK("https://github.com/MuntashirAkon/AppManager", "show")</f>
        <v>show</v>
      </c>
      <c r="H10609" t="str">
        <f>HYPERLINK("https://github.com/MuntashirAkon/AppManager/releases", "show")</f>
        <v>show</v>
      </c>
      <c r="I10609">
        <v>1</v>
      </c>
      <c r="J10609">
        <v>1</v>
      </c>
      <c r="K10609">
        <v>0</v>
      </c>
      <c r="L10609">
        <v>0</v>
      </c>
      <c r="M10609" t="s">
        <v>48</v>
      </c>
    </row>
    <row r="10610" spans="1:13" hidden="1" x14ac:dyDescent="0.15">
      <c r="A10610" t="s">
        <v>33486</v>
      </c>
      <c r="B10610" t="s">
        <v>33487</v>
      </c>
      <c r="C10610" t="s">
        <v>33488</v>
      </c>
      <c r="D10610" t="s">
        <v>33480</v>
      </c>
      <c r="E10610">
        <v>4</v>
      </c>
      <c r="F10610" t="str">
        <f>HYPERLINK("https://github.com/PojavLauncherTeam/PojavLauncher/issues/3939", "show")</f>
        <v>show</v>
      </c>
      <c r="G10610" t="str">
        <f>HYPERLINK("https://github.com/PojavLauncherTeam/PojavLauncher", "show")</f>
        <v>show</v>
      </c>
      <c r="H10610" t="str">
        <f>HYPERLINK("https://github.com/PojavLauncherTeam/PojavLauncher/releases", "show")</f>
        <v>show</v>
      </c>
      <c r="I10610">
        <v>1</v>
      </c>
      <c r="J10610">
        <v>1</v>
      </c>
      <c r="K10610">
        <v>1</v>
      </c>
      <c r="L10610">
        <v>0</v>
      </c>
      <c r="M10610" t="s">
        <v>59</v>
      </c>
    </row>
    <row r="10611" spans="1:13" hidden="1" x14ac:dyDescent="0.15">
      <c r="A10611" t="s">
        <v>33489</v>
      </c>
      <c r="B10611" t="s">
        <v>33490</v>
      </c>
      <c r="C10611" t="s">
        <v>33491</v>
      </c>
      <c r="D10611" t="s">
        <v>33492</v>
      </c>
      <c r="E10611">
        <v>26</v>
      </c>
      <c r="F10611" t="str">
        <f>HYPERLINK("https://github.com/kongzue/DialogX/issues/274", "show")</f>
        <v>show</v>
      </c>
      <c r="G10611" t="str">
        <f>HYPERLINK("https://github.com/kongzue/DialogX", "show")</f>
        <v>show</v>
      </c>
      <c r="H10611" t="str">
        <f>HYPERLINK("https://github.com/kongzue/DialogX/releases", "show")</f>
        <v>show</v>
      </c>
      <c r="I10611">
        <v>0</v>
      </c>
      <c r="J10611">
        <v>0</v>
      </c>
      <c r="K10611">
        <v>1</v>
      </c>
      <c r="L10611">
        <v>0</v>
      </c>
      <c r="M10611" t="s">
        <v>122</v>
      </c>
    </row>
    <row r="10612" spans="1:13" hidden="1" x14ac:dyDescent="0.15">
      <c r="A10612" t="s">
        <v>33493</v>
      </c>
      <c r="B10612" t="s">
        <v>33494</v>
      </c>
      <c r="C10612" t="s">
        <v>33495</v>
      </c>
      <c r="D10612" t="s">
        <v>33492</v>
      </c>
      <c r="E10612">
        <v>3</v>
      </c>
      <c r="F10612" t="str">
        <f>HYPERLINK("https://github.com/nextcloud/android/issues/11369", "show")</f>
        <v>show</v>
      </c>
      <c r="G10612" t="str">
        <f>HYPERLINK("https://github.com/nextcloud/android", "show")</f>
        <v>show</v>
      </c>
      <c r="H10612" t="str">
        <f>HYPERLINK("https://github.com/nextcloud/android/releases", "show")</f>
        <v>show</v>
      </c>
      <c r="I10612">
        <v>1</v>
      </c>
      <c r="J10612">
        <v>1</v>
      </c>
      <c r="K10612">
        <v>0</v>
      </c>
      <c r="L10612">
        <v>0</v>
      </c>
      <c r="M10612" t="s">
        <v>48</v>
      </c>
    </row>
    <row r="10613" spans="1:13" hidden="1" x14ac:dyDescent="0.15">
      <c r="A10613" t="s">
        <v>33496</v>
      </c>
      <c r="B10613" t="s">
        <v>33497</v>
      </c>
      <c r="C10613" t="s">
        <v>33498</v>
      </c>
      <c r="D10613" t="s">
        <v>33492</v>
      </c>
      <c r="E10613">
        <v>0</v>
      </c>
      <c r="F10613" t="str">
        <f>HYPERLINK("https://github.com/google/ExoPlayer/issues/10977", "show")</f>
        <v>show</v>
      </c>
      <c r="G10613" t="str">
        <f>HYPERLINK("https://github.com/google/ExoPlayer", "show")</f>
        <v>show</v>
      </c>
      <c r="H10613" t="str">
        <f>HYPERLINK("https://github.com/google/ExoPlayer/releases", "show")</f>
        <v>show</v>
      </c>
      <c r="I10613">
        <v>1</v>
      </c>
      <c r="J10613">
        <v>1</v>
      </c>
      <c r="K10613">
        <v>1</v>
      </c>
      <c r="L10613">
        <v>0</v>
      </c>
      <c r="M10613" t="s">
        <v>59</v>
      </c>
    </row>
    <row r="10614" spans="1:13" hidden="1" x14ac:dyDescent="0.15">
      <c r="A10614" t="s">
        <v>33499</v>
      </c>
      <c r="B10614" t="s">
        <v>33500</v>
      </c>
      <c r="C10614" t="s">
        <v>33501</v>
      </c>
      <c r="D10614" t="s">
        <v>33492</v>
      </c>
      <c r="E10614">
        <v>5</v>
      </c>
      <c r="F10614" t="str">
        <f>HYPERLINK("https://github.com/Anuken/Mindustry/issues/8282", "show")</f>
        <v>show</v>
      </c>
      <c r="G10614" t="str">
        <f>HYPERLINK("https://github.com/Anuken/Mindustry", "show")</f>
        <v>show</v>
      </c>
      <c r="H10614" t="str">
        <f>HYPERLINK("https://github.com/Anuken/Mindustry/releases", "show")</f>
        <v>show</v>
      </c>
      <c r="I10614">
        <v>0</v>
      </c>
      <c r="J10614">
        <v>0</v>
      </c>
      <c r="K10614">
        <v>0</v>
      </c>
      <c r="L10614">
        <v>0</v>
      </c>
      <c r="M10614" t="s">
        <v>43</v>
      </c>
    </row>
    <row r="10615" spans="1:13" hidden="1" x14ac:dyDescent="0.15">
      <c r="A10615" t="s">
        <v>33502</v>
      </c>
      <c r="B10615" t="s">
        <v>33503</v>
      </c>
      <c r="C10615" t="s">
        <v>33504</v>
      </c>
      <c r="D10615" t="s">
        <v>33492</v>
      </c>
      <c r="E10615">
        <v>0</v>
      </c>
      <c r="F10615" t="str">
        <f>HYPERLINK("https://github.com/jellyfin/jellyfin-androidtv/issues/2489", "show")</f>
        <v>show</v>
      </c>
      <c r="G10615" t="str">
        <f>HYPERLINK("https://github.com/jellyfin/jellyfin-androidtv", "show")</f>
        <v>show</v>
      </c>
      <c r="H10615" t="str">
        <f>HYPERLINK("https://github.com/jellyfin/jellyfin-androidtv/releases", "show")</f>
        <v>show</v>
      </c>
      <c r="I10615">
        <v>1</v>
      </c>
      <c r="J10615">
        <v>0</v>
      </c>
      <c r="K10615">
        <v>0</v>
      </c>
      <c r="L10615">
        <v>0</v>
      </c>
      <c r="M10615" t="s">
        <v>17</v>
      </c>
    </row>
    <row r="10616" spans="1:13" hidden="1" x14ac:dyDescent="0.15">
      <c r="A10616" t="s">
        <v>33505</v>
      </c>
      <c r="B10616" t="s">
        <v>33506</v>
      </c>
      <c r="C10616" t="s">
        <v>33507</v>
      </c>
      <c r="D10616" t="s">
        <v>33492</v>
      </c>
      <c r="E10616">
        <v>5</v>
      </c>
      <c r="F10616" t="str">
        <f>HYPERLINK("https://github.com/forrestguice/SuntimesWidget/issues/691", "show")</f>
        <v>show</v>
      </c>
      <c r="G10616" t="str">
        <f>HYPERLINK("https://github.com/forrestguice/SuntimesWidget", "show")</f>
        <v>show</v>
      </c>
      <c r="H10616" t="str">
        <f>HYPERLINK("https://github.com/forrestguice/SuntimesWidget/releases", "show")</f>
        <v>show</v>
      </c>
      <c r="I10616">
        <v>1</v>
      </c>
      <c r="J10616">
        <v>1</v>
      </c>
      <c r="K10616">
        <v>0</v>
      </c>
      <c r="L10616">
        <v>0</v>
      </c>
      <c r="M10616" t="s">
        <v>48</v>
      </c>
    </row>
    <row r="10617" spans="1:13" hidden="1" x14ac:dyDescent="0.15">
      <c r="A10617" t="s">
        <v>33508</v>
      </c>
      <c r="B10617" t="s">
        <v>33509</v>
      </c>
      <c r="C10617" t="s">
        <v>33510</v>
      </c>
      <c r="D10617" t="s">
        <v>33511</v>
      </c>
      <c r="E10617">
        <v>16</v>
      </c>
      <c r="F10617" t="str">
        <f>HYPERLINK("https://github.com/TeamNewPipe/NewPipe/issues/9774", "show")</f>
        <v>show</v>
      </c>
      <c r="G10617" t="str">
        <f>HYPERLINK("https://github.com/TeamNewPipe/NewPipe", "show")</f>
        <v>show</v>
      </c>
      <c r="H10617" t="str">
        <f>HYPERLINK("https://github.com/TeamNewPipe/NewPipe/releases", "show")</f>
        <v>show</v>
      </c>
      <c r="I10617">
        <v>1</v>
      </c>
      <c r="J10617">
        <v>1</v>
      </c>
      <c r="K10617">
        <v>1</v>
      </c>
      <c r="L10617">
        <v>0</v>
      </c>
      <c r="M10617" t="s">
        <v>59</v>
      </c>
    </row>
    <row r="10618" spans="1:13" hidden="1" x14ac:dyDescent="0.15">
      <c r="A10618" t="s">
        <v>33512</v>
      </c>
      <c r="B10618" t="s">
        <v>10882</v>
      </c>
      <c r="C10618" t="s">
        <v>33513</v>
      </c>
      <c r="D10618" t="s">
        <v>33511</v>
      </c>
      <c r="E10618">
        <v>18</v>
      </c>
      <c r="F10618" t="str">
        <f>HYPERLINK("https://github.com/PojavLauncherTeam/PojavLauncher/issues/3938", "show")</f>
        <v>show</v>
      </c>
      <c r="G10618" t="str">
        <f>HYPERLINK("https://github.com/PojavLauncherTeam/PojavLauncher", "show")</f>
        <v>show</v>
      </c>
      <c r="H10618" t="str">
        <f>HYPERLINK("https://github.com/PojavLauncherTeam/PojavLauncher/releases", "show")</f>
        <v>show</v>
      </c>
      <c r="I10618">
        <v>0</v>
      </c>
      <c r="J10618">
        <v>0</v>
      </c>
      <c r="K10618">
        <v>0</v>
      </c>
      <c r="L10618">
        <v>0</v>
      </c>
      <c r="M10618" t="s">
        <v>43</v>
      </c>
    </row>
    <row r="10619" spans="1:13" hidden="1" x14ac:dyDescent="0.15">
      <c r="A10619" t="s">
        <v>33514</v>
      </c>
      <c r="B10619" t="s">
        <v>33515</v>
      </c>
      <c r="C10619" t="s">
        <v>33516</v>
      </c>
      <c r="D10619" t="s">
        <v>33517</v>
      </c>
      <c r="E10619">
        <v>2</v>
      </c>
      <c r="F10619" t="str">
        <f>HYPERLINK("https://github.com/aws/aws-iot-device-sdk-java-v2/issues/365", "show")</f>
        <v>show</v>
      </c>
      <c r="G10619" t="str">
        <f>HYPERLINK("https://github.com/aws/aws-iot-device-sdk-java-v2", "show")</f>
        <v>show</v>
      </c>
      <c r="H10619" t="str">
        <f>HYPERLINK("https://github.com/aws/aws-iot-device-sdk-java-v2/releases", "show")</f>
        <v>show</v>
      </c>
      <c r="I10619">
        <v>0</v>
      </c>
      <c r="J10619">
        <v>0</v>
      </c>
      <c r="K10619">
        <v>0</v>
      </c>
      <c r="L10619">
        <v>0</v>
      </c>
      <c r="M10619" t="s">
        <v>43</v>
      </c>
    </row>
    <row r="10620" spans="1:13" hidden="1" x14ac:dyDescent="0.15">
      <c r="A10620" t="s">
        <v>33518</v>
      </c>
      <c r="B10620" t="s">
        <v>33519</v>
      </c>
      <c r="C10620" t="s">
        <v>33520</v>
      </c>
      <c r="D10620" t="s">
        <v>33517</v>
      </c>
      <c r="E10620">
        <v>1</v>
      </c>
      <c r="F10620" t="str">
        <f>HYPERLINK("https://github.com/Anuken/Mindustry/issues/8269", "show")</f>
        <v>show</v>
      </c>
      <c r="G10620" t="str">
        <f>HYPERLINK("https://github.com/Anuken/Mindustry", "show")</f>
        <v>show</v>
      </c>
      <c r="H10620" t="str">
        <f>HYPERLINK("https://github.com/Anuken/Mindustry/releases", "show")</f>
        <v>show</v>
      </c>
      <c r="I10620">
        <v>1</v>
      </c>
      <c r="J10620">
        <v>1</v>
      </c>
      <c r="K10620">
        <v>0</v>
      </c>
      <c r="L10620">
        <v>0</v>
      </c>
      <c r="M10620" t="s">
        <v>48</v>
      </c>
    </row>
    <row r="10621" spans="1:13" hidden="1" x14ac:dyDescent="0.15">
      <c r="A10621" t="s">
        <v>33521</v>
      </c>
      <c r="B10621" t="s">
        <v>33522</v>
      </c>
      <c r="C10621" t="s">
        <v>33523</v>
      </c>
      <c r="D10621" t="s">
        <v>33517</v>
      </c>
      <c r="E10621">
        <v>173</v>
      </c>
      <c r="F10621" t="str">
        <f>HYPERLINK("https://github.com/LawnchairLauncher/lawnchair/issues/3317", "show")</f>
        <v>show</v>
      </c>
      <c r="G10621" t="str">
        <f>HYPERLINK("https://github.com/LawnchairLauncher/lawnchair", "show")</f>
        <v>show</v>
      </c>
      <c r="H10621" t="str">
        <f>HYPERLINK("https://github.com/LawnchairLauncher/lawnchair/releases", "show")</f>
        <v>show</v>
      </c>
      <c r="I10621">
        <v>1</v>
      </c>
      <c r="J10621">
        <v>1</v>
      </c>
      <c r="K10621">
        <v>1</v>
      </c>
      <c r="L10621">
        <v>0</v>
      </c>
      <c r="M10621" t="s">
        <v>59</v>
      </c>
    </row>
    <row r="10622" spans="1:13" hidden="1" x14ac:dyDescent="0.15">
      <c r="A10622" t="s">
        <v>33524</v>
      </c>
      <c r="B10622" t="s">
        <v>33525</v>
      </c>
      <c r="C10622" t="s">
        <v>33526</v>
      </c>
      <c r="D10622" t="s">
        <v>33517</v>
      </c>
      <c r="E10622">
        <v>7</v>
      </c>
      <c r="F10622" t="str">
        <f>HYPERLINK("https://github.com/google/ExoPlayer/issues/10971", "show")</f>
        <v>show</v>
      </c>
      <c r="G10622" t="str">
        <f>HYPERLINK("https://github.com/google/ExoPlayer", "show")</f>
        <v>show</v>
      </c>
      <c r="H10622" t="str">
        <f>HYPERLINK("https://github.com/google/ExoPlayer/releases", "show")</f>
        <v>show</v>
      </c>
      <c r="I10622">
        <v>1</v>
      </c>
      <c r="J10622">
        <v>0</v>
      </c>
      <c r="K10622">
        <v>1</v>
      </c>
      <c r="L10622">
        <v>0</v>
      </c>
      <c r="M10622" t="s">
        <v>64</v>
      </c>
    </row>
    <row r="10623" spans="1:13" hidden="1" x14ac:dyDescent="0.15">
      <c r="A10623" t="s">
        <v>33527</v>
      </c>
      <c r="B10623" t="s">
        <v>33528</v>
      </c>
      <c r="C10623" t="s">
        <v>33529</v>
      </c>
      <c r="D10623" t="s">
        <v>33517</v>
      </c>
      <c r="E10623">
        <v>1</v>
      </c>
      <c r="F10623" t="str">
        <f>HYPERLINK("https://github.com/omnilaboratory/OBAndroid/issues/10", "show")</f>
        <v>show</v>
      </c>
      <c r="G10623" t="str">
        <f>HYPERLINK("https://github.com/omnilaboratory/OBAndroid", "show")</f>
        <v>show</v>
      </c>
      <c r="H10623" t="str">
        <f>HYPERLINK("https://github.com/omnilaboratory/OBAndroid/releases", "show")</f>
        <v>show</v>
      </c>
      <c r="I10623">
        <v>1</v>
      </c>
      <c r="J10623">
        <v>0</v>
      </c>
      <c r="K10623">
        <v>0</v>
      </c>
      <c r="L10623">
        <v>0</v>
      </c>
      <c r="M10623" t="s">
        <v>17</v>
      </c>
    </row>
    <row r="10624" spans="1:13" x14ac:dyDescent="0.15">
      <c r="A10624" t="s">
        <v>33530</v>
      </c>
      <c r="B10624" t="s">
        <v>33531</v>
      </c>
      <c r="C10624" t="s">
        <v>33532</v>
      </c>
      <c r="D10624" t="s">
        <v>33517</v>
      </c>
      <c r="E10624">
        <v>10</v>
      </c>
      <c r="F10624" t="str">
        <f>HYPERLINK("https://github.com/PojavLauncherTeam/PojavLauncher/issues/3936", "show")</f>
        <v>show</v>
      </c>
      <c r="G10624" t="str">
        <f>HYPERLINK("https://github.com/PojavLauncherTeam/PojavLauncher", "show")</f>
        <v>show</v>
      </c>
      <c r="H10624" t="str">
        <f>HYPERLINK("https://github.com/PojavLauncherTeam/PojavLauncher/releases", "show")</f>
        <v>show</v>
      </c>
      <c r="I10624">
        <v>0</v>
      </c>
      <c r="J10624">
        <v>1</v>
      </c>
      <c r="K10624">
        <v>0</v>
      </c>
      <c r="L10624">
        <v>0</v>
      </c>
      <c r="M10624" t="s">
        <v>139</v>
      </c>
    </row>
    <row r="10625" spans="1:13" hidden="1" x14ac:dyDescent="0.15">
      <c r="A10625" t="s">
        <v>33533</v>
      </c>
      <c r="B10625" t="s">
        <v>33534</v>
      </c>
      <c r="C10625" t="s">
        <v>33535</v>
      </c>
      <c r="D10625" t="s">
        <v>33517</v>
      </c>
      <c r="E10625">
        <v>5</v>
      </c>
      <c r="F10625" t="str">
        <f>HYPERLINK("https://github.com/nextcloud/android/issues/11361", "show")</f>
        <v>show</v>
      </c>
      <c r="G10625" t="str">
        <f>HYPERLINK("https://github.com/nextcloud/android", "show")</f>
        <v>show</v>
      </c>
      <c r="H10625" t="str">
        <f>HYPERLINK("https://github.com/nextcloud/android/releases", "show")</f>
        <v>show</v>
      </c>
      <c r="I10625">
        <v>1</v>
      </c>
      <c r="J10625">
        <v>1</v>
      </c>
      <c r="K10625">
        <v>1</v>
      </c>
      <c r="L10625">
        <v>1</v>
      </c>
      <c r="M10625" t="s">
        <v>2875</v>
      </c>
    </row>
    <row r="10626" spans="1:13" hidden="1" x14ac:dyDescent="0.15">
      <c r="A10626" t="s">
        <v>33536</v>
      </c>
      <c r="B10626" t="s">
        <v>33537</v>
      </c>
      <c r="C10626" t="s">
        <v>33538</v>
      </c>
      <c r="D10626" t="s">
        <v>33517</v>
      </c>
      <c r="E10626">
        <v>1</v>
      </c>
      <c r="F10626" t="str">
        <f>HYPERLINK("https://github.com/Anuken/Mindustry/issues/8267", "show")</f>
        <v>show</v>
      </c>
      <c r="G10626" t="str">
        <f>HYPERLINK("https://github.com/Anuken/Mindustry", "show")</f>
        <v>show</v>
      </c>
      <c r="H10626" t="str">
        <f>HYPERLINK("https://github.com/Anuken/Mindustry/releases", "show")</f>
        <v>show</v>
      </c>
      <c r="I10626">
        <v>1</v>
      </c>
      <c r="J10626">
        <v>1</v>
      </c>
      <c r="K10626">
        <v>0</v>
      </c>
      <c r="L10626">
        <v>0</v>
      </c>
      <c r="M10626" t="s">
        <v>48</v>
      </c>
    </row>
    <row r="10627" spans="1:13" hidden="1" x14ac:dyDescent="0.15">
      <c r="A10627" t="s">
        <v>33539</v>
      </c>
      <c r="B10627" t="s">
        <v>33540</v>
      </c>
      <c r="C10627" t="s">
        <v>33541</v>
      </c>
      <c r="D10627" t="s">
        <v>33542</v>
      </c>
      <c r="E10627">
        <v>1</v>
      </c>
      <c r="F10627" t="str">
        <f>HYPERLINK("https://github.com/nextcloud/android/issues/11359", "show")</f>
        <v>show</v>
      </c>
      <c r="G10627" t="str">
        <f>HYPERLINK("https://github.com/nextcloud/android", "show")</f>
        <v>show</v>
      </c>
      <c r="H10627" t="str">
        <f>HYPERLINK("https://github.com/nextcloud/android/releases", "show")</f>
        <v>show</v>
      </c>
      <c r="I10627">
        <v>1</v>
      </c>
      <c r="J10627">
        <v>1</v>
      </c>
      <c r="K10627">
        <v>1</v>
      </c>
      <c r="L10627">
        <v>0</v>
      </c>
      <c r="M10627" t="s">
        <v>59</v>
      </c>
    </row>
    <row r="10628" spans="1:13" hidden="1" x14ac:dyDescent="0.15">
      <c r="A10628" t="s">
        <v>33543</v>
      </c>
      <c r="B10628" t="s">
        <v>33544</v>
      </c>
      <c r="C10628" t="s">
        <v>33545</v>
      </c>
      <c r="D10628" t="s">
        <v>33542</v>
      </c>
      <c r="E10628">
        <v>30</v>
      </c>
      <c r="F10628" t="str">
        <f>HYPERLINK("https://github.com/OTTAA-Project/OTTAAProject/issues/163", "show")</f>
        <v>show</v>
      </c>
      <c r="G10628" t="str">
        <f>HYPERLINK("https://github.com/OTTAA-Project/OTTAAProject", "show")</f>
        <v>show</v>
      </c>
      <c r="H10628" t="str">
        <f>HYPERLINK("https://github.com/OTTAA-Project/OTTAAProject/releases", "show")</f>
        <v>show</v>
      </c>
      <c r="I10628">
        <v>0</v>
      </c>
      <c r="J10628">
        <v>0</v>
      </c>
      <c r="K10628">
        <v>1</v>
      </c>
      <c r="L10628">
        <v>0</v>
      </c>
      <c r="M10628" t="s">
        <v>122</v>
      </c>
    </row>
    <row r="10629" spans="1:13" hidden="1" x14ac:dyDescent="0.15">
      <c r="A10629" t="s">
        <v>33546</v>
      </c>
      <c r="B10629" t="s">
        <v>33547</v>
      </c>
      <c r="C10629" t="s">
        <v>33548</v>
      </c>
      <c r="D10629" t="s">
        <v>33549</v>
      </c>
      <c r="E10629">
        <v>68</v>
      </c>
      <c r="F10629" t="str">
        <f>HYPERLINK("https://github.com/UCI-Networking-Group/AntMonitor/issues/7", "show")</f>
        <v>show</v>
      </c>
      <c r="G10629" t="str">
        <f>HYPERLINK("https://github.com/UCI-Networking-Group/AntMonitor", "show")</f>
        <v>show</v>
      </c>
      <c r="H10629" t="str">
        <f>HYPERLINK("https://github.com/UCI-Networking-Group/AntMonitor/releases", "show")</f>
        <v>show</v>
      </c>
      <c r="I10629">
        <v>0</v>
      </c>
      <c r="J10629">
        <v>0</v>
      </c>
      <c r="K10629">
        <v>0</v>
      </c>
      <c r="L10629">
        <v>0</v>
      </c>
      <c r="M10629" t="s">
        <v>43</v>
      </c>
    </row>
    <row r="10630" spans="1:13" hidden="1" x14ac:dyDescent="0.15">
      <c r="A10630" t="s">
        <v>33550</v>
      </c>
      <c r="B10630" t="s">
        <v>33551</v>
      </c>
      <c r="C10630" t="s">
        <v>33552</v>
      </c>
      <c r="D10630" t="s">
        <v>33549</v>
      </c>
      <c r="E10630">
        <v>3</v>
      </c>
      <c r="F10630" t="str">
        <f>HYPERLINK("https://github.com/maityamit/Sleepometer-Android-App/issues/61", "show")</f>
        <v>show</v>
      </c>
      <c r="G10630" t="str">
        <f>HYPERLINK("https://github.com/maityamit/Sleepometer-Android-App", "show")</f>
        <v>show</v>
      </c>
      <c r="H10630" t="str">
        <f>HYPERLINK("https://github.com/maityamit/Sleepometer-Android-App/releases", "show")</f>
        <v>show</v>
      </c>
      <c r="I10630">
        <v>1</v>
      </c>
      <c r="J10630">
        <v>0</v>
      </c>
      <c r="K10630">
        <v>0</v>
      </c>
      <c r="L10630">
        <v>1</v>
      </c>
      <c r="M10630" t="s">
        <v>29</v>
      </c>
    </row>
    <row r="10631" spans="1:13" hidden="1" x14ac:dyDescent="0.15">
      <c r="A10631" t="s">
        <v>33553</v>
      </c>
      <c r="B10631" t="s">
        <v>33554</v>
      </c>
      <c r="C10631" t="s">
        <v>33555</v>
      </c>
      <c r="D10631" t="s">
        <v>33549</v>
      </c>
      <c r="E10631">
        <v>105</v>
      </c>
      <c r="F10631" t="str">
        <f>HYPERLINK("https://github.com/0XDE57/SpaceProject/issues/24", "show")</f>
        <v>show</v>
      </c>
      <c r="G10631" t="str">
        <f>HYPERLINK("https://github.com/0XDE57/SpaceProject", "show")</f>
        <v>show</v>
      </c>
      <c r="H10631" t="str">
        <f>HYPERLINK("https://github.com/0XDE57/SpaceProject/releases", "show")</f>
        <v>show</v>
      </c>
      <c r="I10631">
        <v>1</v>
      </c>
      <c r="J10631">
        <v>0</v>
      </c>
      <c r="K10631">
        <v>0</v>
      </c>
      <c r="L10631">
        <v>0</v>
      </c>
      <c r="M10631" t="s">
        <v>17</v>
      </c>
    </row>
    <row r="10632" spans="1:13" hidden="1" x14ac:dyDescent="0.15">
      <c r="A10632" t="s">
        <v>33556</v>
      </c>
      <c r="B10632" t="s">
        <v>33557</v>
      </c>
      <c r="C10632" t="s">
        <v>33558</v>
      </c>
      <c r="D10632" t="s">
        <v>33559</v>
      </c>
      <c r="E10632">
        <v>2</v>
      </c>
      <c r="F10632" t="str">
        <f>HYPERLINK("https://github.com/PojavLauncherTeam/PojavLauncher/issues/3926", "show")</f>
        <v>show</v>
      </c>
      <c r="G10632" t="str">
        <f>HYPERLINK("https://github.com/PojavLauncherTeam/PojavLauncher", "show")</f>
        <v>show</v>
      </c>
      <c r="H10632" t="str">
        <f>HYPERLINK("https://github.com/PojavLauncherTeam/PojavLauncher/releases", "show")</f>
        <v>show</v>
      </c>
      <c r="I10632">
        <v>1</v>
      </c>
      <c r="J10632">
        <v>1</v>
      </c>
      <c r="K10632">
        <v>0</v>
      </c>
      <c r="L10632">
        <v>0</v>
      </c>
      <c r="M10632" t="s">
        <v>48</v>
      </c>
    </row>
    <row r="10633" spans="1:13" hidden="1" x14ac:dyDescent="0.15">
      <c r="A10633" t="s">
        <v>33560</v>
      </c>
      <c r="B10633" t="s">
        <v>33561</v>
      </c>
      <c r="C10633" t="s">
        <v>33562</v>
      </c>
      <c r="D10633" t="s">
        <v>33559</v>
      </c>
      <c r="E10633">
        <v>28</v>
      </c>
      <c r="F10633" t="str">
        <f>HYPERLINK("https://github.com/skewyapp/skewyapp/issues/27", "show")</f>
        <v>show</v>
      </c>
      <c r="G10633" t="str">
        <f>HYPERLINK("https://github.com/skewyapp/skewyapp", "show")</f>
        <v>show</v>
      </c>
      <c r="H10633" t="str">
        <f>HYPERLINK("https://github.com/skewyapp/skewyapp/releases", "show")</f>
        <v>show</v>
      </c>
      <c r="I10633">
        <v>1</v>
      </c>
      <c r="J10633">
        <v>0</v>
      </c>
      <c r="K10633">
        <v>1</v>
      </c>
      <c r="L10633">
        <v>0</v>
      </c>
      <c r="M10633" t="s">
        <v>64</v>
      </c>
    </row>
    <row r="10634" spans="1:13" hidden="1" x14ac:dyDescent="0.15">
      <c r="A10634" t="s">
        <v>33563</v>
      </c>
      <c r="B10634" t="s">
        <v>33564</v>
      </c>
      <c r="C10634" t="s">
        <v>33565</v>
      </c>
      <c r="D10634" t="s">
        <v>33559</v>
      </c>
      <c r="E10634">
        <v>15</v>
      </c>
      <c r="F10634" t="str">
        <f>HYPERLINK("https://github.com/PojavLauncherTeam/PojavLauncher/issues/3924", "show")</f>
        <v>show</v>
      </c>
      <c r="G10634" t="str">
        <f>HYPERLINK("https://github.com/PojavLauncherTeam/PojavLauncher", "show")</f>
        <v>show</v>
      </c>
      <c r="H10634" t="str">
        <f>HYPERLINK("https://github.com/PojavLauncherTeam/PojavLauncher/releases", "show")</f>
        <v>show</v>
      </c>
      <c r="I10634">
        <v>1</v>
      </c>
      <c r="J10634">
        <v>0</v>
      </c>
      <c r="K10634">
        <v>0</v>
      </c>
      <c r="L10634">
        <v>0</v>
      </c>
      <c r="M10634" t="s">
        <v>17</v>
      </c>
    </row>
    <row r="10635" spans="1:13" x14ac:dyDescent="0.15">
      <c r="A10635" t="s">
        <v>33566</v>
      </c>
      <c r="B10635" t="s">
        <v>1345</v>
      </c>
      <c r="C10635" t="s">
        <v>33567</v>
      </c>
      <c r="D10635" t="s">
        <v>33568</v>
      </c>
      <c r="E10635">
        <v>1</v>
      </c>
      <c r="F10635" t="str">
        <f>HYPERLINK("https://github.com/AlfaazPlus/QuranApp/issues/15", "show")</f>
        <v>show</v>
      </c>
      <c r="G10635" t="str">
        <f>HYPERLINK("https://github.com/AlfaazPlus/QuranApp", "show")</f>
        <v>show</v>
      </c>
      <c r="H10635" t="str">
        <f>HYPERLINK("https://github.com/AlfaazPlus/QuranApp/releases", "show")</f>
        <v>show</v>
      </c>
      <c r="I10635">
        <v>0</v>
      </c>
      <c r="J10635">
        <v>1</v>
      </c>
      <c r="K10635">
        <v>0</v>
      </c>
      <c r="L10635">
        <v>0</v>
      </c>
      <c r="M10635" t="s">
        <v>139</v>
      </c>
    </row>
    <row r="10636" spans="1:13" hidden="1" x14ac:dyDescent="0.15">
      <c r="A10636" t="s">
        <v>33569</v>
      </c>
      <c r="B10636" t="s">
        <v>33570</v>
      </c>
      <c r="C10636" t="s">
        <v>33571</v>
      </c>
      <c r="D10636" t="s">
        <v>33568</v>
      </c>
      <c r="E10636">
        <v>0</v>
      </c>
      <c r="F10636" t="str">
        <f>HYPERLINK("https://github.com/PojavLauncherTeam/PojavLauncher/issues/3923", "show")</f>
        <v>show</v>
      </c>
      <c r="G10636" t="str">
        <f>HYPERLINK("https://github.com/PojavLauncherTeam/PojavLauncher", "show")</f>
        <v>show</v>
      </c>
      <c r="H10636" t="str">
        <f>HYPERLINK("https://github.com/PojavLauncherTeam/PojavLauncher/releases", "show")</f>
        <v>show</v>
      </c>
      <c r="I10636">
        <v>1</v>
      </c>
      <c r="J10636">
        <v>1</v>
      </c>
      <c r="K10636">
        <v>0</v>
      </c>
      <c r="L10636">
        <v>0</v>
      </c>
      <c r="M10636" t="s">
        <v>48</v>
      </c>
    </row>
    <row r="10637" spans="1:13" hidden="1" x14ac:dyDescent="0.15">
      <c r="A10637" t="s">
        <v>33572</v>
      </c>
      <c r="B10637" t="s">
        <v>33573</v>
      </c>
      <c r="C10637" t="s">
        <v>33574</v>
      </c>
      <c r="D10637" t="s">
        <v>33568</v>
      </c>
      <c r="E10637">
        <v>0</v>
      </c>
      <c r="F10637" t="str">
        <f>HYPERLINK("https://github.com/Sesu8642/FeudalTactics/issues/39", "show")</f>
        <v>show</v>
      </c>
      <c r="G10637" t="str">
        <f>HYPERLINK("https://github.com/Sesu8642/FeudalTactics", "show")</f>
        <v>show</v>
      </c>
      <c r="H10637" t="str">
        <f>HYPERLINK("https://github.com/Sesu8642/FeudalTactics/releases", "show")</f>
        <v>show</v>
      </c>
      <c r="I10637">
        <v>1</v>
      </c>
      <c r="J10637">
        <v>0</v>
      </c>
      <c r="K10637">
        <v>0</v>
      </c>
      <c r="L10637">
        <v>1</v>
      </c>
      <c r="M10637" t="s">
        <v>29</v>
      </c>
    </row>
    <row r="10638" spans="1:13" x14ac:dyDescent="0.15">
      <c r="A10638" t="s">
        <v>33575</v>
      </c>
      <c r="B10638" t="s">
        <v>33576</v>
      </c>
      <c r="C10638" t="s">
        <v>33577</v>
      </c>
      <c r="D10638" t="s">
        <v>33578</v>
      </c>
      <c r="E10638">
        <v>4</v>
      </c>
      <c r="F10638" t="str">
        <f>HYPERLINK("https://github.com/TeamNewPipe/NewPipe/issues/9742", "show")</f>
        <v>show</v>
      </c>
      <c r="G10638" t="str">
        <f>HYPERLINK("https://github.com/TeamNewPipe/NewPipe", "show")</f>
        <v>show</v>
      </c>
      <c r="H10638" t="str">
        <f>HYPERLINK("https://github.com/TeamNewPipe/NewPipe/releases", "show")</f>
        <v>show</v>
      </c>
      <c r="I10638">
        <v>0</v>
      </c>
      <c r="J10638">
        <v>1</v>
      </c>
      <c r="K10638">
        <v>0</v>
      </c>
      <c r="L10638">
        <v>0</v>
      </c>
      <c r="M10638" t="s">
        <v>139</v>
      </c>
    </row>
    <row r="10639" spans="1:13" hidden="1" x14ac:dyDescent="0.15">
      <c r="A10639" t="s">
        <v>33579</v>
      </c>
      <c r="B10639" t="s">
        <v>33580</v>
      </c>
      <c r="C10639" t="s">
        <v>33581</v>
      </c>
      <c r="D10639" t="s">
        <v>33578</v>
      </c>
      <c r="E10639">
        <v>2</v>
      </c>
      <c r="F10639" t="str">
        <f>HYPERLINK("https://github.com/maityamit/Sleepometer-Android-App/issues/57", "show")</f>
        <v>show</v>
      </c>
      <c r="G10639" t="str">
        <f>HYPERLINK("https://github.com/maityamit/Sleepometer-Android-App", "show")</f>
        <v>show</v>
      </c>
      <c r="H10639" t="str">
        <f>HYPERLINK("https://github.com/maityamit/Sleepometer-Android-App/releases", "show")</f>
        <v>show</v>
      </c>
      <c r="I10639">
        <v>1</v>
      </c>
      <c r="J10639">
        <v>0</v>
      </c>
      <c r="K10639">
        <v>1</v>
      </c>
      <c r="L10639">
        <v>0</v>
      </c>
      <c r="M10639" t="s">
        <v>64</v>
      </c>
    </row>
    <row r="10640" spans="1:13" hidden="1" x14ac:dyDescent="0.15">
      <c r="A10640" t="s">
        <v>33582</v>
      </c>
      <c r="B10640" t="s">
        <v>33583</v>
      </c>
      <c r="C10640" t="s">
        <v>33584</v>
      </c>
      <c r="D10640" t="s">
        <v>33585</v>
      </c>
      <c r="E10640">
        <v>0</v>
      </c>
      <c r="F10640" t="str">
        <f>HYPERLINK("https://github.com/jellyfin/jellyfin-androidtv/issues/2469", "show")</f>
        <v>show</v>
      </c>
      <c r="G10640" t="str">
        <f>HYPERLINK("https://github.com/jellyfin/jellyfin-androidtv", "show")</f>
        <v>show</v>
      </c>
      <c r="H10640" t="str">
        <f>HYPERLINK("https://github.com/jellyfin/jellyfin-androidtv/releases", "show")</f>
        <v>show</v>
      </c>
      <c r="I10640">
        <v>1</v>
      </c>
      <c r="J10640">
        <v>0</v>
      </c>
      <c r="K10640">
        <v>0</v>
      </c>
      <c r="L10640">
        <v>0</v>
      </c>
      <c r="M10640" t="s">
        <v>17</v>
      </c>
    </row>
    <row r="10641" spans="1:13" hidden="1" x14ac:dyDescent="0.15">
      <c r="A10641" t="s">
        <v>33586</v>
      </c>
      <c r="B10641" t="s">
        <v>33587</v>
      </c>
      <c r="C10641" t="s">
        <v>33588</v>
      </c>
      <c r="D10641" t="s">
        <v>33585</v>
      </c>
      <c r="E10641">
        <v>31</v>
      </c>
      <c r="F10641" t="str">
        <f>HYPERLINK("https://github.com/AndroidIDEOfficial/AndroidIDE/issues/778", "show")</f>
        <v>show</v>
      </c>
      <c r="G10641" t="str">
        <f>HYPERLINK("https://github.com/AndroidIDEOfficial/AndroidIDE", "show")</f>
        <v>show</v>
      </c>
      <c r="H10641" t="str">
        <f>HYPERLINK("https://github.com/AndroidIDEOfficial/AndroidIDE/releases", "show")</f>
        <v>show</v>
      </c>
      <c r="I10641">
        <v>0</v>
      </c>
      <c r="J10641">
        <v>0</v>
      </c>
      <c r="K10641">
        <v>1</v>
      </c>
      <c r="L10641">
        <v>0</v>
      </c>
      <c r="M10641" t="s">
        <v>122</v>
      </c>
    </row>
    <row r="10642" spans="1:13" hidden="1" x14ac:dyDescent="0.15">
      <c r="A10642" t="s">
        <v>33589</v>
      </c>
      <c r="B10642" t="s">
        <v>33590</v>
      </c>
      <c r="C10642" t="s">
        <v>33591</v>
      </c>
      <c r="D10642" t="s">
        <v>33585</v>
      </c>
      <c r="E10642">
        <v>0</v>
      </c>
      <c r="F10642" t="str">
        <f>HYPERLINK("https://github.com/LSPosed/LSPosed/issues/2363", "show")</f>
        <v>show</v>
      </c>
      <c r="G10642" t="str">
        <f>HYPERLINK("https://github.com/LSPosed/LSPosed", "show")</f>
        <v>show</v>
      </c>
      <c r="H10642" t="str">
        <f>HYPERLINK("https://github.com/LSPosed/LSPosed/releases", "show")</f>
        <v>show</v>
      </c>
      <c r="I10642">
        <v>1</v>
      </c>
      <c r="J10642">
        <v>1</v>
      </c>
      <c r="K10642">
        <v>0</v>
      </c>
      <c r="L10642">
        <v>0</v>
      </c>
      <c r="M10642" t="s">
        <v>48</v>
      </c>
    </row>
    <row r="10643" spans="1:13" hidden="1" x14ac:dyDescent="0.15">
      <c r="A10643" t="s">
        <v>33592</v>
      </c>
      <c r="B10643" t="s">
        <v>33593</v>
      </c>
      <c r="C10643" t="s">
        <v>33594</v>
      </c>
      <c r="D10643" t="s">
        <v>33585</v>
      </c>
      <c r="E10643">
        <v>1</v>
      </c>
      <c r="F10643" t="str">
        <f>HYPERLINK("https://github.com/iiordanov/remote-desktop-clients/issues/419", "show")</f>
        <v>show</v>
      </c>
      <c r="G10643" t="str">
        <f>HYPERLINK("https://github.com/iiordanov/remote-desktop-clients", "show")</f>
        <v>show</v>
      </c>
      <c r="H10643" t="str">
        <f>HYPERLINK("https://github.com/iiordanov/remote-desktop-clients/releases", "show")</f>
        <v>show</v>
      </c>
      <c r="I10643">
        <v>1</v>
      </c>
      <c r="J10643">
        <v>0</v>
      </c>
      <c r="K10643">
        <v>0</v>
      </c>
      <c r="L10643">
        <v>0</v>
      </c>
      <c r="M10643" t="s">
        <v>17</v>
      </c>
    </row>
    <row r="10644" spans="1:13" hidden="1" x14ac:dyDescent="0.15">
      <c r="A10644" t="s">
        <v>33595</v>
      </c>
      <c r="B10644" t="s">
        <v>33596</v>
      </c>
      <c r="C10644" t="s">
        <v>33597</v>
      </c>
      <c r="D10644" t="s">
        <v>33585</v>
      </c>
      <c r="E10644">
        <v>5</v>
      </c>
      <c r="F10644" t="str">
        <f>HYPERLINK("https://github.com/VinylMusicPlayer/VinylMusicPlayer/issues/674", "show")</f>
        <v>show</v>
      </c>
      <c r="G10644" t="str">
        <f>HYPERLINK("https://github.com/VinylMusicPlayer/VinylMusicPlayer", "show")</f>
        <v>show</v>
      </c>
      <c r="H10644" t="str">
        <f>HYPERLINK("https://github.com/VinylMusicPlayer/VinylMusicPlayer/releases", "show")</f>
        <v>show</v>
      </c>
      <c r="I10644">
        <v>1</v>
      </c>
      <c r="J10644">
        <v>1</v>
      </c>
      <c r="K10644">
        <v>0</v>
      </c>
      <c r="L10644">
        <v>0</v>
      </c>
      <c r="M10644" t="s">
        <v>48</v>
      </c>
    </row>
    <row r="10645" spans="1:13" hidden="1" x14ac:dyDescent="0.15">
      <c r="A10645" t="s">
        <v>33598</v>
      </c>
      <c r="B10645" t="s">
        <v>33599</v>
      </c>
      <c r="C10645" t="s">
        <v>33600</v>
      </c>
      <c r="D10645" t="s">
        <v>33585</v>
      </c>
      <c r="E10645">
        <v>172</v>
      </c>
      <c r="F10645" t="str">
        <f>HYPERLINK("https://github.com/rafaelsetragni/awesome_notifications/issues/721", "show")</f>
        <v>show</v>
      </c>
      <c r="G10645" t="str">
        <f>HYPERLINK("https://github.com/rafaelsetragni/awesome_notifications", "show")</f>
        <v>show</v>
      </c>
      <c r="H10645" t="str">
        <f>HYPERLINK("https://github.com/rafaelsetragni/awesome_notifications/releases", "show")</f>
        <v>show</v>
      </c>
      <c r="I10645">
        <v>0</v>
      </c>
      <c r="J10645">
        <v>0</v>
      </c>
      <c r="K10645">
        <v>1</v>
      </c>
      <c r="L10645">
        <v>0</v>
      </c>
      <c r="M10645" t="s">
        <v>122</v>
      </c>
    </row>
    <row r="10646" spans="1:13" hidden="1" x14ac:dyDescent="0.15">
      <c r="A10646" t="s">
        <v>33601</v>
      </c>
      <c r="B10646" t="s">
        <v>33602</v>
      </c>
      <c r="C10646" t="s">
        <v>33603</v>
      </c>
      <c r="D10646" t="s">
        <v>33604</v>
      </c>
      <c r="E10646">
        <v>3</v>
      </c>
      <c r="F10646" t="str">
        <f>HYPERLINK("https://github.com/cgeo/cgeo/issues/13933", "show")</f>
        <v>show</v>
      </c>
      <c r="G10646" t="str">
        <f>HYPERLINK("https://github.com/cgeo/cgeo", "show")</f>
        <v>show</v>
      </c>
      <c r="H10646" t="str">
        <f>HYPERLINK("https://github.com/cgeo/cgeo/releases", "show")</f>
        <v>show</v>
      </c>
      <c r="I10646">
        <v>0</v>
      </c>
      <c r="J10646">
        <v>0</v>
      </c>
      <c r="K10646">
        <v>1</v>
      </c>
      <c r="L10646">
        <v>0</v>
      </c>
      <c r="M10646" t="s">
        <v>122</v>
      </c>
    </row>
    <row r="10647" spans="1:13" hidden="1" x14ac:dyDescent="0.15">
      <c r="A10647" t="s">
        <v>33605</v>
      </c>
      <c r="B10647" t="s">
        <v>33606</v>
      </c>
      <c r="C10647" t="s">
        <v>33607</v>
      </c>
      <c r="D10647" t="s">
        <v>33604</v>
      </c>
      <c r="E10647">
        <v>2</v>
      </c>
      <c r="F10647" t="str">
        <f>HYPERLINK("https://github.com/PojavLauncherTeam/PojavLauncher/issues/3901", "show")</f>
        <v>show</v>
      </c>
      <c r="G10647" t="str">
        <f>HYPERLINK("https://github.com/PojavLauncherTeam/PojavLauncher", "show")</f>
        <v>show</v>
      </c>
      <c r="H10647" t="str">
        <f>HYPERLINK("https://github.com/PojavLauncherTeam/PojavLauncher/releases", "show")</f>
        <v>show</v>
      </c>
      <c r="I10647">
        <v>1</v>
      </c>
      <c r="J10647">
        <v>1</v>
      </c>
      <c r="K10647">
        <v>0</v>
      </c>
      <c r="L10647">
        <v>0</v>
      </c>
      <c r="M10647" t="s">
        <v>48</v>
      </c>
    </row>
    <row r="10648" spans="1:13" hidden="1" x14ac:dyDescent="0.15">
      <c r="A10648" t="s">
        <v>33608</v>
      </c>
      <c r="B10648" t="s">
        <v>33609</v>
      </c>
      <c r="C10648" t="s">
        <v>33610</v>
      </c>
      <c r="D10648" t="s">
        <v>33604</v>
      </c>
      <c r="E10648">
        <v>13</v>
      </c>
      <c r="F10648" t="str">
        <f>HYPERLINK("https://github.com/SORMAS-Foundation/SORMAS-Project/issues/11428", "show")</f>
        <v>show</v>
      </c>
      <c r="G10648" t="str">
        <f>HYPERLINK("https://github.com/SORMAS-Foundation/SORMAS-Project", "show")</f>
        <v>show</v>
      </c>
      <c r="H10648" t="str">
        <f>HYPERLINK("https://github.com/SORMAS-Foundation/SORMAS-Project/releases", "show")</f>
        <v>show</v>
      </c>
      <c r="I10648">
        <v>1</v>
      </c>
      <c r="J10648">
        <v>1</v>
      </c>
      <c r="K10648">
        <v>0</v>
      </c>
      <c r="L10648">
        <v>0</v>
      </c>
      <c r="M10648" t="s">
        <v>48</v>
      </c>
    </row>
    <row r="10649" spans="1:13" hidden="1" x14ac:dyDescent="0.15">
      <c r="A10649" t="s">
        <v>33611</v>
      </c>
      <c r="B10649" t="s">
        <v>31484</v>
      </c>
      <c r="C10649" t="s">
        <v>33612</v>
      </c>
      <c r="D10649" t="s">
        <v>33604</v>
      </c>
      <c r="E10649">
        <v>1</v>
      </c>
      <c r="F10649" t="str">
        <f>HYPERLINK("https://github.com/AndroidIDEOfficial/AndroidIDE/issues/772", "show")</f>
        <v>show</v>
      </c>
      <c r="G10649" t="str">
        <f>HYPERLINK("https://github.com/AndroidIDEOfficial/AndroidIDE", "show")</f>
        <v>show</v>
      </c>
      <c r="H10649" t="str">
        <f>HYPERLINK("https://github.com/AndroidIDEOfficial/AndroidIDE/releases", "show")</f>
        <v>show</v>
      </c>
      <c r="I10649">
        <v>0</v>
      </c>
      <c r="J10649">
        <v>0</v>
      </c>
      <c r="K10649">
        <v>1</v>
      </c>
      <c r="L10649">
        <v>0</v>
      </c>
      <c r="M10649" t="s">
        <v>122</v>
      </c>
    </row>
    <row r="10650" spans="1:13" hidden="1" x14ac:dyDescent="0.15">
      <c r="A10650" t="s">
        <v>33613</v>
      </c>
      <c r="B10650" t="s">
        <v>33614</v>
      </c>
      <c r="C10650" t="s">
        <v>33615</v>
      </c>
      <c r="D10650" t="s">
        <v>33604</v>
      </c>
      <c r="E10650">
        <v>32</v>
      </c>
      <c r="F10650" t="str">
        <f>HYPERLINK("https://github.com/AndroidIDEOfficial/AndroidIDE/issues/771", "show")</f>
        <v>show</v>
      </c>
      <c r="G10650" t="str">
        <f>HYPERLINK("https://github.com/AndroidIDEOfficial/AndroidIDE", "show")</f>
        <v>show</v>
      </c>
      <c r="H10650" t="str">
        <f>HYPERLINK("https://github.com/AndroidIDEOfficial/AndroidIDE/releases", "show")</f>
        <v>show</v>
      </c>
      <c r="I10650">
        <v>0</v>
      </c>
      <c r="J10650">
        <v>0</v>
      </c>
      <c r="K10650">
        <v>1</v>
      </c>
      <c r="L10650">
        <v>0</v>
      </c>
      <c r="M10650" t="s">
        <v>122</v>
      </c>
    </row>
    <row r="10651" spans="1:13" hidden="1" x14ac:dyDescent="0.15">
      <c r="A10651" t="s">
        <v>33616</v>
      </c>
      <c r="B10651" t="s">
        <v>33617</v>
      </c>
      <c r="C10651" t="s">
        <v>33618</v>
      </c>
      <c r="D10651" t="s">
        <v>33604</v>
      </c>
      <c r="E10651">
        <v>142</v>
      </c>
      <c r="F10651" t="str">
        <f>HYPERLINK("https://github.com/jellyfin/jellyfin-androidtv/issues/2462", "show")</f>
        <v>show</v>
      </c>
      <c r="G10651" t="str">
        <f>HYPERLINK("https://github.com/jellyfin/jellyfin-androidtv", "show")</f>
        <v>show</v>
      </c>
      <c r="H10651" t="str">
        <f>HYPERLINK("https://github.com/jellyfin/jellyfin-androidtv/releases", "show")</f>
        <v>show</v>
      </c>
      <c r="I10651">
        <v>0</v>
      </c>
      <c r="J10651">
        <v>0</v>
      </c>
      <c r="K10651">
        <v>0</v>
      </c>
      <c r="L10651">
        <v>0</v>
      </c>
      <c r="M10651" t="s">
        <v>43</v>
      </c>
    </row>
    <row r="10652" spans="1:13" x14ac:dyDescent="0.15">
      <c r="A10652" t="s">
        <v>33619</v>
      </c>
      <c r="B10652" t="s">
        <v>33620</v>
      </c>
      <c r="C10652" t="s">
        <v>33621</v>
      </c>
      <c r="D10652" t="s">
        <v>33604</v>
      </c>
      <c r="E10652">
        <v>1</v>
      </c>
      <c r="F10652" t="str">
        <f>HYPERLINK("https://github.com/PojavLauncherTeam/PojavLauncher/issues/3897", "show")</f>
        <v>show</v>
      </c>
      <c r="G10652" t="str">
        <f>HYPERLINK("https://github.com/PojavLauncherTeam/PojavLauncher", "show")</f>
        <v>show</v>
      </c>
      <c r="H10652" t="str">
        <f>HYPERLINK("https://github.com/PojavLauncherTeam/PojavLauncher/releases", "show")</f>
        <v>show</v>
      </c>
      <c r="I10652">
        <v>0</v>
      </c>
      <c r="J10652">
        <v>1</v>
      </c>
      <c r="K10652">
        <v>0</v>
      </c>
      <c r="L10652">
        <v>0</v>
      </c>
      <c r="M10652" t="s">
        <v>139</v>
      </c>
    </row>
    <row r="10653" spans="1:13" hidden="1" x14ac:dyDescent="0.15">
      <c r="A10653" t="s">
        <v>33622</v>
      </c>
      <c r="B10653" t="s">
        <v>33623</v>
      </c>
      <c r="C10653" t="s">
        <v>33624</v>
      </c>
      <c r="D10653" t="s">
        <v>33604</v>
      </c>
      <c r="E10653">
        <v>119</v>
      </c>
      <c r="F10653" t="str">
        <f>HYPERLINK("https://github.com/patzly/grocy-android/issues/652", "show")</f>
        <v>show</v>
      </c>
      <c r="G10653" t="str">
        <f>HYPERLINK("https://github.com/patzly/grocy-android", "show")</f>
        <v>show</v>
      </c>
      <c r="H10653" t="str">
        <f>HYPERLINK("https://github.com/patzly/grocy-android/releases", "show")</f>
        <v>show</v>
      </c>
      <c r="I10653">
        <v>1</v>
      </c>
      <c r="J10653">
        <v>0</v>
      </c>
      <c r="K10653">
        <v>0</v>
      </c>
      <c r="L10653">
        <v>0</v>
      </c>
      <c r="M10653" t="s">
        <v>17</v>
      </c>
    </row>
    <row r="10654" spans="1:13" hidden="1" x14ac:dyDescent="0.15">
      <c r="A10654" t="s">
        <v>33625</v>
      </c>
      <c r="B10654" t="s">
        <v>33626</v>
      </c>
      <c r="C10654" t="s">
        <v>33627</v>
      </c>
      <c r="D10654" t="s">
        <v>33628</v>
      </c>
      <c r="E10654">
        <v>1</v>
      </c>
      <c r="F10654" t="str">
        <f>HYPERLINK("https://github.com/Anuken/Mindustry/issues/8244", "show")</f>
        <v>show</v>
      </c>
      <c r="G10654" t="str">
        <f>HYPERLINK("https://github.com/Anuken/Mindustry", "show")</f>
        <v>show</v>
      </c>
      <c r="H10654" t="str">
        <f>HYPERLINK("https://github.com/Anuken/Mindustry/releases", "show")</f>
        <v>show</v>
      </c>
      <c r="I10654">
        <v>0</v>
      </c>
      <c r="J10654">
        <v>0</v>
      </c>
      <c r="K10654">
        <v>0</v>
      </c>
      <c r="L10654">
        <v>0</v>
      </c>
      <c r="M10654" t="s">
        <v>43</v>
      </c>
    </row>
    <row r="10655" spans="1:13" hidden="1" x14ac:dyDescent="0.15">
      <c r="A10655" t="s">
        <v>33629</v>
      </c>
      <c r="B10655" t="s">
        <v>33630</v>
      </c>
      <c r="C10655" t="s">
        <v>33631</v>
      </c>
      <c r="D10655" t="s">
        <v>33628</v>
      </c>
      <c r="E10655">
        <v>0</v>
      </c>
      <c r="F10655" t="str">
        <f>HYPERLINK("https://github.com/PojavLauncherTeam/PojavLauncher/issues/3891", "show")</f>
        <v>show</v>
      </c>
      <c r="G10655" t="str">
        <f>HYPERLINK("https://github.com/PojavLauncherTeam/PojavLauncher", "show")</f>
        <v>show</v>
      </c>
      <c r="H10655" t="str">
        <f>HYPERLINK("https://github.com/PojavLauncherTeam/PojavLauncher/releases", "show")</f>
        <v>show</v>
      </c>
      <c r="I10655">
        <v>1</v>
      </c>
      <c r="J10655">
        <v>1</v>
      </c>
      <c r="K10655">
        <v>1</v>
      </c>
      <c r="L10655">
        <v>0</v>
      </c>
      <c r="M10655" t="s">
        <v>59</v>
      </c>
    </row>
    <row r="10656" spans="1:13" hidden="1" x14ac:dyDescent="0.15">
      <c r="A10656" t="s">
        <v>33632</v>
      </c>
      <c r="B10656" t="s">
        <v>33633</v>
      </c>
      <c r="C10656" t="s">
        <v>33634</v>
      </c>
      <c r="D10656" t="s">
        <v>33628</v>
      </c>
      <c r="E10656">
        <v>1</v>
      </c>
      <c r="F10656" t="str">
        <f>HYPERLINK("https://github.com/Anuken/Mindustry/issues/8239", "show")</f>
        <v>show</v>
      </c>
      <c r="G10656" t="str">
        <f>HYPERLINK("https://github.com/Anuken/Mindustry", "show")</f>
        <v>show</v>
      </c>
      <c r="H10656" t="str">
        <f>HYPERLINK("https://github.com/Anuken/Mindustry/releases", "show")</f>
        <v>show</v>
      </c>
      <c r="I10656">
        <v>0</v>
      </c>
      <c r="J10656">
        <v>0</v>
      </c>
      <c r="K10656">
        <v>0</v>
      </c>
      <c r="L10656">
        <v>0</v>
      </c>
      <c r="M10656" t="s">
        <v>43</v>
      </c>
    </row>
    <row r="10657" spans="1:13" hidden="1" x14ac:dyDescent="0.15">
      <c r="A10657" t="s">
        <v>33635</v>
      </c>
      <c r="B10657" t="s">
        <v>33636</v>
      </c>
      <c r="C10657" t="s">
        <v>33637</v>
      </c>
      <c r="D10657" t="s">
        <v>33638</v>
      </c>
      <c r="E10657">
        <v>67</v>
      </c>
      <c r="F10657" t="str">
        <f>HYPERLINK("https://github.com/square/react-native-square-reader-sdk/issues/213", "show")</f>
        <v>show</v>
      </c>
      <c r="G10657" t="str">
        <f>HYPERLINK("https://github.com/square/react-native-square-reader-sdk", "show")</f>
        <v>show</v>
      </c>
      <c r="H10657" t="str">
        <f>HYPERLINK("https://github.com/square/react-native-square-reader-sdk/releases", "show")</f>
        <v>show</v>
      </c>
      <c r="I10657">
        <v>1</v>
      </c>
      <c r="J10657">
        <v>0</v>
      </c>
      <c r="K10657">
        <v>0</v>
      </c>
      <c r="L10657">
        <v>0</v>
      </c>
      <c r="M10657" t="s">
        <v>17</v>
      </c>
    </row>
    <row r="10658" spans="1:13" hidden="1" x14ac:dyDescent="0.15">
      <c r="A10658" t="s">
        <v>33639</v>
      </c>
      <c r="B10658" t="s">
        <v>33640</v>
      </c>
      <c r="D10658" t="s">
        <v>33638</v>
      </c>
      <c r="E10658">
        <v>0</v>
      </c>
      <c r="F10658" t="str">
        <f>HYPERLINK("https://github.com/VinylMusicPlayer/VinylMusicPlayer/issues/666", "show")</f>
        <v>show</v>
      </c>
      <c r="G10658" t="str">
        <f>HYPERLINK("https://github.com/VinylMusicPlayer/VinylMusicPlayer", "show")</f>
        <v>show</v>
      </c>
      <c r="H10658" t="str">
        <f>HYPERLINK("https://github.com/VinylMusicPlayer/VinylMusicPlayer/releases", "show")</f>
        <v>show</v>
      </c>
      <c r="I10658">
        <v>0</v>
      </c>
      <c r="J10658">
        <v>0</v>
      </c>
      <c r="K10658">
        <v>0</v>
      </c>
      <c r="L10658">
        <v>0</v>
      </c>
      <c r="M10658" t="s">
        <v>43</v>
      </c>
    </row>
    <row r="10659" spans="1:13" hidden="1" x14ac:dyDescent="0.15">
      <c r="A10659" t="s">
        <v>33641</v>
      </c>
      <c r="B10659" t="s">
        <v>33642</v>
      </c>
      <c r="C10659" t="s">
        <v>33643</v>
      </c>
      <c r="D10659" t="s">
        <v>33638</v>
      </c>
      <c r="E10659">
        <v>6</v>
      </c>
      <c r="F10659" t="str">
        <f>HYPERLINK("https://github.com/Lyokone/flutterlocation/issues/804", "show")</f>
        <v>show</v>
      </c>
      <c r="G10659" t="str">
        <f>HYPERLINK("https://github.com/Lyokone/flutterlocation", "show")</f>
        <v>show</v>
      </c>
      <c r="H10659" t="str">
        <f>HYPERLINK("https://github.com/Lyokone/flutterlocation/releases", "show")</f>
        <v>show</v>
      </c>
      <c r="I10659">
        <v>1</v>
      </c>
      <c r="J10659">
        <v>0</v>
      </c>
      <c r="K10659">
        <v>1</v>
      </c>
      <c r="L10659">
        <v>0</v>
      </c>
      <c r="M10659" t="s">
        <v>64</v>
      </c>
    </row>
    <row r="10660" spans="1:13" hidden="1" x14ac:dyDescent="0.15">
      <c r="A10660" t="s">
        <v>33644</v>
      </c>
      <c r="B10660" t="s">
        <v>33645</v>
      </c>
      <c r="C10660" t="s">
        <v>33646</v>
      </c>
      <c r="D10660" t="s">
        <v>33638</v>
      </c>
      <c r="E10660">
        <v>23</v>
      </c>
      <c r="F10660" t="str">
        <f>HYPERLINK("https://github.com/nextcloud/android/issues/11329", "show")</f>
        <v>show</v>
      </c>
      <c r="G10660" t="str">
        <f>HYPERLINK("https://github.com/nextcloud/android", "show")</f>
        <v>show</v>
      </c>
      <c r="H10660" t="str">
        <f>HYPERLINK("https://github.com/nextcloud/android/releases", "show")</f>
        <v>show</v>
      </c>
      <c r="I10660">
        <v>1</v>
      </c>
      <c r="J10660">
        <v>1</v>
      </c>
      <c r="K10660">
        <v>1</v>
      </c>
      <c r="L10660">
        <v>0</v>
      </c>
      <c r="M10660" t="s">
        <v>59</v>
      </c>
    </row>
    <row r="10661" spans="1:13" hidden="1" x14ac:dyDescent="0.15">
      <c r="A10661" t="s">
        <v>33647</v>
      </c>
      <c r="B10661" t="s">
        <v>33648</v>
      </c>
      <c r="C10661" t="s">
        <v>33649</v>
      </c>
      <c r="D10661" t="s">
        <v>33638</v>
      </c>
      <c r="E10661">
        <v>13</v>
      </c>
      <c r="F10661" t="str">
        <f>HYPERLINK("https://github.com/HydrolienF/Kokcinelo/issues/139", "show")</f>
        <v>show</v>
      </c>
      <c r="G10661" t="str">
        <f>HYPERLINK("https://github.com/HydrolienF/Kokcinelo", "show")</f>
        <v>show</v>
      </c>
      <c r="H10661" t="str">
        <f>HYPERLINK("https://github.com/HydrolienF/Kokcinelo/releases", "show")</f>
        <v>show</v>
      </c>
      <c r="I10661">
        <v>0</v>
      </c>
      <c r="J10661">
        <v>0</v>
      </c>
      <c r="K10661">
        <v>0</v>
      </c>
      <c r="L10661">
        <v>0</v>
      </c>
      <c r="M10661" t="s">
        <v>43</v>
      </c>
    </row>
    <row r="10662" spans="1:13" hidden="1" x14ac:dyDescent="0.15">
      <c r="A10662" t="s">
        <v>33650</v>
      </c>
      <c r="B10662" t="s">
        <v>33651</v>
      </c>
      <c r="C10662" t="s">
        <v>33652</v>
      </c>
      <c r="D10662" t="s">
        <v>33638</v>
      </c>
      <c r="E10662">
        <v>0</v>
      </c>
      <c r="F10662" t="str">
        <f>HYPERLINK("https://github.com/nextcloud/android/issues/11328", "show")</f>
        <v>show</v>
      </c>
      <c r="G10662" t="str">
        <f>HYPERLINK("https://github.com/nextcloud/android", "show")</f>
        <v>show</v>
      </c>
      <c r="H10662" t="str">
        <f>HYPERLINK("https://github.com/nextcloud/android/releases", "show")</f>
        <v>show</v>
      </c>
      <c r="I10662">
        <v>1</v>
      </c>
      <c r="J10662">
        <v>0</v>
      </c>
      <c r="K10662">
        <v>1</v>
      </c>
      <c r="L10662">
        <v>0</v>
      </c>
      <c r="M10662" t="s">
        <v>64</v>
      </c>
    </row>
    <row r="10663" spans="1:13" hidden="1" x14ac:dyDescent="0.15">
      <c r="A10663" t="s">
        <v>33653</v>
      </c>
      <c r="B10663" t="s">
        <v>33654</v>
      </c>
      <c r="C10663" t="s">
        <v>33655</v>
      </c>
      <c r="D10663" t="s">
        <v>33638</v>
      </c>
      <c r="E10663">
        <v>3</v>
      </c>
      <c r="F10663" t="str">
        <f>HYPERLINK("https://github.com/jellyfin/jellyfin-androidtv/issues/2456", "show")</f>
        <v>show</v>
      </c>
      <c r="G10663" t="str">
        <f>HYPERLINK("https://github.com/jellyfin/jellyfin-androidtv", "show")</f>
        <v>show</v>
      </c>
      <c r="H10663" t="str">
        <f>HYPERLINK("https://github.com/jellyfin/jellyfin-androidtv/releases", "show")</f>
        <v>show</v>
      </c>
      <c r="I10663">
        <v>1</v>
      </c>
      <c r="J10663">
        <v>0</v>
      </c>
      <c r="K10663">
        <v>0</v>
      </c>
      <c r="L10663">
        <v>0</v>
      </c>
      <c r="M10663" t="s">
        <v>17</v>
      </c>
    </row>
    <row r="10664" spans="1:13" hidden="1" x14ac:dyDescent="0.15">
      <c r="A10664" t="s">
        <v>33656</v>
      </c>
      <c r="B10664" t="s">
        <v>33657</v>
      </c>
      <c r="C10664" t="s">
        <v>33658</v>
      </c>
      <c r="D10664" t="s">
        <v>33638</v>
      </c>
      <c r="E10664">
        <v>0</v>
      </c>
      <c r="F10664" t="str">
        <f>HYPERLINK("https://github.com/nextcloud/android/issues/11325", "show")</f>
        <v>show</v>
      </c>
      <c r="G10664" t="str">
        <f>HYPERLINK("https://github.com/nextcloud/android", "show")</f>
        <v>show</v>
      </c>
      <c r="H10664" t="str">
        <f>HYPERLINK("https://github.com/nextcloud/android/releases", "show")</f>
        <v>show</v>
      </c>
      <c r="I10664">
        <v>1</v>
      </c>
      <c r="J10664">
        <v>0</v>
      </c>
      <c r="K10664">
        <v>1</v>
      </c>
      <c r="L10664">
        <v>0</v>
      </c>
      <c r="M10664" t="s">
        <v>64</v>
      </c>
    </row>
    <row r="10665" spans="1:13" hidden="1" x14ac:dyDescent="0.15">
      <c r="A10665" t="s">
        <v>33659</v>
      </c>
      <c r="B10665" t="s">
        <v>33660</v>
      </c>
      <c r="C10665" t="s">
        <v>33661</v>
      </c>
      <c r="D10665" t="s">
        <v>33662</v>
      </c>
      <c r="E10665">
        <v>3</v>
      </c>
      <c r="F10665" t="str">
        <f>HYPERLINK("https://github.com/material-components/material-components-android/issues/3196", "show")</f>
        <v>show</v>
      </c>
      <c r="G10665" t="str">
        <f>HYPERLINK("https://github.com/material-components/material-components-android", "show")</f>
        <v>show</v>
      </c>
      <c r="H10665" t="str">
        <f>HYPERLINK("https://github.com/material-components/material-components-android/releases", "show")</f>
        <v>show</v>
      </c>
      <c r="I10665">
        <v>1</v>
      </c>
      <c r="J10665">
        <v>0</v>
      </c>
      <c r="K10665">
        <v>1</v>
      </c>
      <c r="L10665">
        <v>0</v>
      </c>
      <c r="M10665" t="s">
        <v>64</v>
      </c>
    </row>
    <row r="10666" spans="1:13" hidden="1" x14ac:dyDescent="0.15">
      <c r="A10666" t="s">
        <v>33663</v>
      </c>
      <c r="B10666" t="s">
        <v>33664</v>
      </c>
      <c r="C10666" t="s">
        <v>33665</v>
      </c>
      <c r="D10666" t="s">
        <v>33662</v>
      </c>
      <c r="E10666">
        <v>15</v>
      </c>
      <c r="F10666" t="str">
        <f>HYPERLINK("https://github.com/nextcloud/android/issues/11320", "show")</f>
        <v>show</v>
      </c>
      <c r="G10666" t="str">
        <f>HYPERLINK("https://github.com/nextcloud/android", "show")</f>
        <v>show</v>
      </c>
      <c r="H10666" t="str">
        <f>HYPERLINK("https://github.com/nextcloud/android/releases", "show")</f>
        <v>show</v>
      </c>
      <c r="I10666">
        <v>1</v>
      </c>
      <c r="J10666">
        <v>1</v>
      </c>
      <c r="K10666">
        <v>1</v>
      </c>
      <c r="L10666">
        <v>0</v>
      </c>
      <c r="M10666" t="s">
        <v>59</v>
      </c>
    </row>
    <row r="10667" spans="1:13" hidden="1" x14ac:dyDescent="0.15">
      <c r="A10667" t="s">
        <v>33666</v>
      </c>
      <c r="B10667" t="s">
        <v>33667</v>
      </c>
      <c r="C10667" t="s">
        <v>33668</v>
      </c>
      <c r="D10667" t="s">
        <v>33662</v>
      </c>
      <c r="E10667">
        <v>2</v>
      </c>
      <c r="F10667" t="str">
        <f>HYPERLINK("https://github.com/jMonkeyEngine/jmonkeyengine/issues/1930", "show")</f>
        <v>show</v>
      </c>
      <c r="G10667" t="str">
        <f>HYPERLINK("https://github.com/jMonkeyEngine/jmonkeyengine", "show")</f>
        <v>show</v>
      </c>
      <c r="H10667" t="str">
        <f>HYPERLINK("https://github.com/jMonkeyEngine/jmonkeyengine/releases", "show")</f>
        <v>show</v>
      </c>
      <c r="I10667">
        <v>1</v>
      </c>
      <c r="J10667">
        <v>0</v>
      </c>
      <c r="K10667">
        <v>1</v>
      </c>
      <c r="L10667">
        <v>0</v>
      </c>
      <c r="M10667" t="s">
        <v>64</v>
      </c>
    </row>
    <row r="10668" spans="1:13" hidden="1" x14ac:dyDescent="0.15">
      <c r="A10668" t="s">
        <v>33669</v>
      </c>
      <c r="B10668" t="s">
        <v>33670</v>
      </c>
      <c r="C10668" t="s">
        <v>33671</v>
      </c>
      <c r="D10668" t="s">
        <v>33662</v>
      </c>
      <c r="E10668">
        <v>2</v>
      </c>
      <c r="F10668" t="str">
        <f>HYPERLINK("https://github.com/jMonkeyEngine/jmonkeyengine/issues/1928", "show")</f>
        <v>show</v>
      </c>
      <c r="G10668" t="str">
        <f>HYPERLINK("https://github.com/jMonkeyEngine/jmonkeyengine", "show")</f>
        <v>show</v>
      </c>
      <c r="H10668" t="str">
        <f>HYPERLINK("https://github.com/jMonkeyEngine/jmonkeyengine/releases", "show")</f>
        <v>show</v>
      </c>
      <c r="I10668">
        <v>1</v>
      </c>
      <c r="J10668">
        <v>0</v>
      </c>
      <c r="K10668">
        <v>1</v>
      </c>
      <c r="L10668">
        <v>0</v>
      </c>
      <c r="M10668" t="s">
        <v>64</v>
      </c>
    </row>
    <row r="10669" spans="1:13" hidden="1" x14ac:dyDescent="0.15">
      <c r="A10669" t="s">
        <v>33672</v>
      </c>
      <c r="B10669" t="s">
        <v>33673</v>
      </c>
      <c r="C10669" t="s">
        <v>33674</v>
      </c>
      <c r="D10669" t="s">
        <v>33675</v>
      </c>
      <c r="E10669">
        <v>3</v>
      </c>
      <c r="F10669" t="str">
        <f>HYPERLINK("https://github.com/AndroidIDEOfficial/AndroidIDE/issues/768", "show")</f>
        <v>show</v>
      </c>
      <c r="G10669" t="str">
        <f>HYPERLINK("https://github.com/AndroidIDEOfficial/AndroidIDE", "show")</f>
        <v>show</v>
      </c>
      <c r="H10669" t="str">
        <f>HYPERLINK("https://github.com/AndroidIDEOfficial/AndroidIDE/releases", "show")</f>
        <v>show</v>
      </c>
      <c r="I10669">
        <v>0</v>
      </c>
      <c r="J10669">
        <v>0</v>
      </c>
      <c r="K10669">
        <v>1</v>
      </c>
      <c r="L10669">
        <v>0</v>
      </c>
      <c r="M10669" t="s">
        <v>122</v>
      </c>
    </row>
    <row r="10670" spans="1:13" hidden="1" x14ac:dyDescent="0.15">
      <c r="A10670" t="s">
        <v>33676</v>
      </c>
      <c r="B10670" t="s">
        <v>33677</v>
      </c>
      <c r="C10670" t="s">
        <v>33678</v>
      </c>
      <c r="D10670" t="s">
        <v>33675</v>
      </c>
      <c r="E10670">
        <v>2</v>
      </c>
      <c r="F10670" t="str">
        <f>HYPERLINK("https://github.com/nextcloud/android/issues/11319", "show")</f>
        <v>show</v>
      </c>
      <c r="G10670" t="str">
        <f>HYPERLINK("https://github.com/nextcloud/android", "show")</f>
        <v>show</v>
      </c>
      <c r="H10670" t="str">
        <f>HYPERLINK("https://github.com/nextcloud/android/releases", "show")</f>
        <v>show</v>
      </c>
      <c r="I10670">
        <v>1</v>
      </c>
      <c r="J10670">
        <v>1</v>
      </c>
      <c r="K10670">
        <v>1</v>
      </c>
      <c r="L10670">
        <v>0</v>
      </c>
      <c r="M10670" t="s">
        <v>59</v>
      </c>
    </row>
    <row r="10671" spans="1:13" hidden="1" x14ac:dyDescent="0.15">
      <c r="A10671" t="s">
        <v>33679</v>
      </c>
      <c r="B10671" t="s">
        <v>33680</v>
      </c>
      <c r="C10671" t="s">
        <v>33681</v>
      </c>
      <c r="D10671" t="s">
        <v>33675</v>
      </c>
      <c r="E10671">
        <v>25</v>
      </c>
      <c r="F10671" t="str">
        <f>HYPERLINK("https://github.com/nextcloud/android/issues/11316", "show")</f>
        <v>show</v>
      </c>
      <c r="G10671" t="str">
        <f>HYPERLINK("https://github.com/nextcloud/android", "show")</f>
        <v>show</v>
      </c>
      <c r="H10671" t="str">
        <f>HYPERLINK("https://github.com/nextcloud/android/releases", "show")</f>
        <v>show</v>
      </c>
      <c r="I10671">
        <v>0</v>
      </c>
      <c r="J10671">
        <v>1</v>
      </c>
      <c r="K10671">
        <v>1</v>
      </c>
      <c r="L10671">
        <v>0</v>
      </c>
      <c r="M10671" t="s">
        <v>699</v>
      </c>
    </row>
    <row r="10672" spans="1:13" hidden="1" x14ac:dyDescent="0.15">
      <c r="A10672" t="s">
        <v>33682</v>
      </c>
      <c r="B10672" t="s">
        <v>33683</v>
      </c>
      <c r="C10672" t="s">
        <v>33684</v>
      </c>
      <c r="D10672" t="s">
        <v>33675</v>
      </c>
      <c r="E10672">
        <v>4</v>
      </c>
      <c r="F10672" t="str">
        <f>HYPERLINK("https://github.com/Anuken/Mindustry/issues/8230", "show")</f>
        <v>show</v>
      </c>
      <c r="G10672" t="str">
        <f>HYPERLINK("https://github.com/Anuken/Mindustry", "show")</f>
        <v>show</v>
      </c>
      <c r="H10672" t="str">
        <f>HYPERLINK("https://github.com/Anuken/Mindustry/releases", "show")</f>
        <v>show</v>
      </c>
      <c r="I10672">
        <v>1</v>
      </c>
      <c r="J10672">
        <v>1</v>
      </c>
      <c r="K10672">
        <v>0</v>
      </c>
      <c r="L10672">
        <v>0</v>
      </c>
      <c r="M10672" t="s">
        <v>48</v>
      </c>
    </row>
    <row r="10673" spans="1:13" hidden="1" x14ac:dyDescent="0.15">
      <c r="A10673" t="s">
        <v>33685</v>
      </c>
      <c r="B10673" t="s">
        <v>33686</v>
      </c>
      <c r="C10673" t="s">
        <v>33687</v>
      </c>
      <c r="D10673" t="s">
        <v>33675</v>
      </c>
      <c r="E10673">
        <v>2</v>
      </c>
      <c r="F10673" t="str">
        <f>HYPERLINK("https://github.com/Mahmud0808/Iconify/issues/42", "show")</f>
        <v>show</v>
      </c>
      <c r="G10673" t="str">
        <f>HYPERLINK("https://github.com/Mahmud0808/Iconify", "show")</f>
        <v>show</v>
      </c>
      <c r="H10673" t="str">
        <f>HYPERLINK("https://github.com/Mahmud0808/Iconify/releases", "show")</f>
        <v>show</v>
      </c>
      <c r="I10673">
        <v>1</v>
      </c>
      <c r="J10673">
        <v>0</v>
      </c>
      <c r="K10673">
        <v>1</v>
      </c>
      <c r="L10673">
        <v>0</v>
      </c>
      <c r="M10673" t="s">
        <v>64</v>
      </c>
    </row>
    <row r="10674" spans="1:13" hidden="1" x14ac:dyDescent="0.15">
      <c r="A10674" t="s">
        <v>33688</v>
      </c>
      <c r="B10674" t="s">
        <v>33689</v>
      </c>
      <c r="C10674" t="s">
        <v>33690</v>
      </c>
      <c r="D10674" t="s">
        <v>33675</v>
      </c>
      <c r="E10674">
        <v>83</v>
      </c>
      <c r="F10674" t="str">
        <f>HYPERLINK("https://github.com/aws-amplify/amplify-android/issues/2263", "show")</f>
        <v>show</v>
      </c>
      <c r="G10674" t="str">
        <f>HYPERLINK("https://github.com/aws-amplify/amplify-android", "show")</f>
        <v>show</v>
      </c>
      <c r="H10674" t="str">
        <f>HYPERLINK("https://github.com/aws-amplify/amplify-android/releases", "show")</f>
        <v>show</v>
      </c>
      <c r="I10674">
        <v>1</v>
      </c>
      <c r="J10674">
        <v>1</v>
      </c>
      <c r="K10674">
        <v>1</v>
      </c>
      <c r="L10674">
        <v>0</v>
      </c>
      <c r="M10674" t="s">
        <v>59</v>
      </c>
    </row>
    <row r="10675" spans="1:13" hidden="1" x14ac:dyDescent="0.15">
      <c r="A10675" t="s">
        <v>33691</v>
      </c>
      <c r="B10675" t="s">
        <v>33692</v>
      </c>
      <c r="C10675" t="s">
        <v>33693</v>
      </c>
      <c r="D10675" t="s">
        <v>33694</v>
      </c>
      <c r="E10675">
        <v>3</v>
      </c>
      <c r="F10675" t="str">
        <f>HYPERLINK("https://github.com/nextcloud/android/issues/11313", "show")</f>
        <v>show</v>
      </c>
      <c r="G10675" t="str">
        <f>HYPERLINK("https://github.com/nextcloud/android", "show")</f>
        <v>show</v>
      </c>
      <c r="H10675" t="str">
        <f>HYPERLINK("https://github.com/nextcloud/android/releases", "show")</f>
        <v>show</v>
      </c>
      <c r="I10675">
        <v>0</v>
      </c>
      <c r="J10675">
        <v>0</v>
      </c>
      <c r="K10675">
        <v>1</v>
      </c>
      <c r="L10675">
        <v>0</v>
      </c>
      <c r="M10675" t="s">
        <v>122</v>
      </c>
    </row>
    <row r="10676" spans="1:13" hidden="1" x14ac:dyDescent="0.15">
      <c r="A10676" t="s">
        <v>33695</v>
      </c>
      <c r="B10676" t="s">
        <v>33696</v>
      </c>
      <c r="C10676" t="s">
        <v>33697</v>
      </c>
      <c r="D10676" t="s">
        <v>33694</v>
      </c>
      <c r="E10676">
        <v>0</v>
      </c>
      <c r="F10676" t="str">
        <f>HYPERLINK("https://github.com/prebid/prebid-mobile-android/issues/572", "show")</f>
        <v>show</v>
      </c>
      <c r="G10676" t="str">
        <f>HYPERLINK("https://github.com/prebid/prebid-mobile-android", "show")</f>
        <v>show</v>
      </c>
      <c r="H10676" t="str">
        <f>HYPERLINK("https://github.com/prebid/prebid-mobile-android/releases", "show")</f>
        <v>show</v>
      </c>
      <c r="I10676">
        <v>1</v>
      </c>
      <c r="J10676">
        <v>0</v>
      </c>
      <c r="K10676">
        <v>0</v>
      </c>
      <c r="L10676">
        <v>0</v>
      </c>
      <c r="M10676" t="s">
        <v>17</v>
      </c>
    </row>
    <row r="10677" spans="1:13" hidden="1" x14ac:dyDescent="0.15">
      <c r="A10677" t="s">
        <v>33698</v>
      </c>
      <c r="B10677" t="s">
        <v>33699</v>
      </c>
      <c r="C10677" t="s">
        <v>33700</v>
      </c>
      <c r="D10677" t="s">
        <v>33694</v>
      </c>
      <c r="E10677">
        <v>5</v>
      </c>
      <c r="F10677" t="str">
        <f>HYPERLINK("https://github.com/Anuken/Mindustry/issues/8226", "show")</f>
        <v>show</v>
      </c>
      <c r="G10677" t="str">
        <f>HYPERLINK("https://github.com/Anuken/Mindustry", "show")</f>
        <v>show</v>
      </c>
      <c r="H10677" t="str">
        <f>HYPERLINK("https://github.com/Anuken/Mindustry/releases", "show")</f>
        <v>show</v>
      </c>
      <c r="I10677">
        <v>1</v>
      </c>
      <c r="J10677">
        <v>1</v>
      </c>
      <c r="K10677">
        <v>0</v>
      </c>
      <c r="L10677">
        <v>0</v>
      </c>
      <c r="M10677" t="s">
        <v>48</v>
      </c>
    </row>
    <row r="10678" spans="1:13" hidden="1" x14ac:dyDescent="0.15">
      <c r="A10678" t="s">
        <v>33701</v>
      </c>
      <c r="B10678" t="s">
        <v>33702</v>
      </c>
      <c r="C10678" t="s">
        <v>33703</v>
      </c>
      <c r="D10678" t="s">
        <v>33704</v>
      </c>
      <c r="E10678">
        <v>3</v>
      </c>
      <c r="F10678" t="str">
        <f>HYPERLINK("https://github.com/patzly/grocy-android/issues/643", "show")</f>
        <v>show</v>
      </c>
      <c r="G10678" t="str">
        <f>HYPERLINK("https://github.com/patzly/grocy-android", "show")</f>
        <v>show</v>
      </c>
      <c r="H10678" t="str">
        <f>HYPERLINK("https://github.com/patzly/grocy-android/releases", "show")</f>
        <v>show</v>
      </c>
      <c r="I10678">
        <v>0</v>
      </c>
      <c r="J10678">
        <v>0</v>
      </c>
      <c r="K10678">
        <v>0</v>
      </c>
      <c r="L10678">
        <v>0</v>
      </c>
      <c r="M10678" t="s">
        <v>43</v>
      </c>
    </row>
    <row r="10679" spans="1:13" x14ac:dyDescent="0.15">
      <c r="A10679" t="s">
        <v>33705</v>
      </c>
      <c r="B10679" t="s">
        <v>33706</v>
      </c>
      <c r="C10679" t="s">
        <v>33707</v>
      </c>
      <c r="D10679" t="s">
        <v>33704</v>
      </c>
      <c r="E10679">
        <v>4</v>
      </c>
      <c r="F10679" t="str">
        <f>HYPERLINK("https://github.com/Igalia/wolvic/issues/448", "show")</f>
        <v>show</v>
      </c>
      <c r="G10679" t="str">
        <f>HYPERLINK("https://github.com/Igalia/wolvic", "show")</f>
        <v>show</v>
      </c>
      <c r="H10679" t="str">
        <f>HYPERLINK("https://github.com/Igalia/wolvic/releases", "show")</f>
        <v>show</v>
      </c>
      <c r="I10679">
        <v>0</v>
      </c>
      <c r="J10679">
        <v>1</v>
      </c>
      <c r="K10679">
        <v>0</v>
      </c>
      <c r="L10679">
        <v>0</v>
      </c>
      <c r="M10679" t="s">
        <v>139</v>
      </c>
    </row>
    <row r="10680" spans="1:13" hidden="1" x14ac:dyDescent="0.15">
      <c r="A10680" t="s">
        <v>33708</v>
      </c>
      <c r="B10680" t="s">
        <v>33709</v>
      </c>
      <c r="C10680" t="s">
        <v>33710</v>
      </c>
      <c r="D10680" t="s">
        <v>33704</v>
      </c>
      <c r="E10680">
        <v>0</v>
      </c>
      <c r="F10680" t="str">
        <f>HYPERLINK("https://github.com/VinylMusicPlayer/VinylMusicPlayer/issues/644", "show")</f>
        <v>show</v>
      </c>
      <c r="G10680" t="str">
        <f>HYPERLINK("https://github.com/VinylMusicPlayer/VinylMusicPlayer", "show")</f>
        <v>show</v>
      </c>
      <c r="H10680" t="str">
        <f>HYPERLINK("https://github.com/VinylMusicPlayer/VinylMusicPlayer/releases", "show")</f>
        <v>show</v>
      </c>
      <c r="I10680">
        <v>1</v>
      </c>
      <c r="J10680">
        <v>0</v>
      </c>
      <c r="K10680">
        <v>0</v>
      </c>
      <c r="L10680">
        <v>0</v>
      </c>
      <c r="M10680" t="s">
        <v>17</v>
      </c>
    </row>
    <row r="10681" spans="1:13" hidden="1" x14ac:dyDescent="0.15">
      <c r="A10681" t="s">
        <v>33711</v>
      </c>
      <c r="B10681" t="s">
        <v>33712</v>
      </c>
      <c r="C10681" t="s">
        <v>33713</v>
      </c>
      <c r="D10681" t="s">
        <v>33704</v>
      </c>
      <c r="E10681">
        <v>6</v>
      </c>
      <c r="F10681" t="str">
        <f>HYPERLINK("https://github.com/Anuken/Mindustry/issues/8221", "show")</f>
        <v>show</v>
      </c>
      <c r="G10681" t="str">
        <f>HYPERLINK("https://github.com/Anuken/Mindustry", "show")</f>
        <v>show</v>
      </c>
      <c r="H10681" t="str">
        <f>HYPERLINK("https://github.com/Anuken/Mindustry/releases", "show")</f>
        <v>show</v>
      </c>
      <c r="I10681">
        <v>1</v>
      </c>
      <c r="J10681">
        <v>1</v>
      </c>
      <c r="K10681">
        <v>0</v>
      </c>
      <c r="L10681">
        <v>1</v>
      </c>
      <c r="M10681" t="s">
        <v>1894</v>
      </c>
    </row>
    <row r="10682" spans="1:13" hidden="1" x14ac:dyDescent="0.15">
      <c r="A10682" t="s">
        <v>33714</v>
      </c>
      <c r="B10682" t="s">
        <v>33715</v>
      </c>
      <c r="C10682" t="s">
        <v>33716</v>
      </c>
      <c r="D10682" t="s">
        <v>33717</v>
      </c>
      <c r="E10682">
        <v>0</v>
      </c>
      <c r="F10682" t="str">
        <f>HYPERLINK("https://github.com/nextcloud/android/issues/11292", "show")</f>
        <v>show</v>
      </c>
      <c r="G10682" t="str">
        <f>HYPERLINK("https://github.com/nextcloud/android", "show")</f>
        <v>show</v>
      </c>
      <c r="H10682" t="str">
        <f>HYPERLINK("https://github.com/nextcloud/android/releases", "show")</f>
        <v>show</v>
      </c>
      <c r="I10682">
        <v>1</v>
      </c>
      <c r="J10682">
        <v>1</v>
      </c>
      <c r="K10682">
        <v>0</v>
      </c>
      <c r="L10682">
        <v>0</v>
      </c>
      <c r="M10682" t="s">
        <v>48</v>
      </c>
    </row>
    <row r="10683" spans="1:13" hidden="1" x14ac:dyDescent="0.15">
      <c r="A10683" t="s">
        <v>33718</v>
      </c>
      <c r="B10683" t="s">
        <v>33719</v>
      </c>
      <c r="C10683" t="s">
        <v>33720</v>
      </c>
      <c r="D10683" t="s">
        <v>33717</v>
      </c>
      <c r="E10683">
        <v>1</v>
      </c>
      <c r="F10683" t="str">
        <f>HYPERLINK("https://github.com/NordicSemiconductor/Android-DFU-Library/issues/373", "show")</f>
        <v>show</v>
      </c>
      <c r="G10683" t="str">
        <f>HYPERLINK("https://github.com/NordicSemiconductor/Android-DFU-Library", "show")</f>
        <v>show</v>
      </c>
      <c r="H10683" t="str">
        <f>HYPERLINK("https://github.com/NordicSemiconductor/Android-DFU-Library/releases", "show")</f>
        <v>show</v>
      </c>
      <c r="I10683">
        <v>1</v>
      </c>
      <c r="J10683">
        <v>0</v>
      </c>
      <c r="K10683">
        <v>1</v>
      </c>
      <c r="L10683">
        <v>0</v>
      </c>
      <c r="M10683" t="s">
        <v>64</v>
      </c>
    </row>
    <row r="10684" spans="1:13" hidden="1" x14ac:dyDescent="0.15">
      <c r="A10684" t="s">
        <v>33721</v>
      </c>
      <c r="B10684" t="s">
        <v>33722</v>
      </c>
      <c r="C10684" t="s">
        <v>33723</v>
      </c>
      <c r="D10684" t="s">
        <v>33724</v>
      </c>
      <c r="E10684">
        <v>4</v>
      </c>
      <c r="F10684" t="str">
        <f>HYPERLINK("https://github.com/AndroidIDEOfficial/AndroidIDE/issues/759", "show")</f>
        <v>show</v>
      </c>
      <c r="G10684" t="str">
        <f>HYPERLINK("https://github.com/AndroidIDEOfficial/AndroidIDE", "show")</f>
        <v>show</v>
      </c>
      <c r="H10684" t="str">
        <f>HYPERLINK("https://github.com/AndroidIDEOfficial/AndroidIDE/releases", "show")</f>
        <v>show</v>
      </c>
      <c r="I10684">
        <v>0</v>
      </c>
      <c r="J10684">
        <v>0</v>
      </c>
      <c r="K10684">
        <v>1</v>
      </c>
      <c r="L10684">
        <v>0</v>
      </c>
      <c r="M10684" t="s">
        <v>122</v>
      </c>
    </row>
    <row r="10685" spans="1:13" x14ac:dyDescent="0.15">
      <c r="A10685" t="s">
        <v>33725</v>
      </c>
      <c r="B10685" t="s">
        <v>33726</v>
      </c>
      <c r="C10685" t="s">
        <v>33727</v>
      </c>
      <c r="D10685" t="s">
        <v>33724</v>
      </c>
      <c r="E10685">
        <v>6</v>
      </c>
      <c r="F10685" t="str">
        <f>HYPERLINK("https://github.com/Anuken/Mindustry/issues/8218", "show")</f>
        <v>show</v>
      </c>
      <c r="G10685" t="str">
        <f>HYPERLINK("https://github.com/Anuken/Mindustry", "show")</f>
        <v>show</v>
      </c>
      <c r="H10685" t="str">
        <f>HYPERLINK("https://github.com/Anuken/Mindustry/releases", "show")</f>
        <v>show</v>
      </c>
      <c r="I10685">
        <v>0</v>
      </c>
      <c r="J10685">
        <v>1</v>
      </c>
      <c r="K10685">
        <v>0</v>
      </c>
      <c r="L10685">
        <v>0</v>
      </c>
      <c r="M10685" t="s">
        <v>139</v>
      </c>
    </row>
    <row r="10686" spans="1:13" hidden="1" x14ac:dyDescent="0.15">
      <c r="A10686" t="s">
        <v>33728</v>
      </c>
      <c r="B10686" t="s">
        <v>33729</v>
      </c>
      <c r="C10686" t="s">
        <v>33730</v>
      </c>
      <c r="D10686" t="s">
        <v>33724</v>
      </c>
      <c r="E10686">
        <v>8</v>
      </c>
      <c r="F10686" t="str">
        <f>HYPERLINK("https://github.com/Anuken/Mindustry/issues/8217", "show")</f>
        <v>show</v>
      </c>
      <c r="G10686" t="str">
        <f>HYPERLINK("https://github.com/Anuken/Mindustry", "show")</f>
        <v>show</v>
      </c>
      <c r="H10686" t="str">
        <f>HYPERLINK("https://github.com/Anuken/Mindustry/releases", "show")</f>
        <v>show</v>
      </c>
      <c r="I10686">
        <v>1</v>
      </c>
      <c r="J10686">
        <v>1</v>
      </c>
      <c r="K10686">
        <v>0</v>
      </c>
      <c r="L10686">
        <v>0</v>
      </c>
      <c r="M10686" t="s">
        <v>48</v>
      </c>
    </row>
    <row r="10687" spans="1:13" hidden="1" x14ac:dyDescent="0.15">
      <c r="A10687" t="s">
        <v>33731</v>
      </c>
      <c r="B10687" t="s">
        <v>33732</v>
      </c>
      <c r="C10687" t="s">
        <v>33733</v>
      </c>
      <c r="D10687" t="s">
        <v>33724</v>
      </c>
      <c r="E10687">
        <v>71</v>
      </c>
      <c r="F10687" t="str">
        <f>HYPERLINK("https://github.com/google/ExoPlayer/issues/10942", "show")</f>
        <v>show</v>
      </c>
      <c r="G10687" t="str">
        <f>HYPERLINK("https://github.com/google/ExoPlayer", "show")</f>
        <v>show</v>
      </c>
      <c r="H10687" t="str">
        <f>HYPERLINK("https://github.com/google/ExoPlayer/releases", "show")</f>
        <v>show</v>
      </c>
      <c r="I10687">
        <v>1</v>
      </c>
      <c r="J10687">
        <v>1</v>
      </c>
      <c r="K10687">
        <v>1</v>
      </c>
      <c r="L10687">
        <v>0</v>
      </c>
      <c r="M10687" t="s">
        <v>59</v>
      </c>
    </row>
    <row r="10688" spans="1:13" hidden="1" x14ac:dyDescent="0.15">
      <c r="A10688" t="s">
        <v>33734</v>
      </c>
      <c r="B10688" t="s">
        <v>33735</v>
      </c>
      <c r="C10688" t="s">
        <v>33736</v>
      </c>
      <c r="D10688" t="s">
        <v>33724</v>
      </c>
      <c r="E10688">
        <v>40</v>
      </c>
      <c r="F10688" t="str">
        <f>HYPERLINK("https://github.com/AndroidIDEOfficial/AndroidIDE/issues/758", "show")</f>
        <v>show</v>
      </c>
      <c r="G10688" t="str">
        <f>HYPERLINK("https://github.com/AndroidIDEOfficial/AndroidIDE", "show")</f>
        <v>show</v>
      </c>
      <c r="H10688" t="str">
        <f>HYPERLINK("https://github.com/AndroidIDEOfficial/AndroidIDE/releases", "show")</f>
        <v>show</v>
      </c>
      <c r="I10688">
        <v>0</v>
      </c>
      <c r="J10688">
        <v>0</v>
      </c>
      <c r="K10688">
        <v>1</v>
      </c>
      <c r="L10688">
        <v>0</v>
      </c>
      <c r="M10688" t="s">
        <v>122</v>
      </c>
    </row>
    <row r="10689" spans="1:13" hidden="1" x14ac:dyDescent="0.15">
      <c r="A10689" t="s">
        <v>33737</v>
      </c>
      <c r="B10689" t="s">
        <v>33738</v>
      </c>
      <c r="C10689" t="s">
        <v>33739</v>
      </c>
      <c r="D10689" t="s">
        <v>33724</v>
      </c>
      <c r="E10689">
        <v>0</v>
      </c>
      <c r="F10689" t="str">
        <f>HYPERLINK("https://github.com/AndroidIDEOfficial/AndroidIDE/issues/755", "show")</f>
        <v>show</v>
      </c>
      <c r="G10689" t="str">
        <f>HYPERLINK("https://github.com/AndroidIDEOfficial/AndroidIDE", "show")</f>
        <v>show</v>
      </c>
      <c r="H10689" t="str">
        <f>HYPERLINK("https://github.com/AndroidIDEOfficial/AndroidIDE/releases", "show")</f>
        <v>show</v>
      </c>
      <c r="I10689">
        <v>0</v>
      </c>
      <c r="J10689">
        <v>0</v>
      </c>
      <c r="K10689">
        <v>0</v>
      </c>
      <c r="L10689">
        <v>0</v>
      </c>
      <c r="M10689" t="s">
        <v>43</v>
      </c>
    </row>
    <row r="10690" spans="1:13" x14ac:dyDescent="0.15">
      <c r="A10690" t="s">
        <v>33740</v>
      </c>
      <c r="B10690" t="s">
        <v>33741</v>
      </c>
      <c r="C10690" t="s">
        <v>33742</v>
      </c>
      <c r="D10690" t="s">
        <v>33743</v>
      </c>
      <c r="E10690">
        <v>9</v>
      </c>
      <c r="F10690" t="str">
        <f>HYPERLINK("https://github.com/material-components/material-components-android/issues/3185", "show")</f>
        <v>show</v>
      </c>
      <c r="G10690" t="str">
        <f>HYPERLINK("https://github.com/material-components/material-components-android", "show")</f>
        <v>show</v>
      </c>
      <c r="H10690" t="str">
        <f>HYPERLINK("https://github.com/material-components/material-components-android/releases", "show")</f>
        <v>show</v>
      </c>
      <c r="I10690">
        <v>0</v>
      </c>
      <c r="J10690">
        <v>1</v>
      </c>
      <c r="K10690">
        <v>0</v>
      </c>
      <c r="L10690">
        <v>0</v>
      </c>
      <c r="M10690" t="s">
        <v>139</v>
      </c>
    </row>
    <row r="10691" spans="1:13" hidden="1" x14ac:dyDescent="0.15">
      <c r="A10691" t="s">
        <v>33744</v>
      </c>
      <c r="B10691" t="s">
        <v>33745</v>
      </c>
      <c r="C10691" t="s">
        <v>33746</v>
      </c>
      <c r="D10691" t="s">
        <v>33743</v>
      </c>
      <c r="E10691">
        <v>40</v>
      </c>
      <c r="F10691" t="str">
        <f>HYPERLINK("https://github.com/androidx/media/issues/245", "show")</f>
        <v>show</v>
      </c>
      <c r="G10691" t="str">
        <f>HYPERLINK("https://github.com/androidx/media", "show")</f>
        <v>show</v>
      </c>
      <c r="H10691" t="str">
        <f>HYPERLINK("https://github.com/androidx/media/releases", "show")</f>
        <v>show</v>
      </c>
      <c r="I10691">
        <v>1</v>
      </c>
      <c r="J10691">
        <v>0</v>
      </c>
      <c r="K10691">
        <v>1</v>
      </c>
      <c r="L10691">
        <v>0</v>
      </c>
      <c r="M10691" t="s">
        <v>64</v>
      </c>
    </row>
    <row r="10692" spans="1:13" hidden="1" x14ac:dyDescent="0.15">
      <c r="A10692" t="s">
        <v>33747</v>
      </c>
      <c r="B10692" t="s">
        <v>33748</v>
      </c>
      <c r="C10692" t="s">
        <v>33749</v>
      </c>
      <c r="D10692" t="s">
        <v>33743</v>
      </c>
      <c r="E10692">
        <v>2</v>
      </c>
      <c r="F10692" t="str">
        <f>HYPERLINK("https://github.com/PojavLauncherTeam/PojavLauncher/issues/3868", "show")</f>
        <v>show</v>
      </c>
      <c r="G10692" t="str">
        <f>HYPERLINK("https://github.com/PojavLauncherTeam/PojavLauncher", "show")</f>
        <v>show</v>
      </c>
      <c r="H10692" t="str">
        <f>HYPERLINK("https://github.com/PojavLauncherTeam/PojavLauncher/releases", "show")</f>
        <v>show</v>
      </c>
      <c r="I10692">
        <v>1</v>
      </c>
      <c r="J10692">
        <v>1</v>
      </c>
      <c r="K10692">
        <v>0</v>
      </c>
      <c r="L10692">
        <v>0</v>
      </c>
      <c r="M10692" t="s">
        <v>48</v>
      </c>
    </row>
    <row r="10693" spans="1:13" hidden="1" x14ac:dyDescent="0.15">
      <c r="A10693" t="s">
        <v>33750</v>
      </c>
      <c r="B10693" t="s">
        <v>33751</v>
      </c>
      <c r="C10693" t="s">
        <v>33752</v>
      </c>
      <c r="D10693" t="s">
        <v>33753</v>
      </c>
      <c r="E10693">
        <v>69</v>
      </c>
      <c r="F10693" t="str">
        <f>HYPERLINK("https://github.com/Finalshare90/kogaplanet-launcher/issues/10", "show")</f>
        <v>show</v>
      </c>
      <c r="G10693" t="str">
        <f>HYPERLINK("https://github.com/Finalshare90/kogaplanet-launcher", "show")</f>
        <v>show</v>
      </c>
      <c r="H10693" t="str">
        <f>HYPERLINK("https://github.com/Finalshare90/kogaplanet-launcher/releases", "show")</f>
        <v>show</v>
      </c>
      <c r="I10693">
        <v>1</v>
      </c>
      <c r="J10693">
        <v>0</v>
      </c>
      <c r="K10693">
        <v>0</v>
      </c>
      <c r="L10693">
        <v>1</v>
      </c>
      <c r="M10693" t="s">
        <v>29</v>
      </c>
    </row>
    <row r="10694" spans="1:13" hidden="1" x14ac:dyDescent="0.15">
      <c r="A10694" t="s">
        <v>33754</v>
      </c>
      <c r="B10694" t="s">
        <v>33755</v>
      </c>
      <c r="C10694" t="s">
        <v>11701</v>
      </c>
      <c r="D10694" t="s">
        <v>33753</v>
      </c>
      <c r="E10694">
        <v>1</v>
      </c>
      <c r="F10694" t="str">
        <f>HYPERLINK("https://github.com/Anuken/Mindustry/issues/8208", "show")</f>
        <v>show</v>
      </c>
      <c r="G10694" t="str">
        <f>HYPERLINK("https://github.com/Anuken/Mindustry", "show")</f>
        <v>show</v>
      </c>
      <c r="H10694" t="str">
        <f>HYPERLINK("https://github.com/Anuken/Mindustry/releases", "show")</f>
        <v>show</v>
      </c>
      <c r="I10694">
        <v>1</v>
      </c>
      <c r="J10694">
        <v>1</v>
      </c>
      <c r="K10694">
        <v>0</v>
      </c>
      <c r="L10694">
        <v>0</v>
      </c>
      <c r="M10694" t="s">
        <v>48</v>
      </c>
    </row>
    <row r="10695" spans="1:13" hidden="1" x14ac:dyDescent="0.15">
      <c r="A10695" t="s">
        <v>33756</v>
      </c>
      <c r="B10695" t="s">
        <v>33755</v>
      </c>
      <c r="C10695" t="s">
        <v>11701</v>
      </c>
      <c r="D10695" t="s">
        <v>33753</v>
      </c>
      <c r="E10695">
        <v>1</v>
      </c>
      <c r="F10695" t="str">
        <f>HYPERLINK("https://github.com/Anuken/Mindustry/issues/8207", "show")</f>
        <v>show</v>
      </c>
      <c r="G10695" t="str">
        <f>HYPERLINK("https://github.com/Anuken/Mindustry", "show")</f>
        <v>show</v>
      </c>
      <c r="H10695" t="str">
        <f>HYPERLINK("https://github.com/Anuken/Mindustry/releases", "show")</f>
        <v>show</v>
      </c>
      <c r="I10695">
        <v>1</v>
      </c>
      <c r="J10695">
        <v>1</v>
      </c>
      <c r="K10695">
        <v>0</v>
      </c>
      <c r="L10695">
        <v>0</v>
      </c>
      <c r="M10695" t="s">
        <v>48</v>
      </c>
    </row>
    <row r="10696" spans="1:13" hidden="1" x14ac:dyDescent="0.15">
      <c r="A10696" t="s">
        <v>33757</v>
      </c>
      <c r="B10696" t="s">
        <v>33758</v>
      </c>
      <c r="C10696" t="s">
        <v>33759</v>
      </c>
      <c r="D10696" t="s">
        <v>33753</v>
      </c>
      <c r="E10696">
        <v>133</v>
      </c>
      <c r="F10696" t="str">
        <f>HYPERLINK("https://github.com/OpenSeizureDetector/Android_Pebble_SD/issues/74", "show")</f>
        <v>show</v>
      </c>
      <c r="G10696" t="str">
        <f>HYPERLINK("https://github.com/OpenSeizureDetector/Android_Pebble_SD", "show")</f>
        <v>show</v>
      </c>
      <c r="H10696" t="str">
        <f>HYPERLINK("https://github.com/OpenSeizureDetector/Android_Pebble_SD/releases", "show")</f>
        <v>show</v>
      </c>
      <c r="I10696">
        <v>1</v>
      </c>
      <c r="J10696">
        <v>0</v>
      </c>
      <c r="K10696">
        <v>0</v>
      </c>
      <c r="L10696">
        <v>0</v>
      </c>
      <c r="M10696" t="s">
        <v>17</v>
      </c>
    </row>
    <row r="10697" spans="1:13" hidden="1" x14ac:dyDescent="0.15">
      <c r="A10697" t="s">
        <v>33760</v>
      </c>
      <c r="B10697" t="s">
        <v>33761</v>
      </c>
      <c r="C10697" t="s">
        <v>33762</v>
      </c>
      <c r="D10697" t="s">
        <v>33753</v>
      </c>
      <c r="E10697">
        <v>133</v>
      </c>
      <c r="F10697" t="str">
        <f>HYPERLINK("https://github.com/OpenSeizureDetector/Android_Pebble_SD/issues/73", "show")</f>
        <v>show</v>
      </c>
      <c r="G10697" t="str">
        <f>HYPERLINK("https://github.com/OpenSeizureDetector/Android_Pebble_SD", "show")</f>
        <v>show</v>
      </c>
      <c r="H10697" t="str">
        <f>HYPERLINK("https://github.com/OpenSeizureDetector/Android_Pebble_SD/releases", "show")</f>
        <v>show</v>
      </c>
      <c r="I10697">
        <v>1</v>
      </c>
      <c r="J10697">
        <v>0</v>
      </c>
      <c r="K10697">
        <v>0</v>
      </c>
      <c r="L10697">
        <v>0</v>
      </c>
      <c r="M10697" t="s">
        <v>17</v>
      </c>
    </row>
    <row r="10698" spans="1:13" hidden="1" x14ac:dyDescent="0.15">
      <c r="A10698" t="s">
        <v>33763</v>
      </c>
      <c r="B10698" t="s">
        <v>33764</v>
      </c>
      <c r="C10698" t="s">
        <v>33765</v>
      </c>
      <c r="D10698" t="s">
        <v>33753</v>
      </c>
      <c r="E10698">
        <v>264</v>
      </c>
      <c r="F10698" t="str">
        <f>HYPERLINK("https://github.com/VinylMusicPlayer/VinylMusicPlayer/issues/638", "show")</f>
        <v>show</v>
      </c>
      <c r="G10698" t="str">
        <f>HYPERLINK("https://github.com/VinylMusicPlayer/VinylMusicPlayer", "show")</f>
        <v>show</v>
      </c>
      <c r="H10698" t="str">
        <f>HYPERLINK("https://github.com/VinylMusicPlayer/VinylMusicPlayer/releases", "show")</f>
        <v>show</v>
      </c>
      <c r="I10698">
        <v>1</v>
      </c>
      <c r="J10698">
        <v>0</v>
      </c>
      <c r="K10698">
        <v>0</v>
      </c>
      <c r="L10698">
        <v>0</v>
      </c>
      <c r="M10698" t="s">
        <v>17</v>
      </c>
    </row>
    <row r="10699" spans="1:13" hidden="1" x14ac:dyDescent="0.15">
      <c r="A10699" t="s">
        <v>33766</v>
      </c>
      <c r="B10699" t="s">
        <v>33767</v>
      </c>
      <c r="C10699" t="s">
        <v>33768</v>
      </c>
      <c r="D10699" t="s">
        <v>33753</v>
      </c>
      <c r="E10699">
        <v>17</v>
      </c>
      <c r="F10699" t="str">
        <f>HYPERLINK("https://github.com/Rapsssito/react-native-tcp-socket/issues/167", "show")</f>
        <v>show</v>
      </c>
      <c r="G10699" t="str">
        <f>HYPERLINK("https://github.com/Rapsssito/react-native-tcp-socket", "show")</f>
        <v>show</v>
      </c>
      <c r="H10699" t="str">
        <f>HYPERLINK("https://github.com/Rapsssito/react-native-tcp-socket/releases", "show")</f>
        <v>show</v>
      </c>
      <c r="I10699">
        <v>1</v>
      </c>
      <c r="J10699">
        <v>0</v>
      </c>
      <c r="K10699">
        <v>0</v>
      </c>
      <c r="L10699">
        <v>0</v>
      </c>
      <c r="M10699" t="s">
        <v>17</v>
      </c>
    </row>
    <row r="10700" spans="1:13" hidden="1" x14ac:dyDescent="0.15">
      <c r="A10700" t="s">
        <v>33769</v>
      </c>
      <c r="B10700" t="s">
        <v>33770</v>
      </c>
      <c r="C10700" t="s">
        <v>33771</v>
      </c>
      <c r="D10700" t="s">
        <v>33753</v>
      </c>
      <c r="E10700">
        <v>2</v>
      </c>
      <c r="F10700" t="str">
        <f>HYPERLINK("https://github.com/PojavLauncherTeam/PojavLauncher/issues/3867", "show")</f>
        <v>show</v>
      </c>
      <c r="G10700" t="str">
        <f>HYPERLINK("https://github.com/PojavLauncherTeam/PojavLauncher", "show")</f>
        <v>show</v>
      </c>
      <c r="H10700" t="str">
        <f>HYPERLINK("https://github.com/PojavLauncherTeam/PojavLauncher/releases", "show")</f>
        <v>show</v>
      </c>
      <c r="I10700">
        <v>1</v>
      </c>
      <c r="J10700">
        <v>0</v>
      </c>
      <c r="K10700">
        <v>1</v>
      </c>
      <c r="L10700">
        <v>0</v>
      </c>
      <c r="M10700" t="s">
        <v>64</v>
      </c>
    </row>
    <row r="10701" spans="1:13" hidden="1" x14ac:dyDescent="0.15">
      <c r="A10701" t="s">
        <v>33772</v>
      </c>
      <c r="B10701" t="s">
        <v>33773</v>
      </c>
      <c r="C10701" t="s">
        <v>33774</v>
      </c>
      <c r="D10701" t="s">
        <v>33775</v>
      </c>
      <c r="E10701">
        <v>8</v>
      </c>
      <c r="F10701" t="str">
        <f>HYPERLINK("https://github.com/microg/GmsCore/issues/1872", "show")</f>
        <v>show</v>
      </c>
      <c r="G10701" t="str">
        <f>HYPERLINK("https://github.com/microg/GmsCore", "show")</f>
        <v>show</v>
      </c>
      <c r="H10701" t="str">
        <f>HYPERLINK("https://github.com/microg/GmsCore/releases", "show")</f>
        <v>show</v>
      </c>
      <c r="I10701">
        <v>1</v>
      </c>
      <c r="J10701">
        <v>1</v>
      </c>
      <c r="K10701">
        <v>0</v>
      </c>
      <c r="L10701">
        <v>0</v>
      </c>
      <c r="M10701" t="s">
        <v>48</v>
      </c>
    </row>
    <row r="10702" spans="1:13" hidden="1" x14ac:dyDescent="0.15">
      <c r="A10702" t="s">
        <v>33776</v>
      </c>
      <c r="B10702" t="s">
        <v>33777</v>
      </c>
      <c r="C10702" t="s">
        <v>33778</v>
      </c>
      <c r="D10702" t="s">
        <v>33775</v>
      </c>
      <c r="E10702">
        <v>235</v>
      </c>
      <c r="F10702" t="str">
        <f>HYPERLINK("https://github.com/square/retrofit/issues/3804", "show")</f>
        <v>show</v>
      </c>
      <c r="G10702" t="str">
        <f>HYPERLINK("https://github.com/square/retrofit", "show")</f>
        <v>show</v>
      </c>
      <c r="H10702" t="str">
        <f>HYPERLINK("https://github.com/square/retrofit/releases", "show")</f>
        <v>show</v>
      </c>
      <c r="I10702">
        <v>1</v>
      </c>
      <c r="J10702">
        <v>0</v>
      </c>
      <c r="K10702">
        <v>0</v>
      </c>
      <c r="L10702">
        <v>0</v>
      </c>
      <c r="M10702" t="s">
        <v>17</v>
      </c>
    </row>
    <row r="10703" spans="1:13" hidden="1" x14ac:dyDescent="0.15">
      <c r="A10703" t="s">
        <v>33779</v>
      </c>
      <c r="B10703" t="s">
        <v>33780</v>
      </c>
      <c r="C10703" t="s">
        <v>33781</v>
      </c>
      <c r="D10703" t="s">
        <v>33782</v>
      </c>
      <c r="E10703">
        <v>0</v>
      </c>
      <c r="F10703" t="str">
        <f>HYPERLINK("https://github.com/Anuken/Mindustry/issues/8200", "show")</f>
        <v>show</v>
      </c>
      <c r="G10703" t="str">
        <f>HYPERLINK("https://github.com/Anuken/Mindustry", "show")</f>
        <v>show</v>
      </c>
      <c r="H10703" t="str">
        <f>HYPERLINK("https://github.com/Anuken/Mindustry/releases", "show")</f>
        <v>show</v>
      </c>
      <c r="I10703">
        <v>0</v>
      </c>
      <c r="J10703">
        <v>1</v>
      </c>
      <c r="K10703">
        <v>0</v>
      </c>
      <c r="L10703">
        <v>1</v>
      </c>
      <c r="M10703" t="s">
        <v>1732</v>
      </c>
    </row>
    <row r="10704" spans="1:13" hidden="1" x14ac:dyDescent="0.15">
      <c r="A10704" t="s">
        <v>33783</v>
      </c>
      <c r="B10704" t="s">
        <v>33784</v>
      </c>
      <c r="C10704" t="s">
        <v>33785</v>
      </c>
      <c r="D10704" t="s">
        <v>33786</v>
      </c>
      <c r="E10704">
        <v>65</v>
      </c>
      <c r="F10704" t="str">
        <f>HYPERLINK("https://github.com/itsdrnoob/DataMonitor/issues/122", "show")</f>
        <v>show</v>
      </c>
      <c r="G10704" t="str">
        <f>HYPERLINK("https://github.com/itsdrnoob/DataMonitor", "show")</f>
        <v>show</v>
      </c>
      <c r="H10704" t="str">
        <f>HYPERLINK("https://github.com/itsdrnoob/DataMonitor/releases", "show")</f>
        <v>show</v>
      </c>
      <c r="I10704">
        <v>1</v>
      </c>
      <c r="J10704">
        <v>0</v>
      </c>
      <c r="K10704">
        <v>1</v>
      </c>
      <c r="L10704">
        <v>0</v>
      </c>
      <c r="M10704" t="s">
        <v>64</v>
      </c>
    </row>
    <row r="10705" spans="1:13" hidden="1" x14ac:dyDescent="0.15">
      <c r="A10705" t="s">
        <v>33787</v>
      </c>
      <c r="B10705" t="s">
        <v>33788</v>
      </c>
      <c r="C10705" t="s">
        <v>33789</v>
      </c>
      <c r="D10705" t="s">
        <v>33790</v>
      </c>
      <c r="E10705">
        <v>42</v>
      </c>
      <c r="F10705" t="str">
        <f>HYPERLINK("https://github.com/Rapsssito/react-native-tcp-socket/issues/165", "show")</f>
        <v>show</v>
      </c>
      <c r="G10705" t="str">
        <f>HYPERLINK("https://github.com/Rapsssito/react-native-tcp-socket", "show")</f>
        <v>show</v>
      </c>
      <c r="H10705" t="str">
        <f>HYPERLINK("https://github.com/Rapsssito/react-native-tcp-socket/releases", "show")</f>
        <v>show</v>
      </c>
      <c r="I10705">
        <v>1</v>
      </c>
      <c r="J10705">
        <v>0</v>
      </c>
      <c r="K10705">
        <v>0</v>
      </c>
      <c r="L10705">
        <v>0</v>
      </c>
      <c r="M10705" t="s">
        <v>17</v>
      </c>
    </row>
    <row r="10706" spans="1:13" hidden="1" x14ac:dyDescent="0.15">
      <c r="A10706" t="s">
        <v>33791</v>
      </c>
      <c r="B10706" t="s">
        <v>33792</v>
      </c>
      <c r="C10706" t="s">
        <v>33793</v>
      </c>
      <c r="D10706" t="s">
        <v>33790</v>
      </c>
      <c r="E10706">
        <v>0</v>
      </c>
      <c r="F10706" t="str">
        <f>HYPERLINK("https://github.com/Anuken/Mindustry/issues/8194", "show")</f>
        <v>show</v>
      </c>
      <c r="G10706" t="str">
        <f>HYPERLINK("https://github.com/Anuken/Mindustry", "show")</f>
        <v>show</v>
      </c>
      <c r="H10706" t="str">
        <f>HYPERLINK("https://github.com/Anuken/Mindustry/releases", "show")</f>
        <v>show</v>
      </c>
      <c r="I10706">
        <v>0</v>
      </c>
      <c r="J10706">
        <v>0</v>
      </c>
      <c r="K10706">
        <v>0</v>
      </c>
      <c r="L10706">
        <v>0</v>
      </c>
      <c r="M10706" t="s">
        <v>43</v>
      </c>
    </row>
    <row r="10707" spans="1:13" hidden="1" x14ac:dyDescent="0.15">
      <c r="A10707" t="s">
        <v>33794</v>
      </c>
      <c r="B10707" t="s">
        <v>33795</v>
      </c>
      <c r="C10707" t="s">
        <v>33796</v>
      </c>
      <c r="D10707" t="s">
        <v>33790</v>
      </c>
      <c r="E10707">
        <v>7</v>
      </c>
      <c r="F10707" t="str">
        <f>HYPERLINK("https://github.com/PojavLauncherTeam/PojavLauncher/issues/3856", "show")</f>
        <v>show</v>
      </c>
      <c r="G10707" t="str">
        <f>HYPERLINK("https://github.com/PojavLauncherTeam/PojavLauncher", "show")</f>
        <v>show</v>
      </c>
      <c r="H10707" t="str">
        <f>HYPERLINK("https://github.com/PojavLauncherTeam/PojavLauncher/releases", "show")</f>
        <v>show</v>
      </c>
      <c r="I10707">
        <v>1</v>
      </c>
      <c r="J10707">
        <v>1</v>
      </c>
      <c r="K10707">
        <v>0</v>
      </c>
      <c r="L10707">
        <v>1</v>
      </c>
      <c r="M10707" t="s">
        <v>1894</v>
      </c>
    </row>
    <row r="10708" spans="1:13" hidden="1" x14ac:dyDescent="0.15">
      <c r="A10708" t="s">
        <v>33797</v>
      </c>
      <c r="B10708" t="s">
        <v>33798</v>
      </c>
      <c r="C10708" t="s">
        <v>33799</v>
      </c>
      <c r="D10708" t="s">
        <v>33790</v>
      </c>
      <c r="E10708">
        <v>2</v>
      </c>
      <c r="F10708" t="str">
        <f>HYPERLINK("https://github.com/LawnchairLauncher/lawnchair/issues/3258", "show")</f>
        <v>show</v>
      </c>
      <c r="G10708" t="str">
        <f>HYPERLINK("https://github.com/LawnchairLauncher/lawnchair", "show")</f>
        <v>show</v>
      </c>
      <c r="H10708" t="str">
        <f>HYPERLINK("https://github.com/LawnchairLauncher/lawnchair/releases", "show")</f>
        <v>show</v>
      </c>
      <c r="I10708">
        <v>0</v>
      </c>
      <c r="J10708">
        <v>1</v>
      </c>
      <c r="K10708">
        <v>1</v>
      </c>
      <c r="L10708">
        <v>0</v>
      </c>
      <c r="M10708" t="s">
        <v>699</v>
      </c>
    </row>
    <row r="10709" spans="1:13" hidden="1" x14ac:dyDescent="0.15">
      <c r="A10709" t="s">
        <v>33800</v>
      </c>
      <c r="B10709" t="s">
        <v>33801</v>
      </c>
      <c r="C10709" t="s">
        <v>33802</v>
      </c>
      <c r="D10709" t="s">
        <v>33803</v>
      </c>
      <c r="E10709">
        <v>1</v>
      </c>
      <c r="F10709" t="str">
        <f>HYPERLINK("https://github.com/Igalia/wolvic/issues/430", "show")</f>
        <v>show</v>
      </c>
      <c r="G10709" t="str">
        <f>HYPERLINK("https://github.com/Igalia/wolvic", "show")</f>
        <v>show</v>
      </c>
      <c r="H10709" t="str">
        <f>HYPERLINK("https://github.com/Igalia/wolvic/releases", "show")</f>
        <v>show</v>
      </c>
      <c r="I10709">
        <v>1</v>
      </c>
      <c r="J10709">
        <v>0</v>
      </c>
      <c r="K10709">
        <v>1</v>
      </c>
      <c r="L10709">
        <v>0</v>
      </c>
      <c r="M10709" t="s">
        <v>64</v>
      </c>
    </row>
    <row r="10710" spans="1:13" hidden="1" x14ac:dyDescent="0.15">
      <c r="A10710" t="s">
        <v>33804</v>
      </c>
      <c r="B10710" t="s">
        <v>33805</v>
      </c>
      <c r="C10710" t="s">
        <v>33806</v>
      </c>
      <c r="D10710" t="s">
        <v>33803</v>
      </c>
      <c r="E10710">
        <v>6</v>
      </c>
      <c r="F10710" t="str">
        <f>HYPERLINK("https://github.com/krisisurf/Hyperlapse-Robot/issues/69", "show")</f>
        <v>show</v>
      </c>
      <c r="G10710" t="str">
        <f>HYPERLINK("https://github.com/krisisurf/Hyperlapse-Robot", "show")</f>
        <v>show</v>
      </c>
      <c r="H10710" t="str">
        <f>HYPERLINK("https://github.com/krisisurf/Hyperlapse-Robot/releases", "show")</f>
        <v>show</v>
      </c>
      <c r="I10710">
        <v>1</v>
      </c>
      <c r="J10710">
        <v>0</v>
      </c>
      <c r="K10710">
        <v>0</v>
      </c>
      <c r="L10710">
        <v>0</v>
      </c>
      <c r="M10710" t="s">
        <v>17</v>
      </c>
    </row>
    <row r="10711" spans="1:13" hidden="1" x14ac:dyDescent="0.15">
      <c r="A10711" t="s">
        <v>33807</v>
      </c>
      <c r="B10711" t="s">
        <v>33808</v>
      </c>
      <c r="C10711" t="s">
        <v>33809</v>
      </c>
      <c r="D10711" t="s">
        <v>33803</v>
      </c>
      <c r="E10711">
        <v>1</v>
      </c>
      <c r="F10711" t="str">
        <f>HYPERLINK("https://github.com/dariuszseweryn/RxAndroidBle/issues/818", "show")</f>
        <v>show</v>
      </c>
      <c r="G10711" t="str">
        <f>HYPERLINK("https://github.com/dariuszseweryn/RxAndroidBle", "show")</f>
        <v>show</v>
      </c>
      <c r="H10711" t="str">
        <f>HYPERLINK("https://github.com/dariuszseweryn/RxAndroidBle/releases", "show")</f>
        <v>show</v>
      </c>
      <c r="I10711">
        <v>1</v>
      </c>
      <c r="J10711">
        <v>0</v>
      </c>
      <c r="K10711">
        <v>1</v>
      </c>
      <c r="L10711">
        <v>0</v>
      </c>
      <c r="M10711" t="s">
        <v>64</v>
      </c>
    </row>
    <row r="10712" spans="1:13" hidden="1" x14ac:dyDescent="0.15">
      <c r="A10712" t="s">
        <v>33810</v>
      </c>
      <c r="B10712" t="s">
        <v>33811</v>
      </c>
      <c r="C10712" t="s">
        <v>33812</v>
      </c>
      <c r="D10712" t="s">
        <v>33813</v>
      </c>
      <c r="E10712">
        <v>1</v>
      </c>
      <c r="F10712" t="str">
        <f>HYPERLINK("https://github.com/Anuken/Mindustry/issues/8188", "show")</f>
        <v>show</v>
      </c>
      <c r="G10712" t="str">
        <f>HYPERLINK("https://github.com/Anuken/Mindustry", "show")</f>
        <v>show</v>
      </c>
      <c r="H10712" t="str">
        <f>HYPERLINK("https://github.com/Anuken/Mindustry/releases", "show")</f>
        <v>show</v>
      </c>
      <c r="I10712">
        <v>0</v>
      </c>
      <c r="J10712">
        <v>0</v>
      </c>
      <c r="K10712">
        <v>0</v>
      </c>
      <c r="L10712">
        <v>0</v>
      </c>
      <c r="M10712" t="s">
        <v>43</v>
      </c>
    </row>
    <row r="10713" spans="1:13" hidden="1" x14ac:dyDescent="0.15">
      <c r="A10713" t="s">
        <v>33814</v>
      </c>
      <c r="B10713" t="s">
        <v>33815</v>
      </c>
      <c r="C10713" t="s">
        <v>33816</v>
      </c>
      <c r="D10713" t="s">
        <v>33813</v>
      </c>
      <c r="E10713">
        <v>2</v>
      </c>
      <c r="F10713" t="str">
        <f>HYPERLINK("https://github.com/jMonkeyEngine/jmonkeyengine/issues/1919", "show")</f>
        <v>show</v>
      </c>
      <c r="G10713" t="str">
        <f>HYPERLINK("https://github.com/jMonkeyEngine/jmonkeyengine", "show")</f>
        <v>show</v>
      </c>
      <c r="H10713" t="str">
        <f>HYPERLINK("https://github.com/jMonkeyEngine/jmonkeyengine/releases", "show")</f>
        <v>show</v>
      </c>
      <c r="I10713">
        <v>1</v>
      </c>
      <c r="J10713">
        <v>0</v>
      </c>
      <c r="K10713">
        <v>1</v>
      </c>
      <c r="L10713">
        <v>0</v>
      </c>
      <c r="M10713" t="s">
        <v>64</v>
      </c>
    </row>
    <row r="10714" spans="1:13" hidden="1" x14ac:dyDescent="0.15">
      <c r="A10714" t="s">
        <v>33817</v>
      </c>
      <c r="B10714" t="s">
        <v>33818</v>
      </c>
      <c r="C10714" t="s">
        <v>33819</v>
      </c>
      <c r="D10714" t="s">
        <v>33813</v>
      </c>
      <c r="E10714">
        <v>68</v>
      </c>
      <c r="F10714" t="str">
        <f>HYPERLINK("https://github.com/itsdrnoob/DataMonitor/issues/120", "show")</f>
        <v>show</v>
      </c>
      <c r="G10714" t="str">
        <f>HYPERLINK("https://github.com/itsdrnoob/DataMonitor", "show")</f>
        <v>show</v>
      </c>
      <c r="H10714" t="str">
        <f>HYPERLINK("https://github.com/itsdrnoob/DataMonitor/releases", "show")</f>
        <v>show</v>
      </c>
      <c r="I10714">
        <v>1</v>
      </c>
      <c r="J10714">
        <v>0</v>
      </c>
      <c r="K10714">
        <v>1</v>
      </c>
      <c r="L10714">
        <v>0</v>
      </c>
      <c r="M10714" t="s">
        <v>64</v>
      </c>
    </row>
    <row r="10715" spans="1:13" hidden="1" x14ac:dyDescent="0.15">
      <c r="A10715" t="s">
        <v>33820</v>
      </c>
      <c r="B10715" t="s">
        <v>33821</v>
      </c>
      <c r="C10715" t="s">
        <v>33822</v>
      </c>
      <c r="D10715" t="s">
        <v>33813</v>
      </c>
      <c r="E10715">
        <v>1</v>
      </c>
      <c r="F10715" t="str">
        <f>HYPERLINK("https://github.com/TeamNewPipe/NewPipe/issues/9692", "show")</f>
        <v>show</v>
      </c>
      <c r="G10715" t="str">
        <f>HYPERLINK("https://github.com/TeamNewPipe/NewPipe", "show")</f>
        <v>show</v>
      </c>
      <c r="H10715" t="str">
        <f>HYPERLINK("https://github.com/TeamNewPipe/NewPipe/releases", "show")</f>
        <v>show</v>
      </c>
      <c r="I10715">
        <v>1</v>
      </c>
      <c r="J10715">
        <v>1</v>
      </c>
      <c r="K10715">
        <v>1</v>
      </c>
      <c r="L10715">
        <v>0</v>
      </c>
      <c r="M10715" t="s">
        <v>59</v>
      </c>
    </row>
    <row r="10716" spans="1:13" hidden="1" x14ac:dyDescent="0.15">
      <c r="A10716" t="s">
        <v>33823</v>
      </c>
      <c r="B10716" t="s">
        <v>33824</v>
      </c>
      <c r="C10716" t="s">
        <v>33825</v>
      </c>
      <c r="D10716" t="s">
        <v>33826</v>
      </c>
      <c r="E10716">
        <v>27</v>
      </c>
      <c r="F10716" t="str">
        <f>HYPERLINK("https://github.com/AndroidIDEOfficial/AndroidIDE/issues/747", "show")</f>
        <v>show</v>
      </c>
      <c r="G10716" t="str">
        <f>HYPERLINK("https://github.com/AndroidIDEOfficial/AndroidIDE", "show")</f>
        <v>show</v>
      </c>
      <c r="H10716" t="str">
        <f>HYPERLINK("https://github.com/AndroidIDEOfficial/AndroidIDE/releases", "show")</f>
        <v>show</v>
      </c>
      <c r="I10716">
        <v>1</v>
      </c>
      <c r="J10716">
        <v>0</v>
      </c>
      <c r="K10716">
        <v>0</v>
      </c>
      <c r="L10716">
        <v>0</v>
      </c>
      <c r="M10716" t="s">
        <v>17</v>
      </c>
    </row>
    <row r="10717" spans="1:13" hidden="1" x14ac:dyDescent="0.15">
      <c r="A10717" t="s">
        <v>33827</v>
      </c>
      <c r="B10717" t="s">
        <v>33828</v>
      </c>
      <c r="C10717" t="s">
        <v>33829</v>
      </c>
      <c r="D10717" t="s">
        <v>33826</v>
      </c>
      <c r="E10717">
        <v>1</v>
      </c>
      <c r="F10717" t="str">
        <f>HYPERLINK("https://github.com/jMonkeyEngine/jmonkeyengine/issues/1917", "show")</f>
        <v>show</v>
      </c>
      <c r="G10717" t="str">
        <f>HYPERLINK("https://github.com/jMonkeyEngine/jmonkeyengine", "show")</f>
        <v>show</v>
      </c>
      <c r="H10717" t="str">
        <f>HYPERLINK("https://github.com/jMonkeyEngine/jmonkeyengine/releases", "show")</f>
        <v>show</v>
      </c>
      <c r="I10717">
        <v>1</v>
      </c>
      <c r="J10717">
        <v>0</v>
      </c>
      <c r="K10717">
        <v>1</v>
      </c>
      <c r="L10717">
        <v>0</v>
      </c>
      <c r="M10717" t="s">
        <v>64</v>
      </c>
    </row>
    <row r="10718" spans="1:13" hidden="1" x14ac:dyDescent="0.15">
      <c r="A10718" t="s">
        <v>33830</v>
      </c>
      <c r="B10718" t="s">
        <v>33831</v>
      </c>
      <c r="C10718" t="s">
        <v>33832</v>
      </c>
      <c r="D10718" t="s">
        <v>33826</v>
      </c>
      <c r="E10718">
        <v>10</v>
      </c>
      <c r="F10718" t="str">
        <f>HYPERLINK("https://github.com/PojavLauncherTeam/PojavLauncher/issues/3852", "show")</f>
        <v>show</v>
      </c>
      <c r="G10718" t="str">
        <f>HYPERLINK("https://github.com/PojavLauncherTeam/PojavLauncher", "show")</f>
        <v>show</v>
      </c>
      <c r="H10718" t="str">
        <f>HYPERLINK("https://github.com/PojavLauncherTeam/PojavLauncher/releases", "show")</f>
        <v>show</v>
      </c>
      <c r="I10718">
        <v>1</v>
      </c>
      <c r="J10718">
        <v>0</v>
      </c>
      <c r="K10718">
        <v>0</v>
      </c>
      <c r="L10718">
        <v>0</v>
      </c>
      <c r="M10718" t="s">
        <v>17</v>
      </c>
    </row>
    <row r="10719" spans="1:13" hidden="1" x14ac:dyDescent="0.15">
      <c r="A10719" t="s">
        <v>33833</v>
      </c>
      <c r="B10719" t="s">
        <v>33834</v>
      </c>
      <c r="C10719" t="s">
        <v>33835</v>
      </c>
      <c r="D10719" t="s">
        <v>33826</v>
      </c>
      <c r="E10719">
        <v>49</v>
      </c>
      <c r="F10719" t="str">
        <f>HYPERLINK("https://github.com/AndroidIDEOfficial/AndroidIDE/issues/746", "show")</f>
        <v>show</v>
      </c>
      <c r="G10719" t="str">
        <f>HYPERLINK("https://github.com/AndroidIDEOfficial/AndroidIDE", "show")</f>
        <v>show</v>
      </c>
      <c r="H10719" t="str">
        <f>HYPERLINK("https://github.com/AndroidIDEOfficial/AndroidIDE/releases", "show")</f>
        <v>show</v>
      </c>
      <c r="I10719">
        <v>0</v>
      </c>
      <c r="J10719">
        <v>0</v>
      </c>
      <c r="K10719">
        <v>1</v>
      </c>
      <c r="L10719">
        <v>0</v>
      </c>
      <c r="M10719" t="s">
        <v>122</v>
      </c>
    </row>
    <row r="10720" spans="1:13" hidden="1" x14ac:dyDescent="0.15">
      <c r="A10720" t="s">
        <v>33836</v>
      </c>
      <c r="B10720" t="s">
        <v>33837</v>
      </c>
      <c r="C10720" t="s">
        <v>33838</v>
      </c>
      <c r="D10720" t="s">
        <v>33826</v>
      </c>
      <c r="E10720">
        <v>121</v>
      </c>
      <c r="F10720" t="str">
        <f>HYPERLINK("https://github.com/jellyfin/jellyfin-androidtv/issues/2421", "show")</f>
        <v>show</v>
      </c>
      <c r="G10720" t="str">
        <f>HYPERLINK("https://github.com/jellyfin/jellyfin-androidtv", "show")</f>
        <v>show</v>
      </c>
      <c r="H10720" t="str">
        <f>HYPERLINK("https://github.com/jellyfin/jellyfin-androidtv/releases", "show")</f>
        <v>show</v>
      </c>
      <c r="I10720">
        <v>1</v>
      </c>
      <c r="J10720">
        <v>0</v>
      </c>
      <c r="K10720">
        <v>1</v>
      </c>
      <c r="L10720">
        <v>0</v>
      </c>
      <c r="M10720" t="s">
        <v>64</v>
      </c>
    </row>
    <row r="10721" spans="1:13" hidden="1" x14ac:dyDescent="0.15">
      <c r="A10721" t="s">
        <v>33839</v>
      </c>
      <c r="B10721" t="s">
        <v>33840</v>
      </c>
      <c r="C10721" t="s">
        <v>33841</v>
      </c>
      <c r="D10721" t="s">
        <v>33826</v>
      </c>
      <c r="E10721">
        <v>0</v>
      </c>
      <c r="F10721" t="str">
        <f>HYPERLINK("https://github.com/Aliucord/Aliucord/issues/295", "show")</f>
        <v>show</v>
      </c>
      <c r="G10721" t="str">
        <f>HYPERLINK("https://github.com/Aliucord/Aliucord", "show")</f>
        <v>show</v>
      </c>
      <c r="H10721" t="str">
        <f>HYPERLINK("https://github.com/Aliucord/Aliucord/releases", "show")</f>
        <v>show</v>
      </c>
      <c r="I10721">
        <v>1</v>
      </c>
      <c r="J10721">
        <v>0</v>
      </c>
      <c r="K10721">
        <v>0</v>
      </c>
      <c r="L10721">
        <v>1</v>
      </c>
      <c r="M10721" t="s">
        <v>29</v>
      </c>
    </row>
    <row r="10722" spans="1:13" hidden="1" x14ac:dyDescent="0.15">
      <c r="A10722" t="s">
        <v>33842</v>
      </c>
      <c r="B10722" t="s">
        <v>33843</v>
      </c>
      <c r="C10722" t="s">
        <v>33844</v>
      </c>
      <c r="D10722" t="s">
        <v>33845</v>
      </c>
      <c r="E10722">
        <v>0</v>
      </c>
      <c r="F10722" t="str">
        <f>HYPERLINK("https://github.com/Anuken/Mindustry/issues/8180", "show")</f>
        <v>show</v>
      </c>
      <c r="G10722" t="str">
        <f>HYPERLINK("https://github.com/Anuken/Mindustry", "show")</f>
        <v>show</v>
      </c>
      <c r="H10722" t="str">
        <f>HYPERLINK("https://github.com/Anuken/Mindustry/releases", "show")</f>
        <v>show</v>
      </c>
      <c r="I10722">
        <v>0</v>
      </c>
      <c r="J10722">
        <v>0</v>
      </c>
      <c r="K10722">
        <v>0</v>
      </c>
      <c r="L10722">
        <v>0</v>
      </c>
      <c r="M10722" t="s">
        <v>43</v>
      </c>
    </row>
    <row r="10723" spans="1:13" hidden="1" x14ac:dyDescent="0.15">
      <c r="A10723" t="s">
        <v>33846</v>
      </c>
      <c r="B10723" t="s">
        <v>33847</v>
      </c>
      <c r="C10723" t="s">
        <v>33848</v>
      </c>
      <c r="D10723" t="s">
        <v>33845</v>
      </c>
      <c r="E10723">
        <v>1</v>
      </c>
      <c r="F10723" t="str">
        <f>HYPERLINK("https://github.com/jellyfin/jellyfin-androidtv/issues/2418", "show")</f>
        <v>show</v>
      </c>
      <c r="G10723" t="str">
        <f>HYPERLINK("https://github.com/jellyfin/jellyfin-androidtv", "show")</f>
        <v>show</v>
      </c>
      <c r="H10723" t="str">
        <f>HYPERLINK("https://github.com/jellyfin/jellyfin-androidtv/releases", "show")</f>
        <v>show</v>
      </c>
      <c r="I10723">
        <v>0</v>
      </c>
      <c r="J10723">
        <v>0</v>
      </c>
      <c r="K10723">
        <v>1</v>
      </c>
      <c r="L10723">
        <v>0</v>
      </c>
      <c r="M10723" t="s">
        <v>122</v>
      </c>
    </row>
    <row r="10724" spans="1:13" hidden="1" x14ac:dyDescent="0.15">
      <c r="A10724" t="s">
        <v>33849</v>
      </c>
      <c r="B10724" t="s">
        <v>33850</v>
      </c>
      <c r="C10724" t="s">
        <v>33851</v>
      </c>
      <c r="D10724" t="s">
        <v>33845</v>
      </c>
      <c r="E10724">
        <v>1</v>
      </c>
      <c r="F10724" t="str">
        <f>HYPERLINK("https://github.com/cgeo/cgeo/issues/13863", "show")</f>
        <v>show</v>
      </c>
      <c r="G10724" t="str">
        <f>HYPERLINK("https://github.com/cgeo/cgeo", "show")</f>
        <v>show</v>
      </c>
      <c r="H10724" t="str">
        <f>HYPERLINK("https://github.com/cgeo/cgeo/releases", "show")</f>
        <v>show</v>
      </c>
      <c r="I10724">
        <v>1</v>
      </c>
      <c r="J10724">
        <v>1</v>
      </c>
      <c r="K10724">
        <v>1</v>
      </c>
      <c r="L10724">
        <v>0</v>
      </c>
      <c r="M10724" t="s">
        <v>59</v>
      </c>
    </row>
    <row r="10725" spans="1:13" hidden="1" x14ac:dyDescent="0.15">
      <c r="A10725" t="s">
        <v>33852</v>
      </c>
      <c r="B10725" t="s">
        <v>33853</v>
      </c>
      <c r="C10725" t="s">
        <v>33854</v>
      </c>
      <c r="D10725" t="s">
        <v>33845</v>
      </c>
      <c r="E10725">
        <v>0</v>
      </c>
      <c r="F10725" t="str">
        <f>HYPERLINK("https://github.com/Anuken/Mindustry/issues/8178", "show")</f>
        <v>show</v>
      </c>
      <c r="G10725" t="str">
        <f>HYPERLINK("https://github.com/Anuken/Mindustry", "show")</f>
        <v>show</v>
      </c>
      <c r="H10725" t="str">
        <f>HYPERLINK("https://github.com/Anuken/Mindustry/releases", "show")</f>
        <v>show</v>
      </c>
      <c r="I10725">
        <v>0</v>
      </c>
      <c r="J10725">
        <v>0</v>
      </c>
      <c r="K10725">
        <v>0</v>
      </c>
      <c r="L10725">
        <v>0</v>
      </c>
      <c r="M10725" t="s">
        <v>43</v>
      </c>
    </row>
    <row r="10726" spans="1:13" hidden="1" x14ac:dyDescent="0.15">
      <c r="A10726" t="s">
        <v>33855</v>
      </c>
      <c r="B10726" t="s">
        <v>33856</v>
      </c>
      <c r="C10726" t="s">
        <v>33857</v>
      </c>
      <c r="D10726" t="s">
        <v>33845</v>
      </c>
      <c r="E10726">
        <v>90</v>
      </c>
      <c r="F10726" t="str">
        <f>HYPERLINK("https://github.com/androidx/media/issues/241", "show")</f>
        <v>show</v>
      </c>
      <c r="G10726" t="str">
        <f>HYPERLINK("https://github.com/androidx/media", "show")</f>
        <v>show</v>
      </c>
      <c r="H10726" t="str">
        <f>HYPERLINK("https://github.com/androidx/media/releases", "show")</f>
        <v>show</v>
      </c>
      <c r="I10726">
        <v>1</v>
      </c>
      <c r="J10726">
        <v>0</v>
      </c>
      <c r="K10726">
        <v>1</v>
      </c>
      <c r="L10726">
        <v>0</v>
      </c>
      <c r="M10726" t="s">
        <v>64</v>
      </c>
    </row>
    <row r="10727" spans="1:13" hidden="1" x14ac:dyDescent="0.15">
      <c r="A10727" t="s">
        <v>33858</v>
      </c>
      <c r="B10727" t="s">
        <v>33859</v>
      </c>
      <c r="C10727" t="s">
        <v>33860</v>
      </c>
      <c r="D10727" t="s">
        <v>33845</v>
      </c>
      <c r="E10727">
        <v>3</v>
      </c>
      <c r="F10727" t="str">
        <f>HYPERLINK("https://github.com/nextcloud/android/issues/11252", "show")</f>
        <v>show</v>
      </c>
      <c r="G10727" t="str">
        <f>HYPERLINK("https://github.com/nextcloud/android", "show")</f>
        <v>show</v>
      </c>
      <c r="H10727" t="str">
        <f>HYPERLINK("https://github.com/nextcloud/android/releases", "show")</f>
        <v>show</v>
      </c>
      <c r="I10727">
        <v>1</v>
      </c>
      <c r="J10727">
        <v>1</v>
      </c>
      <c r="K10727">
        <v>1</v>
      </c>
      <c r="L10727">
        <v>0</v>
      </c>
      <c r="M10727" t="s">
        <v>59</v>
      </c>
    </row>
    <row r="10728" spans="1:13" hidden="1" x14ac:dyDescent="0.15">
      <c r="A10728" t="s">
        <v>33861</v>
      </c>
      <c r="B10728" t="s">
        <v>33862</v>
      </c>
      <c r="C10728" t="s">
        <v>33863</v>
      </c>
      <c r="D10728" t="s">
        <v>33864</v>
      </c>
      <c r="E10728">
        <v>0</v>
      </c>
      <c r="F10728" t="str">
        <f>HYPERLINK("https://github.com/Anuken/Mindustry/issues/8173", "show")</f>
        <v>show</v>
      </c>
      <c r="G10728" t="str">
        <f>HYPERLINK("https://github.com/Anuken/Mindustry", "show")</f>
        <v>show</v>
      </c>
      <c r="H10728" t="str">
        <f>HYPERLINK("https://github.com/Anuken/Mindustry/releases", "show")</f>
        <v>show</v>
      </c>
      <c r="I10728">
        <v>0</v>
      </c>
      <c r="J10728">
        <v>0</v>
      </c>
      <c r="K10728">
        <v>0</v>
      </c>
      <c r="L10728">
        <v>0</v>
      </c>
      <c r="M10728" t="s">
        <v>43</v>
      </c>
    </row>
    <row r="10729" spans="1:13" hidden="1" x14ac:dyDescent="0.15">
      <c r="A10729" t="s">
        <v>33865</v>
      </c>
      <c r="B10729" t="s">
        <v>33866</v>
      </c>
      <c r="C10729" t="s">
        <v>33867</v>
      </c>
      <c r="D10729" t="s">
        <v>33864</v>
      </c>
      <c r="E10729">
        <v>1</v>
      </c>
      <c r="F10729" t="str">
        <f>HYPERLINK("https://github.com/AndroidIDEOfficial/AndroidIDE/issues/744", "show")</f>
        <v>show</v>
      </c>
      <c r="G10729" t="str">
        <f>HYPERLINK("https://github.com/AndroidIDEOfficial/AndroidIDE", "show")</f>
        <v>show</v>
      </c>
      <c r="H10729" t="str">
        <f>HYPERLINK("https://github.com/AndroidIDEOfficial/AndroidIDE/releases", "show")</f>
        <v>show</v>
      </c>
      <c r="I10729">
        <v>0</v>
      </c>
      <c r="J10729">
        <v>0</v>
      </c>
      <c r="K10729">
        <v>1</v>
      </c>
      <c r="L10729">
        <v>0</v>
      </c>
      <c r="M10729" t="s">
        <v>122</v>
      </c>
    </row>
    <row r="10730" spans="1:13" hidden="1" x14ac:dyDescent="0.15">
      <c r="A10730" t="s">
        <v>33868</v>
      </c>
      <c r="B10730" t="s">
        <v>33869</v>
      </c>
      <c r="C10730" t="s">
        <v>33870</v>
      </c>
      <c r="D10730" t="s">
        <v>33864</v>
      </c>
      <c r="E10730">
        <v>2</v>
      </c>
      <c r="F10730" t="str">
        <f>HYPERLINK("https://github.com/jMonkeyEngine/jmonkeyengine/issues/1908", "show")</f>
        <v>show</v>
      </c>
      <c r="G10730" t="str">
        <f>HYPERLINK("https://github.com/jMonkeyEngine/jmonkeyengine", "show")</f>
        <v>show</v>
      </c>
      <c r="H10730" t="str">
        <f>HYPERLINK("https://github.com/jMonkeyEngine/jmonkeyengine/releases", "show")</f>
        <v>show</v>
      </c>
      <c r="I10730">
        <v>0</v>
      </c>
      <c r="J10730">
        <v>0</v>
      </c>
      <c r="K10730">
        <v>1</v>
      </c>
      <c r="L10730">
        <v>0</v>
      </c>
      <c r="M10730" t="s">
        <v>122</v>
      </c>
    </row>
    <row r="10731" spans="1:13" hidden="1" x14ac:dyDescent="0.15">
      <c r="A10731" t="s">
        <v>33871</v>
      </c>
      <c r="B10731" t="s">
        <v>33872</v>
      </c>
      <c r="C10731" t="s">
        <v>33873</v>
      </c>
      <c r="D10731" t="s">
        <v>33874</v>
      </c>
      <c r="E10731">
        <v>0</v>
      </c>
      <c r="F10731" t="str">
        <f>HYPERLINK("https://github.com/Anuken/Mindustry/issues/8168", "show")</f>
        <v>show</v>
      </c>
      <c r="G10731" t="str">
        <f>HYPERLINK("https://github.com/Anuken/Mindustry", "show")</f>
        <v>show</v>
      </c>
      <c r="H10731" t="str">
        <f>HYPERLINK("https://github.com/Anuken/Mindustry/releases", "show")</f>
        <v>show</v>
      </c>
      <c r="I10731">
        <v>0</v>
      </c>
      <c r="J10731">
        <v>0</v>
      </c>
      <c r="K10731">
        <v>0</v>
      </c>
      <c r="L10731">
        <v>1</v>
      </c>
      <c r="M10731" t="s">
        <v>581</v>
      </c>
    </row>
    <row r="10732" spans="1:13" hidden="1" x14ac:dyDescent="0.15">
      <c r="A10732" t="s">
        <v>33875</v>
      </c>
      <c r="B10732" t="s">
        <v>33876</v>
      </c>
      <c r="C10732" t="s">
        <v>33877</v>
      </c>
      <c r="D10732" t="s">
        <v>33874</v>
      </c>
      <c r="E10732">
        <v>0</v>
      </c>
      <c r="F10732" t="str">
        <f>HYPERLINK("https://github.com/Anuken/Mindustry/issues/8166", "show")</f>
        <v>show</v>
      </c>
      <c r="G10732" t="str">
        <f>HYPERLINK("https://github.com/Anuken/Mindustry", "show")</f>
        <v>show</v>
      </c>
      <c r="H10732" t="str">
        <f>HYPERLINK("https://github.com/Anuken/Mindustry/releases", "show")</f>
        <v>show</v>
      </c>
      <c r="I10732">
        <v>0</v>
      </c>
      <c r="J10732">
        <v>0</v>
      </c>
      <c r="K10732">
        <v>0</v>
      </c>
      <c r="L10732">
        <v>1</v>
      </c>
      <c r="M10732" t="s">
        <v>581</v>
      </c>
    </row>
    <row r="10733" spans="1:13" hidden="1" x14ac:dyDescent="0.15">
      <c r="A10733" t="s">
        <v>33878</v>
      </c>
      <c r="B10733" t="s">
        <v>33879</v>
      </c>
      <c r="C10733" t="s">
        <v>33880</v>
      </c>
      <c r="D10733" t="s">
        <v>33874</v>
      </c>
      <c r="E10733">
        <v>0</v>
      </c>
      <c r="F10733" t="str">
        <f>HYPERLINK("https://github.com/Anuken/Mindustry/issues/8164", "show")</f>
        <v>show</v>
      </c>
      <c r="G10733" t="str">
        <f>HYPERLINK("https://github.com/Anuken/Mindustry", "show")</f>
        <v>show</v>
      </c>
      <c r="H10733" t="str">
        <f>HYPERLINK("https://github.com/Anuken/Mindustry/releases", "show")</f>
        <v>show</v>
      </c>
      <c r="I10733">
        <v>0</v>
      </c>
      <c r="J10733">
        <v>1</v>
      </c>
      <c r="K10733">
        <v>0</v>
      </c>
      <c r="L10733">
        <v>1</v>
      </c>
      <c r="M10733" t="s">
        <v>1732</v>
      </c>
    </row>
    <row r="10734" spans="1:13" hidden="1" x14ac:dyDescent="0.15">
      <c r="A10734" t="s">
        <v>33881</v>
      </c>
      <c r="B10734" t="s">
        <v>33882</v>
      </c>
      <c r="C10734" t="s">
        <v>33883</v>
      </c>
      <c r="D10734" t="s">
        <v>33874</v>
      </c>
      <c r="E10734">
        <v>0</v>
      </c>
      <c r="F10734" t="str">
        <f>HYPERLINK("https://github.com/Anuken/Mindustry/issues/8162", "show")</f>
        <v>show</v>
      </c>
      <c r="G10734" t="str">
        <f>HYPERLINK("https://github.com/Anuken/Mindustry", "show")</f>
        <v>show</v>
      </c>
      <c r="H10734" t="str">
        <f>HYPERLINK("https://github.com/Anuken/Mindustry/releases", "show")</f>
        <v>show</v>
      </c>
      <c r="I10734">
        <v>1</v>
      </c>
      <c r="J10734">
        <v>0</v>
      </c>
      <c r="K10734">
        <v>1</v>
      </c>
      <c r="L10734">
        <v>0</v>
      </c>
      <c r="M10734" t="s">
        <v>64</v>
      </c>
    </row>
    <row r="10735" spans="1:13" hidden="1" x14ac:dyDescent="0.15">
      <c r="A10735" t="s">
        <v>33884</v>
      </c>
      <c r="B10735" t="s">
        <v>33885</v>
      </c>
      <c r="C10735" t="s">
        <v>33886</v>
      </c>
      <c r="D10735" t="s">
        <v>33874</v>
      </c>
      <c r="E10735">
        <v>0</v>
      </c>
      <c r="F10735" t="str">
        <f>HYPERLINK("https://github.com/Anuken/Mindustry/issues/8161", "show")</f>
        <v>show</v>
      </c>
      <c r="G10735" t="str">
        <f>HYPERLINK("https://github.com/Anuken/Mindustry", "show")</f>
        <v>show</v>
      </c>
      <c r="H10735" t="str">
        <f>HYPERLINK("https://github.com/Anuken/Mindustry/releases", "show")</f>
        <v>show</v>
      </c>
      <c r="I10735">
        <v>1</v>
      </c>
      <c r="J10735">
        <v>0</v>
      </c>
      <c r="K10735">
        <v>1</v>
      </c>
      <c r="L10735">
        <v>0</v>
      </c>
      <c r="M10735" t="s">
        <v>64</v>
      </c>
    </row>
    <row r="10736" spans="1:13" x14ac:dyDescent="0.15">
      <c r="A10736" t="s">
        <v>33887</v>
      </c>
      <c r="B10736" t="s">
        <v>33888</v>
      </c>
      <c r="C10736" t="s">
        <v>33889</v>
      </c>
      <c r="D10736" t="s">
        <v>33874</v>
      </c>
      <c r="E10736">
        <v>13</v>
      </c>
      <c r="F10736" t="str">
        <f>HYPERLINK("https://github.com/PojavLauncherTeam/PojavLauncher/issues/3844", "show")</f>
        <v>show</v>
      </c>
      <c r="G10736" t="str">
        <f>HYPERLINK("https://github.com/PojavLauncherTeam/PojavLauncher", "show")</f>
        <v>show</v>
      </c>
      <c r="H10736" t="str">
        <f>HYPERLINK("https://github.com/PojavLauncherTeam/PojavLauncher/releases", "show")</f>
        <v>show</v>
      </c>
      <c r="I10736">
        <v>0</v>
      </c>
      <c r="J10736">
        <v>1</v>
      </c>
      <c r="K10736">
        <v>0</v>
      </c>
      <c r="L10736">
        <v>0</v>
      </c>
      <c r="M10736" t="s">
        <v>139</v>
      </c>
    </row>
    <row r="10737" spans="1:13" hidden="1" x14ac:dyDescent="0.15">
      <c r="A10737" t="s">
        <v>33890</v>
      </c>
      <c r="B10737" t="s">
        <v>33891</v>
      </c>
      <c r="C10737" t="s">
        <v>33892</v>
      </c>
      <c r="D10737" t="s">
        <v>33874</v>
      </c>
      <c r="E10737">
        <v>147</v>
      </c>
      <c r="F10737" t="str">
        <f>HYPERLINK("https://github.com/jellyfin/jellyfin-androidtv/issues/2409", "show")</f>
        <v>show</v>
      </c>
      <c r="G10737" t="str">
        <f>HYPERLINK("https://github.com/jellyfin/jellyfin-androidtv", "show")</f>
        <v>show</v>
      </c>
      <c r="H10737" t="str">
        <f>HYPERLINK("https://github.com/jellyfin/jellyfin-androidtv/releases", "show")</f>
        <v>show</v>
      </c>
      <c r="I10737">
        <v>1</v>
      </c>
      <c r="J10737">
        <v>0</v>
      </c>
      <c r="K10737">
        <v>0</v>
      </c>
      <c r="L10737">
        <v>0</v>
      </c>
      <c r="M10737" t="s">
        <v>17</v>
      </c>
    </row>
    <row r="10738" spans="1:13" hidden="1" x14ac:dyDescent="0.15">
      <c r="A10738" t="s">
        <v>33893</v>
      </c>
      <c r="B10738" t="s">
        <v>33894</v>
      </c>
      <c r="C10738" t="s">
        <v>33895</v>
      </c>
      <c r="D10738" t="s">
        <v>33896</v>
      </c>
      <c r="E10738">
        <v>0</v>
      </c>
      <c r="F10738" t="str">
        <f>HYPERLINK("https://github.com/Anuken/Mindustry/issues/8153", "show")</f>
        <v>show</v>
      </c>
      <c r="G10738" t="str">
        <f>HYPERLINK("https://github.com/Anuken/Mindustry", "show")</f>
        <v>show</v>
      </c>
      <c r="H10738" t="str">
        <f>HYPERLINK("https://github.com/Anuken/Mindustry/releases", "show")</f>
        <v>show</v>
      </c>
      <c r="I10738">
        <v>1</v>
      </c>
      <c r="J10738">
        <v>0</v>
      </c>
      <c r="K10738">
        <v>0</v>
      </c>
      <c r="L10738">
        <v>1</v>
      </c>
      <c r="M10738" t="s">
        <v>29</v>
      </c>
    </row>
    <row r="10739" spans="1:13" hidden="1" x14ac:dyDescent="0.15">
      <c r="A10739" t="s">
        <v>33897</v>
      </c>
      <c r="B10739" t="s">
        <v>33898</v>
      </c>
      <c r="C10739" t="s">
        <v>33899</v>
      </c>
      <c r="D10739" t="s">
        <v>33896</v>
      </c>
      <c r="E10739">
        <v>14</v>
      </c>
      <c r="F10739" t="str">
        <f>HYPERLINK("https://github.com/PojavLauncherTeam/PojavLauncher/issues/3839", "show")</f>
        <v>show</v>
      </c>
      <c r="G10739" t="str">
        <f>HYPERLINK("https://github.com/PojavLauncherTeam/PojavLauncher", "show")</f>
        <v>show</v>
      </c>
      <c r="H10739" t="str">
        <f>HYPERLINK("https://github.com/PojavLauncherTeam/PojavLauncher/releases", "show")</f>
        <v>show</v>
      </c>
      <c r="I10739">
        <v>1</v>
      </c>
      <c r="J10739">
        <v>1</v>
      </c>
      <c r="K10739">
        <v>0</v>
      </c>
      <c r="L10739">
        <v>1</v>
      </c>
      <c r="M10739" t="s">
        <v>1894</v>
      </c>
    </row>
    <row r="10740" spans="1:13" hidden="1" x14ac:dyDescent="0.15">
      <c r="A10740" t="s">
        <v>33900</v>
      </c>
      <c r="B10740" t="s">
        <v>33901</v>
      </c>
      <c r="C10740" t="s">
        <v>33902</v>
      </c>
      <c r="D10740" t="s">
        <v>33896</v>
      </c>
      <c r="E10740">
        <v>2</v>
      </c>
      <c r="F10740" t="str">
        <f>HYPERLINK("https://github.com/Igalia/wolvic/issues/408", "show")</f>
        <v>show</v>
      </c>
      <c r="G10740" t="str">
        <f>HYPERLINK("https://github.com/Igalia/wolvic", "show")</f>
        <v>show</v>
      </c>
      <c r="H10740" t="str">
        <f>HYPERLINK("https://github.com/Igalia/wolvic/releases", "show")</f>
        <v>show</v>
      </c>
      <c r="I10740">
        <v>1</v>
      </c>
      <c r="J10740">
        <v>1</v>
      </c>
      <c r="K10740">
        <v>0</v>
      </c>
      <c r="L10740">
        <v>0</v>
      </c>
      <c r="M10740" t="s">
        <v>48</v>
      </c>
    </row>
    <row r="10741" spans="1:13" hidden="1" x14ac:dyDescent="0.15">
      <c r="A10741" t="s">
        <v>33903</v>
      </c>
      <c r="B10741" t="s">
        <v>33904</v>
      </c>
      <c r="C10741" t="s">
        <v>33905</v>
      </c>
      <c r="D10741" t="s">
        <v>33906</v>
      </c>
      <c r="E10741">
        <v>2</v>
      </c>
      <c r="F10741" t="str">
        <f>HYPERLINK("https://github.com/TeamNewPipe/NewPipe/issues/9653", "show")</f>
        <v>show</v>
      </c>
      <c r="G10741" t="str">
        <f>HYPERLINK("https://github.com/TeamNewPipe/NewPipe", "show")</f>
        <v>show</v>
      </c>
      <c r="H10741" t="str">
        <f>HYPERLINK("https://github.com/TeamNewPipe/NewPipe/releases", "show")</f>
        <v>show</v>
      </c>
      <c r="I10741">
        <v>1</v>
      </c>
      <c r="J10741">
        <v>1</v>
      </c>
      <c r="K10741">
        <v>0</v>
      </c>
      <c r="L10741">
        <v>0</v>
      </c>
      <c r="M10741" t="s">
        <v>48</v>
      </c>
    </row>
    <row r="10742" spans="1:13" hidden="1" x14ac:dyDescent="0.15">
      <c r="A10742" t="s">
        <v>33907</v>
      </c>
      <c r="B10742" t="s">
        <v>33908</v>
      </c>
      <c r="C10742" t="s">
        <v>33909</v>
      </c>
      <c r="D10742" t="s">
        <v>33906</v>
      </c>
      <c r="E10742">
        <v>161</v>
      </c>
      <c r="F10742" t="str">
        <f>HYPERLINK("https://github.com/osmandapp/osmand-api-demo/issues/60", "show")</f>
        <v>show</v>
      </c>
      <c r="G10742" t="str">
        <f>HYPERLINK("https://github.com/osmandapp/osmand-api-demo", "show")</f>
        <v>show</v>
      </c>
      <c r="H10742" t="str">
        <f>HYPERLINK("https://github.com/osmandapp/osmand-api-demo/releases", "show")</f>
        <v>show</v>
      </c>
      <c r="I10742">
        <v>1</v>
      </c>
      <c r="J10742">
        <v>0</v>
      </c>
      <c r="K10742">
        <v>0</v>
      </c>
      <c r="L10742">
        <v>0</v>
      </c>
      <c r="M10742" t="s">
        <v>17</v>
      </c>
    </row>
    <row r="10743" spans="1:13" hidden="1" x14ac:dyDescent="0.15">
      <c r="A10743" t="s">
        <v>33910</v>
      </c>
      <c r="B10743" t="s">
        <v>33911</v>
      </c>
      <c r="C10743" t="s">
        <v>33912</v>
      </c>
      <c r="D10743" t="s">
        <v>33906</v>
      </c>
      <c r="E10743">
        <v>111</v>
      </c>
      <c r="F10743" t="str">
        <f>HYPERLINK("https://github.com/LawnchairLauncher/lawnchair/issues/3238", "show")</f>
        <v>show</v>
      </c>
      <c r="G10743" t="str">
        <f>HYPERLINK("https://github.com/LawnchairLauncher/lawnchair", "show")</f>
        <v>show</v>
      </c>
      <c r="H10743" t="str">
        <f>HYPERLINK("https://github.com/LawnchairLauncher/lawnchair/releases", "show")</f>
        <v>show</v>
      </c>
      <c r="I10743">
        <v>1</v>
      </c>
      <c r="J10743">
        <v>1</v>
      </c>
      <c r="K10743">
        <v>1</v>
      </c>
      <c r="L10743">
        <v>0</v>
      </c>
      <c r="M10743" t="s">
        <v>59</v>
      </c>
    </row>
    <row r="10744" spans="1:13" hidden="1" x14ac:dyDescent="0.15">
      <c r="A10744" t="s">
        <v>33913</v>
      </c>
      <c r="B10744" t="s">
        <v>33914</v>
      </c>
      <c r="C10744" t="s">
        <v>33915</v>
      </c>
      <c r="D10744" t="s">
        <v>33916</v>
      </c>
      <c r="E10744">
        <v>8</v>
      </c>
      <c r="F10744" t="str">
        <f>HYPERLINK("https://github.com/nextcloud/android/issues/11240", "show")</f>
        <v>show</v>
      </c>
      <c r="G10744" t="str">
        <f>HYPERLINK("https://github.com/nextcloud/android", "show")</f>
        <v>show</v>
      </c>
      <c r="H10744" t="str">
        <f>HYPERLINK("https://github.com/nextcloud/android/releases", "show")</f>
        <v>show</v>
      </c>
      <c r="I10744">
        <v>1</v>
      </c>
      <c r="J10744">
        <v>1</v>
      </c>
      <c r="K10744">
        <v>1</v>
      </c>
      <c r="L10744">
        <v>0</v>
      </c>
      <c r="M10744" t="s">
        <v>59</v>
      </c>
    </row>
    <row r="10745" spans="1:13" hidden="1" x14ac:dyDescent="0.15">
      <c r="A10745" t="s">
        <v>33917</v>
      </c>
      <c r="B10745" t="s">
        <v>33918</v>
      </c>
      <c r="C10745" t="s">
        <v>33919</v>
      </c>
      <c r="D10745" t="s">
        <v>33916</v>
      </c>
      <c r="E10745">
        <v>1</v>
      </c>
      <c r="F10745" t="str">
        <f>HYPERLINK("https://github.com/nextcloud/android/issues/11239", "show")</f>
        <v>show</v>
      </c>
      <c r="G10745" t="str">
        <f>HYPERLINK("https://github.com/nextcloud/android", "show")</f>
        <v>show</v>
      </c>
      <c r="H10745" t="str">
        <f>HYPERLINK("https://github.com/nextcloud/android/releases", "show")</f>
        <v>show</v>
      </c>
      <c r="I10745">
        <v>0</v>
      </c>
      <c r="J10745">
        <v>0</v>
      </c>
      <c r="K10745">
        <v>1</v>
      </c>
      <c r="L10745">
        <v>0</v>
      </c>
      <c r="M10745" t="s">
        <v>122</v>
      </c>
    </row>
    <row r="10746" spans="1:13" hidden="1" x14ac:dyDescent="0.15">
      <c r="A10746" t="s">
        <v>33920</v>
      </c>
      <c r="B10746" t="s">
        <v>33921</v>
      </c>
      <c r="C10746" t="s">
        <v>33922</v>
      </c>
      <c r="D10746" t="s">
        <v>33916</v>
      </c>
      <c r="E10746">
        <v>0</v>
      </c>
      <c r="F10746" t="str">
        <f>HYPERLINK("https://github.com/jellyfin/jellyfin-androidtv/issues/2396", "show")</f>
        <v>show</v>
      </c>
      <c r="G10746" t="str">
        <f>HYPERLINK("https://github.com/jellyfin/jellyfin-androidtv", "show")</f>
        <v>show</v>
      </c>
      <c r="H10746" t="str">
        <f>HYPERLINK("https://github.com/jellyfin/jellyfin-androidtv/releases", "show")</f>
        <v>show</v>
      </c>
      <c r="I10746">
        <v>0</v>
      </c>
      <c r="J10746">
        <v>0</v>
      </c>
      <c r="K10746">
        <v>0</v>
      </c>
      <c r="L10746">
        <v>0</v>
      </c>
      <c r="M10746" t="s">
        <v>43</v>
      </c>
    </row>
    <row r="10747" spans="1:13" hidden="1" x14ac:dyDescent="0.15">
      <c r="A10747" t="s">
        <v>33923</v>
      </c>
      <c r="B10747" t="s">
        <v>33924</v>
      </c>
      <c r="C10747" t="s">
        <v>33925</v>
      </c>
      <c r="D10747" t="s">
        <v>33916</v>
      </c>
      <c r="E10747">
        <v>5</v>
      </c>
      <c r="F10747" t="str">
        <f>HYPERLINK("https://github.com/MuntashirAkon/AppManager/issues/970", "show")</f>
        <v>show</v>
      </c>
      <c r="G10747" t="str">
        <f>HYPERLINK("https://github.com/MuntashirAkon/AppManager", "show")</f>
        <v>show</v>
      </c>
      <c r="H10747" t="str">
        <f>HYPERLINK("https://github.com/MuntashirAkon/AppManager/releases", "show")</f>
        <v>show</v>
      </c>
      <c r="I10747">
        <v>0</v>
      </c>
      <c r="J10747">
        <v>0</v>
      </c>
      <c r="K10747">
        <v>1</v>
      </c>
      <c r="L10747">
        <v>0</v>
      </c>
      <c r="M10747" t="s">
        <v>122</v>
      </c>
    </row>
    <row r="10748" spans="1:13" hidden="1" x14ac:dyDescent="0.15">
      <c r="A10748" t="s">
        <v>33926</v>
      </c>
      <c r="B10748" t="s">
        <v>33927</v>
      </c>
      <c r="C10748" t="s">
        <v>33928</v>
      </c>
      <c r="D10748" t="s">
        <v>33929</v>
      </c>
      <c r="E10748">
        <v>16</v>
      </c>
      <c r="F10748" t="str">
        <f>HYPERLINK("https://github.com/PojavLauncherTeam/PojavLauncher/issues/3829", "show")</f>
        <v>show</v>
      </c>
      <c r="G10748" t="str">
        <f>HYPERLINK("https://github.com/PojavLauncherTeam/PojavLauncher", "show")</f>
        <v>show</v>
      </c>
      <c r="H10748" t="str">
        <f>HYPERLINK("https://github.com/PojavLauncherTeam/PojavLauncher/releases", "show")</f>
        <v>show</v>
      </c>
      <c r="I10748">
        <v>1</v>
      </c>
      <c r="J10748">
        <v>1</v>
      </c>
      <c r="K10748">
        <v>0</v>
      </c>
      <c r="L10748">
        <v>0</v>
      </c>
      <c r="M10748" t="s">
        <v>48</v>
      </c>
    </row>
    <row r="10749" spans="1:13" hidden="1" x14ac:dyDescent="0.15">
      <c r="A10749" t="s">
        <v>33930</v>
      </c>
      <c r="B10749" t="s">
        <v>33931</v>
      </c>
      <c r="C10749" t="s">
        <v>33932</v>
      </c>
      <c r="D10749" t="s">
        <v>33929</v>
      </c>
      <c r="E10749">
        <v>0</v>
      </c>
      <c r="F10749" t="str">
        <f>HYPERLINK("https://github.com/Anuken/Mindustry/issues/8131", "show")</f>
        <v>show</v>
      </c>
      <c r="G10749" t="str">
        <f>HYPERLINK("https://github.com/Anuken/Mindustry", "show")</f>
        <v>show</v>
      </c>
      <c r="H10749" t="str">
        <f>HYPERLINK("https://github.com/Anuken/Mindustry/releases", "show")</f>
        <v>show</v>
      </c>
      <c r="I10749">
        <v>1</v>
      </c>
      <c r="J10749">
        <v>0</v>
      </c>
      <c r="K10749">
        <v>0</v>
      </c>
      <c r="L10749">
        <v>1</v>
      </c>
      <c r="M10749" t="s">
        <v>29</v>
      </c>
    </row>
    <row r="10750" spans="1:13" hidden="1" x14ac:dyDescent="0.15">
      <c r="A10750" t="s">
        <v>33933</v>
      </c>
      <c r="B10750" t="s">
        <v>33934</v>
      </c>
      <c r="C10750" t="s">
        <v>33935</v>
      </c>
      <c r="D10750" t="s">
        <v>33929</v>
      </c>
      <c r="E10750">
        <v>158</v>
      </c>
      <c r="F10750" t="str">
        <f>HYPERLINK("https://github.com/jellyfin/jellyfin-androidtv/issues/2393", "show")</f>
        <v>show</v>
      </c>
      <c r="G10750" t="str">
        <f>HYPERLINK("https://github.com/jellyfin/jellyfin-androidtv", "show")</f>
        <v>show</v>
      </c>
      <c r="H10750" t="str">
        <f>HYPERLINK("https://github.com/jellyfin/jellyfin-androidtv/releases", "show")</f>
        <v>show</v>
      </c>
      <c r="I10750">
        <v>1</v>
      </c>
      <c r="J10750">
        <v>0</v>
      </c>
      <c r="K10750">
        <v>1</v>
      </c>
      <c r="L10750">
        <v>0</v>
      </c>
      <c r="M10750" t="s">
        <v>64</v>
      </c>
    </row>
    <row r="10751" spans="1:13" hidden="1" x14ac:dyDescent="0.15">
      <c r="A10751" t="s">
        <v>33936</v>
      </c>
      <c r="B10751" t="s">
        <v>33937</v>
      </c>
      <c r="C10751" t="s">
        <v>33938</v>
      </c>
      <c r="D10751" t="s">
        <v>33939</v>
      </c>
      <c r="E10751">
        <v>0</v>
      </c>
      <c r="F10751" t="str">
        <f>HYPERLINK("https://github.com/jellyfin/jellyfin-androidtv/issues/2389", "show")</f>
        <v>show</v>
      </c>
      <c r="G10751" t="str">
        <f>HYPERLINK("https://github.com/jellyfin/jellyfin-androidtv", "show")</f>
        <v>show</v>
      </c>
      <c r="H10751" t="str">
        <f>HYPERLINK("https://github.com/jellyfin/jellyfin-androidtv/releases", "show")</f>
        <v>show</v>
      </c>
      <c r="I10751">
        <v>1</v>
      </c>
      <c r="J10751">
        <v>0</v>
      </c>
      <c r="K10751">
        <v>0</v>
      </c>
      <c r="L10751">
        <v>0</v>
      </c>
      <c r="M10751" t="s">
        <v>17</v>
      </c>
    </row>
    <row r="10752" spans="1:13" hidden="1" x14ac:dyDescent="0.15">
      <c r="A10752" t="s">
        <v>33940</v>
      </c>
      <c r="B10752" t="s">
        <v>33941</v>
      </c>
      <c r="C10752" t="s">
        <v>33942</v>
      </c>
      <c r="D10752" t="s">
        <v>33939</v>
      </c>
      <c r="E10752">
        <v>7</v>
      </c>
      <c r="F10752" t="str">
        <f>HYPERLINK("https://github.com/AndroidIDEOfficial/AndroidIDE/issues/731", "show")</f>
        <v>show</v>
      </c>
      <c r="G10752" t="str">
        <f>HYPERLINK("https://github.com/AndroidIDEOfficial/AndroidIDE", "show")</f>
        <v>show</v>
      </c>
      <c r="H10752" t="str">
        <f>HYPERLINK("https://github.com/AndroidIDEOfficial/AndroidIDE/releases", "show")</f>
        <v>show</v>
      </c>
      <c r="I10752">
        <v>0</v>
      </c>
      <c r="J10752">
        <v>0</v>
      </c>
      <c r="K10752">
        <v>1</v>
      </c>
      <c r="L10752">
        <v>0</v>
      </c>
      <c r="M10752" t="s">
        <v>122</v>
      </c>
    </row>
    <row r="10753" spans="1:13" hidden="1" x14ac:dyDescent="0.15">
      <c r="A10753" t="s">
        <v>33943</v>
      </c>
      <c r="B10753" t="s">
        <v>33944</v>
      </c>
      <c r="C10753" t="s">
        <v>33945</v>
      </c>
      <c r="D10753" t="s">
        <v>33946</v>
      </c>
      <c r="E10753">
        <v>0</v>
      </c>
      <c r="F10753" t="str">
        <f>HYPERLINK("https://github.com/patzly/grocy-android/issues/624", "show")</f>
        <v>show</v>
      </c>
      <c r="G10753" t="str">
        <f>HYPERLINK("https://github.com/patzly/grocy-android", "show")</f>
        <v>show</v>
      </c>
      <c r="H10753" t="str">
        <f>HYPERLINK("https://github.com/patzly/grocy-android/releases", "show")</f>
        <v>show</v>
      </c>
      <c r="I10753">
        <v>1</v>
      </c>
      <c r="J10753">
        <v>0</v>
      </c>
      <c r="K10753">
        <v>0</v>
      </c>
      <c r="L10753">
        <v>0</v>
      </c>
      <c r="M10753" t="s">
        <v>17</v>
      </c>
    </row>
    <row r="10754" spans="1:13" hidden="1" x14ac:dyDescent="0.15">
      <c r="A10754" t="s">
        <v>33947</v>
      </c>
      <c r="B10754" t="s">
        <v>33948</v>
      </c>
      <c r="C10754" t="s">
        <v>33949</v>
      </c>
      <c r="D10754" t="s">
        <v>33946</v>
      </c>
      <c r="E10754">
        <v>8</v>
      </c>
      <c r="F10754" t="str">
        <f>HYPERLINK("https://github.com/AndroidIDEOfficial/AndroidIDE/issues/725", "show")</f>
        <v>show</v>
      </c>
      <c r="G10754" t="str">
        <f>HYPERLINK("https://github.com/AndroidIDEOfficial/AndroidIDE", "show")</f>
        <v>show</v>
      </c>
      <c r="H10754" t="str">
        <f>HYPERLINK("https://github.com/AndroidIDEOfficial/AndroidIDE/releases", "show")</f>
        <v>show</v>
      </c>
      <c r="I10754">
        <v>0</v>
      </c>
      <c r="J10754">
        <v>1</v>
      </c>
      <c r="K10754">
        <v>1</v>
      </c>
      <c r="L10754">
        <v>0</v>
      </c>
      <c r="M10754" t="s">
        <v>699</v>
      </c>
    </row>
    <row r="10755" spans="1:13" hidden="1" x14ac:dyDescent="0.15">
      <c r="A10755" t="s">
        <v>33950</v>
      </c>
      <c r="B10755" t="s">
        <v>33951</v>
      </c>
      <c r="C10755" t="s">
        <v>33952</v>
      </c>
      <c r="D10755" t="s">
        <v>33953</v>
      </c>
      <c r="E10755">
        <v>79</v>
      </c>
      <c r="F10755" t="str">
        <f>HYPERLINK("https://github.com/itsdrnoob/DataMonitor/issues/115", "show")</f>
        <v>show</v>
      </c>
      <c r="G10755" t="str">
        <f>HYPERLINK("https://github.com/itsdrnoob/DataMonitor", "show")</f>
        <v>show</v>
      </c>
      <c r="H10755" t="str">
        <f>HYPERLINK("https://github.com/itsdrnoob/DataMonitor/releases", "show")</f>
        <v>show</v>
      </c>
      <c r="I10755">
        <v>1</v>
      </c>
      <c r="J10755">
        <v>0</v>
      </c>
      <c r="K10755">
        <v>1</v>
      </c>
      <c r="L10755">
        <v>0</v>
      </c>
      <c r="M10755" t="s">
        <v>64</v>
      </c>
    </row>
    <row r="10756" spans="1:13" hidden="1" x14ac:dyDescent="0.15">
      <c r="A10756" t="s">
        <v>33954</v>
      </c>
      <c r="B10756" t="s">
        <v>33955</v>
      </c>
      <c r="C10756" t="s">
        <v>33956</v>
      </c>
      <c r="D10756" t="s">
        <v>33953</v>
      </c>
      <c r="E10756">
        <v>106</v>
      </c>
      <c r="F10756" t="str">
        <f>HYPERLINK("https://github.com/Aliucord/Aliucord/issues/292", "show")</f>
        <v>show</v>
      </c>
      <c r="G10756" t="str">
        <f>HYPERLINK("https://github.com/Aliucord/Aliucord", "show")</f>
        <v>show</v>
      </c>
      <c r="H10756" t="str">
        <f>HYPERLINK("https://github.com/Aliucord/Aliucord/releases", "show")</f>
        <v>show</v>
      </c>
      <c r="I10756">
        <v>1</v>
      </c>
      <c r="J10756">
        <v>1</v>
      </c>
      <c r="K10756">
        <v>0</v>
      </c>
      <c r="L10756">
        <v>0</v>
      </c>
      <c r="M10756" t="s">
        <v>48</v>
      </c>
    </row>
    <row r="10757" spans="1:13" hidden="1" x14ac:dyDescent="0.15">
      <c r="A10757" t="s">
        <v>33957</v>
      </c>
      <c r="B10757" t="s">
        <v>33958</v>
      </c>
      <c r="C10757" t="s">
        <v>33959</v>
      </c>
      <c r="D10757" t="s">
        <v>33960</v>
      </c>
      <c r="E10757">
        <v>15</v>
      </c>
      <c r="F10757" t="str">
        <f>HYPERLINK("https://github.com/RoboTutorLLC/RTFace_Login/issues/41", "show")</f>
        <v>show</v>
      </c>
      <c r="G10757" t="str">
        <f>HYPERLINK("https://github.com/RoboTutorLLC/RTFace_Login", "show")</f>
        <v>show</v>
      </c>
      <c r="H10757" t="str">
        <f>HYPERLINK("https://github.com/RoboTutorLLC/RTFace_Login/releases", "show")</f>
        <v>show</v>
      </c>
      <c r="I10757">
        <v>1</v>
      </c>
      <c r="J10757">
        <v>0</v>
      </c>
      <c r="K10757">
        <v>0</v>
      </c>
      <c r="L10757">
        <v>0</v>
      </c>
      <c r="M10757" t="s">
        <v>17</v>
      </c>
    </row>
    <row r="10758" spans="1:13" hidden="1" x14ac:dyDescent="0.15">
      <c r="A10758" t="s">
        <v>33961</v>
      </c>
      <c r="B10758" t="s">
        <v>33962</v>
      </c>
      <c r="C10758" t="s">
        <v>33963</v>
      </c>
      <c r="D10758" t="s">
        <v>33964</v>
      </c>
      <c r="E10758">
        <v>2</v>
      </c>
      <c r="F10758" t="str">
        <f>HYPERLINK("https://github.com/cgeo/cgeo/issues/13816", "show")</f>
        <v>show</v>
      </c>
      <c r="G10758" t="str">
        <f>HYPERLINK("https://github.com/cgeo/cgeo", "show")</f>
        <v>show</v>
      </c>
      <c r="H10758" t="str">
        <f>HYPERLINK("https://github.com/cgeo/cgeo/releases", "show")</f>
        <v>show</v>
      </c>
      <c r="I10758">
        <v>0</v>
      </c>
      <c r="J10758">
        <v>0</v>
      </c>
      <c r="K10758">
        <v>1</v>
      </c>
      <c r="L10758">
        <v>0</v>
      </c>
      <c r="M10758" t="s">
        <v>122</v>
      </c>
    </row>
    <row r="10759" spans="1:13" hidden="1" x14ac:dyDescent="0.15">
      <c r="A10759" t="s">
        <v>33965</v>
      </c>
      <c r="B10759" t="s">
        <v>33966</v>
      </c>
      <c r="C10759" t="s">
        <v>33967</v>
      </c>
      <c r="D10759" t="s">
        <v>33964</v>
      </c>
      <c r="E10759">
        <v>8</v>
      </c>
      <c r="F10759" t="str">
        <f>HYPERLINK("https://github.com/jMonkeyEngine/jmonkeyengine/issues/1890", "show")</f>
        <v>show</v>
      </c>
      <c r="G10759" t="str">
        <f>HYPERLINK("https://github.com/jMonkeyEngine/jmonkeyengine", "show")</f>
        <v>show</v>
      </c>
      <c r="H10759" t="str">
        <f>HYPERLINK("https://github.com/jMonkeyEngine/jmonkeyengine/releases", "show")</f>
        <v>show</v>
      </c>
      <c r="I10759">
        <v>1</v>
      </c>
      <c r="J10759">
        <v>1</v>
      </c>
      <c r="K10759">
        <v>1</v>
      </c>
      <c r="L10759">
        <v>0</v>
      </c>
      <c r="M10759" t="s">
        <v>59</v>
      </c>
    </row>
    <row r="10760" spans="1:13" hidden="1" x14ac:dyDescent="0.15">
      <c r="A10760" t="s">
        <v>33968</v>
      </c>
      <c r="B10760" t="s">
        <v>33969</v>
      </c>
      <c r="C10760" t="s">
        <v>33970</v>
      </c>
      <c r="D10760" t="s">
        <v>33964</v>
      </c>
      <c r="E10760">
        <v>0</v>
      </c>
      <c r="F10760" t="str">
        <f>HYPERLINK("https://github.com/PojavLauncherTeam/PojavLauncher/issues/3816", "show")</f>
        <v>show</v>
      </c>
      <c r="G10760" t="str">
        <f>HYPERLINK("https://github.com/PojavLauncherTeam/PojavLauncher", "show")</f>
        <v>show</v>
      </c>
      <c r="H10760" t="str">
        <f>HYPERLINK("https://github.com/PojavLauncherTeam/PojavLauncher/releases", "show")</f>
        <v>show</v>
      </c>
      <c r="I10760">
        <v>0</v>
      </c>
      <c r="J10760">
        <v>0</v>
      </c>
      <c r="K10760">
        <v>0</v>
      </c>
      <c r="L10760">
        <v>1</v>
      </c>
      <c r="M10760" t="s">
        <v>581</v>
      </c>
    </row>
    <row r="10761" spans="1:13" hidden="1" x14ac:dyDescent="0.15">
      <c r="A10761" t="s">
        <v>33971</v>
      </c>
      <c r="B10761" t="s">
        <v>33972</v>
      </c>
      <c r="C10761" t="s">
        <v>33973</v>
      </c>
      <c r="D10761" t="s">
        <v>33964</v>
      </c>
      <c r="E10761">
        <v>5</v>
      </c>
      <c r="F10761" t="str">
        <f>HYPERLINK("https://github.com/patzly/grocy-android/issues/616", "show")</f>
        <v>show</v>
      </c>
      <c r="G10761" t="str">
        <f>HYPERLINK("https://github.com/patzly/grocy-android", "show")</f>
        <v>show</v>
      </c>
      <c r="H10761" t="str">
        <f>HYPERLINK("https://github.com/patzly/grocy-android/releases", "show")</f>
        <v>show</v>
      </c>
      <c r="I10761">
        <v>1</v>
      </c>
      <c r="J10761">
        <v>0</v>
      </c>
      <c r="K10761">
        <v>0</v>
      </c>
      <c r="L10761">
        <v>0</v>
      </c>
      <c r="M10761" t="s">
        <v>17</v>
      </c>
    </row>
    <row r="10762" spans="1:13" hidden="1" x14ac:dyDescent="0.15">
      <c r="A10762" t="s">
        <v>33974</v>
      </c>
      <c r="B10762" t="s">
        <v>33975</v>
      </c>
      <c r="C10762" t="s">
        <v>33976</v>
      </c>
      <c r="D10762" t="s">
        <v>33977</v>
      </c>
      <c r="E10762">
        <v>2</v>
      </c>
      <c r="F10762" t="str">
        <f>HYPERLINK("https://github.com/jellyfin/jellyfin-androidtv/issues/2382", "show")</f>
        <v>show</v>
      </c>
      <c r="G10762" t="str">
        <f>HYPERLINK("https://github.com/jellyfin/jellyfin-androidtv", "show")</f>
        <v>show</v>
      </c>
      <c r="H10762" t="str">
        <f>HYPERLINK("https://github.com/jellyfin/jellyfin-androidtv/releases", "show")</f>
        <v>show</v>
      </c>
      <c r="I10762">
        <v>0</v>
      </c>
      <c r="J10762">
        <v>0</v>
      </c>
      <c r="K10762">
        <v>1</v>
      </c>
      <c r="L10762">
        <v>0</v>
      </c>
      <c r="M10762" t="s">
        <v>122</v>
      </c>
    </row>
    <row r="10763" spans="1:13" hidden="1" x14ac:dyDescent="0.15">
      <c r="A10763" t="s">
        <v>33978</v>
      </c>
      <c r="B10763" t="s">
        <v>33979</v>
      </c>
      <c r="C10763" t="s">
        <v>33980</v>
      </c>
      <c r="D10763" t="s">
        <v>33977</v>
      </c>
      <c r="E10763">
        <v>5</v>
      </c>
      <c r="F10763" t="str">
        <f>HYPERLINK("https://github.com/Anuken/Mindustry/issues/8114", "show")</f>
        <v>show</v>
      </c>
      <c r="G10763" t="str">
        <f>HYPERLINK("https://github.com/Anuken/Mindustry", "show")</f>
        <v>show</v>
      </c>
      <c r="H10763" t="str">
        <f>HYPERLINK("https://github.com/Anuken/Mindustry/releases", "show")</f>
        <v>show</v>
      </c>
      <c r="I10763">
        <v>0</v>
      </c>
      <c r="J10763">
        <v>0</v>
      </c>
      <c r="K10763">
        <v>1</v>
      </c>
      <c r="L10763">
        <v>0</v>
      </c>
      <c r="M10763" t="s">
        <v>122</v>
      </c>
    </row>
    <row r="10764" spans="1:13" hidden="1" x14ac:dyDescent="0.15">
      <c r="A10764" t="s">
        <v>33981</v>
      </c>
      <c r="B10764" t="s">
        <v>33982</v>
      </c>
      <c r="C10764" t="s">
        <v>33983</v>
      </c>
      <c r="D10764" t="s">
        <v>33977</v>
      </c>
      <c r="E10764">
        <v>0</v>
      </c>
      <c r="F10764" t="str">
        <f>HYPERLINK("https://github.com/Visco01/MyLocalBooking-IS2022/issues/21", "show")</f>
        <v>show</v>
      </c>
      <c r="G10764" t="str">
        <f>HYPERLINK("https://github.com/Visco01/MyLocalBooking-IS2022", "show")</f>
        <v>show</v>
      </c>
      <c r="H10764" t="str">
        <f>HYPERLINK("https://github.com/Visco01/MyLocalBooking-IS2022/releases", "show")</f>
        <v>show</v>
      </c>
      <c r="I10764">
        <v>0</v>
      </c>
      <c r="J10764">
        <v>0</v>
      </c>
      <c r="K10764">
        <v>0</v>
      </c>
      <c r="L10764">
        <v>0</v>
      </c>
      <c r="M10764" t="s">
        <v>43</v>
      </c>
    </row>
    <row r="10765" spans="1:13" hidden="1" x14ac:dyDescent="0.15">
      <c r="A10765" t="s">
        <v>33984</v>
      </c>
      <c r="B10765" t="s">
        <v>33985</v>
      </c>
      <c r="C10765" t="s">
        <v>33986</v>
      </c>
      <c r="D10765" t="s">
        <v>33977</v>
      </c>
      <c r="E10765">
        <v>1</v>
      </c>
      <c r="F10765" t="str">
        <f>HYPERLINK("https://github.com/PojavLauncherTeam/PojavLauncher/issues/3815", "show")</f>
        <v>show</v>
      </c>
      <c r="G10765" t="str">
        <f>HYPERLINK("https://github.com/PojavLauncherTeam/PojavLauncher", "show")</f>
        <v>show</v>
      </c>
      <c r="H10765" t="str">
        <f>HYPERLINK("https://github.com/PojavLauncherTeam/PojavLauncher/releases", "show")</f>
        <v>show</v>
      </c>
      <c r="I10765">
        <v>0</v>
      </c>
      <c r="J10765">
        <v>0</v>
      </c>
      <c r="K10765">
        <v>0</v>
      </c>
      <c r="L10765">
        <v>0</v>
      </c>
      <c r="M10765" t="s">
        <v>43</v>
      </c>
    </row>
    <row r="10766" spans="1:13" hidden="1" x14ac:dyDescent="0.15">
      <c r="A10766" t="s">
        <v>33987</v>
      </c>
      <c r="B10766" t="s">
        <v>33988</v>
      </c>
      <c r="C10766" t="s">
        <v>33989</v>
      </c>
      <c r="D10766" t="s">
        <v>33977</v>
      </c>
      <c r="E10766">
        <v>1</v>
      </c>
      <c r="F10766" t="str">
        <f>HYPERLINK("https://github.com/AndroidIDEOfficial/AndroidIDE/issues/717", "show")</f>
        <v>show</v>
      </c>
      <c r="G10766" t="str">
        <f>HYPERLINK("https://github.com/AndroidIDEOfficial/AndroidIDE", "show")</f>
        <v>show</v>
      </c>
      <c r="H10766" t="str">
        <f>HYPERLINK("https://github.com/AndroidIDEOfficial/AndroidIDE/releases", "show")</f>
        <v>show</v>
      </c>
      <c r="I10766">
        <v>1</v>
      </c>
      <c r="J10766">
        <v>0</v>
      </c>
      <c r="K10766">
        <v>1</v>
      </c>
      <c r="L10766">
        <v>0</v>
      </c>
      <c r="M10766" t="s">
        <v>64</v>
      </c>
    </row>
    <row r="10767" spans="1:13" hidden="1" x14ac:dyDescent="0.15">
      <c r="A10767" t="s">
        <v>33990</v>
      </c>
      <c r="B10767" t="s">
        <v>33991</v>
      </c>
      <c r="C10767" t="s">
        <v>33992</v>
      </c>
      <c r="D10767" t="s">
        <v>33993</v>
      </c>
      <c r="E10767">
        <v>2</v>
      </c>
      <c r="F10767" t="str">
        <f>HYPERLINK("https://github.com/PojavLauncherTeam/PojavLauncher/issues/3813", "show")</f>
        <v>show</v>
      </c>
      <c r="G10767" t="str">
        <f>HYPERLINK("https://github.com/PojavLauncherTeam/PojavLauncher", "show")</f>
        <v>show</v>
      </c>
      <c r="H10767" t="str">
        <f>HYPERLINK("https://github.com/PojavLauncherTeam/PojavLauncher/releases", "show")</f>
        <v>show</v>
      </c>
      <c r="I10767">
        <v>1</v>
      </c>
      <c r="J10767">
        <v>0</v>
      </c>
      <c r="K10767">
        <v>0</v>
      </c>
      <c r="L10767">
        <v>0</v>
      </c>
      <c r="M10767" t="s">
        <v>17</v>
      </c>
    </row>
    <row r="10768" spans="1:13" hidden="1" x14ac:dyDescent="0.15">
      <c r="A10768" t="s">
        <v>33994</v>
      </c>
      <c r="B10768" t="s">
        <v>33995</v>
      </c>
      <c r="C10768" t="s">
        <v>33996</v>
      </c>
      <c r="D10768" t="s">
        <v>33993</v>
      </c>
      <c r="E10768">
        <v>1</v>
      </c>
      <c r="F10768" t="str">
        <f>HYPERLINK("https://github.com/PojavLauncherTeam/PojavLauncher/issues/3812", "show")</f>
        <v>show</v>
      </c>
      <c r="G10768" t="str">
        <f>HYPERLINK("https://github.com/PojavLauncherTeam/PojavLauncher", "show")</f>
        <v>show</v>
      </c>
      <c r="H10768" t="str">
        <f>HYPERLINK("https://github.com/PojavLauncherTeam/PojavLauncher/releases", "show")</f>
        <v>show</v>
      </c>
      <c r="I10768">
        <v>1</v>
      </c>
      <c r="J10768">
        <v>1</v>
      </c>
      <c r="K10768">
        <v>0</v>
      </c>
      <c r="L10768">
        <v>0</v>
      </c>
      <c r="M10768" t="s">
        <v>48</v>
      </c>
    </row>
    <row r="10769" spans="1:13" hidden="1" x14ac:dyDescent="0.15">
      <c r="A10769" t="s">
        <v>33997</v>
      </c>
      <c r="B10769" t="s">
        <v>33998</v>
      </c>
      <c r="C10769" t="s">
        <v>33999</v>
      </c>
      <c r="D10769" t="s">
        <v>34000</v>
      </c>
      <c r="E10769">
        <v>8</v>
      </c>
      <c r="F10769" t="str">
        <f>HYPERLINK("https://github.com/Anuken/Mindustry/issues/8104", "show")</f>
        <v>show</v>
      </c>
      <c r="G10769" t="str">
        <f>HYPERLINK("https://github.com/Anuken/Mindustry", "show")</f>
        <v>show</v>
      </c>
      <c r="H10769" t="str">
        <f>HYPERLINK("https://github.com/Anuken/Mindustry/releases", "show")</f>
        <v>show</v>
      </c>
      <c r="I10769">
        <v>0</v>
      </c>
      <c r="J10769">
        <v>0</v>
      </c>
      <c r="K10769">
        <v>0</v>
      </c>
      <c r="L10769">
        <v>0</v>
      </c>
      <c r="M10769" t="s">
        <v>43</v>
      </c>
    </row>
    <row r="10770" spans="1:13" hidden="1" x14ac:dyDescent="0.15">
      <c r="A10770" t="s">
        <v>34001</v>
      </c>
      <c r="B10770" t="s">
        <v>34002</v>
      </c>
      <c r="C10770" t="s">
        <v>11701</v>
      </c>
      <c r="D10770" t="s">
        <v>34000</v>
      </c>
      <c r="E10770">
        <v>8</v>
      </c>
      <c r="F10770" t="str">
        <f>HYPERLINK("https://github.com/Anuken/Mindustry/issues/8100", "show")</f>
        <v>show</v>
      </c>
      <c r="G10770" t="str">
        <f>HYPERLINK("https://github.com/Anuken/Mindustry", "show")</f>
        <v>show</v>
      </c>
      <c r="H10770" t="str">
        <f>HYPERLINK("https://github.com/Anuken/Mindustry/releases", "show")</f>
        <v>show</v>
      </c>
      <c r="I10770">
        <v>1</v>
      </c>
      <c r="J10770">
        <v>1</v>
      </c>
      <c r="K10770">
        <v>0</v>
      </c>
      <c r="L10770">
        <v>0</v>
      </c>
      <c r="M10770" t="s">
        <v>48</v>
      </c>
    </row>
    <row r="10771" spans="1:13" hidden="1" x14ac:dyDescent="0.15">
      <c r="A10771" t="s">
        <v>34003</v>
      </c>
      <c r="B10771" t="s">
        <v>34004</v>
      </c>
      <c r="C10771" t="s">
        <v>34005</v>
      </c>
      <c r="D10771" t="s">
        <v>34000</v>
      </c>
      <c r="E10771">
        <v>25</v>
      </c>
      <c r="F10771" t="str">
        <f>HYPERLINK("https://github.com/PojavLauncherTeam/PojavLauncher/issues/3807", "show")</f>
        <v>show</v>
      </c>
      <c r="G10771" t="str">
        <f>HYPERLINK("https://github.com/PojavLauncherTeam/PojavLauncher", "show")</f>
        <v>show</v>
      </c>
      <c r="H10771" t="str">
        <f>HYPERLINK("https://github.com/PojavLauncherTeam/PojavLauncher/releases", "show")</f>
        <v>show</v>
      </c>
      <c r="I10771">
        <v>1</v>
      </c>
      <c r="J10771">
        <v>1</v>
      </c>
      <c r="K10771">
        <v>0</v>
      </c>
      <c r="L10771">
        <v>1</v>
      </c>
      <c r="M10771" t="s">
        <v>1894</v>
      </c>
    </row>
    <row r="10772" spans="1:13" x14ac:dyDescent="0.15">
      <c r="A10772" t="s">
        <v>34006</v>
      </c>
      <c r="B10772" t="s">
        <v>34007</v>
      </c>
      <c r="C10772" t="s">
        <v>34008</v>
      </c>
      <c r="D10772" t="s">
        <v>34009</v>
      </c>
      <c r="E10772">
        <v>9</v>
      </c>
      <c r="F10772" t="str">
        <f>HYPERLINK("https://github.com/Anuken/Mindustry/issues/8095", "show")</f>
        <v>show</v>
      </c>
      <c r="G10772" t="str">
        <f>HYPERLINK("https://github.com/Anuken/Mindustry", "show")</f>
        <v>show</v>
      </c>
      <c r="H10772" t="str">
        <f>HYPERLINK("https://github.com/Anuken/Mindustry/releases", "show")</f>
        <v>show</v>
      </c>
      <c r="I10772">
        <v>0</v>
      </c>
      <c r="J10772">
        <v>1</v>
      </c>
      <c r="K10772">
        <v>0</v>
      </c>
      <c r="L10772">
        <v>0</v>
      </c>
      <c r="M10772" t="s">
        <v>139</v>
      </c>
    </row>
    <row r="10773" spans="1:13" hidden="1" x14ac:dyDescent="0.15">
      <c r="A10773" t="s">
        <v>34010</v>
      </c>
      <c r="B10773" t="s">
        <v>34011</v>
      </c>
      <c r="C10773" t="s">
        <v>34012</v>
      </c>
      <c r="D10773" t="s">
        <v>34009</v>
      </c>
      <c r="E10773">
        <v>9</v>
      </c>
      <c r="F10773" t="str">
        <f>HYPERLINK("https://github.com/Anuken/Mindustry/issues/8094", "show")</f>
        <v>show</v>
      </c>
      <c r="G10773" t="str">
        <f>HYPERLINK("https://github.com/Anuken/Mindustry", "show")</f>
        <v>show</v>
      </c>
      <c r="H10773" t="str">
        <f>HYPERLINK("https://github.com/Anuken/Mindustry/releases", "show")</f>
        <v>show</v>
      </c>
      <c r="I10773">
        <v>1</v>
      </c>
      <c r="J10773">
        <v>0</v>
      </c>
      <c r="K10773">
        <v>0</v>
      </c>
      <c r="L10773">
        <v>0</v>
      </c>
      <c r="M10773" t="s">
        <v>17</v>
      </c>
    </row>
    <row r="10774" spans="1:13" hidden="1" x14ac:dyDescent="0.15">
      <c r="A10774" t="s">
        <v>34013</v>
      </c>
      <c r="B10774" t="s">
        <v>34014</v>
      </c>
      <c r="C10774" t="s">
        <v>34015</v>
      </c>
      <c r="D10774" t="s">
        <v>34009</v>
      </c>
      <c r="E10774">
        <v>1</v>
      </c>
      <c r="F10774" t="str">
        <f>HYPERLINK("https://github.com/jellyfin/jellyfin-androidtv/issues/2373", "show")</f>
        <v>show</v>
      </c>
      <c r="G10774" t="str">
        <f>HYPERLINK("https://github.com/jellyfin/jellyfin-androidtv", "show")</f>
        <v>show</v>
      </c>
      <c r="H10774" t="str">
        <f>HYPERLINK("https://github.com/jellyfin/jellyfin-androidtv/releases", "show")</f>
        <v>show</v>
      </c>
      <c r="I10774">
        <v>1</v>
      </c>
      <c r="J10774">
        <v>1</v>
      </c>
      <c r="K10774">
        <v>0</v>
      </c>
      <c r="L10774">
        <v>0</v>
      </c>
      <c r="M10774" t="s">
        <v>48</v>
      </c>
    </row>
    <row r="10775" spans="1:13" hidden="1" x14ac:dyDescent="0.15">
      <c r="A10775" t="s">
        <v>34016</v>
      </c>
      <c r="B10775" t="s">
        <v>34017</v>
      </c>
      <c r="C10775" t="s">
        <v>34018</v>
      </c>
      <c r="D10775" t="s">
        <v>34009</v>
      </c>
      <c r="E10775">
        <v>22</v>
      </c>
      <c r="F10775" t="str">
        <f>HYPERLINK("https://github.com/LawnchairLauncher/lawnchair/issues/3218", "show")</f>
        <v>show</v>
      </c>
      <c r="G10775" t="str">
        <f>HYPERLINK("https://github.com/LawnchairLauncher/lawnchair", "show")</f>
        <v>show</v>
      </c>
      <c r="H10775" t="str">
        <f>HYPERLINK("https://github.com/LawnchairLauncher/lawnchair/releases", "show")</f>
        <v>show</v>
      </c>
      <c r="I10775">
        <v>1</v>
      </c>
      <c r="J10775">
        <v>1</v>
      </c>
      <c r="K10775">
        <v>0</v>
      </c>
      <c r="L10775">
        <v>0</v>
      </c>
      <c r="M10775" t="s">
        <v>48</v>
      </c>
    </row>
    <row r="10776" spans="1:13" hidden="1" x14ac:dyDescent="0.15">
      <c r="A10776" t="s">
        <v>34019</v>
      </c>
      <c r="B10776" t="s">
        <v>34020</v>
      </c>
      <c r="C10776" t="s">
        <v>34021</v>
      </c>
      <c r="D10776" t="s">
        <v>34022</v>
      </c>
      <c r="E10776">
        <v>53</v>
      </c>
      <c r="F10776" t="str">
        <f>HYPERLINK("https://github.com/nextcloud/android/issues/11208", "show")</f>
        <v>show</v>
      </c>
      <c r="G10776" t="str">
        <f>HYPERLINK("https://github.com/nextcloud/android", "show")</f>
        <v>show</v>
      </c>
      <c r="H10776" t="str">
        <f>HYPERLINK("https://github.com/nextcloud/android/releases", "show")</f>
        <v>show</v>
      </c>
      <c r="I10776">
        <v>1</v>
      </c>
      <c r="J10776">
        <v>0</v>
      </c>
      <c r="K10776">
        <v>0</v>
      </c>
      <c r="L10776">
        <v>0</v>
      </c>
      <c r="M10776" t="s">
        <v>17</v>
      </c>
    </row>
    <row r="10777" spans="1:13" hidden="1" x14ac:dyDescent="0.15">
      <c r="A10777" t="s">
        <v>34023</v>
      </c>
      <c r="B10777" t="s">
        <v>34024</v>
      </c>
      <c r="C10777" t="s">
        <v>34025</v>
      </c>
      <c r="D10777" t="s">
        <v>34022</v>
      </c>
      <c r="E10777">
        <v>288</v>
      </c>
      <c r="F10777" t="str">
        <f>HYPERLINK("https://github.com/LSPosed/LSPatch/issues/154", "show")</f>
        <v>show</v>
      </c>
      <c r="G10777" t="str">
        <f>HYPERLINK("https://github.com/LSPosed/LSPatch", "show")</f>
        <v>show</v>
      </c>
      <c r="H10777" t="str">
        <f>HYPERLINK("https://github.com/LSPosed/LSPatch/releases", "show")</f>
        <v>show</v>
      </c>
      <c r="I10777">
        <v>1</v>
      </c>
      <c r="J10777">
        <v>1</v>
      </c>
      <c r="K10777">
        <v>0</v>
      </c>
      <c r="L10777">
        <v>0</v>
      </c>
      <c r="M10777" t="s">
        <v>48</v>
      </c>
    </row>
    <row r="10778" spans="1:13" hidden="1" x14ac:dyDescent="0.15">
      <c r="A10778" t="s">
        <v>34026</v>
      </c>
      <c r="B10778" t="s">
        <v>34027</v>
      </c>
      <c r="C10778" t="s">
        <v>34028</v>
      </c>
      <c r="D10778" t="s">
        <v>34022</v>
      </c>
      <c r="E10778">
        <v>272</v>
      </c>
      <c r="F10778" t="str">
        <f>HYPERLINK("https://github.com/SORMAS-Foundation/SORMAS-Project/issues/11262", "show")</f>
        <v>show</v>
      </c>
      <c r="G10778" t="str">
        <f>HYPERLINK("https://github.com/SORMAS-Foundation/SORMAS-Project", "show")</f>
        <v>show</v>
      </c>
      <c r="H10778" t="str">
        <f>HYPERLINK("https://github.com/SORMAS-Foundation/SORMAS-Project/releases", "show")</f>
        <v>show</v>
      </c>
      <c r="I10778">
        <v>0</v>
      </c>
      <c r="J10778">
        <v>0</v>
      </c>
      <c r="K10778">
        <v>0</v>
      </c>
      <c r="L10778">
        <v>0</v>
      </c>
      <c r="M10778" t="s">
        <v>43</v>
      </c>
    </row>
    <row r="10779" spans="1:13" hidden="1" x14ac:dyDescent="0.15">
      <c r="A10779" t="s">
        <v>34029</v>
      </c>
      <c r="B10779" t="s">
        <v>34030</v>
      </c>
      <c r="C10779" t="s">
        <v>34031</v>
      </c>
      <c r="D10779" t="s">
        <v>34032</v>
      </c>
      <c r="E10779">
        <v>28</v>
      </c>
      <c r="F10779" t="str">
        <f>HYPERLINK("https://github.com/PojavLauncherTeam/PojavLauncher/issues/3804", "show")</f>
        <v>show</v>
      </c>
      <c r="G10779" t="str">
        <f>HYPERLINK("https://github.com/PojavLauncherTeam/PojavLauncher", "show")</f>
        <v>show</v>
      </c>
      <c r="H10779" t="str">
        <f>HYPERLINK("https://github.com/PojavLauncherTeam/PojavLauncher/releases", "show")</f>
        <v>show</v>
      </c>
      <c r="I10779">
        <v>0</v>
      </c>
      <c r="J10779">
        <v>1</v>
      </c>
      <c r="K10779">
        <v>0</v>
      </c>
      <c r="L10779">
        <v>1</v>
      </c>
      <c r="M10779" t="s">
        <v>1732</v>
      </c>
    </row>
    <row r="10780" spans="1:13" hidden="1" x14ac:dyDescent="0.15">
      <c r="A10780" t="s">
        <v>34033</v>
      </c>
      <c r="B10780" t="s">
        <v>34034</v>
      </c>
      <c r="C10780" t="s">
        <v>34035</v>
      </c>
      <c r="D10780" t="s">
        <v>34032</v>
      </c>
      <c r="E10780">
        <v>11</v>
      </c>
      <c r="F10780" t="str">
        <f>HYPERLINK("https://github.com/Anuken/Mindustry/issues/8092", "show")</f>
        <v>show</v>
      </c>
      <c r="G10780" t="str">
        <f>HYPERLINK("https://github.com/Anuken/Mindustry", "show")</f>
        <v>show</v>
      </c>
      <c r="H10780" t="str">
        <f>HYPERLINK("https://github.com/Anuken/Mindustry/releases", "show")</f>
        <v>show</v>
      </c>
      <c r="I10780">
        <v>0</v>
      </c>
      <c r="J10780">
        <v>0</v>
      </c>
      <c r="K10780">
        <v>1</v>
      </c>
      <c r="L10780">
        <v>0</v>
      </c>
      <c r="M10780" t="s">
        <v>122</v>
      </c>
    </row>
    <row r="10781" spans="1:13" hidden="1" x14ac:dyDescent="0.15">
      <c r="A10781" t="s">
        <v>34036</v>
      </c>
      <c r="B10781" t="s">
        <v>34037</v>
      </c>
      <c r="C10781" t="s">
        <v>34038</v>
      </c>
      <c r="D10781" t="s">
        <v>34032</v>
      </c>
      <c r="E10781">
        <v>28</v>
      </c>
      <c r="F10781" t="str">
        <f>HYPERLINK("https://github.com/PojavLauncherTeam/PojavLauncher/issues/3803", "show")</f>
        <v>show</v>
      </c>
      <c r="G10781" t="str">
        <f>HYPERLINK("https://github.com/PojavLauncherTeam/PojavLauncher", "show")</f>
        <v>show</v>
      </c>
      <c r="H10781" t="str">
        <f>HYPERLINK("https://github.com/PojavLauncherTeam/PojavLauncher/releases", "show")</f>
        <v>show</v>
      </c>
      <c r="I10781">
        <v>1</v>
      </c>
      <c r="J10781">
        <v>1</v>
      </c>
      <c r="K10781">
        <v>0</v>
      </c>
      <c r="L10781">
        <v>0</v>
      </c>
      <c r="M10781" t="s">
        <v>48</v>
      </c>
    </row>
    <row r="10782" spans="1:13" hidden="1" x14ac:dyDescent="0.15">
      <c r="A10782" t="s">
        <v>34039</v>
      </c>
      <c r="B10782" t="s">
        <v>34040</v>
      </c>
      <c r="C10782" t="s">
        <v>34041</v>
      </c>
      <c r="D10782" t="s">
        <v>34032</v>
      </c>
      <c r="E10782">
        <v>1</v>
      </c>
      <c r="F10782" t="str">
        <f>HYPERLINK("https://github.com/Fox2Code/FoxMagiskModuleManager/issues/265", "show")</f>
        <v>show</v>
      </c>
      <c r="G10782" t="str">
        <f>HYPERLINK("https://github.com/Fox2Code/FoxMagiskModuleManager", "show")</f>
        <v>show</v>
      </c>
      <c r="H10782" t="str">
        <f>HYPERLINK("https://github.com/Fox2Code/FoxMagiskModuleManager/releases", "show")</f>
        <v>show</v>
      </c>
      <c r="I10782">
        <v>1</v>
      </c>
      <c r="J10782">
        <v>1</v>
      </c>
      <c r="K10782">
        <v>0</v>
      </c>
      <c r="L10782">
        <v>0</v>
      </c>
      <c r="M10782" t="s">
        <v>48</v>
      </c>
    </row>
    <row r="10783" spans="1:13" x14ac:dyDescent="0.15">
      <c r="A10783" t="s">
        <v>34042</v>
      </c>
      <c r="B10783" t="s">
        <v>34043</v>
      </c>
      <c r="C10783" t="s">
        <v>34044</v>
      </c>
      <c r="D10783" t="s">
        <v>34045</v>
      </c>
      <c r="E10783">
        <v>12</v>
      </c>
      <c r="F10783" t="str">
        <f>HYPERLINK("https://github.com/Anuken/Mindustry/issues/8091", "show")</f>
        <v>show</v>
      </c>
      <c r="G10783" t="str">
        <f>HYPERLINK("https://github.com/Anuken/Mindustry", "show")</f>
        <v>show</v>
      </c>
      <c r="H10783" t="str">
        <f>HYPERLINK("https://github.com/Anuken/Mindustry/releases", "show")</f>
        <v>show</v>
      </c>
      <c r="I10783">
        <v>0</v>
      </c>
      <c r="J10783">
        <v>1</v>
      </c>
      <c r="K10783">
        <v>0</v>
      </c>
      <c r="L10783">
        <v>0</v>
      </c>
      <c r="M10783" t="s">
        <v>139</v>
      </c>
    </row>
    <row r="10784" spans="1:13" hidden="1" x14ac:dyDescent="0.15">
      <c r="A10784" t="s">
        <v>34046</v>
      </c>
      <c r="B10784" t="s">
        <v>34047</v>
      </c>
      <c r="C10784" t="s">
        <v>34048</v>
      </c>
      <c r="D10784" t="s">
        <v>34045</v>
      </c>
      <c r="E10784">
        <v>2</v>
      </c>
      <c r="F10784" t="str">
        <f>HYPERLINK("https://github.com/nextcloud/android/issues/11203", "show")</f>
        <v>show</v>
      </c>
      <c r="G10784" t="str">
        <f>HYPERLINK("https://github.com/nextcloud/android", "show")</f>
        <v>show</v>
      </c>
      <c r="H10784" t="str">
        <f>HYPERLINK("https://github.com/nextcloud/android/releases", "show")</f>
        <v>show</v>
      </c>
      <c r="I10784">
        <v>0</v>
      </c>
      <c r="J10784">
        <v>0</v>
      </c>
      <c r="K10784">
        <v>1</v>
      </c>
      <c r="L10784">
        <v>0</v>
      </c>
      <c r="M10784" t="s">
        <v>122</v>
      </c>
    </row>
    <row r="10785" spans="1:13" hidden="1" x14ac:dyDescent="0.15">
      <c r="A10785" t="s">
        <v>34049</v>
      </c>
      <c r="B10785" t="s">
        <v>34050</v>
      </c>
      <c r="C10785" t="s">
        <v>34051</v>
      </c>
      <c r="D10785" t="s">
        <v>34045</v>
      </c>
      <c r="E10785">
        <v>12</v>
      </c>
      <c r="F10785" t="str">
        <f>HYPERLINK("https://github.com/Anuken/Mindustry/issues/8086", "show")</f>
        <v>show</v>
      </c>
      <c r="G10785" t="str">
        <f>HYPERLINK("https://github.com/Anuken/Mindustry", "show")</f>
        <v>show</v>
      </c>
      <c r="H10785" t="str">
        <f>HYPERLINK("https://github.com/Anuken/Mindustry/releases", "show")</f>
        <v>show</v>
      </c>
      <c r="I10785">
        <v>1</v>
      </c>
      <c r="J10785">
        <v>1</v>
      </c>
      <c r="K10785">
        <v>0</v>
      </c>
      <c r="L10785">
        <v>1</v>
      </c>
      <c r="M10785" t="s">
        <v>1894</v>
      </c>
    </row>
    <row r="10786" spans="1:13" hidden="1" x14ac:dyDescent="0.15">
      <c r="A10786" t="s">
        <v>34052</v>
      </c>
      <c r="B10786" t="s">
        <v>34053</v>
      </c>
      <c r="C10786" t="s">
        <v>34054</v>
      </c>
      <c r="D10786" t="s">
        <v>34055</v>
      </c>
      <c r="E10786">
        <v>2</v>
      </c>
      <c r="F10786" t="str">
        <f>HYPERLINK("https://github.com/patzly/grocy-android/issues/607", "show")</f>
        <v>show</v>
      </c>
      <c r="G10786" t="str">
        <f>HYPERLINK("https://github.com/patzly/grocy-android", "show")</f>
        <v>show</v>
      </c>
      <c r="H10786" t="str">
        <f>HYPERLINK("https://github.com/patzly/grocy-android/releases", "show")</f>
        <v>show</v>
      </c>
      <c r="I10786">
        <v>1</v>
      </c>
      <c r="J10786">
        <v>0</v>
      </c>
      <c r="K10786">
        <v>1</v>
      </c>
      <c r="L10786">
        <v>0</v>
      </c>
      <c r="M10786" t="s">
        <v>64</v>
      </c>
    </row>
    <row r="10787" spans="1:13" x14ac:dyDescent="0.15">
      <c r="A10787" t="s">
        <v>34056</v>
      </c>
      <c r="B10787" t="s">
        <v>34057</v>
      </c>
      <c r="C10787" t="s">
        <v>34058</v>
      </c>
      <c r="D10787" t="s">
        <v>34055</v>
      </c>
      <c r="E10787">
        <v>13</v>
      </c>
      <c r="F10787" t="str">
        <f>HYPERLINK("https://github.com/Anuken/Mindustry/issues/8084", "show")</f>
        <v>show</v>
      </c>
      <c r="G10787" t="str">
        <f>HYPERLINK("https://github.com/Anuken/Mindustry", "show")</f>
        <v>show</v>
      </c>
      <c r="H10787" t="str">
        <f>HYPERLINK("https://github.com/Anuken/Mindustry/releases", "show")</f>
        <v>show</v>
      </c>
      <c r="I10787">
        <v>0</v>
      </c>
      <c r="J10787">
        <v>1</v>
      </c>
      <c r="K10787">
        <v>0</v>
      </c>
      <c r="L10787">
        <v>0</v>
      </c>
      <c r="M10787" t="s">
        <v>139</v>
      </c>
    </row>
    <row r="10788" spans="1:13" hidden="1" x14ac:dyDescent="0.15">
      <c r="A10788" t="s">
        <v>34059</v>
      </c>
      <c r="B10788" t="s">
        <v>34060</v>
      </c>
      <c r="C10788" t="s">
        <v>34061</v>
      </c>
      <c r="D10788" t="s">
        <v>34062</v>
      </c>
      <c r="E10788">
        <v>31</v>
      </c>
      <c r="F10788" t="str">
        <f>HYPERLINK("https://github.com/PojavLauncherTeam/PojavLauncher/issues/3797", "show")</f>
        <v>show</v>
      </c>
      <c r="G10788" t="str">
        <f>HYPERLINK("https://github.com/PojavLauncherTeam/PojavLauncher", "show")</f>
        <v>show</v>
      </c>
      <c r="H10788" t="str">
        <f>HYPERLINK("https://github.com/PojavLauncherTeam/PojavLauncher/releases", "show")</f>
        <v>show</v>
      </c>
      <c r="I10788">
        <v>1</v>
      </c>
      <c r="J10788">
        <v>0</v>
      </c>
      <c r="K10788">
        <v>0</v>
      </c>
      <c r="L10788">
        <v>0</v>
      </c>
      <c r="M10788" t="s">
        <v>17</v>
      </c>
    </row>
    <row r="10789" spans="1:13" hidden="1" x14ac:dyDescent="0.15">
      <c r="A10789" t="s">
        <v>34063</v>
      </c>
      <c r="B10789" t="s">
        <v>34064</v>
      </c>
      <c r="C10789" t="s">
        <v>34065</v>
      </c>
      <c r="D10789" t="s">
        <v>34062</v>
      </c>
      <c r="E10789">
        <v>18</v>
      </c>
      <c r="F10789" t="str">
        <f>HYPERLINK("https://github.com/AndroidIDEOfficial/AndroidIDE/issues/682", "show")</f>
        <v>show</v>
      </c>
      <c r="G10789" t="str">
        <f>HYPERLINK("https://github.com/AndroidIDEOfficial/AndroidIDE", "show")</f>
        <v>show</v>
      </c>
      <c r="H10789" t="str">
        <f>HYPERLINK("https://github.com/AndroidIDEOfficial/AndroidIDE/releases", "show")</f>
        <v>show</v>
      </c>
      <c r="I10789">
        <v>1</v>
      </c>
      <c r="J10789">
        <v>0</v>
      </c>
      <c r="K10789">
        <v>1</v>
      </c>
      <c r="L10789">
        <v>0</v>
      </c>
      <c r="M10789" t="s">
        <v>64</v>
      </c>
    </row>
    <row r="10790" spans="1:13" hidden="1" x14ac:dyDescent="0.15">
      <c r="A10790" t="s">
        <v>34066</v>
      </c>
      <c r="B10790" t="s">
        <v>34067</v>
      </c>
      <c r="C10790" t="s">
        <v>34068</v>
      </c>
      <c r="D10790" t="s">
        <v>34062</v>
      </c>
      <c r="E10790">
        <v>3</v>
      </c>
      <c r="F10790" t="str">
        <f>HYPERLINK("https://github.com/AndroidIDEOfficial/AndroidIDE/issues/681", "show")</f>
        <v>show</v>
      </c>
      <c r="G10790" t="str">
        <f>HYPERLINK("https://github.com/AndroidIDEOfficial/AndroidIDE", "show")</f>
        <v>show</v>
      </c>
      <c r="H10790" t="str">
        <f>HYPERLINK("https://github.com/AndroidIDEOfficial/AndroidIDE/releases", "show")</f>
        <v>show</v>
      </c>
      <c r="I10790">
        <v>0</v>
      </c>
      <c r="J10790">
        <v>1</v>
      </c>
      <c r="K10790">
        <v>1</v>
      </c>
      <c r="L10790">
        <v>0</v>
      </c>
      <c r="M10790" t="s">
        <v>699</v>
      </c>
    </row>
    <row r="10791" spans="1:13" hidden="1" x14ac:dyDescent="0.15">
      <c r="A10791" t="s">
        <v>34069</v>
      </c>
      <c r="B10791" t="s">
        <v>34070</v>
      </c>
      <c r="C10791" t="s">
        <v>34071</v>
      </c>
      <c r="D10791" t="s">
        <v>34072</v>
      </c>
      <c r="E10791">
        <v>5</v>
      </c>
      <c r="F10791" t="str">
        <f>HYPERLINK("https://github.com/patzly/grocy-android/issues/603", "show")</f>
        <v>show</v>
      </c>
      <c r="G10791" t="str">
        <f>HYPERLINK("https://github.com/patzly/grocy-android", "show")</f>
        <v>show</v>
      </c>
      <c r="H10791" t="str">
        <f>HYPERLINK("https://github.com/patzly/grocy-android/releases", "show")</f>
        <v>show</v>
      </c>
      <c r="I10791">
        <v>1</v>
      </c>
      <c r="J10791">
        <v>0</v>
      </c>
      <c r="K10791">
        <v>0</v>
      </c>
      <c r="L10791">
        <v>0</v>
      </c>
      <c r="M10791" t="s">
        <v>17</v>
      </c>
    </row>
    <row r="10792" spans="1:13" hidden="1" x14ac:dyDescent="0.15">
      <c r="A10792" t="s">
        <v>34073</v>
      </c>
      <c r="B10792" t="s">
        <v>34074</v>
      </c>
      <c r="C10792" t="s">
        <v>34075</v>
      </c>
      <c r="D10792" t="s">
        <v>34072</v>
      </c>
      <c r="E10792">
        <v>2</v>
      </c>
      <c r="F10792" t="str">
        <f>HYPERLINK("https://github.com/AndroidIDEOfficial/AndroidIDE/issues/676", "show")</f>
        <v>show</v>
      </c>
      <c r="G10792" t="str">
        <f>HYPERLINK("https://github.com/AndroidIDEOfficial/AndroidIDE", "show")</f>
        <v>show</v>
      </c>
      <c r="H10792" t="str">
        <f>HYPERLINK("https://github.com/AndroidIDEOfficial/AndroidIDE/releases", "show")</f>
        <v>show</v>
      </c>
      <c r="I10792">
        <v>0</v>
      </c>
      <c r="J10792">
        <v>0</v>
      </c>
      <c r="K10792">
        <v>1</v>
      </c>
      <c r="L10792">
        <v>0</v>
      </c>
      <c r="M10792" t="s">
        <v>122</v>
      </c>
    </row>
    <row r="10793" spans="1:13" x14ac:dyDescent="0.15">
      <c r="A10793" t="s">
        <v>34076</v>
      </c>
      <c r="B10793" t="s">
        <v>34077</v>
      </c>
      <c r="C10793" t="s">
        <v>34078</v>
      </c>
      <c r="D10793" t="s">
        <v>34079</v>
      </c>
      <c r="E10793">
        <v>1</v>
      </c>
      <c r="F10793" t="str">
        <f>HYPERLINK("https://github.com/nextcloud/android/issues/11191", "show")</f>
        <v>show</v>
      </c>
      <c r="G10793" t="str">
        <f>HYPERLINK("https://github.com/nextcloud/android", "show")</f>
        <v>show</v>
      </c>
      <c r="H10793" t="str">
        <f>HYPERLINK("https://github.com/nextcloud/android/releases", "show")</f>
        <v>show</v>
      </c>
      <c r="I10793">
        <v>0</v>
      </c>
      <c r="J10793">
        <v>1</v>
      </c>
      <c r="K10793">
        <v>0</v>
      </c>
      <c r="L10793">
        <v>0</v>
      </c>
      <c r="M10793" t="s">
        <v>139</v>
      </c>
    </row>
    <row r="10794" spans="1:13" hidden="1" x14ac:dyDescent="0.15">
      <c r="A10794" t="s">
        <v>34080</v>
      </c>
      <c r="B10794" t="s">
        <v>34081</v>
      </c>
      <c r="C10794" t="s">
        <v>34082</v>
      </c>
      <c r="D10794" t="s">
        <v>34079</v>
      </c>
      <c r="E10794">
        <v>34</v>
      </c>
      <c r="F10794" t="str">
        <f>HYPERLINK("https://github.com/PojavLauncherTeam/PojavLauncher/issues/3793", "show")</f>
        <v>show</v>
      </c>
      <c r="G10794" t="str">
        <f>HYPERLINK("https://github.com/PojavLauncherTeam/PojavLauncher", "show")</f>
        <v>show</v>
      </c>
      <c r="H10794" t="str">
        <f>HYPERLINK("https://github.com/PojavLauncherTeam/PojavLauncher/releases", "show")</f>
        <v>show</v>
      </c>
      <c r="I10794">
        <v>1</v>
      </c>
      <c r="J10794">
        <v>1</v>
      </c>
      <c r="K10794">
        <v>0</v>
      </c>
      <c r="L10794">
        <v>1</v>
      </c>
      <c r="M10794" t="s">
        <v>1894</v>
      </c>
    </row>
    <row r="10795" spans="1:13" hidden="1" x14ac:dyDescent="0.15">
      <c r="A10795" t="s">
        <v>34083</v>
      </c>
      <c r="B10795" t="s">
        <v>34084</v>
      </c>
      <c r="C10795" t="s">
        <v>34085</v>
      </c>
      <c r="D10795" t="s">
        <v>34079</v>
      </c>
      <c r="E10795">
        <v>34</v>
      </c>
      <c r="F10795" t="str">
        <f>HYPERLINK("https://github.com/PojavLauncherTeam/PojavLauncher/issues/3791", "show")</f>
        <v>show</v>
      </c>
      <c r="G10795" t="str">
        <f>HYPERLINK("https://github.com/PojavLauncherTeam/PojavLauncher", "show")</f>
        <v>show</v>
      </c>
      <c r="H10795" t="str">
        <f>HYPERLINK("https://github.com/PojavLauncherTeam/PojavLauncher/releases", "show")</f>
        <v>show</v>
      </c>
      <c r="I10795">
        <v>1</v>
      </c>
      <c r="J10795">
        <v>0</v>
      </c>
      <c r="K10795">
        <v>0</v>
      </c>
      <c r="L10795">
        <v>0</v>
      </c>
      <c r="M10795" t="s">
        <v>17</v>
      </c>
    </row>
    <row r="10796" spans="1:13" hidden="1" x14ac:dyDescent="0.15">
      <c r="A10796" t="s">
        <v>34086</v>
      </c>
      <c r="B10796" t="s">
        <v>34087</v>
      </c>
      <c r="C10796" t="s">
        <v>34088</v>
      </c>
      <c r="D10796" t="s">
        <v>34089</v>
      </c>
      <c r="E10796">
        <v>202</v>
      </c>
      <c r="F10796" t="str">
        <f>HYPERLINK("https://github.com/AP-Atul/music_player_lite/issues/23", "show")</f>
        <v>show</v>
      </c>
      <c r="G10796" t="str">
        <f>HYPERLINK("https://github.com/AP-Atul/music_player_lite", "show")</f>
        <v>show</v>
      </c>
      <c r="H10796" t="str">
        <f>HYPERLINK("https://github.com/AP-Atul/music_player_lite/releases", "show")</f>
        <v>show</v>
      </c>
      <c r="I10796">
        <v>1</v>
      </c>
      <c r="J10796">
        <v>0</v>
      </c>
      <c r="K10796">
        <v>1</v>
      </c>
      <c r="L10796">
        <v>0</v>
      </c>
      <c r="M10796" t="s">
        <v>64</v>
      </c>
    </row>
    <row r="10797" spans="1:13" x14ac:dyDescent="0.15">
      <c r="A10797" t="s">
        <v>34090</v>
      </c>
      <c r="B10797" t="s">
        <v>34091</v>
      </c>
      <c r="C10797" t="s">
        <v>34092</v>
      </c>
      <c r="D10797" t="s">
        <v>34089</v>
      </c>
      <c r="E10797">
        <v>14</v>
      </c>
      <c r="F10797" t="str">
        <f>HYPERLINK("https://github.com/facebook/react-native/issues/35689", "show")</f>
        <v>show</v>
      </c>
      <c r="G10797" t="str">
        <f>HYPERLINK("https://github.com/facebook/react-native", "show")</f>
        <v>show</v>
      </c>
      <c r="H10797" t="str">
        <f>HYPERLINK("https://github.com/facebook/react-native/releases", "show")</f>
        <v>show</v>
      </c>
      <c r="I10797">
        <v>0</v>
      </c>
      <c r="J10797">
        <v>1</v>
      </c>
      <c r="K10797">
        <v>0</v>
      </c>
      <c r="L10797">
        <v>0</v>
      </c>
      <c r="M10797" t="s">
        <v>139</v>
      </c>
    </row>
    <row r="10798" spans="1:13" x14ac:dyDescent="0.15">
      <c r="A10798" t="s">
        <v>34093</v>
      </c>
      <c r="B10798" t="s">
        <v>34094</v>
      </c>
      <c r="C10798" t="s">
        <v>34095</v>
      </c>
      <c r="D10798" t="s">
        <v>34089</v>
      </c>
      <c r="E10798">
        <v>18</v>
      </c>
      <c r="F10798" t="str">
        <f>HYPERLINK("https://github.com/Anuken/Mindustry/issues/8075", "show")</f>
        <v>show</v>
      </c>
      <c r="G10798" t="str">
        <f>HYPERLINK("https://github.com/Anuken/Mindustry", "show")</f>
        <v>show</v>
      </c>
      <c r="H10798" t="str">
        <f>HYPERLINK("https://github.com/Anuken/Mindustry/releases", "show")</f>
        <v>show</v>
      </c>
      <c r="I10798">
        <v>0</v>
      </c>
      <c r="J10798">
        <v>1</v>
      </c>
      <c r="K10798">
        <v>0</v>
      </c>
      <c r="L10798">
        <v>0</v>
      </c>
      <c r="M10798" t="s">
        <v>139</v>
      </c>
    </row>
    <row r="10799" spans="1:13" hidden="1" x14ac:dyDescent="0.15">
      <c r="A10799" t="s">
        <v>34096</v>
      </c>
      <c r="B10799" t="s">
        <v>34097</v>
      </c>
      <c r="C10799" t="s">
        <v>34098</v>
      </c>
      <c r="D10799" t="s">
        <v>34099</v>
      </c>
      <c r="E10799">
        <v>36</v>
      </c>
      <c r="F10799" t="str">
        <f>HYPERLINK("https://github.com/PojavLauncherTeam/PojavLauncher/issues/3788", "show")</f>
        <v>show</v>
      </c>
      <c r="G10799" t="str">
        <f>HYPERLINK("https://github.com/PojavLauncherTeam/PojavLauncher", "show")</f>
        <v>show</v>
      </c>
      <c r="H10799" t="str">
        <f>HYPERLINK("https://github.com/PojavLauncherTeam/PojavLauncher/releases", "show")</f>
        <v>show</v>
      </c>
      <c r="I10799">
        <v>1</v>
      </c>
      <c r="J10799">
        <v>1</v>
      </c>
      <c r="K10799">
        <v>0</v>
      </c>
      <c r="L10799">
        <v>0</v>
      </c>
      <c r="M10799" t="s">
        <v>48</v>
      </c>
    </row>
    <row r="10800" spans="1:13" hidden="1" x14ac:dyDescent="0.15">
      <c r="A10800" t="s">
        <v>34100</v>
      </c>
      <c r="B10800" t="s">
        <v>34101</v>
      </c>
      <c r="C10800" t="s">
        <v>34102</v>
      </c>
      <c r="D10800" t="s">
        <v>34099</v>
      </c>
      <c r="E10800">
        <v>0</v>
      </c>
      <c r="F10800" t="str">
        <f>HYPERLINK("https://github.com/Fox2Code/FoxMagiskModuleManager/issues/262", "show")</f>
        <v>show</v>
      </c>
      <c r="G10800" t="str">
        <f>HYPERLINK("https://github.com/Fox2Code/FoxMagiskModuleManager", "show")</f>
        <v>show</v>
      </c>
      <c r="H10800" t="str">
        <f>HYPERLINK("https://github.com/Fox2Code/FoxMagiskModuleManager/releases", "show")</f>
        <v>show</v>
      </c>
      <c r="I10800">
        <v>1</v>
      </c>
      <c r="J10800">
        <v>0</v>
      </c>
      <c r="K10800">
        <v>0</v>
      </c>
      <c r="L10800">
        <v>0</v>
      </c>
      <c r="M10800" t="s">
        <v>17</v>
      </c>
    </row>
    <row r="10801" spans="1:13" hidden="1" x14ac:dyDescent="0.15">
      <c r="A10801" t="s">
        <v>34103</v>
      </c>
      <c r="B10801" t="s">
        <v>34104</v>
      </c>
      <c r="C10801" t="s">
        <v>34105</v>
      </c>
      <c r="D10801" t="s">
        <v>34099</v>
      </c>
      <c r="E10801">
        <v>1</v>
      </c>
      <c r="F10801" t="str">
        <f>HYPERLINK("https://github.com/AndroidIDEOfficial/AndroidIDE/issues/672", "show")</f>
        <v>show</v>
      </c>
      <c r="G10801" t="str">
        <f>HYPERLINK("https://github.com/AndroidIDEOfficial/AndroidIDE", "show")</f>
        <v>show</v>
      </c>
      <c r="H10801" t="str">
        <f>HYPERLINK("https://github.com/AndroidIDEOfficial/AndroidIDE/releases", "show")</f>
        <v>show</v>
      </c>
      <c r="I10801">
        <v>0</v>
      </c>
      <c r="J10801">
        <v>0</v>
      </c>
      <c r="K10801">
        <v>1</v>
      </c>
      <c r="L10801">
        <v>0</v>
      </c>
      <c r="M10801" t="s">
        <v>122</v>
      </c>
    </row>
    <row r="10802" spans="1:13" hidden="1" x14ac:dyDescent="0.15">
      <c r="A10802" t="s">
        <v>34106</v>
      </c>
      <c r="B10802" t="s">
        <v>34107</v>
      </c>
      <c r="D10802" t="s">
        <v>34108</v>
      </c>
      <c r="E10802">
        <v>8</v>
      </c>
      <c r="F10802" t="str">
        <f>HYPERLINK("https://github.com/carvalho28/UBITouch/issues/71", "show")</f>
        <v>show</v>
      </c>
      <c r="G10802" t="str">
        <f>HYPERLINK("https://github.com/carvalho28/UBITouch", "show")</f>
        <v>show</v>
      </c>
      <c r="H10802" t="str">
        <f>HYPERLINK("https://github.com/carvalho28/UBITouch/releases", "show")</f>
        <v>show</v>
      </c>
      <c r="I10802">
        <v>0</v>
      </c>
      <c r="J10802">
        <v>0</v>
      </c>
      <c r="K10802">
        <v>0</v>
      </c>
      <c r="L10802">
        <v>0</v>
      </c>
      <c r="M10802" t="s">
        <v>43</v>
      </c>
    </row>
    <row r="10803" spans="1:13" hidden="1" x14ac:dyDescent="0.15">
      <c r="A10803" t="s">
        <v>34109</v>
      </c>
      <c r="B10803" t="s">
        <v>34110</v>
      </c>
      <c r="C10803" t="s">
        <v>34111</v>
      </c>
      <c r="D10803" t="s">
        <v>34108</v>
      </c>
      <c r="E10803">
        <v>10</v>
      </c>
      <c r="F10803" t="str">
        <f>HYPERLINK("https://github.com/Fox2Code/FoxMagiskModuleManager/issues/260", "show")</f>
        <v>show</v>
      </c>
      <c r="G10803" t="str">
        <f>HYPERLINK("https://github.com/Fox2Code/FoxMagiskModuleManager", "show")</f>
        <v>show</v>
      </c>
      <c r="H10803" t="str">
        <f>HYPERLINK("https://github.com/Fox2Code/FoxMagiskModuleManager/releases", "show")</f>
        <v>show</v>
      </c>
      <c r="I10803">
        <v>0</v>
      </c>
      <c r="J10803">
        <v>0</v>
      </c>
      <c r="K10803">
        <v>0</v>
      </c>
      <c r="L10803">
        <v>0</v>
      </c>
      <c r="M10803" t="s">
        <v>43</v>
      </c>
    </row>
    <row r="10804" spans="1:13" hidden="1" x14ac:dyDescent="0.15">
      <c r="A10804" t="s">
        <v>34112</v>
      </c>
      <c r="B10804" t="s">
        <v>34113</v>
      </c>
      <c r="C10804" t="s">
        <v>34114</v>
      </c>
      <c r="D10804" t="s">
        <v>34108</v>
      </c>
      <c r="E10804">
        <v>1</v>
      </c>
      <c r="F10804" t="str">
        <f>HYPERLINK("https://github.com/cgeo/cgeo/issues/13763", "show")</f>
        <v>show</v>
      </c>
      <c r="G10804" t="str">
        <f>HYPERLINK("https://github.com/cgeo/cgeo", "show")</f>
        <v>show</v>
      </c>
      <c r="H10804" t="str">
        <f>HYPERLINK("https://github.com/cgeo/cgeo/releases", "show")</f>
        <v>show</v>
      </c>
      <c r="I10804">
        <v>0</v>
      </c>
      <c r="J10804">
        <v>0</v>
      </c>
      <c r="K10804">
        <v>0</v>
      </c>
      <c r="L10804">
        <v>0</v>
      </c>
      <c r="M10804" t="s">
        <v>43</v>
      </c>
    </row>
    <row r="10805" spans="1:13" hidden="1" x14ac:dyDescent="0.15">
      <c r="A10805" t="s">
        <v>34115</v>
      </c>
      <c r="B10805" t="s">
        <v>34116</v>
      </c>
      <c r="C10805" t="s">
        <v>34117</v>
      </c>
      <c r="D10805" t="s">
        <v>34108</v>
      </c>
      <c r="E10805">
        <v>23</v>
      </c>
      <c r="F10805" t="str">
        <f>HYPERLINK("https://github.com/DiegoPassa/Bookito/issues/26", "show")</f>
        <v>show</v>
      </c>
      <c r="G10805" t="str">
        <f>HYPERLINK("https://github.com/DiegoPassa/Bookito", "show")</f>
        <v>show</v>
      </c>
      <c r="H10805" t="str">
        <f>HYPERLINK("https://github.com/DiegoPassa/Bookito/releases", "show")</f>
        <v>show</v>
      </c>
      <c r="I10805">
        <v>0</v>
      </c>
      <c r="J10805">
        <v>0</v>
      </c>
      <c r="K10805">
        <v>0</v>
      </c>
      <c r="L10805">
        <v>0</v>
      </c>
      <c r="M10805" t="s">
        <v>43</v>
      </c>
    </row>
    <row r="10806" spans="1:13" hidden="1" x14ac:dyDescent="0.15">
      <c r="A10806" t="s">
        <v>34118</v>
      </c>
      <c r="B10806" t="s">
        <v>34119</v>
      </c>
      <c r="C10806" t="s">
        <v>34120</v>
      </c>
      <c r="D10806" t="s">
        <v>34108</v>
      </c>
      <c r="E10806">
        <v>20</v>
      </c>
      <c r="F10806" t="str">
        <f>HYPERLINK("https://github.com/Anuken/Mindustry/issues/8069", "show")</f>
        <v>show</v>
      </c>
      <c r="G10806" t="str">
        <f>HYPERLINK("https://github.com/Anuken/Mindustry", "show")</f>
        <v>show</v>
      </c>
      <c r="H10806" t="str">
        <f>HYPERLINK("https://github.com/Anuken/Mindustry/releases", "show")</f>
        <v>show</v>
      </c>
      <c r="I10806">
        <v>0</v>
      </c>
      <c r="J10806">
        <v>0</v>
      </c>
      <c r="K10806">
        <v>0</v>
      </c>
      <c r="L10806">
        <v>0</v>
      </c>
      <c r="M10806" t="s">
        <v>43</v>
      </c>
    </row>
    <row r="10807" spans="1:13" hidden="1" x14ac:dyDescent="0.15">
      <c r="A10807" t="s">
        <v>34121</v>
      </c>
      <c r="B10807" t="s">
        <v>34122</v>
      </c>
      <c r="C10807" t="s">
        <v>34123</v>
      </c>
      <c r="D10807" t="s">
        <v>34124</v>
      </c>
      <c r="E10807">
        <v>45</v>
      </c>
      <c r="F10807" t="str">
        <f>HYPERLINK("https://github.com/tinode/tindroid/issues/139", "show")</f>
        <v>show</v>
      </c>
      <c r="G10807" t="str">
        <f>HYPERLINK("https://github.com/tinode/tindroid", "show")</f>
        <v>show</v>
      </c>
      <c r="H10807" t="str">
        <f>HYPERLINK("https://github.com/tinode/tindroid/releases", "show")</f>
        <v>show</v>
      </c>
      <c r="I10807">
        <v>1</v>
      </c>
      <c r="J10807">
        <v>1</v>
      </c>
      <c r="K10807">
        <v>0</v>
      </c>
      <c r="L10807">
        <v>0</v>
      </c>
      <c r="M10807" t="s">
        <v>48</v>
      </c>
    </row>
    <row r="10808" spans="1:13" hidden="1" x14ac:dyDescent="0.15">
      <c r="A10808" t="s">
        <v>34125</v>
      </c>
      <c r="B10808" t="s">
        <v>34126</v>
      </c>
      <c r="C10808" t="s">
        <v>34127</v>
      </c>
      <c r="D10808" t="s">
        <v>34124</v>
      </c>
      <c r="E10808">
        <v>5</v>
      </c>
      <c r="F10808" t="str">
        <f>HYPERLINK("https://github.com/skewyapp/skewyapp/issues/12", "show")</f>
        <v>show</v>
      </c>
      <c r="G10808" t="str">
        <f>HYPERLINK("https://github.com/skewyapp/skewyapp", "show")</f>
        <v>show</v>
      </c>
      <c r="H10808" t="str">
        <f>HYPERLINK("https://github.com/skewyapp/skewyapp/releases", "show")</f>
        <v>show</v>
      </c>
      <c r="I10808">
        <v>1</v>
      </c>
      <c r="J10808">
        <v>1</v>
      </c>
      <c r="K10808">
        <v>0</v>
      </c>
      <c r="L10808">
        <v>0</v>
      </c>
      <c r="M10808" t="s">
        <v>48</v>
      </c>
    </row>
    <row r="10809" spans="1:13" hidden="1" x14ac:dyDescent="0.15">
      <c r="A10809" t="s">
        <v>34128</v>
      </c>
      <c r="B10809" t="s">
        <v>34129</v>
      </c>
      <c r="C10809" t="s">
        <v>34130</v>
      </c>
      <c r="D10809" t="s">
        <v>34124</v>
      </c>
      <c r="E10809">
        <v>26</v>
      </c>
      <c r="F10809" t="str">
        <f>HYPERLINK("https://github.com/TeamNewPipe/NewPipe/issues/9556", "show")</f>
        <v>show</v>
      </c>
      <c r="G10809" t="str">
        <f>HYPERLINK("https://github.com/TeamNewPipe/NewPipe", "show")</f>
        <v>show</v>
      </c>
      <c r="H10809" t="str">
        <f>HYPERLINK("https://github.com/TeamNewPipe/NewPipe/releases", "show")</f>
        <v>show</v>
      </c>
      <c r="I10809">
        <v>1</v>
      </c>
      <c r="J10809">
        <v>1</v>
      </c>
      <c r="K10809">
        <v>1</v>
      </c>
      <c r="L10809">
        <v>0</v>
      </c>
      <c r="M10809" t="s">
        <v>59</v>
      </c>
    </row>
    <row r="10810" spans="1:13" hidden="1" x14ac:dyDescent="0.15">
      <c r="A10810" t="s">
        <v>34131</v>
      </c>
      <c r="B10810" t="s">
        <v>34132</v>
      </c>
      <c r="C10810" t="s">
        <v>34133</v>
      </c>
      <c r="D10810" t="s">
        <v>34124</v>
      </c>
      <c r="E10810">
        <v>0</v>
      </c>
      <c r="F10810" t="str">
        <f>HYPERLINK("https://github.com/team4099/HawkEye/issues/6", "show")</f>
        <v>show</v>
      </c>
      <c r="G10810" t="str">
        <f>HYPERLINK("https://github.com/team4099/HawkEye", "show")</f>
        <v>show</v>
      </c>
      <c r="H10810" t="str">
        <f>HYPERLINK("https://github.com/team4099/HawkEye/releases", "show")</f>
        <v>show</v>
      </c>
      <c r="I10810">
        <v>0</v>
      </c>
      <c r="J10810">
        <v>0</v>
      </c>
      <c r="K10810">
        <v>0</v>
      </c>
      <c r="L10810">
        <v>0</v>
      </c>
      <c r="M10810" t="s">
        <v>43</v>
      </c>
    </row>
    <row r="10811" spans="1:13" hidden="1" x14ac:dyDescent="0.15">
      <c r="A10811" t="s">
        <v>34134</v>
      </c>
      <c r="B10811" t="s">
        <v>34135</v>
      </c>
      <c r="C10811" t="s">
        <v>34136</v>
      </c>
      <c r="D10811" t="s">
        <v>34137</v>
      </c>
      <c r="E10811">
        <v>2</v>
      </c>
      <c r="F10811" t="str">
        <f>HYPERLINK("https://github.com/PojavLauncherTeam/PojavLauncher/issues/3783", "show")</f>
        <v>show</v>
      </c>
      <c r="G10811" t="str">
        <f>HYPERLINK("https://github.com/PojavLauncherTeam/PojavLauncher", "show")</f>
        <v>show</v>
      </c>
      <c r="H10811" t="str">
        <f>HYPERLINK("https://github.com/PojavLauncherTeam/PojavLauncher/releases", "show")</f>
        <v>show</v>
      </c>
      <c r="I10811">
        <v>1</v>
      </c>
      <c r="J10811">
        <v>1</v>
      </c>
      <c r="K10811">
        <v>0</v>
      </c>
      <c r="L10811">
        <v>1</v>
      </c>
      <c r="M10811" t="s">
        <v>1894</v>
      </c>
    </row>
    <row r="10812" spans="1:13" hidden="1" x14ac:dyDescent="0.15">
      <c r="A10812" t="s">
        <v>34138</v>
      </c>
      <c r="B10812" t="s">
        <v>34139</v>
      </c>
      <c r="C10812" t="s">
        <v>34140</v>
      </c>
      <c r="D10812" t="s">
        <v>34137</v>
      </c>
      <c r="E10812">
        <v>1</v>
      </c>
      <c r="F10812" t="str">
        <f>HYPERLINK("https://github.com/PojavLauncherTeam/PojavLauncher/issues/3781", "show")</f>
        <v>show</v>
      </c>
      <c r="G10812" t="str">
        <f>HYPERLINK("https://github.com/PojavLauncherTeam/PojavLauncher", "show")</f>
        <v>show</v>
      </c>
      <c r="H10812" t="str">
        <f>HYPERLINK("https://github.com/PojavLauncherTeam/PojavLauncher/releases", "show")</f>
        <v>show</v>
      </c>
      <c r="I10812">
        <v>1</v>
      </c>
      <c r="J10812">
        <v>0</v>
      </c>
      <c r="K10812">
        <v>0</v>
      </c>
      <c r="L10812">
        <v>0</v>
      </c>
      <c r="M10812" t="s">
        <v>17</v>
      </c>
    </row>
    <row r="10813" spans="1:13" hidden="1" x14ac:dyDescent="0.15">
      <c r="A10813" t="s">
        <v>34141</v>
      </c>
      <c r="B10813" t="s">
        <v>34142</v>
      </c>
      <c r="C10813" t="s">
        <v>34143</v>
      </c>
      <c r="D10813" t="s">
        <v>34137</v>
      </c>
      <c r="E10813">
        <v>6</v>
      </c>
      <c r="F10813" t="str">
        <f>HYPERLINK("https://github.com/PojavLauncherTeam/PojavLauncher/issues/3780", "show")</f>
        <v>show</v>
      </c>
      <c r="G10813" t="str">
        <f>HYPERLINK("https://github.com/PojavLauncherTeam/PojavLauncher", "show")</f>
        <v>show</v>
      </c>
      <c r="H10813" t="str">
        <f>HYPERLINK("https://github.com/PojavLauncherTeam/PojavLauncher/releases", "show")</f>
        <v>show</v>
      </c>
      <c r="I10813">
        <v>1</v>
      </c>
      <c r="J10813">
        <v>0</v>
      </c>
      <c r="K10813">
        <v>0</v>
      </c>
      <c r="L10813">
        <v>0</v>
      </c>
      <c r="M10813" t="s">
        <v>17</v>
      </c>
    </row>
    <row r="10814" spans="1:13" hidden="1" x14ac:dyDescent="0.15">
      <c r="A10814" t="s">
        <v>34144</v>
      </c>
      <c r="B10814" t="s">
        <v>34145</v>
      </c>
      <c r="C10814" t="s">
        <v>34146</v>
      </c>
      <c r="D10814" t="s">
        <v>34137</v>
      </c>
      <c r="E10814">
        <v>22</v>
      </c>
      <c r="F10814" t="str">
        <f>HYPERLINK("https://github.com/Anuken/Mindustry/issues/8062", "show")</f>
        <v>show</v>
      </c>
      <c r="G10814" t="str">
        <f>HYPERLINK("https://github.com/Anuken/Mindustry", "show")</f>
        <v>show</v>
      </c>
      <c r="H10814" t="str">
        <f>HYPERLINK("https://github.com/Anuken/Mindustry/releases", "show")</f>
        <v>show</v>
      </c>
      <c r="I10814">
        <v>1</v>
      </c>
      <c r="J10814">
        <v>1</v>
      </c>
      <c r="K10814">
        <v>0</v>
      </c>
      <c r="L10814">
        <v>0</v>
      </c>
      <c r="M10814" t="s">
        <v>48</v>
      </c>
    </row>
    <row r="10815" spans="1:13" hidden="1" x14ac:dyDescent="0.15">
      <c r="A10815" t="s">
        <v>34147</v>
      </c>
      <c r="B10815" t="s">
        <v>34148</v>
      </c>
      <c r="C10815" t="s">
        <v>34149</v>
      </c>
      <c r="D10815" t="s">
        <v>34137</v>
      </c>
      <c r="E10815">
        <v>0</v>
      </c>
      <c r="F10815" t="str">
        <f>HYPERLINK("https://github.com/Anuken/Mindustry/issues/8061", "show")</f>
        <v>show</v>
      </c>
      <c r="G10815" t="str">
        <f>HYPERLINK("https://github.com/Anuken/Mindustry", "show")</f>
        <v>show</v>
      </c>
      <c r="H10815" t="str">
        <f>HYPERLINK("https://github.com/Anuken/Mindustry/releases", "show")</f>
        <v>show</v>
      </c>
      <c r="I10815">
        <v>1</v>
      </c>
      <c r="J10815">
        <v>1</v>
      </c>
      <c r="K10815">
        <v>0</v>
      </c>
      <c r="L10815">
        <v>1</v>
      </c>
      <c r="M10815" t="s">
        <v>1894</v>
      </c>
    </row>
    <row r="10816" spans="1:13" hidden="1" x14ac:dyDescent="0.15">
      <c r="A10816" t="s">
        <v>34150</v>
      </c>
      <c r="B10816" t="s">
        <v>34151</v>
      </c>
      <c r="C10816" t="s">
        <v>34152</v>
      </c>
      <c r="D10816" t="s">
        <v>34153</v>
      </c>
      <c r="E10816">
        <v>1</v>
      </c>
      <c r="F10816" t="str">
        <f>HYPERLINK("https://github.com/AppLovin/AppLovin-MAX-React-Native/issues/139", "show")</f>
        <v>show</v>
      </c>
      <c r="G10816" t="str">
        <f>HYPERLINK("https://github.com/AppLovin/AppLovin-MAX-React-Native", "show")</f>
        <v>show</v>
      </c>
      <c r="H10816" t="str">
        <f>HYPERLINK("https://github.com/AppLovin/AppLovin-MAX-React-Native/releases", "show")</f>
        <v>show</v>
      </c>
      <c r="I10816">
        <v>0</v>
      </c>
      <c r="J10816">
        <v>0</v>
      </c>
      <c r="K10816">
        <v>1</v>
      </c>
      <c r="L10816">
        <v>0</v>
      </c>
      <c r="M10816" t="s">
        <v>122</v>
      </c>
    </row>
    <row r="10817" spans="1:13" hidden="1" x14ac:dyDescent="0.15">
      <c r="A10817" t="s">
        <v>34154</v>
      </c>
      <c r="B10817" t="s">
        <v>34155</v>
      </c>
      <c r="C10817" t="s">
        <v>34156</v>
      </c>
      <c r="D10817" t="s">
        <v>34153</v>
      </c>
      <c r="E10817">
        <v>1</v>
      </c>
      <c r="F10817" t="str">
        <f>HYPERLINK("https://github.com/CleverTap/clevertap-android-sdk/issues/375", "show")</f>
        <v>show</v>
      </c>
      <c r="G10817" t="str">
        <f>HYPERLINK("https://github.com/CleverTap/clevertap-android-sdk", "show")</f>
        <v>show</v>
      </c>
      <c r="H10817" t="str">
        <f>HYPERLINK("https://github.com/CleverTap/clevertap-android-sdk/releases", "show")</f>
        <v>show</v>
      </c>
      <c r="I10817">
        <v>0</v>
      </c>
      <c r="J10817">
        <v>0</v>
      </c>
      <c r="K10817">
        <v>0</v>
      </c>
      <c r="L10817">
        <v>0</v>
      </c>
      <c r="M10817" t="s">
        <v>43</v>
      </c>
    </row>
    <row r="10818" spans="1:13" hidden="1" x14ac:dyDescent="0.15">
      <c r="A10818" t="s">
        <v>34157</v>
      </c>
      <c r="B10818" t="s">
        <v>34158</v>
      </c>
      <c r="C10818" t="s">
        <v>34159</v>
      </c>
      <c r="D10818" t="s">
        <v>34153</v>
      </c>
      <c r="E10818">
        <v>1</v>
      </c>
      <c r="F10818" t="str">
        <f>HYPERLINK("https://github.com/Fox2Code/FoxMagiskModuleManager/issues/244", "show")</f>
        <v>show</v>
      </c>
      <c r="G10818" t="str">
        <f>HYPERLINK("https://github.com/Fox2Code/FoxMagiskModuleManager", "show")</f>
        <v>show</v>
      </c>
      <c r="H10818" t="str">
        <f>HYPERLINK("https://github.com/Fox2Code/FoxMagiskModuleManager/releases", "show")</f>
        <v>show</v>
      </c>
      <c r="I10818">
        <v>0</v>
      </c>
      <c r="J10818">
        <v>0</v>
      </c>
      <c r="K10818">
        <v>0</v>
      </c>
      <c r="L10818">
        <v>0</v>
      </c>
      <c r="M10818" t="s">
        <v>43</v>
      </c>
    </row>
    <row r="10819" spans="1:13" hidden="1" x14ac:dyDescent="0.15">
      <c r="A10819" t="s">
        <v>34160</v>
      </c>
      <c r="B10819" t="s">
        <v>34161</v>
      </c>
      <c r="C10819" t="s">
        <v>34162</v>
      </c>
      <c r="D10819" t="s">
        <v>34153</v>
      </c>
      <c r="E10819">
        <v>0</v>
      </c>
      <c r="F10819" t="str">
        <f>HYPERLINK("https://github.com/Aliucord/Aliucord/issues/289", "show")</f>
        <v>show</v>
      </c>
      <c r="G10819" t="str">
        <f>HYPERLINK("https://github.com/Aliucord/Aliucord", "show")</f>
        <v>show</v>
      </c>
      <c r="H10819" t="str">
        <f>HYPERLINK("https://github.com/Aliucord/Aliucord/releases", "show")</f>
        <v>show</v>
      </c>
      <c r="I10819">
        <v>1</v>
      </c>
      <c r="J10819">
        <v>1</v>
      </c>
      <c r="K10819">
        <v>0</v>
      </c>
      <c r="L10819">
        <v>0</v>
      </c>
      <c r="M10819" t="s">
        <v>48</v>
      </c>
    </row>
    <row r="10820" spans="1:13" hidden="1" x14ac:dyDescent="0.15">
      <c r="A10820" t="s">
        <v>34163</v>
      </c>
      <c r="B10820" t="s">
        <v>34164</v>
      </c>
      <c r="C10820" t="s">
        <v>34165</v>
      </c>
      <c r="D10820" t="s">
        <v>34153</v>
      </c>
      <c r="E10820">
        <v>2</v>
      </c>
      <c r="F10820" t="str">
        <f>HYPERLINK("https://github.com/jellyfin/jellyfin-androidtv/issues/2349", "show")</f>
        <v>show</v>
      </c>
      <c r="G10820" t="str">
        <f>HYPERLINK("https://github.com/jellyfin/jellyfin-androidtv", "show")</f>
        <v>show</v>
      </c>
      <c r="H10820" t="str">
        <f>HYPERLINK("https://github.com/jellyfin/jellyfin-androidtv/releases", "show")</f>
        <v>show</v>
      </c>
      <c r="I10820">
        <v>1</v>
      </c>
      <c r="J10820">
        <v>0</v>
      </c>
      <c r="K10820">
        <v>1</v>
      </c>
      <c r="L10820">
        <v>0</v>
      </c>
      <c r="M10820" t="s">
        <v>64</v>
      </c>
    </row>
    <row r="10821" spans="1:13" hidden="1" x14ac:dyDescent="0.15">
      <c r="A10821" t="s">
        <v>34166</v>
      </c>
      <c r="B10821" t="s">
        <v>34167</v>
      </c>
      <c r="C10821" t="s">
        <v>34168</v>
      </c>
      <c r="D10821" t="s">
        <v>34169</v>
      </c>
      <c r="E10821">
        <v>5</v>
      </c>
      <c r="F10821" t="str">
        <f>HYPERLINK("https://github.com/nextcloud/android/issues/11168", "show")</f>
        <v>show</v>
      </c>
      <c r="G10821" t="str">
        <f>HYPERLINK("https://github.com/nextcloud/android", "show")</f>
        <v>show</v>
      </c>
      <c r="H10821" t="str">
        <f>HYPERLINK("https://github.com/nextcloud/android/releases", "show")</f>
        <v>show</v>
      </c>
      <c r="I10821">
        <v>1</v>
      </c>
      <c r="J10821">
        <v>1</v>
      </c>
      <c r="K10821">
        <v>0</v>
      </c>
      <c r="L10821">
        <v>0</v>
      </c>
      <c r="M10821" t="s">
        <v>48</v>
      </c>
    </row>
    <row r="10822" spans="1:13" hidden="1" x14ac:dyDescent="0.15">
      <c r="A10822" t="s">
        <v>34170</v>
      </c>
      <c r="B10822" t="s">
        <v>34171</v>
      </c>
      <c r="C10822" t="s">
        <v>34172</v>
      </c>
      <c r="D10822" t="s">
        <v>34169</v>
      </c>
      <c r="E10822">
        <v>5</v>
      </c>
      <c r="F10822" t="str">
        <f>HYPERLINK("https://github.com/maityamit/Sleepometer-Android-App/issues/44", "show")</f>
        <v>show</v>
      </c>
      <c r="G10822" t="str">
        <f>HYPERLINK("https://github.com/maityamit/Sleepometer-Android-App", "show")</f>
        <v>show</v>
      </c>
      <c r="H10822" t="str">
        <f>HYPERLINK("https://github.com/maityamit/Sleepometer-Android-App/releases", "show")</f>
        <v>show</v>
      </c>
      <c r="I10822">
        <v>0</v>
      </c>
      <c r="J10822">
        <v>0</v>
      </c>
      <c r="K10822">
        <v>0</v>
      </c>
      <c r="L10822">
        <v>1</v>
      </c>
      <c r="M10822" t="s">
        <v>581</v>
      </c>
    </row>
    <row r="10823" spans="1:13" hidden="1" x14ac:dyDescent="0.15">
      <c r="A10823" t="s">
        <v>34173</v>
      </c>
      <c r="B10823" t="s">
        <v>34174</v>
      </c>
      <c r="C10823" t="s">
        <v>34175</v>
      </c>
      <c r="D10823" t="s">
        <v>34169</v>
      </c>
      <c r="E10823">
        <v>1</v>
      </c>
      <c r="F10823" t="str">
        <f>HYPERLINK("https://github.com/facebook/react-native/issues/35640", "show")</f>
        <v>show</v>
      </c>
      <c r="G10823" t="str">
        <f>HYPERLINK("https://github.com/facebook/react-native", "show")</f>
        <v>show</v>
      </c>
      <c r="H10823" t="str">
        <f>HYPERLINK("https://github.com/facebook/react-native/releases", "show")</f>
        <v>show</v>
      </c>
      <c r="I10823">
        <v>0</v>
      </c>
      <c r="J10823">
        <v>0</v>
      </c>
      <c r="K10823">
        <v>0</v>
      </c>
      <c r="L10823">
        <v>0</v>
      </c>
      <c r="M10823" t="s">
        <v>43</v>
      </c>
    </row>
    <row r="10824" spans="1:13" hidden="1" x14ac:dyDescent="0.15">
      <c r="A10824" t="s">
        <v>34176</v>
      </c>
      <c r="B10824" t="s">
        <v>34177</v>
      </c>
      <c r="C10824" t="s">
        <v>34178</v>
      </c>
      <c r="D10824" t="s">
        <v>34169</v>
      </c>
      <c r="E10824">
        <v>1</v>
      </c>
      <c r="F10824" t="str">
        <f>HYPERLINK("https://github.com/LawnchairLauncher/lawnchair/issues/3171", "show")</f>
        <v>show</v>
      </c>
      <c r="G10824" t="str">
        <f>HYPERLINK("https://github.com/LawnchairLauncher/lawnchair", "show")</f>
        <v>show</v>
      </c>
      <c r="H10824" t="str">
        <f>HYPERLINK("https://github.com/LawnchairLauncher/lawnchair/releases", "show")</f>
        <v>show</v>
      </c>
      <c r="I10824">
        <v>1</v>
      </c>
      <c r="J10824">
        <v>1</v>
      </c>
      <c r="K10824">
        <v>1</v>
      </c>
      <c r="L10824">
        <v>1</v>
      </c>
      <c r="M10824" t="s">
        <v>2875</v>
      </c>
    </row>
    <row r="10825" spans="1:13" hidden="1" x14ac:dyDescent="0.15">
      <c r="A10825" t="s">
        <v>34179</v>
      </c>
      <c r="B10825" t="s">
        <v>34180</v>
      </c>
      <c r="C10825" t="s">
        <v>34181</v>
      </c>
      <c r="D10825" t="s">
        <v>34169</v>
      </c>
      <c r="E10825">
        <v>7</v>
      </c>
      <c r="F10825" t="str">
        <f>HYPERLINK("https://github.com/AndroidIDEOfficial/AndroidIDE/issues/666", "show")</f>
        <v>show</v>
      </c>
      <c r="G10825" t="str">
        <f>HYPERLINK("https://github.com/AndroidIDEOfficial/AndroidIDE", "show")</f>
        <v>show</v>
      </c>
      <c r="H10825" t="str">
        <f>HYPERLINK("https://github.com/AndroidIDEOfficial/AndroidIDE/releases", "show")</f>
        <v>show</v>
      </c>
      <c r="I10825">
        <v>0</v>
      </c>
      <c r="J10825">
        <v>0</v>
      </c>
      <c r="K10825">
        <v>1</v>
      </c>
      <c r="L10825">
        <v>0</v>
      </c>
      <c r="M10825" t="s">
        <v>122</v>
      </c>
    </row>
    <row r="10826" spans="1:13" hidden="1" x14ac:dyDescent="0.15">
      <c r="A10826" t="s">
        <v>34182</v>
      </c>
      <c r="B10826" t="s">
        <v>34183</v>
      </c>
      <c r="C10826" t="s">
        <v>34184</v>
      </c>
      <c r="D10826" t="s">
        <v>34185</v>
      </c>
      <c r="E10826">
        <v>4</v>
      </c>
      <c r="F10826" t="str">
        <f>HYPERLINK("https://github.com/jellyfin/jellyfin-androidtv/issues/2343", "show")</f>
        <v>show</v>
      </c>
      <c r="G10826" t="str">
        <f>HYPERLINK("https://github.com/jellyfin/jellyfin-androidtv", "show")</f>
        <v>show</v>
      </c>
      <c r="H10826" t="str">
        <f>HYPERLINK("https://github.com/jellyfin/jellyfin-androidtv/releases", "show")</f>
        <v>show</v>
      </c>
      <c r="I10826">
        <v>1</v>
      </c>
      <c r="J10826">
        <v>0</v>
      </c>
      <c r="K10826">
        <v>1</v>
      </c>
      <c r="L10826">
        <v>0</v>
      </c>
      <c r="M10826" t="s">
        <v>64</v>
      </c>
    </row>
    <row r="10827" spans="1:13" hidden="1" x14ac:dyDescent="0.15">
      <c r="A10827" t="s">
        <v>34186</v>
      </c>
      <c r="B10827" t="s">
        <v>34187</v>
      </c>
      <c r="C10827" t="s">
        <v>34188</v>
      </c>
      <c r="D10827" t="s">
        <v>34185</v>
      </c>
      <c r="E10827">
        <v>1</v>
      </c>
      <c r="F10827" t="str">
        <f>HYPERLINK("https://github.com/facebook/react-native/issues/35628", "show")</f>
        <v>show</v>
      </c>
      <c r="G10827" t="str">
        <f>HYPERLINK("https://github.com/facebook/react-native", "show")</f>
        <v>show</v>
      </c>
      <c r="H10827" t="str">
        <f>HYPERLINK("https://github.com/facebook/react-native/releases", "show")</f>
        <v>show</v>
      </c>
      <c r="I10827">
        <v>0</v>
      </c>
      <c r="J10827">
        <v>0</v>
      </c>
      <c r="K10827">
        <v>0</v>
      </c>
      <c r="L10827">
        <v>0</v>
      </c>
      <c r="M10827" t="s">
        <v>43</v>
      </c>
    </row>
    <row r="10828" spans="1:13" hidden="1" x14ac:dyDescent="0.15">
      <c r="A10828" t="s">
        <v>34189</v>
      </c>
      <c r="B10828" t="s">
        <v>34190</v>
      </c>
      <c r="C10828" t="s">
        <v>34191</v>
      </c>
      <c r="D10828" t="s">
        <v>34185</v>
      </c>
      <c r="E10828">
        <v>3</v>
      </c>
      <c r="F10828" t="str">
        <f>HYPERLINK("https://github.com/DiegoPassa/Bookito/issues/25", "show")</f>
        <v>show</v>
      </c>
      <c r="G10828" t="str">
        <f>HYPERLINK("https://github.com/DiegoPassa/Bookito", "show")</f>
        <v>show</v>
      </c>
      <c r="H10828" t="str">
        <f>HYPERLINK("https://github.com/DiegoPassa/Bookito/releases", "show")</f>
        <v>show</v>
      </c>
      <c r="I10828">
        <v>1</v>
      </c>
      <c r="J10828">
        <v>0</v>
      </c>
      <c r="K10828">
        <v>0</v>
      </c>
      <c r="L10828">
        <v>1</v>
      </c>
      <c r="M10828" t="s">
        <v>29</v>
      </c>
    </row>
    <row r="10829" spans="1:13" hidden="1" x14ac:dyDescent="0.15">
      <c r="A10829" t="s">
        <v>34192</v>
      </c>
      <c r="B10829" t="s">
        <v>34193</v>
      </c>
      <c r="C10829" t="s">
        <v>34194</v>
      </c>
      <c r="D10829" t="s">
        <v>34185</v>
      </c>
      <c r="E10829">
        <v>143</v>
      </c>
      <c r="F10829" t="str">
        <f>HYPERLINK("https://github.com/jellyfin/jellyfin-androidtv/issues/2341", "show")</f>
        <v>show</v>
      </c>
      <c r="G10829" t="str">
        <f>HYPERLINK("https://github.com/jellyfin/jellyfin-androidtv", "show")</f>
        <v>show</v>
      </c>
      <c r="H10829" t="str">
        <f>HYPERLINK("https://github.com/jellyfin/jellyfin-androidtv/releases", "show")</f>
        <v>show</v>
      </c>
      <c r="I10829">
        <v>1</v>
      </c>
      <c r="J10829">
        <v>1</v>
      </c>
      <c r="K10829">
        <v>0</v>
      </c>
      <c r="L10829">
        <v>0</v>
      </c>
      <c r="M10829" t="s">
        <v>48</v>
      </c>
    </row>
    <row r="10830" spans="1:13" hidden="1" x14ac:dyDescent="0.15">
      <c r="A10830" t="s">
        <v>34195</v>
      </c>
      <c r="B10830" t="s">
        <v>34196</v>
      </c>
      <c r="C10830" t="s">
        <v>34197</v>
      </c>
      <c r="D10830" t="s">
        <v>34185</v>
      </c>
      <c r="E10830">
        <v>143</v>
      </c>
      <c r="F10830" t="str">
        <f>HYPERLINK("https://github.com/jellyfin/jellyfin-androidtv/issues/2340", "show")</f>
        <v>show</v>
      </c>
      <c r="G10830" t="str">
        <f>HYPERLINK("https://github.com/jellyfin/jellyfin-androidtv", "show")</f>
        <v>show</v>
      </c>
      <c r="H10830" t="str">
        <f>HYPERLINK("https://github.com/jellyfin/jellyfin-androidtv/releases", "show")</f>
        <v>show</v>
      </c>
      <c r="I10830">
        <v>1</v>
      </c>
      <c r="J10830">
        <v>0</v>
      </c>
      <c r="K10830">
        <v>1</v>
      </c>
      <c r="L10830">
        <v>0</v>
      </c>
      <c r="M10830" t="s">
        <v>64</v>
      </c>
    </row>
    <row r="10831" spans="1:13" hidden="1" x14ac:dyDescent="0.15">
      <c r="A10831" t="s">
        <v>34198</v>
      </c>
      <c r="B10831" t="s">
        <v>34199</v>
      </c>
      <c r="C10831" t="s">
        <v>34200</v>
      </c>
      <c r="D10831" t="s">
        <v>34201</v>
      </c>
      <c r="E10831">
        <v>0</v>
      </c>
      <c r="F10831" t="str">
        <f>HYPERLINK("https://github.com/tinode/tindroid/issues/137", "show")</f>
        <v>show</v>
      </c>
      <c r="G10831" t="str">
        <f>HYPERLINK("https://github.com/tinode/tindroid", "show")</f>
        <v>show</v>
      </c>
      <c r="H10831" t="str">
        <f>HYPERLINK("https://github.com/tinode/tindroid/releases", "show")</f>
        <v>show</v>
      </c>
      <c r="I10831">
        <v>1</v>
      </c>
      <c r="J10831">
        <v>0</v>
      </c>
      <c r="K10831">
        <v>1</v>
      </c>
      <c r="L10831">
        <v>0</v>
      </c>
      <c r="M10831" t="s">
        <v>64</v>
      </c>
    </row>
    <row r="10832" spans="1:13" hidden="1" x14ac:dyDescent="0.15">
      <c r="A10832" t="s">
        <v>34202</v>
      </c>
      <c r="B10832" t="s">
        <v>34203</v>
      </c>
      <c r="C10832" t="s">
        <v>34204</v>
      </c>
      <c r="D10832" t="s">
        <v>34201</v>
      </c>
      <c r="E10832">
        <v>4</v>
      </c>
      <c r="F10832" t="str">
        <f>HYPERLINK("https://github.com/LawnchairLauncher/lawnchair/issues/3167", "show")</f>
        <v>show</v>
      </c>
      <c r="G10832" t="str">
        <f>HYPERLINK("https://github.com/LawnchairLauncher/lawnchair", "show")</f>
        <v>show</v>
      </c>
      <c r="H10832" t="str">
        <f>HYPERLINK("https://github.com/LawnchairLauncher/lawnchair/releases", "show")</f>
        <v>show</v>
      </c>
      <c r="I10832">
        <v>1</v>
      </c>
      <c r="J10832">
        <v>1</v>
      </c>
      <c r="K10832">
        <v>1</v>
      </c>
      <c r="L10832">
        <v>0</v>
      </c>
      <c r="M10832" t="s">
        <v>59</v>
      </c>
    </row>
    <row r="10833" spans="1:13" hidden="1" x14ac:dyDescent="0.15">
      <c r="A10833" t="s">
        <v>34205</v>
      </c>
      <c r="B10833" t="s">
        <v>34206</v>
      </c>
      <c r="C10833" t="s">
        <v>34207</v>
      </c>
      <c r="D10833" t="s">
        <v>34208</v>
      </c>
      <c r="E10833">
        <v>145</v>
      </c>
      <c r="F10833" t="str">
        <f>HYPERLINK("https://github.com/jellyfin/jellyfin-androidtv/issues/2338", "show")</f>
        <v>show</v>
      </c>
      <c r="G10833" t="str">
        <f>HYPERLINK("https://github.com/jellyfin/jellyfin-androidtv", "show")</f>
        <v>show</v>
      </c>
      <c r="H10833" t="str">
        <f>HYPERLINK("https://github.com/jellyfin/jellyfin-androidtv/releases", "show")</f>
        <v>show</v>
      </c>
      <c r="I10833">
        <v>1</v>
      </c>
      <c r="J10833">
        <v>0</v>
      </c>
      <c r="K10833">
        <v>1</v>
      </c>
      <c r="L10833">
        <v>0</v>
      </c>
      <c r="M10833" t="s">
        <v>64</v>
      </c>
    </row>
    <row r="10834" spans="1:13" hidden="1" x14ac:dyDescent="0.15">
      <c r="A10834" t="s">
        <v>34209</v>
      </c>
      <c r="B10834" t="s">
        <v>34210</v>
      </c>
      <c r="C10834" t="s">
        <v>34211</v>
      </c>
      <c r="D10834" t="s">
        <v>34212</v>
      </c>
      <c r="E10834">
        <v>0</v>
      </c>
      <c r="F10834" t="str">
        <f>HYPERLINK("https://github.com/Fox2Code/FoxMagiskModuleManager/issues/237", "show")</f>
        <v>show</v>
      </c>
      <c r="G10834" t="str">
        <f>HYPERLINK("https://github.com/Fox2Code/FoxMagiskModuleManager", "show")</f>
        <v>show</v>
      </c>
      <c r="H10834" t="str">
        <f>HYPERLINK("https://github.com/Fox2Code/FoxMagiskModuleManager/releases", "show")</f>
        <v>show</v>
      </c>
      <c r="I10834">
        <v>1</v>
      </c>
      <c r="J10834">
        <v>1</v>
      </c>
      <c r="K10834">
        <v>0</v>
      </c>
      <c r="L10834">
        <v>0</v>
      </c>
      <c r="M10834" t="s">
        <v>48</v>
      </c>
    </row>
    <row r="10835" spans="1:13" hidden="1" x14ac:dyDescent="0.15">
      <c r="A10835" t="s">
        <v>34213</v>
      </c>
      <c r="B10835" t="s">
        <v>34214</v>
      </c>
      <c r="C10835" t="s">
        <v>34215</v>
      </c>
      <c r="D10835" t="s">
        <v>34212</v>
      </c>
      <c r="E10835">
        <v>0</v>
      </c>
      <c r="F10835" t="str">
        <f>HYPERLINK("https://github.com/jellyfin/jellyfin-androidtv/issues/2336", "show")</f>
        <v>show</v>
      </c>
      <c r="G10835" t="str">
        <f>HYPERLINK("https://github.com/jellyfin/jellyfin-androidtv", "show")</f>
        <v>show</v>
      </c>
      <c r="H10835" t="str">
        <f>HYPERLINK("https://github.com/jellyfin/jellyfin-androidtv/releases", "show")</f>
        <v>show</v>
      </c>
      <c r="I10835">
        <v>1</v>
      </c>
      <c r="J10835">
        <v>0</v>
      </c>
      <c r="K10835">
        <v>0</v>
      </c>
      <c r="L10835">
        <v>0</v>
      </c>
      <c r="M10835" t="s">
        <v>17</v>
      </c>
    </row>
    <row r="10836" spans="1:13" hidden="1" x14ac:dyDescent="0.15">
      <c r="A10836" t="s">
        <v>34216</v>
      </c>
      <c r="B10836" t="s">
        <v>34217</v>
      </c>
      <c r="C10836" t="s">
        <v>34218</v>
      </c>
      <c r="D10836" t="s">
        <v>34212</v>
      </c>
      <c r="E10836">
        <v>0</v>
      </c>
      <c r="F10836" t="str">
        <f>HYPERLINK("https://github.com/itsvks19/LayoutEditor/issues/15", "show")</f>
        <v>show</v>
      </c>
      <c r="G10836" t="str">
        <f>HYPERLINK("https://github.com/itsvks19/LayoutEditor", "show")</f>
        <v>show</v>
      </c>
      <c r="H10836" t="str">
        <f>HYPERLINK("https://github.com/itsvks19/LayoutEditor/releases", "show")</f>
        <v>show</v>
      </c>
      <c r="I10836">
        <v>1</v>
      </c>
      <c r="J10836">
        <v>0</v>
      </c>
      <c r="K10836">
        <v>1</v>
      </c>
      <c r="L10836">
        <v>0</v>
      </c>
      <c r="M10836" t="s">
        <v>64</v>
      </c>
    </row>
    <row r="10837" spans="1:13" hidden="1" x14ac:dyDescent="0.15">
      <c r="A10837" t="s">
        <v>34219</v>
      </c>
      <c r="B10837" t="s">
        <v>34220</v>
      </c>
      <c r="C10837" t="s">
        <v>11701</v>
      </c>
      <c r="D10837" t="s">
        <v>34212</v>
      </c>
      <c r="E10837">
        <v>28</v>
      </c>
      <c r="F10837" t="str">
        <f>HYPERLINK("https://github.com/Anuken/Mindustry/issues/8046", "show")</f>
        <v>show</v>
      </c>
      <c r="G10837" t="str">
        <f>HYPERLINK("https://github.com/Anuken/Mindustry", "show")</f>
        <v>show</v>
      </c>
      <c r="H10837" t="str">
        <f>HYPERLINK("https://github.com/Anuken/Mindustry/releases", "show")</f>
        <v>show</v>
      </c>
      <c r="I10837">
        <v>1</v>
      </c>
      <c r="J10837">
        <v>1</v>
      </c>
      <c r="K10837">
        <v>0</v>
      </c>
      <c r="L10837">
        <v>1</v>
      </c>
      <c r="M10837" t="s">
        <v>1894</v>
      </c>
    </row>
    <row r="10838" spans="1:13" hidden="1" x14ac:dyDescent="0.15">
      <c r="A10838" t="s">
        <v>34221</v>
      </c>
      <c r="B10838" t="s">
        <v>34222</v>
      </c>
      <c r="C10838" t="s">
        <v>34223</v>
      </c>
      <c r="D10838" t="s">
        <v>34224</v>
      </c>
      <c r="E10838">
        <v>67</v>
      </c>
      <c r="F10838" t="str">
        <f>HYPERLINK("https://github.com/mollyim/mollyim-android/issues/155", "show")</f>
        <v>show</v>
      </c>
      <c r="G10838" t="str">
        <f>HYPERLINK("https://github.com/mollyim/mollyim-android", "show")</f>
        <v>show</v>
      </c>
      <c r="H10838" t="str">
        <f>HYPERLINK("https://github.com/mollyim/mollyim-android/releases", "show")</f>
        <v>show</v>
      </c>
      <c r="I10838">
        <v>1</v>
      </c>
      <c r="J10838">
        <v>1</v>
      </c>
      <c r="K10838">
        <v>0</v>
      </c>
      <c r="L10838">
        <v>0</v>
      </c>
      <c r="M10838" t="s">
        <v>48</v>
      </c>
    </row>
    <row r="10839" spans="1:13" hidden="1" x14ac:dyDescent="0.15">
      <c r="A10839" t="s">
        <v>34225</v>
      </c>
      <c r="B10839" t="s">
        <v>34226</v>
      </c>
      <c r="C10839" t="s">
        <v>34227</v>
      </c>
      <c r="D10839" t="s">
        <v>34224</v>
      </c>
      <c r="E10839">
        <v>5</v>
      </c>
      <c r="F10839" t="str">
        <f>HYPERLINK("https://github.com/valterc/ki2/issues/51", "show")</f>
        <v>show</v>
      </c>
      <c r="G10839" t="str">
        <f>HYPERLINK("https://github.com/valterc/ki2", "show")</f>
        <v>show</v>
      </c>
      <c r="H10839" t="str">
        <f>HYPERLINK("https://github.com/valterc/ki2/releases", "show")</f>
        <v>show</v>
      </c>
      <c r="I10839">
        <v>1</v>
      </c>
      <c r="J10839">
        <v>0</v>
      </c>
      <c r="K10839">
        <v>0</v>
      </c>
      <c r="L10839">
        <v>0</v>
      </c>
      <c r="M10839" t="s">
        <v>17</v>
      </c>
    </row>
    <row r="10840" spans="1:13" hidden="1" x14ac:dyDescent="0.15">
      <c r="A10840" t="s">
        <v>34228</v>
      </c>
      <c r="B10840" t="s">
        <v>34229</v>
      </c>
      <c r="C10840" t="s">
        <v>34230</v>
      </c>
      <c r="D10840" t="s">
        <v>34224</v>
      </c>
      <c r="E10840">
        <v>1</v>
      </c>
      <c r="F10840" t="str">
        <f>HYPERLINK("https://github.com/jellyfin/jellyfin-androidtv/issues/2331", "show")</f>
        <v>show</v>
      </c>
      <c r="G10840" t="str">
        <f>HYPERLINK("https://github.com/jellyfin/jellyfin-androidtv", "show")</f>
        <v>show</v>
      </c>
      <c r="H10840" t="str">
        <f>HYPERLINK("https://github.com/jellyfin/jellyfin-androidtv/releases", "show")</f>
        <v>show</v>
      </c>
      <c r="I10840">
        <v>1</v>
      </c>
      <c r="J10840">
        <v>1</v>
      </c>
      <c r="K10840">
        <v>1</v>
      </c>
      <c r="L10840">
        <v>0</v>
      </c>
      <c r="M10840" t="s">
        <v>59</v>
      </c>
    </row>
    <row r="10841" spans="1:13" hidden="1" x14ac:dyDescent="0.15">
      <c r="A10841" t="s">
        <v>34231</v>
      </c>
      <c r="B10841" t="s">
        <v>34232</v>
      </c>
      <c r="C10841" t="s">
        <v>34233</v>
      </c>
      <c r="D10841" t="s">
        <v>34234</v>
      </c>
      <c r="E10841">
        <v>148</v>
      </c>
      <c r="F10841" t="str">
        <f>HYPERLINK("https://github.com/jellyfin/jellyfin-androidtv/issues/2326", "show")</f>
        <v>show</v>
      </c>
      <c r="G10841" t="str">
        <f>HYPERLINK("https://github.com/jellyfin/jellyfin-androidtv", "show")</f>
        <v>show</v>
      </c>
      <c r="H10841" t="str">
        <f>HYPERLINK("https://github.com/jellyfin/jellyfin-androidtv/releases", "show")</f>
        <v>show</v>
      </c>
      <c r="I10841">
        <v>1</v>
      </c>
      <c r="J10841">
        <v>1</v>
      </c>
      <c r="K10841">
        <v>0</v>
      </c>
      <c r="L10841">
        <v>0</v>
      </c>
      <c r="M10841" t="s">
        <v>48</v>
      </c>
    </row>
    <row r="10842" spans="1:13" hidden="1" x14ac:dyDescent="0.15">
      <c r="A10842" t="s">
        <v>34235</v>
      </c>
      <c r="B10842" t="s">
        <v>34236</v>
      </c>
      <c r="C10842" t="s">
        <v>34237</v>
      </c>
      <c r="D10842" t="s">
        <v>34234</v>
      </c>
      <c r="E10842">
        <v>67</v>
      </c>
      <c r="F10842" t="str">
        <f>HYPERLINK("https://github.com/inaturalist/iNaturalistAndroid/issues/1238", "show")</f>
        <v>show</v>
      </c>
      <c r="G10842" t="str">
        <f>HYPERLINK("https://github.com/inaturalist/iNaturalistAndroid", "show")</f>
        <v>show</v>
      </c>
      <c r="H10842" t="str">
        <f>HYPERLINK("https://github.com/inaturalist/iNaturalistAndroid/releases", "show")</f>
        <v>show</v>
      </c>
      <c r="I10842">
        <v>1</v>
      </c>
      <c r="J10842">
        <v>1</v>
      </c>
      <c r="K10842">
        <v>0</v>
      </c>
      <c r="L10842">
        <v>0</v>
      </c>
      <c r="M10842" t="s">
        <v>48</v>
      </c>
    </row>
    <row r="10843" spans="1:13" hidden="1" x14ac:dyDescent="0.15">
      <c r="A10843" t="s">
        <v>34238</v>
      </c>
      <c r="B10843" t="s">
        <v>34239</v>
      </c>
      <c r="C10843" t="s">
        <v>34240</v>
      </c>
      <c r="D10843" t="s">
        <v>34234</v>
      </c>
      <c r="E10843">
        <v>23</v>
      </c>
      <c r="F10843" t="str">
        <f>HYPERLINK("https://github.com/TeamNewPipe/NewPipe/issues/9518", "show")</f>
        <v>show</v>
      </c>
      <c r="G10843" t="str">
        <f>HYPERLINK("https://github.com/TeamNewPipe/NewPipe", "show")</f>
        <v>show</v>
      </c>
      <c r="H10843" t="str">
        <f>HYPERLINK("https://github.com/TeamNewPipe/NewPipe/releases", "show")</f>
        <v>show</v>
      </c>
      <c r="I10843">
        <v>1</v>
      </c>
      <c r="J10843">
        <v>1</v>
      </c>
      <c r="K10843">
        <v>1</v>
      </c>
      <c r="L10843">
        <v>0</v>
      </c>
      <c r="M10843" t="s">
        <v>59</v>
      </c>
    </row>
    <row r="10844" spans="1:13" hidden="1" x14ac:dyDescent="0.15">
      <c r="A10844" t="s">
        <v>34241</v>
      </c>
      <c r="B10844" t="s">
        <v>16147</v>
      </c>
      <c r="C10844" t="s">
        <v>34242</v>
      </c>
      <c r="D10844" t="s">
        <v>34243</v>
      </c>
      <c r="E10844">
        <v>0</v>
      </c>
      <c r="F10844" t="str">
        <f>HYPERLINK("https://github.com/LawnchairLauncher/lawnchair/issues/3155", "show")</f>
        <v>show</v>
      </c>
      <c r="G10844" t="str">
        <f>HYPERLINK("https://github.com/LawnchairLauncher/lawnchair", "show")</f>
        <v>show</v>
      </c>
      <c r="H10844" t="str">
        <f>HYPERLINK("https://github.com/LawnchairLauncher/lawnchair/releases", "show")</f>
        <v>show</v>
      </c>
      <c r="I10844">
        <v>1</v>
      </c>
      <c r="J10844">
        <v>1</v>
      </c>
      <c r="K10844">
        <v>0</v>
      </c>
      <c r="L10844">
        <v>0</v>
      </c>
      <c r="M10844" t="s">
        <v>48</v>
      </c>
    </row>
    <row r="10845" spans="1:13" hidden="1" x14ac:dyDescent="0.15">
      <c r="A10845" t="s">
        <v>34244</v>
      </c>
      <c r="B10845" t="s">
        <v>34245</v>
      </c>
      <c r="C10845" t="s">
        <v>34246</v>
      </c>
      <c r="D10845" t="s">
        <v>34243</v>
      </c>
      <c r="E10845">
        <v>50</v>
      </c>
      <c r="F10845" t="str">
        <f>HYPERLINK("https://github.com/google/ExoPlayer/issues/10847", "show")</f>
        <v>show</v>
      </c>
      <c r="G10845" t="str">
        <f>HYPERLINK("https://github.com/google/ExoPlayer", "show")</f>
        <v>show</v>
      </c>
      <c r="H10845" t="str">
        <f>HYPERLINK("https://github.com/google/ExoPlayer/releases", "show")</f>
        <v>show</v>
      </c>
      <c r="I10845">
        <v>0</v>
      </c>
      <c r="J10845">
        <v>0</v>
      </c>
      <c r="K10845">
        <v>1</v>
      </c>
      <c r="L10845">
        <v>0</v>
      </c>
      <c r="M10845" t="s">
        <v>122</v>
      </c>
    </row>
    <row r="10846" spans="1:13" hidden="1" x14ac:dyDescent="0.15">
      <c r="A10846" t="s">
        <v>34247</v>
      </c>
      <c r="B10846" t="s">
        <v>34248</v>
      </c>
      <c r="C10846" t="s">
        <v>34249</v>
      </c>
      <c r="D10846" t="s">
        <v>34243</v>
      </c>
      <c r="E10846">
        <v>20</v>
      </c>
      <c r="F10846" t="str">
        <f>HYPERLINK("https://github.com/jellyfin/jellyfin-androidtv/issues/2322", "show")</f>
        <v>show</v>
      </c>
      <c r="G10846" t="str">
        <f>HYPERLINK("https://github.com/jellyfin/jellyfin-androidtv", "show")</f>
        <v>show</v>
      </c>
      <c r="H10846" t="str">
        <f>HYPERLINK("https://github.com/jellyfin/jellyfin-androidtv/releases", "show")</f>
        <v>show</v>
      </c>
      <c r="I10846">
        <v>1</v>
      </c>
      <c r="J10846">
        <v>1</v>
      </c>
      <c r="K10846">
        <v>1</v>
      </c>
      <c r="L10846">
        <v>0</v>
      </c>
      <c r="M10846" t="s">
        <v>59</v>
      </c>
    </row>
    <row r="10847" spans="1:13" hidden="1" x14ac:dyDescent="0.15">
      <c r="A10847" t="s">
        <v>34250</v>
      </c>
      <c r="B10847" t="s">
        <v>34251</v>
      </c>
      <c r="C10847" t="s">
        <v>34252</v>
      </c>
      <c r="D10847" t="s">
        <v>34243</v>
      </c>
      <c r="E10847">
        <v>13</v>
      </c>
      <c r="F10847" t="str">
        <f>HYPERLINK("https://github.com/AndroidIDEOfficial/AndroidIDE/issues/660", "show")</f>
        <v>show</v>
      </c>
      <c r="G10847" t="str">
        <f>HYPERLINK("https://github.com/AndroidIDEOfficial/AndroidIDE", "show")</f>
        <v>show</v>
      </c>
      <c r="H10847" t="str">
        <f>HYPERLINK("https://github.com/AndroidIDEOfficial/AndroidIDE/releases", "show")</f>
        <v>show</v>
      </c>
      <c r="I10847">
        <v>0</v>
      </c>
      <c r="J10847">
        <v>0</v>
      </c>
      <c r="K10847">
        <v>1</v>
      </c>
      <c r="L10847">
        <v>0</v>
      </c>
      <c r="M10847" t="s">
        <v>122</v>
      </c>
    </row>
    <row r="10848" spans="1:13" hidden="1" x14ac:dyDescent="0.15">
      <c r="A10848" t="s">
        <v>34253</v>
      </c>
      <c r="B10848" t="s">
        <v>34254</v>
      </c>
      <c r="C10848" t="s">
        <v>34255</v>
      </c>
      <c r="D10848" t="s">
        <v>34256</v>
      </c>
      <c r="E10848">
        <v>4</v>
      </c>
      <c r="F10848" t="str">
        <f>HYPERLINK("https://github.com/AndroidIDEOfficial/AndroidIDE/issues/659", "show")</f>
        <v>show</v>
      </c>
      <c r="G10848" t="str">
        <f>HYPERLINK("https://github.com/AndroidIDEOfficial/AndroidIDE", "show")</f>
        <v>show</v>
      </c>
      <c r="H10848" t="str">
        <f>HYPERLINK("https://github.com/AndroidIDEOfficial/AndroidIDE/releases", "show")</f>
        <v>show</v>
      </c>
      <c r="I10848">
        <v>0</v>
      </c>
      <c r="J10848">
        <v>0</v>
      </c>
      <c r="K10848">
        <v>1</v>
      </c>
      <c r="L10848">
        <v>0</v>
      </c>
      <c r="M10848" t="s">
        <v>122</v>
      </c>
    </row>
    <row r="10849" spans="1:13" hidden="1" x14ac:dyDescent="0.15">
      <c r="A10849" t="s">
        <v>34257</v>
      </c>
      <c r="B10849" t="s">
        <v>34258</v>
      </c>
      <c r="C10849" t="s">
        <v>34259</v>
      </c>
      <c r="D10849" t="s">
        <v>34256</v>
      </c>
      <c r="E10849">
        <v>109</v>
      </c>
      <c r="F10849" t="str">
        <f>HYPERLINK("https://github.com/MetaLabs-inc/react-native-vimeo-iframe/issues/47", "show")</f>
        <v>show</v>
      </c>
      <c r="G10849" t="str">
        <f>HYPERLINK("https://github.com/MetaLabs-inc/react-native-vimeo-iframe", "show")</f>
        <v>show</v>
      </c>
      <c r="H10849" t="str">
        <f>HYPERLINK("https://github.com/MetaLabs-inc/react-native-vimeo-iframe/releases", "show")</f>
        <v>show</v>
      </c>
      <c r="I10849">
        <v>0</v>
      </c>
      <c r="J10849">
        <v>0</v>
      </c>
      <c r="K10849">
        <v>0</v>
      </c>
      <c r="L10849">
        <v>0</v>
      </c>
      <c r="M10849" t="s">
        <v>43</v>
      </c>
    </row>
    <row r="10850" spans="1:13" hidden="1" x14ac:dyDescent="0.15">
      <c r="A10850" t="s">
        <v>34260</v>
      </c>
      <c r="B10850" t="s">
        <v>34261</v>
      </c>
      <c r="C10850" t="s">
        <v>34262</v>
      </c>
      <c r="D10850" t="s">
        <v>34256</v>
      </c>
      <c r="E10850">
        <v>32</v>
      </c>
      <c r="F10850" t="str">
        <f>HYPERLINK("https://github.com/Anuken/Mindustry/issues/8028", "show")</f>
        <v>show</v>
      </c>
      <c r="G10850" t="str">
        <f>HYPERLINK("https://github.com/Anuken/Mindustry", "show")</f>
        <v>show</v>
      </c>
      <c r="H10850" t="str">
        <f>HYPERLINK("https://github.com/Anuken/Mindustry/releases", "show")</f>
        <v>show</v>
      </c>
      <c r="I10850">
        <v>0</v>
      </c>
      <c r="J10850">
        <v>1</v>
      </c>
      <c r="K10850">
        <v>0</v>
      </c>
      <c r="L10850">
        <v>1</v>
      </c>
      <c r="M10850" t="s">
        <v>1732</v>
      </c>
    </row>
    <row r="10851" spans="1:13" hidden="1" x14ac:dyDescent="0.15">
      <c r="A10851" t="s">
        <v>34263</v>
      </c>
      <c r="B10851" t="s">
        <v>34264</v>
      </c>
      <c r="C10851" t="s">
        <v>34265</v>
      </c>
      <c r="D10851" t="s">
        <v>34256</v>
      </c>
      <c r="E10851">
        <v>141</v>
      </c>
      <c r="F10851" t="str">
        <f>HYPERLINK("https://github.com/MuntashirAkon/AppManager/issues/951", "show")</f>
        <v>show</v>
      </c>
      <c r="G10851" t="str">
        <f>HYPERLINK("https://github.com/MuntashirAkon/AppManager", "show")</f>
        <v>show</v>
      </c>
      <c r="H10851" t="str">
        <f>HYPERLINK("https://github.com/MuntashirAkon/AppManager/releases", "show")</f>
        <v>show</v>
      </c>
      <c r="I10851">
        <v>0</v>
      </c>
      <c r="J10851">
        <v>1</v>
      </c>
      <c r="K10851">
        <v>1</v>
      </c>
      <c r="L10851">
        <v>0</v>
      </c>
      <c r="M10851" t="s">
        <v>699</v>
      </c>
    </row>
    <row r="10852" spans="1:13" x14ac:dyDescent="0.15">
      <c r="A10852" t="s">
        <v>34266</v>
      </c>
      <c r="B10852" t="s">
        <v>34267</v>
      </c>
      <c r="C10852" t="s">
        <v>34268</v>
      </c>
      <c r="D10852" t="s">
        <v>34269</v>
      </c>
      <c r="E10852">
        <v>0</v>
      </c>
      <c r="F10852" t="str">
        <f>HYPERLINK("https://github.com/COSC481W-2022Fall/capstone-project-vibe/issues/104", "show")</f>
        <v>show</v>
      </c>
      <c r="G10852" t="str">
        <f>HYPERLINK("https://github.com/COSC481W-2022Fall/capstone-project-vibe", "show")</f>
        <v>show</v>
      </c>
      <c r="H10852" t="str">
        <f>HYPERLINK("https://github.com/COSC481W-2022Fall/capstone-project-vibe/releases", "show")</f>
        <v>show</v>
      </c>
      <c r="I10852">
        <v>0</v>
      </c>
      <c r="J10852">
        <v>1</v>
      </c>
      <c r="K10852">
        <v>0</v>
      </c>
      <c r="L10852">
        <v>0</v>
      </c>
      <c r="M10852" t="s">
        <v>139</v>
      </c>
    </row>
    <row r="10853" spans="1:13" hidden="1" x14ac:dyDescent="0.15">
      <c r="A10853" t="s">
        <v>34270</v>
      </c>
      <c r="B10853" t="s">
        <v>34271</v>
      </c>
      <c r="C10853" t="s">
        <v>34272</v>
      </c>
      <c r="D10853" t="s">
        <v>34269</v>
      </c>
      <c r="E10853">
        <v>72</v>
      </c>
      <c r="F10853" t="str">
        <f>HYPERLINK("https://github.com/material-components/material-components-android/issues/3129", "show")</f>
        <v>show</v>
      </c>
      <c r="G10853" t="str">
        <f>HYPERLINK("https://github.com/material-components/material-components-android", "show")</f>
        <v>show</v>
      </c>
      <c r="H10853" t="str">
        <f>HYPERLINK("https://github.com/material-components/material-components-android/releases", "show")</f>
        <v>show</v>
      </c>
      <c r="I10853">
        <v>0</v>
      </c>
      <c r="J10853">
        <v>0</v>
      </c>
      <c r="K10853">
        <v>1</v>
      </c>
      <c r="L10853">
        <v>0</v>
      </c>
      <c r="M10853" t="s">
        <v>122</v>
      </c>
    </row>
    <row r="10854" spans="1:13" hidden="1" x14ac:dyDescent="0.15">
      <c r="A10854" t="s">
        <v>34273</v>
      </c>
      <c r="B10854" t="s">
        <v>34274</v>
      </c>
      <c r="C10854" t="s">
        <v>34275</v>
      </c>
      <c r="D10854" t="s">
        <v>34269</v>
      </c>
      <c r="E10854">
        <v>2</v>
      </c>
      <c r="F10854" t="str">
        <f>HYPERLINK("https://github.com/jellyfin/jellyfin-androidtv/issues/2312", "show")</f>
        <v>show</v>
      </c>
      <c r="G10854" t="str">
        <f>HYPERLINK("https://github.com/jellyfin/jellyfin-androidtv", "show")</f>
        <v>show</v>
      </c>
      <c r="H10854" t="str">
        <f>HYPERLINK("https://github.com/jellyfin/jellyfin-androidtv/releases", "show")</f>
        <v>show</v>
      </c>
      <c r="I10854">
        <v>1</v>
      </c>
      <c r="J10854">
        <v>0</v>
      </c>
      <c r="K10854">
        <v>1</v>
      </c>
      <c r="L10854">
        <v>0</v>
      </c>
      <c r="M10854" t="s">
        <v>64</v>
      </c>
    </row>
    <row r="10855" spans="1:13" hidden="1" x14ac:dyDescent="0.15">
      <c r="A10855" t="s">
        <v>34276</v>
      </c>
      <c r="B10855" t="s">
        <v>34277</v>
      </c>
      <c r="C10855" t="s">
        <v>34278</v>
      </c>
      <c r="D10855" t="s">
        <v>34269</v>
      </c>
      <c r="E10855">
        <v>33</v>
      </c>
      <c r="F10855" t="str">
        <f>HYPERLINK("https://github.com/Anuken/Mindustry/issues/8026", "show")</f>
        <v>show</v>
      </c>
      <c r="G10855" t="str">
        <f>HYPERLINK("https://github.com/Anuken/Mindustry", "show")</f>
        <v>show</v>
      </c>
      <c r="H10855" t="str">
        <f>HYPERLINK("https://github.com/Anuken/Mindustry/releases", "show")</f>
        <v>show</v>
      </c>
      <c r="I10855">
        <v>1</v>
      </c>
      <c r="J10855">
        <v>0</v>
      </c>
      <c r="K10855">
        <v>0</v>
      </c>
      <c r="L10855">
        <v>0</v>
      </c>
      <c r="M10855" t="s">
        <v>17</v>
      </c>
    </row>
    <row r="10856" spans="1:13" x14ac:dyDescent="0.15">
      <c r="A10856" t="s">
        <v>34279</v>
      </c>
      <c r="B10856" t="s">
        <v>34280</v>
      </c>
      <c r="C10856" t="s">
        <v>34281</v>
      </c>
      <c r="D10856" t="s">
        <v>34282</v>
      </c>
      <c r="E10856">
        <v>34</v>
      </c>
      <c r="F10856" t="str">
        <f>HYPERLINK("https://github.com/Anuken/Mindustry/issues/8025", "show")</f>
        <v>show</v>
      </c>
      <c r="G10856" t="str">
        <f>HYPERLINK("https://github.com/Anuken/Mindustry", "show")</f>
        <v>show</v>
      </c>
      <c r="H10856" t="str">
        <f>HYPERLINK("https://github.com/Anuken/Mindustry/releases", "show")</f>
        <v>show</v>
      </c>
      <c r="I10856">
        <v>0</v>
      </c>
      <c r="J10856">
        <v>1</v>
      </c>
      <c r="K10856">
        <v>0</v>
      </c>
      <c r="L10856">
        <v>0</v>
      </c>
      <c r="M10856" t="s">
        <v>139</v>
      </c>
    </row>
    <row r="10857" spans="1:13" hidden="1" x14ac:dyDescent="0.15">
      <c r="A10857" t="s">
        <v>34283</v>
      </c>
      <c r="B10857" t="s">
        <v>34284</v>
      </c>
      <c r="C10857" t="s">
        <v>34285</v>
      </c>
      <c r="D10857" t="s">
        <v>34282</v>
      </c>
      <c r="E10857">
        <v>0</v>
      </c>
      <c r="F10857" t="str">
        <f>HYPERLINK("https://github.com/LSPosed/LSPosed/issues/2271", "show")</f>
        <v>show</v>
      </c>
      <c r="G10857" t="str">
        <f>HYPERLINK("https://github.com/LSPosed/LSPosed", "show")</f>
        <v>show</v>
      </c>
      <c r="H10857" t="str">
        <f>HYPERLINK("https://github.com/LSPosed/LSPosed/releases", "show")</f>
        <v>show</v>
      </c>
      <c r="I10857">
        <v>1</v>
      </c>
      <c r="J10857">
        <v>1</v>
      </c>
      <c r="K10857">
        <v>0</v>
      </c>
      <c r="L10857">
        <v>0</v>
      </c>
      <c r="M10857" t="s">
        <v>48</v>
      </c>
    </row>
    <row r="10858" spans="1:13" hidden="1" x14ac:dyDescent="0.15">
      <c r="A10858" t="s">
        <v>34286</v>
      </c>
      <c r="B10858" t="s">
        <v>3180</v>
      </c>
      <c r="C10858" t="s">
        <v>34287</v>
      </c>
      <c r="D10858" t="s">
        <v>34282</v>
      </c>
      <c r="E10858">
        <v>143</v>
      </c>
      <c r="F10858" t="str">
        <f>HYPERLINK("https://github.com/jellyfin/jellyfin-androidtv/issues/2306", "show")</f>
        <v>show</v>
      </c>
      <c r="G10858" t="str">
        <f>HYPERLINK("https://github.com/jellyfin/jellyfin-androidtv", "show")</f>
        <v>show</v>
      </c>
      <c r="H10858" t="str">
        <f>HYPERLINK("https://github.com/jellyfin/jellyfin-androidtv/releases", "show")</f>
        <v>show</v>
      </c>
      <c r="I10858">
        <v>1</v>
      </c>
      <c r="J10858">
        <v>0</v>
      </c>
      <c r="K10858">
        <v>1</v>
      </c>
      <c r="L10858">
        <v>0</v>
      </c>
      <c r="M10858" t="s">
        <v>64</v>
      </c>
    </row>
    <row r="10859" spans="1:13" hidden="1" x14ac:dyDescent="0.15">
      <c r="A10859" t="s">
        <v>34288</v>
      </c>
      <c r="B10859" t="s">
        <v>31484</v>
      </c>
      <c r="C10859" t="s">
        <v>34289</v>
      </c>
      <c r="D10859" t="s">
        <v>34290</v>
      </c>
      <c r="E10859">
        <v>7</v>
      </c>
      <c r="F10859" t="str">
        <f>HYPERLINK("https://github.com/itsvks19/LayoutEditor/issues/10", "show")</f>
        <v>show</v>
      </c>
      <c r="G10859" t="str">
        <f>HYPERLINK("https://github.com/itsvks19/LayoutEditor", "show")</f>
        <v>show</v>
      </c>
      <c r="H10859" t="str">
        <f>HYPERLINK("https://github.com/itsvks19/LayoutEditor/releases", "show")</f>
        <v>show</v>
      </c>
      <c r="I10859">
        <v>0</v>
      </c>
      <c r="J10859">
        <v>0</v>
      </c>
      <c r="K10859">
        <v>1</v>
      </c>
      <c r="L10859">
        <v>0</v>
      </c>
      <c r="M10859" t="s">
        <v>122</v>
      </c>
    </row>
    <row r="10860" spans="1:13" hidden="1" x14ac:dyDescent="0.15">
      <c r="A10860" t="s">
        <v>34291</v>
      </c>
      <c r="B10860" t="s">
        <v>34292</v>
      </c>
      <c r="C10860" t="s">
        <v>34293</v>
      </c>
      <c r="D10860" t="s">
        <v>34290</v>
      </c>
      <c r="E10860">
        <v>9</v>
      </c>
      <c r="F10860" t="str">
        <f>HYPERLINK("https://github.com/nextcloud/android/issues/11133", "show")</f>
        <v>show</v>
      </c>
      <c r="G10860" t="str">
        <f>HYPERLINK("https://github.com/nextcloud/android", "show")</f>
        <v>show</v>
      </c>
      <c r="H10860" t="str">
        <f>HYPERLINK("https://github.com/nextcloud/android/releases", "show")</f>
        <v>show</v>
      </c>
      <c r="I10860">
        <v>0</v>
      </c>
      <c r="J10860">
        <v>0</v>
      </c>
      <c r="K10860">
        <v>1</v>
      </c>
      <c r="L10860">
        <v>0</v>
      </c>
      <c r="M10860" t="s">
        <v>122</v>
      </c>
    </row>
    <row r="10861" spans="1:13" hidden="1" x14ac:dyDescent="0.15">
      <c r="A10861" t="s">
        <v>34294</v>
      </c>
      <c r="B10861" t="s">
        <v>34295</v>
      </c>
      <c r="C10861" t="s">
        <v>34296</v>
      </c>
      <c r="D10861" t="s">
        <v>34290</v>
      </c>
      <c r="E10861">
        <v>21</v>
      </c>
      <c r="F10861" t="str">
        <f>HYPERLINK("https://github.com/AndroidIDEOfficial/AndroidIDE/issues/654", "show")</f>
        <v>show</v>
      </c>
      <c r="G10861" t="str">
        <f>HYPERLINK("https://github.com/AndroidIDEOfficial/AndroidIDE", "show")</f>
        <v>show</v>
      </c>
      <c r="H10861" t="str">
        <f>HYPERLINK("https://github.com/AndroidIDEOfficial/AndroidIDE/releases", "show")</f>
        <v>show</v>
      </c>
      <c r="I10861">
        <v>0</v>
      </c>
      <c r="J10861">
        <v>0</v>
      </c>
      <c r="K10861">
        <v>1</v>
      </c>
      <c r="L10861">
        <v>0</v>
      </c>
      <c r="M10861" t="s">
        <v>122</v>
      </c>
    </row>
    <row r="10862" spans="1:13" hidden="1" x14ac:dyDescent="0.15">
      <c r="A10862" t="s">
        <v>34297</v>
      </c>
      <c r="B10862" t="s">
        <v>34298</v>
      </c>
      <c r="C10862" t="s">
        <v>34299</v>
      </c>
      <c r="D10862" t="s">
        <v>34290</v>
      </c>
      <c r="E10862">
        <v>52</v>
      </c>
      <c r="F10862" t="str">
        <f>HYPERLINK("https://github.com/PojavLauncherTeam/PojavLauncher/issues/3750", "show")</f>
        <v>show</v>
      </c>
      <c r="G10862" t="str">
        <f>HYPERLINK("https://github.com/PojavLauncherTeam/PojavLauncher", "show")</f>
        <v>show</v>
      </c>
      <c r="H10862" t="str">
        <f>HYPERLINK("https://github.com/PojavLauncherTeam/PojavLauncher/releases", "show")</f>
        <v>show</v>
      </c>
      <c r="I10862">
        <v>1</v>
      </c>
      <c r="J10862">
        <v>0</v>
      </c>
      <c r="K10862">
        <v>1</v>
      </c>
      <c r="L10862">
        <v>0</v>
      </c>
      <c r="M10862" t="s">
        <v>64</v>
      </c>
    </row>
    <row r="10863" spans="1:13" hidden="1" x14ac:dyDescent="0.15">
      <c r="A10863" t="s">
        <v>34300</v>
      </c>
      <c r="B10863" t="s">
        <v>31484</v>
      </c>
      <c r="C10863" t="s">
        <v>34301</v>
      </c>
      <c r="D10863" t="s">
        <v>34302</v>
      </c>
      <c r="E10863">
        <v>8</v>
      </c>
      <c r="F10863" t="str">
        <f>HYPERLINK("https://github.com/AndroidIDEOfficial/AndroidIDE/issues/652", "show")</f>
        <v>show</v>
      </c>
      <c r="G10863" t="str">
        <f>HYPERLINK("https://github.com/AndroidIDEOfficial/AndroidIDE", "show")</f>
        <v>show</v>
      </c>
      <c r="H10863" t="str">
        <f>HYPERLINK("https://github.com/AndroidIDEOfficial/AndroidIDE/releases", "show")</f>
        <v>show</v>
      </c>
      <c r="I10863">
        <v>0</v>
      </c>
      <c r="J10863">
        <v>0</v>
      </c>
      <c r="K10863">
        <v>1</v>
      </c>
      <c r="L10863">
        <v>0</v>
      </c>
      <c r="M10863" t="s">
        <v>122</v>
      </c>
    </row>
    <row r="10864" spans="1:13" hidden="1" x14ac:dyDescent="0.15">
      <c r="A10864" t="s">
        <v>34303</v>
      </c>
      <c r="B10864" t="s">
        <v>34304</v>
      </c>
      <c r="C10864" t="s">
        <v>34305</v>
      </c>
      <c r="D10864" t="s">
        <v>34302</v>
      </c>
      <c r="E10864">
        <v>46</v>
      </c>
      <c r="F10864" t="str">
        <f>HYPERLINK("https://github.com/google/ExoPlayer/issues/10828", "show")</f>
        <v>show</v>
      </c>
      <c r="G10864" t="str">
        <f>HYPERLINK("https://github.com/google/ExoPlayer", "show")</f>
        <v>show</v>
      </c>
      <c r="H10864" t="str">
        <f>HYPERLINK("https://github.com/google/ExoPlayer/releases", "show")</f>
        <v>show</v>
      </c>
      <c r="I10864">
        <v>1</v>
      </c>
      <c r="J10864">
        <v>0</v>
      </c>
      <c r="K10864">
        <v>1</v>
      </c>
      <c r="L10864">
        <v>0</v>
      </c>
      <c r="M10864" t="s">
        <v>64</v>
      </c>
    </row>
    <row r="10865" spans="1:13" hidden="1" x14ac:dyDescent="0.15">
      <c r="A10865" t="s">
        <v>34306</v>
      </c>
      <c r="B10865" t="s">
        <v>34307</v>
      </c>
      <c r="C10865" t="s">
        <v>34308</v>
      </c>
      <c r="D10865" t="s">
        <v>34302</v>
      </c>
      <c r="E10865">
        <v>36</v>
      </c>
      <c r="F10865" t="str">
        <f>HYPERLINK("https://github.com/Anuken/Mindustry/issues/8016", "show")</f>
        <v>show</v>
      </c>
      <c r="G10865" t="str">
        <f>HYPERLINK("https://github.com/Anuken/Mindustry", "show")</f>
        <v>show</v>
      </c>
      <c r="H10865" t="str">
        <f>HYPERLINK("https://github.com/Anuken/Mindustry/releases", "show")</f>
        <v>show</v>
      </c>
      <c r="I10865">
        <v>1</v>
      </c>
      <c r="J10865">
        <v>1</v>
      </c>
      <c r="K10865">
        <v>0</v>
      </c>
      <c r="L10865">
        <v>0</v>
      </c>
      <c r="M10865" t="s">
        <v>48</v>
      </c>
    </row>
    <row r="10866" spans="1:13" hidden="1" x14ac:dyDescent="0.15">
      <c r="A10866" t="s">
        <v>34309</v>
      </c>
      <c r="B10866" t="s">
        <v>34310</v>
      </c>
      <c r="C10866" t="s">
        <v>34311</v>
      </c>
      <c r="D10866" t="s">
        <v>34312</v>
      </c>
      <c r="E10866">
        <v>2</v>
      </c>
      <c r="F10866" t="str">
        <f>HYPERLINK("https://github.com/AndroidIDEOfficial/AndroidIDE/issues/647", "show")</f>
        <v>show</v>
      </c>
      <c r="G10866" t="str">
        <f>HYPERLINK("https://github.com/AndroidIDEOfficial/AndroidIDE", "show")</f>
        <v>show</v>
      </c>
      <c r="H10866" t="str">
        <f>HYPERLINK("https://github.com/AndroidIDEOfficial/AndroidIDE/releases", "show")</f>
        <v>show</v>
      </c>
      <c r="I10866">
        <v>0</v>
      </c>
      <c r="J10866">
        <v>0</v>
      </c>
      <c r="K10866">
        <v>1</v>
      </c>
      <c r="L10866">
        <v>0</v>
      </c>
      <c r="M10866" t="s">
        <v>122</v>
      </c>
    </row>
    <row r="10867" spans="1:13" hidden="1" x14ac:dyDescent="0.15">
      <c r="A10867" t="s">
        <v>34313</v>
      </c>
      <c r="B10867" t="s">
        <v>34314</v>
      </c>
      <c r="C10867" t="s">
        <v>34315</v>
      </c>
      <c r="D10867" t="s">
        <v>34312</v>
      </c>
      <c r="E10867">
        <v>37</v>
      </c>
      <c r="F10867" t="str">
        <f>HYPERLINK("https://github.com/Anuken/Mindustry/issues/8013", "show")</f>
        <v>show</v>
      </c>
      <c r="G10867" t="str">
        <f>HYPERLINK("https://github.com/Anuken/Mindustry", "show")</f>
        <v>show</v>
      </c>
      <c r="H10867" t="str">
        <f>HYPERLINK("https://github.com/Anuken/Mindustry/releases", "show")</f>
        <v>show</v>
      </c>
      <c r="I10867">
        <v>1</v>
      </c>
      <c r="J10867">
        <v>1</v>
      </c>
      <c r="K10867">
        <v>1</v>
      </c>
      <c r="L10867">
        <v>0</v>
      </c>
      <c r="M10867" t="s">
        <v>59</v>
      </c>
    </row>
    <row r="10868" spans="1:13" hidden="1" x14ac:dyDescent="0.15">
      <c r="A10868" t="s">
        <v>34316</v>
      </c>
      <c r="B10868" t="s">
        <v>34317</v>
      </c>
      <c r="C10868" t="s">
        <v>34318</v>
      </c>
      <c r="D10868" t="s">
        <v>34312</v>
      </c>
      <c r="E10868">
        <v>0</v>
      </c>
      <c r="F10868" t="str">
        <f>HYPERLINK("https://github.com/MonwF/customiuizer/issues/75", "show")</f>
        <v>show</v>
      </c>
      <c r="G10868" t="str">
        <f>HYPERLINK("https://github.com/MonwF/customiuizer", "show")</f>
        <v>show</v>
      </c>
      <c r="H10868" t="str">
        <f>HYPERLINK("https://github.com/MonwF/customiuizer/releases", "show")</f>
        <v>show</v>
      </c>
      <c r="I10868">
        <v>1</v>
      </c>
      <c r="J10868">
        <v>0</v>
      </c>
      <c r="K10868">
        <v>0</v>
      </c>
      <c r="L10868">
        <v>0</v>
      </c>
      <c r="M10868" t="s">
        <v>17</v>
      </c>
    </row>
    <row r="10869" spans="1:13" hidden="1" x14ac:dyDescent="0.15">
      <c r="A10869" t="s">
        <v>34319</v>
      </c>
      <c r="B10869" t="s">
        <v>34320</v>
      </c>
      <c r="C10869" t="s">
        <v>34321</v>
      </c>
      <c r="D10869" t="s">
        <v>34312</v>
      </c>
      <c r="E10869">
        <v>37</v>
      </c>
      <c r="F10869" t="str">
        <f>HYPERLINK("https://github.com/Anuken/Mindustry/issues/8012", "show")</f>
        <v>show</v>
      </c>
      <c r="G10869" t="str">
        <f>HYPERLINK("https://github.com/Anuken/Mindustry", "show")</f>
        <v>show</v>
      </c>
      <c r="H10869" t="str">
        <f>HYPERLINK("https://github.com/Anuken/Mindustry/releases", "show")</f>
        <v>show</v>
      </c>
      <c r="I10869">
        <v>0</v>
      </c>
      <c r="J10869">
        <v>0</v>
      </c>
      <c r="K10869">
        <v>0</v>
      </c>
      <c r="L10869">
        <v>0</v>
      </c>
      <c r="M10869" t="s">
        <v>43</v>
      </c>
    </row>
    <row r="10870" spans="1:13" hidden="1" x14ac:dyDescent="0.15">
      <c r="A10870" t="s">
        <v>34322</v>
      </c>
      <c r="B10870" t="s">
        <v>34323</v>
      </c>
      <c r="C10870" t="s">
        <v>34324</v>
      </c>
      <c r="D10870" t="s">
        <v>34325</v>
      </c>
      <c r="E10870">
        <v>38</v>
      </c>
      <c r="F10870" t="str">
        <f>HYPERLINK("https://github.com/Anuken/Mindustry/issues/8011", "show")</f>
        <v>show</v>
      </c>
      <c r="G10870" t="str">
        <f>HYPERLINK("https://github.com/Anuken/Mindustry", "show")</f>
        <v>show</v>
      </c>
      <c r="H10870" t="str">
        <f>HYPERLINK("https://github.com/Anuken/Mindustry/releases", "show")</f>
        <v>show</v>
      </c>
      <c r="I10870">
        <v>0</v>
      </c>
      <c r="J10870">
        <v>0</v>
      </c>
      <c r="K10870">
        <v>0</v>
      </c>
      <c r="L10870">
        <v>1</v>
      </c>
      <c r="M10870" t="s">
        <v>581</v>
      </c>
    </row>
    <row r="10871" spans="1:13" hidden="1" x14ac:dyDescent="0.15">
      <c r="A10871" t="s">
        <v>34326</v>
      </c>
      <c r="B10871" t="s">
        <v>34327</v>
      </c>
      <c r="C10871" t="s">
        <v>34328</v>
      </c>
      <c r="D10871" t="s">
        <v>34325</v>
      </c>
      <c r="E10871">
        <v>2</v>
      </c>
      <c r="F10871" t="str">
        <f>HYPERLINK("https://github.com/ReVanced/revanced-integrations/issues/229", "show")</f>
        <v>show</v>
      </c>
      <c r="G10871" t="str">
        <f>HYPERLINK("https://github.com/ReVanced/revanced-integrations", "show")</f>
        <v>show</v>
      </c>
      <c r="H10871" t="str">
        <f>HYPERLINK("https://github.com/ReVanced/revanced-integrations/releases", "show")</f>
        <v>show</v>
      </c>
      <c r="I10871">
        <v>1</v>
      </c>
      <c r="J10871">
        <v>0</v>
      </c>
      <c r="K10871">
        <v>0</v>
      </c>
      <c r="L10871">
        <v>1</v>
      </c>
      <c r="M10871" t="s">
        <v>29</v>
      </c>
    </row>
    <row r="10872" spans="1:13" hidden="1" x14ac:dyDescent="0.15">
      <c r="A10872" t="s">
        <v>34329</v>
      </c>
      <c r="B10872" t="s">
        <v>34330</v>
      </c>
      <c r="C10872" t="s">
        <v>34331</v>
      </c>
      <c r="D10872" t="s">
        <v>34325</v>
      </c>
      <c r="E10872">
        <v>3</v>
      </c>
      <c r="F10872" t="str">
        <f>HYPERLINK("https://github.com/DiegoPassa/Bookito/issues/22", "show")</f>
        <v>show</v>
      </c>
      <c r="G10872" t="str">
        <f>HYPERLINK("https://github.com/DiegoPassa/Bookito", "show")</f>
        <v>show</v>
      </c>
      <c r="H10872" t="str">
        <f>HYPERLINK("https://github.com/DiegoPassa/Bookito/releases", "show")</f>
        <v>show</v>
      </c>
      <c r="I10872">
        <v>1</v>
      </c>
      <c r="J10872">
        <v>0</v>
      </c>
      <c r="K10872">
        <v>0</v>
      </c>
      <c r="L10872">
        <v>0</v>
      </c>
      <c r="M10872" t="s">
        <v>17</v>
      </c>
    </row>
    <row r="10873" spans="1:13" hidden="1" x14ac:dyDescent="0.15">
      <c r="A10873" t="s">
        <v>34332</v>
      </c>
      <c r="B10873" t="s">
        <v>34333</v>
      </c>
      <c r="C10873" t="s">
        <v>34334</v>
      </c>
      <c r="D10873" t="s">
        <v>34325</v>
      </c>
      <c r="E10873">
        <v>36</v>
      </c>
      <c r="F10873" t="str">
        <f>HYPERLINK("https://github.com/patzly/grocy-android/issues/594", "show")</f>
        <v>show</v>
      </c>
      <c r="G10873" t="str">
        <f>HYPERLINK("https://github.com/patzly/grocy-android", "show")</f>
        <v>show</v>
      </c>
      <c r="H10873" t="str">
        <f>HYPERLINK("https://github.com/patzly/grocy-android/releases", "show")</f>
        <v>show</v>
      </c>
      <c r="I10873">
        <v>1</v>
      </c>
      <c r="J10873">
        <v>0</v>
      </c>
      <c r="K10873">
        <v>0</v>
      </c>
      <c r="L10873">
        <v>0</v>
      </c>
      <c r="M10873" t="s">
        <v>17</v>
      </c>
    </row>
    <row r="10874" spans="1:13" hidden="1" x14ac:dyDescent="0.15">
      <c r="A10874" t="s">
        <v>34335</v>
      </c>
      <c r="B10874" t="s">
        <v>34336</v>
      </c>
      <c r="C10874" t="s">
        <v>34337</v>
      </c>
      <c r="D10874" t="s">
        <v>34338</v>
      </c>
      <c r="E10874">
        <v>39</v>
      </c>
      <c r="F10874" t="str">
        <f>HYPERLINK("https://github.com/Anuken/Mindustry/issues/8010", "show")</f>
        <v>show</v>
      </c>
      <c r="G10874" t="str">
        <f>HYPERLINK("https://github.com/Anuken/Mindustry", "show")</f>
        <v>show</v>
      </c>
      <c r="H10874" t="str">
        <f>HYPERLINK("https://github.com/Anuken/Mindustry/releases", "show")</f>
        <v>show</v>
      </c>
      <c r="I10874">
        <v>0</v>
      </c>
      <c r="J10874">
        <v>0</v>
      </c>
      <c r="K10874">
        <v>0</v>
      </c>
      <c r="L10874">
        <v>0</v>
      </c>
      <c r="M10874" t="s">
        <v>43</v>
      </c>
    </row>
    <row r="10875" spans="1:13" hidden="1" x14ac:dyDescent="0.15">
      <c r="A10875" t="s">
        <v>34339</v>
      </c>
      <c r="B10875" t="s">
        <v>34340</v>
      </c>
      <c r="C10875" t="s">
        <v>34341</v>
      </c>
      <c r="D10875" t="s">
        <v>34338</v>
      </c>
      <c r="E10875">
        <v>0</v>
      </c>
      <c r="F10875" t="str">
        <f>HYPERLINK("https://github.com/COSC481W-2022Fall/capstone-project-vibe/issues/95", "show")</f>
        <v>show</v>
      </c>
      <c r="G10875" t="str">
        <f>HYPERLINK("https://github.com/COSC481W-2022Fall/capstone-project-vibe", "show")</f>
        <v>show</v>
      </c>
      <c r="H10875" t="str">
        <f>HYPERLINK("https://github.com/COSC481W-2022Fall/capstone-project-vibe/releases", "show")</f>
        <v>show</v>
      </c>
      <c r="I10875">
        <v>1</v>
      </c>
      <c r="J10875">
        <v>0</v>
      </c>
      <c r="K10875">
        <v>0</v>
      </c>
      <c r="L10875">
        <v>0</v>
      </c>
      <c r="M10875" t="s">
        <v>17</v>
      </c>
    </row>
    <row r="10876" spans="1:13" hidden="1" x14ac:dyDescent="0.15">
      <c r="A10876" t="s">
        <v>34342</v>
      </c>
      <c r="B10876" t="s">
        <v>34343</v>
      </c>
      <c r="C10876" t="s">
        <v>34344</v>
      </c>
      <c r="D10876" t="s">
        <v>34338</v>
      </c>
      <c r="E10876">
        <v>56</v>
      </c>
      <c r="F10876" t="str">
        <f>HYPERLINK("https://github.com/PojavLauncherTeam/PojavLauncher/issues/3741", "show")</f>
        <v>show</v>
      </c>
      <c r="G10876" t="str">
        <f>HYPERLINK("https://github.com/PojavLauncherTeam/PojavLauncher", "show")</f>
        <v>show</v>
      </c>
      <c r="H10876" t="str">
        <f>HYPERLINK("https://github.com/PojavLauncherTeam/PojavLauncher/releases", "show")</f>
        <v>show</v>
      </c>
      <c r="I10876">
        <v>1</v>
      </c>
      <c r="J10876">
        <v>1</v>
      </c>
      <c r="K10876">
        <v>0</v>
      </c>
      <c r="L10876">
        <v>0</v>
      </c>
      <c r="M10876" t="s">
        <v>48</v>
      </c>
    </row>
    <row r="10877" spans="1:13" hidden="1" x14ac:dyDescent="0.15">
      <c r="A10877" t="s">
        <v>34345</v>
      </c>
      <c r="B10877" t="s">
        <v>34346</v>
      </c>
      <c r="C10877" t="s">
        <v>34347</v>
      </c>
      <c r="D10877" t="s">
        <v>34338</v>
      </c>
      <c r="E10877">
        <v>39</v>
      </c>
      <c r="F10877" t="str">
        <f>HYPERLINK("https://github.com/Anuken/Mindustry/issues/8007", "show")</f>
        <v>show</v>
      </c>
      <c r="G10877" t="str">
        <f>HYPERLINK("https://github.com/Anuken/Mindustry", "show")</f>
        <v>show</v>
      </c>
      <c r="H10877" t="str">
        <f>HYPERLINK("https://github.com/Anuken/Mindustry/releases", "show")</f>
        <v>show</v>
      </c>
      <c r="I10877">
        <v>0</v>
      </c>
      <c r="J10877">
        <v>0</v>
      </c>
      <c r="K10877">
        <v>0</v>
      </c>
      <c r="L10877">
        <v>0</v>
      </c>
      <c r="M10877" t="s">
        <v>43</v>
      </c>
    </row>
    <row r="10878" spans="1:13" hidden="1" x14ac:dyDescent="0.15">
      <c r="A10878" t="s">
        <v>34348</v>
      </c>
      <c r="B10878" t="s">
        <v>34349</v>
      </c>
      <c r="C10878" t="s">
        <v>34350</v>
      </c>
      <c r="D10878" t="s">
        <v>34351</v>
      </c>
      <c r="E10878">
        <v>3</v>
      </c>
      <c r="F10878" t="str">
        <f>HYPERLINK("https://github.com/michalchudziak/react-native-geolocation/issues/225", "show")</f>
        <v>show</v>
      </c>
      <c r="G10878" t="str">
        <f>HYPERLINK("https://github.com/michalchudziak/react-native-geolocation", "show")</f>
        <v>show</v>
      </c>
      <c r="H10878" t="str">
        <f>HYPERLINK("https://github.com/michalchudziak/react-native-geolocation/releases", "show")</f>
        <v>show</v>
      </c>
      <c r="I10878">
        <v>0</v>
      </c>
      <c r="J10878">
        <v>0</v>
      </c>
      <c r="K10878">
        <v>1</v>
      </c>
      <c r="L10878">
        <v>0</v>
      </c>
      <c r="M10878" t="s">
        <v>122</v>
      </c>
    </row>
    <row r="10879" spans="1:13" hidden="1" x14ac:dyDescent="0.15">
      <c r="A10879" t="s">
        <v>34352</v>
      </c>
      <c r="B10879" t="s">
        <v>34353</v>
      </c>
      <c r="C10879" t="s">
        <v>34354</v>
      </c>
      <c r="D10879" t="s">
        <v>34355</v>
      </c>
      <c r="E10879">
        <v>1</v>
      </c>
      <c r="F10879" t="str">
        <f>HYPERLINK("https://github.com/facebook/react-native/issues/35492", "show")</f>
        <v>show</v>
      </c>
      <c r="G10879" t="str">
        <f>HYPERLINK("https://github.com/facebook/react-native", "show")</f>
        <v>show</v>
      </c>
      <c r="H10879" t="str">
        <f>HYPERLINK("https://github.com/facebook/react-native/releases", "show")</f>
        <v>show</v>
      </c>
      <c r="I10879">
        <v>1</v>
      </c>
      <c r="J10879">
        <v>0</v>
      </c>
      <c r="K10879">
        <v>0</v>
      </c>
      <c r="L10879">
        <v>0</v>
      </c>
      <c r="M10879" t="s">
        <v>17</v>
      </c>
    </row>
    <row r="10880" spans="1:13" hidden="1" x14ac:dyDescent="0.15">
      <c r="A10880" t="s">
        <v>34356</v>
      </c>
      <c r="B10880" t="s">
        <v>34357</v>
      </c>
      <c r="C10880" t="s">
        <v>34358</v>
      </c>
      <c r="D10880" t="s">
        <v>34355</v>
      </c>
      <c r="E10880">
        <v>2</v>
      </c>
      <c r="F10880" t="str">
        <f>HYPERLINK("https://github.com/LawnchairLauncher/lawnchair/issues/3137", "show")</f>
        <v>show</v>
      </c>
      <c r="G10880" t="str">
        <f>HYPERLINK("https://github.com/LawnchairLauncher/lawnchair", "show")</f>
        <v>show</v>
      </c>
      <c r="H10880" t="str">
        <f>HYPERLINK("https://github.com/LawnchairLauncher/lawnchair/releases", "show")</f>
        <v>show</v>
      </c>
      <c r="I10880">
        <v>1</v>
      </c>
      <c r="J10880">
        <v>1</v>
      </c>
      <c r="K10880">
        <v>0</v>
      </c>
      <c r="L10880">
        <v>1</v>
      </c>
      <c r="M10880" t="s">
        <v>1894</v>
      </c>
    </row>
    <row r="10881" spans="1:13" hidden="1" x14ac:dyDescent="0.15">
      <c r="A10881" t="s">
        <v>34359</v>
      </c>
      <c r="B10881" t="s">
        <v>34360</v>
      </c>
      <c r="C10881" t="s">
        <v>34361</v>
      </c>
      <c r="D10881" t="s">
        <v>34355</v>
      </c>
      <c r="E10881">
        <v>71</v>
      </c>
      <c r="F10881" t="str">
        <f>HYPERLINK("https://github.com/VinylMusicPlayer/VinylMusicPlayer/issues/628", "show")</f>
        <v>show</v>
      </c>
      <c r="G10881" t="str">
        <f>HYPERLINK("https://github.com/VinylMusicPlayer/VinylMusicPlayer", "show")</f>
        <v>show</v>
      </c>
      <c r="H10881" t="str">
        <f>HYPERLINK("https://github.com/VinylMusicPlayer/VinylMusicPlayer/releases", "show")</f>
        <v>show</v>
      </c>
      <c r="I10881">
        <v>1</v>
      </c>
      <c r="J10881">
        <v>1</v>
      </c>
      <c r="K10881">
        <v>1</v>
      </c>
      <c r="L10881">
        <v>0</v>
      </c>
      <c r="M10881" t="s">
        <v>59</v>
      </c>
    </row>
    <row r="10882" spans="1:13" hidden="1" x14ac:dyDescent="0.15">
      <c r="A10882" t="s">
        <v>34362</v>
      </c>
      <c r="B10882" t="s">
        <v>34363</v>
      </c>
      <c r="C10882" t="s">
        <v>11701</v>
      </c>
      <c r="D10882" t="s">
        <v>34355</v>
      </c>
      <c r="E10882">
        <v>41</v>
      </c>
      <c r="F10882" t="str">
        <f>HYPERLINK("https://github.com/Anuken/Mindustry/issues/8001", "show")</f>
        <v>show</v>
      </c>
      <c r="G10882" t="str">
        <f>HYPERLINK("https://github.com/Anuken/Mindustry", "show")</f>
        <v>show</v>
      </c>
      <c r="H10882" t="str">
        <f>HYPERLINK("https://github.com/Anuken/Mindustry/releases", "show")</f>
        <v>show</v>
      </c>
      <c r="I10882">
        <v>1</v>
      </c>
      <c r="J10882">
        <v>1</v>
      </c>
      <c r="K10882">
        <v>0</v>
      </c>
      <c r="L10882">
        <v>0</v>
      </c>
      <c r="M10882" t="s">
        <v>48</v>
      </c>
    </row>
    <row r="10883" spans="1:13" hidden="1" x14ac:dyDescent="0.15">
      <c r="A10883" t="s">
        <v>34364</v>
      </c>
      <c r="B10883" t="s">
        <v>34365</v>
      </c>
      <c r="C10883" t="s">
        <v>34366</v>
      </c>
      <c r="D10883" t="s">
        <v>34355</v>
      </c>
      <c r="E10883">
        <v>58</v>
      </c>
      <c r="F10883" t="str">
        <f>HYPERLINK("https://github.com/PojavLauncherTeam/PojavLauncher/issues/3739", "show")</f>
        <v>show</v>
      </c>
      <c r="G10883" t="str">
        <f>HYPERLINK("https://github.com/PojavLauncherTeam/PojavLauncher", "show")</f>
        <v>show</v>
      </c>
      <c r="H10883" t="str">
        <f>HYPERLINK("https://github.com/PojavLauncherTeam/PojavLauncher/releases", "show")</f>
        <v>show</v>
      </c>
      <c r="I10883">
        <v>1</v>
      </c>
      <c r="J10883">
        <v>1</v>
      </c>
      <c r="K10883">
        <v>0</v>
      </c>
      <c r="L10883">
        <v>0</v>
      </c>
      <c r="M10883" t="s">
        <v>48</v>
      </c>
    </row>
    <row r="10884" spans="1:13" hidden="1" x14ac:dyDescent="0.15">
      <c r="A10884" t="s">
        <v>34367</v>
      </c>
      <c r="B10884" t="s">
        <v>34368</v>
      </c>
      <c r="C10884" t="s">
        <v>34369</v>
      </c>
      <c r="D10884" t="s">
        <v>34355</v>
      </c>
      <c r="E10884">
        <v>31</v>
      </c>
      <c r="F10884" t="str">
        <f>HYPERLINK("https://github.com/emanuele-f/PCAPdroid/issues/284", "show")</f>
        <v>show</v>
      </c>
      <c r="G10884" t="str">
        <f>HYPERLINK("https://github.com/emanuele-f/PCAPdroid", "show")</f>
        <v>show</v>
      </c>
      <c r="H10884" t="str">
        <f>HYPERLINK("https://github.com/emanuele-f/PCAPdroid/releases", "show")</f>
        <v>show</v>
      </c>
      <c r="I10884">
        <v>1</v>
      </c>
      <c r="J10884">
        <v>0</v>
      </c>
      <c r="K10884">
        <v>0</v>
      </c>
      <c r="L10884">
        <v>0</v>
      </c>
      <c r="M10884" t="s">
        <v>17</v>
      </c>
    </row>
    <row r="10885" spans="1:13" hidden="1" x14ac:dyDescent="0.15">
      <c r="A10885" t="s">
        <v>34370</v>
      </c>
      <c r="B10885" t="s">
        <v>34371</v>
      </c>
      <c r="C10885" t="s">
        <v>34372</v>
      </c>
      <c r="D10885" t="s">
        <v>34355</v>
      </c>
      <c r="E10885">
        <v>58</v>
      </c>
      <c r="F10885" t="str">
        <f>HYPERLINK("https://github.com/PojavLauncherTeam/PojavLauncher/issues/3737", "show")</f>
        <v>show</v>
      </c>
      <c r="G10885" t="str">
        <f>HYPERLINK("https://github.com/PojavLauncherTeam/PojavLauncher", "show")</f>
        <v>show</v>
      </c>
      <c r="H10885" t="str">
        <f>HYPERLINK("https://github.com/PojavLauncherTeam/PojavLauncher/releases", "show")</f>
        <v>show</v>
      </c>
      <c r="I10885">
        <v>1</v>
      </c>
      <c r="J10885">
        <v>1</v>
      </c>
      <c r="K10885">
        <v>0</v>
      </c>
      <c r="L10885">
        <v>1</v>
      </c>
      <c r="M10885" t="s">
        <v>1894</v>
      </c>
    </row>
    <row r="10886" spans="1:13" hidden="1" x14ac:dyDescent="0.15">
      <c r="A10886" t="s">
        <v>34373</v>
      </c>
      <c r="B10886" t="s">
        <v>34374</v>
      </c>
      <c r="D10886" t="s">
        <v>34355</v>
      </c>
      <c r="E10886">
        <v>0</v>
      </c>
      <c r="F10886" t="str">
        <f>HYPERLINK("https://github.com/CMPUT301F22T15/Foodverse/issues/81", "show")</f>
        <v>show</v>
      </c>
      <c r="G10886" t="str">
        <f>HYPERLINK("https://github.com/CMPUT301F22T15/Foodverse", "show")</f>
        <v>show</v>
      </c>
      <c r="H10886" t="str">
        <f>HYPERLINK("https://github.com/CMPUT301F22T15/Foodverse/releases", "show")</f>
        <v>show</v>
      </c>
      <c r="I10886">
        <v>1</v>
      </c>
      <c r="J10886">
        <v>0</v>
      </c>
      <c r="K10886">
        <v>0</v>
      </c>
      <c r="L10886">
        <v>0</v>
      </c>
      <c r="M10886" t="s">
        <v>17</v>
      </c>
    </row>
    <row r="10887" spans="1:13" hidden="1" x14ac:dyDescent="0.15">
      <c r="A10887" t="s">
        <v>34375</v>
      </c>
      <c r="B10887" t="s">
        <v>34376</v>
      </c>
      <c r="C10887" t="s">
        <v>34377</v>
      </c>
      <c r="D10887" t="s">
        <v>34355</v>
      </c>
      <c r="E10887">
        <v>41</v>
      </c>
      <c r="F10887" t="str">
        <f>HYPERLINK("https://github.com/Anuken/Mindustry/issues/7999", "show")</f>
        <v>show</v>
      </c>
      <c r="G10887" t="str">
        <f>HYPERLINK("https://github.com/Anuken/Mindustry", "show")</f>
        <v>show</v>
      </c>
      <c r="H10887" t="str">
        <f>HYPERLINK("https://github.com/Anuken/Mindustry/releases", "show")</f>
        <v>show</v>
      </c>
      <c r="I10887">
        <v>0</v>
      </c>
      <c r="J10887">
        <v>1</v>
      </c>
      <c r="K10887">
        <v>0</v>
      </c>
      <c r="L10887">
        <v>1</v>
      </c>
      <c r="M10887" t="s">
        <v>1732</v>
      </c>
    </row>
    <row r="10888" spans="1:13" hidden="1" x14ac:dyDescent="0.15">
      <c r="A10888" t="s">
        <v>34378</v>
      </c>
      <c r="B10888" t="s">
        <v>34379</v>
      </c>
      <c r="C10888" t="s">
        <v>34380</v>
      </c>
      <c r="D10888" t="s">
        <v>34381</v>
      </c>
      <c r="E10888">
        <v>42</v>
      </c>
      <c r="F10888" t="str">
        <f>HYPERLINK("https://github.com/Anuken/Mindustry/issues/7998", "show")</f>
        <v>show</v>
      </c>
      <c r="G10888" t="str">
        <f>HYPERLINK("https://github.com/Anuken/Mindustry", "show")</f>
        <v>show</v>
      </c>
      <c r="H10888" t="str">
        <f>HYPERLINK("https://github.com/Anuken/Mindustry/releases", "show")</f>
        <v>show</v>
      </c>
      <c r="I10888">
        <v>0</v>
      </c>
      <c r="J10888">
        <v>0</v>
      </c>
      <c r="K10888">
        <v>0</v>
      </c>
      <c r="L10888">
        <v>1</v>
      </c>
      <c r="M10888" t="s">
        <v>581</v>
      </c>
    </row>
    <row r="10889" spans="1:13" hidden="1" x14ac:dyDescent="0.15">
      <c r="A10889" t="s">
        <v>34382</v>
      </c>
      <c r="B10889" t="s">
        <v>34383</v>
      </c>
      <c r="C10889" t="s">
        <v>34384</v>
      </c>
      <c r="D10889" t="s">
        <v>34381</v>
      </c>
      <c r="E10889">
        <v>42</v>
      </c>
      <c r="F10889" t="str">
        <f>HYPERLINK("https://github.com/Anuken/Mindustry/issues/7997", "show")</f>
        <v>show</v>
      </c>
      <c r="G10889" t="str">
        <f>HYPERLINK("https://github.com/Anuken/Mindustry", "show")</f>
        <v>show</v>
      </c>
      <c r="H10889" t="str">
        <f>HYPERLINK("https://github.com/Anuken/Mindustry/releases", "show")</f>
        <v>show</v>
      </c>
      <c r="I10889">
        <v>0</v>
      </c>
      <c r="J10889">
        <v>0</v>
      </c>
      <c r="K10889">
        <v>0</v>
      </c>
      <c r="L10889">
        <v>0</v>
      </c>
      <c r="M10889" t="s">
        <v>43</v>
      </c>
    </row>
    <row r="10890" spans="1:13" hidden="1" x14ac:dyDescent="0.15">
      <c r="A10890" t="s">
        <v>34385</v>
      </c>
      <c r="B10890" t="s">
        <v>34386</v>
      </c>
      <c r="C10890" t="s">
        <v>34387</v>
      </c>
      <c r="D10890" t="s">
        <v>34381</v>
      </c>
      <c r="E10890">
        <v>0</v>
      </c>
      <c r="F10890" t="str">
        <f>HYPERLINK("https://github.com/PojavLauncherTeam/PojavLauncher/issues/3735", "show")</f>
        <v>show</v>
      </c>
      <c r="G10890" t="str">
        <f>HYPERLINK("https://github.com/PojavLauncherTeam/PojavLauncher", "show")</f>
        <v>show</v>
      </c>
      <c r="H10890" t="str">
        <f>HYPERLINK("https://github.com/PojavLauncherTeam/PojavLauncher/releases", "show")</f>
        <v>show</v>
      </c>
      <c r="I10890">
        <v>0</v>
      </c>
      <c r="J10890">
        <v>1</v>
      </c>
      <c r="K10890">
        <v>0</v>
      </c>
      <c r="L10890">
        <v>1</v>
      </c>
      <c r="M10890" t="s">
        <v>1732</v>
      </c>
    </row>
    <row r="10891" spans="1:13" hidden="1" x14ac:dyDescent="0.15">
      <c r="A10891" t="s">
        <v>34388</v>
      </c>
      <c r="B10891" t="s">
        <v>34389</v>
      </c>
      <c r="C10891" t="s">
        <v>34390</v>
      </c>
      <c r="D10891" t="s">
        <v>34381</v>
      </c>
      <c r="E10891">
        <v>0</v>
      </c>
      <c r="F10891" t="str">
        <f>HYPERLINK("https://github.com/cgeo/cgeo/issues/13731", "show")</f>
        <v>show</v>
      </c>
      <c r="G10891" t="str">
        <f>HYPERLINK("https://github.com/cgeo/cgeo", "show")</f>
        <v>show</v>
      </c>
      <c r="H10891" t="str">
        <f>HYPERLINK("https://github.com/cgeo/cgeo/releases", "show")</f>
        <v>show</v>
      </c>
      <c r="I10891">
        <v>1</v>
      </c>
      <c r="J10891">
        <v>1</v>
      </c>
      <c r="K10891">
        <v>1</v>
      </c>
      <c r="L10891">
        <v>0</v>
      </c>
      <c r="M10891" t="s">
        <v>59</v>
      </c>
    </row>
    <row r="10892" spans="1:13" hidden="1" x14ac:dyDescent="0.15">
      <c r="A10892" t="s">
        <v>34391</v>
      </c>
      <c r="B10892" t="s">
        <v>34392</v>
      </c>
      <c r="C10892" t="s">
        <v>34393</v>
      </c>
      <c r="D10892" t="s">
        <v>34381</v>
      </c>
      <c r="E10892">
        <v>0</v>
      </c>
      <c r="F10892" t="str">
        <f>HYPERLINK("https://github.com/cgeo/cgeo/issues/13730", "show")</f>
        <v>show</v>
      </c>
      <c r="G10892" t="str">
        <f>HYPERLINK("https://github.com/cgeo/cgeo", "show")</f>
        <v>show</v>
      </c>
      <c r="H10892" t="str">
        <f>HYPERLINK("https://github.com/cgeo/cgeo/releases", "show")</f>
        <v>show</v>
      </c>
      <c r="I10892">
        <v>1</v>
      </c>
      <c r="J10892">
        <v>1</v>
      </c>
      <c r="K10892">
        <v>1</v>
      </c>
      <c r="L10892">
        <v>0</v>
      </c>
      <c r="M10892" t="s">
        <v>59</v>
      </c>
    </row>
    <row r="10893" spans="1:13" hidden="1" x14ac:dyDescent="0.15">
      <c r="A10893" t="s">
        <v>34394</v>
      </c>
      <c r="B10893" t="s">
        <v>34395</v>
      </c>
      <c r="C10893" t="s">
        <v>34396</v>
      </c>
      <c r="D10893" t="s">
        <v>34381</v>
      </c>
      <c r="E10893">
        <v>4</v>
      </c>
      <c r="F10893" t="str">
        <f>HYPERLINK("https://github.com/nextcloud/android/issues/11096", "show")</f>
        <v>show</v>
      </c>
      <c r="G10893" t="str">
        <f>HYPERLINK("https://github.com/nextcloud/android", "show")</f>
        <v>show</v>
      </c>
      <c r="H10893" t="str">
        <f>HYPERLINK("https://github.com/nextcloud/android/releases", "show")</f>
        <v>show</v>
      </c>
      <c r="I10893">
        <v>1</v>
      </c>
      <c r="J10893">
        <v>1</v>
      </c>
      <c r="K10893">
        <v>0</v>
      </c>
      <c r="L10893">
        <v>0</v>
      </c>
      <c r="M10893" t="s">
        <v>48</v>
      </c>
    </row>
    <row r="10894" spans="1:13" hidden="1" x14ac:dyDescent="0.15">
      <c r="A10894" t="s">
        <v>34397</v>
      </c>
      <c r="B10894" t="s">
        <v>34398</v>
      </c>
      <c r="C10894" t="s">
        <v>34399</v>
      </c>
      <c r="D10894" t="s">
        <v>34381</v>
      </c>
      <c r="E10894">
        <v>3</v>
      </c>
      <c r="F10894" t="str">
        <f>HYPERLINK("https://github.com/LawnchairLauncher/lawnchair/issues/3131", "show")</f>
        <v>show</v>
      </c>
      <c r="G10894" t="str">
        <f>HYPERLINK("https://github.com/LawnchairLauncher/lawnchair", "show")</f>
        <v>show</v>
      </c>
      <c r="H10894" t="str">
        <f>HYPERLINK("https://github.com/LawnchairLauncher/lawnchair/releases", "show")</f>
        <v>show</v>
      </c>
      <c r="I10894">
        <v>1</v>
      </c>
      <c r="J10894">
        <v>1</v>
      </c>
      <c r="K10894">
        <v>0</v>
      </c>
      <c r="L10894">
        <v>0</v>
      </c>
      <c r="M10894" t="s">
        <v>48</v>
      </c>
    </row>
    <row r="10895" spans="1:13" hidden="1" x14ac:dyDescent="0.15">
      <c r="A10895" t="s">
        <v>34400</v>
      </c>
      <c r="B10895" t="s">
        <v>34401</v>
      </c>
      <c r="C10895" t="s">
        <v>34402</v>
      </c>
      <c r="D10895" t="s">
        <v>34381</v>
      </c>
      <c r="E10895">
        <v>31</v>
      </c>
      <c r="F10895" t="str">
        <f>HYPERLINK("https://github.com/itsdrnoob/DataMonitor/issues/83", "show")</f>
        <v>show</v>
      </c>
      <c r="G10895" t="str">
        <f>HYPERLINK("https://github.com/itsdrnoob/DataMonitor", "show")</f>
        <v>show</v>
      </c>
      <c r="H10895" t="str">
        <f>HYPERLINK("https://github.com/itsdrnoob/DataMonitor/releases", "show")</f>
        <v>show</v>
      </c>
      <c r="I10895">
        <v>1</v>
      </c>
      <c r="J10895">
        <v>1</v>
      </c>
      <c r="K10895">
        <v>1</v>
      </c>
      <c r="L10895">
        <v>0</v>
      </c>
      <c r="M10895" t="s">
        <v>59</v>
      </c>
    </row>
    <row r="10896" spans="1:13" hidden="1" x14ac:dyDescent="0.15">
      <c r="A10896" t="s">
        <v>34403</v>
      </c>
      <c r="B10896" t="s">
        <v>34404</v>
      </c>
      <c r="C10896" t="s">
        <v>34405</v>
      </c>
      <c r="D10896" t="s">
        <v>34406</v>
      </c>
      <c r="E10896">
        <v>12</v>
      </c>
      <c r="F10896" t="str">
        <f>HYPERLINK("https://github.com/jellyfin/jellyfin-androidtv/issues/2291", "show")</f>
        <v>show</v>
      </c>
      <c r="G10896" t="str">
        <f>HYPERLINK("https://github.com/jellyfin/jellyfin-androidtv", "show")</f>
        <v>show</v>
      </c>
      <c r="H10896" t="str">
        <f>HYPERLINK("https://github.com/jellyfin/jellyfin-androidtv/releases", "show")</f>
        <v>show</v>
      </c>
      <c r="I10896">
        <v>0</v>
      </c>
      <c r="J10896">
        <v>1</v>
      </c>
      <c r="K10896">
        <v>1</v>
      </c>
      <c r="L10896">
        <v>0</v>
      </c>
      <c r="M10896" t="s">
        <v>699</v>
      </c>
    </row>
    <row r="10897" spans="1:13" hidden="1" x14ac:dyDescent="0.15">
      <c r="A10897" t="s">
        <v>34407</v>
      </c>
      <c r="B10897" t="s">
        <v>34408</v>
      </c>
      <c r="C10897" t="s">
        <v>34409</v>
      </c>
      <c r="D10897" t="s">
        <v>34406</v>
      </c>
      <c r="E10897">
        <v>43</v>
      </c>
      <c r="F10897" t="str">
        <f>HYPERLINK("https://github.com/Anuken/Mindustry/issues/7996", "show")</f>
        <v>show</v>
      </c>
      <c r="G10897" t="str">
        <f>HYPERLINK("https://github.com/Anuken/Mindustry", "show")</f>
        <v>show</v>
      </c>
      <c r="H10897" t="str">
        <f>HYPERLINK("https://github.com/Anuken/Mindustry/releases", "show")</f>
        <v>show</v>
      </c>
      <c r="I10897">
        <v>0</v>
      </c>
      <c r="J10897">
        <v>0</v>
      </c>
      <c r="K10897">
        <v>0</v>
      </c>
      <c r="L10897">
        <v>0</v>
      </c>
      <c r="M10897" t="s">
        <v>43</v>
      </c>
    </row>
    <row r="10898" spans="1:13" hidden="1" x14ac:dyDescent="0.15">
      <c r="A10898" t="s">
        <v>34410</v>
      </c>
      <c r="B10898" t="s">
        <v>34411</v>
      </c>
      <c r="C10898" t="s">
        <v>34412</v>
      </c>
      <c r="D10898" t="s">
        <v>34406</v>
      </c>
      <c r="E10898">
        <v>43</v>
      </c>
      <c r="F10898" t="str">
        <f>HYPERLINK("https://github.com/Anuken/Mindustry/issues/7995", "show")</f>
        <v>show</v>
      </c>
      <c r="G10898" t="str">
        <f>HYPERLINK("https://github.com/Anuken/Mindustry", "show")</f>
        <v>show</v>
      </c>
      <c r="H10898" t="str">
        <f>HYPERLINK("https://github.com/Anuken/Mindustry/releases", "show")</f>
        <v>show</v>
      </c>
      <c r="I10898">
        <v>1</v>
      </c>
      <c r="J10898">
        <v>1</v>
      </c>
      <c r="K10898">
        <v>0</v>
      </c>
      <c r="L10898">
        <v>0</v>
      </c>
      <c r="M10898" t="s">
        <v>48</v>
      </c>
    </row>
    <row r="10899" spans="1:13" hidden="1" x14ac:dyDescent="0.15">
      <c r="A10899" t="s">
        <v>34413</v>
      </c>
      <c r="B10899" t="s">
        <v>34414</v>
      </c>
      <c r="C10899" t="s">
        <v>34415</v>
      </c>
      <c r="D10899" t="s">
        <v>34406</v>
      </c>
      <c r="E10899">
        <v>43</v>
      </c>
      <c r="F10899" t="str">
        <f>HYPERLINK("https://github.com/Anuken/Mindustry/issues/7994", "show")</f>
        <v>show</v>
      </c>
      <c r="G10899" t="str">
        <f>HYPERLINK("https://github.com/Anuken/Mindustry", "show")</f>
        <v>show</v>
      </c>
      <c r="H10899" t="str">
        <f>HYPERLINK("https://github.com/Anuken/Mindustry/releases", "show")</f>
        <v>show</v>
      </c>
      <c r="I10899">
        <v>1</v>
      </c>
      <c r="J10899">
        <v>1</v>
      </c>
      <c r="K10899">
        <v>0</v>
      </c>
      <c r="L10899">
        <v>1</v>
      </c>
      <c r="M10899" t="s">
        <v>1894</v>
      </c>
    </row>
    <row r="10900" spans="1:13" hidden="1" x14ac:dyDescent="0.15">
      <c r="A10900" t="s">
        <v>34416</v>
      </c>
      <c r="B10900" t="s">
        <v>4312</v>
      </c>
      <c r="C10900" t="s">
        <v>34417</v>
      </c>
      <c r="D10900" t="s">
        <v>34406</v>
      </c>
      <c r="E10900">
        <v>3</v>
      </c>
      <c r="F10900" t="str">
        <f>HYPERLINK("https://github.com/trungdunghoang125/Alpha-Radio/issues/6", "show")</f>
        <v>show</v>
      </c>
      <c r="G10900" t="str">
        <f>HYPERLINK("https://github.com/trungdunghoang125/Alpha-Radio", "show")</f>
        <v>show</v>
      </c>
      <c r="H10900" t="str">
        <f>HYPERLINK("https://github.com/trungdunghoang125/Alpha-Radio/releases", "show")</f>
        <v>show</v>
      </c>
      <c r="I10900">
        <v>1</v>
      </c>
      <c r="J10900">
        <v>0</v>
      </c>
      <c r="K10900">
        <v>0</v>
      </c>
      <c r="L10900">
        <v>0</v>
      </c>
      <c r="M10900" t="s">
        <v>17</v>
      </c>
    </row>
    <row r="10901" spans="1:13" hidden="1" x14ac:dyDescent="0.15">
      <c r="A10901" t="s">
        <v>34418</v>
      </c>
      <c r="B10901" t="s">
        <v>34419</v>
      </c>
      <c r="C10901" t="s">
        <v>34420</v>
      </c>
      <c r="D10901" t="s">
        <v>34406</v>
      </c>
      <c r="E10901">
        <v>1</v>
      </c>
      <c r="F10901" t="str">
        <f>HYPERLINK("https://github.com/CMPUT301F22T02/well-fed/issues/242", "show")</f>
        <v>show</v>
      </c>
      <c r="G10901" t="str">
        <f>HYPERLINK("https://github.com/CMPUT301F22T02/well-fed", "show")</f>
        <v>show</v>
      </c>
      <c r="H10901" t="str">
        <f>HYPERLINK("https://github.com/CMPUT301F22T02/well-fed/releases", "show")</f>
        <v>show</v>
      </c>
      <c r="I10901">
        <v>1</v>
      </c>
      <c r="J10901">
        <v>0</v>
      </c>
      <c r="K10901">
        <v>1</v>
      </c>
      <c r="L10901">
        <v>0</v>
      </c>
      <c r="M10901" t="s">
        <v>64</v>
      </c>
    </row>
    <row r="10902" spans="1:13" hidden="1" x14ac:dyDescent="0.15">
      <c r="A10902" t="s">
        <v>34421</v>
      </c>
      <c r="B10902" t="s">
        <v>34422</v>
      </c>
      <c r="C10902" t="s">
        <v>34423</v>
      </c>
      <c r="D10902" t="s">
        <v>34406</v>
      </c>
      <c r="E10902">
        <v>2</v>
      </c>
      <c r="F10902" t="str">
        <f>HYPERLINK("https://github.com/AndroidIDEOfficial/AndroidIDE/issues/628", "show")</f>
        <v>show</v>
      </c>
      <c r="G10902" t="str">
        <f>HYPERLINK("https://github.com/AndroidIDEOfficial/AndroidIDE", "show")</f>
        <v>show</v>
      </c>
      <c r="H10902" t="str">
        <f>HYPERLINK("https://github.com/AndroidIDEOfficial/AndroidIDE/releases", "show")</f>
        <v>show</v>
      </c>
      <c r="I10902">
        <v>1</v>
      </c>
      <c r="J10902">
        <v>0</v>
      </c>
      <c r="K10902">
        <v>1</v>
      </c>
      <c r="L10902">
        <v>0</v>
      </c>
      <c r="M10902" t="s">
        <v>64</v>
      </c>
    </row>
    <row r="10903" spans="1:13" hidden="1" x14ac:dyDescent="0.15">
      <c r="A10903" t="s">
        <v>34424</v>
      </c>
      <c r="B10903" t="s">
        <v>34425</v>
      </c>
      <c r="C10903" t="s">
        <v>34426</v>
      </c>
      <c r="D10903" t="s">
        <v>34406</v>
      </c>
      <c r="E10903">
        <v>1</v>
      </c>
      <c r="F10903" t="str">
        <f>HYPERLINK("https://github.com/CMPUT301F22T02/well-fed/issues/237", "show")</f>
        <v>show</v>
      </c>
      <c r="G10903" t="str">
        <f>HYPERLINK("https://github.com/CMPUT301F22T02/well-fed", "show")</f>
        <v>show</v>
      </c>
      <c r="H10903" t="str">
        <f>HYPERLINK("https://github.com/CMPUT301F22T02/well-fed/releases", "show")</f>
        <v>show</v>
      </c>
      <c r="I10903">
        <v>1</v>
      </c>
      <c r="J10903">
        <v>0</v>
      </c>
      <c r="K10903">
        <v>0</v>
      </c>
      <c r="L10903">
        <v>0</v>
      </c>
      <c r="M10903" t="s">
        <v>17</v>
      </c>
    </row>
    <row r="10904" spans="1:13" hidden="1" x14ac:dyDescent="0.15">
      <c r="A10904" t="s">
        <v>34427</v>
      </c>
      <c r="B10904" t="s">
        <v>34428</v>
      </c>
      <c r="C10904" t="s">
        <v>34429</v>
      </c>
      <c r="D10904" t="s">
        <v>34430</v>
      </c>
      <c r="E10904">
        <v>2</v>
      </c>
      <c r="F10904" t="str">
        <f>HYPERLINK("https://github.com/CMPUT301F22T02/well-fed/issues/215", "show")</f>
        <v>show</v>
      </c>
      <c r="G10904" t="str">
        <f>HYPERLINK("https://github.com/CMPUT301F22T02/well-fed", "show")</f>
        <v>show</v>
      </c>
      <c r="H10904" t="str">
        <f>HYPERLINK("https://github.com/CMPUT301F22T02/well-fed/releases", "show")</f>
        <v>show</v>
      </c>
      <c r="I10904">
        <v>1</v>
      </c>
      <c r="J10904">
        <v>1</v>
      </c>
      <c r="K10904">
        <v>0</v>
      </c>
      <c r="L10904">
        <v>0</v>
      </c>
      <c r="M10904" t="s">
        <v>48</v>
      </c>
    </row>
    <row r="10905" spans="1:13" hidden="1" x14ac:dyDescent="0.15">
      <c r="A10905" t="s">
        <v>34431</v>
      </c>
      <c r="B10905" t="s">
        <v>34432</v>
      </c>
      <c r="C10905" t="s">
        <v>34433</v>
      </c>
      <c r="D10905" t="s">
        <v>34430</v>
      </c>
      <c r="E10905">
        <v>1</v>
      </c>
      <c r="F10905" t="str">
        <f>HYPERLINK("https://github.com/CMPUT301F22T02/well-fed/issues/212", "show")</f>
        <v>show</v>
      </c>
      <c r="G10905" t="str">
        <f>HYPERLINK("https://github.com/CMPUT301F22T02/well-fed", "show")</f>
        <v>show</v>
      </c>
      <c r="H10905" t="str">
        <f>HYPERLINK("https://github.com/CMPUT301F22T02/well-fed/releases", "show")</f>
        <v>show</v>
      </c>
      <c r="I10905">
        <v>1</v>
      </c>
      <c r="J10905">
        <v>0</v>
      </c>
      <c r="K10905">
        <v>0</v>
      </c>
      <c r="L10905">
        <v>0</v>
      </c>
      <c r="M10905" t="s">
        <v>17</v>
      </c>
    </row>
    <row r="10906" spans="1:13" hidden="1" x14ac:dyDescent="0.15">
      <c r="A10906" t="s">
        <v>34434</v>
      </c>
      <c r="B10906" t="s">
        <v>34435</v>
      </c>
      <c r="C10906" t="s">
        <v>34436</v>
      </c>
      <c r="D10906" t="s">
        <v>34430</v>
      </c>
      <c r="E10906">
        <v>2</v>
      </c>
      <c r="F10906" t="str">
        <f>HYPERLINK("https://github.com/CMPUT301F22T02/well-fed/issues/210", "show")</f>
        <v>show</v>
      </c>
      <c r="G10906" t="str">
        <f>HYPERLINK("https://github.com/CMPUT301F22T02/well-fed", "show")</f>
        <v>show</v>
      </c>
      <c r="H10906" t="str">
        <f>HYPERLINK("https://github.com/CMPUT301F22T02/well-fed/releases", "show")</f>
        <v>show</v>
      </c>
      <c r="I10906">
        <v>1</v>
      </c>
      <c r="J10906">
        <v>0</v>
      </c>
      <c r="K10906">
        <v>0</v>
      </c>
      <c r="L10906">
        <v>0</v>
      </c>
      <c r="M10906" t="s">
        <v>17</v>
      </c>
    </row>
    <row r="10907" spans="1:13" hidden="1" x14ac:dyDescent="0.15">
      <c r="A10907" t="s">
        <v>34437</v>
      </c>
      <c r="B10907" t="s">
        <v>34438</v>
      </c>
      <c r="C10907" t="s">
        <v>34439</v>
      </c>
      <c r="D10907" t="s">
        <v>34440</v>
      </c>
      <c r="E10907">
        <v>126</v>
      </c>
      <c r="F10907" t="str">
        <f>HYPERLINK("https://github.com/tradle/react-native-udp/issues/223", "show")</f>
        <v>show</v>
      </c>
      <c r="G10907" t="str">
        <f>HYPERLINK("https://github.com/tradle/react-native-udp", "show")</f>
        <v>show</v>
      </c>
      <c r="H10907" t="str">
        <f>HYPERLINK("https://github.com/tradle/react-native-udp/releases", "show")</f>
        <v>show</v>
      </c>
      <c r="I10907">
        <v>0</v>
      </c>
      <c r="J10907">
        <v>0</v>
      </c>
      <c r="K10907">
        <v>0</v>
      </c>
      <c r="L10907">
        <v>0</v>
      </c>
      <c r="M10907" t="s">
        <v>43</v>
      </c>
    </row>
    <row r="10908" spans="1:13" hidden="1" x14ac:dyDescent="0.15">
      <c r="A10908" t="s">
        <v>34441</v>
      </c>
      <c r="B10908" t="s">
        <v>34442</v>
      </c>
      <c r="C10908" t="s">
        <v>34443</v>
      </c>
      <c r="D10908" t="s">
        <v>34440</v>
      </c>
      <c r="E10908">
        <v>240</v>
      </c>
      <c r="F10908" t="str">
        <f>HYPERLINK("https://github.com/googleads/googleads-mobile-flutter/issues/704", "show")</f>
        <v>show</v>
      </c>
      <c r="G10908" t="str">
        <f>HYPERLINK("https://github.com/googleads/googleads-mobile-flutter", "show")</f>
        <v>show</v>
      </c>
      <c r="H10908" t="str">
        <f>HYPERLINK("https://github.com/googleads/googleads-mobile-flutter/releases", "show")</f>
        <v>show</v>
      </c>
      <c r="I10908">
        <v>0</v>
      </c>
      <c r="J10908">
        <v>0</v>
      </c>
      <c r="K10908">
        <v>0</v>
      </c>
      <c r="L10908">
        <v>0</v>
      </c>
      <c r="M10908" t="s">
        <v>43</v>
      </c>
    </row>
    <row r="10909" spans="1:13" hidden="1" x14ac:dyDescent="0.15">
      <c r="A10909" t="s">
        <v>34444</v>
      </c>
      <c r="B10909" t="s">
        <v>34445</v>
      </c>
      <c r="C10909" t="s">
        <v>34446</v>
      </c>
      <c r="D10909" t="s">
        <v>34440</v>
      </c>
      <c r="E10909">
        <v>19</v>
      </c>
      <c r="F10909" t="str">
        <f>HYPERLINK("https://github.com/org-SCAN/android-app/issues/139", "show")</f>
        <v>show</v>
      </c>
      <c r="G10909" t="str">
        <f>HYPERLINK("https://github.com/org-SCAN/android-app", "show")</f>
        <v>show</v>
      </c>
      <c r="H10909" t="str">
        <f>HYPERLINK("https://github.com/org-SCAN/android-app/releases", "show")</f>
        <v>show</v>
      </c>
      <c r="I10909">
        <v>1</v>
      </c>
      <c r="J10909">
        <v>1</v>
      </c>
      <c r="K10909">
        <v>0</v>
      </c>
      <c r="L10909">
        <v>0</v>
      </c>
      <c r="M10909" t="s">
        <v>48</v>
      </c>
    </row>
    <row r="10910" spans="1:13" hidden="1" x14ac:dyDescent="0.15">
      <c r="A10910" t="s">
        <v>34447</v>
      </c>
      <c r="B10910" t="s">
        <v>34448</v>
      </c>
      <c r="C10910" t="s">
        <v>34449</v>
      </c>
      <c r="D10910" t="s">
        <v>34440</v>
      </c>
      <c r="E10910">
        <v>16</v>
      </c>
      <c r="F10910" t="str">
        <f>HYPERLINK("https://github.com/tstewart/Today-I/issues/82", "show")</f>
        <v>show</v>
      </c>
      <c r="G10910" t="str">
        <f>HYPERLINK("https://github.com/tstewart/Today-I", "show")</f>
        <v>show</v>
      </c>
      <c r="H10910" t="str">
        <f>HYPERLINK("https://github.com/tstewart/Today-I/releases", "show")</f>
        <v>show</v>
      </c>
      <c r="I10910">
        <v>1</v>
      </c>
      <c r="J10910">
        <v>1</v>
      </c>
      <c r="K10910">
        <v>0</v>
      </c>
      <c r="L10910">
        <v>0</v>
      </c>
      <c r="M10910" t="s">
        <v>48</v>
      </c>
    </row>
    <row r="10911" spans="1:13" hidden="1" x14ac:dyDescent="0.15">
      <c r="A10911" t="s">
        <v>34450</v>
      </c>
      <c r="B10911" t="s">
        <v>34451</v>
      </c>
      <c r="C10911" t="s">
        <v>34452</v>
      </c>
      <c r="D10911" t="s">
        <v>34440</v>
      </c>
      <c r="E10911">
        <v>45</v>
      </c>
      <c r="F10911" t="str">
        <f>HYPERLINK("https://github.com/Anuken/Mindustry/issues/7986", "show")</f>
        <v>show</v>
      </c>
      <c r="G10911" t="str">
        <f>HYPERLINK("https://github.com/Anuken/Mindustry", "show")</f>
        <v>show</v>
      </c>
      <c r="H10911" t="str">
        <f>HYPERLINK("https://github.com/Anuken/Mindustry/releases", "show")</f>
        <v>show</v>
      </c>
      <c r="I10911">
        <v>1</v>
      </c>
      <c r="J10911">
        <v>1</v>
      </c>
      <c r="K10911">
        <v>0</v>
      </c>
      <c r="L10911">
        <v>0</v>
      </c>
      <c r="M10911" t="s">
        <v>48</v>
      </c>
    </row>
    <row r="10912" spans="1:13" hidden="1" x14ac:dyDescent="0.15">
      <c r="A10912" t="s">
        <v>34453</v>
      </c>
      <c r="B10912" t="s">
        <v>34454</v>
      </c>
      <c r="C10912" t="s">
        <v>34455</v>
      </c>
      <c r="D10912" t="s">
        <v>34440</v>
      </c>
      <c r="E10912">
        <v>62</v>
      </c>
      <c r="F10912" t="str">
        <f>HYPERLINK("https://github.com/PojavLauncherTeam/PojavLauncher/issues/3726", "show")</f>
        <v>show</v>
      </c>
      <c r="G10912" t="str">
        <f>HYPERLINK("https://github.com/PojavLauncherTeam/PojavLauncher", "show")</f>
        <v>show</v>
      </c>
      <c r="H10912" t="str">
        <f>HYPERLINK("https://github.com/PojavLauncherTeam/PojavLauncher/releases", "show")</f>
        <v>show</v>
      </c>
      <c r="I10912">
        <v>1</v>
      </c>
      <c r="J10912">
        <v>1</v>
      </c>
      <c r="K10912">
        <v>1</v>
      </c>
      <c r="L10912">
        <v>0</v>
      </c>
      <c r="M10912" t="s">
        <v>59</v>
      </c>
    </row>
    <row r="10913" spans="1:13" hidden="1" x14ac:dyDescent="0.15">
      <c r="A10913" t="s">
        <v>34456</v>
      </c>
      <c r="B10913" t="s">
        <v>34457</v>
      </c>
      <c r="C10913" t="s">
        <v>34458</v>
      </c>
      <c r="D10913" t="s">
        <v>34459</v>
      </c>
      <c r="E10913">
        <v>2</v>
      </c>
      <c r="F10913" t="str">
        <f>HYPERLINK("https://github.com/cgeo/cgeo/issues/13715", "show")</f>
        <v>show</v>
      </c>
      <c r="G10913" t="str">
        <f>HYPERLINK("https://github.com/cgeo/cgeo", "show")</f>
        <v>show</v>
      </c>
      <c r="H10913" t="str">
        <f>HYPERLINK("https://github.com/cgeo/cgeo/releases", "show")</f>
        <v>show</v>
      </c>
      <c r="I10913">
        <v>1</v>
      </c>
      <c r="J10913">
        <v>1</v>
      </c>
      <c r="K10913">
        <v>1</v>
      </c>
      <c r="L10913">
        <v>0</v>
      </c>
      <c r="M10913" t="s">
        <v>59</v>
      </c>
    </row>
    <row r="10914" spans="1:13" hidden="1" x14ac:dyDescent="0.15">
      <c r="A10914" t="s">
        <v>34460</v>
      </c>
      <c r="B10914" t="s">
        <v>34461</v>
      </c>
      <c r="C10914" t="s">
        <v>34462</v>
      </c>
      <c r="D10914" t="s">
        <v>34459</v>
      </c>
      <c r="E10914">
        <v>0</v>
      </c>
      <c r="F10914" t="str">
        <f>HYPERLINK("https://github.com/CMPUT301F22T12/Mealr/issues/106", "show")</f>
        <v>show</v>
      </c>
      <c r="G10914" t="str">
        <f>HYPERLINK("https://github.com/CMPUT301F22T12/Mealr", "show")</f>
        <v>show</v>
      </c>
      <c r="H10914" t="str">
        <f>HYPERLINK("https://github.com/CMPUT301F22T12/Mealr/releases", "show")</f>
        <v>show</v>
      </c>
      <c r="I10914">
        <v>1</v>
      </c>
      <c r="J10914">
        <v>0</v>
      </c>
      <c r="K10914">
        <v>0</v>
      </c>
      <c r="L10914">
        <v>0</v>
      </c>
      <c r="M10914" t="s">
        <v>17</v>
      </c>
    </row>
    <row r="10915" spans="1:13" hidden="1" x14ac:dyDescent="0.15">
      <c r="A10915" t="s">
        <v>34463</v>
      </c>
      <c r="B10915" t="s">
        <v>34464</v>
      </c>
      <c r="D10915" t="s">
        <v>34465</v>
      </c>
      <c r="E10915">
        <v>2</v>
      </c>
      <c r="F10915" t="str">
        <f>HYPERLINK("https://github.com/CMPUT301F22T14/GetYourGroceries/issues/90", "show")</f>
        <v>show</v>
      </c>
      <c r="G10915" t="str">
        <f>HYPERLINK("https://github.com/CMPUT301F22T14/GetYourGroceries", "show")</f>
        <v>show</v>
      </c>
      <c r="H10915" t="str">
        <f>HYPERLINK("https://github.com/CMPUT301F22T14/GetYourGroceries/releases", "show")</f>
        <v>show</v>
      </c>
      <c r="I10915">
        <v>1</v>
      </c>
      <c r="J10915">
        <v>0</v>
      </c>
      <c r="K10915">
        <v>0</v>
      </c>
      <c r="L10915">
        <v>0</v>
      </c>
      <c r="M10915" t="s">
        <v>17</v>
      </c>
    </row>
    <row r="10916" spans="1:13" hidden="1" x14ac:dyDescent="0.15">
      <c r="A10916" t="s">
        <v>34466</v>
      </c>
      <c r="B10916" t="s">
        <v>34467</v>
      </c>
      <c r="C10916" t="s">
        <v>34468</v>
      </c>
      <c r="D10916" t="s">
        <v>34465</v>
      </c>
      <c r="E10916">
        <v>16</v>
      </c>
      <c r="F10916" t="str">
        <f>HYPERLINK("https://github.com/jellyfin/jellyfin-androidtv/issues/2283", "show")</f>
        <v>show</v>
      </c>
      <c r="G10916" t="str">
        <f>HYPERLINK("https://github.com/jellyfin/jellyfin-androidtv", "show")</f>
        <v>show</v>
      </c>
      <c r="H10916" t="str">
        <f>HYPERLINK("https://github.com/jellyfin/jellyfin-androidtv/releases", "show")</f>
        <v>show</v>
      </c>
      <c r="I10916">
        <v>0</v>
      </c>
      <c r="J10916">
        <v>0</v>
      </c>
      <c r="K10916">
        <v>1</v>
      </c>
      <c r="L10916">
        <v>0</v>
      </c>
      <c r="M10916" t="s">
        <v>122</v>
      </c>
    </row>
    <row r="10917" spans="1:13" hidden="1" x14ac:dyDescent="0.15">
      <c r="A10917" t="s">
        <v>34469</v>
      </c>
      <c r="B10917" t="s">
        <v>34470</v>
      </c>
      <c r="C10917" t="s">
        <v>34471</v>
      </c>
      <c r="D10917" t="s">
        <v>34465</v>
      </c>
      <c r="E10917">
        <v>8</v>
      </c>
      <c r="F10917" t="str">
        <f>HYPERLINK("https://github.com/jellyfin/jellyfin-androidtv/issues/2281", "show")</f>
        <v>show</v>
      </c>
      <c r="G10917" t="str">
        <f>HYPERLINK("https://github.com/jellyfin/jellyfin-androidtv", "show")</f>
        <v>show</v>
      </c>
      <c r="H10917" t="str">
        <f>HYPERLINK("https://github.com/jellyfin/jellyfin-androidtv/releases", "show")</f>
        <v>show</v>
      </c>
      <c r="I10917">
        <v>1</v>
      </c>
      <c r="J10917">
        <v>0</v>
      </c>
      <c r="K10917">
        <v>1</v>
      </c>
      <c r="L10917">
        <v>0</v>
      </c>
      <c r="M10917" t="s">
        <v>64</v>
      </c>
    </row>
    <row r="10918" spans="1:13" hidden="1" x14ac:dyDescent="0.15">
      <c r="A10918" t="s">
        <v>34472</v>
      </c>
      <c r="B10918" t="s">
        <v>34473</v>
      </c>
      <c r="C10918" t="s">
        <v>34474</v>
      </c>
      <c r="D10918" t="s">
        <v>34465</v>
      </c>
      <c r="E10918">
        <v>321</v>
      </c>
      <c r="F10918" t="str">
        <f>HYPERLINK("https://github.com/nextcloud/android/issues/11064", "show")</f>
        <v>show</v>
      </c>
      <c r="G10918" t="str">
        <f>HYPERLINK("https://github.com/nextcloud/android", "show")</f>
        <v>show</v>
      </c>
      <c r="H10918" t="str">
        <f>HYPERLINK("https://github.com/nextcloud/android/releases", "show")</f>
        <v>show</v>
      </c>
      <c r="I10918">
        <v>1</v>
      </c>
      <c r="J10918">
        <v>1</v>
      </c>
      <c r="K10918">
        <v>1</v>
      </c>
      <c r="L10918">
        <v>0</v>
      </c>
      <c r="M10918" t="s">
        <v>59</v>
      </c>
    </row>
    <row r="10919" spans="1:13" hidden="1" x14ac:dyDescent="0.15">
      <c r="A10919" t="s">
        <v>34475</v>
      </c>
      <c r="B10919" t="s">
        <v>34476</v>
      </c>
      <c r="C10919" t="s">
        <v>34477</v>
      </c>
      <c r="D10919" t="s">
        <v>34465</v>
      </c>
      <c r="E10919">
        <v>2</v>
      </c>
      <c r="F10919" t="str">
        <f>HYPERLINK("https://github.com/nextcloud/android/issues/11063", "show")</f>
        <v>show</v>
      </c>
      <c r="G10919" t="str">
        <f>HYPERLINK("https://github.com/nextcloud/android", "show")</f>
        <v>show</v>
      </c>
      <c r="H10919" t="str">
        <f>HYPERLINK("https://github.com/nextcloud/android/releases", "show")</f>
        <v>show</v>
      </c>
      <c r="I10919">
        <v>0</v>
      </c>
      <c r="J10919">
        <v>0</v>
      </c>
      <c r="K10919">
        <v>1</v>
      </c>
      <c r="L10919">
        <v>0</v>
      </c>
      <c r="M10919" t="s">
        <v>122</v>
      </c>
    </row>
    <row r="10920" spans="1:13" hidden="1" x14ac:dyDescent="0.15">
      <c r="A10920" t="s">
        <v>34478</v>
      </c>
      <c r="B10920" t="s">
        <v>34479</v>
      </c>
      <c r="C10920" t="s">
        <v>34480</v>
      </c>
      <c r="D10920" t="s">
        <v>34465</v>
      </c>
      <c r="E10920">
        <v>0</v>
      </c>
      <c r="F10920" t="str">
        <f>HYPERLINK("https://github.com/cgeo/cgeo/issues/13706", "show")</f>
        <v>show</v>
      </c>
      <c r="G10920" t="str">
        <f>HYPERLINK("https://github.com/cgeo/cgeo", "show")</f>
        <v>show</v>
      </c>
      <c r="H10920" t="str">
        <f>HYPERLINK("https://github.com/cgeo/cgeo/releases", "show")</f>
        <v>show</v>
      </c>
      <c r="I10920">
        <v>1</v>
      </c>
      <c r="J10920">
        <v>0</v>
      </c>
      <c r="K10920">
        <v>1</v>
      </c>
      <c r="L10920">
        <v>0</v>
      </c>
      <c r="M10920" t="s">
        <v>64</v>
      </c>
    </row>
    <row r="10921" spans="1:13" hidden="1" x14ac:dyDescent="0.15">
      <c r="A10921" t="s">
        <v>34481</v>
      </c>
      <c r="B10921" t="s">
        <v>34482</v>
      </c>
      <c r="C10921" t="s">
        <v>34483</v>
      </c>
      <c r="D10921" t="s">
        <v>34465</v>
      </c>
      <c r="E10921">
        <v>114</v>
      </c>
      <c r="F10921" t="str">
        <f>HYPERLINK("https://github.com/microg/GmsCore/issues/1834", "show")</f>
        <v>show</v>
      </c>
      <c r="G10921" t="str">
        <f>HYPERLINK("https://github.com/microg/GmsCore", "show")</f>
        <v>show</v>
      </c>
      <c r="H10921" t="str">
        <f>HYPERLINK("https://github.com/microg/GmsCore/releases", "show")</f>
        <v>show</v>
      </c>
      <c r="I10921">
        <v>0</v>
      </c>
      <c r="J10921">
        <v>1</v>
      </c>
      <c r="K10921">
        <v>0</v>
      </c>
      <c r="L10921">
        <v>1</v>
      </c>
      <c r="M10921" t="s">
        <v>1732</v>
      </c>
    </row>
    <row r="10922" spans="1:13" hidden="1" x14ac:dyDescent="0.15">
      <c r="A10922" t="s">
        <v>34484</v>
      </c>
      <c r="B10922" t="s">
        <v>34485</v>
      </c>
      <c r="C10922" t="s">
        <v>34486</v>
      </c>
      <c r="D10922" t="s">
        <v>34465</v>
      </c>
      <c r="E10922">
        <v>36</v>
      </c>
      <c r="F10922" t="str">
        <f>HYPERLINK("https://github.com/itsdrnoob/DataMonitor/issues/82", "show")</f>
        <v>show</v>
      </c>
      <c r="G10922" t="str">
        <f>HYPERLINK("https://github.com/itsdrnoob/DataMonitor", "show")</f>
        <v>show</v>
      </c>
      <c r="H10922" t="str">
        <f>HYPERLINK("https://github.com/itsdrnoob/DataMonitor/releases", "show")</f>
        <v>show</v>
      </c>
      <c r="I10922">
        <v>1</v>
      </c>
      <c r="J10922">
        <v>0</v>
      </c>
      <c r="K10922">
        <v>1</v>
      </c>
      <c r="L10922">
        <v>0</v>
      </c>
      <c r="M10922" t="s">
        <v>64</v>
      </c>
    </row>
    <row r="10923" spans="1:13" hidden="1" x14ac:dyDescent="0.15">
      <c r="A10923" t="s">
        <v>34487</v>
      </c>
      <c r="B10923" t="s">
        <v>34488</v>
      </c>
      <c r="C10923" t="s">
        <v>34489</v>
      </c>
      <c r="D10923" t="s">
        <v>34465</v>
      </c>
      <c r="E10923">
        <v>4</v>
      </c>
      <c r="F10923" t="str">
        <f>HYPERLINK("https://github.com/naver/nam-sdk-android/issues/21", "show")</f>
        <v>show</v>
      </c>
      <c r="G10923" t="str">
        <f>HYPERLINK("https://github.com/naver/nam-sdk-android", "show")</f>
        <v>show</v>
      </c>
      <c r="H10923" t="str">
        <f>HYPERLINK("https://github.com/naver/nam-sdk-android/releases", "show")</f>
        <v>show</v>
      </c>
      <c r="I10923">
        <v>0</v>
      </c>
      <c r="J10923">
        <v>0</v>
      </c>
      <c r="K10923">
        <v>1</v>
      </c>
      <c r="L10923">
        <v>0</v>
      </c>
      <c r="M10923" t="s">
        <v>122</v>
      </c>
    </row>
    <row r="10924" spans="1:13" hidden="1" x14ac:dyDescent="0.15">
      <c r="A10924" t="s">
        <v>34490</v>
      </c>
      <c r="B10924" t="s">
        <v>34491</v>
      </c>
      <c r="C10924" t="s">
        <v>34492</v>
      </c>
      <c r="D10924" t="s">
        <v>34465</v>
      </c>
      <c r="E10924">
        <v>1</v>
      </c>
      <c r="F10924" t="str">
        <f>HYPERLINK("https://github.com/PojavLauncherTeam/PojavLauncher/issues/3720", "show")</f>
        <v>show</v>
      </c>
      <c r="G10924" t="str">
        <f>HYPERLINK("https://github.com/PojavLauncherTeam/PojavLauncher", "show")</f>
        <v>show</v>
      </c>
      <c r="H10924" t="str">
        <f>HYPERLINK("https://github.com/PojavLauncherTeam/PojavLauncher/releases", "show")</f>
        <v>show</v>
      </c>
      <c r="I10924">
        <v>1</v>
      </c>
      <c r="J10924">
        <v>1</v>
      </c>
      <c r="K10924">
        <v>1</v>
      </c>
      <c r="L10924">
        <v>0</v>
      </c>
      <c r="M10924" t="s">
        <v>59</v>
      </c>
    </row>
    <row r="10925" spans="1:13" hidden="1" x14ac:dyDescent="0.15">
      <c r="A10925" t="s">
        <v>34493</v>
      </c>
      <c r="B10925" t="s">
        <v>34494</v>
      </c>
      <c r="C10925" t="s">
        <v>34495</v>
      </c>
      <c r="D10925" t="s">
        <v>34496</v>
      </c>
      <c r="E10925">
        <v>65</v>
      </c>
      <c r="F10925" t="str">
        <f>HYPERLINK("https://github.com/iiordanov/remote-desktop-clients/issues/395", "show")</f>
        <v>show</v>
      </c>
      <c r="G10925" t="str">
        <f>HYPERLINK("https://github.com/iiordanov/remote-desktop-clients", "show")</f>
        <v>show</v>
      </c>
      <c r="H10925" t="str">
        <f>HYPERLINK("https://github.com/iiordanov/remote-desktop-clients/releases", "show")</f>
        <v>show</v>
      </c>
      <c r="I10925">
        <v>1</v>
      </c>
      <c r="J10925">
        <v>0</v>
      </c>
      <c r="K10925">
        <v>0</v>
      </c>
      <c r="L10925">
        <v>0</v>
      </c>
      <c r="M10925" t="s">
        <v>17</v>
      </c>
    </row>
    <row r="10926" spans="1:13" hidden="1" x14ac:dyDescent="0.15">
      <c r="A10926" t="s">
        <v>34497</v>
      </c>
      <c r="B10926" t="s">
        <v>34498</v>
      </c>
      <c r="C10926" t="s">
        <v>34499</v>
      </c>
      <c r="D10926" t="s">
        <v>34496</v>
      </c>
      <c r="E10926">
        <v>2</v>
      </c>
      <c r="F10926" t="str">
        <f>HYPERLINK("https://github.com/PojavLauncherTeam/PojavLauncher/issues/3718", "show")</f>
        <v>show</v>
      </c>
      <c r="G10926" t="str">
        <f>HYPERLINK("https://github.com/PojavLauncherTeam/PojavLauncher", "show")</f>
        <v>show</v>
      </c>
      <c r="H10926" t="str">
        <f>HYPERLINK("https://github.com/PojavLauncherTeam/PojavLauncher/releases", "show")</f>
        <v>show</v>
      </c>
      <c r="I10926">
        <v>1</v>
      </c>
      <c r="J10926">
        <v>1</v>
      </c>
      <c r="K10926">
        <v>0</v>
      </c>
      <c r="L10926">
        <v>0</v>
      </c>
      <c r="M10926" t="s">
        <v>48</v>
      </c>
    </row>
    <row r="10927" spans="1:13" hidden="1" x14ac:dyDescent="0.15">
      <c r="A10927" t="s">
        <v>34500</v>
      </c>
      <c r="B10927" t="s">
        <v>34501</v>
      </c>
      <c r="C10927" t="s">
        <v>34502</v>
      </c>
      <c r="D10927" t="s">
        <v>34496</v>
      </c>
      <c r="E10927">
        <v>2</v>
      </c>
      <c r="F10927" t="str">
        <f>HYPERLINK("https://github.com/PojavLauncherTeam/PojavLauncher/issues/3717", "show")</f>
        <v>show</v>
      </c>
      <c r="G10927" t="str">
        <f>HYPERLINK("https://github.com/PojavLauncherTeam/PojavLauncher", "show")</f>
        <v>show</v>
      </c>
      <c r="H10927" t="str">
        <f>HYPERLINK("https://github.com/PojavLauncherTeam/PojavLauncher/releases", "show")</f>
        <v>show</v>
      </c>
      <c r="I10927">
        <v>1</v>
      </c>
      <c r="J10927">
        <v>0</v>
      </c>
      <c r="K10927">
        <v>0</v>
      </c>
      <c r="L10927">
        <v>0</v>
      </c>
      <c r="M10927" t="s">
        <v>17</v>
      </c>
    </row>
    <row r="10928" spans="1:13" hidden="1" x14ac:dyDescent="0.15">
      <c r="A10928" t="s">
        <v>34503</v>
      </c>
      <c r="B10928" t="s">
        <v>34504</v>
      </c>
      <c r="C10928" t="s">
        <v>34505</v>
      </c>
      <c r="D10928" t="s">
        <v>34496</v>
      </c>
      <c r="E10928">
        <v>65</v>
      </c>
      <c r="F10928" t="str">
        <f>HYPERLINK("https://github.com/PojavLauncherTeam/PojavLauncher/issues/3712", "show")</f>
        <v>show</v>
      </c>
      <c r="G10928" t="str">
        <f>HYPERLINK("https://github.com/PojavLauncherTeam/PojavLauncher", "show")</f>
        <v>show</v>
      </c>
      <c r="H10928" t="str">
        <f>HYPERLINK("https://github.com/PojavLauncherTeam/PojavLauncher/releases", "show")</f>
        <v>show</v>
      </c>
      <c r="I10928">
        <v>1</v>
      </c>
      <c r="J10928">
        <v>1</v>
      </c>
      <c r="K10928">
        <v>0</v>
      </c>
      <c r="L10928">
        <v>1</v>
      </c>
      <c r="M10928" t="s">
        <v>1894</v>
      </c>
    </row>
    <row r="10929" spans="1:13" hidden="1" x14ac:dyDescent="0.15">
      <c r="A10929" t="s">
        <v>34506</v>
      </c>
      <c r="B10929" t="s">
        <v>34507</v>
      </c>
      <c r="C10929" t="s">
        <v>34508</v>
      </c>
      <c r="D10929" t="s">
        <v>34496</v>
      </c>
      <c r="E10929">
        <v>65</v>
      </c>
      <c r="F10929" t="str">
        <f>HYPERLINK("https://github.com/PojavLauncherTeam/PojavLauncher/issues/3709", "show")</f>
        <v>show</v>
      </c>
      <c r="G10929" t="str">
        <f>HYPERLINK("https://github.com/PojavLauncherTeam/PojavLauncher", "show")</f>
        <v>show</v>
      </c>
      <c r="H10929" t="str">
        <f>HYPERLINK("https://github.com/PojavLauncherTeam/PojavLauncher/releases", "show")</f>
        <v>show</v>
      </c>
      <c r="I10929">
        <v>0</v>
      </c>
      <c r="J10929">
        <v>0</v>
      </c>
      <c r="K10929">
        <v>1</v>
      </c>
      <c r="L10929">
        <v>0</v>
      </c>
      <c r="M10929" t="s">
        <v>122</v>
      </c>
    </row>
    <row r="10930" spans="1:13" hidden="1" x14ac:dyDescent="0.15">
      <c r="A10930" t="s">
        <v>34509</v>
      </c>
      <c r="B10930" t="s">
        <v>34510</v>
      </c>
      <c r="C10930" t="s">
        <v>34511</v>
      </c>
      <c r="D10930" t="s">
        <v>34496</v>
      </c>
      <c r="E10930">
        <v>48</v>
      </c>
      <c r="F10930" t="str">
        <f>HYPERLINK("https://github.com/Anuken/Mindustry/issues/7963", "show")</f>
        <v>show</v>
      </c>
      <c r="G10930" t="str">
        <f>HYPERLINK("https://github.com/Anuken/Mindustry", "show")</f>
        <v>show</v>
      </c>
      <c r="H10930" t="str">
        <f>HYPERLINK("https://github.com/Anuken/Mindustry/releases", "show")</f>
        <v>show</v>
      </c>
      <c r="I10930">
        <v>0</v>
      </c>
      <c r="J10930">
        <v>0</v>
      </c>
      <c r="K10930">
        <v>0</v>
      </c>
      <c r="L10930">
        <v>0</v>
      </c>
      <c r="M10930" t="s">
        <v>43</v>
      </c>
    </row>
    <row r="10931" spans="1:13" hidden="1" x14ac:dyDescent="0.15">
      <c r="A10931" t="s">
        <v>34512</v>
      </c>
      <c r="B10931" t="s">
        <v>34513</v>
      </c>
      <c r="C10931" t="s">
        <v>34514</v>
      </c>
      <c r="D10931" t="s">
        <v>34496</v>
      </c>
      <c r="E10931">
        <v>48</v>
      </c>
      <c r="F10931" t="str">
        <f>HYPERLINK("https://github.com/Anuken/Mindustry/issues/7962", "show")</f>
        <v>show</v>
      </c>
      <c r="G10931" t="str">
        <f>HYPERLINK("https://github.com/Anuken/Mindustry", "show")</f>
        <v>show</v>
      </c>
      <c r="H10931" t="str">
        <f>HYPERLINK("https://github.com/Anuken/Mindustry/releases", "show")</f>
        <v>show</v>
      </c>
      <c r="I10931">
        <v>0</v>
      </c>
      <c r="J10931">
        <v>1</v>
      </c>
      <c r="K10931">
        <v>1</v>
      </c>
      <c r="L10931">
        <v>0</v>
      </c>
      <c r="M10931" t="s">
        <v>699</v>
      </c>
    </row>
    <row r="10932" spans="1:13" hidden="1" x14ac:dyDescent="0.15">
      <c r="A10932" t="s">
        <v>34515</v>
      </c>
      <c r="B10932" t="s">
        <v>34516</v>
      </c>
      <c r="C10932" t="s">
        <v>34517</v>
      </c>
      <c r="D10932" t="s">
        <v>34496</v>
      </c>
      <c r="E10932">
        <v>48</v>
      </c>
      <c r="F10932" t="str">
        <f>HYPERLINK("https://github.com/Anuken/Mindustry/issues/7961", "show")</f>
        <v>show</v>
      </c>
      <c r="G10932" t="str">
        <f>HYPERLINK("https://github.com/Anuken/Mindustry", "show")</f>
        <v>show</v>
      </c>
      <c r="H10932" t="str">
        <f>HYPERLINK("https://github.com/Anuken/Mindustry/releases", "show")</f>
        <v>show</v>
      </c>
      <c r="I10932">
        <v>1</v>
      </c>
      <c r="J10932">
        <v>1</v>
      </c>
      <c r="K10932">
        <v>0</v>
      </c>
      <c r="L10932">
        <v>0</v>
      </c>
      <c r="M10932" t="s">
        <v>48</v>
      </c>
    </row>
    <row r="10933" spans="1:13" x14ac:dyDescent="0.15">
      <c r="A10933" t="s">
        <v>34518</v>
      </c>
      <c r="B10933" t="s">
        <v>34519</v>
      </c>
      <c r="C10933" t="s">
        <v>34520</v>
      </c>
      <c r="D10933" t="s">
        <v>34496</v>
      </c>
      <c r="E10933">
        <v>48</v>
      </c>
      <c r="F10933" t="str">
        <f>HYPERLINK("https://github.com/Anuken/Mindustry/issues/7958", "show")</f>
        <v>show</v>
      </c>
      <c r="G10933" t="str">
        <f>HYPERLINK("https://github.com/Anuken/Mindustry", "show")</f>
        <v>show</v>
      </c>
      <c r="H10933" t="str">
        <f>HYPERLINK("https://github.com/Anuken/Mindustry/releases", "show")</f>
        <v>show</v>
      </c>
      <c r="I10933">
        <v>0</v>
      </c>
      <c r="J10933">
        <v>1</v>
      </c>
      <c r="K10933">
        <v>0</v>
      </c>
      <c r="L10933">
        <v>0</v>
      </c>
      <c r="M10933" t="s">
        <v>139</v>
      </c>
    </row>
    <row r="10934" spans="1:13" hidden="1" x14ac:dyDescent="0.15">
      <c r="A10934" t="s">
        <v>34521</v>
      </c>
      <c r="B10934" t="s">
        <v>34522</v>
      </c>
      <c r="C10934" t="s">
        <v>34523</v>
      </c>
      <c r="D10934" t="s">
        <v>34524</v>
      </c>
      <c r="E10934">
        <v>13</v>
      </c>
      <c r="F10934" t="str">
        <f>HYPERLINK("https://github.com/itsvks19/LayoutEditor/issues/5", "show")</f>
        <v>show</v>
      </c>
      <c r="G10934" t="str">
        <f>HYPERLINK("https://github.com/itsvks19/LayoutEditor", "show")</f>
        <v>show</v>
      </c>
      <c r="H10934" t="str">
        <f>HYPERLINK("https://github.com/itsvks19/LayoutEditor/releases", "show")</f>
        <v>show</v>
      </c>
      <c r="I10934">
        <v>1</v>
      </c>
      <c r="J10934">
        <v>0</v>
      </c>
      <c r="K10934">
        <v>1</v>
      </c>
      <c r="L10934">
        <v>0</v>
      </c>
      <c r="M10934" t="s">
        <v>64</v>
      </c>
    </row>
    <row r="10935" spans="1:13" hidden="1" x14ac:dyDescent="0.15">
      <c r="A10935" t="s">
        <v>34525</v>
      </c>
      <c r="B10935" t="s">
        <v>34526</v>
      </c>
      <c r="C10935" t="s">
        <v>34527</v>
      </c>
      <c r="D10935" t="s">
        <v>34524</v>
      </c>
      <c r="E10935">
        <v>49</v>
      </c>
      <c r="F10935" t="str">
        <f>HYPERLINK("https://github.com/Anuken/Mindustry/issues/7955", "show")</f>
        <v>show</v>
      </c>
      <c r="G10935" t="str">
        <f>HYPERLINK("https://github.com/Anuken/Mindustry", "show")</f>
        <v>show</v>
      </c>
      <c r="H10935" t="str">
        <f>HYPERLINK("https://github.com/Anuken/Mindustry/releases", "show")</f>
        <v>show</v>
      </c>
      <c r="I10935">
        <v>1</v>
      </c>
      <c r="J10935">
        <v>1</v>
      </c>
      <c r="K10935">
        <v>0</v>
      </c>
      <c r="L10935">
        <v>0</v>
      </c>
      <c r="M10935" t="s">
        <v>48</v>
      </c>
    </row>
    <row r="10936" spans="1:13" hidden="1" x14ac:dyDescent="0.15">
      <c r="A10936" t="s">
        <v>34528</v>
      </c>
      <c r="B10936" t="s">
        <v>34529</v>
      </c>
      <c r="C10936" t="s">
        <v>31189</v>
      </c>
      <c r="D10936" t="s">
        <v>34524</v>
      </c>
      <c r="E10936">
        <v>3</v>
      </c>
      <c r="F10936" t="str">
        <f>HYPERLINK("https://github.com/PojavLauncherTeam/PojavLauncher/issues/3704", "show")</f>
        <v>show</v>
      </c>
      <c r="G10936" t="str">
        <f>HYPERLINK("https://github.com/PojavLauncherTeam/PojavLauncher", "show")</f>
        <v>show</v>
      </c>
      <c r="H10936" t="str">
        <f>HYPERLINK("https://github.com/PojavLauncherTeam/PojavLauncher/releases", "show")</f>
        <v>show</v>
      </c>
      <c r="I10936">
        <v>1</v>
      </c>
      <c r="J10936">
        <v>0</v>
      </c>
      <c r="K10936">
        <v>0</v>
      </c>
      <c r="L10936">
        <v>0</v>
      </c>
      <c r="M10936" t="s">
        <v>17</v>
      </c>
    </row>
    <row r="10937" spans="1:13" hidden="1" x14ac:dyDescent="0.15">
      <c r="A10937" t="s">
        <v>34530</v>
      </c>
      <c r="B10937" t="s">
        <v>34531</v>
      </c>
      <c r="C10937" t="s">
        <v>34532</v>
      </c>
      <c r="D10937" t="s">
        <v>34524</v>
      </c>
      <c r="E10937">
        <v>66</v>
      </c>
      <c r="F10937" t="str">
        <f>HYPERLINK("https://github.com/PojavLauncherTeam/PojavLauncher/issues/3700", "show")</f>
        <v>show</v>
      </c>
      <c r="G10937" t="str">
        <f>HYPERLINK("https://github.com/PojavLauncherTeam/PojavLauncher", "show")</f>
        <v>show</v>
      </c>
      <c r="H10937" t="str">
        <f>HYPERLINK("https://github.com/PojavLauncherTeam/PojavLauncher/releases", "show")</f>
        <v>show</v>
      </c>
      <c r="I10937">
        <v>1</v>
      </c>
      <c r="J10937">
        <v>0</v>
      </c>
      <c r="K10937">
        <v>0</v>
      </c>
      <c r="L10937">
        <v>0</v>
      </c>
      <c r="M10937" t="s">
        <v>17</v>
      </c>
    </row>
    <row r="10938" spans="1:13" hidden="1" x14ac:dyDescent="0.15">
      <c r="A10938" t="s">
        <v>34533</v>
      </c>
      <c r="B10938" t="s">
        <v>34534</v>
      </c>
      <c r="C10938" t="s">
        <v>34535</v>
      </c>
      <c r="D10938" t="s">
        <v>34524</v>
      </c>
      <c r="E10938">
        <v>0</v>
      </c>
      <c r="F10938" t="str">
        <f>HYPERLINK("https://github.com/TeamNewPipe/NewPipe/issues/9425", "show")</f>
        <v>show</v>
      </c>
      <c r="G10938" t="str">
        <f>HYPERLINK("https://github.com/TeamNewPipe/NewPipe", "show")</f>
        <v>show</v>
      </c>
      <c r="H10938" t="str">
        <f>HYPERLINK("https://github.com/TeamNewPipe/NewPipe/releases", "show")</f>
        <v>show</v>
      </c>
      <c r="I10938">
        <v>0</v>
      </c>
      <c r="J10938">
        <v>0</v>
      </c>
      <c r="K10938">
        <v>0</v>
      </c>
      <c r="L10938">
        <v>0</v>
      </c>
      <c r="M10938" t="s">
        <v>43</v>
      </c>
    </row>
    <row r="10939" spans="1:13" hidden="1" x14ac:dyDescent="0.15">
      <c r="A10939" t="s">
        <v>34536</v>
      </c>
      <c r="B10939" t="s">
        <v>34537</v>
      </c>
      <c r="C10939" t="s">
        <v>34538</v>
      </c>
      <c r="D10939" t="s">
        <v>34539</v>
      </c>
      <c r="E10939">
        <v>50</v>
      </c>
      <c r="F10939" t="str">
        <f>HYPERLINK("https://github.com/Anuken/Mindustry/issues/7948", "show")</f>
        <v>show</v>
      </c>
      <c r="G10939" t="str">
        <f>HYPERLINK("https://github.com/Anuken/Mindustry", "show")</f>
        <v>show</v>
      </c>
      <c r="H10939" t="str">
        <f>HYPERLINK("https://github.com/Anuken/Mindustry/releases", "show")</f>
        <v>show</v>
      </c>
      <c r="I10939">
        <v>0</v>
      </c>
      <c r="J10939">
        <v>0</v>
      </c>
      <c r="K10939">
        <v>0</v>
      </c>
      <c r="L10939">
        <v>1</v>
      </c>
      <c r="M10939" t="s">
        <v>581</v>
      </c>
    </row>
    <row r="10940" spans="1:13" hidden="1" x14ac:dyDescent="0.15">
      <c r="A10940" t="s">
        <v>34540</v>
      </c>
      <c r="B10940" t="s">
        <v>34541</v>
      </c>
      <c r="C10940" t="s">
        <v>34542</v>
      </c>
      <c r="D10940" t="s">
        <v>34539</v>
      </c>
      <c r="E10940">
        <v>0</v>
      </c>
      <c r="F10940" t="str">
        <f>HYPERLINK("https://github.com/Igalia/wolvic/issues/341", "show")</f>
        <v>show</v>
      </c>
      <c r="G10940" t="str">
        <f>HYPERLINK("https://github.com/Igalia/wolvic", "show")</f>
        <v>show</v>
      </c>
      <c r="H10940" t="str">
        <f>HYPERLINK("https://github.com/Igalia/wolvic/releases", "show")</f>
        <v>show</v>
      </c>
      <c r="I10940">
        <v>1</v>
      </c>
      <c r="J10940">
        <v>0</v>
      </c>
      <c r="K10940">
        <v>1</v>
      </c>
      <c r="L10940">
        <v>0</v>
      </c>
      <c r="M10940" t="s">
        <v>64</v>
      </c>
    </row>
    <row r="10941" spans="1:13" hidden="1" x14ac:dyDescent="0.15">
      <c r="A10941" t="s">
        <v>34543</v>
      </c>
      <c r="B10941" t="s">
        <v>34544</v>
      </c>
      <c r="C10941" t="s">
        <v>34545</v>
      </c>
      <c r="D10941" t="s">
        <v>34539</v>
      </c>
      <c r="E10941">
        <v>50</v>
      </c>
      <c r="F10941" t="str">
        <f>HYPERLINK("https://github.com/Anuken/Mindustry/issues/7944", "show")</f>
        <v>show</v>
      </c>
      <c r="G10941" t="str">
        <f>HYPERLINK("https://github.com/Anuken/Mindustry", "show")</f>
        <v>show</v>
      </c>
      <c r="H10941" t="str">
        <f>HYPERLINK("https://github.com/Anuken/Mindustry/releases", "show")</f>
        <v>show</v>
      </c>
      <c r="I10941">
        <v>1</v>
      </c>
      <c r="J10941">
        <v>1</v>
      </c>
      <c r="K10941">
        <v>0</v>
      </c>
      <c r="L10941">
        <v>0</v>
      </c>
      <c r="M10941" t="s">
        <v>48</v>
      </c>
    </row>
    <row r="10942" spans="1:13" hidden="1" x14ac:dyDescent="0.15">
      <c r="A10942" t="s">
        <v>34546</v>
      </c>
      <c r="B10942" t="s">
        <v>34547</v>
      </c>
      <c r="C10942" t="s">
        <v>34548</v>
      </c>
      <c r="D10942" t="s">
        <v>34539</v>
      </c>
      <c r="E10942">
        <v>39</v>
      </c>
      <c r="F10942" t="str">
        <f>HYPERLINK("https://github.com/itsdrnoob/DataMonitor/issues/79", "show")</f>
        <v>show</v>
      </c>
      <c r="G10942" t="str">
        <f>HYPERLINK("https://github.com/itsdrnoob/DataMonitor", "show")</f>
        <v>show</v>
      </c>
      <c r="H10942" t="str">
        <f>HYPERLINK("https://github.com/itsdrnoob/DataMonitor/releases", "show")</f>
        <v>show</v>
      </c>
      <c r="I10942">
        <v>1</v>
      </c>
      <c r="J10942">
        <v>0</v>
      </c>
      <c r="K10942">
        <v>1</v>
      </c>
      <c r="L10942">
        <v>0</v>
      </c>
      <c r="M10942" t="s">
        <v>64</v>
      </c>
    </row>
    <row r="10943" spans="1:13" hidden="1" x14ac:dyDescent="0.15">
      <c r="A10943" t="s">
        <v>34549</v>
      </c>
      <c r="B10943" t="s">
        <v>34550</v>
      </c>
      <c r="C10943" t="s">
        <v>34551</v>
      </c>
      <c r="D10943" t="s">
        <v>34539</v>
      </c>
      <c r="E10943">
        <v>0</v>
      </c>
      <c r="F10943" t="str">
        <f>HYPERLINK("https://github.com/LSPosed/LSPosed/issues/2234", "show")</f>
        <v>show</v>
      </c>
      <c r="G10943" t="str">
        <f>HYPERLINK("https://github.com/LSPosed/LSPosed", "show")</f>
        <v>show</v>
      </c>
      <c r="H10943" t="str">
        <f>HYPERLINK("https://github.com/LSPosed/LSPosed/releases", "show")</f>
        <v>show</v>
      </c>
      <c r="I10943">
        <v>1</v>
      </c>
      <c r="J10943">
        <v>1</v>
      </c>
      <c r="K10943">
        <v>0</v>
      </c>
      <c r="L10943">
        <v>0</v>
      </c>
      <c r="M10943" t="s">
        <v>48</v>
      </c>
    </row>
    <row r="10944" spans="1:13" hidden="1" x14ac:dyDescent="0.15">
      <c r="A10944" t="s">
        <v>34552</v>
      </c>
      <c r="B10944" t="s">
        <v>34553</v>
      </c>
      <c r="C10944" t="s">
        <v>34554</v>
      </c>
      <c r="D10944" t="s">
        <v>34539</v>
      </c>
      <c r="E10944">
        <v>0</v>
      </c>
      <c r="F10944" t="str">
        <f>HYPERLINK("https://github.com/itsvks19/LayoutEditor/issues/3", "show")</f>
        <v>show</v>
      </c>
      <c r="G10944" t="str">
        <f>HYPERLINK("https://github.com/itsvks19/LayoutEditor", "show")</f>
        <v>show</v>
      </c>
      <c r="H10944" t="str">
        <f>HYPERLINK("https://github.com/itsvks19/LayoutEditor/releases", "show")</f>
        <v>show</v>
      </c>
      <c r="I10944">
        <v>0</v>
      </c>
      <c r="J10944">
        <v>0</v>
      </c>
      <c r="K10944">
        <v>1</v>
      </c>
      <c r="L10944">
        <v>0</v>
      </c>
      <c r="M10944" t="s">
        <v>122</v>
      </c>
    </row>
    <row r="10945" spans="1:13" hidden="1" x14ac:dyDescent="0.15">
      <c r="A10945" t="s">
        <v>34555</v>
      </c>
      <c r="B10945" t="s">
        <v>34556</v>
      </c>
      <c r="C10945" t="s">
        <v>34557</v>
      </c>
      <c r="D10945" t="s">
        <v>34558</v>
      </c>
      <c r="E10945">
        <v>215</v>
      </c>
      <c r="F10945" t="str">
        <f>HYPERLINK("https://github.com/ReVanced/revanced-integrations/issues/214", "show")</f>
        <v>show</v>
      </c>
      <c r="G10945" t="str">
        <f>HYPERLINK("https://github.com/ReVanced/revanced-integrations", "show")</f>
        <v>show</v>
      </c>
      <c r="H10945" t="str">
        <f>HYPERLINK("https://github.com/ReVanced/revanced-integrations/releases", "show")</f>
        <v>show</v>
      </c>
      <c r="I10945">
        <v>1</v>
      </c>
      <c r="J10945">
        <v>0</v>
      </c>
      <c r="K10945">
        <v>1</v>
      </c>
      <c r="L10945">
        <v>0</v>
      </c>
      <c r="M10945" t="s">
        <v>64</v>
      </c>
    </row>
    <row r="10946" spans="1:13" hidden="1" x14ac:dyDescent="0.15">
      <c r="A10946" t="s">
        <v>34559</v>
      </c>
      <c r="B10946" t="s">
        <v>34560</v>
      </c>
      <c r="C10946" t="s">
        <v>34561</v>
      </c>
      <c r="D10946" t="s">
        <v>34558</v>
      </c>
      <c r="E10946">
        <v>328</v>
      </c>
      <c r="F10946" t="str">
        <f>HYPERLINK("https://github.com/nextcloud/android/issues/11049", "show")</f>
        <v>show</v>
      </c>
      <c r="G10946" t="str">
        <f>HYPERLINK("https://github.com/nextcloud/android", "show")</f>
        <v>show</v>
      </c>
      <c r="H10946" t="str">
        <f>HYPERLINK("https://github.com/nextcloud/android/releases", "show")</f>
        <v>show</v>
      </c>
      <c r="I10946">
        <v>1</v>
      </c>
      <c r="J10946">
        <v>0</v>
      </c>
      <c r="K10946">
        <v>1</v>
      </c>
      <c r="L10946">
        <v>0</v>
      </c>
      <c r="M10946" t="s">
        <v>64</v>
      </c>
    </row>
    <row r="10947" spans="1:13" hidden="1" x14ac:dyDescent="0.15">
      <c r="A10947" t="s">
        <v>34562</v>
      </c>
      <c r="B10947" t="s">
        <v>34563</v>
      </c>
      <c r="C10947" t="s">
        <v>34564</v>
      </c>
      <c r="D10947" t="s">
        <v>34558</v>
      </c>
      <c r="E10947">
        <v>69</v>
      </c>
      <c r="F10947" t="str">
        <f>HYPERLINK("https://github.com/PojavLauncherTeam/PojavLauncher/issues/3691", "show")</f>
        <v>show</v>
      </c>
      <c r="G10947" t="str">
        <f>HYPERLINK("https://github.com/PojavLauncherTeam/PojavLauncher", "show")</f>
        <v>show</v>
      </c>
      <c r="H10947" t="str">
        <f>HYPERLINK("https://github.com/PojavLauncherTeam/PojavLauncher/releases", "show")</f>
        <v>show</v>
      </c>
      <c r="I10947">
        <v>1</v>
      </c>
      <c r="J10947">
        <v>1</v>
      </c>
      <c r="K10947">
        <v>0</v>
      </c>
      <c r="L10947">
        <v>0</v>
      </c>
      <c r="M10947" t="s">
        <v>48</v>
      </c>
    </row>
    <row r="10948" spans="1:13" hidden="1" x14ac:dyDescent="0.15">
      <c r="A10948" t="s">
        <v>34565</v>
      </c>
      <c r="B10948" t="s">
        <v>34566</v>
      </c>
      <c r="C10948" t="s">
        <v>34567</v>
      </c>
      <c r="D10948" t="s">
        <v>34558</v>
      </c>
      <c r="E10948">
        <v>69</v>
      </c>
      <c r="F10948" t="str">
        <f>HYPERLINK("https://github.com/PojavLauncherTeam/PojavLauncher/issues/3689", "show")</f>
        <v>show</v>
      </c>
      <c r="G10948" t="str">
        <f>HYPERLINK("https://github.com/PojavLauncherTeam/PojavLauncher", "show")</f>
        <v>show</v>
      </c>
      <c r="H10948" t="str">
        <f>HYPERLINK("https://github.com/PojavLauncherTeam/PojavLauncher/releases", "show")</f>
        <v>show</v>
      </c>
      <c r="I10948">
        <v>1</v>
      </c>
      <c r="J10948">
        <v>0</v>
      </c>
      <c r="K10948">
        <v>1</v>
      </c>
      <c r="L10948">
        <v>0</v>
      </c>
      <c r="M10948" t="s">
        <v>64</v>
      </c>
    </row>
    <row r="10949" spans="1:13" hidden="1" x14ac:dyDescent="0.15">
      <c r="A10949" t="s">
        <v>34568</v>
      </c>
      <c r="B10949" t="s">
        <v>34569</v>
      </c>
      <c r="C10949" t="s">
        <v>34570</v>
      </c>
      <c r="D10949" t="s">
        <v>34558</v>
      </c>
      <c r="E10949">
        <v>2</v>
      </c>
      <c r="F10949" t="str">
        <f>HYPERLINK("https://github.com/MuntashirAkon/AppManager/issues/933", "show")</f>
        <v>show</v>
      </c>
      <c r="G10949" t="str">
        <f>HYPERLINK("https://github.com/MuntashirAkon/AppManager", "show")</f>
        <v>show</v>
      </c>
      <c r="H10949" t="str">
        <f>HYPERLINK("https://github.com/MuntashirAkon/AppManager/releases", "show")</f>
        <v>show</v>
      </c>
      <c r="I10949">
        <v>0</v>
      </c>
      <c r="J10949">
        <v>0</v>
      </c>
      <c r="K10949">
        <v>1</v>
      </c>
      <c r="L10949">
        <v>0</v>
      </c>
      <c r="M10949" t="s">
        <v>122</v>
      </c>
    </row>
    <row r="10950" spans="1:13" hidden="1" x14ac:dyDescent="0.15">
      <c r="A10950" t="s">
        <v>34571</v>
      </c>
      <c r="B10950" t="s">
        <v>34572</v>
      </c>
      <c r="C10950" t="s">
        <v>34573</v>
      </c>
      <c r="D10950" t="s">
        <v>34574</v>
      </c>
      <c r="E10950">
        <v>1</v>
      </c>
      <c r="F10950" t="str">
        <f>HYPERLINK("https://github.com/material-components/material-components-android/issues/3086", "show")</f>
        <v>show</v>
      </c>
      <c r="G10950" t="str">
        <f>HYPERLINK("https://github.com/material-components/material-components-android", "show")</f>
        <v>show</v>
      </c>
      <c r="H10950" t="str">
        <f>HYPERLINK("https://github.com/material-components/material-components-android/releases", "show")</f>
        <v>show</v>
      </c>
      <c r="I10950">
        <v>1</v>
      </c>
      <c r="J10950">
        <v>0</v>
      </c>
      <c r="K10950">
        <v>1</v>
      </c>
      <c r="L10950">
        <v>0</v>
      </c>
      <c r="M10950" t="s">
        <v>64</v>
      </c>
    </row>
    <row r="10951" spans="1:13" hidden="1" x14ac:dyDescent="0.15">
      <c r="A10951" t="s">
        <v>34575</v>
      </c>
      <c r="B10951" t="s">
        <v>34576</v>
      </c>
      <c r="C10951" t="s">
        <v>34577</v>
      </c>
      <c r="D10951" t="s">
        <v>34574</v>
      </c>
      <c r="E10951">
        <v>52</v>
      </c>
      <c r="F10951" t="str">
        <f>HYPERLINK("https://github.com/Anuken/Mindustry/issues/7931", "show")</f>
        <v>show</v>
      </c>
      <c r="G10951" t="str">
        <f>HYPERLINK("https://github.com/Anuken/Mindustry", "show")</f>
        <v>show</v>
      </c>
      <c r="H10951" t="str">
        <f>HYPERLINK("https://github.com/Anuken/Mindustry/releases", "show")</f>
        <v>show</v>
      </c>
      <c r="I10951">
        <v>0</v>
      </c>
      <c r="J10951">
        <v>0</v>
      </c>
      <c r="K10951">
        <v>0</v>
      </c>
      <c r="L10951">
        <v>1</v>
      </c>
      <c r="M10951" t="s">
        <v>581</v>
      </c>
    </row>
    <row r="10952" spans="1:13" hidden="1" x14ac:dyDescent="0.15">
      <c r="A10952" t="s">
        <v>34578</v>
      </c>
      <c r="B10952" t="s">
        <v>34579</v>
      </c>
      <c r="C10952" t="s">
        <v>34580</v>
      </c>
      <c r="D10952" t="s">
        <v>34574</v>
      </c>
      <c r="E10952">
        <v>70</v>
      </c>
      <c r="F10952" t="str">
        <f>HYPERLINK("https://github.com/PojavLauncherTeam/PojavLauncher/issues/3688", "show")</f>
        <v>show</v>
      </c>
      <c r="G10952" t="str">
        <f>HYPERLINK("https://github.com/PojavLauncherTeam/PojavLauncher", "show")</f>
        <v>show</v>
      </c>
      <c r="H10952" t="str">
        <f>HYPERLINK("https://github.com/PojavLauncherTeam/PojavLauncher/releases", "show")</f>
        <v>show</v>
      </c>
      <c r="I10952">
        <v>1</v>
      </c>
      <c r="J10952">
        <v>1</v>
      </c>
      <c r="K10952">
        <v>0</v>
      </c>
      <c r="L10952">
        <v>0</v>
      </c>
      <c r="M10952" t="s">
        <v>48</v>
      </c>
    </row>
    <row r="10953" spans="1:13" hidden="1" x14ac:dyDescent="0.15">
      <c r="A10953" t="s">
        <v>34581</v>
      </c>
      <c r="B10953" t="s">
        <v>34582</v>
      </c>
      <c r="C10953" t="s">
        <v>34583</v>
      </c>
      <c r="D10953" t="s">
        <v>34574</v>
      </c>
      <c r="E10953">
        <v>28</v>
      </c>
      <c r="F10953" t="str">
        <f>HYPERLINK("https://github.com/jellyfin/jellyfin-androidtv/issues/2270", "show")</f>
        <v>show</v>
      </c>
      <c r="G10953" t="str">
        <f>HYPERLINK("https://github.com/jellyfin/jellyfin-androidtv", "show")</f>
        <v>show</v>
      </c>
      <c r="H10953" t="str">
        <f>HYPERLINK("https://github.com/jellyfin/jellyfin-androidtv/releases", "show")</f>
        <v>show</v>
      </c>
      <c r="I10953">
        <v>1</v>
      </c>
      <c r="J10953">
        <v>0</v>
      </c>
      <c r="K10953">
        <v>1</v>
      </c>
      <c r="L10953">
        <v>0</v>
      </c>
      <c r="M10953" t="s">
        <v>64</v>
      </c>
    </row>
    <row r="10954" spans="1:13" hidden="1" x14ac:dyDescent="0.15">
      <c r="A10954" t="s">
        <v>34584</v>
      </c>
      <c r="B10954" t="s">
        <v>34585</v>
      </c>
      <c r="C10954" t="s">
        <v>34586</v>
      </c>
      <c r="D10954" t="s">
        <v>34574</v>
      </c>
      <c r="E10954">
        <v>28</v>
      </c>
      <c r="F10954" t="str">
        <f>HYPERLINK("https://github.com/jellyfin/jellyfin-androidtv/issues/2269", "show")</f>
        <v>show</v>
      </c>
      <c r="G10954" t="str">
        <f>HYPERLINK("https://github.com/jellyfin/jellyfin-androidtv", "show")</f>
        <v>show</v>
      </c>
      <c r="H10954" t="str">
        <f>HYPERLINK("https://github.com/jellyfin/jellyfin-androidtv/releases", "show")</f>
        <v>show</v>
      </c>
      <c r="I10954">
        <v>0</v>
      </c>
      <c r="J10954">
        <v>0</v>
      </c>
      <c r="K10954">
        <v>1</v>
      </c>
      <c r="L10954">
        <v>0</v>
      </c>
      <c r="M10954" t="s">
        <v>122</v>
      </c>
    </row>
    <row r="10955" spans="1:13" hidden="1" x14ac:dyDescent="0.15">
      <c r="A10955" t="s">
        <v>34587</v>
      </c>
      <c r="B10955" t="s">
        <v>34588</v>
      </c>
      <c r="C10955" t="s">
        <v>34589</v>
      </c>
      <c r="D10955" t="s">
        <v>34574</v>
      </c>
      <c r="E10955">
        <v>1</v>
      </c>
      <c r="F10955" t="str">
        <f>HYPERLINK("https://github.com/Anuken/Mindustry/issues/7929", "show")</f>
        <v>show</v>
      </c>
      <c r="G10955" t="str">
        <f>HYPERLINK("https://github.com/Anuken/Mindustry", "show")</f>
        <v>show</v>
      </c>
      <c r="H10955" t="str">
        <f>HYPERLINK("https://github.com/Anuken/Mindustry/releases", "show")</f>
        <v>show</v>
      </c>
      <c r="I10955">
        <v>0</v>
      </c>
      <c r="J10955">
        <v>0</v>
      </c>
      <c r="K10955">
        <v>0</v>
      </c>
      <c r="L10955">
        <v>0</v>
      </c>
      <c r="M10955" t="s">
        <v>43</v>
      </c>
    </row>
    <row r="10956" spans="1:13" hidden="1" x14ac:dyDescent="0.15">
      <c r="A10956" t="s">
        <v>34590</v>
      </c>
      <c r="B10956" t="s">
        <v>34591</v>
      </c>
      <c r="C10956" t="s">
        <v>34592</v>
      </c>
      <c r="D10956" t="s">
        <v>34574</v>
      </c>
      <c r="E10956">
        <v>46</v>
      </c>
      <c r="F10956" t="str">
        <f>HYPERLINK("https://github.com/AndroidIDEOfficial/AndroidIDE/issues/613", "show")</f>
        <v>show</v>
      </c>
      <c r="G10956" t="str">
        <f>HYPERLINK("https://github.com/AndroidIDEOfficial/AndroidIDE", "show")</f>
        <v>show</v>
      </c>
      <c r="H10956" t="str">
        <f>HYPERLINK("https://github.com/AndroidIDEOfficial/AndroidIDE/releases", "show")</f>
        <v>show</v>
      </c>
      <c r="I10956">
        <v>1</v>
      </c>
      <c r="J10956">
        <v>0</v>
      </c>
      <c r="K10956">
        <v>1</v>
      </c>
      <c r="L10956">
        <v>0</v>
      </c>
      <c r="M10956" t="s">
        <v>64</v>
      </c>
    </row>
    <row r="10957" spans="1:13" hidden="1" x14ac:dyDescent="0.15">
      <c r="A10957" t="s">
        <v>34593</v>
      </c>
      <c r="B10957" t="s">
        <v>34594</v>
      </c>
      <c r="C10957" t="s">
        <v>34595</v>
      </c>
      <c r="D10957" t="s">
        <v>34574</v>
      </c>
      <c r="E10957">
        <v>14</v>
      </c>
      <c r="F10957" t="str">
        <f>HYPERLINK("https://github.com/Catfriend1/syncthing-android/issues/937", "show")</f>
        <v>show</v>
      </c>
      <c r="G10957" t="str">
        <f>HYPERLINK("https://github.com/Catfriend1/syncthing-android", "show")</f>
        <v>show</v>
      </c>
      <c r="H10957" t="str">
        <f>HYPERLINK("https://github.com/Catfriend1/syncthing-android/releases", "show")</f>
        <v>show</v>
      </c>
      <c r="I10957">
        <v>1</v>
      </c>
      <c r="J10957">
        <v>0</v>
      </c>
      <c r="K10957">
        <v>0</v>
      </c>
      <c r="L10957">
        <v>0</v>
      </c>
      <c r="M10957" t="s">
        <v>17</v>
      </c>
    </row>
    <row r="10958" spans="1:13" hidden="1" x14ac:dyDescent="0.15">
      <c r="A10958" t="s">
        <v>34596</v>
      </c>
      <c r="B10958" t="s">
        <v>34597</v>
      </c>
      <c r="C10958" t="s">
        <v>34598</v>
      </c>
      <c r="D10958" t="s">
        <v>34574</v>
      </c>
      <c r="E10958">
        <v>20</v>
      </c>
      <c r="F10958" t="str">
        <f>HYPERLINK("https://github.com/jellyfin/jellyfin-androidtv/issues/2267", "show")</f>
        <v>show</v>
      </c>
      <c r="G10958" t="str">
        <f>HYPERLINK("https://github.com/jellyfin/jellyfin-androidtv", "show")</f>
        <v>show</v>
      </c>
      <c r="H10958" t="str">
        <f>HYPERLINK("https://github.com/jellyfin/jellyfin-androidtv/releases", "show")</f>
        <v>show</v>
      </c>
      <c r="I10958">
        <v>0</v>
      </c>
      <c r="J10958">
        <v>0</v>
      </c>
      <c r="K10958">
        <v>1</v>
      </c>
      <c r="L10958">
        <v>0</v>
      </c>
      <c r="M10958" t="s">
        <v>122</v>
      </c>
    </row>
    <row r="10959" spans="1:13" hidden="1" x14ac:dyDescent="0.15">
      <c r="A10959" t="s">
        <v>34599</v>
      </c>
      <c r="B10959" t="s">
        <v>34600</v>
      </c>
      <c r="D10959" t="s">
        <v>34601</v>
      </c>
      <c r="E10959">
        <v>10</v>
      </c>
      <c r="F10959" t="str">
        <f>HYPERLINK("https://github.com/CMPUT301F22T05/LOOPs/issues/167", "show")</f>
        <v>show</v>
      </c>
      <c r="G10959" t="str">
        <f>HYPERLINK("https://github.com/CMPUT301F22T05/LOOPs", "show")</f>
        <v>show</v>
      </c>
      <c r="H10959" t="str">
        <f>HYPERLINK("https://github.com/CMPUT301F22T05/LOOPs/releases", "show")</f>
        <v>show</v>
      </c>
      <c r="I10959">
        <v>1</v>
      </c>
      <c r="J10959">
        <v>0</v>
      </c>
      <c r="K10959">
        <v>0</v>
      </c>
      <c r="L10959">
        <v>0</v>
      </c>
      <c r="M10959" t="s">
        <v>17</v>
      </c>
    </row>
    <row r="10960" spans="1:13" hidden="1" x14ac:dyDescent="0.15">
      <c r="A10960" t="s">
        <v>34602</v>
      </c>
      <c r="B10960" t="s">
        <v>34603</v>
      </c>
      <c r="D10960" t="s">
        <v>34601</v>
      </c>
      <c r="E10960">
        <v>1</v>
      </c>
      <c r="F10960" t="str">
        <f>HYPERLINK("https://github.com/CMPUT301F22T05/LOOPs/issues/166", "show")</f>
        <v>show</v>
      </c>
      <c r="G10960" t="str">
        <f>HYPERLINK("https://github.com/CMPUT301F22T05/LOOPs", "show")</f>
        <v>show</v>
      </c>
      <c r="H10960" t="str">
        <f>HYPERLINK("https://github.com/CMPUT301F22T05/LOOPs/releases", "show")</f>
        <v>show</v>
      </c>
      <c r="I10960">
        <v>1</v>
      </c>
      <c r="J10960">
        <v>0</v>
      </c>
      <c r="K10960">
        <v>0</v>
      </c>
      <c r="L10960">
        <v>0</v>
      </c>
      <c r="M10960" t="s">
        <v>17</v>
      </c>
    </row>
    <row r="10961" spans="1:13" hidden="1" x14ac:dyDescent="0.15">
      <c r="A10961" t="s">
        <v>34604</v>
      </c>
      <c r="B10961" t="s">
        <v>34605</v>
      </c>
      <c r="C10961" t="s">
        <v>34606</v>
      </c>
      <c r="D10961" t="s">
        <v>34601</v>
      </c>
      <c r="E10961">
        <v>53</v>
      </c>
      <c r="F10961" t="str">
        <f>HYPERLINK("https://github.com/Anuken/Mindustry/issues/7923", "show")</f>
        <v>show</v>
      </c>
      <c r="G10961" t="str">
        <f>HYPERLINK("https://github.com/Anuken/Mindustry", "show")</f>
        <v>show</v>
      </c>
      <c r="H10961" t="str">
        <f>HYPERLINK("https://github.com/Anuken/Mindustry/releases", "show")</f>
        <v>show</v>
      </c>
      <c r="I10961">
        <v>0</v>
      </c>
      <c r="J10961">
        <v>0</v>
      </c>
      <c r="K10961">
        <v>0</v>
      </c>
      <c r="L10961">
        <v>0</v>
      </c>
      <c r="M10961" t="s">
        <v>43</v>
      </c>
    </row>
    <row r="10962" spans="1:13" hidden="1" x14ac:dyDescent="0.15">
      <c r="A10962" t="s">
        <v>34607</v>
      </c>
      <c r="B10962" t="s">
        <v>34608</v>
      </c>
      <c r="C10962" t="s">
        <v>34609</v>
      </c>
      <c r="D10962" t="s">
        <v>34601</v>
      </c>
      <c r="E10962">
        <v>14</v>
      </c>
      <c r="F10962" t="str">
        <f>HYPERLINK("https://github.com/COSC481W-2022Fall/capstone-project-vibe/issues/90", "show")</f>
        <v>show</v>
      </c>
      <c r="G10962" t="str">
        <f>HYPERLINK("https://github.com/COSC481W-2022Fall/capstone-project-vibe", "show")</f>
        <v>show</v>
      </c>
      <c r="H10962" t="str">
        <f>HYPERLINK("https://github.com/COSC481W-2022Fall/capstone-project-vibe/releases", "show")</f>
        <v>show</v>
      </c>
      <c r="I10962">
        <v>1</v>
      </c>
      <c r="J10962">
        <v>0</v>
      </c>
      <c r="K10962">
        <v>0</v>
      </c>
      <c r="L10962">
        <v>0</v>
      </c>
      <c r="M10962" t="s">
        <v>17</v>
      </c>
    </row>
    <row r="10963" spans="1:13" hidden="1" x14ac:dyDescent="0.15">
      <c r="A10963" t="s">
        <v>34610</v>
      </c>
      <c r="B10963" t="s">
        <v>34611</v>
      </c>
      <c r="C10963" t="s">
        <v>34612</v>
      </c>
      <c r="D10963" t="s">
        <v>34601</v>
      </c>
      <c r="E10963">
        <v>7</v>
      </c>
      <c r="F10963" t="str">
        <f>HYPERLINK("https://github.com/AppLovin/AppLovin-MAX-React-Native/issues/124", "show")</f>
        <v>show</v>
      </c>
      <c r="G10963" t="str">
        <f>HYPERLINK("https://github.com/AppLovin/AppLovin-MAX-React-Native", "show")</f>
        <v>show</v>
      </c>
      <c r="H10963" t="str">
        <f>HYPERLINK("https://github.com/AppLovin/AppLovin-MAX-React-Native/releases", "show")</f>
        <v>show</v>
      </c>
      <c r="I10963">
        <v>1</v>
      </c>
      <c r="J10963">
        <v>0</v>
      </c>
      <c r="K10963">
        <v>0</v>
      </c>
      <c r="L10963">
        <v>0</v>
      </c>
      <c r="M10963" t="s">
        <v>17</v>
      </c>
    </row>
    <row r="10964" spans="1:13" hidden="1" x14ac:dyDescent="0.15">
      <c r="A10964" t="s">
        <v>34613</v>
      </c>
      <c r="B10964" t="s">
        <v>34614</v>
      </c>
      <c r="C10964" t="s">
        <v>34615</v>
      </c>
      <c r="D10964" t="s">
        <v>34601</v>
      </c>
      <c r="E10964">
        <v>71</v>
      </c>
      <c r="F10964" t="str">
        <f>HYPERLINK("https://github.com/PojavLauncherTeam/PojavLauncher/issues/3678", "show")</f>
        <v>show</v>
      </c>
      <c r="G10964" t="str">
        <f>HYPERLINK("https://github.com/PojavLauncherTeam/PojavLauncher", "show")</f>
        <v>show</v>
      </c>
      <c r="H10964" t="str">
        <f>HYPERLINK("https://github.com/PojavLauncherTeam/PojavLauncher/releases", "show")</f>
        <v>show</v>
      </c>
      <c r="I10964">
        <v>1</v>
      </c>
      <c r="J10964">
        <v>0</v>
      </c>
      <c r="K10964">
        <v>0</v>
      </c>
      <c r="L10964">
        <v>0</v>
      </c>
      <c r="M10964" t="s">
        <v>17</v>
      </c>
    </row>
    <row r="10965" spans="1:13" hidden="1" x14ac:dyDescent="0.15">
      <c r="A10965" t="s">
        <v>34616</v>
      </c>
      <c r="B10965" t="s">
        <v>34617</v>
      </c>
      <c r="C10965" t="s">
        <v>34618</v>
      </c>
      <c r="D10965" t="s">
        <v>34601</v>
      </c>
      <c r="E10965">
        <v>53</v>
      </c>
      <c r="F10965" t="str">
        <f>HYPERLINK("https://github.com/Anuken/Mindustry/issues/7922", "show")</f>
        <v>show</v>
      </c>
      <c r="G10965" t="str">
        <f>HYPERLINK("https://github.com/Anuken/Mindustry", "show")</f>
        <v>show</v>
      </c>
      <c r="H10965" t="str">
        <f>HYPERLINK("https://github.com/Anuken/Mindustry/releases", "show")</f>
        <v>show</v>
      </c>
      <c r="I10965">
        <v>0</v>
      </c>
      <c r="J10965">
        <v>0</v>
      </c>
      <c r="K10965">
        <v>0</v>
      </c>
      <c r="L10965">
        <v>0</v>
      </c>
      <c r="M10965" t="s">
        <v>43</v>
      </c>
    </row>
    <row r="10966" spans="1:13" hidden="1" x14ac:dyDescent="0.15">
      <c r="A10966" t="s">
        <v>34619</v>
      </c>
      <c r="B10966" t="s">
        <v>34620</v>
      </c>
      <c r="C10966" t="s">
        <v>34621</v>
      </c>
      <c r="D10966" t="s">
        <v>34601</v>
      </c>
      <c r="E10966">
        <v>122</v>
      </c>
      <c r="F10966" t="str">
        <f>HYPERLINK("https://github.com/LawnchairLauncher/lawnchair/issues/3111", "show")</f>
        <v>show</v>
      </c>
      <c r="G10966" t="str">
        <f>HYPERLINK("https://github.com/LawnchairLauncher/lawnchair", "show")</f>
        <v>show</v>
      </c>
      <c r="H10966" t="str">
        <f>HYPERLINK("https://github.com/LawnchairLauncher/lawnchair/releases", "show")</f>
        <v>show</v>
      </c>
      <c r="I10966">
        <v>0</v>
      </c>
      <c r="J10966">
        <v>1</v>
      </c>
      <c r="K10966">
        <v>1</v>
      </c>
      <c r="L10966">
        <v>0</v>
      </c>
      <c r="M10966" t="s">
        <v>699</v>
      </c>
    </row>
    <row r="10967" spans="1:13" hidden="1" x14ac:dyDescent="0.15">
      <c r="A10967" t="s">
        <v>34622</v>
      </c>
      <c r="B10967" t="s">
        <v>34623</v>
      </c>
      <c r="C10967" t="s">
        <v>34624</v>
      </c>
      <c r="D10967" t="s">
        <v>34601</v>
      </c>
      <c r="E10967">
        <v>2</v>
      </c>
      <c r="F10967" t="str">
        <f>HYPERLINK("https://github.com/jellyfin/jellyfin-androidtv/issues/2262", "show")</f>
        <v>show</v>
      </c>
      <c r="G10967" t="str">
        <f>HYPERLINK("https://github.com/jellyfin/jellyfin-androidtv", "show")</f>
        <v>show</v>
      </c>
      <c r="H10967" t="str">
        <f>HYPERLINK("https://github.com/jellyfin/jellyfin-androidtv/releases", "show")</f>
        <v>show</v>
      </c>
      <c r="I10967">
        <v>1</v>
      </c>
      <c r="J10967">
        <v>0</v>
      </c>
      <c r="K10967">
        <v>0</v>
      </c>
      <c r="L10967">
        <v>0</v>
      </c>
      <c r="M10967" t="s">
        <v>17</v>
      </c>
    </row>
    <row r="10968" spans="1:13" x14ac:dyDescent="0.15">
      <c r="A10968" t="s">
        <v>34625</v>
      </c>
      <c r="B10968" t="s">
        <v>34626</v>
      </c>
      <c r="C10968" t="s">
        <v>34627</v>
      </c>
      <c r="D10968" t="s">
        <v>34601</v>
      </c>
      <c r="E10968">
        <v>10</v>
      </c>
      <c r="F10968" t="str">
        <f>HYPERLINK("https://github.com/jellyfin/jellyfin-androidtv/issues/2261", "show")</f>
        <v>show</v>
      </c>
      <c r="G10968" t="str">
        <f>HYPERLINK("https://github.com/jellyfin/jellyfin-androidtv", "show")</f>
        <v>show</v>
      </c>
      <c r="H10968" t="str">
        <f>HYPERLINK("https://github.com/jellyfin/jellyfin-androidtv/releases", "show")</f>
        <v>show</v>
      </c>
      <c r="I10968">
        <v>0</v>
      </c>
      <c r="J10968">
        <v>1</v>
      </c>
      <c r="K10968">
        <v>0</v>
      </c>
      <c r="L10968">
        <v>0</v>
      </c>
      <c r="M10968" t="s">
        <v>139</v>
      </c>
    </row>
    <row r="10969" spans="1:13" hidden="1" x14ac:dyDescent="0.15">
      <c r="A10969" t="s">
        <v>34628</v>
      </c>
      <c r="B10969" t="s">
        <v>34629</v>
      </c>
      <c r="C10969" t="s">
        <v>34630</v>
      </c>
      <c r="D10969" t="s">
        <v>34601</v>
      </c>
      <c r="E10969">
        <v>1</v>
      </c>
      <c r="F10969" t="str">
        <f>HYPERLINK("https://github.com/jellyfin/jellyfin-androidtv/issues/2260", "show")</f>
        <v>show</v>
      </c>
      <c r="G10969" t="str">
        <f>HYPERLINK("https://github.com/jellyfin/jellyfin-androidtv", "show")</f>
        <v>show</v>
      </c>
      <c r="H10969" t="str">
        <f>HYPERLINK("https://github.com/jellyfin/jellyfin-androidtv/releases", "show")</f>
        <v>show</v>
      </c>
      <c r="I10969">
        <v>1</v>
      </c>
      <c r="J10969">
        <v>1</v>
      </c>
      <c r="K10969">
        <v>1</v>
      </c>
      <c r="L10969">
        <v>0</v>
      </c>
      <c r="M10969" t="s">
        <v>59</v>
      </c>
    </row>
    <row r="10970" spans="1:13" hidden="1" x14ac:dyDescent="0.15">
      <c r="A10970" t="s">
        <v>34631</v>
      </c>
      <c r="B10970" t="s">
        <v>34632</v>
      </c>
      <c r="C10970" t="s">
        <v>34633</v>
      </c>
      <c r="D10970" t="s">
        <v>34634</v>
      </c>
      <c r="E10970">
        <v>8</v>
      </c>
      <c r="F10970" t="str">
        <f>HYPERLINK("https://github.com/bumptech/glide/issues/4952", "show")</f>
        <v>show</v>
      </c>
      <c r="G10970" t="str">
        <f>HYPERLINK("https://github.com/bumptech/glide", "show")</f>
        <v>show</v>
      </c>
      <c r="H10970" t="str">
        <f>HYPERLINK("https://github.com/bumptech/glide/releases", "show")</f>
        <v>show</v>
      </c>
      <c r="I10970">
        <v>1</v>
      </c>
      <c r="J10970">
        <v>0</v>
      </c>
      <c r="K10970">
        <v>0</v>
      </c>
      <c r="L10970">
        <v>0</v>
      </c>
      <c r="M10970" t="s">
        <v>17</v>
      </c>
    </row>
    <row r="10971" spans="1:13" hidden="1" x14ac:dyDescent="0.15">
      <c r="A10971" t="s">
        <v>34635</v>
      </c>
      <c r="B10971" t="s">
        <v>34636</v>
      </c>
      <c r="C10971" t="s">
        <v>34637</v>
      </c>
      <c r="D10971" t="s">
        <v>34634</v>
      </c>
      <c r="E10971">
        <v>9</v>
      </c>
      <c r="F10971" t="str">
        <f>HYPERLINK("https://github.com/nextcloud/android/issues/11032", "show")</f>
        <v>show</v>
      </c>
      <c r="G10971" t="str">
        <f>HYPERLINK("https://github.com/nextcloud/android", "show")</f>
        <v>show</v>
      </c>
      <c r="H10971" t="str">
        <f>HYPERLINK("https://github.com/nextcloud/android/releases", "show")</f>
        <v>show</v>
      </c>
      <c r="I10971">
        <v>1</v>
      </c>
      <c r="J10971">
        <v>1</v>
      </c>
      <c r="K10971">
        <v>1</v>
      </c>
      <c r="L10971">
        <v>0</v>
      </c>
      <c r="M10971" t="s">
        <v>59</v>
      </c>
    </row>
    <row r="10972" spans="1:13" hidden="1" x14ac:dyDescent="0.15">
      <c r="A10972" t="s">
        <v>34638</v>
      </c>
      <c r="B10972" t="s">
        <v>34639</v>
      </c>
      <c r="C10972" t="s">
        <v>34640</v>
      </c>
      <c r="D10972" t="s">
        <v>34634</v>
      </c>
      <c r="E10972">
        <v>291</v>
      </c>
      <c r="F10972" t="str">
        <f>HYPERLINK("https://github.com/microg/FakeStore/issues/47", "show")</f>
        <v>show</v>
      </c>
      <c r="G10972" t="str">
        <f>HYPERLINK("https://github.com/microg/FakeStore", "show")</f>
        <v>show</v>
      </c>
      <c r="H10972" t="str">
        <f>HYPERLINK("https://github.com/microg/FakeStore/releases", "show")</f>
        <v>show</v>
      </c>
      <c r="I10972">
        <v>1</v>
      </c>
      <c r="J10972">
        <v>0</v>
      </c>
      <c r="K10972">
        <v>0</v>
      </c>
      <c r="L10972">
        <v>1</v>
      </c>
      <c r="M10972" t="s">
        <v>29</v>
      </c>
    </row>
    <row r="10973" spans="1:13" hidden="1" x14ac:dyDescent="0.15">
      <c r="A10973" t="s">
        <v>34641</v>
      </c>
      <c r="B10973" t="s">
        <v>34642</v>
      </c>
      <c r="C10973" t="s">
        <v>34643</v>
      </c>
      <c r="D10973" t="s">
        <v>34634</v>
      </c>
      <c r="E10973">
        <v>72</v>
      </c>
      <c r="F10973" t="str">
        <f>HYPERLINK("https://github.com/PojavLauncherTeam/PojavLauncher/issues/3673", "show")</f>
        <v>show</v>
      </c>
      <c r="G10973" t="str">
        <f>HYPERLINK("https://github.com/PojavLauncherTeam/PojavLauncher", "show")</f>
        <v>show</v>
      </c>
      <c r="H10973" t="str">
        <f>HYPERLINK("https://github.com/PojavLauncherTeam/PojavLauncher/releases", "show")</f>
        <v>show</v>
      </c>
      <c r="I10973">
        <v>0</v>
      </c>
      <c r="J10973">
        <v>0</v>
      </c>
      <c r="K10973">
        <v>0</v>
      </c>
      <c r="L10973">
        <v>0</v>
      </c>
      <c r="M10973" t="s">
        <v>43</v>
      </c>
    </row>
    <row r="10974" spans="1:13" hidden="1" x14ac:dyDescent="0.15">
      <c r="A10974" t="s">
        <v>34644</v>
      </c>
      <c r="B10974" t="s">
        <v>34645</v>
      </c>
      <c r="C10974" t="s">
        <v>34646</v>
      </c>
      <c r="D10974" t="s">
        <v>34634</v>
      </c>
      <c r="E10974">
        <v>45</v>
      </c>
      <c r="F10974" t="str">
        <f>HYPERLINK("https://github.com/PojavLauncherTeam/PojavLauncher/issues/3672", "show")</f>
        <v>show</v>
      </c>
      <c r="G10974" t="str">
        <f>HYPERLINK("https://github.com/PojavLauncherTeam/PojavLauncher", "show")</f>
        <v>show</v>
      </c>
      <c r="H10974" t="str">
        <f>HYPERLINK("https://github.com/PojavLauncherTeam/PojavLauncher/releases", "show")</f>
        <v>show</v>
      </c>
      <c r="I10974">
        <v>0</v>
      </c>
      <c r="J10974">
        <v>0</v>
      </c>
      <c r="K10974">
        <v>0</v>
      </c>
      <c r="L10974">
        <v>0</v>
      </c>
      <c r="M10974" t="s">
        <v>43</v>
      </c>
    </row>
    <row r="10975" spans="1:13" hidden="1" x14ac:dyDescent="0.15">
      <c r="A10975" t="s">
        <v>34647</v>
      </c>
      <c r="B10975" t="s">
        <v>34648</v>
      </c>
      <c r="C10975" t="s">
        <v>34649</v>
      </c>
      <c r="D10975" t="s">
        <v>34634</v>
      </c>
      <c r="E10975">
        <v>0</v>
      </c>
      <c r="F10975" t="str">
        <f>HYPERLINK("https://github.com/TeamNewPipe/NewPipe/issues/9396", "show")</f>
        <v>show</v>
      </c>
      <c r="G10975" t="str">
        <f>HYPERLINK("https://github.com/TeamNewPipe/NewPipe", "show")</f>
        <v>show</v>
      </c>
      <c r="H10975" t="str">
        <f>HYPERLINK("https://github.com/TeamNewPipe/NewPipe/releases", "show")</f>
        <v>show</v>
      </c>
      <c r="I10975">
        <v>1</v>
      </c>
      <c r="J10975">
        <v>1</v>
      </c>
      <c r="K10975">
        <v>1</v>
      </c>
      <c r="L10975">
        <v>0</v>
      </c>
      <c r="M10975" t="s">
        <v>59</v>
      </c>
    </row>
    <row r="10976" spans="1:13" hidden="1" x14ac:dyDescent="0.15">
      <c r="A10976" t="s">
        <v>34650</v>
      </c>
      <c r="B10976" t="s">
        <v>34651</v>
      </c>
      <c r="C10976" t="s">
        <v>34652</v>
      </c>
      <c r="D10976" t="s">
        <v>34653</v>
      </c>
      <c r="E10976">
        <v>0</v>
      </c>
      <c r="F10976" t="str">
        <f>HYPERLINK("https://github.com/nextcloud/android/issues/11027", "show")</f>
        <v>show</v>
      </c>
      <c r="G10976" t="str">
        <f>HYPERLINK("https://github.com/nextcloud/android", "show")</f>
        <v>show</v>
      </c>
      <c r="H10976" t="str">
        <f>HYPERLINK("https://github.com/nextcloud/android/releases", "show")</f>
        <v>show</v>
      </c>
      <c r="I10976">
        <v>1</v>
      </c>
      <c r="J10976">
        <v>0</v>
      </c>
      <c r="K10976">
        <v>1</v>
      </c>
      <c r="L10976">
        <v>0</v>
      </c>
      <c r="M10976" t="s">
        <v>64</v>
      </c>
    </row>
    <row r="10977" spans="1:13" hidden="1" x14ac:dyDescent="0.15">
      <c r="A10977" t="s">
        <v>34654</v>
      </c>
      <c r="B10977" t="s">
        <v>34655</v>
      </c>
      <c r="C10977" t="s">
        <v>34656</v>
      </c>
      <c r="D10977" t="s">
        <v>34653</v>
      </c>
      <c r="E10977">
        <v>16</v>
      </c>
      <c r="F10977" t="str">
        <f>HYPERLINK("https://github.com/LawnchairLauncher/lawnchair/issues/3109", "show")</f>
        <v>show</v>
      </c>
      <c r="G10977" t="str">
        <f>HYPERLINK("https://github.com/LawnchairLauncher/lawnchair", "show")</f>
        <v>show</v>
      </c>
      <c r="H10977" t="str">
        <f>HYPERLINK("https://github.com/LawnchairLauncher/lawnchair/releases", "show")</f>
        <v>show</v>
      </c>
      <c r="I10977">
        <v>1</v>
      </c>
      <c r="J10977">
        <v>1</v>
      </c>
      <c r="K10977">
        <v>1</v>
      </c>
      <c r="L10977">
        <v>0</v>
      </c>
      <c r="M10977" t="s">
        <v>59</v>
      </c>
    </row>
    <row r="10978" spans="1:13" hidden="1" x14ac:dyDescent="0.15">
      <c r="A10978" t="s">
        <v>34657</v>
      </c>
      <c r="B10978" t="s">
        <v>34658</v>
      </c>
      <c r="D10978" t="s">
        <v>34653</v>
      </c>
      <c r="E10978">
        <v>0</v>
      </c>
      <c r="F10978" t="str">
        <f>HYPERLINK("https://github.com/Anuken/Mindustry/issues/7909", "show")</f>
        <v>show</v>
      </c>
      <c r="G10978" t="str">
        <f>HYPERLINK("https://github.com/Anuken/Mindustry", "show")</f>
        <v>show</v>
      </c>
      <c r="H10978" t="str">
        <f>HYPERLINK("https://github.com/Anuken/Mindustry/releases", "show")</f>
        <v>show</v>
      </c>
      <c r="I10978">
        <v>0</v>
      </c>
      <c r="J10978">
        <v>0</v>
      </c>
      <c r="K10978">
        <v>0</v>
      </c>
      <c r="L10978">
        <v>0</v>
      </c>
      <c r="M10978" t="s">
        <v>43</v>
      </c>
    </row>
    <row r="10979" spans="1:13" hidden="1" x14ac:dyDescent="0.15">
      <c r="A10979" t="s">
        <v>34659</v>
      </c>
      <c r="B10979" t="s">
        <v>34660</v>
      </c>
      <c r="C10979" t="s">
        <v>34661</v>
      </c>
      <c r="D10979" t="s">
        <v>34662</v>
      </c>
      <c r="E10979">
        <v>8</v>
      </c>
      <c r="F10979" t="str">
        <f>HYPERLINK("https://github.com/CMPUT301F22T02/well-fed/issues/139", "show")</f>
        <v>show</v>
      </c>
      <c r="G10979" t="str">
        <f>HYPERLINK("https://github.com/CMPUT301F22T02/well-fed", "show")</f>
        <v>show</v>
      </c>
      <c r="H10979" t="str">
        <f>HYPERLINK("https://github.com/CMPUT301F22T02/well-fed/releases", "show")</f>
        <v>show</v>
      </c>
      <c r="I10979">
        <v>1</v>
      </c>
      <c r="J10979">
        <v>1</v>
      </c>
      <c r="K10979">
        <v>0</v>
      </c>
      <c r="L10979">
        <v>0</v>
      </c>
      <c r="M10979" t="s">
        <v>48</v>
      </c>
    </row>
    <row r="10980" spans="1:13" hidden="1" x14ac:dyDescent="0.15">
      <c r="A10980" t="s">
        <v>34663</v>
      </c>
      <c r="B10980" t="s">
        <v>34664</v>
      </c>
      <c r="C10980" t="s">
        <v>34665</v>
      </c>
      <c r="D10980" t="s">
        <v>34662</v>
      </c>
      <c r="E10980">
        <v>1</v>
      </c>
      <c r="F10980" t="str">
        <f>HYPERLINK("https://github.com/Anuken/Mindustry/issues/7902", "show")</f>
        <v>show</v>
      </c>
      <c r="G10980" t="str">
        <f>HYPERLINK("https://github.com/Anuken/Mindustry", "show")</f>
        <v>show</v>
      </c>
      <c r="H10980" t="str">
        <f>HYPERLINK("https://github.com/Anuken/Mindustry/releases", "show")</f>
        <v>show</v>
      </c>
      <c r="I10980">
        <v>0</v>
      </c>
      <c r="J10980">
        <v>0</v>
      </c>
      <c r="K10980">
        <v>1</v>
      </c>
      <c r="L10980">
        <v>0</v>
      </c>
      <c r="M10980" t="s">
        <v>122</v>
      </c>
    </row>
    <row r="10981" spans="1:13" hidden="1" x14ac:dyDescent="0.15">
      <c r="A10981" t="s">
        <v>34666</v>
      </c>
      <c r="B10981" t="s">
        <v>34667</v>
      </c>
      <c r="C10981" t="s">
        <v>34668</v>
      </c>
      <c r="D10981" t="s">
        <v>34662</v>
      </c>
      <c r="E10981">
        <v>9</v>
      </c>
      <c r="F10981" t="str">
        <f>HYPERLINK("https://github.com/DiegoPassa/Bookito/issues/3", "show")</f>
        <v>show</v>
      </c>
      <c r="G10981" t="str">
        <f>HYPERLINK("https://github.com/DiegoPassa/Bookito", "show")</f>
        <v>show</v>
      </c>
      <c r="H10981" t="str">
        <f>HYPERLINK("https://github.com/DiegoPassa/Bookito/releases", "show")</f>
        <v>show</v>
      </c>
      <c r="I10981">
        <v>0</v>
      </c>
      <c r="J10981">
        <v>0</v>
      </c>
      <c r="K10981">
        <v>0</v>
      </c>
      <c r="L10981">
        <v>0</v>
      </c>
      <c r="M10981" t="s">
        <v>43</v>
      </c>
    </row>
    <row r="10982" spans="1:13" hidden="1" x14ac:dyDescent="0.15">
      <c r="A10982" t="s">
        <v>34669</v>
      </c>
      <c r="B10982" t="s">
        <v>34670</v>
      </c>
      <c r="C10982" t="s">
        <v>34671</v>
      </c>
      <c r="D10982" t="s">
        <v>34662</v>
      </c>
      <c r="E10982">
        <v>1</v>
      </c>
      <c r="F10982" t="str">
        <f>HYPERLINK("https://github.com/Anuken/Mindustry/issues/7894", "show")</f>
        <v>show</v>
      </c>
      <c r="G10982" t="str">
        <f>HYPERLINK("https://github.com/Anuken/Mindustry", "show")</f>
        <v>show</v>
      </c>
      <c r="H10982" t="str">
        <f>HYPERLINK("https://github.com/Anuken/Mindustry/releases", "show")</f>
        <v>show</v>
      </c>
      <c r="I10982">
        <v>1</v>
      </c>
      <c r="J10982">
        <v>1</v>
      </c>
      <c r="K10982">
        <v>0</v>
      </c>
      <c r="L10982">
        <v>0</v>
      </c>
      <c r="M10982" t="s">
        <v>48</v>
      </c>
    </row>
    <row r="10983" spans="1:13" hidden="1" x14ac:dyDescent="0.15">
      <c r="A10983" t="s">
        <v>34672</v>
      </c>
      <c r="B10983" t="s">
        <v>18076</v>
      </c>
      <c r="C10983" t="s">
        <v>34673</v>
      </c>
      <c r="D10983" t="s">
        <v>34662</v>
      </c>
      <c r="E10983">
        <v>1</v>
      </c>
      <c r="F10983" t="str">
        <f>HYPERLINK("https://github.com/Anuken/Mindustry/issues/7893", "show")</f>
        <v>show</v>
      </c>
      <c r="G10983" t="str">
        <f>HYPERLINK("https://github.com/Anuken/Mindustry", "show")</f>
        <v>show</v>
      </c>
      <c r="H10983" t="str">
        <f>HYPERLINK("https://github.com/Anuken/Mindustry/releases", "show")</f>
        <v>show</v>
      </c>
      <c r="I10983">
        <v>0</v>
      </c>
      <c r="J10983">
        <v>0</v>
      </c>
      <c r="K10983">
        <v>1</v>
      </c>
      <c r="L10983">
        <v>0</v>
      </c>
      <c r="M10983" t="s">
        <v>122</v>
      </c>
    </row>
    <row r="10984" spans="1:13" hidden="1" x14ac:dyDescent="0.15">
      <c r="A10984" t="s">
        <v>34674</v>
      </c>
      <c r="B10984" t="s">
        <v>34675</v>
      </c>
      <c r="C10984" t="s">
        <v>11701</v>
      </c>
      <c r="D10984" t="s">
        <v>34662</v>
      </c>
      <c r="E10984">
        <v>1</v>
      </c>
      <c r="F10984" t="str">
        <f>HYPERLINK("https://github.com/Anuken/Mindustry/issues/7892", "show")</f>
        <v>show</v>
      </c>
      <c r="G10984" t="str">
        <f>HYPERLINK("https://github.com/Anuken/Mindustry", "show")</f>
        <v>show</v>
      </c>
      <c r="H10984" t="str">
        <f>HYPERLINK("https://github.com/Anuken/Mindustry/releases", "show")</f>
        <v>show</v>
      </c>
      <c r="I10984">
        <v>1</v>
      </c>
      <c r="J10984">
        <v>1</v>
      </c>
      <c r="K10984">
        <v>0</v>
      </c>
      <c r="L10984">
        <v>0</v>
      </c>
      <c r="M10984" t="s">
        <v>48</v>
      </c>
    </row>
    <row r="10985" spans="1:13" hidden="1" x14ac:dyDescent="0.15">
      <c r="A10985" t="s">
        <v>34676</v>
      </c>
      <c r="B10985" t="s">
        <v>34677</v>
      </c>
      <c r="C10985" t="s">
        <v>34678</v>
      </c>
      <c r="D10985" t="s">
        <v>34662</v>
      </c>
      <c r="E10985">
        <v>306</v>
      </c>
      <c r="F10985" t="str">
        <f>HYPERLINK("https://github.com/MuntashirAkon/AppManager/issues/930", "show")</f>
        <v>show</v>
      </c>
      <c r="G10985" t="str">
        <f>HYPERLINK("https://github.com/MuntashirAkon/AppManager", "show")</f>
        <v>show</v>
      </c>
      <c r="H10985" t="str">
        <f>HYPERLINK("https://github.com/MuntashirAkon/AppManager/releases", "show")</f>
        <v>show</v>
      </c>
      <c r="I10985">
        <v>1</v>
      </c>
      <c r="J10985">
        <v>1</v>
      </c>
      <c r="K10985">
        <v>1</v>
      </c>
      <c r="L10985">
        <v>0</v>
      </c>
      <c r="M10985" t="s">
        <v>59</v>
      </c>
    </row>
    <row r="10986" spans="1:13" hidden="1" x14ac:dyDescent="0.15">
      <c r="A10986" t="s">
        <v>34679</v>
      </c>
      <c r="B10986" t="s">
        <v>34680</v>
      </c>
      <c r="C10986" t="s">
        <v>34681</v>
      </c>
      <c r="D10986" t="s">
        <v>34662</v>
      </c>
      <c r="E10986">
        <v>1</v>
      </c>
      <c r="F10986" t="str">
        <f>HYPERLINK("https://github.com/Anuken/Mindustry/issues/7886", "show")</f>
        <v>show</v>
      </c>
      <c r="G10986" t="str">
        <f>HYPERLINK("https://github.com/Anuken/Mindustry", "show")</f>
        <v>show</v>
      </c>
      <c r="H10986" t="str">
        <f>HYPERLINK("https://github.com/Anuken/Mindustry/releases", "show")</f>
        <v>show</v>
      </c>
      <c r="I10986">
        <v>1</v>
      </c>
      <c r="J10986">
        <v>1</v>
      </c>
      <c r="K10986">
        <v>0</v>
      </c>
      <c r="L10986">
        <v>0</v>
      </c>
      <c r="M10986" t="s">
        <v>48</v>
      </c>
    </row>
    <row r="10987" spans="1:13" hidden="1" x14ac:dyDescent="0.15">
      <c r="A10987" t="s">
        <v>34682</v>
      </c>
      <c r="B10987" t="s">
        <v>34683</v>
      </c>
      <c r="C10987" t="s">
        <v>34684</v>
      </c>
      <c r="D10987" t="s">
        <v>34685</v>
      </c>
      <c r="E10987">
        <v>2</v>
      </c>
      <c r="F10987" t="str">
        <f>HYPERLINK("https://github.com/Anuken/Mindustry/issues/7884", "show")</f>
        <v>show</v>
      </c>
      <c r="G10987" t="str">
        <f>HYPERLINK("https://github.com/Anuken/Mindustry", "show")</f>
        <v>show</v>
      </c>
      <c r="H10987" t="str">
        <f>HYPERLINK("https://github.com/Anuken/Mindustry/releases", "show")</f>
        <v>show</v>
      </c>
      <c r="I10987">
        <v>0</v>
      </c>
      <c r="J10987">
        <v>0</v>
      </c>
      <c r="K10987">
        <v>0</v>
      </c>
      <c r="L10987">
        <v>0</v>
      </c>
      <c r="M10987" t="s">
        <v>43</v>
      </c>
    </row>
    <row r="10988" spans="1:13" hidden="1" x14ac:dyDescent="0.15">
      <c r="A10988" t="s">
        <v>34686</v>
      </c>
      <c r="B10988" t="s">
        <v>34687</v>
      </c>
      <c r="C10988" t="s">
        <v>34688</v>
      </c>
      <c r="D10988" t="s">
        <v>34685</v>
      </c>
      <c r="E10988">
        <v>75</v>
      </c>
      <c r="F10988" t="str">
        <f>HYPERLINK("https://github.com/PojavLauncherTeam/PojavLauncher/issues/3655", "show")</f>
        <v>show</v>
      </c>
      <c r="G10988" t="str">
        <f>HYPERLINK("https://github.com/PojavLauncherTeam/PojavLauncher", "show")</f>
        <v>show</v>
      </c>
      <c r="H10988" t="str">
        <f>HYPERLINK("https://github.com/PojavLauncherTeam/PojavLauncher/releases", "show")</f>
        <v>show</v>
      </c>
      <c r="I10988">
        <v>1</v>
      </c>
      <c r="J10988">
        <v>1</v>
      </c>
      <c r="K10988">
        <v>1</v>
      </c>
      <c r="L10988">
        <v>0</v>
      </c>
      <c r="M10988" t="s">
        <v>59</v>
      </c>
    </row>
    <row r="10989" spans="1:13" hidden="1" x14ac:dyDescent="0.15">
      <c r="A10989" t="s">
        <v>34689</v>
      </c>
      <c r="B10989" t="s">
        <v>34690</v>
      </c>
      <c r="C10989" t="s">
        <v>34691</v>
      </c>
      <c r="D10989" t="s">
        <v>34685</v>
      </c>
      <c r="E10989">
        <v>1</v>
      </c>
      <c r="F10989" t="str">
        <f>HYPERLINK("https://github.com/deltachat/deltachat-android/issues/2420", "show")</f>
        <v>show</v>
      </c>
      <c r="G10989" t="str">
        <f>HYPERLINK("https://github.com/deltachat/deltachat-android", "show")</f>
        <v>show</v>
      </c>
      <c r="H10989" t="str">
        <f>HYPERLINK("https://github.com/deltachat/deltachat-android/releases", "show")</f>
        <v>show</v>
      </c>
      <c r="I10989">
        <v>1</v>
      </c>
      <c r="J10989">
        <v>0</v>
      </c>
      <c r="K10989">
        <v>1</v>
      </c>
      <c r="L10989">
        <v>0</v>
      </c>
      <c r="M10989" t="s">
        <v>64</v>
      </c>
    </row>
    <row r="10990" spans="1:13" hidden="1" x14ac:dyDescent="0.15">
      <c r="A10990" t="s">
        <v>34692</v>
      </c>
      <c r="B10990" t="s">
        <v>34693</v>
      </c>
      <c r="C10990" t="s">
        <v>34694</v>
      </c>
      <c r="D10990" t="s">
        <v>34685</v>
      </c>
      <c r="E10990">
        <v>0</v>
      </c>
      <c r="F10990" t="str">
        <f>HYPERLINK("https://github.com/Igalia/wolvic/issues/331", "show")</f>
        <v>show</v>
      </c>
      <c r="G10990" t="str">
        <f>HYPERLINK("https://github.com/Igalia/wolvic", "show")</f>
        <v>show</v>
      </c>
      <c r="H10990" t="str">
        <f>HYPERLINK("https://github.com/Igalia/wolvic/releases", "show")</f>
        <v>show</v>
      </c>
      <c r="I10990">
        <v>1</v>
      </c>
      <c r="J10990">
        <v>1</v>
      </c>
      <c r="K10990">
        <v>0</v>
      </c>
      <c r="L10990">
        <v>0</v>
      </c>
      <c r="M10990" t="s">
        <v>48</v>
      </c>
    </row>
    <row r="10991" spans="1:13" hidden="1" x14ac:dyDescent="0.15">
      <c r="A10991" t="s">
        <v>34695</v>
      </c>
      <c r="B10991" t="s">
        <v>34696</v>
      </c>
      <c r="C10991" t="s">
        <v>34697</v>
      </c>
      <c r="D10991" t="s">
        <v>34685</v>
      </c>
      <c r="E10991">
        <v>140</v>
      </c>
      <c r="F10991" t="str">
        <f>HYPERLINK("https://github.com/NordicSemiconductor/Android-nRF-Mesh-Library/issues/544", "show")</f>
        <v>show</v>
      </c>
      <c r="G10991" t="str">
        <f>HYPERLINK("https://github.com/NordicSemiconductor/Android-nRF-Mesh-Library", "show")</f>
        <v>show</v>
      </c>
      <c r="H10991" t="str">
        <f>HYPERLINK("https://github.com/NordicSemiconductor/Android-nRF-Mesh-Library/releases", "show")</f>
        <v>show</v>
      </c>
      <c r="I10991">
        <v>1</v>
      </c>
      <c r="J10991">
        <v>1</v>
      </c>
      <c r="K10991">
        <v>1</v>
      </c>
      <c r="L10991">
        <v>0</v>
      </c>
      <c r="M10991" t="s">
        <v>59</v>
      </c>
    </row>
    <row r="10992" spans="1:13" hidden="1" x14ac:dyDescent="0.15">
      <c r="A10992" t="s">
        <v>34698</v>
      </c>
      <c r="B10992" t="s">
        <v>34699</v>
      </c>
      <c r="C10992" t="s">
        <v>34700</v>
      </c>
      <c r="D10992" t="s">
        <v>34685</v>
      </c>
      <c r="E10992">
        <v>75</v>
      </c>
      <c r="F10992" t="str">
        <f>HYPERLINK("https://github.com/PojavLauncherTeam/PojavLauncher/issues/3654", "show")</f>
        <v>show</v>
      </c>
      <c r="G10992" t="str">
        <f>HYPERLINK("https://github.com/PojavLauncherTeam/PojavLauncher", "show")</f>
        <v>show</v>
      </c>
      <c r="H10992" t="str">
        <f>HYPERLINK("https://github.com/PojavLauncherTeam/PojavLauncher/releases", "show")</f>
        <v>show</v>
      </c>
      <c r="I10992">
        <v>1</v>
      </c>
      <c r="J10992">
        <v>1</v>
      </c>
      <c r="K10992">
        <v>1</v>
      </c>
      <c r="L10992">
        <v>0</v>
      </c>
      <c r="M10992" t="s">
        <v>59</v>
      </c>
    </row>
    <row r="10993" spans="1:13" hidden="1" x14ac:dyDescent="0.15">
      <c r="A10993" t="s">
        <v>34701</v>
      </c>
      <c r="B10993" t="s">
        <v>34702</v>
      </c>
      <c r="C10993" t="s">
        <v>34703</v>
      </c>
      <c r="D10993" t="s">
        <v>34685</v>
      </c>
      <c r="E10993">
        <v>22</v>
      </c>
      <c r="F10993" t="str">
        <f>HYPERLINK("https://github.com/AndroidIDEOfficial/AndroidIDE/issues/605", "show")</f>
        <v>show</v>
      </c>
      <c r="G10993" t="str">
        <f>HYPERLINK("https://github.com/AndroidIDEOfficial/AndroidIDE", "show")</f>
        <v>show</v>
      </c>
      <c r="H10993" t="str">
        <f>HYPERLINK("https://github.com/AndroidIDEOfficial/AndroidIDE/releases", "show")</f>
        <v>show</v>
      </c>
      <c r="I10993">
        <v>0</v>
      </c>
      <c r="J10993">
        <v>0</v>
      </c>
      <c r="K10993">
        <v>1</v>
      </c>
      <c r="L10993">
        <v>0</v>
      </c>
      <c r="M10993" t="s">
        <v>122</v>
      </c>
    </row>
    <row r="10994" spans="1:13" x14ac:dyDescent="0.15">
      <c r="A10994" t="s">
        <v>34704</v>
      </c>
      <c r="B10994" t="s">
        <v>34705</v>
      </c>
      <c r="C10994" t="s">
        <v>34706</v>
      </c>
      <c r="D10994" t="s">
        <v>34685</v>
      </c>
      <c r="E10994">
        <v>0</v>
      </c>
      <c r="F10994" t="str">
        <f>HYPERLINK("https://github.com/Anuken/Mindustry/issues/7866", "show")</f>
        <v>show</v>
      </c>
      <c r="G10994" t="str">
        <f>HYPERLINK("https://github.com/Anuken/Mindustry", "show")</f>
        <v>show</v>
      </c>
      <c r="H10994" t="str">
        <f>HYPERLINK("https://github.com/Anuken/Mindustry/releases", "show")</f>
        <v>show</v>
      </c>
      <c r="I10994">
        <v>0</v>
      </c>
      <c r="J10994">
        <v>1</v>
      </c>
      <c r="K10994">
        <v>0</v>
      </c>
      <c r="L10994">
        <v>0</v>
      </c>
      <c r="M10994" t="s">
        <v>139</v>
      </c>
    </row>
    <row r="10995" spans="1:13" hidden="1" x14ac:dyDescent="0.15">
      <c r="A10995" t="s">
        <v>34707</v>
      </c>
      <c r="B10995" t="s">
        <v>34708</v>
      </c>
      <c r="C10995" t="s">
        <v>34709</v>
      </c>
      <c r="D10995" t="s">
        <v>34710</v>
      </c>
      <c r="E10995">
        <v>1</v>
      </c>
      <c r="F10995" t="str">
        <f>HYPERLINK("https://github.com/AndroidIDEOfficial/AndroidIDE/issues/603", "show")</f>
        <v>show</v>
      </c>
      <c r="G10995" t="str">
        <f>HYPERLINK("https://github.com/AndroidIDEOfficial/AndroidIDE", "show")</f>
        <v>show</v>
      </c>
      <c r="H10995" t="str">
        <f>HYPERLINK("https://github.com/AndroidIDEOfficial/AndroidIDE/releases", "show")</f>
        <v>show</v>
      </c>
      <c r="I10995">
        <v>0</v>
      </c>
      <c r="J10995">
        <v>0</v>
      </c>
      <c r="K10995">
        <v>1</v>
      </c>
      <c r="L10995">
        <v>0</v>
      </c>
      <c r="M10995" t="s">
        <v>122</v>
      </c>
    </row>
    <row r="10996" spans="1:13" hidden="1" x14ac:dyDescent="0.15">
      <c r="A10996" t="s">
        <v>34711</v>
      </c>
      <c r="B10996" t="s">
        <v>34712</v>
      </c>
      <c r="C10996" t="s">
        <v>34713</v>
      </c>
      <c r="D10996" t="s">
        <v>34710</v>
      </c>
      <c r="E10996">
        <v>0</v>
      </c>
      <c r="F10996" t="str">
        <f>HYPERLINK("https://github.com/Sorabhkumar-dev/food-odering-app/issues/4", "show")</f>
        <v>show</v>
      </c>
      <c r="G10996" t="str">
        <f>HYPERLINK("https://github.com/Sorabhkumar-dev/food-odering-app", "show")</f>
        <v>show</v>
      </c>
      <c r="H10996" t="str">
        <f>HYPERLINK("https://github.com/Sorabhkumar-dev/food-odering-app/releases", "show")</f>
        <v>show</v>
      </c>
      <c r="I10996">
        <v>0</v>
      </c>
      <c r="J10996">
        <v>0</v>
      </c>
      <c r="K10996">
        <v>0</v>
      </c>
      <c r="L10996">
        <v>0</v>
      </c>
      <c r="M10996" t="s">
        <v>43</v>
      </c>
    </row>
    <row r="10997" spans="1:13" hidden="1" x14ac:dyDescent="0.15">
      <c r="A10997" t="s">
        <v>34714</v>
      </c>
      <c r="B10997" t="s">
        <v>34715</v>
      </c>
      <c r="C10997" t="s">
        <v>34716</v>
      </c>
      <c r="D10997" t="s">
        <v>34710</v>
      </c>
      <c r="E10997">
        <v>14</v>
      </c>
      <c r="F10997" t="str">
        <f>HYPERLINK("https://github.com/michalchudziak/react-native-geolocation/issues/217", "show")</f>
        <v>show</v>
      </c>
      <c r="G10997" t="str">
        <f>HYPERLINK("https://github.com/michalchudziak/react-native-geolocation", "show")</f>
        <v>show</v>
      </c>
      <c r="H10997" t="str">
        <f>HYPERLINK("https://github.com/michalchudziak/react-native-geolocation/releases", "show")</f>
        <v>show</v>
      </c>
      <c r="I10997">
        <v>1</v>
      </c>
      <c r="J10997">
        <v>0</v>
      </c>
      <c r="K10997">
        <v>1</v>
      </c>
      <c r="L10997">
        <v>0</v>
      </c>
      <c r="M10997" t="s">
        <v>64</v>
      </c>
    </row>
    <row r="10998" spans="1:13" hidden="1" x14ac:dyDescent="0.15">
      <c r="A10998" t="s">
        <v>34717</v>
      </c>
      <c r="B10998" t="s">
        <v>34718</v>
      </c>
      <c r="D10998" t="s">
        <v>34710</v>
      </c>
      <c r="E10998">
        <v>1</v>
      </c>
      <c r="F10998" t="str">
        <f>HYPERLINK("https://github.com/sspanak/tt9/issues/110", "show")</f>
        <v>show</v>
      </c>
      <c r="G10998" t="str">
        <f>HYPERLINK("https://github.com/sspanak/tt9", "show")</f>
        <v>show</v>
      </c>
      <c r="H10998" t="str">
        <f>HYPERLINK("https://github.com/sspanak/tt9/releases", "show")</f>
        <v>show</v>
      </c>
      <c r="I10998">
        <v>0</v>
      </c>
      <c r="J10998">
        <v>0</v>
      </c>
      <c r="K10998">
        <v>0</v>
      </c>
      <c r="L10998">
        <v>0</v>
      </c>
      <c r="M10998" t="s">
        <v>43</v>
      </c>
    </row>
    <row r="10999" spans="1:13" hidden="1" x14ac:dyDescent="0.15">
      <c r="A10999" t="s">
        <v>34719</v>
      </c>
      <c r="B10999" t="s">
        <v>34720</v>
      </c>
      <c r="C10999" t="s">
        <v>34721</v>
      </c>
      <c r="D10999" t="s">
        <v>34710</v>
      </c>
      <c r="E10999">
        <v>46</v>
      </c>
      <c r="F10999" t="str">
        <f>HYPERLINK("https://github.com/AndroidIDEOfficial/AndroidIDE/issues/601", "show")</f>
        <v>show</v>
      </c>
      <c r="G10999" t="str">
        <f>HYPERLINK("https://github.com/AndroidIDEOfficial/AndroidIDE", "show")</f>
        <v>show</v>
      </c>
      <c r="H10999" t="str">
        <f>HYPERLINK("https://github.com/AndroidIDEOfficial/AndroidIDE/releases", "show")</f>
        <v>show</v>
      </c>
      <c r="I10999">
        <v>0</v>
      </c>
      <c r="J10999">
        <v>0</v>
      </c>
      <c r="K10999">
        <v>1</v>
      </c>
      <c r="L10999">
        <v>0</v>
      </c>
      <c r="M10999" t="s">
        <v>122</v>
      </c>
    </row>
    <row r="11000" spans="1:13" hidden="1" x14ac:dyDescent="0.15">
      <c r="A11000" t="s">
        <v>34722</v>
      </c>
      <c r="B11000" t="s">
        <v>34723</v>
      </c>
      <c r="C11000" t="s">
        <v>34724</v>
      </c>
      <c r="D11000" t="s">
        <v>34710</v>
      </c>
      <c r="E11000">
        <v>6</v>
      </c>
      <c r="F11000" t="str">
        <f>HYPERLINK("https://github.com/microg/GmsCore/issues/1821", "show")</f>
        <v>show</v>
      </c>
      <c r="G11000" t="str">
        <f>HYPERLINK("https://github.com/microg/GmsCore", "show")</f>
        <v>show</v>
      </c>
      <c r="H11000" t="str">
        <f>HYPERLINK("https://github.com/microg/GmsCore/releases", "show")</f>
        <v>show</v>
      </c>
      <c r="I11000">
        <v>1</v>
      </c>
      <c r="J11000">
        <v>1</v>
      </c>
      <c r="K11000">
        <v>1</v>
      </c>
      <c r="L11000">
        <v>0</v>
      </c>
      <c r="M11000" t="s">
        <v>59</v>
      </c>
    </row>
    <row r="11001" spans="1:13" hidden="1" x14ac:dyDescent="0.15">
      <c r="A11001" t="s">
        <v>34725</v>
      </c>
      <c r="B11001" t="s">
        <v>34726</v>
      </c>
      <c r="C11001" t="s">
        <v>34727</v>
      </c>
      <c r="D11001" t="s">
        <v>34710</v>
      </c>
      <c r="E11001">
        <v>76</v>
      </c>
      <c r="F11001" t="str">
        <f>HYPERLINK("https://github.com/PojavLauncherTeam/PojavLauncher/issues/3651", "show")</f>
        <v>show</v>
      </c>
      <c r="G11001" t="str">
        <f>HYPERLINK("https://github.com/PojavLauncherTeam/PojavLauncher", "show")</f>
        <v>show</v>
      </c>
      <c r="H11001" t="str">
        <f>HYPERLINK("https://github.com/PojavLauncherTeam/PojavLauncher/releases", "show")</f>
        <v>show</v>
      </c>
      <c r="I11001">
        <v>1</v>
      </c>
      <c r="J11001">
        <v>0</v>
      </c>
      <c r="K11001">
        <v>0</v>
      </c>
      <c r="L11001">
        <v>1</v>
      </c>
      <c r="M11001" t="s">
        <v>29</v>
      </c>
    </row>
    <row r="11002" spans="1:13" hidden="1" x14ac:dyDescent="0.15">
      <c r="A11002" t="s">
        <v>34728</v>
      </c>
      <c r="B11002" t="s">
        <v>34729</v>
      </c>
      <c r="C11002" t="s">
        <v>34730</v>
      </c>
      <c r="D11002" t="s">
        <v>34731</v>
      </c>
      <c r="E11002">
        <v>1</v>
      </c>
      <c r="F11002" t="str">
        <f>HYPERLINK("https://github.com/deltachat/deltachat-android/issues/2417", "show")</f>
        <v>show</v>
      </c>
      <c r="G11002" t="str">
        <f>HYPERLINK("https://github.com/deltachat/deltachat-android", "show")</f>
        <v>show</v>
      </c>
      <c r="H11002" t="str">
        <f>HYPERLINK("https://github.com/deltachat/deltachat-android/releases", "show")</f>
        <v>show</v>
      </c>
      <c r="I11002">
        <v>0</v>
      </c>
      <c r="J11002">
        <v>0</v>
      </c>
      <c r="K11002">
        <v>1</v>
      </c>
      <c r="L11002">
        <v>0</v>
      </c>
      <c r="M11002" t="s">
        <v>122</v>
      </c>
    </row>
    <row r="11003" spans="1:13" hidden="1" x14ac:dyDescent="0.15">
      <c r="A11003" t="s">
        <v>34732</v>
      </c>
      <c r="B11003" t="s">
        <v>34733</v>
      </c>
      <c r="C11003" t="s">
        <v>34734</v>
      </c>
      <c r="D11003" t="s">
        <v>34735</v>
      </c>
      <c r="E11003">
        <v>78</v>
      </c>
      <c r="F11003" t="str">
        <f>HYPERLINK("https://github.com/PojavLauncherTeam/PojavLauncher/issues/3649", "show")</f>
        <v>show</v>
      </c>
      <c r="G11003" t="str">
        <f>HYPERLINK("https://github.com/PojavLauncherTeam/PojavLauncher", "show")</f>
        <v>show</v>
      </c>
      <c r="H11003" t="str">
        <f>HYPERLINK("https://github.com/PojavLauncherTeam/PojavLauncher/releases", "show")</f>
        <v>show</v>
      </c>
      <c r="I11003">
        <v>1</v>
      </c>
      <c r="J11003">
        <v>1</v>
      </c>
      <c r="K11003">
        <v>0</v>
      </c>
      <c r="L11003">
        <v>0</v>
      </c>
      <c r="M11003" t="s">
        <v>48</v>
      </c>
    </row>
    <row r="11004" spans="1:13" hidden="1" x14ac:dyDescent="0.15">
      <c r="A11004" t="s">
        <v>34736</v>
      </c>
      <c r="B11004" t="s">
        <v>34737</v>
      </c>
      <c r="C11004" t="s">
        <v>34738</v>
      </c>
      <c r="D11004" t="s">
        <v>34735</v>
      </c>
      <c r="E11004">
        <v>15</v>
      </c>
      <c r="F11004" t="str">
        <f>HYPERLINK("https://github.com/hauke96/GeoNotes/issues/94", "show")</f>
        <v>show</v>
      </c>
      <c r="G11004" t="str">
        <f>HYPERLINK("https://github.com/hauke96/GeoNotes", "show")</f>
        <v>show</v>
      </c>
      <c r="H11004" t="str">
        <f>HYPERLINK("https://github.com/hauke96/GeoNotes/releases", "show")</f>
        <v>show</v>
      </c>
      <c r="I11004">
        <v>1</v>
      </c>
      <c r="J11004">
        <v>1</v>
      </c>
      <c r="K11004">
        <v>1</v>
      </c>
      <c r="L11004">
        <v>0</v>
      </c>
      <c r="M11004" t="s">
        <v>59</v>
      </c>
    </row>
    <row r="11005" spans="1:13" hidden="1" x14ac:dyDescent="0.15">
      <c r="A11005" t="s">
        <v>34739</v>
      </c>
      <c r="B11005" t="s">
        <v>34740</v>
      </c>
      <c r="C11005" t="s">
        <v>34741</v>
      </c>
      <c r="D11005" t="s">
        <v>34735</v>
      </c>
      <c r="E11005">
        <v>133</v>
      </c>
      <c r="F11005" t="str">
        <f>HYPERLINK("https://github.com/launchdarkly/react-native-client-sdk/issues/161", "show")</f>
        <v>show</v>
      </c>
      <c r="G11005" t="str">
        <f>HYPERLINK("https://github.com/launchdarkly/react-native-client-sdk", "show")</f>
        <v>show</v>
      </c>
      <c r="H11005" t="str">
        <f>HYPERLINK("https://github.com/launchdarkly/react-native-client-sdk/releases", "show")</f>
        <v>show</v>
      </c>
      <c r="I11005">
        <v>1</v>
      </c>
      <c r="J11005">
        <v>1</v>
      </c>
      <c r="K11005">
        <v>0</v>
      </c>
      <c r="L11005">
        <v>0</v>
      </c>
      <c r="M11005" t="s">
        <v>48</v>
      </c>
    </row>
    <row r="11006" spans="1:13" hidden="1" x14ac:dyDescent="0.15">
      <c r="A11006" t="s">
        <v>34742</v>
      </c>
      <c r="B11006" t="s">
        <v>34743</v>
      </c>
      <c r="C11006" t="s">
        <v>34744</v>
      </c>
      <c r="D11006" t="s">
        <v>34745</v>
      </c>
      <c r="E11006">
        <v>3</v>
      </c>
      <c r="F11006" t="str">
        <f>HYPERLINK("https://github.com/cgeo/cgeo/issues/13622", "show")</f>
        <v>show</v>
      </c>
      <c r="G11006" t="str">
        <f>HYPERLINK("https://github.com/cgeo/cgeo", "show")</f>
        <v>show</v>
      </c>
      <c r="H11006" t="str">
        <f>HYPERLINK("https://github.com/cgeo/cgeo/releases", "show")</f>
        <v>show</v>
      </c>
      <c r="I11006">
        <v>0</v>
      </c>
      <c r="J11006">
        <v>1</v>
      </c>
      <c r="K11006">
        <v>1</v>
      </c>
      <c r="L11006">
        <v>0</v>
      </c>
      <c r="M11006" t="s">
        <v>699</v>
      </c>
    </row>
    <row r="11007" spans="1:13" hidden="1" x14ac:dyDescent="0.15">
      <c r="A11007" t="s">
        <v>34746</v>
      </c>
      <c r="B11007" t="s">
        <v>34747</v>
      </c>
      <c r="C11007" t="s">
        <v>34748</v>
      </c>
      <c r="D11007" t="s">
        <v>34745</v>
      </c>
      <c r="E11007">
        <v>31</v>
      </c>
      <c r="F11007" t="str">
        <f>HYPERLINK("https://github.com/org-SCAN/android-app/issues/121", "show")</f>
        <v>show</v>
      </c>
      <c r="G11007" t="str">
        <f>HYPERLINK("https://github.com/org-SCAN/android-app", "show")</f>
        <v>show</v>
      </c>
      <c r="H11007" t="str">
        <f>HYPERLINK("https://github.com/org-SCAN/android-app/releases", "show")</f>
        <v>show</v>
      </c>
      <c r="I11007">
        <v>1</v>
      </c>
      <c r="J11007">
        <v>0</v>
      </c>
      <c r="K11007">
        <v>0</v>
      </c>
      <c r="L11007">
        <v>0</v>
      </c>
      <c r="M11007" t="s">
        <v>17</v>
      </c>
    </row>
    <row r="11008" spans="1:13" hidden="1" x14ac:dyDescent="0.15">
      <c r="A11008" t="s">
        <v>34749</v>
      </c>
      <c r="B11008" t="s">
        <v>34750</v>
      </c>
      <c r="C11008" t="s">
        <v>34751</v>
      </c>
      <c r="D11008" t="s">
        <v>34745</v>
      </c>
      <c r="E11008">
        <v>0</v>
      </c>
      <c r="F11008" t="str">
        <f>HYPERLINK("https://github.com/androidx/media/issues/205", "show")</f>
        <v>show</v>
      </c>
      <c r="G11008" t="str">
        <f>HYPERLINK("https://github.com/androidx/media", "show")</f>
        <v>show</v>
      </c>
      <c r="H11008" t="str">
        <f>HYPERLINK("https://github.com/androidx/media/releases", "show")</f>
        <v>show</v>
      </c>
      <c r="I11008">
        <v>1</v>
      </c>
      <c r="J11008">
        <v>1</v>
      </c>
      <c r="K11008">
        <v>0</v>
      </c>
      <c r="L11008">
        <v>0</v>
      </c>
      <c r="M11008" t="s">
        <v>48</v>
      </c>
    </row>
    <row r="11009" spans="1:13" hidden="1" x14ac:dyDescent="0.15">
      <c r="A11009" t="s">
        <v>34752</v>
      </c>
      <c r="B11009" t="s">
        <v>34753</v>
      </c>
      <c r="C11009" t="s">
        <v>34754</v>
      </c>
      <c r="D11009" t="s">
        <v>34745</v>
      </c>
      <c r="E11009">
        <v>0</v>
      </c>
      <c r="F11009" t="str">
        <f>HYPERLINK("https://github.com/Anuken/Mindustry/issues/7839", "show")</f>
        <v>show</v>
      </c>
      <c r="G11009" t="str">
        <f>HYPERLINK("https://github.com/Anuken/Mindustry", "show")</f>
        <v>show</v>
      </c>
      <c r="H11009" t="str">
        <f>HYPERLINK("https://github.com/Anuken/Mindustry/releases", "show")</f>
        <v>show</v>
      </c>
      <c r="I11009">
        <v>0</v>
      </c>
      <c r="J11009">
        <v>0</v>
      </c>
      <c r="K11009">
        <v>0</v>
      </c>
      <c r="L11009">
        <v>0</v>
      </c>
      <c r="M11009" t="s">
        <v>43</v>
      </c>
    </row>
    <row r="11010" spans="1:13" hidden="1" x14ac:dyDescent="0.15">
      <c r="A11010" t="s">
        <v>34755</v>
      </c>
      <c r="B11010" t="s">
        <v>34756</v>
      </c>
      <c r="C11010" t="s">
        <v>34757</v>
      </c>
      <c r="D11010" t="s">
        <v>34745</v>
      </c>
      <c r="E11010">
        <v>121</v>
      </c>
      <c r="F11010" t="str">
        <f>HYPERLINK("https://github.com/MuntashirAkon/AppManager/issues/921", "show")</f>
        <v>show</v>
      </c>
      <c r="G11010" t="str">
        <f>HYPERLINK("https://github.com/MuntashirAkon/AppManager", "show")</f>
        <v>show</v>
      </c>
      <c r="H11010" t="str">
        <f>HYPERLINK("https://github.com/MuntashirAkon/AppManager/releases", "show")</f>
        <v>show</v>
      </c>
      <c r="I11010">
        <v>0</v>
      </c>
      <c r="J11010">
        <v>1</v>
      </c>
      <c r="K11010">
        <v>0</v>
      </c>
      <c r="L11010">
        <v>1</v>
      </c>
      <c r="M11010" t="s">
        <v>1732</v>
      </c>
    </row>
    <row r="11011" spans="1:13" hidden="1" x14ac:dyDescent="0.15">
      <c r="A11011" t="s">
        <v>34758</v>
      </c>
      <c r="B11011" t="s">
        <v>34759</v>
      </c>
      <c r="C11011" t="s">
        <v>34760</v>
      </c>
      <c r="D11011" t="s">
        <v>34745</v>
      </c>
      <c r="E11011">
        <v>1</v>
      </c>
      <c r="F11011" t="str">
        <f>HYPERLINK("https://github.com/LawnchairLauncher/lawnchair/issues/3092", "show")</f>
        <v>show</v>
      </c>
      <c r="G11011" t="str">
        <f>HYPERLINK("https://github.com/LawnchairLauncher/lawnchair", "show")</f>
        <v>show</v>
      </c>
      <c r="H11011" t="str">
        <f>HYPERLINK("https://github.com/LawnchairLauncher/lawnchair/releases", "show")</f>
        <v>show</v>
      </c>
      <c r="I11011">
        <v>0</v>
      </c>
      <c r="J11011">
        <v>1</v>
      </c>
      <c r="K11011">
        <v>1</v>
      </c>
      <c r="L11011">
        <v>0</v>
      </c>
      <c r="M11011" t="s">
        <v>699</v>
      </c>
    </row>
    <row r="11012" spans="1:13" hidden="1" x14ac:dyDescent="0.15">
      <c r="A11012" t="s">
        <v>34761</v>
      </c>
      <c r="B11012" t="s">
        <v>34762</v>
      </c>
      <c r="C11012" t="s">
        <v>34763</v>
      </c>
      <c r="D11012" t="s">
        <v>34745</v>
      </c>
      <c r="E11012">
        <v>44</v>
      </c>
      <c r="F11012" t="str">
        <f>HYPERLINK("https://github.com/AndroidIDEOfficial/AndroidIDE/issues/592", "show")</f>
        <v>show</v>
      </c>
      <c r="G11012" t="str">
        <f>HYPERLINK("https://github.com/AndroidIDEOfficial/AndroidIDE", "show")</f>
        <v>show</v>
      </c>
      <c r="H11012" t="str">
        <f>HYPERLINK("https://github.com/AndroidIDEOfficial/AndroidIDE/releases", "show")</f>
        <v>show</v>
      </c>
      <c r="I11012">
        <v>0</v>
      </c>
      <c r="J11012">
        <v>0</v>
      </c>
      <c r="K11012">
        <v>1</v>
      </c>
      <c r="L11012">
        <v>0</v>
      </c>
      <c r="M11012" t="s">
        <v>122</v>
      </c>
    </row>
    <row r="11013" spans="1:13" hidden="1" x14ac:dyDescent="0.15">
      <c r="A11013" t="s">
        <v>34764</v>
      </c>
      <c r="B11013" t="s">
        <v>10882</v>
      </c>
      <c r="C11013" t="s">
        <v>34765</v>
      </c>
      <c r="D11013" t="s">
        <v>34745</v>
      </c>
      <c r="E11013">
        <v>79</v>
      </c>
      <c r="F11013" t="str">
        <f>HYPERLINK("https://github.com/PojavLauncherTeam/PojavLauncher/issues/3647", "show")</f>
        <v>show</v>
      </c>
      <c r="G11013" t="str">
        <f>HYPERLINK("https://github.com/PojavLauncherTeam/PojavLauncher", "show")</f>
        <v>show</v>
      </c>
      <c r="H11013" t="str">
        <f>HYPERLINK("https://github.com/PojavLauncherTeam/PojavLauncher/releases", "show")</f>
        <v>show</v>
      </c>
      <c r="I11013">
        <v>1</v>
      </c>
      <c r="J11013">
        <v>0</v>
      </c>
      <c r="K11013">
        <v>0</v>
      </c>
      <c r="L11013">
        <v>0</v>
      </c>
      <c r="M11013" t="s">
        <v>17</v>
      </c>
    </row>
    <row r="11014" spans="1:13" hidden="1" x14ac:dyDescent="0.15">
      <c r="A11014" t="s">
        <v>34766</v>
      </c>
      <c r="B11014" t="s">
        <v>34767</v>
      </c>
      <c r="C11014" t="s">
        <v>34768</v>
      </c>
      <c r="D11014" t="s">
        <v>34745</v>
      </c>
      <c r="E11014">
        <v>44</v>
      </c>
      <c r="F11014" t="str">
        <f>HYPERLINK("https://github.com/AndroidIDEOfficial/AndroidIDE/issues/590", "show")</f>
        <v>show</v>
      </c>
      <c r="G11014" t="str">
        <f>HYPERLINK("https://github.com/AndroidIDEOfficial/AndroidIDE", "show")</f>
        <v>show</v>
      </c>
      <c r="H11014" t="str">
        <f>HYPERLINK("https://github.com/AndroidIDEOfficial/AndroidIDE/releases", "show")</f>
        <v>show</v>
      </c>
      <c r="I11014">
        <v>1</v>
      </c>
      <c r="J11014">
        <v>0</v>
      </c>
      <c r="K11014">
        <v>1</v>
      </c>
      <c r="L11014">
        <v>0</v>
      </c>
      <c r="M11014" t="s">
        <v>64</v>
      </c>
    </row>
    <row r="11015" spans="1:13" x14ac:dyDescent="0.15">
      <c r="A11015" t="s">
        <v>34769</v>
      </c>
      <c r="B11015" t="s">
        <v>34770</v>
      </c>
      <c r="C11015" t="s">
        <v>34771</v>
      </c>
      <c r="D11015" t="s">
        <v>34772</v>
      </c>
      <c r="E11015">
        <v>0</v>
      </c>
      <c r="F11015" t="str">
        <f>HYPERLINK("https://github.com/Anuken/Mindustry/issues/7836", "show")</f>
        <v>show</v>
      </c>
      <c r="G11015" t="str">
        <f>HYPERLINK("https://github.com/Anuken/Mindustry", "show")</f>
        <v>show</v>
      </c>
      <c r="H11015" t="str">
        <f>HYPERLINK("https://github.com/Anuken/Mindustry/releases", "show")</f>
        <v>show</v>
      </c>
      <c r="I11015">
        <v>0</v>
      </c>
      <c r="J11015">
        <v>1</v>
      </c>
      <c r="K11015">
        <v>0</v>
      </c>
      <c r="L11015">
        <v>0</v>
      </c>
      <c r="M11015" t="s">
        <v>139</v>
      </c>
    </row>
    <row r="11016" spans="1:13" hidden="1" x14ac:dyDescent="0.15">
      <c r="A11016" t="s">
        <v>34773</v>
      </c>
      <c r="B11016" t="s">
        <v>34774</v>
      </c>
      <c r="C11016" t="s">
        <v>34775</v>
      </c>
      <c r="D11016" t="s">
        <v>34772</v>
      </c>
      <c r="E11016">
        <v>80</v>
      </c>
      <c r="F11016" t="str">
        <f>HYPERLINK("https://github.com/PojavLauncherTeam/PojavLauncher/issues/3644", "show")</f>
        <v>show</v>
      </c>
      <c r="G11016" t="str">
        <f>HYPERLINK("https://github.com/PojavLauncherTeam/PojavLauncher", "show")</f>
        <v>show</v>
      </c>
      <c r="H11016" t="str">
        <f>HYPERLINK("https://github.com/PojavLauncherTeam/PojavLauncher/releases", "show")</f>
        <v>show</v>
      </c>
      <c r="I11016">
        <v>1</v>
      </c>
      <c r="J11016">
        <v>1</v>
      </c>
      <c r="K11016">
        <v>1</v>
      </c>
      <c r="L11016">
        <v>0</v>
      </c>
      <c r="M11016" t="s">
        <v>59</v>
      </c>
    </row>
    <row r="11017" spans="1:13" hidden="1" x14ac:dyDescent="0.15">
      <c r="A11017" t="s">
        <v>34776</v>
      </c>
      <c r="B11017" t="s">
        <v>34777</v>
      </c>
      <c r="C11017" t="s">
        <v>34778</v>
      </c>
      <c r="D11017" t="s">
        <v>34772</v>
      </c>
      <c r="E11017">
        <v>45</v>
      </c>
      <c r="F11017" t="str">
        <f>HYPERLINK("https://github.com/nextcloud/android/issues/10994", "show")</f>
        <v>show</v>
      </c>
      <c r="G11017" t="str">
        <f>HYPERLINK("https://github.com/nextcloud/android", "show")</f>
        <v>show</v>
      </c>
      <c r="H11017" t="str">
        <f>HYPERLINK("https://github.com/nextcloud/android/releases", "show")</f>
        <v>show</v>
      </c>
      <c r="I11017">
        <v>1</v>
      </c>
      <c r="J11017">
        <v>1</v>
      </c>
      <c r="K11017">
        <v>1</v>
      </c>
      <c r="L11017">
        <v>0</v>
      </c>
      <c r="M11017" t="s">
        <v>59</v>
      </c>
    </row>
    <row r="11018" spans="1:13" hidden="1" x14ac:dyDescent="0.15">
      <c r="A11018" t="s">
        <v>34779</v>
      </c>
      <c r="B11018" t="s">
        <v>34780</v>
      </c>
      <c r="C11018" t="s">
        <v>34781</v>
      </c>
      <c r="D11018" t="s">
        <v>34782</v>
      </c>
      <c r="E11018">
        <v>81</v>
      </c>
      <c r="F11018" t="str">
        <f>HYPERLINK("https://github.com/PojavLauncherTeam/PojavLauncher/issues/3639", "show")</f>
        <v>show</v>
      </c>
      <c r="G11018" t="str">
        <f>HYPERLINK("https://github.com/PojavLauncherTeam/PojavLauncher", "show")</f>
        <v>show</v>
      </c>
      <c r="H11018" t="str">
        <f>HYPERLINK("https://github.com/PojavLauncherTeam/PojavLauncher/releases", "show")</f>
        <v>show</v>
      </c>
      <c r="I11018">
        <v>0</v>
      </c>
      <c r="J11018">
        <v>0</v>
      </c>
      <c r="K11018">
        <v>0</v>
      </c>
      <c r="L11018">
        <v>0</v>
      </c>
      <c r="M11018" t="s">
        <v>43</v>
      </c>
    </row>
    <row r="11019" spans="1:13" x14ac:dyDescent="0.15">
      <c r="A11019" t="s">
        <v>34783</v>
      </c>
      <c r="B11019" t="s">
        <v>34784</v>
      </c>
      <c r="C11019" t="s">
        <v>34785</v>
      </c>
      <c r="D11019" t="s">
        <v>34782</v>
      </c>
      <c r="E11019">
        <v>81</v>
      </c>
      <c r="F11019" t="str">
        <f>HYPERLINK("https://github.com/PojavLauncherTeam/PojavLauncher/issues/3638", "show")</f>
        <v>show</v>
      </c>
      <c r="G11019" t="str">
        <f>HYPERLINK("https://github.com/PojavLauncherTeam/PojavLauncher", "show")</f>
        <v>show</v>
      </c>
      <c r="H11019" t="str">
        <f>HYPERLINK("https://github.com/PojavLauncherTeam/PojavLauncher/releases", "show")</f>
        <v>show</v>
      </c>
      <c r="I11019">
        <v>0</v>
      </c>
      <c r="J11019">
        <v>1</v>
      </c>
      <c r="K11019">
        <v>0</v>
      </c>
      <c r="L11019">
        <v>0</v>
      </c>
      <c r="M11019" t="s">
        <v>139</v>
      </c>
    </row>
    <row r="11020" spans="1:13" hidden="1" x14ac:dyDescent="0.15">
      <c r="A11020" t="s">
        <v>34786</v>
      </c>
      <c r="B11020" t="s">
        <v>34787</v>
      </c>
      <c r="C11020" t="s">
        <v>34788</v>
      </c>
      <c r="D11020" t="s">
        <v>34789</v>
      </c>
      <c r="E11020">
        <v>0</v>
      </c>
      <c r="F11020" t="str">
        <f>HYPERLINK("https://github.com/jellyfin/jellyfin-androidtv/issues/2241", "show")</f>
        <v>show</v>
      </c>
      <c r="G11020" t="str">
        <f>HYPERLINK("https://github.com/jellyfin/jellyfin-androidtv", "show")</f>
        <v>show</v>
      </c>
      <c r="H11020" t="str">
        <f>HYPERLINK("https://github.com/jellyfin/jellyfin-androidtv/releases", "show")</f>
        <v>show</v>
      </c>
      <c r="I11020">
        <v>1</v>
      </c>
      <c r="J11020">
        <v>0</v>
      </c>
      <c r="K11020">
        <v>0</v>
      </c>
      <c r="L11020">
        <v>0</v>
      </c>
      <c r="M11020" t="s">
        <v>17</v>
      </c>
    </row>
    <row r="11021" spans="1:13" hidden="1" x14ac:dyDescent="0.15">
      <c r="A11021" t="s">
        <v>34790</v>
      </c>
      <c r="B11021" t="s">
        <v>34791</v>
      </c>
      <c r="C11021" t="s">
        <v>34792</v>
      </c>
      <c r="D11021" t="s">
        <v>34789</v>
      </c>
      <c r="E11021">
        <v>0</v>
      </c>
      <c r="F11021" t="str">
        <f>HYPERLINK("https://github.com/Anuken/Mindustry/issues/7821", "show")</f>
        <v>show</v>
      </c>
      <c r="G11021" t="str">
        <f>HYPERLINK("https://github.com/Anuken/Mindustry", "show")</f>
        <v>show</v>
      </c>
      <c r="H11021" t="str">
        <f>HYPERLINK("https://github.com/Anuken/Mindustry/releases", "show")</f>
        <v>show</v>
      </c>
      <c r="I11021">
        <v>1</v>
      </c>
      <c r="J11021">
        <v>0</v>
      </c>
      <c r="K11021">
        <v>1</v>
      </c>
      <c r="L11021">
        <v>0</v>
      </c>
      <c r="M11021" t="s">
        <v>64</v>
      </c>
    </row>
    <row r="11022" spans="1:13" hidden="1" x14ac:dyDescent="0.15">
      <c r="A11022" t="s">
        <v>34793</v>
      </c>
      <c r="B11022" t="s">
        <v>34794</v>
      </c>
      <c r="D11022" t="s">
        <v>34789</v>
      </c>
      <c r="E11022">
        <v>19</v>
      </c>
      <c r="F11022" t="str">
        <f>HYPERLINK("https://github.com/CMPUT301F22T02/well-fed/issues/117", "show")</f>
        <v>show</v>
      </c>
      <c r="G11022" t="str">
        <f>HYPERLINK("https://github.com/CMPUT301F22T02/well-fed", "show")</f>
        <v>show</v>
      </c>
      <c r="H11022" t="str">
        <f>HYPERLINK("https://github.com/CMPUT301F22T02/well-fed/releases", "show")</f>
        <v>show</v>
      </c>
      <c r="I11022">
        <v>1</v>
      </c>
      <c r="J11022">
        <v>0</v>
      </c>
      <c r="K11022">
        <v>0</v>
      </c>
      <c r="L11022">
        <v>0</v>
      </c>
      <c r="M11022" t="s">
        <v>17</v>
      </c>
    </row>
    <row r="11023" spans="1:13" x14ac:dyDescent="0.15">
      <c r="A11023" t="s">
        <v>34795</v>
      </c>
      <c r="B11023" t="s">
        <v>34796</v>
      </c>
      <c r="C11023" t="s">
        <v>34797</v>
      </c>
      <c r="D11023" t="s">
        <v>34789</v>
      </c>
      <c r="E11023">
        <v>82</v>
      </c>
      <c r="F11023" t="str">
        <f>HYPERLINK("https://github.com/PojavLauncherTeam/PojavLauncher/issues/3636", "show")</f>
        <v>show</v>
      </c>
      <c r="G11023" t="str">
        <f>HYPERLINK("https://github.com/PojavLauncherTeam/PojavLauncher", "show")</f>
        <v>show</v>
      </c>
      <c r="H11023" t="str">
        <f>HYPERLINK("https://github.com/PojavLauncherTeam/PojavLauncher/releases", "show")</f>
        <v>show</v>
      </c>
      <c r="I11023">
        <v>0</v>
      </c>
      <c r="J11023">
        <v>1</v>
      </c>
      <c r="K11023">
        <v>0</v>
      </c>
      <c r="L11023">
        <v>0</v>
      </c>
      <c r="M11023" t="s">
        <v>139</v>
      </c>
    </row>
    <row r="11024" spans="1:13" hidden="1" x14ac:dyDescent="0.15">
      <c r="A11024" t="s">
        <v>34798</v>
      </c>
      <c r="B11024" t="s">
        <v>34799</v>
      </c>
      <c r="C11024" t="s">
        <v>34800</v>
      </c>
      <c r="D11024" t="s">
        <v>34789</v>
      </c>
      <c r="E11024">
        <v>82</v>
      </c>
      <c r="F11024" t="str">
        <f>HYPERLINK("https://github.com/PojavLauncherTeam/PojavLauncher/issues/3635", "show")</f>
        <v>show</v>
      </c>
      <c r="G11024" t="str">
        <f>HYPERLINK("https://github.com/PojavLauncherTeam/PojavLauncher", "show")</f>
        <v>show</v>
      </c>
      <c r="H11024" t="str">
        <f>HYPERLINK("https://github.com/PojavLauncherTeam/PojavLauncher/releases", "show")</f>
        <v>show</v>
      </c>
      <c r="I11024">
        <v>0</v>
      </c>
      <c r="J11024">
        <v>0</v>
      </c>
      <c r="K11024">
        <v>0</v>
      </c>
      <c r="L11024">
        <v>0</v>
      </c>
      <c r="M11024" t="s">
        <v>43</v>
      </c>
    </row>
    <row r="11025" spans="1:13" x14ac:dyDescent="0.15">
      <c r="A11025" t="s">
        <v>34801</v>
      </c>
      <c r="B11025" t="s">
        <v>34802</v>
      </c>
      <c r="C11025" t="s">
        <v>34803</v>
      </c>
      <c r="D11025" t="s">
        <v>34789</v>
      </c>
      <c r="E11025">
        <v>82</v>
      </c>
      <c r="F11025" t="str">
        <f>HYPERLINK("https://github.com/PojavLauncherTeam/PojavLauncher/issues/3634", "show")</f>
        <v>show</v>
      </c>
      <c r="G11025" t="str">
        <f>HYPERLINK("https://github.com/PojavLauncherTeam/PojavLauncher", "show")</f>
        <v>show</v>
      </c>
      <c r="H11025" t="str">
        <f>HYPERLINK("https://github.com/PojavLauncherTeam/PojavLauncher/releases", "show")</f>
        <v>show</v>
      </c>
      <c r="I11025">
        <v>0</v>
      </c>
      <c r="J11025">
        <v>1</v>
      </c>
      <c r="K11025">
        <v>0</v>
      </c>
      <c r="L11025">
        <v>0</v>
      </c>
      <c r="M11025" t="s">
        <v>139</v>
      </c>
    </row>
    <row r="11026" spans="1:13" hidden="1" x14ac:dyDescent="0.15">
      <c r="A11026" t="s">
        <v>34804</v>
      </c>
      <c r="B11026" t="s">
        <v>34805</v>
      </c>
      <c r="C11026" t="s">
        <v>34806</v>
      </c>
      <c r="D11026" t="s">
        <v>34789</v>
      </c>
      <c r="E11026">
        <v>53</v>
      </c>
      <c r="F11026" t="str">
        <f>HYPERLINK("https://github.com/patzly/grocy-android/issues/589", "show")</f>
        <v>show</v>
      </c>
      <c r="G11026" t="str">
        <f>HYPERLINK("https://github.com/patzly/grocy-android", "show")</f>
        <v>show</v>
      </c>
      <c r="H11026" t="str">
        <f>HYPERLINK("https://github.com/patzly/grocy-android/releases", "show")</f>
        <v>show</v>
      </c>
      <c r="I11026">
        <v>1</v>
      </c>
      <c r="J11026">
        <v>0</v>
      </c>
      <c r="K11026">
        <v>0</v>
      </c>
      <c r="L11026">
        <v>0</v>
      </c>
      <c r="M11026" t="s">
        <v>17</v>
      </c>
    </row>
    <row r="11027" spans="1:13" hidden="1" x14ac:dyDescent="0.15">
      <c r="A11027" t="s">
        <v>34807</v>
      </c>
      <c r="B11027" t="s">
        <v>34808</v>
      </c>
      <c r="C11027" t="s">
        <v>34809</v>
      </c>
      <c r="D11027" t="s">
        <v>34789</v>
      </c>
      <c r="E11027">
        <v>24</v>
      </c>
      <c r="F11027" t="str">
        <f>HYPERLINK("https://github.com/CMPUT301F22T02/well-fed/issues/113", "show")</f>
        <v>show</v>
      </c>
      <c r="G11027" t="str">
        <f>HYPERLINK("https://github.com/CMPUT301F22T02/well-fed", "show")</f>
        <v>show</v>
      </c>
      <c r="H11027" t="str">
        <f>HYPERLINK("https://github.com/CMPUT301F22T02/well-fed/releases", "show")</f>
        <v>show</v>
      </c>
      <c r="I11027">
        <v>0</v>
      </c>
      <c r="J11027">
        <v>0</v>
      </c>
      <c r="K11027">
        <v>0</v>
      </c>
      <c r="L11027">
        <v>0</v>
      </c>
      <c r="M11027" t="s">
        <v>43</v>
      </c>
    </row>
    <row r="11028" spans="1:13" hidden="1" x14ac:dyDescent="0.15">
      <c r="A11028" t="s">
        <v>34810</v>
      </c>
      <c r="B11028" t="s">
        <v>34811</v>
      </c>
      <c r="C11028" t="s">
        <v>34812</v>
      </c>
      <c r="D11028" t="s">
        <v>34789</v>
      </c>
      <c r="E11028">
        <v>82</v>
      </c>
      <c r="F11028" t="str">
        <f>HYPERLINK("https://github.com/PojavLauncherTeam/PojavLauncher/issues/3632", "show")</f>
        <v>show</v>
      </c>
      <c r="G11028" t="str">
        <f>HYPERLINK("https://github.com/PojavLauncherTeam/PojavLauncher", "show")</f>
        <v>show</v>
      </c>
      <c r="H11028" t="str">
        <f>HYPERLINK("https://github.com/PojavLauncherTeam/PojavLauncher/releases", "show")</f>
        <v>show</v>
      </c>
      <c r="I11028">
        <v>0</v>
      </c>
      <c r="J11028">
        <v>0</v>
      </c>
      <c r="K11028">
        <v>0</v>
      </c>
      <c r="L11028">
        <v>0</v>
      </c>
      <c r="M11028" t="s">
        <v>43</v>
      </c>
    </row>
    <row r="11029" spans="1:13" hidden="1" x14ac:dyDescent="0.15">
      <c r="A11029" t="s">
        <v>34813</v>
      </c>
      <c r="B11029" t="s">
        <v>34814</v>
      </c>
      <c r="C11029" t="s">
        <v>34815</v>
      </c>
      <c r="D11029" t="s">
        <v>34816</v>
      </c>
      <c r="E11029">
        <v>0</v>
      </c>
      <c r="F11029" t="str">
        <f>HYPERLINK("https://github.com/Anuken/Mindustry/issues/7811", "show")</f>
        <v>show</v>
      </c>
      <c r="G11029" t="str">
        <f>HYPERLINK("https://github.com/Anuken/Mindustry", "show")</f>
        <v>show</v>
      </c>
      <c r="H11029" t="str">
        <f>HYPERLINK("https://github.com/Anuken/Mindustry/releases", "show")</f>
        <v>show</v>
      </c>
      <c r="I11029">
        <v>1</v>
      </c>
      <c r="J11029">
        <v>1</v>
      </c>
      <c r="K11029">
        <v>0</v>
      </c>
      <c r="L11029">
        <v>0</v>
      </c>
      <c r="M11029" t="s">
        <v>48</v>
      </c>
    </row>
    <row r="11030" spans="1:13" hidden="1" x14ac:dyDescent="0.15">
      <c r="A11030" t="s">
        <v>34817</v>
      </c>
      <c r="B11030" t="s">
        <v>34818</v>
      </c>
      <c r="C11030" t="s">
        <v>34819</v>
      </c>
      <c r="D11030" t="s">
        <v>34816</v>
      </c>
      <c r="E11030">
        <v>19</v>
      </c>
      <c r="F11030" t="str">
        <f>HYPERLINK("https://github.com/PojavLauncherTeam/PojavLauncher/issues/3631", "show")</f>
        <v>show</v>
      </c>
      <c r="G11030" t="str">
        <f>HYPERLINK("https://github.com/PojavLauncherTeam/PojavLauncher", "show")</f>
        <v>show</v>
      </c>
      <c r="H11030" t="str">
        <f>HYPERLINK("https://github.com/PojavLauncherTeam/PojavLauncher/releases", "show")</f>
        <v>show</v>
      </c>
      <c r="I11030">
        <v>0</v>
      </c>
      <c r="J11030">
        <v>0</v>
      </c>
      <c r="K11030">
        <v>0</v>
      </c>
      <c r="L11030">
        <v>0</v>
      </c>
      <c r="M11030" t="s">
        <v>43</v>
      </c>
    </row>
    <row r="11031" spans="1:13" hidden="1" x14ac:dyDescent="0.15">
      <c r="A11031" t="s">
        <v>34820</v>
      </c>
      <c r="B11031" t="s">
        <v>34821</v>
      </c>
      <c r="C11031" t="s">
        <v>34822</v>
      </c>
      <c r="D11031" t="s">
        <v>34816</v>
      </c>
      <c r="E11031">
        <v>23</v>
      </c>
      <c r="F11031" t="str">
        <f>HYPERLINK("https://github.com/AndroidIDEOfficial/AndroidIDE/issues/588", "show")</f>
        <v>show</v>
      </c>
      <c r="G11031" t="str">
        <f>HYPERLINK("https://github.com/AndroidIDEOfficial/AndroidIDE", "show")</f>
        <v>show</v>
      </c>
      <c r="H11031" t="str">
        <f>HYPERLINK("https://github.com/AndroidIDEOfficial/AndroidIDE/releases", "show")</f>
        <v>show</v>
      </c>
      <c r="I11031">
        <v>0</v>
      </c>
      <c r="J11031">
        <v>0</v>
      </c>
      <c r="K11031">
        <v>1</v>
      </c>
      <c r="L11031">
        <v>0</v>
      </c>
      <c r="M11031" t="s">
        <v>122</v>
      </c>
    </row>
    <row r="11032" spans="1:13" hidden="1" x14ac:dyDescent="0.15">
      <c r="A11032" t="s">
        <v>34823</v>
      </c>
      <c r="B11032" t="s">
        <v>34824</v>
      </c>
      <c r="C11032" t="s">
        <v>34825</v>
      </c>
      <c r="D11032" t="s">
        <v>34816</v>
      </c>
      <c r="E11032">
        <v>0</v>
      </c>
      <c r="F11032" t="str">
        <f>HYPERLINK("https://github.com/nextcloud/android/issues/10979", "show")</f>
        <v>show</v>
      </c>
      <c r="G11032" t="str">
        <f>HYPERLINK("https://github.com/nextcloud/android", "show")</f>
        <v>show</v>
      </c>
      <c r="H11032" t="str">
        <f>HYPERLINK("https://github.com/nextcloud/android/releases", "show")</f>
        <v>show</v>
      </c>
      <c r="I11032">
        <v>0</v>
      </c>
      <c r="J11032">
        <v>0</v>
      </c>
      <c r="K11032">
        <v>1</v>
      </c>
      <c r="L11032">
        <v>0</v>
      </c>
      <c r="M11032" t="s">
        <v>122</v>
      </c>
    </row>
    <row r="11033" spans="1:13" hidden="1" x14ac:dyDescent="0.15">
      <c r="A11033" t="s">
        <v>34826</v>
      </c>
      <c r="B11033" t="s">
        <v>34827</v>
      </c>
      <c r="C11033" t="s">
        <v>34828</v>
      </c>
      <c r="D11033" t="s">
        <v>34816</v>
      </c>
      <c r="E11033">
        <v>13</v>
      </c>
      <c r="F11033" t="str">
        <f>HYPERLINK("https://github.com/Beldex-Coin/bchat-android/issues/7", "show")</f>
        <v>show</v>
      </c>
      <c r="G11033" t="str">
        <f>HYPERLINK("https://github.com/Beldex-Coin/bchat-android", "show")</f>
        <v>show</v>
      </c>
      <c r="H11033" t="str">
        <f>HYPERLINK("https://github.com/Beldex-Coin/bchat-android/releases", "show")</f>
        <v>show</v>
      </c>
      <c r="I11033">
        <v>1</v>
      </c>
      <c r="J11033">
        <v>0</v>
      </c>
      <c r="K11033">
        <v>0</v>
      </c>
      <c r="L11033">
        <v>0</v>
      </c>
      <c r="M11033" t="s">
        <v>17</v>
      </c>
    </row>
    <row r="11034" spans="1:13" hidden="1" x14ac:dyDescent="0.15">
      <c r="A11034" t="s">
        <v>34829</v>
      </c>
      <c r="B11034" t="s">
        <v>34830</v>
      </c>
      <c r="C11034" t="s">
        <v>34831</v>
      </c>
      <c r="D11034" t="s">
        <v>34816</v>
      </c>
      <c r="E11034">
        <v>13</v>
      </c>
      <c r="F11034" t="str">
        <f>HYPERLINK("https://github.com/Beldex-Coin/bchat-android/issues/6", "show")</f>
        <v>show</v>
      </c>
      <c r="G11034" t="str">
        <f>HYPERLINK("https://github.com/Beldex-Coin/bchat-android", "show")</f>
        <v>show</v>
      </c>
      <c r="H11034" t="str">
        <f>HYPERLINK("https://github.com/Beldex-Coin/bchat-android/releases", "show")</f>
        <v>show</v>
      </c>
      <c r="I11034">
        <v>1</v>
      </c>
      <c r="J11034">
        <v>0</v>
      </c>
      <c r="K11034">
        <v>0</v>
      </c>
      <c r="L11034">
        <v>0</v>
      </c>
      <c r="M11034" t="s">
        <v>17</v>
      </c>
    </row>
    <row r="11035" spans="1:13" hidden="1" x14ac:dyDescent="0.15">
      <c r="A11035" t="s">
        <v>34832</v>
      </c>
      <c r="B11035" t="s">
        <v>34833</v>
      </c>
      <c r="C11035" t="s">
        <v>34834</v>
      </c>
      <c r="D11035" t="s">
        <v>34816</v>
      </c>
      <c r="E11035">
        <v>0</v>
      </c>
      <c r="F11035" t="str">
        <f>HYPERLINK("https://github.com/Anuken/Mindustry/issues/7805", "show")</f>
        <v>show</v>
      </c>
      <c r="G11035" t="str">
        <f>HYPERLINK("https://github.com/Anuken/Mindustry", "show")</f>
        <v>show</v>
      </c>
      <c r="H11035" t="str">
        <f>HYPERLINK("https://github.com/Anuken/Mindustry/releases", "show")</f>
        <v>show</v>
      </c>
      <c r="I11035">
        <v>1</v>
      </c>
      <c r="J11035">
        <v>0</v>
      </c>
      <c r="K11035">
        <v>0</v>
      </c>
      <c r="L11035">
        <v>0</v>
      </c>
      <c r="M11035" t="s">
        <v>17</v>
      </c>
    </row>
    <row r="11036" spans="1:13" hidden="1" x14ac:dyDescent="0.15">
      <c r="A11036" t="s">
        <v>34835</v>
      </c>
      <c r="B11036" t="s">
        <v>34836</v>
      </c>
      <c r="C11036" t="s">
        <v>34837</v>
      </c>
      <c r="D11036" t="s">
        <v>34816</v>
      </c>
      <c r="E11036">
        <v>0</v>
      </c>
      <c r="F11036" t="str">
        <f>HYPERLINK("https://github.com/AndroidIDEOfficial/AndroidIDE/issues/582", "show")</f>
        <v>show</v>
      </c>
      <c r="G11036" t="str">
        <f>HYPERLINK("https://github.com/AndroidIDEOfficial/AndroidIDE", "show")</f>
        <v>show</v>
      </c>
      <c r="H11036" t="str">
        <f>HYPERLINK("https://github.com/AndroidIDEOfficial/AndroidIDE/releases", "show")</f>
        <v>show</v>
      </c>
      <c r="I11036">
        <v>0</v>
      </c>
      <c r="J11036">
        <v>0</v>
      </c>
      <c r="K11036">
        <v>1</v>
      </c>
      <c r="L11036">
        <v>0</v>
      </c>
      <c r="M11036" t="s">
        <v>122</v>
      </c>
    </row>
    <row r="11037" spans="1:13" hidden="1" x14ac:dyDescent="0.15">
      <c r="A11037" t="s">
        <v>34838</v>
      </c>
      <c r="B11037" t="s">
        <v>34839</v>
      </c>
      <c r="C11037" t="s">
        <v>34840</v>
      </c>
      <c r="D11037" t="s">
        <v>34841</v>
      </c>
      <c r="E11037">
        <v>79</v>
      </c>
      <c r="F11037" t="str">
        <f>HYPERLINK("https://github.com/LawnchairLauncher/lawnchair/issues/3085", "show")</f>
        <v>show</v>
      </c>
      <c r="G11037" t="str">
        <f>HYPERLINK("https://github.com/LawnchairLauncher/lawnchair", "show")</f>
        <v>show</v>
      </c>
      <c r="H11037" t="str">
        <f>HYPERLINK("https://github.com/LawnchairLauncher/lawnchair/releases", "show")</f>
        <v>show</v>
      </c>
      <c r="I11037">
        <v>1</v>
      </c>
      <c r="J11037">
        <v>1</v>
      </c>
      <c r="K11037">
        <v>0</v>
      </c>
      <c r="L11037">
        <v>0</v>
      </c>
      <c r="M11037" t="s">
        <v>48</v>
      </c>
    </row>
    <row r="11038" spans="1:13" hidden="1" x14ac:dyDescent="0.15">
      <c r="A11038" t="s">
        <v>34842</v>
      </c>
      <c r="B11038" t="s">
        <v>34843</v>
      </c>
      <c r="C11038" t="s">
        <v>34844</v>
      </c>
      <c r="D11038" t="s">
        <v>34841</v>
      </c>
      <c r="E11038">
        <v>29</v>
      </c>
      <c r="F11038" t="str">
        <f>HYPERLINK("https://github.com/microg/GmsCore/issues/1813", "show")</f>
        <v>show</v>
      </c>
      <c r="G11038" t="str">
        <f>HYPERLINK("https://github.com/microg/GmsCore", "show")</f>
        <v>show</v>
      </c>
      <c r="H11038" t="str">
        <f>HYPERLINK("https://github.com/microg/GmsCore/releases", "show")</f>
        <v>show</v>
      </c>
      <c r="I11038">
        <v>1</v>
      </c>
      <c r="J11038">
        <v>1</v>
      </c>
      <c r="K11038">
        <v>1</v>
      </c>
      <c r="L11038">
        <v>0</v>
      </c>
      <c r="M11038" t="s">
        <v>59</v>
      </c>
    </row>
    <row r="11039" spans="1:13" hidden="1" x14ac:dyDescent="0.15">
      <c r="A11039" t="s">
        <v>34845</v>
      </c>
      <c r="B11039" t="s">
        <v>34846</v>
      </c>
      <c r="C11039" t="s">
        <v>34847</v>
      </c>
      <c r="D11039" t="s">
        <v>34841</v>
      </c>
      <c r="E11039">
        <v>24</v>
      </c>
      <c r="F11039" t="str">
        <f>HYPERLINK("https://github.com/AndroidIDEOfficial/AndroidIDE/issues/579", "show")</f>
        <v>show</v>
      </c>
      <c r="G11039" t="str">
        <f>HYPERLINK("https://github.com/AndroidIDEOfficial/AndroidIDE", "show")</f>
        <v>show</v>
      </c>
      <c r="H11039" t="str">
        <f>HYPERLINK("https://github.com/AndroidIDEOfficial/AndroidIDE/releases", "show")</f>
        <v>show</v>
      </c>
      <c r="I11039">
        <v>1</v>
      </c>
      <c r="J11039">
        <v>0</v>
      </c>
      <c r="K11039">
        <v>1</v>
      </c>
      <c r="L11039">
        <v>0</v>
      </c>
      <c r="M11039" t="s">
        <v>64</v>
      </c>
    </row>
    <row r="11040" spans="1:13" x14ac:dyDescent="0.15">
      <c r="A11040" t="s">
        <v>34848</v>
      </c>
      <c r="B11040" t="s">
        <v>34849</v>
      </c>
      <c r="C11040" t="s">
        <v>34850</v>
      </c>
      <c r="D11040" t="s">
        <v>34841</v>
      </c>
      <c r="E11040">
        <v>0</v>
      </c>
      <c r="F11040" t="str">
        <f>HYPERLINK("https://github.com/Anuken/Mindustry/issues/7801", "show")</f>
        <v>show</v>
      </c>
      <c r="G11040" t="str">
        <f>HYPERLINK("https://github.com/Anuken/Mindustry", "show")</f>
        <v>show</v>
      </c>
      <c r="H11040" t="str">
        <f>HYPERLINK("https://github.com/Anuken/Mindustry/releases", "show")</f>
        <v>show</v>
      </c>
      <c r="I11040">
        <v>0</v>
      </c>
      <c r="J11040">
        <v>1</v>
      </c>
      <c r="K11040">
        <v>0</v>
      </c>
      <c r="L11040">
        <v>0</v>
      </c>
      <c r="M11040" t="s">
        <v>139</v>
      </c>
    </row>
    <row r="11041" spans="1:13" hidden="1" x14ac:dyDescent="0.15">
      <c r="A11041" t="s">
        <v>34851</v>
      </c>
      <c r="B11041" t="s">
        <v>34852</v>
      </c>
      <c r="C11041" t="s">
        <v>34853</v>
      </c>
      <c r="D11041" t="s">
        <v>34841</v>
      </c>
      <c r="E11041">
        <v>0</v>
      </c>
      <c r="F11041" t="str">
        <f>HYPERLINK("https://github.com/org-SCAN/android-app/issues/112", "show")</f>
        <v>show</v>
      </c>
      <c r="G11041" t="str">
        <f>HYPERLINK("https://github.com/org-SCAN/android-app", "show")</f>
        <v>show</v>
      </c>
      <c r="H11041" t="str">
        <f>HYPERLINK("https://github.com/org-SCAN/android-app/releases", "show")</f>
        <v>show</v>
      </c>
      <c r="I11041">
        <v>1</v>
      </c>
      <c r="J11041">
        <v>0</v>
      </c>
      <c r="K11041">
        <v>0</v>
      </c>
      <c r="L11041">
        <v>0</v>
      </c>
      <c r="M11041" t="s">
        <v>17</v>
      </c>
    </row>
    <row r="11042" spans="1:13" hidden="1" x14ac:dyDescent="0.15">
      <c r="A11042" t="s">
        <v>34854</v>
      </c>
      <c r="B11042" t="s">
        <v>34855</v>
      </c>
      <c r="C11042" t="s">
        <v>34856</v>
      </c>
      <c r="D11042" t="s">
        <v>34857</v>
      </c>
      <c r="E11042">
        <v>2</v>
      </c>
      <c r="F11042" t="str">
        <f>HYPERLINK("https://github.com/nextcloud/android/issues/10972", "show")</f>
        <v>show</v>
      </c>
      <c r="G11042" t="str">
        <f>HYPERLINK("https://github.com/nextcloud/android", "show")</f>
        <v>show</v>
      </c>
      <c r="H11042" t="str">
        <f>HYPERLINK("https://github.com/nextcloud/android/releases", "show")</f>
        <v>show</v>
      </c>
      <c r="I11042">
        <v>0</v>
      </c>
      <c r="J11042">
        <v>1</v>
      </c>
      <c r="K11042">
        <v>1</v>
      </c>
      <c r="L11042">
        <v>0</v>
      </c>
      <c r="M11042" t="s">
        <v>699</v>
      </c>
    </row>
    <row r="11043" spans="1:13" hidden="1" x14ac:dyDescent="0.15">
      <c r="A11043" t="s">
        <v>34858</v>
      </c>
      <c r="B11043" t="s">
        <v>34859</v>
      </c>
      <c r="C11043" t="s">
        <v>34860</v>
      </c>
      <c r="D11043" t="s">
        <v>34857</v>
      </c>
      <c r="E11043">
        <v>0</v>
      </c>
      <c r="F11043" t="str">
        <f>HYPERLINK("https://github.com/nextcloud/android/issues/10971", "show")</f>
        <v>show</v>
      </c>
      <c r="G11043" t="str">
        <f>HYPERLINK("https://github.com/nextcloud/android", "show")</f>
        <v>show</v>
      </c>
      <c r="H11043" t="str">
        <f>HYPERLINK("https://github.com/nextcloud/android/releases", "show")</f>
        <v>show</v>
      </c>
      <c r="I11043">
        <v>1</v>
      </c>
      <c r="J11043">
        <v>1</v>
      </c>
      <c r="K11043">
        <v>1</v>
      </c>
      <c r="L11043">
        <v>0</v>
      </c>
      <c r="M11043" t="s">
        <v>59</v>
      </c>
    </row>
    <row r="11044" spans="1:13" hidden="1" x14ac:dyDescent="0.15">
      <c r="A11044" t="s">
        <v>34861</v>
      </c>
      <c r="B11044" t="s">
        <v>34862</v>
      </c>
      <c r="C11044" t="s">
        <v>34863</v>
      </c>
      <c r="D11044" t="s">
        <v>34857</v>
      </c>
      <c r="E11044">
        <v>35</v>
      </c>
      <c r="F11044" t="str">
        <f>HYPERLINK("https://github.com/jellyfin/jellyfin-androidtv/issues/2233", "show")</f>
        <v>show</v>
      </c>
      <c r="G11044" t="str">
        <f>HYPERLINK("https://github.com/jellyfin/jellyfin-androidtv", "show")</f>
        <v>show</v>
      </c>
      <c r="H11044" t="str">
        <f>HYPERLINK("https://github.com/jellyfin/jellyfin-androidtv/releases", "show")</f>
        <v>show</v>
      </c>
      <c r="I11044">
        <v>1</v>
      </c>
      <c r="J11044">
        <v>1</v>
      </c>
      <c r="K11044">
        <v>1</v>
      </c>
      <c r="L11044">
        <v>0</v>
      </c>
      <c r="M11044" t="s">
        <v>59</v>
      </c>
    </row>
    <row r="11045" spans="1:13" hidden="1" x14ac:dyDescent="0.15">
      <c r="A11045" t="s">
        <v>34864</v>
      </c>
      <c r="B11045" t="s">
        <v>34865</v>
      </c>
      <c r="C11045" t="s">
        <v>34866</v>
      </c>
      <c r="D11045" t="s">
        <v>34857</v>
      </c>
      <c r="E11045">
        <v>0</v>
      </c>
      <c r="F11045" t="str">
        <f>HYPERLINK("https://github.com/AndroidIDEOfficial/AndroidIDE/issues/576", "show")</f>
        <v>show</v>
      </c>
      <c r="G11045" t="str">
        <f>HYPERLINK("https://github.com/AndroidIDEOfficial/AndroidIDE", "show")</f>
        <v>show</v>
      </c>
      <c r="H11045" t="str">
        <f>HYPERLINK("https://github.com/AndroidIDEOfficial/AndroidIDE/releases", "show")</f>
        <v>show</v>
      </c>
      <c r="I11045">
        <v>0</v>
      </c>
      <c r="J11045">
        <v>0</v>
      </c>
      <c r="K11045">
        <v>1</v>
      </c>
      <c r="L11045">
        <v>0</v>
      </c>
      <c r="M11045" t="s">
        <v>122</v>
      </c>
    </row>
    <row r="11046" spans="1:13" hidden="1" x14ac:dyDescent="0.15">
      <c r="A11046" t="s">
        <v>34867</v>
      </c>
      <c r="B11046" t="s">
        <v>34868</v>
      </c>
      <c r="C11046" t="s">
        <v>34869</v>
      </c>
      <c r="D11046" t="s">
        <v>34857</v>
      </c>
      <c r="E11046">
        <v>0</v>
      </c>
      <c r="F11046" t="str">
        <f>HYPERLINK("https://github.com/AndroidIDEOfficial/AndroidIDE/issues/575", "show")</f>
        <v>show</v>
      </c>
      <c r="G11046" t="str">
        <f>HYPERLINK("https://github.com/AndroidIDEOfficial/AndroidIDE", "show")</f>
        <v>show</v>
      </c>
      <c r="H11046" t="str">
        <f>HYPERLINK("https://github.com/AndroidIDEOfficial/AndroidIDE/releases", "show")</f>
        <v>show</v>
      </c>
      <c r="I11046">
        <v>0</v>
      </c>
      <c r="J11046">
        <v>0</v>
      </c>
      <c r="K11046">
        <v>1</v>
      </c>
      <c r="L11046">
        <v>0</v>
      </c>
      <c r="M11046" t="s">
        <v>122</v>
      </c>
    </row>
    <row r="11047" spans="1:13" hidden="1" x14ac:dyDescent="0.15">
      <c r="A11047" t="s">
        <v>34870</v>
      </c>
      <c r="B11047" t="s">
        <v>34871</v>
      </c>
      <c r="C11047" t="s">
        <v>34872</v>
      </c>
      <c r="D11047" t="s">
        <v>34857</v>
      </c>
      <c r="E11047">
        <v>0</v>
      </c>
      <c r="F11047" t="str">
        <f>HYPERLINK("https://github.com/Anuken/Mindustry/issues/7792", "show")</f>
        <v>show</v>
      </c>
      <c r="G11047" t="str">
        <f>HYPERLINK("https://github.com/Anuken/Mindustry", "show")</f>
        <v>show</v>
      </c>
      <c r="H11047" t="str">
        <f>HYPERLINK("https://github.com/Anuken/Mindustry/releases", "show")</f>
        <v>show</v>
      </c>
      <c r="I11047">
        <v>1</v>
      </c>
      <c r="J11047">
        <v>1</v>
      </c>
      <c r="K11047">
        <v>0</v>
      </c>
      <c r="L11047">
        <v>0</v>
      </c>
      <c r="M11047" t="s">
        <v>48</v>
      </c>
    </row>
    <row r="11048" spans="1:13" hidden="1" x14ac:dyDescent="0.15">
      <c r="A11048" t="s">
        <v>34873</v>
      </c>
      <c r="B11048" t="s">
        <v>34874</v>
      </c>
      <c r="C11048" t="s">
        <v>34875</v>
      </c>
      <c r="D11048" t="s">
        <v>34857</v>
      </c>
      <c r="E11048">
        <v>0</v>
      </c>
      <c r="F11048" t="str">
        <f>HYPERLINK("https://github.com/Anuken/Mindustry/issues/7791", "show")</f>
        <v>show</v>
      </c>
      <c r="G11048" t="str">
        <f>HYPERLINK("https://github.com/Anuken/Mindustry", "show")</f>
        <v>show</v>
      </c>
      <c r="H11048" t="str">
        <f>HYPERLINK("https://github.com/Anuken/Mindustry/releases", "show")</f>
        <v>show</v>
      </c>
      <c r="I11048">
        <v>1</v>
      </c>
      <c r="J11048">
        <v>0</v>
      </c>
      <c r="K11048">
        <v>0</v>
      </c>
      <c r="L11048">
        <v>1</v>
      </c>
      <c r="M11048" t="s">
        <v>29</v>
      </c>
    </row>
    <row r="11049" spans="1:13" hidden="1" x14ac:dyDescent="0.15">
      <c r="A11049" t="s">
        <v>34876</v>
      </c>
      <c r="B11049" t="s">
        <v>34877</v>
      </c>
      <c r="C11049" t="s">
        <v>34878</v>
      </c>
      <c r="D11049" t="s">
        <v>34857</v>
      </c>
      <c r="E11049">
        <v>8</v>
      </c>
      <c r="F11049" t="str">
        <f>HYPERLINK("https://github.com/Igalia/wolvic/issues/315", "show")</f>
        <v>show</v>
      </c>
      <c r="G11049" t="str">
        <f>HYPERLINK("https://github.com/Igalia/wolvic", "show")</f>
        <v>show</v>
      </c>
      <c r="H11049" t="str">
        <f>HYPERLINK("https://github.com/Igalia/wolvic/releases", "show")</f>
        <v>show</v>
      </c>
      <c r="I11049">
        <v>1</v>
      </c>
      <c r="J11049">
        <v>1</v>
      </c>
      <c r="K11049">
        <v>0</v>
      </c>
      <c r="L11049">
        <v>1</v>
      </c>
      <c r="M11049" t="s">
        <v>1894</v>
      </c>
    </row>
    <row r="11050" spans="1:13" x14ac:dyDescent="0.15">
      <c r="A11050" t="s">
        <v>34879</v>
      </c>
      <c r="B11050" t="s">
        <v>34880</v>
      </c>
      <c r="C11050" t="s">
        <v>34881</v>
      </c>
      <c r="D11050" t="s">
        <v>34882</v>
      </c>
      <c r="E11050">
        <v>0</v>
      </c>
      <c r="F11050" t="str">
        <f>HYPERLINK("https://github.com/bircni/CurrencyConverter/issues/1", "show")</f>
        <v>show</v>
      </c>
      <c r="G11050" t="str">
        <f>HYPERLINK("https://github.com/bircni/CurrencyConverter", "show")</f>
        <v>show</v>
      </c>
      <c r="H11050" t="str">
        <f>HYPERLINK("https://github.com/bircni/CurrencyConverter/releases", "show")</f>
        <v>show</v>
      </c>
      <c r="I11050">
        <v>0</v>
      </c>
      <c r="J11050">
        <v>1</v>
      </c>
      <c r="K11050">
        <v>0</v>
      </c>
      <c r="L11050">
        <v>0</v>
      </c>
      <c r="M11050" t="s">
        <v>139</v>
      </c>
    </row>
    <row r="11051" spans="1:13" hidden="1" x14ac:dyDescent="0.15">
      <c r="A11051" t="s">
        <v>34883</v>
      </c>
      <c r="B11051" t="s">
        <v>34884</v>
      </c>
      <c r="C11051" t="s">
        <v>34885</v>
      </c>
      <c r="D11051" t="s">
        <v>34886</v>
      </c>
      <c r="E11051">
        <v>34</v>
      </c>
      <c r="F11051" t="str">
        <f>HYPERLINK("https://github.com/AndroidIDEOfficial/AndroidIDE/issues/569", "show")</f>
        <v>show</v>
      </c>
      <c r="G11051" t="str">
        <f>HYPERLINK("https://github.com/AndroidIDEOfficial/AndroidIDE", "show")</f>
        <v>show</v>
      </c>
      <c r="H11051" t="str">
        <f>HYPERLINK("https://github.com/AndroidIDEOfficial/AndroidIDE/releases", "show")</f>
        <v>show</v>
      </c>
      <c r="I11051">
        <v>1</v>
      </c>
      <c r="J11051">
        <v>0</v>
      </c>
      <c r="K11051">
        <v>1</v>
      </c>
      <c r="L11051">
        <v>0</v>
      </c>
      <c r="M11051" t="s">
        <v>64</v>
      </c>
    </row>
    <row r="11052" spans="1:13" hidden="1" x14ac:dyDescent="0.15">
      <c r="A11052" t="s">
        <v>34887</v>
      </c>
      <c r="B11052" t="s">
        <v>34888</v>
      </c>
      <c r="C11052" t="s">
        <v>34889</v>
      </c>
      <c r="D11052" t="s">
        <v>34886</v>
      </c>
      <c r="E11052">
        <v>126</v>
      </c>
      <c r="F11052" t="str">
        <f>HYPERLINK("https://github.com/skewyapp/skewyapp/issues/11", "show")</f>
        <v>show</v>
      </c>
      <c r="G11052" t="str">
        <f>HYPERLINK("https://github.com/skewyapp/skewyapp", "show")</f>
        <v>show</v>
      </c>
      <c r="H11052" t="str">
        <f>HYPERLINK("https://github.com/skewyapp/skewyapp/releases", "show")</f>
        <v>show</v>
      </c>
      <c r="I11052">
        <v>1</v>
      </c>
      <c r="J11052">
        <v>0</v>
      </c>
      <c r="K11052">
        <v>0</v>
      </c>
      <c r="L11052">
        <v>0</v>
      </c>
      <c r="M11052" t="s">
        <v>17</v>
      </c>
    </row>
    <row r="11053" spans="1:13" hidden="1" x14ac:dyDescent="0.15">
      <c r="A11053" t="s">
        <v>34890</v>
      </c>
      <c r="B11053" t="s">
        <v>34891</v>
      </c>
      <c r="C11053" t="s">
        <v>34892</v>
      </c>
      <c r="D11053" t="s">
        <v>34886</v>
      </c>
      <c r="E11053">
        <v>53</v>
      </c>
      <c r="F11053" t="str">
        <f>HYPERLINK("https://github.com/skewyapp/skewyapp/issues/10", "show")</f>
        <v>show</v>
      </c>
      <c r="G11053" t="str">
        <f>HYPERLINK("https://github.com/skewyapp/skewyapp", "show")</f>
        <v>show</v>
      </c>
      <c r="H11053" t="str">
        <f>HYPERLINK("https://github.com/skewyapp/skewyapp/releases", "show")</f>
        <v>show</v>
      </c>
      <c r="I11053">
        <v>1</v>
      </c>
      <c r="J11053">
        <v>0</v>
      </c>
      <c r="K11053">
        <v>1</v>
      </c>
      <c r="L11053">
        <v>0</v>
      </c>
      <c r="M11053" t="s">
        <v>64</v>
      </c>
    </row>
    <row r="11054" spans="1:13" hidden="1" x14ac:dyDescent="0.15">
      <c r="A11054" t="s">
        <v>34893</v>
      </c>
      <c r="B11054" t="s">
        <v>34894</v>
      </c>
      <c r="C11054" t="s">
        <v>34895</v>
      </c>
      <c r="D11054" t="s">
        <v>34896</v>
      </c>
      <c r="E11054">
        <v>202</v>
      </c>
      <c r="F11054" t="str">
        <f>HYPERLINK("https://github.com/PojavLauncherTeam/PojavLauncher/issues/3620", "show")</f>
        <v>show</v>
      </c>
      <c r="G11054" t="str">
        <f>HYPERLINK("https://github.com/PojavLauncherTeam/PojavLauncher", "show")</f>
        <v>show</v>
      </c>
      <c r="H11054" t="str">
        <f>HYPERLINK("https://github.com/PojavLauncherTeam/PojavLauncher/releases", "show")</f>
        <v>show</v>
      </c>
      <c r="I11054">
        <v>1</v>
      </c>
      <c r="J11054">
        <v>1</v>
      </c>
      <c r="K11054">
        <v>0</v>
      </c>
      <c r="L11054">
        <v>0</v>
      </c>
      <c r="M11054" t="s">
        <v>48</v>
      </c>
    </row>
    <row r="11055" spans="1:13" hidden="1" x14ac:dyDescent="0.15">
      <c r="A11055" t="s">
        <v>34897</v>
      </c>
      <c r="B11055" t="s">
        <v>34898</v>
      </c>
      <c r="C11055" t="s">
        <v>34899</v>
      </c>
      <c r="D11055" t="s">
        <v>34896</v>
      </c>
      <c r="E11055">
        <v>0</v>
      </c>
      <c r="F11055" t="str">
        <f>HYPERLINK("https://github.com/AndroidIDEOfficial/AndroidIDE/issues/560", "show")</f>
        <v>show</v>
      </c>
      <c r="G11055" t="str">
        <f>HYPERLINK("https://github.com/AndroidIDEOfficial/AndroidIDE", "show")</f>
        <v>show</v>
      </c>
      <c r="H11055" t="str">
        <f>HYPERLINK("https://github.com/AndroidIDEOfficial/AndroidIDE/releases", "show")</f>
        <v>show</v>
      </c>
      <c r="I11055">
        <v>1</v>
      </c>
      <c r="J11055">
        <v>0</v>
      </c>
      <c r="K11055">
        <v>1</v>
      </c>
      <c r="L11055">
        <v>0</v>
      </c>
      <c r="M11055" t="s">
        <v>64</v>
      </c>
    </row>
    <row r="11056" spans="1:13" hidden="1" x14ac:dyDescent="0.15">
      <c r="A11056" t="s">
        <v>34900</v>
      </c>
      <c r="B11056" t="s">
        <v>34901</v>
      </c>
      <c r="C11056" t="s">
        <v>34902</v>
      </c>
      <c r="D11056" t="s">
        <v>34896</v>
      </c>
      <c r="E11056">
        <v>87</v>
      </c>
      <c r="F11056" t="str">
        <f>HYPERLINK("https://github.com/XiangRongLin/NewPipe-preuinified/issues/31", "show")</f>
        <v>show</v>
      </c>
      <c r="G11056" t="str">
        <f>HYPERLINK("https://github.com/XiangRongLin/NewPipe-preuinified", "show")</f>
        <v>show</v>
      </c>
      <c r="H11056" t="str">
        <f>HYPERLINK("https://github.com/XiangRongLin/NewPipe-preuinified/releases", "show")</f>
        <v>show</v>
      </c>
      <c r="I11056">
        <v>1</v>
      </c>
      <c r="J11056">
        <v>1</v>
      </c>
      <c r="K11056">
        <v>1</v>
      </c>
      <c r="L11056">
        <v>0</v>
      </c>
      <c r="M11056" t="s">
        <v>59</v>
      </c>
    </row>
    <row r="11057" spans="1:13" hidden="1" x14ac:dyDescent="0.15">
      <c r="A11057" t="s">
        <v>34903</v>
      </c>
      <c r="B11057" t="s">
        <v>34904</v>
      </c>
      <c r="C11057" t="s">
        <v>34905</v>
      </c>
      <c r="D11057" t="s">
        <v>34906</v>
      </c>
      <c r="E11057">
        <v>84</v>
      </c>
      <c r="F11057" t="str">
        <f>HYPERLINK("https://github.com/LawnchairLauncher/lawnchair/issues/3063", "show")</f>
        <v>show</v>
      </c>
      <c r="G11057" t="str">
        <f>HYPERLINK("https://github.com/LawnchairLauncher/lawnchair", "show")</f>
        <v>show</v>
      </c>
      <c r="H11057" t="str">
        <f>HYPERLINK("https://github.com/LawnchairLauncher/lawnchair/releases", "show")</f>
        <v>show</v>
      </c>
      <c r="I11057">
        <v>1</v>
      </c>
      <c r="J11057">
        <v>1</v>
      </c>
      <c r="K11057">
        <v>0</v>
      </c>
      <c r="L11057">
        <v>0</v>
      </c>
      <c r="M11057" t="s">
        <v>48</v>
      </c>
    </row>
    <row r="11058" spans="1:13" hidden="1" x14ac:dyDescent="0.15">
      <c r="A11058" t="s">
        <v>34907</v>
      </c>
      <c r="B11058" t="s">
        <v>16147</v>
      </c>
      <c r="C11058" t="s">
        <v>34908</v>
      </c>
      <c r="D11058" t="s">
        <v>34906</v>
      </c>
      <c r="E11058">
        <v>0</v>
      </c>
      <c r="F11058" t="str">
        <f>HYPERLINK("https://github.com/LawnchairLauncher/lawnchair/issues/3062", "show")</f>
        <v>show</v>
      </c>
      <c r="G11058" t="str">
        <f>HYPERLINK("https://github.com/LawnchairLauncher/lawnchair", "show")</f>
        <v>show</v>
      </c>
      <c r="H11058" t="str">
        <f>HYPERLINK("https://github.com/LawnchairLauncher/lawnchair/releases", "show")</f>
        <v>show</v>
      </c>
      <c r="I11058">
        <v>1</v>
      </c>
      <c r="J11058">
        <v>1</v>
      </c>
      <c r="K11058">
        <v>0</v>
      </c>
      <c r="L11058">
        <v>0</v>
      </c>
      <c r="M11058" t="s">
        <v>48</v>
      </c>
    </row>
    <row r="11059" spans="1:13" hidden="1" x14ac:dyDescent="0.15">
      <c r="A11059" t="s">
        <v>34909</v>
      </c>
      <c r="B11059" t="s">
        <v>34910</v>
      </c>
      <c r="C11059" t="s">
        <v>34911</v>
      </c>
      <c r="D11059" t="s">
        <v>34906</v>
      </c>
      <c r="E11059">
        <v>4</v>
      </c>
      <c r="F11059" t="str">
        <f>HYPERLINK("https://github.com/WSU-4110/Veggie-Garden/issues/32", "show")</f>
        <v>show</v>
      </c>
      <c r="G11059" t="str">
        <f>HYPERLINK("https://github.com/WSU-4110/Veggie-Garden", "show")</f>
        <v>show</v>
      </c>
      <c r="H11059" t="str">
        <f>HYPERLINK("https://github.com/WSU-4110/Veggie-Garden/releases", "show")</f>
        <v>show</v>
      </c>
      <c r="I11059">
        <v>1</v>
      </c>
      <c r="J11059">
        <v>0</v>
      </c>
      <c r="K11059">
        <v>0</v>
      </c>
      <c r="L11059">
        <v>0</v>
      </c>
      <c r="M11059" t="s">
        <v>17</v>
      </c>
    </row>
    <row r="11060" spans="1:13" hidden="1" x14ac:dyDescent="0.15">
      <c r="A11060" t="s">
        <v>34912</v>
      </c>
      <c r="B11060" t="s">
        <v>34913</v>
      </c>
      <c r="C11060" t="s">
        <v>34914</v>
      </c>
      <c r="D11060" t="s">
        <v>34906</v>
      </c>
      <c r="E11060">
        <v>1</v>
      </c>
      <c r="F11060" t="str">
        <f>HYPERLINK("https://github.com/xfarrow/locatemydevice/issues/3", "show")</f>
        <v>show</v>
      </c>
      <c r="G11060" t="str">
        <f>HYPERLINK("https://github.com/xfarrow/locatemydevice", "show")</f>
        <v>show</v>
      </c>
      <c r="H11060" t="str">
        <f>HYPERLINK("https://github.com/xfarrow/locatemydevice/releases", "show")</f>
        <v>show</v>
      </c>
      <c r="I11060">
        <v>1</v>
      </c>
      <c r="J11060">
        <v>0</v>
      </c>
      <c r="K11060">
        <v>0</v>
      </c>
      <c r="L11060">
        <v>0</v>
      </c>
      <c r="M11060" t="s">
        <v>17</v>
      </c>
    </row>
    <row r="11061" spans="1:13" hidden="1" x14ac:dyDescent="0.15">
      <c r="A11061" t="s">
        <v>34915</v>
      </c>
      <c r="B11061" t="s">
        <v>16147</v>
      </c>
      <c r="C11061" t="s">
        <v>34916</v>
      </c>
      <c r="D11061" t="s">
        <v>34906</v>
      </c>
      <c r="E11061">
        <v>0</v>
      </c>
      <c r="F11061" t="str">
        <f>HYPERLINK("https://github.com/LawnchairLauncher/lawnchair/issues/3061", "show")</f>
        <v>show</v>
      </c>
      <c r="G11061" t="str">
        <f>HYPERLINK("https://github.com/LawnchairLauncher/lawnchair", "show")</f>
        <v>show</v>
      </c>
      <c r="H11061" t="str">
        <f>HYPERLINK("https://github.com/LawnchairLauncher/lawnchair/releases", "show")</f>
        <v>show</v>
      </c>
      <c r="I11061">
        <v>1</v>
      </c>
      <c r="J11061">
        <v>0</v>
      </c>
      <c r="K11061">
        <v>0</v>
      </c>
      <c r="L11061">
        <v>0</v>
      </c>
      <c r="M11061" t="s">
        <v>17</v>
      </c>
    </row>
    <row r="11062" spans="1:13" hidden="1" x14ac:dyDescent="0.15">
      <c r="A11062" t="s">
        <v>34917</v>
      </c>
      <c r="B11062" t="s">
        <v>34918</v>
      </c>
      <c r="C11062" t="s">
        <v>34919</v>
      </c>
      <c r="D11062" t="s">
        <v>34906</v>
      </c>
      <c r="E11062">
        <v>205</v>
      </c>
      <c r="F11062" t="str">
        <f>HYPERLINK("https://github.com/facebook/react-native/issues/35121", "show")</f>
        <v>show</v>
      </c>
      <c r="G11062" t="str">
        <f>HYPERLINK("https://github.com/facebook/react-native", "show")</f>
        <v>show</v>
      </c>
      <c r="H11062" t="str">
        <f>HYPERLINK("https://github.com/facebook/react-native/releases", "show")</f>
        <v>show</v>
      </c>
      <c r="I11062">
        <v>1</v>
      </c>
      <c r="J11062">
        <v>1</v>
      </c>
      <c r="K11062">
        <v>0</v>
      </c>
      <c r="L11062">
        <v>0</v>
      </c>
      <c r="M11062" t="s">
        <v>48</v>
      </c>
    </row>
    <row r="11063" spans="1:13" hidden="1" x14ac:dyDescent="0.15">
      <c r="A11063" t="s">
        <v>34920</v>
      </c>
      <c r="B11063" t="s">
        <v>34921</v>
      </c>
      <c r="C11063" t="s">
        <v>34922</v>
      </c>
      <c r="D11063" t="s">
        <v>34906</v>
      </c>
      <c r="E11063">
        <v>0</v>
      </c>
      <c r="F11063" t="str">
        <f>HYPERLINK("https://github.com/nextcloud/android/issues/10956", "show")</f>
        <v>show</v>
      </c>
      <c r="G11063" t="str">
        <f>HYPERLINK("https://github.com/nextcloud/android", "show")</f>
        <v>show</v>
      </c>
      <c r="H11063" t="str">
        <f>HYPERLINK("https://github.com/nextcloud/android/releases", "show")</f>
        <v>show</v>
      </c>
      <c r="I11063">
        <v>1</v>
      </c>
      <c r="J11063">
        <v>0</v>
      </c>
      <c r="K11063">
        <v>1</v>
      </c>
      <c r="L11063">
        <v>0</v>
      </c>
      <c r="M11063" t="s">
        <v>64</v>
      </c>
    </row>
    <row r="11064" spans="1:13" hidden="1" x14ac:dyDescent="0.15">
      <c r="A11064" t="s">
        <v>34923</v>
      </c>
      <c r="B11064" t="s">
        <v>34924</v>
      </c>
      <c r="C11064" t="s">
        <v>34925</v>
      </c>
      <c r="D11064" t="s">
        <v>34906</v>
      </c>
      <c r="E11064">
        <v>89</v>
      </c>
      <c r="F11064" t="str">
        <f>HYPERLINK("https://github.com/VinylMusicPlayer/VinylMusicPlayer/issues/620", "show")</f>
        <v>show</v>
      </c>
      <c r="G11064" t="str">
        <f>HYPERLINK("https://github.com/VinylMusicPlayer/VinylMusicPlayer", "show")</f>
        <v>show</v>
      </c>
      <c r="H11064" t="str">
        <f>HYPERLINK("https://github.com/VinylMusicPlayer/VinylMusicPlayer/releases", "show")</f>
        <v>show</v>
      </c>
      <c r="I11064">
        <v>1</v>
      </c>
      <c r="J11064">
        <v>1</v>
      </c>
      <c r="K11064">
        <v>0</v>
      </c>
      <c r="L11064">
        <v>0</v>
      </c>
      <c r="M11064" t="s">
        <v>48</v>
      </c>
    </row>
    <row r="11065" spans="1:13" hidden="1" x14ac:dyDescent="0.15">
      <c r="A11065" t="s">
        <v>34926</v>
      </c>
      <c r="B11065" t="s">
        <v>34927</v>
      </c>
      <c r="C11065" t="s">
        <v>34928</v>
      </c>
      <c r="D11065" t="s">
        <v>34929</v>
      </c>
      <c r="E11065">
        <v>0</v>
      </c>
      <c r="F11065" t="str">
        <f>HYPERLINK("https://github.com/nextcloud/android/issues/10944", "show")</f>
        <v>show</v>
      </c>
      <c r="G11065" t="str">
        <f>HYPERLINK("https://github.com/nextcloud/android", "show")</f>
        <v>show</v>
      </c>
      <c r="H11065" t="str">
        <f>HYPERLINK("https://github.com/nextcloud/android/releases", "show")</f>
        <v>show</v>
      </c>
      <c r="I11065">
        <v>1</v>
      </c>
      <c r="J11065">
        <v>0</v>
      </c>
      <c r="K11065">
        <v>1</v>
      </c>
      <c r="L11065">
        <v>0</v>
      </c>
      <c r="M11065" t="s">
        <v>64</v>
      </c>
    </row>
    <row r="11066" spans="1:13" hidden="1" x14ac:dyDescent="0.15">
      <c r="A11066" t="s">
        <v>34930</v>
      </c>
      <c r="B11066" t="s">
        <v>34931</v>
      </c>
      <c r="C11066" t="s">
        <v>34932</v>
      </c>
      <c r="D11066" t="s">
        <v>34929</v>
      </c>
      <c r="E11066">
        <v>0</v>
      </c>
      <c r="F11066" t="str">
        <f>HYPERLINK("https://github.com/Anuken/Mindustry/issues/7772", "show")</f>
        <v>show</v>
      </c>
      <c r="G11066" t="str">
        <f>HYPERLINK("https://github.com/Anuken/Mindustry", "show")</f>
        <v>show</v>
      </c>
      <c r="H11066" t="str">
        <f>HYPERLINK("https://github.com/Anuken/Mindustry/releases", "show")</f>
        <v>show</v>
      </c>
      <c r="I11066">
        <v>1</v>
      </c>
      <c r="J11066">
        <v>1</v>
      </c>
      <c r="K11066">
        <v>0</v>
      </c>
      <c r="L11066">
        <v>0</v>
      </c>
      <c r="M11066" t="s">
        <v>48</v>
      </c>
    </row>
    <row r="11067" spans="1:13" hidden="1" x14ac:dyDescent="0.15">
      <c r="A11067" t="s">
        <v>34933</v>
      </c>
      <c r="B11067" t="s">
        <v>34934</v>
      </c>
      <c r="C11067" t="s">
        <v>34935</v>
      </c>
      <c r="D11067" t="s">
        <v>34936</v>
      </c>
      <c r="E11067">
        <v>17</v>
      </c>
      <c r="F11067" t="str">
        <f>HYPERLINK("https://github.com/itsdrnoob/DataMonitor/issues/54", "show")</f>
        <v>show</v>
      </c>
      <c r="G11067" t="str">
        <f>HYPERLINK("https://github.com/itsdrnoob/DataMonitor", "show")</f>
        <v>show</v>
      </c>
      <c r="H11067" t="str">
        <f>HYPERLINK("https://github.com/itsdrnoob/DataMonitor/releases", "show")</f>
        <v>show</v>
      </c>
      <c r="I11067">
        <v>1</v>
      </c>
      <c r="J11067">
        <v>1</v>
      </c>
      <c r="K11067">
        <v>0</v>
      </c>
      <c r="L11067">
        <v>1</v>
      </c>
      <c r="M11067" t="s">
        <v>1894</v>
      </c>
    </row>
    <row r="11068" spans="1:13" hidden="1" x14ac:dyDescent="0.15">
      <c r="A11068" t="s">
        <v>34937</v>
      </c>
      <c r="B11068" t="s">
        <v>34938</v>
      </c>
      <c r="C11068" t="s">
        <v>34939</v>
      </c>
      <c r="D11068" t="s">
        <v>34936</v>
      </c>
      <c r="E11068">
        <v>1</v>
      </c>
      <c r="F11068" t="str">
        <f>HYPERLINK("https://github.com/nextcloud/android/issues/10942", "show")</f>
        <v>show</v>
      </c>
      <c r="G11068" t="str">
        <f>HYPERLINK("https://github.com/nextcloud/android", "show")</f>
        <v>show</v>
      </c>
      <c r="H11068" t="str">
        <f>HYPERLINK("https://github.com/nextcloud/android/releases", "show")</f>
        <v>show</v>
      </c>
      <c r="I11068">
        <v>1</v>
      </c>
      <c r="J11068">
        <v>0</v>
      </c>
      <c r="K11068">
        <v>1</v>
      </c>
      <c r="L11068">
        <v>0</v>
      </c>
      <c r="M11068" t="s">
        <v>64</v>
      </c>
    </row>
    <row r="11069" spans="1:13" hidden="1" x14ac:dyDescent="0.15">
      <c r="A11069" t="s">
        <v>34940</v>
      </c>
      <c r="B11069" t="s">
        <v>34941</v>
      </c>
      <c r="C11069" t="s">
        <v>34942</v>
      </c>
      <c r="D11069" t="s">
        <v>34936</v>
      </c>
      <c r="E11069">
        <v>0</v>
      </c>
      <c r="F11069" t="str">
        <f>HYPERLINK("https://github.com/facebook/react-native/issues/35093", "show")</f>
        <v>show</v>
      </c>
      <c r="G11069" t="str">
        <f>HYPERLINK("https://github.com/facebook/react-native", "show")</f>
        <v>show</v>
      </c>
      <c r="H11069" t="str">
        <f>HYPERLINK("https://github.com/facebook/react-native/releases", "show")</f>
        <v>show</v>
      </c>
      <c r="I11069">
        <v>1</v>
      </c>
      <c r="J11069">
        <v>0</v>
      </c>
      <c r="K11069">
        <v>0</v>
      </c>
      <c r="L11069">
        <v>0</v>
      </c>
      <c r="M11069" t="s">
        <v>17</v>
      </c>
    </row>
    <row r="11070" spans="1:13" hidden="1" x14ac:dyDescent="0.15">
      <c r="A11070" t="s">
        <v>34943</v>
      </c>
      <c r="B11070" t="s">
        <v>34944</v>
      </c>
      <c r="C11070" t="s">
        <v>34945</v>
      </c>
      <c r="D11070" t="s">
        <v>34936</v>
      </c>
      <c r="E11070">
        <v>0</v>
      </c>
      <c r="F11070" t="str">
        <f>HYPERLINK("https://github.com/nextcloud/android/issues/10940", "show")</f>
        <v>show</v>
      </c>
      <c r="G11070" t="str">
        <f>HYPERLINK("https://github.com/nextcloud/android", "show")</f>
        <v>show</v>
      </c>
      <c r="H11070" t="str">
        <f>HYPERLINK("https://github.com/nextcloud/android/releases", "show")</f>
        <v>show</v>
      </c>
      <c r="I11070">
        <v>1</v>
      </c>
      <c r="J11070">
        <v>1</v>
      </c>
      <c r="K11070">
        <v>1</v>
      </c>
      <c r="L11070">
        <v>0</v>
      </c>
      <c r="M11070" t="s">
        <v>59</v>
      </c>
    </row>
    <row r="11071" spans="1:13" hidden="1" x14ac:dyDescent="0.15">
      <c r="A11071" t="s">
        <v>34946</v>
      </c>
      <c r="B11071" t="s">
        <v>34947</v>
      </c>
      <c r="C11071" t="s">
        <v>34948</v>
      </c>
      <c r="D11071" t="s">
        <v>34936</v>
      </c>
      <c r="E11071">
        <v>1</v>
      </c>
      <c r="F11071" t="str">
        <f>HYPERLINK("https://github.com/AndroidIDEOfficial/AndroidIDE/issues/554", "show")</f>
        <v>show</v>
      </c>
      <c r="G11071" t="str">
        <f>HYPERLINK("https://github.com/AndroidIDEOfficial/AndroidIDE", "show")</f>
        <v>show</v>
      </c>
      <c r="H11071" t="str">
        <f>HYPERLINK("https://github.com/AndroidIDEOfficial/AndroidIDE/releases", "show")</f>
        <v>show</v>
      </c>
      <c r="I11071">
        <v>1</v>
      </c>
      <c r="J11071">
        <v>0</v>
      </c>
      <c r="K11071">
        <v>1</v>
      </c>
      <c r="L11071">
        <v>0</v>
      </c>
      <c r="M11071" t="s">
        <v>64</v>
      </c>
    </row>
    <row r="11072" spans="1:13" hidden="1" x14ac:dyDescent="0.15">
      <c r="A11072" t="s">
        <v>34949</v>
      </c>
      <c r="B11072" t="s">
        <v>34950</v>
      </c>
      <c r="C11072" t="s">
        <v>34951</v>
      </c>
      <c r="D11072" t="s">
        <v>34936</v>
      </c>
      <c r="E11072">
        <v>3</v>
      </c>
      <c r="F11072" t="str">
        <f>HYPERLINK("https://github.com/Lohni/Musicplayer/issues/36", "show")</f>
        <v>show</v>
      </c>
      <c r="G11072" t="str">
        <f>HYPERLINK("https://github.com/Lohni/Musicplayer", "show")</f>
        <v>show</v>
      </c>
      <c r="H11072" t="str">
        <f>HYPERLINK("https://github.com/Lohni/Musicplayer/releases", "show")</f>
        <v>show</v>
      </c>
      <c r="I11072">
        <v>1</v>
      </c>
      <c r="J11072">
        <v>0</v>
      </c>
      <c r="K11072">
        <v>0</v>
      </c>
      <c r="L11072">
        <v>0</v>
      </c>
      <c r="M11072" t="s">
        <v>17</v>
      </c>
    </row>
    <row r="11073" spans="1:13" hidden="1" x14ac:dyDescent="0.15">
      <c r="A11073" t="s">
        <v>34952</v>
      </c>
      <c r="B11073" t="s">
        <v>34953</v>
      </c>
      <c r="C11073" t="s">
        <v>34954</v>
      </c>
      <c r="D11073" t="s">
        <v>34955</v>
      </c>
      <c r="E11073">
        <v>0</v>
      </c>
      <c r="F11073" t="str">
        <f>HYPERLINK("https://github.com/Anuken/Mindustry/issues/7768", "show")</f>
        <v>show</v>
      </c>
      <c r="G11073" t="str">
        <f>HYPERLINK("https://github.com/Anuken/Mindustry", "show")</f>
        <v>show</v>
      </c>
      <c r="H11073" t="str">
        <f>HYPERLINK("https://github.com/Anuken/Mindustry/releases", "show")</f>
        <v>show</v>
      </c>
      <c r="I11073">
        <v>1</v>
      </c>
      <c r="J11073">
        <v>1</v>
      </c>
      <c r="K11073">
        <v>0</v>
      </c>
      <c r="L11073">
        <v>0</v>
      </c>
      <c r="M11073" t="s">
        <v>48</v>
      </c>
    </row>
    <row r="11074" spans="1:13" hidden="1" x14ac:dyDescent="0.15">
      <c r="A11074" t="s">
        <v>34956</v>
      </c>
      <c r="B11074" t="s">
        <v>19235</v>
      </c>
      <c r="C11074" t="s">
        <v>34957</v>
      </c>
      <c r="D11074" t="s">
        <v>34955</v>
      </c>
      <c r="E11074">
        <v>29</v>
      </c>
      <c r="F11074" t="str">
        <f>HYPERLINK("https://github.com/nextcloud/android/issues/10929", "show")</f>
        <v>show</v>
      </c>
      <c r="G11074" t="str">
        <f>HYPERLINK("https://github.com/nextcloud/android", "show")</f>
        <v>show</v>
      </c>
      <c r="H11074" t="str">
        <f>HYPERLINK("https://github.com/nextcloud/android/releases", "show")</f>
        <v>show</v>
      </c>
      <c r="I11074">
        <v>1</v>
      </c>
      <c r="J11074">
        <v>1</v>
      </c>
      <c r="K11074">
        <v>1</v>
      </c>
      <c r="L11074">
        <v>0</v>
      </c>
      <c r="M11074" t="s">
        <v>59</v>
      </c>
    </row>
    <row r="11075" spans="1:13" hidden="1" x14ac:dyDescent="0.15">
      <c r="A11075" t="s">
        <v>34958</v>
      </c>
      <c r="B11075" t="s">
        <v>34959</v>
      </c>
      <c r="C11075" t="s">
        <v>34960</v>
      </c>
      <c r="D11075" t="s">
        <v>34955</v>
      </c>
      <c r="E11075">
        <v>0</v>
      </c>
      <c r="F11075" t="str">
        <f>HYPERLINK("https://github.com/nextcloud/android/issues/10927", "show")</f>
        <v>show</v>
      </c>
      <c r="G11075" t="str">
        <f>HYPERLINK("https://github.com/nextcloud/android", "show")</f>
        <v>show</v>
      </c>
      <c r="H11075" t="str">
        <f>HYPERLINK("https://github.com/nextcloud/android/releases", "show")</f>
        <v>show</v>
      </c>
      <c r="I11075">
        <v>1</v>
      </c>
      <c r="J11075">
        <v>1</v>
      </c>
      <c r="K11075">
        <v>1</v>
      </c>
      <c r="L11075">
        <v>0</v>
      </c>
      <c r="M11075" t="s">
        <v>59</v>
      </c>
    </row>
    <row r="11076" spans="1:13" hidden="1" x14ac:dyDescent="0.15">
      <c r="A11076" t="s">
        <v>34961</v>
      </c>
      <c r="B11076" t="s">
        <v>34962</v>
      </c>
      <c r="C11076" t="s">
        <v>34963</v>
      </c>
      <c r="D11076" t="s">
        <v>34955</v>
      </c>
      <c r="E11076">
        <v>2</v>
      </c>
      <c r="F11076" t="str">
        <f>HYPERLINK("https://github.com/AndroidIDEOfficial/AndroidIDE/issues/550", "show")</f>
        <v>show</v>
      </c>
      <c r="G11076" t="str">
        <f>HYPERLINK("https://github.com/AndroidIDEOfficial/AndroidIDE", "show")</f>
        <v>show</v>
      </c>
      <c r="H11076" t="str">
        <f>HYPERLINK("https://github.com/AndroidIDEOfficial/AndroidIDE/releases", "show")</f>
        <v>show</v>
      </c>
      <c r="I11076">
        <v>0</v>
      </c>
      <c r="J11076">
        <v>0</v>
      </c>
      <c r="K11076">
        <v>1</v>
      </c>
      <c r="L11076">
        <v>0</v>
      </c>
      <c r="M11076" t="s">
        <v>122</v>
      </c>
    </row>
    <row r="11077" spans="1:13" hidden="1" x14ac:dyDescent="0.15">
      <c r="A11077" t="s">
        <v>34964</v>
      </c>
      <c r="B11077" t="s">
        <v>34965</v>
      </c>
      <c r="C11077" t="s">
        <v>34966</v>
      </c>
      <c r="D11077" t="s">
        <v>34967</v>
      </c>
      <c r="E11077">
        <v>0</v>
      </c>
      <c r="F11077" t="str">
        <f>HYPERLINK("https://github.com/Anuken/Mindustry/issues/7760", "show")</f>
        <v>show</v>
      </c>
      <c r="G11077" t="str">
        <f>HYPERLINK("https://github.com/Anuken/Mindustry", "show")</f>
        <v>show</v>
      </c>
      <c r="H11077" t="str">
        <f>HYPERLINK("https://github.com/Anuken/Mindustry/releases", "show")</f>
        <v>show</v>
      </c>
      <c r="I11077">
        <v>0</v>
      </c>
      <c r="J11077">
        <v>0</v>
      </c>
      <c r="K11077">
        <v>0</v>
      </c>
      <c r="L11077">
        <v>0</v>
      </c>
      <c r="M11077" t="s">
        <v>43</v>
      </c>
    </row>
    <row r="11078" spans="1:13" hidden="1" x14ac:dyDescent="0.15">
      <c r="A11078" t="s">
        <v>34968</v>
      </c>
      <c r="B11078" t="s">
        <v>34969</v>
      </c>
      <c r="C11078" t="s">
        <v>34970</v>
      </c>
      <c r="D11078" t="s">
        <v>34967</v>
      </c>
      <c r="E11078">
        <v>0</v>
      </c>
      <c r="F11078" t="str">
        <f>HYPERLINK("https://github.com/nextcloud/android/issues/10908", "show")</f>
        <v>show</v>
      </c>
      <c r="G11078" t="str">
        <f>HYPERLINK("https://github.com/nextcloud/android", "show")</f>
        <v>show</v>
      </c>
      <c r="H11078" t="str">
        <f>HYPERLINK("https://github.com/nextcloud/android/releases", "show")</f>
        <v>show</v>
      </c>
      <c r="I11078">
        <v>0</v>
      </c>
      <c r="J11078">
        <v>0</v>
      </c>
      <c r="K11078">
        <v>1</v>
      </c>
      <c r="L11078">
        <v>0</v>
      </c>
      <c r="M11078" t="s">
        <v>122</v>
      </c>
    </row>
    <row r="11079" spans="1:13" hidden="1" x14ac:dyDescent="0.15">
      <c r="A11079" t="s">
        <v>34971</v>
      </c>
      <c r="B11079" t="s">
        <v>34972</v>
      </c>
      <c r="C11079" t="s">
        <v>34973</v>
      </c>
      <c r="D11079" t="s">
        <v>34967</v>
      </c>
      <c r="E11079">
        <v>0</v>
      </c>
      <c r="F11079" t="str">
        <f>HYPERLINK("https://github.com/nextcloud/android/issues/10906", "show")</f>
        <v>show</v>
      </c>
      <c r="G11079" t="str">
        <f>HYPERLINK("https://github.com/nextcloud/android", "show")</f>
        <v>show</v>
      </c>
      <c r="H11079" t="str">
        <f>HYPERLINK("https://github.com/nextcloud/android/releases", "show")</f>
        <v>show</v>
      </c>
      <c r="I11079">
        <v>1</v>
      </c>
      <c r="J11079">
        <v>1</v>
      </c>
      <c r="K11079">
        <v>1</v>
      </c>
      <c r="L11079">
        <v>0</v>
      </c>
      <c r="M11079" t="s">
        <v>59</v>
      </c>
    </row>
    <row r="11080" spans="1:13" hidden="1" x14ac:dyDescent="0.15">
      <c r="A11080" t="s">
        <v>34974</v>
      </c>
      <c r="B11080" t="s">
        <v>34975</v>
      </c>
      <c r="C11080" t="s">
        <v>34976</v>
      </c>
      <c r="D11080" t="s">
        <v>34967</v>
      </c>
      <c r="E11080">
        <v>0</v>
      </c>
      <c r="F11080" t="str">
        <f>HYPERLINK("https://github.com/nextcloud/android/issues/10905", "show")</f>
        <v>show</v>
      </c>
      <c r="G11080" t="str">
        <f>HYPERLINK("https://github.com/nextcloud/android", "show")</f>
        <v>show</v>
      </c>
      <c r="H11080" t="str">
        <f>HYPERLINK("https://github.com/nextcloud/android/releases", "show")</f>
        <v>show</v>
      </c>
      <c r="I11080">
        <v>1</v>
      </c>
      <c r="J11080">
        <v>0</v>
      </c>
      <c r="K11080">
        <v>1</v>
      </c>
      <c r="L11080">
        <v>0</v>
      </c>
      <c r="M11080" t="s">
        <v>64</v>
      </c>
    </row>
    <row r="11081" spans="1:13" hidden="1" x14ac:dyDescent="0.15">
      <c r="A11081" t="s">
        <v>34977</v>
      </c>
      <c r="B11081" t="s">
        <v>34978</v>
      </c>
      <c r="C11081" t="s">
        <v>34979</v>
      </c>
      <c r="D11081" t="s">
        <v>34967</v>
      </c>
      <c r="E11081">
        <v>0</v>
      </c>
      <c r="F11081" t="str">
        <f>HYPERLINK("https://github.com/Anuken/Mindustry/issues/7758", "show")</f>
        <v>show</v>
      </c>
      <c r="G11081" t="str">
        <f>HYPERLINK("https://github.com/Anuken/Mindustry", "show")</f>
        <v>show</v>
      </c>
      <c r="H11081" t="str">
        <f>HYPERLINK("https://github.com/Anuken/Mindustry/releases", "show")</f>
        <v>show</v>
      </c>
      <c r="I11081">
        <v>0</v>
      </c>
      <c r="J11081">
        <v>0</v>
      </c>
      <c r="K11081">
        <v>0</v>
      </c>
      <c r="L11081">
        <v>0</v>
      </c>
      <c r="M11081" t="s">
        <v>43</v>
      </c>
    </row>
    <row r="11082" spans="1:13" hidden="1" x14ac:dyDescent="0.15">
      <c r="A11082" t="s">
        <v>34980</v>
      </c>
      <c r="B11082" t="s">
        <v>34981</v>
      </c>
      <c r="C11082" t="s">
        <v>34982</v>
      </c>
      <c r="D11082" t="s">
        <v>34983</v>
      </c>
      <c r="E11082">
        <v>33</v>
      </c>
      <c r="F11082" t="str">
        <f>HYPERLINK("https://github.com/AndroidIDEOfficial/AndroidIDE/issues/549", "show")</f>
        <v>show</v>
      </c>
      <c r="G11082" t="str">
        <f>HYPERLINK("https://github.com/AndroidIDEOfficial/AndroidIDE", "show")</f>
        <v>show</v>
      </c>
      <c r="H11082" t="str">
        <f>HYPERLINK("https://github.com/AndroidIDEOfficial/AndroidIDE/releases", "show")</f>
        <v>show</v>
      </c>
      <c r="I11082">
        <v>1</v>
      </c>
      <c r="J11082">
        <v>0</v>
      </c>
      <c r="K11082">
        <v>0</v>
      </c>
      <c r="L11082">
        <v>0</v>
      </c>
      <c r="M11082" t="s">
        <v>17</v>
      </c>
    </row>
    <row r="11083" spans="1:13" hidden="1" x14ac:dyDescent="0.15">
      <c r="A11083" t="s">
        <v>34984</v>
      </c>
      <c r="B11083" t="s">
        <v>34985</v>
      </c>
      <c r="C11083" t="s">
        <v>34986</v>
      </c>
      <c r="D11083" t="s">
        <v>34983</v>
      </c>
      <c r="E11083">
        <v>0</v>
      </c>
      <c r="F11083" t="str">
        <f>HYPERLINK("https://github.com/Anuken/Mindustry/issues/7757", "show")</f>
        <v>show</v>
      </c>
      <c r="G11083" t="str">
        <f>HYPERLINK("https://github.com/Anuken/Mindustry", "show")</f>
        <v>show</v>
      </c>
      <c r="H11083" t="str">
        <f>HYPERLINK("https://github.com/Anuken/Mindustry/releases", "show")</f>
        <v>show</v>
      </c>
      <c r="I11083">
        <v>1</v>
      </c>
      <c r="J11083">
        <v>0</v>
      </c>
      <c r="K11083">
        <v>0</v>
      </c>
      <c r="L11083">
        <v>0</v>
      </c>
      <c r="M11083" t="s">
        <v>17</v>
      </c>
    </row>
    <row r="11084" spans="1:13" hidden="1" x14ac:dyDescent="0.15">
      <c r="A11084" t="s">
        <v>34987</v>
      </c>
      <c r="B11084" t="s">
        <v>34988</v>
      </c>
      <c r="C11084" t="s">
        <v>34989</v>
      </c>
      <c r="D11084" t="s">
        <v>34983</v>
      </c>
      <c r="E11084">
        <v>1</v>
      </c>
      <c r="F11084" t="str">
        <f>HYPERLINK("https://github.com/nextcloud/android/issues/10897", "show")</f>
        <v>show</v>
      </c>
      <c r="G11084" t="str">
        <f>HYPERLINK("https://github.com/nextcloud/android", "show")</f>
        <v>show</v>
      </c>
      <c r="H11084" t="str">
        <f>HYPERLINK("https://github.com/nextcloud/android/releases", "show")</f>
        <v>show</v>
      </c>
      <c r="I11084">
        <v>1</v>
      </c>
      <c r="J11084">
        <v>0</v>
      </c>
      <c r="K11084">
        <v>1</v>
      </c>
      <c r="L11084">
        <v>0</v>
      </c>
      <c r="M11084" t="s">
        <v>64</v>
      </c>
    </row>
    <row r="11085" spans="1:13" hidden="1" x14ac:dyDescent="0.15">
      <c r="A11085" t="s">
        <v>34990</v>
      </c>
      <c r="B11085" t="s">
        <v>34991</v>
      </c>
      <c r="C11085" t="s">
        <v>34992</v>
      </c>
      <c r="D11085" t="s">
        <v>34983</v>
      </c>
      <c r="E11085">
        <v>1</v>
      </c>
      <c r="F11085" t="str">
        <f>HYPERLINK("https://github.com/nextcloud/android/issues/10896", "show")</f>
        <v>show</v>
      </c>
      <c r="G11085" t="str">
        <f>HYPERLINK("https://github.com/nextcloud/android", "show")</f>
        <v>show</v>
      </c>
      <c r="H11085" t="str">
        <f>HYPERLINK("https://github.com/nextcloud/android/releases", "show")</f>
        <v>show</v>
      </c>
      <c r="I11085">
        <v>1</v>
      </c>
      <c r="J11085">
        <v>1</v>
      </c>
      <c r="K11085">
        <v>1</v>
      </c>
      <c r="L11085">
        <v>0</v>
      </c>
      <c r="M11085" t="s">
        <v>59</v>
      </c>
    </row>
    <row r="11086" spans="1:13" x14ac:dyDescent="0.15">
      <c r="A11086" t="s">
        <v>34993</v>
      </c>
      <c r="B11086" t="s">
        <v>34994</v>
      </c>
      <c r="C11086" t="s">
        <v>34995</v>
      </c>
      <c r="D11086" t="s">
        <v>34983</v>
      </c>
      <c r="E11086">
        <v>0</v>
      </c>
      <c r="F11086" t="str">
        <f>HYPERLINK("https://github.com/Anuken/Mindustry/issues/7755", "show")</f>
        <v>show</v>
      </c>
      <c r="G11086" t="str">
        <f>HYPERLINK("https://github.com/Anuken/Mindustry", "show")</f>
        <v>show</v>
      </c>
      <c r="H11086" t="str">
        <f>HYPERLINK("https://github.com/Anuken/Mindustry/releases", "show")</f>
        <v>show</v>
      </c>
      <c r="I11086">
        <v>0</v>
      </c>
      <c r="J11086">
        <v>1</v>
      </c>
      <c r="K11086">
        <v>0</v>
      </c>
      <c r="L11086">
        <v>0</v>
      </c>
      <c r="M11086" t="s">
        <v>139</v>
      </c>
    </row>
    <row r="11087" spans="1:13" hidden="1" x14ac:dyDescent="0.15">
      <c r="A11087" t="s">
        <v>34996</v>
      </c>
      <c r="B11087" t="s">
        <v>34997</v>
      </c>
      <c r="C11087" t="s">
        <v>34998</v>
      </c>
      <c r="D11087" t="s">
        <v>34983</v>
      </c>
      <c r="E11087">
        <v>0</v>
      </c>
      <c r="F11087" t="str">
        <f>HYPERLINK("https://github.com/Anuken/Mindustry/issues/7752", "show")</f>
        <v>show</v>
      </c>
      <c r="G11087" t="str">
        <f>HYPERLINK("https://github.com/Anuken/Mindustry", "show")</f>
        <v>show</v>
      </c>
      <c r="H11087" t="str">
        <f>HYPERLINK("https://github.com/Anuken/Mindustry/releases", "show")</f>
        <v>show</v>
      </c>
      <c r="I11087">
        <v>1</v>
      </c>
      <c r="J11087">
        <v>0</v>
      </c>
      <c r="K11087">
        <v>0</v>
      </c>
      <c r="L11087">
        <v>0</v>
      </c>
      <c r="M11087" t="s">
        <v>17</v>
      </c>
    </row>
    <row r="11088" spans="1:13" hidden="1" x14ac:dyDescent="0.15">
      <c r="A11088" t="s">
        <v>34999</v>
      </c>
      <c r="B11088" t="s">
        <v>35000</v>
      </c>
      <c r="C11088" t="s">
        <v>35001</v>
      </c>
      <c r="D11088" t="s">
        <v>35002</v>
      </c>
      <c r="E11088">
        <v>17</v>
      </c>
      <c r="F11088" t="str">
        <f>HYPERLINK("https://github.com/commons-app/apps-android-commons/issues/5088", "show")</f>
        <v>show</v>
      </c>
      <c r="G11088" t="str">
        <f>HYPERLINK("https://github.com/commons-app/apps-android-commons", "show")</f>
        <v>show</v>
      </c>
      <c r="H11088" t="str">
        <f>HYPERLINK("https://github.com/commons-app/apps-android-commons/releases", "show")</f>
        <v>show</v>
      </c>
      <c r="I11088">
        <v>1</v>
      </c>
      <c r="J11088">
        <v>1</v>
      </c>
      <c r="K11088">
        <v>0</v>
      </c>
      <c r="L11088">
        <v>1</v>
      </c>
      <c r="M11088" t="s">
        <v>1894</v>
      </c>
    </row>
    <row r="11089" spans="1:13" hidden="1" x14ac:dyDescent="0.15">
      <c r="A11089" t="s">
        <v>35003</v>
      </c>
      <c r="B11089" t="s">
        <v>35004</v>
      </c>
      <c r="C11089" t="s">
        <v>35005</v>
      </c>
      <c r="D11089" t="s">
        <v>35002</v>
      </c>
      <c r="E11089">
        <v>0</v>
      </c>
      <c r="F11089" t="str">
        <f>HYPERLINK("https://github.com/Aliucord/Aliucord/issues/283", "show")</f>
        <v>show</v>
      </c>
      <c r="G11089" t="str">
        <f>HYPERLINK("https://github.com/Aliucord/Aliucord", "show")</f>
        <v>show</v>
      </c>
      <c r="H11089" t="str">
        <f>HYPERLINK("https://github.com/Aliucord/Aliucord/releases", "show")</f>
        <v>show</v>
      </c>
      <c r="I11089">
        <v>1</v>
      </c>
      <c r="J11089">
        <v>1</v>
      </c>
      <c r="K11089">
        <v>0</v>
      </c>
      <c r="L11089">
        <v>0</v>
      </c>
      <c r="M11089" t="s">
        <v>48</v>
      </c>
    </row>
    <row r="11090" spans="1:13" hidden="1" x14ac:dyDescent="0.15">
      <c r="A11090" t="s">
        <v>35006</v>
      </c>
      <c r="B11090" t="s">
        <v>35007</v>
      </c>
      <c r="C11090" t="s">
        <v>35008</v>
      </c>
      <c r="D11090" t="s">
        <v>35002</v>
      </c>
      <c r="E11090">
        <v>1</v>
      </c>
      <c r="F11090" t="str">
        <f>HYPERLINK("https://github.com/nextcloud/android/issues/10892", "show")</f>
        <v>show</v>
      </c>
      <c r="G11090" t="str">
        <f>HYPERLINK("https://github.com/nextcloud/android", "show")</f>
        <v>show</v>
      </c>
      <c r="H11090" t="str">
        <f>HYPERLINK("https://github.com/nextcloud/android/releases", "show")</f>
        <v>show</v>
      </c>
      <c r="I11090">
        <v>0</v>
      </c>
      <c r="J11090">
        <v>0</v>
      </c>
      <c r="K11090">
        <v>1</v>
      </c>
      <c r="L11090">
        <v>0</v>
      </c>
      <c r="M11090" t="s">
        <v>122</v>
      </c>
    </row>
    <row r="11091" spans="1:13" hidden="1" x14ac:dyDescent="0.15">
      <c r="A11091" t="s">
        <v>35009</v>
      </c>
      <c r="B11091" t="s">
        <v>35010</v>
      </c>
      <c r="C11091" t="s">
        <v>35011</v>
      </c>
      <c r="D11091" t="s">
        <v>35002</v>
      </c>
      <c r="E11091">
        <v>0</v>
      </c>
      <c r="F11091" t="str">
        <f>HYPERLINK("https://github.com/Anuken/Mindustry/issues/7749", "show")</f>
        <v>show</v>
      </c>
      <c r="G11091" t="str">
        <f>HYPERLINK("https://github.com/Anuken/Mindustry", "show")</f>
        <v>show</v>
      </c>
      <c r="H11091" t="str">
        <f>HYPERLINK("https://github.com/Anuken/Mindustry/releases", "show")</f>
        <v>show</v>
      </c>
      <c r="I11091">
        <v>0</v>
      </c>
      <c r="J11091">
        <v>0</v>
      </c>
      <c r="K11091">
        <v>0</v>
      </c>
      <c r="L11091">
        <v>0</v>
      </c>
      <c r="M11091" t="s">
        <v>43</v>
      </c>
    </row>
    <row r="11092" spans="1:13" hidden="1" x14ac:dyDescent="0.15">
      <c r="A11092" t="s">
        <v>35012</v>
      </c>
      <c r="B11092" t="s">
        <v>35013</v>
      </c>
      <c r="C11092" t="s">
        <v>35014</v>
      </c>
      <c r="D11092" t="s">
        <v>35002</v>
      </c>
      <c r="E11092">
        <v>0</v>
      </c>
      <c r="F11092" t="str">
        <f>HYPERLINK("https://github.com/nextcloud/android/issues/10888", "show")</f>
        <v>show</v>
      </c>
      <c r="G11092" t="str">
        <f>HYPERLINK("https://github.com/nextcloud/android", "show")</f>
        <v>show</v>
      </c>
      <c r="H11092" t="str">
        <f>HYPERLINK("https://github.com/nextcloud/android/releases", "show")</f>
        <v>show</v>
      </c>
      <c r="I11092">
        <v>1</v>
      </c>
      <c r="J11092">
        <v>1</v>
      </c>
      <c r="K11092">
        <v>1</v>
      </c>
      <c r="L11092">
        <v>0</v>
      </c>
      <c r="M11092" t="s">
        <v>59</v>
      </c>
    </row>
    <row r="11093" spans="1:13" x14ac:dyDescent="0.15">
      <c r="A11093" t="s">
        <v>35015</v>
      </c>
      <c r="B11093" t="s">
        <v>35016</v>
      </c>
      <c r="C11093" t="s">
        <v>35017</v>
      </c>
      <c r="D11093" t="s">
        <v>35018</v>
      </c>
      <c r="E11093">
        <v>13</v>
      </c>
      <c r="F11093" t="str">
        <f>HYPERLINK("https://github.com/googleads/googleads-mobile-flutter/issues/675", "show")</f>
        <v>show</v>
      </c>
      <c r="G11093" t="str">
        <f>HYPERLINK("https://github.com/googleads/googleads-mobile-flutter", "show")</f>
        <v>show</v>
      </c>
      <c r="H11093" t="str">
        <f>HYPERLINK("https://github.com/googleads/googleads-mobile-flutter/releases", "show")</f>
        <v>show</v>
      </c>
      <c r="I11093">
        <v>0</v>
      </c>
      <c r="J11093">
        <v>1</v>
      </c>
      <c r="K11093">
        <v>0</v>
      </c>
      <c r="L11093">
        <v>0</v>
      </c>
      <c r="M11093" t="s">
        <v>139</v>
      </c>
    </row>
    <row r="11094" spans="1:13" hidden="1" x14ac:dyDescent="0.15">
      <c r="A11094" t="s">
        <v>35019</v>
      </c>
      <c r="B11094" t="s">
        <v>35020</v>
      </c>
      <c r="C11094" t="s">
        <v>35021</v>
      </c>
      <c r="D11094" t="s">
        <v>35018</v>
      </c>
      <c r="E11094">
        <v>0</v>
      </c>
      <c r="F11094" t="str">
        <f>HYPERLINK("https://github.com/nextcloud/android/issues/10879", "show")</f>
        <v>show</v>
      </c>
      <c r="G11094" t="str">
        <f>HYPERLINK("https://github.com/nextcloud/android", "show")</f>
        <v>show</v>
      </c>
      <c r="H11094" t="str">
        <f>HYPERLINK("https://github.com/nextcloud/android/releases", "show")</f>
        <v>show</v>
      </c>
      <c r="I11094">
        <v>1</v>
      </c>
      <c r="J11094">
        <v>1</v>
      </c>
      <c r="K11094">
        <v>1</v>
      </c>
      <c r="L11094">
        <v>0</v>
      </c>
      <c r="M11094" t="s">
        <v>59</v>
      </c>
    </row>
    <row r="11095" spans="1:13" hidden="1" x14ac:dyDescent="0.15">
      <c r="A11095" t="s">
        <v>35022</v>
      </c>
      <c r="B11095" t="s">
        <v>35023</v>
      </c>
      <c r="C11095" t="s">
        <v>35024</v>
      </c>
      <c r="D11095" t="s">
        <v>35018</v>
      </c>
      <c r="E11095">
        <v>3</v>
      </c>
      <c r="F11095" t="str">
        <f>HYPERLINK("https://github.com/PojavLauncherTeam/PojavLauncher/issues/3613", "show")</f>
        <v>show</v>
      </c>
      <c r="G11095" t="str">
        <f>HYPERLINK("https://github.com/PojavLauncherTeam/PojavLauncher", "show")</f>
        <v>show</v>
      </c>
      <c r="H11095" t="str">
        <f>HYPERLINK("https://github.com/PojavLauncherTeam/PojavLauncher/releases", "show")</f>
        <v>show</v>
      </c>
      <c r="I11095">
        <v>0</v>
      </c>
      <c r="J11095">
        <v>0</v>
      </c>
      <c r="K11095">
        <v>0</v>
      </c>
      <c r="L11095">
        <v>1</v>
      </c>
      <c r="M11095" t="s">
        <v>581</v>
      </c>
    </row>
    <row r="11096" spans="1:13" hidden="1" x14ac:dyDescent="0.15">
      <c r="A11096" t="s">
        <v>35025</v>
      </c>
      <c r="B11096" t="s">
        <v>35026</v>
      </c>
      <c r="C11096" t="s">
        <v>35027</v>
      </c>
      <c r="D11096" t="s">
        <v>35018</v>
      </c>
      <c r="E11096">
        <v>0</v>
      </c>
      <c r="F11096" t="str">
        <f>HYPERLINK("https://github.com/nextcloud/android/issues/10875", "show")</f>
        <v>show</v>
      </c>
      <c r="G11096" t="str">
        <f>HYPERLINK("https://github.com/nextcloud/android", "show")</f>
        <v>show</v>
      </c>
      <c r="H11096" t="str">
        <f>HYPERLINK("https://github.com/nextcloud/android/releases", "show")</f>
        <v>show</v>
      </c>
      <c r="I11096">
        <v>1</v>
      </c>
      <c r="J11096">
        <v>1</v>
      </c>
      <c r="K11096">
        <v>1</v>
      </c>
      <c r="L11096">
        <v>0</v>
      </c>
      <c r="M11096" t="s">
        <v>59</v>
      </c>
    </row>
    <row r="11097" spans="1:13" hidden="1" x14ac:dyDescent="0.15">
      <c r="A11097" t="s">
        <v>35028</v>
      </c>
      <c r="B11097" t="s">
        <v>35029</v>
      </c>
      <c r="C11097" t="s">
        <v>35030</v>
      </c>
      <c r="D11097" t="s">
        <v>35031</v>
      </c>
      <c r="E11097">
        <v>57</v>
      </c>
      <c r="F11097" t="str">
        <f>HYPERLINK("https://github.com/nextcloud/android/issues/10872", "show")</f>
        <v>show</v>
      </c>
      <c r="G11097" t="str">
        <f>HYPERLINK("https://github.com/nextcloud/android", "show")</f>
        <v>show</v>
      </c>
      <c r="H11097" t="str">
        <f>HYPERLINK("https://github.com/nextcloud/android/releases", "show")</f>
        <v>show</v>
      </c>
      <c r="I11097">
        <v>1</v>
      </c>
      <c r="J11097">
        <v>1</v>
      </c>
      <c r="K11097">
        <v>0</v>
      </c>
      <c r="L11097">
        <v>0</v>
      </c>
      <c r="M11097" t="s">
        <v>48</v>
      </c>
    </row>
    <row r="11098" spans="1:13" hidden="1" x14ac:dyDescent="0.15">
      <c r="A11098" t="s">
        <v>35032</v>
      </c>
      <c r="B11098" t="s">
        <v>35033</v>
      </c>
      <c r="C11098" t="s">
        <v>35034</v>
      </c>
      <c r="D11098" t="s">
        <v>35031</v>
      </c>
      <c r="E11098">
        <v>1</v>
      </c>
      <c r="F11098" t="str">
        <f>HYPERLINK("https://github.com/nextcloud/android/issues/10869", "show")</f>
        <v>show</v>
      </c>
      <c r="G11098" t="str">
        <f>HYPERLINK("https://github.com/nextcloud/android", "show")</f>
        <v>show</v>
      </c>
      <c r="H11098" t="str">
        <f>HYPERLINK("https://github.com/nextcloud/android/releases", "show")</f>
        <v>show</v>
      </c>
      <c r="I11098">
        <v>1</v>
      </c>
      <c r="J11098">
        <v>0</v>
      </c>
      <c r="K11098">
        <v>1</v>
      </c>
      <c r="L11098">
        <v>0</v>
      </c>
      <c r="M11098" t="s">
        <v>64</v>
      </c>
    </row>
    <row r="11099" spans="1:13" hidden="1" x14ac:dyDescent="0.15">
      <c r="A11099" t="s">
        <v>35035</v>
      </c>
      <c r="B11099" t="s">
        <v>35036</v>
      </c>
      <c r="C11099" t="s">
        <v>35037</v>
      </c>
      <c r="D11099" t="s">
        <v>35031</v>
      </c>
      <c r="E11099">
        <v>1</v>
      </c>
      <c r="F11099" t="str">
        <f>HYPERLINK("https://github.com/nextcloud/android/issues/10868", "show")</f>
        <v>show</v>
      </c>
      <c r="G11099" t="str">
        <f>HYPERLINK("https://github.com/nextcloud/android", "show")</f>
        <v>show</v>
      </c>
      <c r="H11099" t="str">
        <f>HYPERLINK("https://github.com/nextcloud/android/releases", "show")</f>
        <v>show</v>
      </c>
      <c r="I11099">
        <v>1</v>
      </c>
      <c r="J11099">
        <v>1</v>
      </c>
      <c r="K11099">
        <v>1</v>
      </c>
      <c r="L11099">
        <v>0</v>
      </c>
      <c r="M11099" t="s">
        <v>59</v>
      </c>
    </row>
    <row r="11100" spans="1:13" hidden="1" x14ac:dyDescent="0.15">
      <c r="A11100" t="s">
        <v>35038</v>
      </c>
      <c r="B11100" t="s">
        <v>35039</v>
      </c>
      <c r="C11100" t="s">
        <v>35040</v>
      </c>
      <c r="D11100" t="s">
        <v>35031</v>
      </c>
      <c r="E11100">
        <v>0</v>
      </c>
      <c r="F11100" t="str">
        <f>HYPERLINK("https://github.com/nextcloud/android/issues/10867", "show")</f>
        <v>show</v>
      </c>
      <c r="G11100" t="str">
        <f>HYPERLINK("https://github.com/nextcloud/android", "show")</f>
        <v>show</v>
      </c>
      <c r="H11100" t="str">
        <f>HYPERLINK("https://github.com/nextcloud/android/releases", "show")</f>
        <v>show</v>
      </c>
      <c r="I11100">
        <v>1</v>
      </c>
      <c r="J11100">
        <v>1</v>
      </c>
      <c r="K11100">
        <v>1</v>
      </c>
      <c r="L11100">
        <v>0</v>
      </c>
      <c r="M11100" t="s">
        <v>59</v>
      </c>
    </row>
    <row r="11101" spans="1:13" hidden="1" x14ac:dyDescent="0.15">
      <c r="A11101" t="s">
        <v>35041</v>
      </c>
      <c r="B11101" t="s">
        <v>35042</v>
      </c>
      <c r="C11101" t="s">
        <v>35043</v>
      </c>
      <c r="D11101" t="s">
        <v>35031</v>
      </c>
      <c r="E11101">
        <v>8</v>
      </c>
      <c r="F11101" t="str">
        <f>HYPERLINK("https://github.com/OTTAA-Project/OTTAAProject/issues/147", "show")</f>
        <v>show</v>
      </c>
      <c r="G11101" t="str">
        <f>HYPERLINK("https://github.com/OTTAA-Project/OTTAAProject", "show")</f>
        <v>show</v>
      </c>
      <c r="H11101" t="str">
        <f>HYPERLINK("https://github.com/OTTAA-Project/OTTAAProject/releases", "show")</f>
        <v>show</v>
      </c>
      <c r="I11101">
        <v>0</v>
      </c>
      <c r="J11101">
        <v>0</v>
      </c>
      <c r="K11101">
        <v>1</v>
      </c>
      <c r="L11101">
        <v>0</v>
      </c>
      <c r="M11101" t="s">
        <v>122</v>
      </c>
    </row>
    <row r="11102" spans="1:13" hidden="1" x14ac:dyDescent="0.15">
      <c r="A11102" t="s">
        <v>35044</v>
      </c>
      <c r="B11102" t="s">
        <v>35045</v>
      </c>
      <c r="C11102" t="s">
        <v>35046</v>
      </c>
      <c r="D11102" t="s">
        <v>35031</v>
      </c>
      <c r="E11102">
        <v>13</v>
      </c>
      <c r="F11102" t="str">
        <f>HYPERLINK("https://github.com/getodk/collect/issues/5317", "show")</f>
        <v>show</v>
      </c>
      <c r="G11102" t="str">
        <f>HYPERLINK("https://github.com/getodk/collect", "show")</f>
        <v>show</v>
      </c>
      <c r="H11102" t="str">
        <f>HYPERLINK("https://github.com/getodk/collect/releases", "show")</f>
        <v>show</v>
      </c>
      <c r="I11102">
        <v>1</v>
      </c>
      <c r="J11102">
        <v>1</v>
      </c>
      <c r="K11102">
        <v>0</v>
      </c>
      <c r="L11102">
        <v>0</v>
      </c>
      <c r="M11102" t="s">
        <v>48</v>
      </c>
    </row>
    <row r="11103" spans="1:13" hidden="1" x14ac:dyDescent="0.15">
      <c r="A11103" t="s">
        <v>35047</v>
      </c>
      <c r="B11103" t="s">
        <v>35048</v>
      </c>
      <c r="C11103" t="s">
        <v>35049</v>
      </c>
      <c r="D11103" t="s">
        <v>35031</v>
      </c>
      <c r="E11103">
        <v>8</v>
      </c>
      <c r="F11103" t="str">
        <f>HYPERLINK("https://github.com/OTTAA-Project/OTTAAProject/issues/145", "show")</f>
        <v>show</v>
      </c>
      <c r="G11103" t="str">
        <f>HYPERLINK("https://github.com/OTTAA-Project/OTTAAProject", "show")</f>
        <v>show</v>
      </c>
      <c r="H11103" t="str">
        <f>HYPERLINK("https://github.com/OTTAA-Project/OTTAAProject/releases", "show")</f>
        <v>show</v>
      </c>
      <c r="I11103">
        <v>0</v>
      </c>
      <c r="J11103">
        <v>0</v>
      </c>
      <c r="K11103">
        <v>1</v>
      </c>
      <c r="L11103">
        <v>0</v>
      </c>
      <c r="M11103" t="s">
        <v>122</v>
      </c>
    </row>
    <row r="11104" spans="1:13" hidden="1" x14ac:dyDescent="0.15">
      <c r="A11104" t="s">
        <v>35050</v>
      </c>
      <c r="B11104" t="s">
        <v>35051</v>
      </c>
      <c r="C11104" t="s">
        <v>35052</v>
      </c>
      <c r="D11104" t="s">
        <v>35031</v>
      </c>
      <c r="E11104">
        <v>0</v>
      </c>
      <c r="F11104" t="str">
        <f>HYPERLINK("https://github.com/nextcloud/android/issues/10864", "show")</f>
        <v>show</v>
      </c>
      <c r="G11104" t="str">
        <f>HYPERLINK("https://github.com/nextcloud/android", "show")</f>
        <v>show</v>
      </c>
      <c r="H11104" t="str">
        <f>HYPERLINK("https://github.com/nextcloud/android/releases", "show")</f>
        <v>show</v>
      </c>
      <c r="I11104">
        <v>1</v>
      </c>
      <c r="J11104">
        <v>0</v>
      </c>
      <c r="K11104">
        <v>1</v>
      </c>
      <c r="L11104">
        <v>0</v>
      </c>
      <c r="M11104" t="s">
        <v>64</v>
      </c>
    </row>
    <row r="11105" spans="1:13" hidden="1" x14ac:dyDescent="0.15">
      <c r="A11105" t="s">
        <v>35053</v>
      </c>
      <c r="B11105" t="s">
        <v>752</v>
      </c>
      <c r="C11105" t="s">
        <v>35054</v>
      </c>
      <c r="D11105" t="s">
        <v>35031</v>
      </c>
      <c r="E11105">
        <v>0</v>
      </c>
      <c r="F11105" t="str">
        <f>HYPERLINK("https://github.com/Anuken/Mindustry/issues/7743", "show")</f>
        <v>show</v>
      </c>
      <c r="G11105" t="str">
        <f>HYPERLINK("https://github.com/Anuken/Mindustry", "show")</f>
        <v>show</v>
      </c>
      <c r="H11105" t="str">
        <f>HYPERLINK("https://github.com/Anuken/Mindustry/releases", "show")</f>
        <v>show</v>
      </c>
      <c r="I11105">
        <v>0</v>
      </c>
      <c r="J11105">
        <v>0</v>
      </c>
      <c r="K11105">
        <v>1</v>
      </c>
      <c r="L11105">
        <v>0</v>
      </c>
      <c r="M11105" t="s">
        <v>122</v>
      </c>
    </row>
    <row r="11106" spans="1:13" hidden="1" x14ac:dyDescent="0.15">
      <c r="A11106" t="s">
        <v>35055</v>
      </c>
      <c r="B11106" t="s">
        <v>35056</v>
      </c>
      <c r="C11106" t="s">
        <v>35057</v>
      </c>
      <c r="D11106" t="s">
        <v>35031</v>
      </c>
      <c r="E11106">
        <v>47</v>
      </c>
      <c r="F11106" t="str">
        <f>HYPERLINK("https://github.com/nextcloud/android/issues/10863", "show")</f>
        <v>show</v>
      </c>
      <c r="G11106" t="str">
        <f>HYPERLINK("https://github.com/nextcloud/android", "show")</f>
        <v>show</v>
      </c>
      <c r="H11106" t="str">
        <f>HYPERLINK("https://github.com/nextcloud/android/releases", "show")</f>
        <v>show</v>
      </c>
      <c r="I11106">
        <v>1</v>
      </c>
      <c r="J11106">
        <v>0</v>
      </c>
      <c r="K11106">
        <v>1</v>
      </c>
      <c r="L11106">
        <v>0</v>
      </c>
      <c r="M11106" t="s">
        <v>64</v>
      </c>
    </row>
    <row r="11107" spans="1:13" hidden="1" x14ac:dyDescent="0.15">
      <c r="A11107" t="s">
        <v>35058</v>
      </c>
      <c r="B11107" t="s">
        <v>35059</v>
      </c>
      <c r="C11107" t="s">
        <v>35060</v>
      </c>
      <c r="D11107" t="s">
        <v>35031</v>
      </c>
      <c r="E11107">
        <v>0</v>
      </c>
      <c r="F11107" t="str">
        <f>HYPERLINK("https://github.com/nextcloud/android/issues/10856", "show")</f>
        <v>show</v>
      </c>
      <c r="G11107" t="str">
        <f>HYPERLINK("https://github.com/nextcloud/android", "show")</f>
        <v>show</v>
      </c>
      <c r="H11107" t="str">
        <f>HYPERLINK("https://github.com/nextcloud/android/releases", "show")</f>
        <v>show</v>
      </c>
      <c r="I11107">
        <v>1</v>
      </c>
      <c r="J11107">
        <v>1</v>
      </c>
      <c r="K11107">
        <v>0</v>
      </c>
      <c r="L11107">
        <v>0</v>
      </c>
      <c r="M11107" t="s">
        <v>48</v>
      </c>
    </row>
    <row r="11108" spans="1:13" hidden="1" x14ac:dyDescent="0.15">
      <c r="A11108" t="s">
        <v>35061</v>
      </c>
      <c r="B11108" t="s">
        <v>35062</v>
      </c>
      <c r="C11108" t="s">
        <v>35063</v>
      </c>
      <c r="D11108" t="s">
        <v>35031</v>
      </c>
      <c r="E11108">
        <v>0</v>
      </c>
      <c r="F11108" t="str">
        <f>HYPERLINK("https://github.com/nextcloud/android/issues/10852", "show")</f>
        <v>show</v>
      </c>
      <c r="G11108" t="str">
        <f>HYPERLINK("https://github.com/nextcloud/android", "show")</f>
        <v>show</v>
      </c>
      <c r="H11108" t="str">
        <f>HYPERLINK("https://github.com/nextcloud/android/releases", "show")</f>
        <v>show</v>
      </c>
      <c r="I11108">
        <v>1</v>
      </c>
      <c r="J11108">
        <v>1</v>
      </c>
      <c r="K11108">
        <v>1</v>
      </c>
      <c r="L11108">
        <v>0</v>
      </c>
      <c r="M11108" t="s">
        <v>59</v>
      </c>
    </row>
    <row r="11109" spans="1:13" hidden="1" x14ac:dyDescent="0.15">
      <c r="A11109" t="s">
        <v>35064</v>
      </c>
      <c r="B11109" t="s">
        <v>35065</v>
      </c>
      <c r="C11109" t="s">
        <v>35066</v>
      </c>
      <c r="D11109" t="s">
        <v>35031</v>
      </c>
      <c r="E11109">
        <v>75</v>
      </c>
      <c r="F11109" t="str">
        <f>HYPERLINK("https://github.com/zoho/SalesIQ-Mobilisten-ReactNative/issues/56", "show")</f>
        <v>show</v>
      </c>
      <c r="G11109" t="str">
        <f>HYPERLINK("https://github.com/zoho/SalesIQ-Mobilisten-ReactNative", "show")</f>
        <v>show</v>
      </c>
      <c r="H11109" t="str">
        <f>HYPERLINK("https://github.com/zoho/SalesIQ-Mobilisten-ReactNative/releases", "show")</f>
        <v>show</v>
      </c>
      <c r="I11109">
        <v>0</v>
      </c>
      <c r="J11109">
        <v>0</v>
      </c>
      <c r="K11109">
        <v>0</v>
      </c>
      <c r="L11109">
        <v>0</v>
      </c>
      <c r="M11109" t="s">
        <v>43</v>
      </c>
    </row>
    <row r="11110" spans="1:13" hidden="1" x14ac:dyDescent="0.15">
      <c r="A11110" t="s">
        <v>35067</v>
      </c>
      <c r="B11110" t="s">
        <v>35068</v>
      </c>
      <c r="C11110" t="s">
        <v>35069</v>
      </c>
      <c r="D11110" t="s">
        <v>35031</v>
      </c>
      <c r="E11110">
        <v>75</v>
      </c>
      <c r="F11110" t="str">
        <f>HYPERLINK("https://github.com/zoho/SalesIQ-Mobilisten-ReactNative/issues/55", "show")</f>
        <v>show</v>
      </c>
      <c r="G11110" t="str">
        <f>HYPERLINK("https://github.com/zoho/SalesIQ-Mobilisten-ReactNative", "show")</f>
        <v>show</v>
      </c>
      <c r="H11110" t="str">
        <f>HYPERLINK("https://github.com/zoho/SalesIQ-Mobilisten-ReactNative/releases", "show")</f>
        <v>show</v>
      </c>
      <c r="I11110">
        <v>0</v>
      </c>
      <c r="J11110">
        <v>0</v>
      </c>
      <c r="K11110">
        <v>1</v>
      </c>
      <c r="L11110">
        <v>0</v>
      </c>
      <c r="M11110" t="s">
        <v>122</v>
      </c>
    </row>
    <row r="11111" spans="1:13" hidden="1" x14ac:dyDescent="0.15">
      <c r="A11111" t="s">
        <v>35070</v>
      </c>
      <c r="B11111" t="s">
        <v>35071</v>
      </c>
      <c r="C11111" t="s">
        <v>35072</v>
      </c>
      <c r="D11111" t="s">
        <v>35073</v>
      </c>
      <c r="E11111">
        <v>1</v>
      </c>
      <c r="F11111" t="str">
        <f>HYPERLINK("https://github.com/LSPosed/LSPosed/issues/2186", "show")</f>
        <v>show</v>
      </c>
      <c r="G11111" t="str">
        <f>HYPERLINK("https://github.com/LSPosed/LSPosed", "show")</f>
        <v>show</v>
      </c>
      <c r="H11111" t="str">
        <f>HYPERLINK("https://github.com/LSPosed/LSPosed/releases", "show")</f>
        <v>show</v>
      </c>
      <c r="I11111">
        <v>1</v>
      </c>
      <c r="J11111">
        <v>0</v>
      </c>
      <c r="K11111">
        <v>0</v>
      </c>
      <c r="L11111">
        <v>0</v>
      </c>
      <c r="M11111" t="s">
        <v>17</v>
      </c>
    </row>
    <row r="11112" spans="1:13" hidden="1" x14ac:dyDescent="0.15">
      <c r="A11112" t="s">
        <v>35074</v>
      </c>
      <c r="B11112" t="s">
        <v>35075</v>
      </c>
      <c r="C11112" t="s">
        <v>35076</v>
      </c>
      <c r="D11112" t="s">
        <v>35073</v>
      </c>
      <c r="E11112">
        <v>1</v>
      </c>
      <c r="F11112" t="str">
        <f>HYPERLINK("https://github.com/nextcloud/android/issues/10838", "show")</f>
        <v>show</v>
      </c>
      <c r="G11112" t="str">
        <f>HYPERLINK("https://github.com/nextcloud/android", "show")</f>
        <v>show</v>
      </c>
      <c r="H11112" t="str">
        <f>HYPERLINK("https://github.com/nextcloud/android/releases", "show")</f>
        <v>show</v>
      </c>
      <c r="I11112">
        <v>1</v>
      </c>
      <c r="J11112">
        <v>1</v>
      </c>
      <c r="K11112">
        <v>1</v>
      </c>
      <c r="L11112">
        <v>0</v>
      </c>
      <c r="M11112" t="s">
        <v>59</v>
      </c>
    </row>
    <row r="11113" spans="1:13" hidden="1" x14ac:dyDescent="0.15">
      <c r="A11113" t="s">
        <v>35077</v>
      </c>
      <c r="B11113" t="s">
        <v>35078</v>
      </c>
      <c r="C11113" t="s">
        <v>35079</v>
      </c>
      <c r="D11113" t="s">
        <v>35073</v>
      </c>
      <c r="E11113">
        <v>1</v>
      </c>
      <c r="F11113" t="str">
        <f>HYPERLINK("https://github.com/nextcloud/android/issues/10830", "show")</f>
        <v>show</v>
      </c>
      <c r="G11113" t="str">
        <f>HYPERLINK("https://github.com/nextcloud/android", "show")</f>
        <v>show</v>
      </c>
      <c r="H11113" t="str">
        <f>HYPERLINK("https://github.com/nextcloud/android/releases", "show")</f>
        <v>show</v>
      </c>
      <c r="I11113">
        <v>0</v>
      </c>
      <c r="J11113">
        <v>0</v>
      </c>
      <c r="K11113">
        <v>1</v>
      </c>
      <c r="L11113">
        <v>0</v>
      </c>
      <c r="M11113" t="s">
        <v>122</v>
      </c>
    </row>
    <row r="11114" spans="1:13" hidden="1" x14ac:dyDescent="0.15">
      <c r="A11114" t="s">
        <v>35080</v>
      </c>
      <c r="B11114" t="s">
        <v>35081</v>
      </c>
      <c r="C11114" t="s">
        <v>35082</v>
      </c>
      <c r="D11114" t="s">
        <v>35073</v>
      </c>
      <c r="E11114">
        <v>1</v>
      </c>
      <c r="F11114" t="str">
        <f>HYPERLINK("https://github.com/PojavLauncherTeam/PojavLauncher/issues/3610", "show")</f>
        <v>show</v>
      </c>
      <c r="G11114" t="str">
        <f>HYPERLINK("https://github.com/PojavLauncherTeam/PojavLauncher", "show")</f>
        <v>show</v>
      </c>
      <c r="H11114" t="str">
        <f>HYPERLINK("https://github.com/PojavLauncherTeam/PojavLauncher/releases", "show")</f>
        <v>show</v>
      </c>
      <c r="I11114">
        <v>1</v>
      </c>
      <c r="J11114">
        <v>1</v>
      </c>
      <c r="K11114">
        <v>0</v>
      </c>
      <c r="L11114">
        <v>0</v>
      </c>
      <c r="M11114" t="s">
        <v>48</v>
      </c>
    </row>
    <row r="11115" spans="1:13" hidden="1" x14ac:dyDescent="0.15">
      <c r="A11115" t="s">
        <v>35083</v>
      </c>
      <c r="B11115" t="s">
        <v>35084</v>
      </c>
      <c r="C11115" t="s">
        <v>35085</v>
      </c>
      <c r="D11115" t="s">
        <v>35073</v>
      </c>
      <c r="E11115">
        <v>4</v>
      </c>
      <c r="F11115" t="str">
        <f>HYPERLINK("https://github.com/AndroidIDEOfficial/AndroidIDE/issues/542", "show")</f>
        <v>show</v>
      </c>
      <c r="G11115" t="str">
        <f>HYPERLINK("https://github.com/AndroidIDEOfficial/AndroidIDE", "show")</f>
        <v>show</v>
      </c>
      <c r="H11115" t="str">
        <f>HYPERLINK("https://github.com/AndroidIDEOfficial/AndroidIDE/releases", "show")</f>
        <v>show</v>
      </c>
      <c r="I11115">
        <v>1</v>
      </c>
      <c r="J11115">
        <v>0</v>
      </c>
      <c r="K11115">
        <v>1</v>
      </c>
      <c r="L11115">
        <v>1</v>
      </c>
      <c r="M11115" t="s">
        <v>1259</v>
      </c>
    </row>
    <row r="11116" spans="1:13" hidden="1" x14ac:dyDescent="0.15">
      <c r="A11116" t="s">
        <v>35086</v>
      </c>
      <c r="B11116" t="s">
        <v>35087</v>
      </c>
      <c r="C11116" t="s">
        <v>35088</v>
      </c>
      <c r="D11116" t="s">
        <v>35073</v>
      </c>
      <c r="E11116">
        <v>6</v>
      </c>
      <c r="F11116" t="str">
        <f>HYPERLINK("https://github.com/AndroidIDEOfficial/AndroidIDE/issues/541", "show")</f>
        <v>show</v>
      </c>
      <c r="G11116" t="str">
        <f>HYPERLINK("https://github.com/AndroidIDEOfficial/AndroidIDE", "show")</f>
        <v>show</v>
      </c>
      <c r="H11116" t="str">
        <f>HYPERLINK("https://github.com/AndroidIDEOfficial/AndroidIDE/releases", "show")</f>
        <v>show</v>
      </c>
      <c r="I11116">
        <v>0</v>
      </c>
      <c r="J11116">
        <v>0</v>
      </c>
      <c r="K11116">
        <v>1</v>
      </c>
      <c r="L11116">
        <v>0</v>
      </c>
      <c r="M11116" t="s">
        <v>122</v>
      </c>
    </row>
    <row r="11117" spans="1:13" hidden="1" x14ac:dyDescent="0.15">
      <c r="A11117" t="s">
        <v>35089</v>
      </c>
      <c r="B11117" t="s">
        <v>35090</v>
      </c>
      <c r="C11117" t="s">
        <v>35091</v>
      </c>
      <c r="D11117" t="s">
        <v>35073</v>
      </c>
      <c r="E11117">
        <v>1</v>
      </c>
      <c r="F11117" t="str">
        <f>HYPERLINK("https://github.com/nextcloud/android/issues/10825", "show")</f>
        <v>show</v>
      </c>
      <c r="G11117" t="str">
        <f>HYPERLINK("https://github.com/nextcloud/android", "show")</f>
        <v>show</v>
      </c>
      <c r="H11117" t="str">
        <f>HYPERLINK("https://github.com/nextcloud/android/releases", "show")</f>
        <v>show</v>
      </c>
      <c r="I11117">
        <v>1</v>
      </c>
      <c r="J11117">
        <v>1</v>
      </c>
      <c r="K11117">
        <v>1</v>
      </c>
      <c r="L11117">
        <v>0</v>
      </c>
      <c r="M11117" t="s">
        <v>59</v>
      </c>
    </row>
    <row r="11118" spans="1:13" hidden="1" x14ac:dyDescent="0.15">
      <c r="A11118" t="s">
        <v>35092</v>
      </c>
      <c r="B11118" t="s">
        <v>35093</v>
      </c>
      <c r="C11118" t="s">
        <v>35094</v>
      </c>
      <c r="D11118" t="s">
        <v>35095</v>
      </c>
      <c r="E11118">
        <v>7</v>
      </c>
      <c r="F11118" t="str">
        <f>HYPERLINK("https://github.com/AndroidIDEOfficial/AndroidIDE/issues/540", "show")</f>
        <v>show</v>
      </c>
      <c r="G11118" t="str">
        <f>HYPERLINK("https://github.com/AndroidIDEOfficial/AndroidIDE", "show")</f>
        <v>show</v>
      </c>
      <c r="H11118" t="str">
        <f>HYPERLINK("https://github.com/AndroidIDEOfficial/AndroidIDE/releases", "show")</f>
        <v>show</v>
      </c>
      <c r="I11118">
        <v>1</v>
      </c>
      <c r="J11118">
        <v>0</v>
      </c>
      <c r="K11118">
        <v>1</v>
      </c>
      <c r="L11118">
        <v>0</v>
      </c>
      <c r="M11118" t="s">
        <v>64</v>
      </c>
    </row>
    <row r="11119" spans="1:13" hidden="1" x14ac:dyDescent="0.15">
      <c r="A11119" t="s">
        <v>35096</v>
      </c>
      <c r="B11119" t="s">
        <v>35097</v>
      </c>
      <c r="C11119" t="s">
        <v>35098</v>
      </c>
      <c r="D11119" t="s">
        <v>35095</v>
      </c>
      <c r="E11119">
        <v>0</v>
      </c>
      <c r="F11119" t="str">
        <f>HYPERLINK("https://github.com/MuntashirAkon/CaptivePortalController/issues/1", "show")</f>
        <v>show</v>
      </c>
      <c r="G11119" t="str">
        <f>HYPERLINK("https://github.com/MuntashirAkon/CaptivePortalController", "show")</f>
        <v>show</v>
      </c>
      <c r="H11119" t="str">
        <f>HYPERLINK("https://github.com/MuntashirAkon/CaptivePortalController/releases", "show")</f>
        <v>show</v>
      </c>
      <c r="I11119">
        <v>1</v>
      </c>
      <c r="J11119">
        <v>0</v>
      </c>
      <c r="K11119">
        <v>0</v>
      </c>
      <c r="L11119">
        <v>0</v>
      </c>
      <c r="M11119" t="s">
        <v>17</v>
      </c>
    </row>
    <row r="11120" spans="1:13" hidden="1" x14ac:dyDescent="0.15">
      <c r="A11120" t="s">
        <v>35099</v>
      </c>
      <c r="B11120" t="s">
        <v>35100</v>
      </c>
      <c r="C11120" t="s">
        <v>35101</v>
      </c>
      <c r="D11120" t="s">
        <v>35095</v>
      </c>
      <c r="E11120">
        <v>264</v>
      </c>
      <c r="F11120" t="str">
        <f>HYPERLINK("https://github.com/jellyfin/jellyfin-androidtv/issues/2188", "show")</f>
        <v>show</v>
      </c>
      <c r="G11120" t="str">
        <f>HYPERLINK("https://github.com/jellyfin/jellyfin-androidtv", "show")</f>
        <v>show</v>
      </c>
      <c r="H11120" t="str">
        <f>HYPERLINK("https://github.com/jellyfin/jellyfin-androidtv/releases", "show")</f>
        <v>show</v>
      </c>
      <c r="I11120">
        <v>1</v>
      </c>
      <c r="J11120">
        <v>0</v>
      </c>
      <c r="K11120">
        <v>1</v>
      </c>
      <c r="L11120">
        <v>0</v>
      </c>
      <c r="M11120" t="s">
        <v>64</v>
      </c>
    </row>
    <row r="11121" spans="1:13" hidden="1" x14ac:dyDescent="0.15">
      <c r="A11121" t="s">
        <v>35102</v>
      </c>
      <c r="B11121" t="s">
        <v>35103</v>
      </c>
      <c r="C11121" t="s">
        <v>35104</v>
      </c>
      <c r="D11121" t="s">
        <v>35095</v>
      </c>
      <c r="E11121">
        <v>29</v>
      </c>
      <c r="F11121" t="str">
        <f>HYPERLINK("https://github.com/material-components/material-components-android/issues/3032", "show")</f>
        <v>show</v>
      </c>
      <c r="G11121" t="str">
        <f>HYPERLINK("https://github.com/material-components/material-components-android", "show")</f>
        <v>show</v>
      </c>
      <c r="H11121" t="str">
        <f>HYPERLINK("https://github.com/material-components/material-components-android/releases", "show")</f>
        <v>show</v>
      </c>
      <c r="I11121">
        <v>1</v>
      </c>
      <c r="J11121">
        <v>0</v>
      </c>
      <c r="K11121">
        <v>1</v>
      </c>
      <c r="L11121">
        <v>0</v>
      </c>
      <c r="M11121" t="s">
        <v>64</v>
      </c>
    </row>
    <row r="11122" spans="1:13" hidden="1" x14ac:dyDescent="0.15">
      <c r="A11122" t="s">
        <v>35105</v>
      </c>
      <c r="B11122" t="s">
        <v>35106</v>
      </c>
      <c r="C11122" t="s">
        <v>35107</v>
      </c>
      <c r="D11122" t="s">
        <v>35095</v>
      </c>
      <c r="E11122">
        <v>39</v>
      </c>
      <c r="F11122" t="str">
        <f>HYPERLINK("https://github.com/AndroidIDEOfficial/AndroidIDE/issues/537", "show")</f>
        <v>show</v>
      </c>
      <c r="G11122" t="str">
        <f>HYPERLINK("https://github.com/AndroidIDEOfficial/AndroidIDE", "show")</f>
        <v>show</v>
      </c>
      <c r="H11122" t="str">
        <f>HYPERLINK("https://github.com/AndroidIDEOfficial/AndroidIDE/releases", "show")</f>
        <v>show</v>
      </c>
      <c r="I11122">
        <v>1</v>
      </c>
      <c r="J11122">
        <v>0</v>
      </c>
      <c r="K11122">
        <v>1</v>
      </c>
      <c r="L11122">
        <v>0</v>
      </c>
      <c r="M11122" t="s">
        <v>64</v>
      </c>
    </row>
    <row r="11123" spans="1:13" hidden="1" x14ac:dyDescent="0.15">
      <c r="A11123" t="s">
        <v>35108</v>
      </c>
      <c r="B11123" t="s">
        <v>35109</v>
      </c>
      <c r="C11123" t="s">
        <v>35110</v>
      </c>
      <c r="D11123" t="s">
        <v>35095</v>
      </c>
      <c r="E11123">
        <v>0</v>
      </c>
      <c r="F11123" t="str">
        <f>HYPERLINK("https://github.com/jellyfin/jellyfin-androidtv/issues/2187", "show")</f>
        <v>show</v>
      </c>
      <c r="G11123" t="str">
        <f>HYPERLINK("https://github.com/jellyfin/jellyfin-androidtv", "show")</f>
        <v>show</v>
      </c>
      <c r="H11123" t="str">
        <f>HYPERLINK("https://github.com/jellyfin/jellyfin-androidtv/releases", "show")</f>
        <v>show</v>
      </c>
      <c r="I11123">
        <v>1</v>
      </c>
      <c r="J11123">
        <v>0</v>
      </c>
      <c r="K11123">
        <v>1</v>
      </c>
      <c r="L11123">
        <v>0</v>
      </c>
      <c r="M11123" t="s">
        <v>64</v>
      </c>
    </row>
    <row r="11124" spans="1:13" hidden="1" x14ac:dyDescent="0.15">
      <c r="A11124" t="s">
        <v>35111</v>
      </c>
      <c r="B11124" t="s">
        <v>35112</v>
      </c>
      <c r="C11124" t="s">
        <v>35113</v>
      </c>
      <c r="D11124" t="s">
        <v>35114</v>
      </c>
      <c r="E11124">
        <v>0</v>
      </c>
      <c r="F11124" t="str">
        <f>HYPERLINK("https://github.com/LenociFabrizio/SviluppoMobileSoftware/issues/31", "show")</f>
        <v>show</v>
      </c>
      <c r="G11124" t="str">
        <f>HYPERLINK("https://github.com/LenociFabrizio/SviluppoMobileSoftware", "show")</f>
        <v>show</v>
      </c>
      <c r="H11124" t="str">
        <f>HYPERLINK("https://github.com/LenociFabrizio/SviluppoMobileSoftware/releases", "show")</f>
        <v>show</v>
      </c>
      <c r="I11124">
        <v>0</v>
      </c>
      <c r="J11124">
        <v>0</v>
      </c>
      <c r="K11124">
        <v>0</v>
      </c>
      <c r="L11124">
        <v>0</v>
      </c>
      <c r="M11124" t="s">
        <v>43</v>
      </c>
    </row>
    <row r="11125" spans="1:13" hidden="1" x14ac:dyDescent="0.15">
      <c r="A11125" t="s">
        <v>35115</v>
      </c>
      <c r="B11125" t="s">
        <v>35116</v>
      </c>
      <c r="C11125" t="s">
        <v>35117</v>
      </c>
      <c r="D11125" t="s">
        <v>35114</v>
      </c>
      <c r="E11125">
        <v>2</v>
      </c>
      <c r="F11125" t="str">
        <f>HYPERLINK("https://github.com/MuntashirAkon/AppManager/issues/894", "show")</f>
        <v>show</v>
      </c>
      <c r="G11125" t="str">
        <f>HYPERLINK("https://github.com/MuntashirAkon/AppManager", "show")</f>
        <v>show</v>
      </c>
      <c r="H11125" t="str">
        <f>HYPERLINK("https://github.com/MuntashirAkon/AppManager/releases", "show")</f>
        <v>show</v>
      </c>
      <c r="I11125">
        <v>1</v>
      </c>
      <c r="J11125">
        <v>0</v>
      </c>
      <c r="K11125">
        <v>0</v>
      </c>
      <c r="L11125">
        <v>0</v>
      </c>
      <c r="M11125" t="s">
        <v>17</v>
      </c>
    </row>
    <row r="11126" spans="1:13" hidden="1" x14ac:dyDescent="0.15">
      <c r="A11126" t="s">
        <v>35118</v>
      </c>
      <c r="B11126" t="s">
        <v>35119</v>
      </c>
      <c r="C11126" t="s">
        <v>35120</v>
      </c>
      <c r="D11126" t="s">
        <v>35114</v>
      </c>
      <c r="E11126">
        <v>9</v>
      </c>
      <c r="F11126" t="str">
        <f>HYPERLINK("https://github.com/TeamNewPipe/NewPipe/issues/9143", "show")</f>
        <v>show</v>
      </c>
      <c r="G11126" t="str">
        <f>HYPERLINK("https://github.com/TeamNewPipe/NewPipe", "show")</f>
        <v>show</v>
      </c>
      <c r="H11126" t="str">
        <f>HYPERLINK("https://github.com/TeamNewPipe/NewPipe/releases", "show")</f>
        <v>show</v>
      </c>
      <c r="I11126">
        <v>1</v>
      </c>
      <c r="J11126">
        <v>1</v>
      </c>
      <c r="K11126">
        <v>0</v>
      </c>
      <c r="L11126">
        <v>0</v>
      </c>
      <c r="M11126" t="s">
        <v>48</v>
      </c>
    </row>
    <row r="11127" spans="1:13" hidden="1" x14ac:dyDescent="0.15">
      <c r="A11127" t="s">
        <v>35121</v>
      </c>
      <c r="B11127" t="s">
        <v>35122</v>
      </c>
      <c r="C11127" t="s">
        <v>35123</v>
      </c>
      <c r="D11127" t="s">
        <v>35114</v>
      </c>
      <c r="E11127">
        <v>7</v>
      </c>
      <c r="F11127" t="str">
        <f>HYPERLINK("https://github.com/NordicSemiconductor/Android-nRF-Mesh-Library/issues/540", "show")</f>
        <v>show</v>
      </c>
      <c r="G11127" t="str">
        <f>HYPERLINK("https://github.com/NordicSemiconductor/Android-nRF-Mesh-Library", "show")</f>
        <v>show</v>
      </c>
      <c r="H11127" t="str">
        <f>HYPERLINK("https://github.com/NordicSemiconductor/Android-nRF-Mesh-Library/releases", "show")</f>
        <v>show</v>
      </c>
      <c r="I11127">
        <v>1</v>
      </c>
      <c r="J11127">
        <v>0</v>
      </c>
      <c r="K11127">
        <v>1</v>
      </c>
      <c r="L11127">
        <v>0</v>
      </c>
      <c r="M11127" t="s">
        <v>64</v>
      </c>
    </row>
    <row r="11128" spans="1:13" hidden="1" x14ac:dyDescent="0.15">
      <c r="A11128" t="s">
        <v>35124</v>
      </c>
      <c r="B11128" t="s">
        <v>35125</v>
      </c>
      <c r="C11128" t="s">
        <v>35126</v>
      </c>
      <c r="D11128" t="s">
        <v>35114</v>
      </c>
      <c r="E11128">
        <v>0</v>
      </c>
      <c r="F11128" t="str">
        <f>HYPERLINK("https://github.com/OTTAA-Project/OTTAAProject/issues/139", "show")</f>
        <v>show</v>
      </c>
      <c r="G11128" t="str">
        <f>HYPERLINK("https://github.com/OTTAA-Project/OTTAAProject", "show")</f>
        <v>show</v>
      </c>
      <c r="H11128" t="str">
        <f>HYPERLINK("https://github.com/OTTAA-Project/OTTAAProject/releases", "show")</f>
        <v>show</v>
      </c>
      <c r="I11128">
        <v>0</v>
      </c>
      <c r="J11128">
        <v>0</v>
      </c>
      <c r="K11128">
        <v>1</v>
      </c>
      <c r="L11128">
        <v>0</v>
      </c>
      <c r="M11128" t="s">
        <v>122</v>
      </c>
    </row>
    <row r="11129" spans="1:13" hidden="1" x14ac:dyDescent="0.15">
      <c r="A11129" t="s">
        <v>35127</v>
      </c>
      <c r="B11129" t="s">
        <v>35128</v>
      </c>
      <c r="C11129" t="s">
        <v>35129</v>
      </c>
      <c r="D11129" t="s">
        <v>35114</v>
      </c>
      <c r="E11129">
        <v>0</v>
      </c>
      <c r="F11129" t="str">
        <f>HYPERLINK("https://github.com/nextcloud/android/issues/10808", "show")</f>
        <v>show</v>
      </c>
      <c r="G11129" t="str">
        <f>HYPERLINK("https://github.com/nextcloud/android", "show")</f>
        <v>show</v>
      </c>
      <c r="H11129" t="str">
        <f>HYPERLINK("https://github.com/nextcloud/android/releases", "show")</f>
        <v>show</v>
      </c>
      <c r="I11129">
        <v>1</v>
      </c>
      <c r="J11129">
        <v>1</v>
      </c>
      <c r="K11129">
        <v>1</v>
      </c>
      <c r="L11129">
        <v>0</v>
      </c>
      <c r="M11129" t="s">
        <v>59</v>
      </c>
    </row>
    <row r="11130" spans="1:13" hidden="1" x14ac:dyDescent="0.15">
      <c r="A11130" t="s">
        <v>35130</v>
      </c>
      <c r="B11130" t="s">
        <v>35131</v>
      </c>
      <c r="C11130" t="s">
        <v>35132</v>
      </c>
      <c r="D11130" t="s">
        <v>35114</v>
      </c>
      <c r="E11130">
        <v>37</v>
      </c>
      <c r="F11130" t="str">
        <f>HYPERLINK("https://github.com/nextcloud/android/issues/10807", "show")</f>
        <v>show</v>
      </c>
      <c r="G11130" t="str">
        <f>HYPERLINK("https://github.com/nextcloud/android", "show")</f>
        <v>show</v>
      </c>
      <c r="H11130" t="str">
        <f>HYPERLINK("https://github.com/nextcloud/android/releases", "show")</f>
        <v>show</v>
      </c>
      <c r="I11130">
        <v>0</v>
      </c>
      <c r="J11130">
        <v>0</v>
      </c>
      <c r="K11130">
        <v>0</v>
      </c>
      <c r="L11130">
        <v>0</v>
      </c>
      <c r="M11130" t="s">
        <v>43</v>
      </c>
    </row>
    <row r="11131" spans="1:13" hidden="1" x14ac:dyDescent="0.15">
      <c r="A11131" t="s">
        <v>35133</v>
      </c>
      <c r="B11131" t="s">
        <v>35134</v>
      </c>
      <c r="C11131" t="s">
        <v>35135</v>
      </c>
      <c r="D11131" t="s">
        <v>35136</v>
      </c>
      <c r="E11131">
        <v>0</v>
      </c>
      <c r="F11131" t="str">
        <f>HYPERLINK("https://github.com/nextcloud/android/issues/10804", "show")</f>
        <v>show</v>
      </c>
      <c r="G11131" t="str">
        <f>HYPERLINK("https://github.com/nextcloud/android", "show")</f>
        <v>show</v>
      </c>
      <c r="H11131" t="str">
        <f>HYPERLINK("https://github.com/nextcloud/android/releases", "show")</f>
        <v>show</v>
      </c>
      <c r="I11131">
        <v>1</v>
      </c>
      <c r="J11131">
        <v>1</v>
      </c>
      <c r="K11131">
        <v>1</v>
      </c>
      <c r="L11131">
        <v>0</v>
      </c>
      <c r="M11131" t="s">
        <v>59</v>
      </c>
    </row>
    <row r="11132" spans="1:13" hidden="1" x14ac:dyDescent="0.15">
      <c r="A11132" t="s">
        <v>35137</v>
      </c>
      <c r="B11132" t="s">
        <v>35138</v>
      </c>
      <c r="C11132" t="s">
        <v>35139</v>
      </c>
      <c r="D11132" t="s">
        <v>35140</v>
      </c>
      <c r="E11132">
        <v>1</v>
      </c>
      <c r="F11132" t="str">
        <f>HYPERLINK("https://github.com/jellyfin/jellyfin-androidtv/issues/2182", "show")</f>
        <v>show</v>
      </c>
      <c r="G11132" t="str">
        <f>HYPERLINK("https://github.com/jellyfin/jellyfin-androidtv", "show")</f>
        <v>show</v>
      </c>
      <c r="H11132" t="str">
        <f>HYPERLINK("https://github.com/jellyfin/jellyfin-androidtv/releases", "show")</f>
        <v>show</v>
      </c>
      <c r="I11132">
        <v>0</v>
      </c>
      <c r="J11132">
        <v>1</v>
      </c>
      <c r="K11132">
        <v>1</v>
      </c>
      <c r="L11132">
        <v>0</v>
      </c>
      <c r="M11132" t="s">
        <v>699</v>
      </c>
    </row>
    <row r="11133" spans="1:13" hidden="1" x14ac:dyDescent="0.15">
      <c r="A11133" t="s">
        <v>35141</v>
      </c>
      <c r="B11133" t="s">
        <v>35142</v>
      </c>
      <c r="C11133" t="s">
        <v>35143</v>
      </c>
      <c r="D11133" t="s">
        <v>35140</v>
      </c>
      <c r="E11133">
        <v>0</v>
      </c>
      <c r="F11133" t="str">
        <f>HYPERLINK("https://github.com/Anuken/Mindustry/issues/7723", "show")</f>
        <v>show</v>
      </c>
      <c r="G11133" t="str">
        <f>HYPERLINK("https://github.com/Anuken/Mindustry", "show")</f>
        <v>show</v>
      </c>
      <c r="H11133" t="str">
        <f>HYPERLINK("https://github.com/Anuken/Mindustry/releases", "show")</f>
        <v>show</v>
      </c>
      <c r="I11133">
        <v>1</v>
      </c>
      <c r="J11133">
        <v>1</v>
      </c>
      <c r="K11133">
        <v>0</v>
      </c>
      <c r="L11133">
        <v>0</v>
      </c>
      <c r="M11133" t="s">
        <v>48</v>
      </c>
    </row>
    <row r="11134" spans="1:13" hidden="1" x14ac:dyDescent="0.15">
      <c r="A11134" t="s">
        <v>35144</v>
      </c>
      <c r="B11134" t="s">
        <v>35145</v>
      </c>
      <c r="C11134" t="s">
        <v>35146</v>
      </c>
      <c r="D11134" t="s">
        <v>35140</v>
      </c>
      <c r="E11134">
        <v>0</v>
      </c>
      <c r="F11134" t="str">
        <f>HYPERLINK("https://github.com/Anuken/Mindustry/issues/7722", "show")</f>
        <v>show</v>
      </c>
      <c r="G11134" t="str">
        <f>HYPERLINK("https://github.com/Anuken/Mindustry", "show")</f>
        <v>show</v>
      </c>
      <c r="H11134" t="str">
        <f>HYPERLINK("https://github.com/Anuken/Mindustry/releases", "show")</f>
        <v>show</v>
      </c>
      <c r="I11134">
        <v>0</v>
      </c>
      <c r="J11134">
        <v>0</v>
      </c>
      <c r="K11134">
        <v>0</v>
      </c>
      <c r="L11134">
        <v>1</v>
      </c>
      <c r="M11134" t="s">
        <v>581</v>
      </c>
    </row>
    <row r="11135" spans="1:13" hidden="1" x14ac:dyDescent="0.15">
      <c r="A11135" t="s">
        <v>35147</v>
      </c>
      <c r="B11135" t="s">
        <v>35148</v>
      </c>
      <c r="C11135" t="s">
        <v>35149</v>
      </c>
      <c r="D11135" t="s">
        <v>35140</v>
      </c>
      <c r="E11135">
        <v>322</v>
      </c>
      <c r="F11135" t="str">
        <f>HYPERLINK("https://github.com/TeamNewPipe/NewPipe/issues/9132", "show")</f>
        <v>show</v>
      </c>
      <c r="G11135" t="str">
        <f>HYPERLINK("https://github.com/TeamNewPipe/NewPipe", "show")</f>
        <v>show</v>
      </c>
      <c r="H11135" t="str">
        <f>HYPERLINK("https://github.com/TeamNewPipe/NewPipe/releases", "show")</f>
        <v>show</v>
      </c>
      <c r="I11135">
        <v>1</v>
      </c>
      <c r="J11135">
        <v>0</v>
      </c>
      <c r="K11135">
        <v>1</v>
      </c>
      <c r="L11135">
        <v>0</v>
      </c>
      <c r="M11135" t="s">
        <v>64</v>
      </c>
    </row>
    <row r="11136" spans="1:13" hidden="1" x14ac:dyDescent="0.15">
      <c r="A11136" t="s">
        <v>35150</v>
      </c>
      <c r="B11136" t="s">
        <v>35151</v>
      </c>
      <c r="C11136" t="s">
        <v>11701</v>
      </c>
      <c r="D11136" t="s">
        <v>35140</v>
      </c>
      <c r="E11136">
        <v>0</v>
      </c>
      <c r="F11136" t="str">
        <f>HYPERLINK("https://github.com/Anuken/Mindustry/issues/7720", "show")</f>
        <v>show</v>
      </c>
      <c r="G11136" t="str">
        <f>HYPERLINK("https://github.com/Anuken/Mindustry", "show")</f>
        <v>show</v>
      </c>
      <c r="H11136" t="str">
        <f>HYPERLINK("https://github.com/Anuken/Mindustry/releases", "show")</f>
        <v>show</v>
      </c>
      <c r="I11136">
        <v>1</v>
      </c>
      <c r="J11136">
        <v>1</v>
      </c>
      <c r="K11136">
        <v>0</v>
      </c>
      <c r="L11136">
        <v>0</v>
      </c>
      <c r="M11136" t="s">
        <v>48</v>
      </c>
    </row>
    <row r="11137" spans="1:13" hidden="1" x14ac:dyDescent="0.15">
      <c r="A11137" t="s">
        <v>35152</v>
      </c>
      <c r="B11137" t="s">
        <v>35153</v>
      </c>
      <c r="C11137" t="s">
        <v>35154</v>
      </c>
      <c r="D11137" t="s">
        <v>35140</v>
      </c>
      <c r="E11137">
        <v>0</v>
      </c>
      <c r="F11137" t="str">
        <f>HYPERLINK("https://github.com/AndroidIDEOfficial/AndroidIDE/issues/535", "show")</f>
        <v>show</v>
      </c>
      <c r="G11137" t="str">
        <f>HYPERLINK("https://github.com/AndroidIDEOfficial/AndroidIDE", "show")</f>
        <v>show</v>
      </c>
      <c r="H11137" t="str">
        <f>HYPERLINK("https://github.com/AndroidIDEOfficial/AndroidIDE/releases", "show")</f>
        <v>show</v>
      </c>
      <c r="I11137">
        <v>1</v>
      </c>
      <c r="J11137">
        <v>0</v>
      </c>
      <c r="K11137">
        <v>1</v>
      </c>
      <c r="L11137">
        <v>0</v>
      </c>
      <c r="M11137" t="s">
        <v>64</v>
      </c>
    </row>
    <row r="11138" spans="1:13" hidden="1" x14ac:dyDescent="0.15">
      <c r="A11138" t="s">
        <v>35155</v>
      </c>
      <c r="B11138" t="s">
        <v>35156</v>
      </c>
      <c r="C11138" t="s">
        <v>35157</v>
      </c>
      <c r="D11138" t="s">
        <v>35140</v>
      </c>
      <c r="E11138">
        <v>109</v>
      </c>
      <c r="F11138" t="str">
        <f>HYPERLINK("https://github.com/AndroidIDEOfficial/AndroidIDE/issues/534", "show")</f>
        <v>show</v>
      </c>
      <c r="G11138" t="str">
        <f>HYPERLINK("https://github.com/AndroidIDEOfficial/AndroidIDE", "show")</f>
        <v>show</v>
      </c>
      <c r="H11138" t="str">
        <f>HYPERLINK("https://github.com/AndroidIDEOfficial/AndroidIDE/releases", "show")</f>
        <v>show</v>
      </c>
      <c r="I11138">
        <v>0</v>
      </c>
      <c r="J11138">
        <v>0</v>
      </c>
      <c r="K11138">
        <v>1</v>
      </c>
      <c r="L11138">
        <v>0</v>
      </c>
      <c r="M11138" t="s">
        <v>122</v>
      </c>
    </row>
    <row r="11139" spans="1:13" hidden="1" x14ac:dyDescent="0.15">
      <c r="A11139" t="s">
        <v>35158</v>
      </c>
      <c r="B11139" t="s">
        <v>35159</v>
      </c>
      <c r="C11139" t="s">
        <v>35160</v>
      </c>
      <c r="D11139" t="s">
        <v>35161</v>
      </c>
      <c r="E11139">
        <v>1</v>
      </c>
      <c r="F11139" t="str">
        <f>HYPERLINK("https://github.com/COSC310-Team12/ToDoList/issues/4", "show")</f>
        <v>show</v>
      </c>
      <c r="G11139" t="str">
        <f>HYPERLINK("https://github.com/COSC310-Team12/ToDoList", "show")</f>
        <v>show</v>
      </c>
      <c r="H11139" t="str">
        <f>HYPERLINK("https://github.com/COSC310-Team12/ToDoList/releases", "show")</f>
        <v>show</v>
      </c>
      <c r="I11139">
        <v>1</v>
      </c>
      <c r="J11139">
        <v>0</v>
      </c>
      <c r="K11139">
        <v>1</v>
      </c>
      <c r="L11139">
        <v>1</v>
      </c>
      <c r="M11139" t="s">
        <v>1259</v>
      </c>
    </row>
    <row r="11140" spans="1:13" hidden="1" x14ac:dyDescent="0.15">
      <c r="A11140" t="s">
        <v>35162</v>
      </c>
      <c r="B11140" t="s">
        <v>35163</v>
      </c>
      <c r="C11140" t="s">
        <v>35164</v>
      </c>
      <c r="D11140" t="s">
        <v>35161</v>
      </c>
      <c r="E11140">
        <v>50</v>
      </c>
      <c r="F11140" t="str">
        <f>HYPERLINK("https://github.com/AndroidIDEOfficial/AndroidIDE/issues/532", "show")</f>
        <v>show</v>
      </c>
      <c r="G11140" t="str">
        <f>HYPERLINK("https://github.com/AndroidIDEOfficial/AndroidIDE", "show")</f>
        <v>show</v>
      </c>
      <c r="H11140" t="str">
        <f>HYPERLINK("https://github.com/AndroidIDEOfficial/AndroidIDE/releases", "show")</f>
        <v>show</v>
      </c>
      <c r="I11140">
        <v>0</v>
      </c>
      <c r="J11140">
        <v>0</v>
      </c>
      <c r="K11140">
        <v>1</v>
      </c>
      <c r="L11140">
        <v>1</v>
      </c>
      <c r="M11140" t="s">
        <v>351</v>
      </c>
    </row>
    <row r="11141" spans="1:13" hidden="1" x14ac:dyDescent="0.15">
      <c r="A11141" t="s">
        <v>35165</v>
      </c>
      <c r="B11141" t="s">
        <v>35166</v>
      </c>
      <c r="C11141" t="s">
        <v>35167</v>
      </c>
      <c r="D11141" t="s">
        <v>35161</v>
      </c>
      <c r="E11141">
        <v>0</v>
      </c>
      <c r="F11141" t="str">
        <f>HYPERLINK("https://github.com/Anuken/Mindustry/issues/7713", "show")</f>
        <v>show</v>
      </c>
      <c r="G11141" t="str">
        <f>HYPERLINK("https://github.com/Anuken/Mindustry", "show")</f>
        <v>show</v>
      </c>
      <c r="H11141" t="str">
        <f>HYPERLINK("https://github.com/Anuken/Mindustry/releases", "show")</f>
        <v>show</v>
      </c>
      <c r="I11141">
        <v>0</v>
      </c>
      <c r="J11141">
        <v>0</v>
      </c>
      <c r="K11141">
        <v>0</v>
      </c>
      <c r="L11141">
        <v>1</v>
      </c>
      <c r="M11141" t="s">
        <v>581</v>
      </c>
    </row>
    <row r="11142" spans="1:13" hidden="1" x14ac:dyDescent="0.15">
      <c r="A11142" t="s">
        <v>35168</v>
      </c>
      <c r="B11142" t="s">
        <v>35169</v>
      </c>
      <c r="C11142" t="s">
        <v>35170</v>
      </c>
      <c r="D11142" t="s">
        <v>35161</v>
      </c>
      <c r="E11142">
        <v>264</v>
      </c>
      <c r="F11142" t="str">
        <f>HYPERLINK("https://github.com/moberwasserlechner/capacitor-filesharer/issues/42", "show")</f>
        <v>show</v>
      </c>
      <c r="G11142" t="str">
        <f>HYPERLINK("https://github.com/moberwasserlechner/capacitor-filesharer", "show")</f>
        <v>show</v>
      </c>
      <c r="H11142" t="str">
        <f>HYPERLINK("https://github.com/moberwasserlechner/capacitor-filesharer/releases", "show")</f>
        <v>show</v>
      </c>
      <c r="I11142">
        <v>1</v>
      </c>
      <c r="J11142">
        <v>0</v>
      </c>
      <c r="K11142">
        <v>1</v>
      </c>
      <c r="L11142">
        <v>0</v>
      </c>
      <c r="M11142" t="s">
        <v>64</v>
      </c>
    </row>
    <row r="11143" spans="1:13" hidden="1" x14ac:dyDescent="0.15">
      <c r="A11143" t="s">
        <v>35171</v>
      </c>
      <c r="B11143" t="s">
        <v>35172</v>
      </c>
      <c r="C11143" t="s">
        <v>35173</v>
      </c>
      <c r="D11143" t="s">
        <v>35161</v>
      </c>
      <c r="E11143">
        <v>40</v>
      </c>
      <c r="F11143" t="str">
        <f>HYPERLINK("https://github.com/nextcloud/android/issues/10802", "show")</f>
        <v>show</v>
      </c>
      <c r="G11143" t="str">
        <f>HYPERLINK("https://github.com/nextcloud/android", "show")</f>
        <v>show</v>
      </c>
      <c r="H11143" t="str">
        <f>HYPERLINK("https://github.com/nextcloud/android/releases", "show")</f>
        <v>show</v>
      </c>
      <c r="I11143">
        <v>1</v>
      </c>
      <c r="J11143">
        <v>0</v>
      </c>
      <c r="K11143">
        <v>1</v>
      </c>
      <c r="L11143">
        <v>0</v>
      </c>
      <c r="M11143" t="s">
        <v>64</v>
      </c>
    </row>
    <row r="11144" spans="1:13" hidden="1" x14ac:dyDescent="0.15">
      <c r="A11144" t="s">
        <v>35174</v>
      </c>
      <c r="B11144" t="s">
        <v>35175</v>
      </c>
      <c r="C11144" t="s">
        <v>35176</v>
      </c>
      <c r="D11144" t="s">
        <v>35177</v>
      </c>
      <c r="E11144">
        <v>1</v>
      </c>
      <c r="F11144" t="str">
        <f>HYPERLINK("https://github.com/react-native-share/react-native-share/issues/1291", "show")</f>
        <v>show</v>
      </c>
      <c r="G11144" t="str">
        <f>HYPERLINK("https://github.com/react-native-share/react-native-share", "show")</f>
        <v>show</v>
      </c>
      <c r="H11144" t="str">
        <f>HYPERLINK("https://github.com/react-native-share/react-native-share/releases", "show")</f>
        <v>show</v>
      </c>
      <c r="I11144">
        <v>1</v>
      </c>
      <c r="J11144">
        <v>1</v>
      </c>
      <c r="K11144">
        <v>0</v>
      </c>
      <c r="L11144">
        <v>0</v>
      </c>
      <c r="M11144" t="s">
        <v>48</v>
      </c>
    </row>
    <row r="11145" spans="1:13" hidden="1" x14ac:dyDescent="0.15">
      <c r="A11145" t="s">
        <v>35178</v>
      </c>
      <c r="B11145" t="s">
        <v>35179</v>
      </c>
      <c r="C11145" t="s">
        <v>35180</v>
      </c>
      <c r="D11145" t="s">
        <v>35177</v>
      </c>
      <c r="E11145">
        <v>0</v>
      </c>
      <c r="F11145" t="str">
        <f>HYPERLINK("https://github.com/TeamNewPipe/NewPipe/issues/9120", "show")</f>
        <v>show</v>
      </c>
      <c r="G11145" t="str">
        <f>HYPERLINK("https://github.com/TeamNewPipe/NewPipe", "show")</f>
        <v>show</v>
      </c>
      <c r="H11145" t="str">
        <f>HYPERLINK("https://github.com/TeamNewPipe/NewPipe/releases", "show")</f>
        <v>show</v>
      </c>
      <c r="I11145">
        <v>1</v>
      </c>
      <c r="J11145">
        <v>1</v>
      </c>
      <c r="K11145">
        <v>0</v>
      </c>
      <c r="L11145">
        <v>0</v>
      </c>
      <c r="M11145" t="s">
        <v>48</v>
      </c>
    </row>
    <row r="11146" spans="1:13" hidden="1" x14ac:dyDescent="0.15">
      <c r="A11146" t="s">
        <v>35181</v>
      </c>
      <c r="B11146" t="s">
        <v>35182</v>
      </c>
      <c r="C11146" t="s">
        <v>35183</v>
      </c>
      <c r="D11146" t="s">
        <v>35184</v>
      </c>
      <c r="E11146">
        <v>7</v>
      </c>
      <c r="F11146" t="str">
        <f>HYPERLINK("https://github.com/LawnchairLauncher/lawnchair/issues/3020", "show")</f>
        <v>show</v>
      </c>
      <c r="G11146" t="str">
        <f>HYPERLINK("https://github.com/LawnchairLauncher/lawnchair", "show")</f>
        <v>show</v>
      </c>
      <c r="H11146" t="str">
        <f>HYPERLINK("https://github.com/LawnchairLauncher/lawnchair/releases", "show")</f>
        <v>show</v>
      </c>
      <c r="I11146">
        <v>1</v>
      </c>
      <c r="J11146">
        <v>0</v>
      </c>
      <c r="K11146">
        <v>1</v>
      </c>
      <c r="L11146">
        <v>0</v>
      </c>
      <c r="M11146" t="s">
        <v>64</v>
      </c>
    </row>
    <row r="11147" spans="1:13" hidden="1" x14ac:dyDescent="0.15">
      <c r="A11147" t="s">
        <v>35185</v>
      </c>
      <c r="B11147" t="s">
        <v>35186</v>
      </c>
      <c r="C11147" t="s">
        <v>35187</v>
      </c>
      <c r="D11147" t="s">
        <v>35184</v>
      </c>
      <c r="E11147">
        <v>6</v>
      </c>
      <c r="F11147" t="str">
        <f>HYPERLINK("https://github.com/jellyfin/jellyfin-androidtv/issues/2167", "show")</f>
        <v>show</v>
      </c>
      <c r="G11147" t="str">
        <f>HYPERLINK("https://github.com/jellyfin/jellyfin-androidtv", "show")</f>
        <v>show</v>
      </c>
      <c r="H11147" t="str">
        <f>HYPERLINK("https://github.com/jellyfin/jellyfin-androidtv/releases", "show")</f>
        <v>show</v>
      </c>
      <c r="I11147">
        <v>0</v>
      </c>
      <c r="J11147">
        <v>0</v>
      </c>
      <c r="K11147">
        <v>1</v>
      </c>
      <c r="L11147">
        <v>0</v>
      </c>
      <c r="M11147" t="s">
        <v>122</v>
      </c>
    </row>
    <row r="11148" spans="1:13" hidden="1" x14ac:dyDescent="0.15">
      <c r="A11148" t="s">
        <v>35188</v>
      </c>
      <c r="B11148" t="s">
        <v>35189</v>
      </c>
      <c r="C11148" t="s">
        <v>35190</v>
      </c>
      <c r="D11148" t="s">
        <v>35184</v>
      </c>
      <c r="E11148">
        <v>3</v>
      </c>
      <c r="F11148" t="str">
        <f>HYPERLINK("https://github.com/AndroidIDEOfficial/AndroidIDE/issues/521", "show")</f>
        <v>show</v>
      </c>
      <c r="G11148" t="str">
        <f>HYPERLINK("https://github.com/AndroidIDEOfficial/AndroidIDE", "show")</f>
        <v>show</v>
      </c>
      <c r="H11148" t="str">
        <f>HYPERLINK("https://github.com/AndroidIDEOfficial/AndroidIDE/releases", "show")</f>
        <v>show</v>
      </c>
      <c r="I11148">
        <v>0</v>
      </c>
      <c r="J11148">
        <v>0</v>
      </c>
      <c r="K11148">
        <v>1</v>
      </c>
      <c r="L11148">
        <v>0</v>
      </c>
      <c r="M11148" t="s">
        <v>122</v>
      </c>
    </row>
    <row r="11149" spans="1:13" hidden="1" x14ac:dyDescent="0.15">
      <c r="A11149" t="s">
        <v>35191</v>
      </c>
      <c r="B11149" t="s">
        <v>35192</v>
      </c>
      <c r="C11149" t="s">
        <v>35193</v>
      </c>
      <c r="D11149" t="s">
        <v>35184</v>
      </c>
      <c r="E11149">
        <v>0</v>
      </c>
      <c r="F11149" t="str">
        <f>HYPERLINK("https://github.com/Anuken/Mindustry/issues/7699", "show")</f>
        <v>show</v>
      </c>
      <c r="G11149" t="str">
        <f>HYPERLINK("https://github.com/Anuken/Mindustry", "show")</f>
        <v>show</v>
      </c>
      <c r="H11149" t="str">
        <f>HYPERLINK("https://github.com/Anuken/Mindustry/releases", "show")</f>
        <v>show</v>
      </c>
      <c r="I11149">
        <v>0</v>
      </c>
      <c r="J11149">
        <v>0</v>
      </c>
      <c r="K11149">
        <v>0</v>
      </c>
      <c r="L11149">
        <v>0</v>
      </c>
      <c r="M11149" t="s">
        <v>43</v>
      </c>
    </row>
    <row r="11150" spans="1:13" hidden="1" x14ac:dyDescent="0.15">
      <c r="A11150" t="s">
        <v>35194</v>
      </c>
      <c r="B11150" t="s">
        <v>35195</v>
      </c>
      <c r="C11150" t="s">
        <v>35196</v>
      </c>
      <c r="D11150" t="s">
        <v>35184</v>
      </c>
      <c r="E11150">
        <v>0</v>
      </c>
      <c r="F11150" t="str">
        <f>HYPERLINK("https://github.com/gsantner/markor/issues/1894", "show")</f>
        <v>show</v>
      </c>
      <c r="G11150" t="str">
        <f>HYPERLINK("https://github.com/gsantner/markor", "show")</f>
        <v>show</v>
      </c>
      <c r="H11150" t="str">
        <f>HYPERLINK("https://github.com/gsantner/markor/releases", "show")</f>
        <v>show</v>
      </c>
      <c r="I11150">
        <v>1</v>
      </c>
      <c r="J11150">
        <v>1</v>
      </c>
      <c r="K11150">
        <v>0</v>
      </c>
      <c r="L11150">
        <v>0</v>
      </c>
      <c r="M11150" t="s">
        <v>48</v>
      </c>
    </row>
    <row r="11151" spans="1:13" hidden="1" x14ac:dyDescent="0.15">
      <c r="A11151" t="s">
        <v>35197</v>
      </c>
      <c r="B11151" t="s">
        <v>17889</v>
      </c>
      <c r="C11151" t="s">
        <v>35198</v>
      </c>
      <c r="D11151" t="s">
        <v>35199</v>
      </c>
      <c r="E11151">
        <v>0</v>
      </c>
      <c r="F11151" t="str">
        <f>HYPERLINK("https://github.com/Anuken/Mindustry/issues/7696", "show")</f>
        <v>show</v>
      </c>
      <c r="G11151" t="str">
        <f>HYPERLINK("https://github.com/Anuken/Mindustry", "show")</f>
        <v>show</v>
      </c>
      <c r="H11151" t="str">
        <f>HYPERLINK("https://github.com/Anuken/Mindustry/releases", "show")</f>
        <v>show</v>
      </c>
      <c r="I11151">
        <v>0</v>
      </c>
      <c r="J11151">
        <v>0</v>
      </c>
      <c r="K11151">
        <v>0</v>
      </c>
      <c r="L11151">
        <v>0</v>
      </c>
      <c r="M11151" t="s">
        <v>43</v>
      </c>
    </row>
    <row r="11152" spans="1:13" hidden="1" x14ac:dyDescent="0.15">
      <c r="A11152" t="s">
        <v>35200</v>
      </c>
      <c r="B11152" t="s">
        <v>35201</v>
      </c>
      <c r="C11152" t="s">
        <v>35202</v>
      </c>
      <c r="D11152" t="s">
        <v>35199</v>
      </c>
      <c r="E11152">
        <v>16</v>
      </c>
      <c r="F11152" t="str">
        <f>HYPERLINK("https://github.com/jellyfin/jellyfin-androidtv/issues/2163", "show")</f>
        <v>show</v>
      </c>
      <c r="G11152" t="str">
        <f>HYPERLINK("https://github.com/jellyfin/jellyfin-androidtv", "show")</f>
        <v>show</v>
      </c>
      <c r="H11152" t="str">
        <f>HYPERLINK("https://github.com/jellyfin/jellyfin-androidtv/releases", "show")</f>
        <v>show</v>
      </c>
      <c r="I11152">
        <v>1</v>
      </c>
      <c r="J11152">
        <v>0</v>
      </c>
      <c r="K11152">
        <v>1</v>
      </c>
      <c r="L11152">
        <v>0</v>
      </c>
      <c r="M11152" t="s">
        <v>64</v>
      </c>
    </row>
    <row r="11153" spans="1:13" hidden="1" x14ac:dyDescent="0.15">
      <c r="A11153" t="s">
        <v>35203</v>
      </c>
      <c r="B11153" t="s">
        <v>35204</v>
      </c>
      <c r="C11153" t="s">
        <v>35205</v>
      </c>
      <c r="D11153" t="s">
        <v>35199</v>
      </c>
      <c r="E11153">
        <v>0</v>
      </c>
      <c r="F11153" t="str">
        <f>HYPERLINK("https://github.com/gluonhq/substrate/issues/1180", "show")</f>
        <v>show</v>
      </c>
      <c r="G11153" t="str">
        <f>HYPERLINK("https://github.com/gluonhq/substrate", "show")</f>
        <v>show</v>
      </c>
      <c r="H11153" t="str">
        <f>HYPERLINK("https://github.com/gluonhq/substrate/releases", "show")</f>
        <v>show</v>
      </c>
      <c r="I11153">
        <v>1</v>
      </c>
      <c r="J11153">
        <v>0</v>
      </c>
      <c r="K11153">
        <v>0</v>
      </c>
      <c r="L11153">
        <v>0</v>
      </c>
      <c r="M11153" t="s">
        <v>17</v>
      </c>
    </row>
    <row r="11154" spans="1:13" hidden="1" x14ac:dyDescent="0.15">
      <c r="A11154" t="s">
        <v>35206</v>
      </c>
      <c r="B11154" t="s">
        <v>35207</v>
      </c>
      <c r="C11154" t="s">
        <v>35208</v>
      </c>
      <c r="D11154" t="s">
        <v>35209</v>
      </c>
      <c r="E11154">
        <v>0</v>
      </c>
      <c r="F11154" t="str">
        <f>HYPERLINK("https://github.com/PojavLauncherTeam/PojavLauncher/issues/3598", "show")</f>
        <v>show</v>
      </c>
      <c r="G11154" t="str">
        <f>HYPERLINK("https://github.com/PojavLauncherTeam/PojavLauncher", "show")</f>
        <v>show</v>
      </c>
      <c r="H11154" t="str">
        <f>HYPERLINK("https://github.com/PojavLauncherTeam/PojavLauncher/releases", "show")</f>
        <v>show</v>
      </c>
      <c r="I11154">
        <v>1</v>
      </c>
      <c r="J11154">
        <v>0</v>
      </c>
      <c r="K11154">
        <v>0</v>
      </c>
      <c r="L11154">
        <v>0</v>
      </c>
      <c r="M11154" t="s">
        <v>17</v>
      </c>
    </row>
    <row r="11155" spans="1:13" hidden="1" x14ac:dyDescent="0.15">
      <c r="A11155" t="s">
        <v>35210</v>
      </c>
      <c r="B11155" t="s">
        <v>35211</v>
      </c>
      <c r="C11155" t="s">
        <v>35212</v>
      </c>
      <c r="D11155" t="s">
        <v>35213</v>
      </c>
      <c r="E11155">
        <v>0</v>
      </c>
      <c r="F11155" t="str">
        <f>HYPERLINK("https://github.com/Anuken/Mindustry/issues/7677", "show")</f>
        <v>show</v>
      </c>
      <c r="G11155" t="str">
        <f>HYPERLINK("https://github.com/Anuken/Mindustry", "show")</f>
        <v>show</v>
      </c>
      <c r="H11155" t="str">
        <f>HYPERLINK("https://github.com/Anuken/Mindustry/releases", "show")</f>
        <v>show</v>
      </c>
      <c r="I11155">
        <v>1</v>
      </c>
      <c r="J11155">
        <v>1</v>
      </c>
      <c r="K11155">
        <v>0</v>
      </c>
      <c r="L11155">
        <v>0</v>
      </c>
      <c r="M11155" t="s">
        <v>48</v>
      </c>
    </row>
    <row r="11156" spans="1:13" x14ac:dyDescent="0.15">
      <c r="A11156" t="s">
        <v>35214</v>
      </c>
      <c r="B11156" t="s">
        <v>35215</v>
      </c>
      <c r="C11156" t="s">
        <v>35216</v>
      </c>
      <c r="D11156" t="s">
        <v>35213</v>
      </c>
      <c r="E11156">
        <v>15</v>
      </c>
      <c r="F11156" t="str">
        <f>HYPERLINK("https://github.com/TeamNewPipe/NewPipe/issues/9086", "show")</f>
        <v>show</v>
      </c>
      <c r="G11156" t="str">
        <f>HYPERLINK("https://github.com/TeamNewPipe/NewPipe", "show")</f>
        <v>show</v>
      </c>
      <c r="H11156" t="str">
        <f>HYPERLINK("https://github.com/TeamNewPipe/NewPipe/releases", "show")</f>
        <v>show</v>
      </c>
      <c r="I11156">
        <v>0</v>
      </c>
      <c r="J11156">
        <v>1</v>
      </c>
      <c r="K11156">
        <v>0</v>
      </c>
      <c r="L11156">
        <v>0</v>
      </c>
      <c r="M11156" t="s">
        <v>139</v>
      </c>
    </row>
    <row r="11157" spans="1:13" hidden="1" x14ac:dyDescent="0.15">
      <c r="A11157" t="s">
        <v>35217</v>
      </c>
      <c r="B11157" t="s">
        <v>35218</v>
      </c>
      <c r="C11157" t="s">
        <v>35219</v>
      </c>
      <c r="D11157" t="s">
        <v>35213</v>
      </c>
      <c r="E11157">
        <v>36</v>
      </c>
      <c r="F11157" t="str">
        <f>HYPERLINK("https://github.com/nextcloud/android/issues/10786", "show")</f>
        <v>show</v>
      </c>
      <c r="G11157" t="str">
        <f>HYPERLINK("https://github.com/nextcloud/android", "show")</f>
        <v>show</v>
      </c>
      <c r="H11157" t="str">
        <f>HYPERLINK("https://github.com/nextcloud/android/releases", "show")</f>
        <v>show</v>
      </c>
      <c r="I11157">
        <v>1</v>
      </c>
      <c r="J11157">
        <v>1</v>
      </c>
      <c r="K11157">
        <v>0</v>
      </c>
      <c r="L11157">
        <v>0</v>
      </c>
      <c r="M11157" t="s">
        <v>48</v>
      </c>
    </row>
    <row r="11158" spans="1:13" hidden="1" x14ac:dyDescent="0.15">
      <c r="A11158" t="s">
        <v>35220</v>
      </c>
      <c r="B11158" t="s">
        <v>35221</v>
      </c>
      <c r="C11158" t="s">
        <v>35222</v>
      </c>
      <c r="D11158" t="s">
        <v>35213</v>
      </c>
      <c r="E11158">
        <v>1</v>
      </c>
      <c r="F11158" t="str">
        <f>HYPERLINK("https://github.com/AndroidIDEOfficial/AndroidIDE/issues/511", "show")</f>
        <v>show</v>
      </c>
      <c r="G11158" t="str">
        <f>HYPERLINK("https://github.com/AndroidIDEOfficial/AndroidIDE", "show")</f>
        <v>show</v>
      </c>
      <c r="H11158" t="str">
        <f>HYPERLINK("https://github.com/AndroidIDEOfficial/AndroidIDE/releases", "show")</f>
        <v>show</v>
      </c>
      <c r="I11158">
        <v>0</v>
      </c>
      <c r="J11158">
        <v>0</v>
      </c>
      <c r="K11158">
        <v>1</v>
      </c>
      <c r="L11158">
        <v>0</v>
      </c>
      <c r="M11158" t="s">
        <v>122</v>
      </c>
    </row>
    <row r="11159" spans="1:13" hidden="1" x14ac:dyDescent="0.15">
      <c r="A11159" t="s">
        <v>35223</v>
      </c>
      <c r="B11159" t="s">
        <v>35224</v>
      </c>
      <c r="C11159" t="s">
        <v>35225</v>
      </c>
      <c r="D11159" t="s">
        <v>35213</v>
      </c>
      <c r="E11159">
        <v>145</v>
      </c>
      <c r="F11159" t="str">
        <f>HYPERLINK("https://github.com/jellyfin/jellyfin-androidtv/issues/2154", "show")</f>
        <v>show</v>
      </c>
      <c r="G11159" t="str">
        <f>HYPERLINK("https://github.com/jellyfin/jellyfin-androidtv", "show")</f>
        <v>show</v>
      </c>
      <c r="H11159" t="str">
        <f>HYPERLINK("https://github.com/jellyfin/jellyfin-androidtv/releases", "show")</f>
        <v>show</v>
      </c>
      <c r="I11159">
        <v>1</v>
      </c>
      <c r="J11159">
        <v>0</v>
      </c>
      <c r="K11159">
        <v>1</v>
      </c>
      <c r="L11159">
        <v>0</v>
      </c>
      <c r="M11159" t="s">
        <v>64</v>
      </c>
    </row>
    <row r="11160" spans="1:13" hidden="1" x14ac:dyDescent="0.15">
      <c r="A11160" t="s">
        <v>35226</v>
      </c>
      <c r="B11160" t="s">
        <v>35227</v>
      </c>
      <c r="C11160" t="s">
        <v>35228</v>
      </c>
      <c r="D11160" t="s">
        <v>35229</v>
      </c>
      <c r="E11160">
        <v>1</v>
      </c>
      <c r="F11160" t="str">
        <f>HYPERLINK("https://github.com/jellyfin/jellyfin-androidtv/issues/2149", "show")</f>
        <v>show</v>
      </c>
      <c r="G11160" t="str">
        <f>HYPERLINK("https://github.com/jellyfin/jellyfin-androidtv", "show")</f>
        <v>show</v>
      </c>
      <c r="H11160" t="str">
        <f>HYPERLINK("https://github.com/jellyfin/jellyfin-androidtv/releases", "show")</f>
        <v>show</v>
      </c>
      <c r="I11160">
        <v>1</v>
      </c>
      <c r="J11160">
        <v>1</v>
      </c>
      <c r="K11160">
        <v>0</v>
      </c>
      <c r="L11160">
        <v>0</v>
      </c>
      <c r="M11160" t="s">
        <v>48</v>
      </c>
    </row>
    <row r="11161" spans="1:13" hidden="1" x14ac:dyDescent="0.15">
      <c r="A11161" t="s">
        <v>35230</v>
      </c>
      <c r="B11161" t="s">
        <v>35231</v>
      </c>
      <c r="C11161" t="s">
        <v>35232</v>
      </c>
      <c r="D11161" t="s">
        <v>35233</v>
      </c>
      <c r="E11161">
        <v>70</v>
      </c>
      <c r="F11161" t="str">
        <f>HYPERLINK("https://github.com/google/ExoPlayer/issues/10678", "show")</f>
        <v>show</v>
      </c>
      <c r="G11161" t="str">
        <f>HYPERLINK("https://github.com/google/ExoPlayer", "show")</f>
        <v>show</v>
      </c>
      <c r="H11161" t="str">
        <f>HYPERLINK("https://github.com/google/ExoPlayer/releases", "show")</f>
        <v>show</v>
      </c>
      <c r="I11161">
        <v>1</v>
      </c>
      <c r="J11161">
        <v>0</v>
      </c>
      <c r="K11161">
        <v>1</v>
      </c>
      <c r="L11161">
        <v>0</v>
      </c>
      <c r="M11161" t="s">
        <v>64</v>
      </c>
    </row>
    <row r="11162" spans="1:13" hidden="1" x14ac:dyDescent="0.15">
      <c r="A11162" t="s">
        <v>35234</v>
      </c>
      <c r="B11162" t="s">
        <v>35235</v>
      </c>
      <c r="C11162" t="s">
        <v>35236</v>
      </c>
      <c r="D11162" t="s">
        <v>35233</v>
      </c>
      <c r="E11162">
        <v>4</v>
      </c>
      <c r="F11162" t="str">
        <f>HYPERLINK("https://github.com/TeamNewPipe/NewPipe/issues/9079", "show")</f>
        <v>show</v>
      </c>
      <c r="G11162" t="str">
        <f>HYPERLINK("https://github.com/TeamNewPipe/NewPipe", "show")</f>
        <v>show</v>
      </c>
      <c r="H11162" t="str">
        <f>HYPERLINK("https://github.com/TeamNewPipe/NewPipe/releases", "show")</f>
        <v>show</v>
      </c>
      <c r="I11162">
        <v>1</v>
      </c>
      <c r="J11162">
        <v>1</v>
      </c>
      <c r="K11162">
        <v>0</v>
      </c>
      <c r="L11162">
        <v>0</v>
      </c>
      <c r="M11162" t="s">
        <v>48</v>
      </c>
    </row>
    <row r="11163" spans="1:13" hidden="1" x14ac:dyDescent="0.15">
      <c r="A11163" t="s">
        <v>35237</v>
      </c>
      <c r="B11163" t="s">
        <v>35238</v>
      </c>
      <c r="C11163" t="s">
        <v>35239</v>
      </c>
      <c r="D11163" t="s">
        <v>35233</v>
      </c>
      <c r="E11163">
        <v>1</v>
      </c>
      <c r="F11163" t="str">
        <f>HYPERLINK("https://github.com/PojavLauncherTeam/PojavLauncher/issues/3592", "show")</f>
        <v>show</v>
      </c>
      <c r="G11163" t="str">
        <f>HYPERLINK("https://github.com/PojavLauncherTeam/PojavLauncher", "show")</f>
        <v>show</v>
      </c>
      <c r="H11163" t="str">
        <f>HYPERLINK("https://github.com/PojavLauncherTeam/PojavLauncher/releases", "show")</f>
        <v>show</v>
      </c>
      <c r="I11163">
        <v>0</v>
      </c>
      <c r="J11163">
        <v>0</v>
      </c>
      <c r="K11163">
        <v>0</v>
      </c>
      <c r="L11163">
        <v>0</v>
      </c>
      <c r="M11163" t="s">
        <v>43</v>
      </c>
    </row>
    <row r="11164" spans="1:13" hidden="1" x14ac:dyDescent="0.15">
      <c r="A11164" t="s">
        <v>35240</v>
      </c>
      <c r="B11164" t="s">
        <v>35241</v>
      </c>
      <c r="C11164" t="s">
        <v>35242</v>
      </c>
      <c r="D11164" t="s">
        <v>35233</v>
      </c>
      <c r="E11164">
        <v>0</v>
      </c>
      <c r="F11164" t="str">
        <f>HYPERLINK("https://github.com/nextcloud/android/issues/10781", "show")</f>
        <v>show</v>
      </c>
      <c r="G11164" t="str">
        <f>HYPERLINK("https://github.com/nextcloud/android", "show")</f>
        <v>show</v>
      </c>
      <c r="H11164" t="str">
        <f>HYPERLINK("https://github.com/nextcloud/android/releases", "show")</f>
        <v>show</v>
      </c>
      <c r="I11164">
        <v>1</v>
      </c>
      <c r="J11164">
        <v>1</v>
      </c>
      <c r="K11164">
        <v>1</v>
      </c>
      <c r="L11164">
        <v>0</v>
      </c>
      <c r="M11164" t="s">
        <v>59</v>
      </c>
    </row>
    <row r="11165" spans="1:13" hidden="1" x14ac:dyDescent="0.15">
      <c r="A11165" t="s">
        <v>35243</v>
      </c>
      <c r="B11165" t="s">
        <v>35244</v>
      </c>
      <c r="C11165" t="s">
        <v>35245</v>
      </c>
      <c r="D11165" t="s">
        <v>35246</v>
      </c>
      <c r="E11165">
        <v>0</v>
      </c>
      <c r="F11165" t="str">
        <f>HYPERLINK("https://github.com/Anuken/Mindustry/issues/7665", "show")</f>
        <v>show</v>
      </c>
      <c r="G11165" t="str">
        <f>HYPERLINK("https://github.com/Anuken/Mindustry", "show")</f>
        <v>show</v>
      </c>
      <c r="H11165" t="str">
        <f>HYPERLINK("https://github.com/Anuken/Mindustry/releases", "show")</f>
        <v>show</v>
      </c>
      <c r="I11165">
        <v>1</v>
      </c>
      <c r="J11165">
        <v>1</v>
      </c>
      <c r="K11165">
        <v>0</v>
      </c>
      <c r="L11165">
        <v>0</v>
      </c>
      <c r="M11165" t="s">
        <v>48</v>
      </c>
    </row>
    <row r="11166" spans="1:13" hidden="1" x14ac:dyDescent="0.15">
      <c r="A11166" t="s">
        <v>35247</v>
      </c>
      <c r="B11166" t="s">
        <v>35248</v>
      </c>
      <c r="C11166" t="s">
        <v>35249</v>
      </c>
      <c r="D11166" t="s">
        <v>35246</v>
      </c>
      <c r="E11166">
        <v>0</v>
      </c>
      <c r="F11166" t="str">
        <f>HYPERLINK("https://github.com/Keidan/HexViewer/issues/229", "show")</f>
        <v>show</v>
      </c>
      <c r="G11166" t="str">
        <f>HYPERLINK("https://github.com/Keidan/HexViewer", "show")</f>
        <v>show</v>
      </c>
      <c r="H11166" t="str">
        <f>HYPERLINK("https://github.com/Keidan/HexViewer/releases", "show")</f>
        <v>show</v>
      </c>
      <c r="I11166">
        <v>1</v>
      </c>
      <c r="J11166">
        <v>0</v>
      </c>
      <c r="K11166">
        <v>0</v>
      </c>
      <c r="L11166">
        <v>0</v>
      </c>
      <c r="M11166" t="s">
        <v>17</v>
      </c>
    </row>
    <row r="11167" spans="1:13" hidden="1" x14ac:dyDescent="0.15">
      <c r="A11167" t="s">
        <v>35250</v>
      </c>
      <c r="B11167" t="s">
        <v>35251</v>
      </c>
      <c r="C11167" t="s">
        <v>35252</v>
      </c>
      <c r="D11167" t="s">
        <v>35246</v>
      </c>
      <c r="E11167">
        <v>12</v>
      </c>
      <c r="F11167" t="str">
        <f>HYPERLINK("https://github.com/hauke96/GeoNotes/issues/84", "show")</f>
        <v>show</v>
      </c>
      <c r="G11167" t="str">
        <f>HYPERLINK("https://github.com/hauke96/GeoNotes", "show")</f>
        <v>show</v>
      </c>
      <c r="H11167" t="str">
        <f>HYPERLINK("https://github.com/hauke96/GeoNotes/releases", "show")</f>
        <v>show</v>
      </c>
      <c r="I11167">
        <v>1</v>
      </c>
      <c r="J11167">
        <v>1</v>
      </c>
      <c r="K11167">
        <v>0</v>
      </c>
      <c r="L11167">
        <v>0</v>
      </c>
      <c r="M11167" t="s">
        <v>48</v>
      </c>
    </row>
    <row r="11168" spans="1:13" hidden="1" x14ac:dyDescent="0.15">
      <c r="A11168" t="s">
        <v>35253</v>
      </c>
      <c r="B11168" t="s">
        <v>35254</v>
      </c>
      <c r="C11168" t="s">
        <v>35255</v>
      </c>
      <c r="D11168" t="s">
        <v>35246</v>
      </c>
      <c r="E11168">
        <v>0</v>
      </c>
      <c r="F11168" t="str">
        <f>HYPERLINK("https://github.com/nextcloud/android/issues/10779", "show")</f>
        <v>show</v>
      </c>
      <c r="G11168" t="str">
        <f>HYPERLINK("https://github.com/nextcloud/android", "show")</f>
        <v>show</v>
      </c>
      <c r="H11168" t="str">
        <f>HYPERLINK("https://github.com/nextcloud/android/releases", "show")</f>
        <v>show</v>
      </c>
      <c r="I11168">
        <v>1</v>
      </c>
      <c r="J11168">
        <v>0</v>
      </c>
      <c r="K11168">
        <v>1</v>
      </c>
      <c r="L11168">
        <v>0</v>
      </c>
      <c r="M11168" t="s">
        <v>64</v>
      </c>
    </row>
    <row r="11169" spans="1:13" hidden="1" x14ac:dyDescent="0.15">
      <c r="A11169" t="s">
        <v>35256</v>
      </c>
      <c r="B11169" t="s">
        <v>35257</v>
      </c>
      <c r="C11169" t="s">
        <v>35258</v>
      </c>
      <c r="D11169" t="s">
        <v>35246</v>
      </c>
      <c r="E11169">
        <v>168</v>
      </c>
      <c r="F11169" t="str">
        <f>HYPERLINK("https://github.com/jellyfin/jellyfin-androidtv/issues/2140", "show")</f>
        <v>show</v>
      </c>
      <c r="G11169" t="str">
        <f>HYPERLINK("https://github.com/jellyfin/jellyfin-androidtv", "show")</f>
        <v>show</v>
      </c>
      <c r="H11169" t="str">
        <f>HYPERLINK("https://github.com/jellyfin/jellyfin-androidtv/releases", "show")</f>
        <v>show</v>
      </c>
      <c r="I11169">
        <v>1</v>
      </c>
      <c r="J11169">
        <v>0</v>
      </c>
      <c r="K11169">
        <v>1</v>
      </c>
      <c r="L11169">
        <v>0</v>
      </c>
      <c r="M11169" t="s">
        <v>64</v>
      </c>
    </row>
    <row r="11170" spans="1:13" hidden="1" x14ac:dyDescent="0.15">
      <c r="A11170" t="s">
        <v>35259</v>
      </c>
      <c r="B11170" t="s">
        <v>13646</v>
      </c>
      <c r="C11170" t="s">
        <v>35260</v>
      </c>
      <c r="D11170" t="s">
        <v>35246</v>
      </c>
      <c r="E11170">
        <v>0</v>
      </c>
      <c r="F11170" t="str">
        <f>HYPERLINK("https://github.com/Anuken/Mindustry/issues/7660", "show")</f>
        <v>show</v>
      </c>
      <c r="G11170" t="str">
        <f>HYPERLINK("https://github.com/Anuken/Mindustry", "show")</f>
        <v>show</v>
      </c>
      <c r="H11170" t="str">
        <f>HYPERLINK("https://github.com/Anuken/Mindustry/releases", "show")</f>
        <v>show</v>
      </c>
      <c r="I11170">
        <v>0</v>
      </c>
      <c r="J11170">
        <v>0</v>
      </c>
      <c r="K11170">
        <v>0</v>
      </c>
      <c r="L11170">
        <v>0</v>
      </c>
      <c r="M11170" t="s">
        <v>43</v>
      </c>
    </row>
    <row r="11171" spans="1:13" hidden="1" x14ac:dyDescent="0.15">
      <c r="A11171" t="s">
        <v>35261</v>
      </c>
      <c r="B11171" t="s">
        <v>35262</v>
      </c>
      <c r="C11171" t="s">
        <v>35263</v>
      </c>
      <c r="D11171" t="s">
        <v>35264</v>
      </c>
      <c r="E11171">
        <v>17</v>
      </c>
      <c r="F11171" t="str">
        <f>HYPERLINK("https://github.com/Catfriend1/syncthing-android/issues/921", "show")</f>
        <v>show</v>
      </c>
      <c r="G11171" t="str">
        <f>HYPERLINK("https://github.com/Catfriend1/syncthing-android", "show")</f>
        <v>show</v>
      </c>
      <c r="H11171" t="str">
        <f>HYPERLINK("https://github.com/Catfriend1/syncthing-android/releases", "show")</f>
        <v>show</v>
      </c>
      <c r="I11171">
        <v>1</v>
      </c>
      <c r="J11171">
        <v>0</v>
      </c>
      <c r="K11171">
        <v>1</v>
      </c>
      <c r="L11171">
        <v>0</v>
      </c>
      <c r="M11171" t="s">
        <v>64</v>
      </c>
    </row>
    <row r="11172" spans="1:13" hidden="1" x14ac:dyDescent="0.15">
      <c r="A11172" t="s">
        <v>35265</v>
      </c>
      <c r="B11172" t="s">
        <v>35266</v>
      </c>
      <c r="C11172" t="s">
        <v>35267</v>
      </c>
      <c r="D11172" t="s">
        <v>35264</v>
      </c>
      <c r="E11172">
        <v>0</v>
      </c>
      <c r="F11172" t="str">
        <f>HYPERLINK("https://github.com/jellyfin/jellyfin-androidtv/issues/2136", "show")</f>
        <v>show</v>
      </c>
      <c r="G11172" t="str">
        <f>HYPERLINK("https://github.com/jellyfin/jellyfin-androidtv", "show")</f>
        <v>show</v>
      </c>
      <c r="H11172" t="str">
        <f>HYPERLINK("https://github.com/jellyfin/jellyfin-androidtv/releases", "show")</f>
        <v>show</v>
      </c>
      <c r="I11172">
        <v>1</v>
      </c>
      <c r="J11172">
        <v>1</v>
      </c>
      <c r="K11172">
        <v>1</v>
      </c>
      <c r="L11172">
        <v>0</v>
      </c>
      <c r="M11172" t="s">
        <v>59</v>
      </c>
    </row>
    <row r="11173" spans="1:13" hidden="1" x14ac:dyDescent="0.15">
      <c r="A11173" t="s">
        <v>35268</v>
      </c>
      <c r="B11173" t="s">
        <v>35269</v>
      </c>
      <c r="C11173" t="s">
        <v>35270</v>
      </c>
      <c r="D11173" t="s">
        <v>35271</v>
      </c>
      <c r="E11173">
        <v>0</v>
      </c>
      <c r="F11173" t="str">
        <f>HYPERLINK("https://github.com/FazziCLAY/OpenToday/issues/1", "show")</f>
        <v>show</v>
      </c>
      <c r="G11173" t="str">
        <f>HYPERLINK("https://github.com/FazziCLAY/OpenToday", "show")</f>
        <v>show</v>
      </c>
      <c r="H11173" t="str">
        <f>HYPERLINK("https://github.com/FazziCLAY/OpenToday/releases", "show")</f>
        <v>show</v>
      </c>
      <c r="I11173">
        <v>1</v>
      </c>
      <c r="J11173">
        <v>1</v>
      </c>
      <c r="K11173">
        <v>1</v>
      </c>
      <c r="L11173">
        <v>0</v>
      </c>
      <c r="M11173" t="s">
        <v>59</v>
      </c>
    </row>
    <row r="11174" spans="1:13" hidden="1" x14ac:dyDescent="0.15">
      <c r="A11174" t="s">
        <v>35272</v>
      </c>
      <c r="B11174" t="s">
        <v>35273</v>
      </c>
      <c r="C11174" t="s">
        <v>35274</v>
      </c>
      <c r="D11174" t="s">
        <v>35271</v>
      </c>
      <c r="E11174">
        <v>208</v>
      </c>
      <c r="F11174" t="str">
        <f>HYPERLINK("https://github.com/mit-cml/appinventor-sources/issues/2756", "show")</f>
        <v>show</v>
      </c>
      <c r="G11174" t="str">
        <f>HYPERLINK("https://github.com/mit-cml/appinventor-sources", "show")</f>
        <v>show</v>
      </c>
      <c r="H11174" t="str">
        <f>HYPERLINK("https://github.com/mit-cml/appinventor-sources/releases", "show")</f>
        <v>show</v>
      </c>
      <c r="I11174">
        <v>1</v>
      </c>
      <c r="J11174">
        <v>0</v>
      </c>
      <c r="K11174">
        <v>0</v>
      </c>
      <c r="L11174">
        <v>0</v>
      </c>
      <c r="M11174" t="s">
        <v>17</v>
      </c>
    </row>
    <row r="11175" spans="1:13" x14ac:dyDescent="0.15">
      <c r="A11175" t="s">
        <v>35275</v>
      </c>
      <c r="B11175" t="s">
        <v>35276</v>
      </c>
      <c r="C11175" t="s">
        <v>35277</v>
      </c>
      <c r="D11175" t="s">
        <v>35271</v>
      </c>
      <c r="E11175">
        <v>0</v>
      </c>
      <c r="F11175" t="str">
        <f>HYPERLINK("https://github.com/Anuken/Mindustry/issues/7655", "show")</f>
        <v>show</v>
      </c>
      <c r="G11175" t="str">
        <f>HYPERLINK("https://github.com/Anuken/Mindustry", "show")</f>
        <v>show</v>
      </c>
      <c r="H11175" t="str">
        <f>HYPERLINK("https://github.com/Anuken/Mindustry/releases", "show")</f>
        <v>show</v>
      </c>
      <c r="I11175">
        <v>0</v>
      </c>
      <c r="J11175">
        <v>1</v>
      </c>
      <c r="K11175">
        <v>0</v>
      </c>
      <c r="L11175">
        <v>0</v>
      </c>
      <c r="M11175" t="s">
        <v>139</v>
      </c>
    </row>
    <row r="11176" spans="1:13" hidden="1" x14ac:dyDescent="0.15">
      <c r="A11176" t="s">
        <v>35278</v>
      </c>
      <c r="B11176" t="s">
        <v>35279</v>
      </c>
      <c r="C11176" t="s">
        <v>35280</v>
      </c>
      <c r="D11176" t="s">
        <v>35271</v>
      </c>
      <c r="E11176">
        <v>9</v>
      </c>
      <c r="F11176" t="str">
        <f>HYPERLINK("https://github.com/patzly/grocy-android/issues/582", "show")</f>
        <v>show</v>
      </c>
      <c r="G11176" t="str">
        <f>HYPERLINK("https://github.com/patzly/grocy-android", "show")</f>
        <v>show</v>
      </c>
      <c r="H11176" t="str">
        <f>HYPERLINK("https://github.com/patzly/grocy-android/releases", "show")</f>
        <v>show</v>
      </c>
      <c r="I11176">
        <v>1</v>
      </c>
      <c r="J11176">
        <v>0</v>
      </c>
      <c r="K11176">
        <v>1</v>
      </c>
      <c r="L11176">
        <v>0</v>
      </c>
      <c r="M11176" t="s">
        <v>64</v>
      </c>
    </row>
    <row r="11177" spans="1:13" hidden="1" x14ac:dyDescent="0.15">
      <c r="A11177" t="s">
        <v>35281</v>
      </c>
      <c r="B11177" t="s">
        <v>35282</v>
      </c>
      <c r="C11177" t="s">
        <v>35283</v>
      </c>
      <c r="D11177" t="s">
        <v>35271</v>
      </c>
      <c r="E11177">
        <v>0</v>
      </c>
      <c r="F11177" t="str">
        <f>HYPERLINK("https://github.com/Anuken/Mindustry/issues/7651", "show")</f>
        <v>show</v>
      </c>
      <c r="G11177" t="str">
        <f>HYPERLINK("https://github.com/Anuken/Mindustry", "show")</f>
        <v>show</v>
      </c>
      <c r="H11177" t="str">
        <f>HYPERLINK("https://github.com/Anuken/Mindustry/releases", "show")</f>
        <v>show</v>
      </c>
      <c r="I11177">
        <v>1</v>
      </c>
      <c r="J11177">
        <v>1</v>
      </c>
      <c r="K11177">
        <v>0</v>
      </c>
      <c r="L11177">
        <v>0</v>
      </c>
      <c r="M11177" t="s">
        <v>48</v>
      </c>
    </row>
    <row r="11178" spans="1:13" hidden="1" x14ac:dyDescent="0.15">
      <c r="A11178" t="s">
        <v>35284</v>
      </c>
      <c r="B11178" t="s">
        <v>35285</v>
      </c>
      <c r="C11178" t="s">
        <v>35286</v>
      </c>
      <c r="D11178" t="s">
        <v>35271</v>
      </c>
      <c r="E11178">
        <v>1</v>
      </c>
      <c r="F11178" t="str">
        <f>HYPERLINK("https://github.com/PojavLauncherTeam/PojavLauncher/issues/3590", "show")</f>
        <v>show</v>
      </c>
      <c r="G11178" t="str">
        <f>HYPERLINK("https://github.com/PojavLauncherTeam/PojavLauncher", "show")</f>
        <v>show</v>
      </c>
      <c r="H11178" t="str">
        <f>HYPERLINK("https://github.com/PojavLauncherTeam/PojavLauncher/releases", "show")</f>
        <v>show</v>
      </c>
      <c r="I11178">
        <v>1</v>
      </c>
      <c r="J11178">
        <v>1</v>
      </c>
      <c r="K11178">
        <v>0</v>
      </c>
      <c r="L11178">
        <v>0</v>
      </c>
      <c r="M11178" t="s">
        <v>48</v>
      </c>
    </row>
    <row r="11179" spans="1:13" hidden="1" x14ac:dyDescent="0.15">
      <c r="A11179" t="s">
        <v>35287</v>
      </c>
      <c r="B11179" t="s">
        <v>35288</v>
      </c>
      <c r="C11179" t="s">
        <v>35289</v>
      </c>
      <c r="D11179" t="s">
        <v>35290</v>
      </c>
      <c r="E11179">
        <v>51</v>
      </c>
      <c r="F11179" t="str">
        <f>HYPERLINK("https://github.com/TeamNewPipe/NewPipe/issues/9053", "show")</f>
        <v>show</v>
      </c>
      <c r="G11179" t="str">
        <f>HYPERLINK("https://github.com/TeamNewPipe/NewPipe", "show")</f>
        <v>show</v>
      </c>
      <c r="H11179" t="str">
        <f>HYPERLINK("https://github.com/TeamNewPipe/NewPipe/releases", "show")</f>
        <v>show</v>
      </c>
      <c r="I11179">
        <v>0</v>
      </c>
      <c r="J11179">
        <v>0</v>
      </c>
      <c r="K11179">
        <v>1</v>
      </c>
      <c r="L11179">
        <v>0</v>
      </c>
      <c r="M11179" t="s">
        <v>122</v>
      </c>
    </row>
    <row r="11180" spans="1:13" hidden="1" x14ac:dyDescent="0.15">
      <c r="A11180" t="s">
        <v>35291</v>
      </c>
      <c r="B11180" t="s">
        <v>35292</v>
      </c>
      <c r="C11180" t="s">
        <v>35293</v>
      </c>
      <c r="D11180" t="s">
        <v>35290</v>
      </c>
      <c r="E11180">
        <v>99</v>
      </c>
      <c r="F11180" t="str">
        <f>HYPERLINK("https://github.com/LawnchairLauncher/lawnchair/issues/2993", "show")</f>
        <v>show</v>
      </c>
      <c r="G11180" t="str">
        <f>HYPERLINK("https://github.com/LawnchairLauncher/lawnchair", "show")</f>
        <v>show</v>
      </c>
      <c r="H11180" t="str">
        <f>HYPERLINK("https://github.com/LawnchairLauncher/lawnchair/releases", "show")</f>
        <v>show</v>
      </c>
      <c r="I11180">
        <v>1</v>
      </c>
      <c r="J11180">
        <v>1</v>
      </c>
      <c r="K11180">
        <v>0</v>
      </c>
      <c r="L11180">
        <v>0</v>
      </c>
      <c r="M11180" t="s">
        <v>48</v>
      </c>
    </row>
    <row r="11181" spans="1:13" hidden="1" x14ac:dyDescent="0.15">
      <c r="A11181" t="s">
        <v>35294</v>
      </c>
      <c r="B11181" t="s">
        <v>35295</v>
      </c>
      <c r="C11181" t="s">
        <v>35296</v>
      </c>
      <c r="D11181" t="s">
        <v>35290</v>
      </c>
      <c r="E11181">
        <v>93</v>
      </c>
      <c r="F11181" t="str">
        <f>HYPERLINK("https://github.com/AndroidIDEOfficial/AndroidIDE/issues/492", "show")</f>
        <v>show</v>
      </c>
      <c r="G11181" t="str">
        <f>HYPERLINK("https://github.com/AndroidIDEOfficial/AndroidIDE", "show")</f>
        <v>show</v>
      </c>
      <c r="H11181" t="str">
        <f>HYPERLINK("https://github.com/AndroidIDEOfficial/AndroidIDE/releases", "show")</f>
        <v>show</v>
      </c>
      <c r="I11181">
        <v>1</v>
      </c>
      <c r="J11181">
        <v>0</v>
      </c>
      <c r="K11181">
        <v>1</v>
      </c>
      <c r="L11181">
        <v>0</v>
      </c>
      <c r="M11181" t="s">
        <v>64</v>
      </c>
    </row>
    <row r="11182" spans="1:13" hidden="1" x14ac:dyDescent="0.15">
      <c r="A11182" t="s">
        <v>35297</v>
      </c>
      <c r="B11182" t="s">
        <v>35298</v>
      </c>
      <c r="C11182" t="s">
        <v>35299</v>
      </c>
      <c r="D11182" t="s">
        <v>35290</v>
      </c>
      <c r="E11182">
        <v>0</v>
      </c>
      <c r="F11182" t="str">
        <f>HYPERLINK("https://github.com/gsantner/markor/issues/1870", "show")</f>
        <v>show</v>
      </c>
      <c r="G11182" t="str">
        <f>HYPERLINK("https://github.com/gsantner/markor", "show")</f>
        <v>show</v>
      </c>
      <c r="H11182" t="str">
        <f>HYPERLINK("https://github.com/gsantner/markor/releases", "show")</f>
        <v>show</v>
      </c>
      <c r="I11182">
        <v>1</v>
      </c>
      <c r="J11182">
        <v>0</v>
      </c>
      <c r="K11182">
        <v>0</v>
      </c>
      <c r="L11182">
        <v>1</v>
      </c>
      <c r="M11182" t="s">
        <v>29</v>
      </c>
    </row>
    <row r="11183" spans="1:13" hidden="1" x14ac:dyDescent="0.15">
      <c r="A11183" t="s">
        <v>35300</v>
      </c>
      <c r="B11183" t="s">
        <v>35301</v>
      </c>
      <c r="C11183" t="s">
        <v>35302</v>
      </c>
      <c r="D11183" t="s">
        <v>35290</v>
      </c>
      <c r="E11183">
        <v>0</v>
      </c>
      <c r="F11183" t="str">
        <f>HYPERLINK("https://github.com/gsantner/markor/issues/1869", "show")</f>
        <v>show</v>
      </c>
      <c r="G11183" t="str">
        <f>HYPERLINK("https://github.com/gsantner/markor", "show")</f>
        <v>show</v>
      </c>
      <c r="H11183" t="str">
        <f>HYPERLINK("https://github.com/gsantner/markor/releases", "show")</f>
        <v>show</v>
      </c>
      <c r="I11183">
        <v>0</v>
      </c>
      <c r="J11183">
        <v>0</v>
      </c>
      <c r="K11183">
        <v>0</v>
      </c>
      <c r="L11183">
        <v>1</v>
      </c>
      <c r="M11183" t="s">
        <v>581</v>
      </c>
    </row>
    <row r="11184" spans="1:13" hidden="1" x14ac:dyDescent="0.15">
      <c r="A11184" t="s">
        <v>35303</v>
      </c>
      <c r="B11184" t="s">
        <v>32875</v>
      </c>
      <c r="C11184" t="s">
        <v>35304</v>
      </c>
      <c r="D11184" t="s">
        <v>35290</v>
      </c>
      <c r="E11184">
        <v>0</v>
      </c>
      <c r="F11184" t="str">
        <f>HYPERLINK("https://github.com/LSPosed/LSPosed/issues/2152", "show")</f>
        <v>show</v>
      </c>
      <c r="G11184" t="str">
        <f>HYPERLINK("https://github.com/LSPosed/LSPosed", "show")</f>
        <v>show</v>
      </c>
      <c r="H11184" t="str">
        <f>HYPERLINK("https://github.com/LSPosed/LSPosed/releases", "show")</f>
        <v>show</v>
      </c>
      <c r="I11184">
        <v>0</v>
      </c>
      <c r="J11184">
        <v>0</v>
      </c>
      <c r="K11184">
        <v>1</v>
      </c>
      <c r="L11184">
        <v>0</v>
      </c>
      <c r="M11184" t="s">
        <v>122</v>
      </c>
    </row>
    <row r="11185" spans="1:13" x14ac:dyDescent="0.15">
      <c r="A11185" t="s">
        <v>35305</v>
      </c>
      <c r="B11185" t="s">
        <v>35306</v>
      </c>
      <c r="C11185" t="s">
        <v>35307</v>
      </c>
      <c r="D11185" t="s">
        <v>35290</v>
      </c>
      <c r="E11185">
        <v>1</v>
      </c>
      <c r="F11185" t="str">
        <f>HYPERLINK("https://github.com/PojavLauncherTeam/PojavLauncher/issues/3589", "show")</f>
        <v>show</v>
      </c>
      <c r="G11185" t="str">
        <f>HYPERLINK("https://github.com/PojavLauncherTeam/PojavLauncher", "show")</f>
        <v>show</v>
      </c>
      <c r="H11185" t="str">
        <f>HYPERLINK("https://github.com/PojavLauncherTeam/PojavLauncher/releases", "show")</f>
        <v>show</v>
      </c>
      <c r="I11185">
        <v>0</v>
      </c>
      <c r="J11185">
        <v>1</v>
      </c>
      <c r="K11185">
        <v>0</v>
      </c>
      <c r="L11185">
        <v>0</v>
      </c>
      <c r="M11185" t="s">
        <v>139</v>
      </c>
    </row>
    <row r="11186" spans="1:13" hidden="1" x14ac:dyDescent="0.15">
      <c r="A11186" t="s">
        <v>35308</v>
      </c>
      <c r="B11186" t="s">
        <v>35309</v>
      </c>
      <c r="C11186" t="s">
        <v>35310</v>
      </c>
      <c r="D11186" t="s">
        <v>35290</v>
      </c>
      <c r="E11186">
        <v>0</v>
      </c>
      <c r="F11186" t="str">
        <f>HYPERLINK("https://github.com/jellyfin/jellyfin-androidtv/issues/2134", "show")</f>
        <v>show</v>
      </c>
      <c r="G11186" t="str">
        <f>HYPERLINK("https://github.com/jellyfin/jellyfin-androidtv", "show")</f>
        <v>show</v>
      </c>
      <c r="H11186" t="str">
        <f>HYPERLINK("https://github.com/jellyfin/jellyfin-androidtv/releases", "show")</f>
        <v>show</v>
      </c>
      <c r="I11186">
        <v>1</v>
      </c>
      <c r="J11186">
        <v>1</v>
      </c>
      <c r="K11186">
        <v>0</v>
      </c>
      <c r="L11186">
        <v>0</v>
      </c>
      <c r="M11186" t="s">
        <v>48</v>
      </c>
    </row>
    <row r="11187" spans="1:13" hidden="1" x14ac:dyDescent="0.15">
      <c r="A11187" t="s">
        <v>35311</v>
      </c>
      <c r="B11187" t="s">
        <v>35312</v>
      </c>
      <c r="C11187" t="s">
        <v>35313</v>
      </c>
      <c r="D11187" t="s">
        <v>35314</v>
      </c>
      <c r="E11187">
        <v>78</v>
      </c>
      <c r="F11187" t="str">
        <f>HYPERLINK("https://github.com/nextcloud/android/issues/10772", "show")</f>
        <v>show</v>
      </c>
      <c r="G11187" t="str">
        <f>HYPERLINK("https://github.com/nextcloud/android", "show")</f>
        <v>show</v>
      </c>
      <c r="H11187" t="str">
        <f>HYPERLINK("https://github.com/nextcloud/android/releases", "show")</f>
        <v>show</v>
      </c>
      <c r="I11187">
        <v>1</v>
      </c>
      <c r="J11187">
        <v>1</v>
      </c>
      <c r="K11187">
        <v>1</v>
      </c>
      <c r="L11187">
        <v>0</v>
      </c>
      <c r="M11187" t="s">
        <v>59</v>
      </c>
    </row>
    <row r="11188" spans="1:13" hidden="1" x14ac:dyDescent="0.15">
      <c r="A11188" t="s">
        <v>35315</v>
      </c>
      <c r="B11188" t="s">
        <v>35316</v>
      </c>
      <c r="C11188" t="s">
        <v>35317</v>
      </c>
      <c r="D11188" t="s">
        <v>35314</v>
      </c>
      <c r="E11188">
        <v>142</v>
      </c>
      <c r="F11188" t="str">
        <f>HYPERLINK("https://github.com/jellyfin/jellyfin-androidtv/issues/2129", "show")</f>
        <v>show</v>
      </c>
      <c r="G11188" t="str">
        <f>HYPERLINK("https://github.com/jellyfin/jellyfin-androidtv", "show")</f>
        <v>show</v>
      </c>
      <c r="H11188" t="str">
        <f>HYPERLINK("https://github.com/jellyfin/jellyfin-androidtv/releases", "show")</f>
        <v>show</v>
      </c>
      <c r="I11188">
        <v>1</v>
      </c>
      <c r="J11188">
        <v>1</v>
      </c>
      <c r="K11188">
        <v>0</v>
      </c>
      <c r="L11188">
        <v>0</v>
      </c>
      <c r="M11188" t="s">
        <v>48</v>
      </c>
    </row>
    <row r="11189" spans="1:13" hidden="1" x14ac:dyDescent="0.15">
      <c r="A11189" t="s">
        <v>35318</v>
      </c>
      <c r="B11189" t="s">
        <v>35319</v>
      </c>
      <c r="C11189" t="s">
        <v>35320</v>
      </c>
      <c r="D11189" t="s">
        <v>35314</v>
      </c>
      <c r="E11189">
        <v>17</v>
      </c>
      <c r="F11189" t="str">
        <f>HYPERLINK("https://github.com/AndroidIDEOfficial/AndroidIDE/issues/488", "show")</f>
        <v>show</v>
      </c>
      <c r="G11189" t="str">
        <f>HYPERLINK("https://github.com/AndroidIDEOfficial/AndroidIDE", "show")</f>
        <v>show</v>
      </c>
      <c r="H11189" t="str">
        <f>HYPERLINK("https://github.com/AndroidIDEOfficial/AndroidIDE/releases", "show")</f>
        <v>show</v>
      </c>
      <c r="I11189">
        <v>1</v>
      </c>
      <c r="J11189">
        <v>0</v>
      </c>
      <c r="K11189">
        <v>1</v>
      </c>
      <c r="L11189">
        <v>0</v>
      </c>
      <c r="M11189" t="s">
        <v>64</v>
      </c>
    </row>
    <row r="11190" spans="1:13" hidden="1" x14ac:dyDescent="0.15">
      <c r="A11190" t="s">
        <v>35321</v>
      </c>
      <c r="B11190" t="s">
        <v>35322</v>
      </c>
      <c r="C11190" t="s">
        <v>35323</v>
      </c>
      <c r="D11190" t="s">
        <v>35324</v>
      </c>
      <c r="E11190">
        <v>0</v>
      </c>
      <c r="F11190" t="str">
        <f>HYPERLINK("https://github.com/Anuken/Mindustry/issues/7643", "show")</f>
        <v>show</v>
      </c>
      <c r="G11190" t="str">
        <f>HYPERLINK("https://github.com/Anuken/Mindustry", "show")</f>
        <v>show</v>
      </c>
      <c r="H11190" t="str">
        <f>HYPERLINK("https://github.com/Anuken/Mindustry/releases", "show")</f>
        <v>show</v>
      </c>
      <c r="I11190">
        <v>0</v>
      </c>
      <c r="J11190">
        <v>0</v>
      </c>
      <c r="K11190">
        <v>0</v>
      </c>
      <c r="L11190">
        <v>0</v>
      </c>
      <c r="M11190" t="s">
        <v>43</v>
      </c>
    </row>
    <row r="11191" spans="1:13" hidden="1" x14ac:dyDescent="0.15">
      <c r="A11191" t="s">
        <v>35325</v>
      </c>
      <c r="B11191" t="s">
        <v>35326</v>
      </c>
      <c r="C11191" t="s">
        <v>35327</v>
      </c>
      <c r="D11191" t="s">
        <v>35324</v>
      </c>
      <c r="E11191">
        <v>1</v>
      </c>
      <c r="F11191" t="str">
        <f>HYPERLINK("https://github.com/LawnchairLauncher/lawnchair/issues/2988", "show")</f>
        <v>show</v>
      </c>
      <c r="G11191" t="str">
        <f>HYPERLINK("https://github.com/LawnchairLauncher/lawnchair", "show")</f>
        <v>show</v>
      </c>
      <c r="H11191" t="str">
        <f>HYPERLINK("https://github.com/LawnchairLauncher/lawnchair/releases", "show")</f>
        <v>show</v>
      </c>
      <c r="I11191">
        <v>1</v>
      </c>
      <c r="J11191">
        <v>1</v>
      </c>
      <c r="K11191">
        <v>1</v>
      </c>
      <c r="L11191">
        <v>0</v>
      </c>
      <c r="M11191" t="s">
        <v>59</v>
      </c>
    </row>
    <row r="11192" spans="1:13" hidden="1" x14ac:dyDescent="0.15">
      <c r="A11192" t="s">
        <v>35328</v>
      </c>
      <c r="B11192" t="s">
        <v>35329</v>
      </c>
      <c r="C11192" t="s">
        <v>35330</v>
      </c>
      <c r="D11192" t="s">
        <v>35324</v>
      </c>
      <c r="E11192">
        <v>107</v>
      </c>
      <c r="F11192" t="str">
        <f>HYPERLINK("https://github.com/MuntashirAkon/AppManager/issues/884", "show")</f>
        <v>show</v>
      </c>
      <c r="G11192" t="str">
        <f>HYPERLINK("https://github.com/MuntashirAkon/AppManager", "show")</f>
        <v>show</v>
      </c>
      <c r="H11192" t="str">
        <f>HYPERLINK("https://github.com/MuntashirAkon/AppManager/releases", "show")</f>
        <v>show</v>
      </c>
      <c r="I11192">
        <v>1</v>
      </c>
      <c r="J11192">
        <v>1</v>
      </c>
      <c r="K11192">
        <v>1</v>
      </c>
      <c r="L11192">
        <v>0</v>
      </c>
      <c r="M11192" t="s">
        <v>59</v>
      </c>
    </row>
    <row r="11193" spans="1:13" hidden="1" x14ac:dyDescent="0.15">
      <c r="A11193" t="s">
        <v>35331</v>
      </c>
      <c r="B11193" t="s">
        <v>35332</v>
      </c>
      <c r="C11193" t="s">
        <v>35333</v>
      </c>
      <c r="D11193" t="s">
        <v>35324</v>
      </c>
      <c r="E11193">
        <v>0</v>
      </c>
      <c r="F11193" t="str">
        <f>HYPERLINK("https://github.com/JoshMkhari/Carte/issues/3", "show")</f>
        <v>show</v>
      </c>
      <c r="G11193" t="str">
        <f>HYPERLINK("https://github.com/JoshMkhari/Carte", "show")</f>
        <v>show</v>
      </c>
      <c r="H11193" t="str">
        <f>HYPERLINK("https://github.com/JoshMkhari/Carte/releases", "show")</f>
        <v>show</v>
      </c>
      <c r="I11193">
        <v>1</v>
      </c>
      <c r="J11193">
        <v>0</v>
      </c>
      <c r="K11193">
        <v>0</v>
      </c>
      <c r="L11193">
        <v>0</v>
      </c>
      <c r="M11193" t="s">
        <v>17</v>
      </c>
    </row>
    <row r="11194" spans="1:13" hidden="1" x14ac:dyDescent="0.15">
      <c r="A11194" t="s">
        <v>35334</v>
      </c>
      <c r="B11194" t="s">
        <v>35335</v>
      </c>
      <c r="C11194" t="s">
        <v>35336</v>
      </c>
      <c r="D11194" t="s">
        <v>35324</v>
      </c>
      <c r="E11194">
        <v>0</v>
      </c>
      <c r="F11194" t="str">
        <f>HYPERLINK("https://github.com/Cosmic-Ide/Cosmic-IDE/issues/216", "show")</f>
        <v>show</v>
      </c>
      <c r="G11194" t="str">
        <f>HYPERLINK("https://github.com/Cosmic-Ide/Cosmic-IDE", "show")</f>
        <v>show</v>
      </c>
      <c r="H11194" t="str">
        <f>HYPERLINK("https://github.com/Cosmic-Ide/Cosmic-IDE/releases", "show")</f>
        <v>show</v>
      </c>
      <c r="I11194">
        <v>1</v>
      </c>
      <c r="J11194">
        <v>0</v>
      </c>
      <c r="K11194">
        <v>0</v>
      </c>
      <c r="L11194">
        <v>1</v>
      </c>
      <c r="M11194" t="s">
        <v>29</v>
      </c>
    </row>
    <row r="11195" spans="1:13" hidden="1" x14ac:dyDescent="0.15">
      <c r="A11195" t="s">
        <v>35337</v>
      </c>
      <c r="B11195" t="s">
        <v>35338</v>
      </c>
      <c r="C11195" t="s">
        <v>35339</v>
      </c>
      <c r="D11195" t="s">
        <v>35324</v>
      </c>
      <c r="E11195">
        <v>0</v>
      </c>
      <c r="F11195" t="str">
        <f>HYPERLINK("https://github.com/Anuken/Mindustry/issues/7638", "show")</f>
        <v>show</v>
      </c>
      <c r="G11195" t="str">
        <f>HYPERLINK("https://github.com/Anuken/Mindustry", "show")</f>
        <v>show</v>
      </c>
      <c r="H11195" t="str">
        <f>HYPERLINK("https://github.com/Anuken/Mindustry/releases", "show")</f>
        <v>show</v>
      </c>
      <c r="I11195">
        <v>0</v>
      </c>
      <c r="J11195">
        <v>0</v>
      </c>
      <c r="K11195">
        <v>0</v>
      </c>
      <c r="L11195">
        <v>0</v>
      </c>
      <c r="M11195" t="s">
        <v>43</v>
      </c>
    </row>
    <row r="11196" spans="1:13" hidden="1" x14ac:dyDescent="0.15">
      <c r="A11196" t="s">
        <v>35340</v>
      </c>
      <c r="B11196" t="s">
        <v>35341</v>
      </c>
      <c r="C11196" t="s">
        <v>35342</v>
      </c>
      <c r="D11196" t="s">
        <v>35343</v>
      </c>
      <c r="E11196">
        <v>5</v>
      </c>
      <c r="F11196" t="str">
        <f>HYPERLINK("https://github.com/jellyfin/jellyfin-androidtv/issues/2125", "show")</f>
        <v>show</v>
      </c>
      <c r="G11196" t="str">
        <f>HYPERLINK("https://github.com/jellyfin/jellyfin-androidtv", "show")</f>
        <v>show</v>
      </c>
      <c r="H11196" t="str">
        <f>HYPERLINK("https://github.com/jellyfin/jellyfin-androidtv/releases", "show")</f>
        <v>show</v>
      </c>
      <c r="I11196">
        <v>1</v>
      </c>
      <c r="J11196">
        <v>1</v>
      </c>
      <c r="K11196">
        <v>1</v>
      </c>
      <c r="L11196">
        <v>0</v>
      </c>
      <c r="M11196" t="s">
        <v>59</v>
      </c>
    </row>
    <row r="11197" spans="1:13" hidden="1" x14ac:dyDescent="0.15">
      <c r="A11197" t="s">
        <v>35344</v>
      </c>
      <c r="B11197" t="s">
        <v>35345</v>
      </c>
      <c r="C11197" t="s">
        <v>35346</v>
      </c>
      <c r="D11197" t="s">
        <v>35343</v>
      </c>
      <c r="E11197">
        <v>0</v>
      </c>
      <c r="F11197" t="str">
        <f>HYPERLINK("https://github.com/patzly/grocy-android/issues/579", "show")</f>
        <v>show</v>
      </c>
      <c r="G11197" t="str">
        <f>HYPERLINK("https://github.com/patzly/grocy-android", "show")</f>
        <v>show</v>
      </c>
      <c r="H11197" t="str">
        <f>HYPERLINK("https://github.com/patzly/grocy-android/releases", "show")</f>
        <v>show</v>
      </c>
      <c r="I11197">
        <v>1</v>
      </c>
      <c r="J11197">
        <v>1</v>
      </c>
      <c r="K11197">
        <v>0</v>
      </c>
      <c r="L11197">
        <v>0</v>
      </c>
      <c r="M11197" t="s">
        <v>48</v>
      </c>
    </row>
    <row r="11198" spans="1:13" hidden="1" x14ac:dyDescent="0.15">
      <c r="A11198" t="s">
        <v>35347</v>
      </c>
      <c r="B11198" t="s">
        <v>35348</v>
      </c>
      <c r="C11198" t="s">
        <v>35349</v>
      </c>
      <c r="D11198" t="s">
        <v>35343</v>
      </c>
      <c r="E11198">
        <v>0</v>
      </c>
      <c r="F11198" t="str">
        <f>HYPERLINK("https://github.com/Anuken/Mindustry/issues/7637", "show")</f>
        <v>show</v>
      </c>
      <c r="G11198" t="str">
        <f>HYPERLINK("https://github.com/Anuken/Mindustry", "show")</f>
        <v>show</v>
      </c>
      <c r="H11198" t="str">
        <f>HYPERLINK("https://github.com/Anuken/Mindustry/releases", "show")</f>
        <v>show</v>
      </c>
      <c r="I11198">
        <v>0</v>
      </c>
      <c r="J11198">
        <v>0</v>
      </c>
      <c r="K11198">
        <v>0</v>
      </c>
      <c r="L11198">
        <v>0</v>
      </c>
      <c r="M11198" t="s">
        <v>43</v>
      </c>
    </row>
    <row r="11199" spans="1:13" hidden="1" x14ac:dyDescent="0.15">
      <c r="A11199" t="s">
        <v>35350</v>
      </c>
      <c r="B11199" t="s">
        <v>35351</v>
      </c>
      <c r="C11199" t="s">
        <v>35352</v>
      </c>
      <c r="D11199" t="s">
        <v>35353</v>
      </c>
      <c r="E11199">
        <v>178</v>
      </c>
      <c r="F11199" t="str">
        <f>HYPERLINK("https://github.com/mollyim/mollyim-android/issues/131", "show")</f>
        <v>show</v>
      </c>
      <c r="G11199" t="str">
        <f>HYPERLINK("https://github.com/mollyim/mollyim-android", "show")</f>
        <v>show</v>
      </c>
      <c r="H11199" t="str">
        <f>HYPERLINK("https://github.com/mollyim/mollyim-android/releases", "show")</f>
        <v>show</v>
      </c>
      <c r="I11199">
        <v>1</v>
      </c>
      <c r="J11199">
        <v>0</v>
      </c>
      <c r="K11199">
        <v>0</v>
      </c>
      <c r="L11199">
        <v>0</v>
      </c>
      <c r="M11199" t="s">
        <v>17</v>
      </c>
    </row>
    <row r="11200" spans="1:13" hidden="1" x14ac:dyDescent="0.15">
      <c r="A11200" t="s">
        <v>35354</v>
      </c>
      <c r="B11200" t="s">
        <v>35355</v>
      </c>
      <c r="C11200" t="s">
        <v>35356</v>
      </c>
      <c r="D11200" t="s">
        <v>35357</v>
      </c>
      <c r="E11200">
        <v>0</v>
      </c>
      <c r="F11200" t="str">
        <f>HYPERLINK("https://github.com/Anuken/Mindustry/issues/7632", "show")</f>
        <v>show</v>
      </c>
      <c r="G11200" t="str">
        <f>HYPERLINK("https://github.com/Anuken/Mindustry", "show")</f>
        <v>show</v>
      </c>
      <c r="H11200" t="str">
        <f>HYPERLINK("https://github.com/Anuken/Mindustry/releases", "show")</f>
        <v>show</v>
      </c>
      <c r="I11200">
        <v>1</v>
      </c>
      <c r="J11200">
        <v>1</v>
      </c>
      <c r="K11200">
        <v>0</v>
      </c>
      <c r="L11200">
        <v>1</v>
      </c>
      <c r="M11200" t="s">
        <v>1894</v>
      </c>
    </row>
    <row r="11201" spans="1:13" hidden="1" x14ac:dyDescent="0.15">
      <c r="A11201" t="s">
        <v>35358</v>
      </c>
      <c r="B11201" t="s">
        <v>35359</v>
      </c>
      <c r="C11201" t="s">
        <v>35360</v>
      </c>
      <c r="D11201" t="s">
        <v>35357</v>
      </c>
      <c r="E11201">
        <v>0</v>
      </c>
      <c r="F11201" t="str">
        <f>HYPERLINK("https://github.com/facebook/react-native/issues/34797", "show")</f>
        <v>show</v>
      </c>
      <c r="G11201" t="str">
        <f>HYPERLINK("https://github.com/facebook/react-native", "show")</f>
        <v>show</v>
      </c>
      <c r="H11201" t="str">
        <f>HYPERLINK("https://github.com/facebook/react-native/releases", "show")</f>
        <v>show</v>
      </c>
      <c r="I11201">
        <v>1</v>
      </c>
      <c r="J11201">
        <v>0</v>
      </c>
      <c r="K11201">
        <v>0</v>
      </c>
      <c r="L11201">
        <v>0</v>
      </c>
      <c r="M11201" t="s">
        <v>17</v>
      </c>
    </row>
    <row r="11202" spans="1:13" hidden="1" x14ac:dyDescent="0.15">
      <c r="A11202" t="s">
        <v>35361</v>
      </c>
      <c r="B11202" t="s">
        <v>35362</v>
      </c>
      <c r="C11202" t="s">
        <v>35363</v>
      </c>
      <c r="D11202" t="s">
        <v>35357</v>
      </c>
      <c r="E11202">
        <v>109</v>
      </c>
      <c r="F11202" t="str">
        <f>HYPERLINK("https://github.com/MuntashirAkon/AppManager/issues/880", "show")</f>
        <v>show</v>
      </c>
      <c r="G11202" t="str">
        <f>HYPERLINK("https://github.com/MuntashirAkon/AppManager", "show")</f>
        <v>show</v>
      </c>
      <c r="H11202" t="str">
        <f>HYPERLINK("https://github.com/MuntashirAkon/AppManager/releases", "show")</f>
        <v>show</v>
      </c>
      <c r="I11202">
        <v>1</v>
      </c>
      <c r="J11202">
        <v>0</v>
      </c>
      <c r="K11202">
        <v>1</v>
      </c>
      <c r="L11202">
        <v>0</v>
      </c>
      <c r="M11202" t="s">
        <v>64</v>
      </c>
    </row>
    <row r="11203" spans="1:13" hidden="1" x14ac:dyDescent="0.15">
      <c r="A11203" t="s">
        <v>35364</v>
      </c>
      <c r="B11203" t="s">
        <v>35365</v>
      </c>
      <c r="C11203" t="s">
        <v>35366</v>
      </c>
      <c r="D11203" t="s">
        <v>35357</v>
      </c>
      <c r="E11203">
        <v>1</v>
      </c>
      <c r="F11203" t="str">
        <f>HYPERLINK("https://github.com/gsantner/markor/issues/1860", "show")</f>
        <v>show</v>
      </c>
      <c r="G11203" t="str">
        <f>HYPERLINK("https://github.com/gsantner/markor", "show")</f>
        <v>show</v>
      </c>
      <c r="H11203" t="str">
        <f>HYPERLINK("https://github.com/gsantner/markor/releases", "show")</f>
        <v>show</v>
      </c>
      <c r="I11203">
        <v>1</v>
      </c>
      <c r="J11203">
        <v>1</v>
      </c>
      <c r="K11203">
        <v>1</v>
      </c>
      <c r="L11203">
        <v>0</v>
      </c>
      <c r="M11203" t="s">
        <v>59</v>
      </c>
    </row>
    <row r="11204" spans="1:13" hidden="1" x14ac:dyDescent="0.15">
      <c r="A11204" t="s">
        <v>35367</v>
      </c>
      <c r="B11204" t="s">
        <v>35368</v>
      </c>
      <c r="C11204" t="s">
        <v>35369</v>
      </c>
      <c r="D11204" t="s">
        <v>35357</v>
      </c>
      <c r="E11204">
        <v>0</v>
      </c>
      <c r="F11204" t="str">
        <f>HYPERLINK("https://github.com/LawnchairLauncher/lawnchair/issues/2984", "show")</f>
        <v>show</v>
      </c>
      <c r="G11204" t="str">
        <f>HYPERLINK("https://github.com/LawnchairLauncher/lawnchair", "show")</f>
        <v>show</v>
      </c>
      <c r="H11204" t="str">
        <f>HYPERLINK("https://github.com/LawnchairLauncher/lawnchair/releases", "show")</f>
        <v>show</v>
      </c>
      <c r="I11204">
        <v>1</v>
      </c>
      <c r="J11204">
        <v>0</v>
      </c>
      <c r="K11204">
        <v>0</v>
      </c>
      <c r="L11204">
        <v>0</v>
      </c>
      <c r="M11204" t="s">
        <v>17</v>
      </c>
    </row>
    <row r="11205" spans="1:13" hidden="1" x14ac:dyDescent="0.15">
      <c r="A11205" t="s">
        <v>35370</v>
      </c>
      <c r="B11205" t="s">
        <v>35371</v>
      </c>
      <c r="C11205" t="s">
        <v>35372</v>
      </c>
      <c r="D11205" t="s">
        <v>35357</v>
      </c>
      <c r="E11205">
        <v>19</v>
      </c>
      <c r="F11205" t="str">
        <f>HYPERLINK("https://github.com/TeamNewPipe/NewPipe/issues/9031", "show")</f>
        <v>show</v>
      </c>
      <c r="G11205" t="str">
        <f>HYPERLINK("https://github.com/TeamNewPipe/NewPipe", "show")</f>
        <v>show</v>
      </c>
      <c r="H11205" t="str">
        <f>HYPERLINK("https://github.com/TeamNewPipe/NewPipe/releases", "show")</f>
        <v>show</v>
      </c>
      <c r="I11205">
        <v>1</v>
      </c>
      <c r="J11205">
        <v>1</v>
      </c>
      <c r="K11205">
        <v>1</v>
      </c>
      <c r="L11205">
        <v>0</v>
      </c>
      <c r="M11205" t="s">
        <v>59</v>
      </c>
    </row>
    <row r="11206" spans="1:13" hidden="1" x14ac:dyDescent="0.15">
      <c r="A11206" t="s">
        <v>35373</v>
      </c>
      <c r="B11206" t="s">
        <v>35374</v>
      </c>
      <c r="D11206" t="s">
        <v>35357</v>
      </c>
      <c r="E11206">
        <v>29</v>
      </c>
      <c r="F11206" t="str">
        <f>HYPERLINK("https://github.com/mit-cml/appinventor-sources/issues/2746", "show")</f>
        <v>show</v>
      </c>
      <c r="G11206" t="str">
        <f>HYPERLINK("https://github.com/mit-cml/appinventor-sources", "show")</f>
        <v>show</v>
      </c>
      <c r="H11206" t="str">
        <f>HYPERLINK("https://github.com/mit-cml/appinventor-sources/releases", "show")</f>
        <v>show</v>
      </c>
      <c r="I11206">
        <v>0</v>
      </c>
      <c r="J11206">
        <v>0</v>
      </c>
      <c r="K11206">
        <v>0</v>
      </c>
      <c r="L11206">
        <v>0</v>
      </c>
      <c r="M11206" t="s">
        <v>43</v>
      </c>
    </row>
    <row r="11207" spans="1:13" hidden="1" x14ac:dyDescent="0.15">
      <c r="A11207" t="s">
        <v>35375</v>
      </c>
      <c r="B11207" t="s">
        <v>35376</v>
      </c>
      <c r="C11207" t="s">
        <v>35377</v>
      </c>
      <c r="D11207" t="s">
        <v>35357</v>
      </c>
      <c r="E11207">
        <v>0</v>
      </c>
      <c r="F11207" t="str">
        <f>HYPERLINK("https://github.com/Anuken/Mindustry/issues/7630", "show")</f>
        <v>show</v>
      </c>
      <c r="G11207" t="str">
        <f>HYPERLINK("https://github.com/Anuken/Mindustry", "show")</f>
        <v>show</v>
      </c>
      <c r="H11207" t="str">
        <f>HYPERLINK("https://github.com/Anuken/Mindustry/releases", "show")</f>
        <v>show</v>
      </c>
      <c r="I11207">
        <v>1</v>
      </c>
      <c r="J11207">
        <v>0</v>
      </c>
      <c r="K11207">
        <v>0</v>
      </c>
      <c r="L11207">
        <v>0</v>
      </c>
      <c r="M11207" t="s">
        <v>17</v>
      </c>
    </row>
    <row r="11208" spans="1:13" hidden="1" x14ac:dyDescent="0.15">
      <c r="A11208" t="s">
        <v>35378</v>
      </c>
      <c r="B11208" t="s">
        <v>35379</v>
      </c>
      <c r="C11208" t="s">
        <v>35380</v>
      </c>
      <c r="D11208" t="s">
        <v>35381</v>
      </c>
      <c r="E11208">
        <v>100</v>
      </c>
      <c r="F11208" t="str">
        <f>HYPERLINK("https://github.com/LawnchairLauncher/lawnchair/issues/2983", "show")</f>
        <v>show</v>
      </c>
      <c r="G11208" t="str">
        <f>HYPERLINK("https://github.com/LawnchairLauncher/lawnchair", "show")</f>
        <v>show</v>
      </c>
      <c r="H11208" t="str">
        <f>HYPERLINK("https://github.com/LawnchairLauncher/lawnchair/releases", "show")</f>
        <v>show</v>
      </c>
      <c r="I11208">
        <v>1</v>
      </c>
      <c r="J11208">
        <v>1</v>
      </c>
      <c r="K11208">
        <v>1</v>
      </c>
      <c r="L11208">
        <v>1</v>
      </c>
      <c r="M11208" t="s">
        <v>2875</v>
      </c>
    </row>
    <row r="11209" spans="1:13" hidden="1" x14ac:dyDescent="0.15">
      <c r="A11209" t="s">
        <v>35382</v>
      </c>
      <c r="B11209" t="s">
        <v>35383</v>
      </c>
      <c r="C11209" t="s">
        <v>35384</v>
      </c>
      <c r="D11209" t="s">
        <v>35381</v>
      </c>
      <c r="E11209">
        <v>0</v>
      </c>
      <c r="F11209" t="str">
        <f>HYPERLINK("https://github.com/PojavLauncherTeam/PojavLauncher/issues/3583", "show")</f>
        <v>show</v>
      </c>
      <c r="G11209" t="str">
        <f>HYPERLINK("https://github.com/PojavLauncherTeam/PojavLauncher", "show")</f>
        <v>show</v>
      </c>
      <c r="H11209" t="str">
        <f>HYPERLINK("https://github.com/PojavLauncherTeam/PojavLauncher/releases", "show")</f>
        <v>show</v>
      </c>
      <c r="I11209">
        <v>0</v>
      </c>
      <c r="J11209">
        <v>0</v>
      </c>
      <c r="K11209">
        <v>0</v>
      </c>
      <c r="L11209">
        <v>0</v>
      </c>
      <c r="M11209" t="s">
        <v>43</v>
      </c>
    </row>
    <row r="11210" spans="1:13" hidden="1" x14ac:dyDescent="0.15">
      <c r="A11210" t="s">
        <v>35385</v>
      </c>
      <c r="B11210" t="s">
        <v>35386</v>
      </c>
      <c r="C11210" t="s">
        <v>35387</v>
      </c>
      <c r="D11210" t="s">
        <v>35388</v>
      </c>
      <c r="E11210">
        <v>1</v>
      </c>
      <c r="F11210" t="str">
        <f>HYPERLINK("https://github.com/Anuken/Mindustry/issues/7626", "show")</f>
        <v>show</v>
      </c>
      <c r="G11210" t="str">
        <f>HYPERLINK("https://github.com/Anuken/Mindustry", "show")</f>
        <v>show</v>
      </c>
      <c r="H11210" t="str">
        <f>HYPERLINK("https://github.com/Anuken/Mindustry/releases", "show")</f>
        <v>show</v>
      </c>
      <c r="I11210">
        <v>0</v>
      </c>
      <c r="J11210">
        <v>0</v>
      </c>
      <c r="K11210">
        <v>0</v>
      </c>
      <c r="L11210">
        <v>0</v>
      </c>
      <c r="M11210" t="s">
        <v>43</v>
      </c>
    </row>
    <row r="11211" spans="1:13" hidden="1" x14ac:dyDescent="0.15">
      <c r="A11211" t="s">
        <v>35389</v>
      </c>
      <c r="B11211" t="s">
        <v>31484</v>
      </c>
      <c r="C11211" t="s">
        <v>35390</v>
      </c>
      <c r="D11211" t="s">
        <v>35388</v>
      </c>
      <c r="E11211">
        <v>0</v>
      </c>
      <c r="F11211" t="str">
        <f>HYPERLINK("https://github.com/AndroidIDEOfficial/AndroidIDE/issues/468", "show")</f>
        <v>show</v>
      </c>
      <c r="G11211" t="str">
        <f>HYPERLINK("https://github.com/AndroidIDEOfficial/AndroidIDE", "show")</f>
        <v>show</v>
      </c>
      <c r="H11211" t="str">
        <f>HYPERLINK("https://github.com/AndroidIDEOfficial/AndroidIDE/releases", "show")</f>
        <v>show</v>
      </c>
      <c r="I11211">
        <v>0</v>
      </c>
      <c r="J11211">
        <v>0</v>
      </c>
      <c r="K11211">
        <v>1</v>
      </c>
      <c r="L11211">
        <v>0</v>
      </c>
      <c r="M11211" t="s">
        <v>122</v>
      </c>
    </row>
    <row r="11212" spans="1:13" hidden="1" x14ac:dyDescent="0.15">
      <c r="A11212" t="s">
        <v>35391</v>
      </c>
      <c r="B11212" t="s">
        <v>35392</v>
      </c>
      <c r="C11212" t="s">
        <v>35393</v>
      </c>
      <c r="D11212" t="s">
        <v>35394</v>
      </c>
      <c r="E11212">
        <v>1</v>
      </c>
      <c r="F11212" t="str">
        <f>HYPERLINK("https://github.com/AndroidIDEOfficial/AndroidIDE/issues/467", "show")</f>
        <v>show</v>
      </c>
      <c r="G11212" t="str">
        <f>HYPERLINK("https://github.com/AndroidIDEOfficial/AndroidIDE", "show")</f>
        <v>show</v>
      </c>
      <c r="H11212" t="str">
        <f>HYPERLINK("https://github.com/AndroidIDEOfficial/AndroidIDE/releases", "show")</f>
        <v>show</v>
      </c>
      <c r="I11212">
        <v>1</v>
      </c>
      <c r="J11212">
        <v>0</v>
      </c>
      <c r="K11212">
        <v>1</v>
      </c>
      <c r="L11212">
        <v>0</v>
      </c>
      <c r="M11212" t="s">
        <v>64</v>
      </c>
    </row>
    <row r="11213" spans="1:13" hidden="1" x14ac:dyDescent="0.15">
      <c r="A11213" t="s">
        <v>35395</v>
      </c>
      <c r="B11213" t="s">
        <v>35396</v>
      </c>
      <c r="C11213" t="s">
        <v>35397</v>
      </c>
      <c r="D11213" t="s">
        <v>35394</v>
      </c>
      <c r="E11213">
        <v>3</v>
      </c>
      <c r="F11213" t="str">
        <f>HYPERLINK("https://github.com/TeamNewPipe/NewPipe/issues/9019", "show")</f>
        <v>show</v>
      </c>
      <c r="G11213" t="str">
        <f>HYPERLINK("https://github.com/TeamNewPipe/NewPipe", "show")</f>
        <v>show</v>
      </c>
      <c r="H11213" t="str">
        <f>HYPERLINK("https://github.com/TeamNewPipe/NewPipe/releases", "show")</f>
        <v>show</v>
      </c>
      <c r="I11213">
        <v>0</v>
      </c>
      <c r="J11213">
        <v>1</v>
      </c>
      <c r="K11213">
        <v>1</v>
      </c>
      <c r="L11213">
        <v>0</v>
      </c>
      <c r="M11213" t="s">
        <v>699</v>
      </c>
    </row>
    <row r="11214" spans="1:13" hidden="1" x14ac:dyDescent="0.15">
      <c r="A11214" t="s">
        <v>35398</v>
      </c>
      <c r="B11214" t="s">
        <v>35399</v>
      </c>
      <c r="C11214" t="s">
        <v>35400</v>
      </c>
      <c r="D11214" t="s">
        <v>35394</v>
      </c>
      <c r="E11214">
        <v>83</v>
      </c>
      <c r="F11214" t="str">
        <f>HYPERLINK("https://github.com/cgeo/cgeo/issues/13434", "show")</f>
        <v>show</v>
      </c>
      <c r="G11214" t="str">
        <f>HYPERLINK("https://github.com/cgeo/cgeo", "show")</f>
        <v>show</v>
      </c>
      <c r="H11214" t="str">
        <f>HYPERLINK("https://github.com/cgeo/cgeo/releases", "show")</f>
        <v>show</v>
      </c>
      <c r="I11214">
        <v>0</v>
      </c>
      <c r="J11214">
        <v>0</v>
      </c>
      <c r="K11214">
        <v>1</v>
      </c>
      <c r="L11214">
        <v>0</v>
      </c>
      <c r="M11214" t="s">
        <v>122</v>
      </c>
    </row>
    <row r="11215" spans="1:13" hidden="1" x14ac:dyDescent="0.15">
      <c r="A11215" t="s">
        <v>35401</v>
      </c>
      <c r="B11215" t="s">
        <v>35402</v>
      </c>
      <c r="C11215" t="s">
        <v>35403</v>
      </c>
      <c r="D11215" t="s">
        <v>35394</v>
      </c>
      <c r="E11215">
        <v>217</v>
      </c>
      <c r="F11215" t="str">
        <f>HYPERLINK("https://github.com/mit-cml/appinventor-sources/issues/2735", "show")</f>
        <v>show</v>
      </c>
      <c r="G11215" t="str">
        <f>HYPERLINK("https://github.com/mit-cml/appinventor-sources", "show")</f>
        <v>show</v>
      </c>
      <c r="H11215" t="str">
        <f>HYPERLINK("https://github.com/mit-cml/appinventor-sources/releases", "show")</f>
        <v>show</v>
      </c>
      <c r="I11215">
        <v>1</v>
      </c>
      <c r="J11215">
        <v>1</v>
      </c>
      <c r="K11215">
        <v>0</v>
      </c>
      <c r="L11215">
        <v>1</v>
      </c>
      <c r="M11215" t="s">
        <v>1894</v>
      </c>
    </row>
    <row r="11216" spans="1:13" hidden="1" x14ac:dyDescent="0.15">
      <c r="A11216" t="s">
        <v>35404</v>
      </c>
      <c r="B11216" t="s">
        <v>35405</v>
      </c>
      <c r="C11216" t="s">
        <v>35406</v>
      </c>
      <c r="D11216" t="s">
        <v>35407</v>
      </c>
      <c r="E11216">
        <v>123</v>
      </c>
      <c r="F11216" t="str">
        <f>HYPERLINK("https://github.com/SORMAS-Foundation/SORMAS-Project/issues/10436", "show")</f>
        <v>show</v>
      </c>
      <c r="G11216" t="str">
        <f>HYPERLINK("https://github.com/SORMAS-Foundation/SORMAS-Project", "show")</f>
        <v>show</v>
      </c>
      <c r="H11216" t="str">
        <f>HYPERLINK("https://github.com/SORMAS-Foundation/SORMAS-Project/releases", "show")</f>
        <v>show</v>
      </c>
      <c r="I11216">
        <v>1</v>
      </c>
      <c r="J11216">
        <v>1</v>
      </c>
      <c r="K11216">
        <v>0</v>
      </c>
      <c r="L11216">
        <v>1</v>
      </c>
      <c r="M11216" t="s">
        <v>1894</v>
      </c>
    </row>
    <row r="11217" spans="1:13" hidden="1" x14ac:dyDescent="0.15">
      <c r="A11217" t="s">
        <v>35408</v>
      </c>
      <c r="B11217" t="s">
        <v>35409</v>
      </c>
      <c r="C11217" t="s">
        <v>35410</v>
      </c>
      <c r="D11217" t="s">
        <v>35407</v>
      </c>
      <c r="E11217">
        <v>38</v>
      </c>
      <c r="F11217" t="str">
        <f>HYPERLINK("https://github.com/AppLovin/AppLovin-MAX-React-Native/issues/111", "show")</f>
        <v>show</v>
      </c>
      <c r="G11217" t="str">
        <f>HYPERLINK("https://github.com/AppLovin/AppLovin-MAX-React-Native", "show")</f>
        <v>show</v>
      </c>
      <c r="H11217" t="str">
        <f>HYPERLINK("https://github.com/AppLovin/AppLovin-MAX-React-Native/releases", "show")</f>
        <v>show</v>
      </c>
      <c r="I11217">
        <v>0</v>
      </c>
      <c r="J11217">
        <v>0</v>
      </c>
      <c r="K11217">
        <v>0</v>
      </c>
      <c r="L11217">
        <v>0</v>
      </c>
      <c r="M11217" t="s">
        <v>43</v>
      </c>
    </row>
    <row r="11218" spans="1:13" hidden="1" x14ac:dyDescent="0.15">
      <c r="A11218" t="s">
        <v>35411</v>
      </c>
      <c r="B11218" t="s">
        <v>35412</v>
      </c>
      <c r="C11218" t="s">
        <v>35413</v>
      </c>
      <c r="D11218" t="s">
        <v>35407</v>
      </c>
      <c r="E11218">
        <v>0</v>
      </c>
      <c r="F11218" t="str">
        <f>HYPERLINK("https://github.com/nextcloud/android/issues/10757", "show")</f>
        <v>show</v>
      </c>
      <c r="G11218" t="str">
        <f>HYPERLINK("https://github.com/nextcloud/android", "show")</f>
        <v>show</v>
      </c>
      <c r="H11218" t="str">
        <f>HYPERLINK("https://github.com/nextcloud/android/releases", "show")</f>
        <v>show</v>
      </c>
      <c r="I11218">
        <v>1</v>
      </c>
      <c r="J11218">
        <v>1</v>
      </c>
      <c r="K11218">
        <v>1</v>
      </c>
      <c r="L11218">
        <v>1</v>
      </c>
      <c r="M11218" t="s">
        <v>2875</v>
      </c>
    </row>
    <row r="11219" spans="1:13" hidden="1" x14ac:dyDescent="0.15">
      <c r="A11219" t="s">
        <v>35414</v>
      </c>
      <c r="B11219" t="s">
        <v>35415</v>
      </c>
      <c r="C11219" t="s">
        <v>35416</v>
      </c>
      <c r="D11219" t="s">
        <v>35417</v>
      </c>
      <c r="E11219">
        <v>0</v>
      </c>
      <c r="F11219" t="str">
        <f>HYPERLINK("https://github.com/Anuken/Mindustry/issues/7608", "show")</f>
        <v>show</v>
      </c>
      <c r="G11219" t="str">
        <f>HYPERLINK("https://github.com/Anuken/Mindustry", "show")</f>
        <v>show</v>
      </c>
      <c r="H11219" t="str">
        <f>HYPERLINK("https://github.com/Anuken/Mindustry/releases", "show")</f>
        <v>show</v>
      </c>
      <c r="I11219">
        <v>1</v>
      </c>
      <c r="J11219">
        <v>1</v>
      </c>
      <c r="K11219">
        <v>0</v>
      </c>
      <c r="L11219">
        <v>0</v>
      </c>
      <c r="M11219" t="s">
        <v>48</v>
      </c>
    </row>
    <row r="11220" spans="1:13" hidden="1" x14ac:dyDescent="0.15">
      <c r="A11220" t="s">
        <v>35418</v>
      </c>
      <c r="B11220" t="s">
        <v>35419</v>
      </c>
      <c r="C11220" t="s">
        <v>35420</v>
      </c>
      <c r="D11220" t="s">
        <v>35417</v>
      </c>
      <c r="E11220">
        <v>4</v>
      </c>
      <c r="F11220" t="str">
        <f>HYPERLINK("https://github.com/AndroidIDEOfficial/AndroidIDE/issues/457", "show")</f>
        <v>show</v>
      </c>
      <c r="G11220" t="str">
        <f>HYPERLINK("https://github.com/AndroidIDEOfficial/AndroidIDE", "show")</f>
        <v>show</v>
      </c>
      <c r="H11220" t="str">
        <f>HYPERLINK("https://github.com/AndroidIDEOfficial/AndroidIDE/releases", "show")</f>
        <v>show</v>
      </c>
      <c r="I11220">
        <v>1</v>
      </c>
      <c r="J11220">
        <v>0</v>
      </c>
      <c r="K11220">
        <v>1</v>
      </c>
      <c r="L11220">
        <v>0</v>
      </c>
      <c r="M11220" t="s">
        <v>64</v>
      </c>
    </row>
    <row r="11221" spans="1:13" hidden="1" x14ac:dyDescent="0.15">
      <c r="A11221" t="s">
        <v>35421</v>
      </c>
      <c r="B11221" t="s">
        <v>35422</v>
      </c>
      <c r="C11221" t="s">
        <v>35423</v>
      </c>
      <c r="D11221" t="s">
        <v>35417</v>
      </c>
      <c r="E11221">
        <v>10</v>
      </c>
      <c r="F11221" t="str">
        <f>HYPERLINK("https://github.com/PojavLauncherTeam/PojavLauncher/issues/3575", "show")</f>
        <v>show</v>
      </c>
      <c r="G11221" t="str">
        <f>HYPERLINK("https://github.com/PojavLauncherTeam/PojavLauncher", "show")</f>
        <v>show</v>
      </c>
      <c r="H11221" t="str">
        <f>HYPERLINK("https://github.com/PojavLauncherTeam/PojavLauncher/releases", "show")</f>
        <v>show</v>
      </c>
      <c r="I11221">
        <v>0</v>
      </c>
      <c r="J11221">
        <v>0</v>
      </c>
      <c r="K11221">
        <v>0</v>
      </c>
      <c r="L11221">
        <v>0</v>
      </c>
      <c r="M11221" t="s">
        <v>43</v>
      </c>
    </row>
    <row r="11222" spans="1:13" hidden="1" x14ac:dyDescent="0.15">
      <c r="A11222" t="s">
        <v>35424</v>
      </c>
      <c r="B11222" t="s">
        <v>35425</v>
      </c>
      <c r="D11222" t="s">
        <v>35426</v>
      </c>
      <c r="E11222">
        <v>6</v>
      </c>
      <c r="F11222" t="str">
        <f>HYPERLINK("https://github.com/Yerionimous2/JulyTimer/issues/20", "show")</f>
        <v>show</v>
      </c>
      <c r="G11222" t="str">
        <f>HYPERLINK("https://github.com/Yerionimous2/JulyTimer", "show")</f>
        <v>show</v>
      </c>
      <c r="H11222" t="str">
        <f>HYPERLINK("https://github.com/Yerionimous2/JulyTimer/releases", "show")</f>
        <v>show</v>
      </c>
      <c r="I11222">
        <v>1</v>
      </c>
      <c r="J11222">
        <v>0</v>
      </c>
      <c r="K11222">
        <v>0</v>
      </c>
      <c r="L11222">
        <v>0</v>
      </c>
      <c r="M11222" t="s">
        <v>17</v>
      </c>
    </row>
    <row r="11223" spans="1:13" hidden="1" x14ac:dyDescent="0.15">
      <c r="A11223" t="s">
        <v>35427</v>
      </c>
      <c r="B11223" t="s">
        <v>35428</v>
      </c>
      <c r="D11223" t="s">
        <v>35426</v>
      </c>
      <c r="E11223">
        <v>12</v>
      </c>
      <c r="F11223" t="str">
        <f>HYPERLINK("https://github.com/sspanak/tt9/issues/64", "show")</f>
        <v>show</v>
      </c>
      <c r="G11223" t="str">
        <f>HYPERLINK("https://github.com/sspanak/tt9", "show")</f>
        <v>show</v>
      </c>
      <c r="H11223" t="str">
        <f>HYPERLINK("https://github.com/sspanak/tt9/releases", "show")</f>
        <v>show</v>
      </c>
      <c r="I11223">
        <v>1</v>
      </c>
      <c r="J11223">
        <v>0</v>
      </c>
      <c r="K11223">
        <v>0</v>
      </c>
      <c r="L11223">
        <v>0</v>
      </c>
      <c r="M11223" t="s">
        <v>17</v>
      </c>
    </row>
    <row r="11224" spans="1:13" x14ac:dyDescent="0.15">
      <c r="A11224" t="s">
        <v>35429</v>
      </c>
      <c r="B11224" t="s">
        <v>35430</v>
      </c>
      <c r="C11224" t="s">
        <v>35431</v>
      </c>
      <c r="D11224" t="s">
        <v>35426</v>
      </c>
      <c r="E11224">
        <v>21</v>
      </c>
      <c r="F11224" t="str">
        <f>HYPERLINK("https://github.com/GoogleCloudPlatform/fda-mystudies/issues/4976", "show")</f>
        <v>show</v>
      </c>
      <c r="G11224" t="str">
        <f>HYPERLINK("https://github.com/GoogleCloudPlatform/fda-mystudies", "show")</f>
        <v>show</v>
      </c>
      <c r="H11224" t="str">
        <f>HYPERLINK("https://github.com/GoogleCloudPlatform/fda-mystudies/releases", "show")</f>
        <v>show</v>
      </c>
      <c r="I11224">
        <v>0</v>
      </c>
      <c r="J11224">
        <v>1</v>
      </c>
      <c r="K11224">
        <v>0</v>
      </c>
      <c r="L11224">
        <v>0</v>
      </c>
      <c r="M11224" t="s">
        <v>139</v>
      </c>
    </row>
    <row r="11225" spans="1:13" x14ac:dyDescent="0.15">
      <c r="A11225" t="s">
        <v>35432</v>
      </c>
      <c r="B11225" t="s">
        <v>35433</v>
      </c>
      <c r="C11225" t="s">
        <v>35434</v>
      </c>
      <c r="D11225" t="s">
        <v>35426</v>
      </c>
      <c r="E11225">
        <v>64</v>
      </c>
      <c r="F11225" t="str">
        <f>HYPERLINK("https://github.com/dariuszseweryn/RxAndroidBle/issues/811", "show")</f>
        <v>show</v>
      </c>
      <c r="G11225" t="str">
        <f>HYPERLINK("https://github.com/dariuszseweryn/RxAndroidBle", "show")</f>
        <v>show</v>
      </c>
      <c r="H11225" t="str">
        <f>HYPERLINK("https://github.com/dariuszseweryn/RxAndroidBle/releases", "show")</f>
        <v>show</v>
      </c>
      <c r="I11225">
        <v>0</v>
      </c>
      <c r="J11225">
        <v>1</v>
      </c>
      <c r="K11225">
        <v>0</v>
      </c>
      <c r="L11225">
        <v>0</v>
      </c>
      <c r="M11225" t="s">
        <v>139</v>
      </c>
    </row>
    <row r="11226" spans="1:13" hidden="1" x14ac:dyDescent="0.15">
      <c r="A11226" t="s">
        <v>35435</v>
      </c>
      <c r="B11226" t="s">
        <v>10882</v>
      </c>
      <c r="C11226" t="s">
        <v>35436</v>
      </c>
      <c r="D11226" t="s">
        <v>35426</v>
      </c>
      <c r="E11226">
        <v>11</v>
      </c>
      <c r="F11226" t="str">
        <f>HYPERLINK("https://github.com/PojavLauncherTeam/PojavLauncher/issues/3573", "show")</f>
        <v>show</v>
      </c>
      <c r="G11226" t="str">
        <f>HYPERLINK("https://github.com/PojavLauncherTeam/PojavLauncher", "show")</f>
        <v>show</v>
      </c>
      <c r="H11226" t="str">
        <f>HYPERLINK("https://github.com/PojavLauncherTeam/PojavLauncher/releases", "show")</f>
        <v>show</v>
      </c>
      <c r="I11226">
        <v>1</v>
      </c>
      <c r="J11226">
        <v>1</v>
      </c>
      <c r="K11226">
        <v>0</v>
      </c>
      <c r="L11226">
        <v>0</v>
      </c>
      <c r="M11226" t="s">
        <v>48</v>
      </c>
    </row>
    <row r="11227" spans="1:13" hidden="1" x14ac:dyDescent="0.15">
      <c r="A11227" t="s">
        <v>35437</v>
      </c>
      <c r="B11227" t="s">
        <v>35438</v>
      </c>
      <c r="C11227" t="s">
        <v>35439</v>
      </c>
      <c r="D11227" t="s">
        <v>35440</v>
      </c>
      <c r="E11227">
        <v>6</v>
      </c>
      <c r="F11227" t="str">
        <f>HYPERLINK("https://github.com/forrestguice/SuntimesWidget/issues/623", "show")</f>
        <v>show</v>
      </c>
      <c r="G11227" t="str">
        <f>HYPERLINK("https://github.com/forrestguice/SuntimesWidget", "show")</f>
        <v>show</v>
      </c>
      <c r="H11227" t="str">
        <f>HYPERLINK("https://github.com/forrestguice/SuntimesWidget/releases", "show")</f>
        <v>show</v>
      </c>
      <c r="I11227">
        <v>1</v>
      </c>
      <c r="J11227">
        <v>1</v>
      </c>
      <c r="K11227">
        <v>0</v>
      </c>
      <c r="L11227">
        <v>1</v>
      </c>
      <c r="M11227" t="s">
        <v>1894</v>
      </c>
    </row>
    <row r="11228" spans="1:13" hidden="1" x14ac:dyDescent="0.15">
      <c r="A11228" t="s">
        <v>35441</v>
      </c>
      <c r="B11228" t="s">
        <v>35442</v>
      </c>
      <c r="C11228" t="s">
        <v>35443</v>
      </c>
      <c r="D11228" t="s">
        <v>35440</v>
      </c>
      <c r="E11228">
        <v>7</v>
      </c>
      <c r="F11228" t="str">
        <f>HYPERLINK("https://github.com/LawnchairLauncher/lawnchair/issues/2972", "show")</f>
        <v>show</v>
      </c>
      <c r="G11228" t="str">
        <f>HYPERLINK("https://github.com/LawnchairLauncher/lawnchair", "show")</f>
        <v>show</v>
      </c>
      <c r="H11228" t="str">
        <f>HYPERLINK("https://github.com/LawnchairLauncher/lawnchair/releases", "show")</f>
        <v>show</v>
      </c>
      <c r="I11228">
        <v>1</v>
      </c>
      <c r="J11228">
        <v>1</v>
      </c>
      <c r="K11228">
        <v>1</v>
      </c>
      <c r="L11228">
        <v>0</v>
      </c>
      <c r="M11228" t="s">
        <v>59</v>
      </c>
    </row>
    <row r="11229" spans="1:13" hidden="1" x14ac:dyDescent="0.15">
      <c r="A11229" t="s">
        <v>35444</v>
      </c>
      <c r="B11229" t="s">
        <v>35445</v>
      </c>
      <c r="C11229" t="s">
        <v>35446</v>
      </c>
      <c r="D11229" t="s">
        <v>35440</v>
      </c>
      <c r="E11229">
        <v>0</v>
      </c>
      <c r="F11229" t="str">
        <f>HYPERLINK("https://github.com/LawnchairLauncher/lawnchair/issues/2971", "show")</f>
        <v>show</v>
      </c>
      <c r="G11229" t="str">
        <f>HYPERLINK("https://github.com/LawnchairLauncher/lawnchair", "show")</f>
        <v>show</v>
      </c>
      <c r="H11229" t="str">
        <f>HYPERLINK("https://github.com/LawnchairLauncher/lawnchair/releases", "show")</f>
        <v>show</v>
      </c>
      <c r="I11229">
        <v>1</v>
      </c>
      <c r="J11229">
        <v>1</v>
      </c>
      <c r="K11229">
        <v>1</v>
      </c>
      <c r="L11229">
        <v>0</v>
      </c>
      <c r="M11229" t="s">
        <v>59</v>
      </c>
    </row>
    <row r="11230" spans="1:13" hidden="1" x14ac:dyDescent="0.15">
      <c r="A11230" t="s">
        <v>35447</v>
      </c>
      <c r="B11230" t="s">
        <v>35448</v>
      </c>
      <c r="C11230" t="s">
        <v>35449</v>
      </c>
      <c r="D11230" t="s">
        <v>35440</v>
      </c>
      <c r="E11230">
        <v>1</v>
      </c>
      <c r="F11230" t="str">
        <f>HYPERLINK("https://github.com/LawnchairLauncher/lawnchair/issues/2970", "show")</f>
        <v>show</v>
      </c>
      <c r="G11230" t="str">
        <f>HYPERLINK("https://github.com/LawnchairLauncher/lawnchair", "show")</f>
        <v>show</v>
      </c>
      <c r="H11230" t="str">
        <f>HYPERLINK("https://github.com/LawnchairLauncher/lawnchair/releases", "show")</f>
        <v>show</v>
      </c>
      <c r="I11230">
        <v>0</v>
      </c>
      <c r="J11230">
        <v>1</v>
      </c>
      <c r="K11230">
        <v>1</v>
      </c>
      <c r="L11230">
        <v>0</v>
      </c>
      <c r="M11230" t="s">
        <v>699</v>
      </c>
    </row>
    <row r="11231" spans="1:13" hidden="1" x14ac:dyDescent="0.15">
      <c r="A11231" t="s">
        <v>35450</v>
      </c>
      <c r="B11231" t="s">
        <v>16005</v>
      </c>
      <c r="C11231" t="s">
        <v>35451</v>
      </c>
      <c r="D11231" t="s">
        <v>35440</v>
      </c>
      <c r="E11231">
        <v>1</v>
      </c>
      <c r="F11231" t="str">
        <f>HYPERLINK("https://github.com/LawnchairLauncher/lawnchair/issues/2969", "show")</f>
        <v>show</v>
      </c>
      <c r="G11231" t="str">
        <f>HYPERLINK("https://github.com/LawnchairLauncher/lawnchair", "show")</f>
        <v>show</v>
      </c>
      <c r="H11231" t="str">
        <f>HYPERLINK("https://github.com/LawnchairLauncher/lawnchair/releases", "show")</f>
        <v>show</v>
      </c>
      <c r="I11231">
        <v>0</v>
      </c>
      <c r="J11231">
        <v>1</v>
      </c>
      <c r="K11231">
        <v>1</v>
      </c>
      <c r="L11231">
        <v>0</v>
      </c>
      <c r="M11231" t="s">
        <v>699</v>
      </c>
    </row>
    <row r="11232" spans="1:13" hidden="1" x14ac:dyDescent="0.15">
      <c r="A11232" t="s">
        <v>35452</v>
      </c>
      <c r="B11232" t="s">
        <v>35453</v>
      </c>
      <c r="C11232" t="s">
        <v>35454</v>
      </c>
      <c r="D11232" t="s">
        <v>35455</v>
      </c>
      <c r="E11232">
        <v>2</v>
      </c>
      <c r="F11232" t="str">
        <f>HYPERLINK("https://github.com/Aliucord/Aliucord/issues/269", "show")</f>
        <v>show</v>
      </c>
      <c r="G11232" t="str">
        <f>HYPERLINK("https://github.com/Aliucord/Aliucord", "show")</f>
        <v>show</v>
      </c>
      <c r="H11232" t="str">
        <f>HYPERLINK("https://github.com/Aliucord/Aliucord/releases", "show")</f>
        <v>show</v>
      </c>
      <c r="I11232">
        <v>1</v>
      </c>
      <c r="J11232">
        <v>0</v>
      </c>
      <c r="K11232">
        <v>0</v>
      </c>
      <c r="L11232">
        <v>0</v>
      </c>
      <c r="M11232" t="s">
        <v>17</v>
      </c>
    </row>
    <row r="11233" spans="1:13" hidden="1" x14ac:dyDescent="0.15">
      <c r="A11233" t="s">
        <v>35456</v>
      </c>
      <c r="B11233" t="s">
        <v>35457</v>
      </c>
      <c r="C11233" t="s">
        <v>35458</v>
      </c>
      <c r="D11233" t="s">
        <v>35455</v>
      </c>
      <c r="E11233">
        <v>0</v>
      </c>
      <c r="F11233" t="str">
        <f>HYPERLINK("https://github.com/jellyfin/jellyfin-androidtv/issues/2079", "show")</f>
        <v>show</v>
      </c>
      <c r="G11233" t="str">
        <f>HYPERLINK("https://github.com/jellyfin/jellyfin-androidtv", "show")</f>
        <v>show</v>
      </c>
      <c r="H11233" t="str">
        <f>HYPERLINK("https://github.com/jellyfin/jellyfin-androidtv/releases", "show")</f>
        <v>show</v>
      </c>
      <c r="I11233">
        <v>1</v>
      </c>
      <c r="J11233">
        <v>0</v>
      </c>
      <c r="K11233">
        <v>0</v>
      </c>
      <c r="L11233">
        <v>0</v>
      </c>
      <c r="M11233" t="s">
        <v>17</v>
      </c>
    </row>
    <row r="11234" spans="1:13" hidden="1" x14ac:dyDescent="0.15">
      <c r="A11234" t="s">
        <v>35459</v>
      </c>
      <c r="B11234" t="s">
        <v>35460</v>
      </c>
      <c r="C11234" t="s">
        <v>35461</v>
      </c>
      <c r="D11234" t="s">
        <v>35455</v>
      </c>
      <c r="E11234">
        <v>3</v>
      </c>
      <c r="F11234" t="str">
        <f>HYPERLINK("https://github.com/Picovoice/flutter-voice-processor/issues/9", "show")</f>
        <v>show</v>
      </c>
      <c r="G11234" t="str">
        <f>HYPERLINK("https://github.com/Picovoice/flutter-voice-processor", "show")</f>
        <v>show</v>
      </c>
      <c r="H11234" t="str">
        <f>HYPERLINK("https://github.com/Picovoice/flutter-voice-processor/releases", "show")</f>
        <v>show</v>
      </c>
      <c r="I11234">
        <v>1</v>
      </c>
      <c r="J11234">
        <v>1</v>
      </c>
      <c r="K11234">
        <v>0</v>
      </c>
      <c r="L11234">
        <v>0</v>
      </c>
      <c r="M11234" t="s">
        <v>48</v>
      </c>
    </row>
    <row r="11235" spans="1:13" hidden="1" x14ac:dyDescent="0.15">
      <c r="A11235" t="s">
        <v>35462</v>
      </c>
      <c r="B11235" t="s">
        <v>35463</v>
      </c>
      <c r="C11235" t="s">
        <v>35464</v>
      </c>
      <c r="D11235" t="s">
        <v>35455</v>
      </c>
      <c r="E11235">
        <v>98</v>
      </c>
      <c r="F11235" t="str">
        <f>HYPERLINK("https://github.com/LawnchairLauncher/lawnchair/issues/2966", "show")</f>
        <v>show</v>
      </c>
      <c r="G11235" t="str">
        <f>HYPERLINK("https://github.com/LawnchairLauncher/lawnchair", "show")</f>
        <v>show</v>
      </c>
      <c r="H11235" t="str">
        <f>HYPERLINK("https://github.com/LawnchairLauncher/lawnchair/releases", "show")</f>
        <v>show</v>
      </c>
      <c r="I11235">
        <v>1</v>
      </c>
      <c r="J11235">
        <v>1</v>
      </c>
      <c r="K11235">
        <v>1</v>
      </c>
      <c r="L11235">
        <v>0</v>
      </c>
      <c r="M11235" t="s">
        <v>59</v>
      </c>
    </row>
    <row r="11236" spans="1:13" hidden="1" x14ac:dyDescent="0.15">
      <c r="A11236" t="s">
        <v>35465</v>
      </c>
      <c r="B11236" t="s">
        <v>35466</v>
      </c>
      <c r="C11236" t="s">
        <v>35467</v>
      </c>
      <c r="D11236" t="s">
        <v>35468</v>
      </c>
      <c r="E11236">
        <v>5</v>
      </c>
      <c r="F11236" t="str">
        <f>HYPERLINK("https://github.com/nextcloud/android/issues/10747", "show")</f>
        <v>show</v>
      </c>
      <c r="G11236" t="str">
        <f>HYPERLINK("https://github.com/nextcloud/android", "show")</f>
        <v>show</v>
      </c>
      <c r="H11236" t="str">
        <f>HYPERLINK("https://github.com/nextcloud/android/releases", "show")</f>
        <v>show</v>
      </c>
      <c r="I11236">
        <v>0</v>
      </c>
      <c r="J11236">
        <v>0</v>
      </c>
      <c r="K11236">
        <v>1</v>
      </c>
      <c r="L11236">
        <v>0</v>
      </c>
      <c r="M11236" t="s">
        <v>122</v>
      </c>
    </row>
    <row r="11237" spans="1:13" hidden="1" x14ac:dyDescent="0.15">
      <c r="A11237" t="s">
        <v>35469</v>
      </c>
      <c r="B11237" t="s">
        <v>35470</v>
      </c>
      <c r="C11237" t="s">
        <v>35471</v>
      </c>
      <c r="D11237" t="s">
        <v>35468</v>
      </c>
      <c r="E11237">
        <v>14</v>
      </c>
      <c r="F11237" t="str">
        <f>HYPERLINK("https://github.com/PojavLauncherTeam/PojavLauncher/issues/3567", "show")</f>
        <v>show</v>
      </c>
      <c r="G11237" t="str">
        <f>HYPERLINK("https://github.com/PojavLauncherTeam/PojavLauncher", "show")</f>
        <v>show</v>
      </c>
      <c r="H11237" t="str">
        <f>HYPERLINK("https://github.com/PojavLauncherTeam/PojavLauncher/releases", "show")</f>
        <v>show</v>
      </c>
      <c r="I11237">
        <v>1</v>
      </c>
      <c r="J11237">
        <v>1</v>
      </c>
      <c r="K11237">
        <v>0</v>
      </c>
      <c r="L11237">
        <v>0</v>
      </c>
      <c r="M11237" t="s">
        <v>48</v>
      </c>
    </row>
    <row r="11238" spans="1:13" x14ac:dyDescent="0.15">
      <c r="A11238" t="s">
        <v>35472</v>
      </c>
      <c r="B11238" t="s">
        <v>35473</v>
      </c>
      <c r="C11238" t="s">
        <v>35474</v>
      </c>
      <c r="D11238" t="s">
        <v>35468</v>
      </c>
      <c r="E11238">
        <v>3</v>
      </c>
      <c r="F11238" t="str">
        <f>HYPERLINK("https://github.com/MuntashirAkon/AppManager/issues/871", "show")</f>
        <v>show</v>
      </c>
      <c r="G11238" t="str">
        <f>HYPERLINK("https://github.com/MuntashirAkon/AppManager", "show")</f>
        <v>show</v>
      </c>
      <c r="H11238" t="str">
        <f>HYPERLINK("https://github.com/MuntashirAkon/AppManager/releases", "show")</f>
        <v>show</v>
      </c>
      <c r="I11238">
        <v>0</v>
      </c>
      <c r="J11238">
        <v>1</v>
      </c>
      <c r="K11238">
        <v>0</v>
      </c>
      <c r="L11238">
        <v>0</v>
      </c>
      <c r="M11238" t="s">
        <v>139</v>
      </c>
    </row>
    <row r="11239" spans="1:13" hidden="1" x14ac:dyDescent="0.15">
      <c r="A11239" t="s">
        <v>35475</v>
      </c>
      <c r="B11239" t="s">
        <v>35476</v>
      </c>
      <c r="C11239" t="s">
        <v>35477</v>
      </c>
      <c r="D11239" t="s">
        <v>35478</v>
      </c>
      <c r="E11239">
        <v>0</v>
      </c>
      <c r="F11239" t="str">
        <f>HYPERLINK("https://github.com/jellyfin/jellyfin-androidtv/issues/2071", "show")</f>
        <v>show</v>
      </c>
      <c r="G11239" t="str">
        <f>HYPERLINK("https://github.com/jellyfin/jellyfin-androidtv", "show")</f>
        <v>show</v>
      </c>
      <c r="H11239" t="str">
        <f>HYPERLINK("https://github.com/jellyfin/jellyfin-androidtv/releases", "show")</f>
        <v>show</v>
      </c>
      <c r="I11239">
        <v>1</v>
      </c>
      <c r="J11239">
        <v>0</v>
      </c>
      <c r="K11239">
        <v>0</v>
      </c>
      <c r="L11239">
        <v>0</v>
      </c>
      <c r="M11239" t="s">
        <v>17</v>
      </c>
    </row>
    <row r="11240" spans="1:13" hidden="1" x14ac:dyDescent="0.15">
      <c r="A11240" t="s">
        <v>35479</v>
      </c>
      <c r="B11240" t="s">
        <v>35480</v>
      </c>
      <c r="C11240" t="s">
        <v>35481</v>
      </c>
      <c r="D11240" t="s">
        <v>35482</v>
      </c>
      <c r="E11240">
        <v>38</v>
      </c>
      <c r="F11240" t="str">
        <f>HYPERLINK("https://github.com/PojavLauncherTeam/PojavLauncher/issues/3562", "show")</f>
        <v>show</v>
      </c>
      <c r="G11240" t="str">
        <f>HYPERLINK("https://github.com/PojavLauncherTeam/PojavLauncher", "show")</f>
        <v>show</v>
      </c>
      <c r="H11240" t="str">
        <f>HYPERLINK("https://github.com/PojavLauncherTeam/PojavLauncher/releases", "show")</f>
        <v>show</v>
      </c>
      <c r="I11240">
        <v>1</v>
      </c>
      <c r="J11240">
        <v>1</v>
      </c>
      <c r="K11240">
        <v>0</v>
      </c>
      <c r="L11240">
        <v>0</v>
      </c>
      <c r="M11240" t="s">
        <v>48</v>
      </c>
    </row>
    <row r="11241" spans="1:13" x14ac:dyDescent="0.15">
      <c r="A11241" t="s">
        <v>35483</v>
      </c>
      <c r="B11241" t="s">
        <v>35484</v>
      </c>
      <c r="C11241" t="s">
        <v>35485</v>
      </c>
      <c r="D11241" t="s">
        <v>35482</v>
      </c>
      <c r="E11241">
        <v>26</v>
      </c>
      <c r="F11241" t="str">
        <f>HYPERLINK("https://github.com/GoogleCloudPlatform/fda-mystudies/issues/4964", "show")</f>
        <v>show</v>
      </c>
      <c r="G11241" t="str">
        <f>HYPERLINK("https://github.com/GoogleCloudPlatform/fda-mystudies", "show")</f>
        <v>show</v>
      </c>
      <c r="H11241" t="str">
        <f>HYPERLINK("https://github.com/GoogleCloudPlatform/fda-mystudies/releases", "show")</f>
        <v>show</v>
      </c>
      <c r="I11241">
        <v>0</v>
      </c>
      <c r="J11241">
        <v>1</v>
      </c>
      <c r="K11241">
        <v>0</v>
      </c>
      <c r="L11241">
        <v>0</v>
      </c>
      <c r="M11241" t="s">
        <v>139</v>
      </c>
    </row>
    <row r="11242" spans="1:13" hidden="1" x14ac:dyDescent="0.15">
      <c r="A11242" t="s">
        <v>35486</v>
      </c>
      <c r="B11242" t="s">
        <v>35487</v>
      </c>
      <c r="C11242" t="s">
        <v>35488</v>
      </c>
      <c r="D11242" t="s">
        <v>35482</v>
      </c>
      <c r="E11242">
        <v>0</v>
      </c>
      <c r="F11242" t="str">
        <f>HYPERLINK("https://github.com/Anuken/Mindustry/issues/7584", "show")</f>
        <v>show</v>
      </c>
      <c r="G11242" t="str">
        <f>HYPERLINK("https://github.com/Anuken/Mindustry", "show")</f>
        <v>show</v>
      </c>
      <c r="H11242" t="str">
        <f>HYPERLINK("https://github.com/Anuken/Mindustry/releases", "show")</f>
        <v>show</v>
      </c>
      <c r="I11242">
        <v>0</v>
      </c>
      <c r="J11242">
        <v>0</v>
      </c>
      <c r="K11242">
        <v>0</v>
      </c>
      <c r="L11242">
        <v>0</v>
      </c>
      <c r="M11242" t="s">
        <v>43</v>
      </c>
    </row>
    <row r="11243" spans="1:13" hidden="1" x14ac:dyDescent="0.15">
      <c r="A11243" t="s">
        <v>35489</v>
      </c>
      <c r="B11243" t="s">
        <v>35490</v>
      </c>
      <c r="C11243" t="s">
        <v>35491</v>
      </c>
      <c r="D11243" t="s">
        <v>35482</v>
      </c>
      <c r="E11243">
        <v>0</v>
      </c>
      <c r="F11243" t="str">
        <f>HYPERLINK("https://github.com/MuntashirAkon/AppManager/issues/869", "show")</f>
        <v>show</v>
      </c>
      <c r="G11243" t="str">
        <f>HYPERLINK("https://github.com/MuntashirAkon/AppManager", "show")</f>
        <v>show</v>
      </c>
      <c r="H11243" t="str">
        <f>HYPERLINK("https://github.com/MuntashirAkon/AppManager/releases", "show")</f>
        <v>show</v>
      </c>
      <c r="I11243">
        <v>1</v>
      </c>
      <c r="J11243">
        <v>0</v>
      </c>
      <c r="K11243">
        <v>1</v>
      </c>
      <c r="L11243">
        <v>0</v>
      </c>
      <c r="M11243" t="s">
        <v>64</v>
      </c>
    </row>
    <row r="11244" spans="1:13" hidden="1" x14ac:dyDescent="0.15">
      <c r="A11244" t="s">
        <v>35492</v>
      </c>
      <c r="B11244" t="s">
        <v>35493</v>
      </c>
      <c r="C11244" t="s">
        <v>35494</v>
      </c>
      <c r="D11244" t="s">
        <v>35482</v>
      </c>
      <c r="E11244">
        <v>0</v>
      </c>
      <c r="F11244" t="str">
        <f>HYPERLINK("https://github.com/MuntashirAkon/AppManager/issues/868", "show")</f>
        <v>show</v>
      </c>
      <c r="G11244" t="str">
        <f>HYPERLINK("https://github.com/MuntashirAkon/AppManager", "show")</f>
        <v>show</v>
      </c>
      <c r="H11244" t="str">
        <f>HYPERLINK("https://github.com/MuntashirAkon/AppManager/releases", "show")</f>
        <v>show</v>
      </c>
      <c r="I11244">
        <v>1</v>
      </c>
      <c r="J11244">
        <v>1</v>
      </c>
      <c r="K11244">
        <v>1</v>
      </c>
      <c r="L11244">
        <v>0</v>
      </c>
      <c r="M11244" t="s">
        <v>59</v>
      </c>
    </row>
    <row r="11245" spans="1:13" hidden="1" x14ac:dyDescent="0.15">
      <c r="A11245" t="s">
        <v>35495</v>
      </c>
      <c r="B11245" t="s">
        <v>35496</v>
      </c>
      <c r="C11245" t="s">
        <v>35497</v>
      </c>
      <c r="D11245" t="s">
        <v>35498</v>
      </c>
      <c r="E11245">
        <v>1</v>
      </c>
      <c r="F11245" t="str">
        <f>HYPERLINK("https://github.com/nextcloud/android/issues/10739", "show")</f>
        <v>show</v>
      </c>
      <c r="G11245" t="str">
        <f>HYPERLINK("https://github.com/nextcloud/android", "show")</f>
        <v>show</v>
      </c>
      <c r="H11245" t="str">
        <f>HYPERLINK("https://github.com/nextcloud/android/releases", "show")</f>
        <v>show</v>
      </c>
      <c r="I11245">
        <v>0</v>
      </c>
      <c r="J11245">
        <v>0</v>
      </c>
      <c r="K11245">
        <v>1</v>
      </c>
      <c r="L11245">
        <v>0</v>
      </c>
      <c r="M11245" t="s">
        <v>122</v>
      </c>
    </row>
    <row r="11246" spans="1:13" hidden="1" x14ac:dyDescent="0.15">
      <c r="A11246" t="s">
        <v>35499</v>
      </c>
      <c r="B11246" t="s">
        <v>35500</v>
      </c>
      <c r="C11246" t="s">
        <v>35501</v>
      </c>
      <c r="D11246" t="s">
        <v>35498</v>
      </c>
      <c r="E11246">
        <v>0</v>
      </c>
      <c r="F11246" t="str">
        <f>HYPERLINK("https://github.com/nextcloud/android/issues/10738", "show")</f>
        <v>show</v>
      </c>
      <c r="G11246" t="str">
        <f>HYPERLINK("https://github.com/nextcloud/android", "show")</f>
        <v>show</v>
      </c>
      <c r="H11246" t="str">
        <f>HYPERLINK("https://github.com/nextcloud/android/releases", "show")</f>
        <v>show</v>
      </c>
      <c r="I11246">
        <v>1</v>
      </c>
      <c r="J11246">
        <v>1</v>
      </c>
      <c r="K11246">
        <v>1</v>
      </c>
      <c r="L11246">
        <v>0</v>
      </c>
      <c r="M11246" t="s">
        <v>59</v>
      </c>
    </row>
    <row r="11247" spans="1:13" hidden="1" x14ac:dyDescent="0.15">
      <c r="A11247" t="s">
        <v>35502</v>
      </c>
      <c r="B11247" t="s">
        <v>35503</v>
      </c>
      <c r="C11247" t="s">
        <v>35504</v>
      </c>
      <c r="D11247" t="s">
        <v>35498</v>
      </c>
      <c r="E11247">
        <v>128</v>
      </c>
      <c r="F11247" t="str">
        <f>HYPERLINK("https://github.com/LawnchairLauncher/lawnchair/issues/2945", "show")</f>
        <v>show</v>
      </c>
      <c r="G11247" t="str">
        <f>HYPERLINK("https://github.com/LawnchairLauncher/lawnchair", "show")</f>
        <v>show</v>
      </c>
      <c r="H11247" t="str">
        <f>HYPERLINK("https://github.com/LawnchairLauncher/lawnchair/releases", "show")</f>
        <v>show</v>
      </c>
      <c r="I11247">
        <v>1</v>
      </c>
      <c r="J11247">
        <v>1</v>
      </c>
      <c r="K11247">
        <v>1</v>
      </c>
      <c r="L11247">
        <v>0</v>
      </c>
      <c r="M11247" t="s">
        <v>59</v>
      </c>
    </row>
    <row r="11248" spans="1:13" hidden="1" x14ac:dyDescent="0.15">
      <c r="A11248" t="s">
        <v>35505</v>
      </c>
      <c r="B11248" t="s">
        <v>16147</v>
      </c>
      <c r="C11248" t="s">
        <v>35506</v>
      </c>
      <c r="D11248" t="s">
        <v>35498</v>
      </c>
      <c r="E11248">
        <v>0</v>
      </c>
      <c r="F11248" t="str">
        <f>HYPERLINK("https://github.com/LawnchairLauncher/lawnchair/issues/2944", "show")</f>
        <v>show</v>
      </c>
      <c r="G11248" t="str">
        <f>HYPERLINK("https://github.com/LawnchairLauncher/lawnchair", "show")</f>
        <v>show</v>
      </c>
      <c r="H11248" t="str">
        <f>HYPERLINK("https://github.com/LawnchairLauncher/lawnchair/releases", "show")</f>
        <v>show</v>
      </c>
      <c r="I11248">
        <v>1</v>
      </c>
      <c r="J11248">
        <v>1</v>
      </c>
      <c r="K11248">
        <v>1</v>
      </c>
      <c r="L11248">
        <v>0</v>
      </c>
      <c r="M11248" t="s">
        <v>59</v>
      </c>
    </row>
    <row r="11249" spans="1:13" hidden="1" x14ac:dyDescent="0.15">
      <c r="A11249" t="s">
        <v>35507</v>
      </c>
      <c r="B11249" t="s">
        <v>35508</v>
      </c>
      <c r="C11249" t="s">
        <v>35509</v>
      </c>
      <c r="D11249" t="s">
        <v>35498</v>
      </c>
      <c r="E11249">
        <v>0</v>
      </c>
      <c r="F11249" t="str">
        <f>HYPERLINK("https://github.com/Anuken/Mindustry/issues/7576", "show")</f>
        <v>show</v>
      </c>
      <c r="G11249" t="str">
        <f>HYPERLINK("https://github.com/Anuken/Mindustry", "show")</f>
        <v>show</v>
      </c>
      <c r="H11249" t="str">
        <f>HYPERLINK("https://github.com/Anuken/Mindustry/releases", "show")</f>
        <v>show</v>
      </c>
      <c r="I11249">
        <v>1</v>
      </c>
      <c r="J11249">
        <v>1</v>
      </c>
      <c r="K11249">
        <v>0</v>
      </c>
      <c r="L11249">
        <v>1</v>
      </c>
      <c r="M11249" t="s">
        <v>1894</v>
      </c>
    </row>
    <row r="11250" spans="1:13" hidden="1" x14ac:dyDescent="0.15">
      <c r="A11250" t="s">
        <v>35510</v>
      </c>
      <c r="B11250" t="s">
        <v>35511</v>
      </c>
      <c r="C11250" t="s">
        <v>35512</v>
      </c>
      <c r="D11250" t="s">
        <v>35498</v>
      </c>
      <c r="E11250">
        <v>1</v>
      </c>
      <c r="F11250" t="str">
        <f>HYPERLINK("https://github.com/wordpress-mobile/WordPress-Login-Flow-Android/issues/95", "show")</f>
        <v>show</v>
      </c>
      <c r="G11250" t="str">
        <f>HYPERLINK("https://github.com/wordpress-mobile/WordPress-Login-Flow-Android", "show")</f>
        <v>show</v>
      </c>
      <c r="H11250" t="str">
        <f>HYPERLINK("https://github.com/wordpress-mobile/WordPress-Login-Flow-Android/releases", "show")</f>
        <v>show</v>
      </c>
      <c r="I11250">
        <v>1</v>
      </c>
      <c r="J11250">
        <v>0</v>
      </c>
      <c r="K11250">
        <v>0</v>
      </c>
      <c r="L11250">
        <v>0</v>
      </c>
      <c r="M11250" t="s">
        <v>17</v>
      </c>
    </row>
    <row r="11251" spans="1:13" hidden="1" x14ac:dyDescent="0.15">
      <c r="A11251" t="s">
        <v>35513</v>
      </c>
      <c r="B11251" t="s">
        <v>35514</v>
      </c>
      <c r="C11251" t="s">
        <v>35515</v>
      </c>
      <c r="D11251" t="s">
        <v>35498</v>
      </c>
      <c r="E11251">
        <v>0</v>
      </c>
      <c r="F11251" t="str">
        <f>HYPERLINK("https://github.com/LSPosed/LSPosed/issues/2127", "show")</f>
        <v>show</v>
      </c>
      <c r="G11251" t="str">
        <f>HYPERLINK("https://github.com/LSPosed/LSPosed", "show")</f>
        <v>show</v>
      </c>
      <c r="H11251" t="str">
        <f>HYPERLINK("https://github.com/LSPosed/LSPosed/releases", "show")</f>
        <v>show</v>
      </c>
      <c r="I11251">
        <v>1</v>
      </c>
      <c r="J11251">
        <v>0</v>
      </c>
      <c r="K11251">
        <v>0</v>
      </c>
      <c r="L11251">
        <v>1</v>
      </c>
      <c r="M11251" t="s">
        <v>29</v>
      </c>
    </row>
    <row r="11252" spans="1:13" hidden="1" x14ac:dyDescent="0.15">
      <c r="A11252" t="s">
        <v>35516</v>
      </c>
      <c r="B11252" t="s">
        <v>35517</v>
      </c>
      <c r="C11252" t="s">
        <v>35518</v>
      </c>
      <c r="D11252" t="s">
        <v>35498</v>
      </c>
      <c r="E11252">
        <v>0</v>
      </c>
      <c r="F11252" t="str">
        <f>HYPERLINK("https://github.com/PojavLauncherTeam/PojavLauncher/issues/3559", "show")</f>
        <v>show</v>
      </c>
      <c r="G11252" t="str">
        <f>HYPERLINK("https://github.com/PojavLauncherTeam/PojavLauncher", "show")</f>
        <v>show</v>
      </c>
      <c r="H11252" t="str">
        <f>HYPERLINK("https://github.com/PojavLauncherTeam/PojavLauncher/releases", "show")</f>
        <v>show</v>
      </c>
      <c r="I11252">
        <v>1</v>
      </c>
      <c r="J11252">
        <v>1</v>
      </c>
      <c r="K11252">
        <v>0</v>
      </c>
      <c r="L11252">
        <v>0</v>
      </c>
      <c r="M11252" t="s">
        <v>48</v>
      </c>
    </row>
    <row r="11253" spans="1:13" hidden="1" x14ac:dyDescent="0.15">
      <c r="A11253" t="s">
        <v>35519</v>
      </c>
      <c r="B11253" t="s">
        <v>35520</v>
      </c>
      <c r="C11253" t="s">
        <v>35521</v>
      </c>
      <c r="D11253" t="s">
        <v>35498</v>
      </c>
      <c r="E11253">
        <v>6</v>
      </c>
      <c r="F11253" t="str">
        <f>HYPERLINK("https://github.com/AndroidIDEOfficial/AndroidIDE/issues/434", "show")</f>
        <v>show</v>
      </c>
      <c r="G11253" t="str">
        <f>HYPERLINK("https://github.com/AndroidIDEOfficial/AndroidIDE", "show")</f>
        <v>show</v>
      </c>
      <c r="H11253" t="str">
        <f>HYPERLINK("https://github.com/AndroidIDEOfficial/AndroidIDE/releases", "show")</f>
        <v>show</v>
      </c>
      <c r="I11253">
        <v>0</v>
      </c>
      <c r="J11253">
        <v>0</v>
      </c>
      <c r="K11253">
        <v>1</v>
      </c>
      <c r="L11253">
        <v>0</v>
      </c>
      <c r="M11253" t="s">
        <v>122</v>
      </c>
    </row>
    <row r="11254" spans="1:13" hidden="1" x14ac:dyDescent="0.15">
      <c r="A11254" t="s">
        <v>35522</v>
      </c>
      <c r="B11254" t="s">
        <v>35523</v>
      </c>
      <c r="C11254" t="s">
        <v>35524</v>
      </c>
      <c r="D11254" t="s">
        <v>35525</v>
      </c>
      <c r="E11254">
        <v>1</v>
      </c>
      <c r="F11254" t="str">
        <f>HYPERLINK("https://github.com/nextcloud/android/issues/10736", "show")</f>
        <v>show</v>
      </c>
      <c r="G11254" t="str">
        <f>HYPERLINK("https://github.com/nextcloud/android", "show")</f>
        <v>show</v>
      </c>
      <c r="H11254" t="str">
        <f>HYPERLINK("https://github.com/nextcloud/android/releases", "show")</f>
        <v>show</v>
      </c>
      <c r="I11254">
        <v>0</v>
      </c>
      <c r="J11254">
        <v>0</v>
      </c>
      <c r="K11254">
        <v>1</v>
      </c>
      <c r="L11254">
        <v>0</v>
      </c>
      <c r="M11254" t="s">
        <v>122</v>
      </c>
    </row>
    <row r="11255" spans="1:13" hidden="1" x14ac:dyDescent="0.15">
      <c r="A11255" t="s">
        <v>35526</v>
      </c>
      <c r="B11255" t="s">
        <v>35527</v>
      </c>
      <c r="C11255" t="s">
        <v>35528</v>
      </c>
      <c r="D11255" t="s">
        <v>35525</v>
      </c>
      <c r="E11255">
        <v>84</v>
      </c>
      <c r="F11255" t="str">
        <f>HYPERLINK("https://github.com/jellyfin/jellyfin-androidtv/issues/2060", "show")</f>
        <v>show</v>
      </c>
      <c r="G11255" t="str">
        <f>HYPERLINK("https://github.com/jellyfin/jellyfin-androidtv", "show")</f>
        <v>show</v>
      </c>
      <c r="H11255" t="str">
        <f>HYPERLINK("https://github.com/jellyfin/jellyfin-androidtv/releases", "show")</f>
        <v>show</v>
      </c>
      <c r="I11255">
        <v>1</v>
      </c>
      <c r="J11255">
        <v>0</v>
      </c>
      <c r="K11255">
        <v>1</v>
      </c>
      <c r="L11255">
        <v>0</v>
      </c>
      <c r="M11255" t="s">
        <v>64</v>
      </c>
    </row>
    <row r="11256" spans="1:13" hidden="1" x14ac:dyDescent="0.15">
      <c r="A11256" t="s">
        <v>35529</v>
      </c>
      <c r="B11256" t="s">
        <v>35530</v>
      </c>
      <c r="C11256" t="s">
        <v>35531</v>
      </c>
      <c r="D11256" t="s">
        <v>35525</v>
      </c>
      <c r="E11256">
        <v>43</v>
      </c>
      <c r="F11256" t="str">
        <f>HYPERLINK("https://github.com/PojavLauncherTeam/PojavLauncher/issues/3555", "show")</f>
        <v>show</v>
      </c>
      <c r="G11256" t="str">
        <f>HYPERLINK("https://github.com/PojavLauncherTeam/PojavLauncher", "show")</f>
        <v>show</v>
      </c>
      <c r="H11256" t="str">
        <f>HYPERLINK("https://github.com/PojavLauncherTeam/PojavLauncher/releases", "show")</f>
        <v>show</v>
      </c>
      <c r="I11256">
        <v>1</v>
      </c>
      <c r="J11256">
        <v>0</v>
      </c>
      <c r="K11256">
        <v>0</v>
      </c>
      <c r="L11256">
        <v>0</v>
      </c>
      <c r="M11256" t="s">
        <v>17</v>
      </c>
    </row>
    <row r="11257" spans="1:13" hidden="1" x14ac:dyDescent="0.15">
      <c r="A11257" t="s">
        <v>35532</v>
      </c>
      <c r="B11257" t="s">
        <v>35533</v>
      </c>
      <c r="C11257" t="s">
        <v>35534</v>
      </c>
      <c r="D11257" t="s">
        <v>35535</v>
      </c>
      <c r="E11257">
        <v>11</v>
      </c>
      <c r="F11257" t="str">
        <f>HYPERLINK("https://github.com/cgeo/cgeo/issues/13413", "show")</f>
        <v>show</v>
      </c>
      <c r="G11257" t="str">
        <f>HYPERLINK("https://github.com/cgeo/cgeo", "show")</f>
        <v>show</v>
      </c>
      <c r="H11257" t="str">
        <f>HYPERLINK("https://github.com/cgeo/cgeo/releases", "show")</f>
        <v>show</v>
      </c>
      <c r="I11257">
        <v>1</v>
      </c>
      <c r="J11257">
        <v>1</v>
      </c>
      <c r="K11257">
        <v>1</v>
      </c>
      <c r="L11257">
        <v>0</v>
      </c>
      <c r="M11257" t="s">
        <v>59</v>
      </c>
    </row>
    <row r="11258" spans="1:13" hidden="1" x14ac:dyDescent="0.15">
      <c r="A11258" t="s">
        <v>35536</v>
      </c>
      <c r="B11258" t="s">
        <v>35537</v>
      </c>
      <c r="C11258" t="s">
        <v>35538</v>
      </c>
      <c r="D11258" t="s">
        <v>35535</v>
      </c>
      <c r="E11258">
        <v>84</v>
      </c>
      <c r="F11258" t="str">
        <f>HYPERLINK("https://github.com/jellyfin/jellyfin-androidtv/issues/2057", "show")</f>
        <v>show</v>
      </c>
      <c r="G11258" t="str">
        <f>HYPERLINK("https://github.com/jellyfin/jellyfin-androidtv", "show")</f>
        <v>show</v>
      </c>
      <c r="H11258" t="str">
        <f>HYPERLINK("https://github.com/jellyfin/jellyfin-androidtv/releases", "show")</f>
        <v>show</v>
      </c>
      <c r="I11258">
        <v>0</v>
      </c>
      <c r="J11258">
        <v>1</v>
      </c>
      <c r="K11258">
        <v>1</v>
      </c>
      <c r="L11258">
        <v>0</v>
      </c>
      <c r="M11258" t="s">
        <v>699</v>
      </c>
    </row>
    <row r="11259" spans="1:13" hidden="1" x14ac:dyDescent="0.15">
      <c r="A11259" t="s">
        <v>35539</v>
      </c>
      <c r="B11259" t="s">
        <v>35540</v>
      </c>
      <c r="C11259" t="s">
        <v>35541</v>
      </c>
      <c r="D11259" t="s">
        <v>35535</v>
      </c>
      <c r="E11259">
        <v>20</v>
      </c>
      <c r="F11259" t="str">
        <f>HYPERLINK("https://github.com/sspanak/tt9/issues/59", "show")</f>
        <v>show</v>
      </c>
      <c r="G11259" t="str">
        <f>HYPERLINK("https://github.com/sspanak/tt9", "show")</f>
        <v>show</v>
      </c>
      <c r="H11259" t="str">
        <f>HYPERLINK("https://github.com/sspanak/tt9/releases", "show")</f>
        <v>show</v>
      </c>
      <c r="I11259">
        <v>1</v>
      </c>
      <c r="J11259">
        <v>1</v>
      </c>
      <c r="K11259">
        <v>0</v>
      </c>
      <c r="L11259">
        <v>0</v>
      </c>
      <c r="M11259" t="s">
        <v>48</v>
      </c>
    </row>
    <row r="11260" spans="1:13" hidden="1" x14ac:dyDescent="0.15">
      <c r="A11260" t="s">
        <v>35542</v>
      </c>
      <c r="B11260" t="s">
        <v>35543</v>
      </c>
      <c r="C11260" t="s">
        <v>35544</v>
      </c>
      <c r="D11260" t="s">
        <v>35535</v>
      </c>
      <c r="E11260">
        <v>1</v>
      </c>
      <c r="F11260" t="str">
        <f>HYPERLINK("https://github.com/nextcloud/android/issues/10733", "show")</f>
        <v>show</v>
      </c>
      <c r="G11260" t="str">
        <f>HYPERLINK("https://github.com/nextcloud/android", "show")</f>
        <v>show</v>
      </c>
      <c r="H11260" t="str">
        <f>HYPERLINK("https://github.com/nextcloud/android/releases", "show")</f>
        <v>show</v>
      </c>
      <c r="I11260">
        <v>0</v>
      </c>
      <c r="J11260">
        <v>0</v>
      </c>
      <c r="K11260">
        <v>0</v>
      </c>
      <c r="L11260">
        <v>0</v>
      </c>
      <c r="M11260" t="s">
        <v>43</v>
      </c>
    </row>
    <row r="11261" spans="1:13" hidden="1" x14ac:dyDescent="0.15">
      <c r="A11261" t="s">
        <v>35545</v>
      </c>
      <c r="B11261" t="s">
        <v>35546</v>
      </c>
      <c r="C11261" t="s">
        <v>35547</v>
      </c>
      <c r="D11261" t="s">
        <v>35535</v>
      </c>
      <c r="E11261">
        <v>0</v>
      </c>
      <c r="F11261" t="str">
        <f>HYPERLINK("https://github.com/Anuken/Mindustry/issues/7558", "show")</f>
        <v>show</v>
      </c>
      <c r="G11261" t="str">
        <f>HYPERLINK("https://github.com/Anuken/Mindustry", "show")</f>
        <v>show</v>
      </c>
      <c r="H11261" t="str">
        <f>HYPERLINK("https://github.com/Anuken/Mindustry/releases", "show")</f>
        <v>show</v>
      </c>
      <c r="I11261">
        <v>1</v>
      </c>
      <c r="J11261">
        <v>1</v>
      </c>
      <c r="K11261">
        <v>0</v>
      </c>
      <c r="L11261">
        <v>0</v>
      </c>
      <c r="M11261" t="s">
        <v>48</v>
      </c>
    </row>
    <row r="11262" spans="1:13" hidden="1" x14ac:dyDescent="0.15">
      <c r="A11262" t="s">
        <v>35548</v>
      </c>
      <c r="B11262" t="s">
        <v>35549</v>
      </c>
      <c r="D11262" t="s">
        <v>35535</v>
      </c>
      <c r="E11262">
        <v>0</v>
      </c>
      <c r="F11262" t="str">
        <f>HYPERLINK("https://github.com/Yerionimous2/JulyTimer/issues/9", "show")</f>
        <v>show</v>
      </c>
      <c r="G11262" t="str">
        <f>HYPERLINK("https://github.com/Yerionimous2/JulyTimer", "show")</f>
        <v>show</v>
      </c>
      <c r="H11262" t="str">
        <f>HYPERLINK("https://github.com/Yerionimous2/JulyTimer/releases", "show")</f>
        <v>show</v>
      </c>
      <c r="I11262">
        <v>1</v>
      </c>
      <c r="J11262">
        <v>0</v>
      </c>
      <c r="K11262">
        <v>0</v>
      </c>
      <c r="L11262">
        <v>0</v>
      </c>
      <c r="M11262" t="s">
        <v>17</v>
      </c>
    </row>
    <row r="11263" spans="1:13" hidden="1" x14ac:dyDescent="0.15">
      <c r="A11263" t="s">
        <v>35550</v>
      </c>
      <c r="B11263" t="s">
        <v>35551</v>
      </c>
      <c r="C11263" t="s">
        <v>35552</v>
      </c>
      <c r="D11263" t="s">
        <v>35553</v>
      </c>
      <c r="E11263">
        <v>65</v>
      </c>
      <c r="F11263" t="str">
        <f>HYPERLINK("https://github.com/material-components/material-components-android/issues/2968", "show")</f>
        <v>show</v>
      </c>
      <c r="G11263" t="str">
        <f>HYPERLINK("https://github.com/material-components/material-components-android", "show")</f>
        <v>show</v>
      </c>
      <c r="H11263" t="str">
        <f>HYPERLINK("https://github.com/material-components/material-components-android/releases", "show")</f>
        <v>show</v>
      </c>
      <c r="I11263">
        <v>0</v>
      </c>
      <c r="J11263">
        <v>0</v>
      </c>
      <c r="K11263">
        <v>1</v>
      </c>
      <c r="L11263">
        <v>0</v>
      </c>
      <c r="M11263" t="s">
        <v>122</v>
      </c>
    </row>
    <row r="11264" spans="1:13" hidden="1" x14ac:dyDescent="0.15">
      <c r="A11264" t="s">
        <v>35554</v>
      </c>
      <c r="B11264" t="s">
        <v>35555</v>
      </c>
      <c r="C11264" t="s">
        <v>35556</v>
      </c>
      <c r="D11264" t="s">
        <v>35553</v>
      </c>
      <c r="E11264">
        <v>200</v>
      </c>
      <c r="F11264" t="str">
        <f>HYPERLINK("https://github.com/usabilla/usabilla-u4a-react-native/issues/181", "show")</f>
        <v>show</v>
      </c>
      <c r="G11264" t="str">
        <f>HYPERLINK("https://github.com/usabilla/usabilla-u4a-react-native", "show")</f>
        <v>show</v>
      </c>
      <c r="H11264" t="str">
        <f>HYPERLINK("https://github.com/usabilla/usabilla-u4a-react-native/releases", "show")</f>
        <v>show</v>
      </c>
      <c r="I11264">
        <v>1</v>
      </c>
      <c r="J11264">
        <v>0</v>
      </c>
      <c r="K11264">
        <v>0</v>
      </c>
      <c r="L11264">
        <v>0</v>
      </c>
      <c r="M11264" t="s">
        <v>17</v>
      </c>
    </row>
    <row r="11265" spans="1:13" hidden="1" x14ac:dyDescent="0.15">
      <c r="A11265" t="s">
        <v>35557</v>
      </c>
      <c r="B11265" t="s">
        <v>31484</v>
      </c>
      <c r="C11265" t="s">
        <v>35558</v>
      </c>
      <c r="D11265" t="s">
        <v>35553</v>
      </c>
      <c r="E11265">
        <v>26</v>
      </c>
      <c r="F11265" t="str">
        <f>HYPERLINK("https://github.com/AndroidIDEOfficial/AndroidIDE/issues/432", "show")</f>
        <v>show</v>
      </c>
      <c r="G11265" t="str">
        <f>HYPERLINK("https://github.com/AndroidIDEOfficial/AndroidIDE", "show")</f>
        <v>show</v>
      </c>
      <c r="H11265" t="str">
        <f>HYPERLINK("https://github.com/AndroidIDEOfficial/AndroidIDE/releases", "show")</f>
        <v>show</v>
      </c>
      <c r="I11265">
        <v>0</v>
      </c>
      <c r="J11265">
        <v>0</v>
      </c>
      <c r="K11265">
        <v>1</v>
      </c>
      <c r="L11265">
        <v>0</v>
      </c>
      <c r="M11265" t="s">
        <v>122</v>
      </c>
    </row>
    <row r="11266" spans="1:13" hidden="1" x14ac:dyDescent="0.15">
      <c r="A11266" t="s">
        <v>35559</v>
      </c>
      <c r="B11266" t="s">
        <v>35560</v>
      </c>
      <c r="C11266" t="s">
        <v>35561</v>
      </c>
      <c r="D11266" t="s">
        <v>35562</v>
      </c>
      <c r="E11266">
        <v>86</v>
      </c>
      <c r="F11266" t="str">
        <f>HYPERLINK("https://github.com/jellyfin/jellyfin-androidtv/issues/2049", "show")</f>
        <v>show</v>
      </c>
      <c r="G11266" t="str">
        <f>HYPERLINK("https://github.com/jellyfin/jellyfin-androidtv", "show")</f>
        <v>show</v>
      </c>
      <c r="H11266" t="str">
        <f>HYPERLINK("https://github.com/jellyfin/jellyfin-androidtv/releases", "show")</f>
        <v>show</v>
      </c>
      <c r="I11266">
        <v>1</v>
      </c>
      <c r="J11266">
        <v>1</v>
      </c>
      <c r="K11266">
        <v>1</v>
      </c>
      <c r="L11266">
        <v>0</v>
      </c>
      <c r="M11266" t="s">
        <v>59</v>
      </c>
    </row>
    <row r="11267" spans="1:13" hidden="1" x14ac:dyDescent="0.15">
      <c r="A11267" t="s">
        <v>35563</v>
      </c>
      <c r="B11267" t="s">
        <v>35564</v>
      </c>
      <c r="C11267" t="s">
        <v>35565</v>
      </c>
      <c r="D11267" t="s">
        <v>35562</v>
      </c>
      <c r="E11267">
        <v>0</v>
      </c>
      <c r="F11267" t="str">
        <f>HYPERLINK("https://github.com/PojavLauncherTeam/PojavLauncher/issues/3548", "show")</f>
        <v>show</v>
      </c>
      <c r="G11267" t="str">
        <f>HYPERLINK("https://github.com/PojavLauncherTeam/PojavLauncher", "show")</f>
        <v>show</v>
      </c>
      <c r="H11267" t="str">
        <f>HYPERLINK("https://github.com/PojavLauncherTeam/PojavLauncher/releases", "show")</f>
        <v>show</v>
      </c>
      <c r="I11267">
        <v>0</v>
      </c>
      <c r="J11267">
        <v>0</v>
      </c>
      <c r="K11267">
        <v>0</v>
      </c>
      <c r="L11267">
        <v>0</v>
      </c>
      <c r="M11267" t="s">
        <v>43</v>
      </c>
    </row>
    <row r="11268" spans="1:13" hidden="1" x14ac:dyDescent="0.15">
      <c r="A11268" t="s">
        <v>35566</v>
      </c>
      <c r="B11268" t="s">
        <v>35567</v>
      </c>
      <c r="C11268" t="s">
        <v>35568</v>
      </c>
      <c r="D11268" t="s">
        <v>35569</v>
      </c>
      <c r="E11268">
        <v>99</v>
      </c>
      <c r="F11268" t="str">
        <f>HYPERLINK("https://github.com/LawnchairLauncher/lawnchair/issues/2927", "show")</f>
        <v>show</v>
      </c>
      <c r="G11268" t="str">
        <f>HYPERLINK("https://github.com/LawnchairLauncher/lawnchair", "show")</f>
        <v>show</v>
      </c>
      <c r="H11268" t="str">
        <f>HYPERLINK("https://github.com/LawnchairLauncher/lawnchair/releases", "show")</f>
        <v>show</v>
      </c>
      <c r="I11268">
        <v>0</v>
      </c>
      <c r="J11268">
        <v>1</v>
      </c>
      <c r="K11268">
        <v>0</v>
      </c>
      <c r="L11268">
        <v>1</v>
      </c>
      <c r="M11268" t="s">
        <v>1732</v>
      </c>
    </row>
    <row r="11269" spans="1:13" hidden="1" x14ac:dyDescent="0.15">
      <c r="A11269" t="s">
        <v>35570</v>
      </c>
      <c r="B11269" t="s">
        <v>35571</v>
      </c>
      <c r="C11269" t="s">
        <v>35572</v>
      </c>
      <c r="D11269" t="s">
        <v>35569</v>
      </c>
      <c r="E11269">
        <v>0</v>
      </c>
      <c r="F11269" t="str">
        <f>HYPERLINK("https://github.com/xSynergyx/internal-ticketing/issues/63", "show")</f>
        <v>show</v>
      </c>
      <c r="G11269" t="str">
        <f>HYPERLINK("https://github.com/xSynergyx/internal-ticketing", "show")</f>
        <v>show</v>
      </c>
      <c r="H11269" t="str">
        <f>HYPERLINK("https://github.com/xSynergyx/internal-ticketing/releases", "show")</f>
        <v>show</v>
      </c>
      <c r="I11269">
        <v>0</v>
      </c>
      <c r="J11269">
        <v>0</v>
      </c>
      <c r="K11269">
        <v>0</v>
      </c>
      <c r="L11269">
        <v>0</v>
      </c>
      <c r="M11269" t="s">
        <v>43</v>
      </c>
    </row>
    <row r="11270" spans="1:13" x14ac:dyDescent="0.15">
      <c r="A11270" t="s">
        <v>35573</v>
      </c>
      <c r="B11270" t="s">
        <v>35574</v>
      </c>
      <c r="C11270" t="s">
        <v>35575</v>
      </c>
      <c r="D11270" t="s">
        <v>35569</v>
      </c>
      <c r="E11270">
        <v>0</v>
      </c>
      <c r="F11270" t="str">
        <f>HYPERLINK("https://github.com/Anuken/Mindustry/issues/7539", "show")</f>
        <v>show</v>
      </c>
      <c r="G11270" t="str">
        <f>HYPERLINK("https://github.com/Anuken/Mindustry", "show")</f>
        <v>show</v>
      </c>
      <c r="H11270" t="str">
        <f>HYPERLINK("https://github.com/Anuken/Mindustry/releases", "show")</f>
        <v>show</v>
      </c>
      <c r="I11270">
        <v>0</v>
      </c>
      <c r="J11270">
        <v>1</v>
      </c>
      <c r="K11270">
        <v>0</v>
      </c>
      <c r="L11270">
        <v>0</v>
      </c>
      <c r="M11270" t="s">
        <v>139</v>
      </c>
    </row>
    <row r="11271" spans="1:13" hidden="1" x14ac:dyDescent="0.15">
      <c r="A11271" t="s">
        <v>35576</v>
      </c>
      <c r="B11271" t="s">
        <v>35577</v>
      </c>
      <c r="C11271" t="s">
        <v>35578</v>
      </c>
      <c r="D11271" t="s">
        <v>35569</v>
      </c>
      <c r="E11271">
        <v>0</v>
      </c>
      <c r="F11271" t="str">
        <f>HYPERLINK("https://github.com/Anuken/Mindustry/issues/7538", "show")</f>
        <v>show</v>
      </c>
      <c r="G11271" t="str">
        <f>HYPERLINK("https://github.com/Anuken/Mindustry", "show")</f>
        <v>show</v>
      </c>
      <c r="H11271" t="str">
        <f>HYPERLINK("https://github.com/Anuken/Mindustry/releases", "show")</f>
        <v>show</v>
      </c>
      <c r="I11271">
        <v>0</v>
      </c>
      <c r="J11271">
        <v>0</v>
      </c>
      <c r="K11271">
        <v>0</v>
      </c>
      <c r="L11271">
        <v>0</v>
      </c>
      <c r="M11271" t="s">
        <v>43</v>
      </c>
    </row>
    <row r="11272" spans="1:13" hidden="1" x14ac:dyDescent="0.15">
      <c r="A11272" t="s">
        <v>35579</v>
      </c>
      <c r="B11272" t="s">
        <v>18020</v>
      </c>
      <c r="C11272" t="s">
        <v>11701</v>
      </c>
      <c r="D11272" t="s">
        <v>35580</v>
      </c>
      <c r="E11272">
        <v>0</v>
      </c>
      <c r="F11272" t="str">
        <f>HYPERLINK("https://github.com/Anuken/Mindustry/issues/7534", "show")</f>
        <v>show</v>
      </c>
      <c r="G11272" t="str">
        <f>HYPERLINK("https://github.com/Anuken/Mindustry", "show")</f>
        <v>show</v>
      </c>
      <c r="H11272" t="str">
        <f>HYPERLINK("https://github.com/Anuken/Mindustry/releases", "show")</f>
        <v>show</v>
      </c>
      <c r="I11272">
        <v>1</v>
      </c>
      <c r="J11272">
        <v>1</v>
      </c>
      <c r="K11272">
        <v>0</v>
      </c>
      <c r="L11272">
        <v>0</v>
      </c>
      <c r="M11272" t="s">
        <v>48</v>
      </c>
    </row>
    <row r="11273" spans="1:13" hidden="1" x14ac:dyDescent="0.15">
      <c r="A11273" t="s">
        <v>35581</v>
      </c>
      <c r="B11273" t="s">
        <v>35582</v>
      </c>
      <c r="C11273" t="s">
        <v>35583</v>
      </c>
      <c r="D11273" t="s">
        <v>35580</v>
      </c>
      <c r="E11273">
        <v>3</v>
      </c>
      <c r="F11273" t="str">
        <f>HYPERLINK("https://github.com/nextcloud/android/issues/10726", "show")</f>
        <v>show</v>
      </c>
      <c r="G11273" t="str">
        <f>HYPERLINK("https://github.com/nextcloud/android", "show")</f>
        <v>show</v>
      </c>
      <c r="H11273" t="str">
        <f>HYPERLINK("https://github.com/nextcloud/android/releases", "show")</f>
        <v>show</v>
      </c>
      <c r="I11273">
        <v>1</v>
      </c>
      <c r="J11273">
        <v>1</v>
      </c>
      <c r="K11273">
        <v>1</v>
      </c>
      <c r="L11273">
        <v>0</v>
      </c>
      <c r="M11273" t="s">
        <v>59</v>
      </c>
    </row>
    <row r="11274" spans="1:13" hidden="1" x14ac:dyDescent="0.15">
      <c r="A11274" t="s">
        <v>35584</v>
      </c>
      <c r="B11274" t="s">
        <v>10882</v>
      </c>
      <c r="C11274" t="s">
        <v>35585</v>
      </c>
      <c r="D11274" t="s">
        <v>35586</v>
      </c>
      <c r="E11274">
        <v>16</v>
      </c>
      <c r="F11274" t="str">
        <f>HYPERLINK("https://github.com/PojavLauncherTeam/PojavLauncher/issues/3543", "show")</f>
        <v>show</v>
      </c>
      <c r="G11274" t="str">
        <f>HYPERLINK("https://github.com/PojavLauncherTeam/PojavLauncher", "show")</f>
        <v>show</v>
      </c>
      <c r="H11274" t="str">
        <f>HYPERLINK("https://github.com/PojavLauncherTeam/PojavLauncher/releases", "show")</f>
        <v>show</v>
      </c>
      <c r="I11274">
        <v>1</v>
      </c>
      <c r="J11274">
        <v>0</v>
      </c>
      <c r="K11274">
        <v>0</v>
      </c>
      <c r="L11274">
        <v>0</v>
      </c>
      <c r="M11274" t="s">
        <v>17</v>
      </c>
    </row>
    <row r="11275" spans="1:13" hidden="1" x14ac:dyDescent="0.15">
      <c r="A11275" t="s">
        <v>35587</v>
      </c>
      <c r="B11275" t="s">
        <v>35588</v>
      </c>
      <c r="C11275" t="s">
        <v>35589</v>
      </c>
      <c r="D11275" t="s">
        <v>35586</v>
      </c>
      <c r="E11275">
        <v>0</v>
      </c>
      <c r="F11275" t="str">
        <f>HYPERLINK("https://github.com/Anuken/Mindustry/issues/7531", "show")</f>
        <v>show</v>
      </c>
      <c r="G11275" t="str">
        <f>HYPERLINK("https://github.com/Anuken/Mindustry", "show")</f>
        <v>show</v>
      </c>
      <c r="H11275" t="str">
        <f>HYPERLINK("https://github.com/Anuken/Mindustry/releases", "show")</f>
        <v>show</v>
      </c>
      <c r="I11275">
        <v>1</v>
      </c>
      <c r="J11275">
        <v>1</v>
      </c>
      <c r="K11275">
        <v>0</v>
      </c>
      <c r="L11275">
        <v>1</v>
      </c>
      <c r="M11275" t="s">
        <v>1894</v>
      </c>
    </row>
    <row r="11276" spans="1:13" hidden="1" x14ac:dyDescent="0.15">
      <c r="A11276" t="s">
        <v>35590</v>
      </c>
      <c r="B11276" t="s">
        <v>35591</v>
      </c>
      <c r="C11276" t="s">
        <v>35592</v>
      </c>
      <c r="D11276" t="s">
        <v>35586</v>
      </c>
      <c r="E11276">
        <v>6</v>
      </c>
      <c r="F11276" t="str">
        <f>HYPERLINK("https://github.com/smartdevicelink/sdl_java_suite/issues/1829", "show")</f>
        <v>show</v>
      </c>
      <c r="G11276" t="str">
        <f>HYPERLINK("https://github.com/smartdevicelink/sdl_java_suite", "show")</f>
        <v>show</v>
      </c>
      <c r="H11276" t="str">
        <f>HYPERLINK("https://github.com/smartdevicelink/sdl_java_suite/releases", "show")</f>
        <v>show</v>
      </c>
      <c r="I11276">
        <v>1</v>
      </c>
      <c r="J11276">
        <v>0</v>
      </c>
      <c r="K11276">
        <v>1</v>
      </c>
      <c r="L11276">
        <v>0</v>
      </c>
      <c r="M11276" t="s">
        <v>64</v>
      </c>
    </row>
    <row r="11277" spans="1:13" hidden="1" x14ac:dyDescent="0.15">
      <c r="A11277" t="s">
        <v>35593</v>
      </c>
      <c r="B11277" t="s">
        <v>35594</v>
      </c>
      <c r="C11277" t="s">
        <v>35595</v>
      </c>
      <c r="D11277" t="s">
        <v>35586</v>
      </c>
      <c r="E11277">
        <v>15</v>
      </c>
      <c r="F11277" t="str">
        <f>HYPERLINK("https://github.com/aws-amplify/aws-sdk-android/issues/3001", "show")</f>
        <v>show</v>
      </c>
      <c r="G11277" t="str">
        <f>HYPERLINK("https://github.com/aws-amplify/aws-sdk-android", "show")</f>
        <v>show</v>
      </c>
      <c r="H11277" t="str">
        <f>HYPERLINK("https://github.com/aws-amplify/aws-sdk-android/releases", "show")</f>
        <v>show</v>
      </c>
      <c r="I11277">
        <v>0</v>
      </c>
      <c r="J11277">
        <v>0</v>
      </c>
      <c r="K11277">
        <v>0</v>
      </c>
      <c r="L11277">
        <v>0</v>
      </c>
      <c r="M11277" t="s">
        <v>43</v>
      </c>
    </row>
    <row r="11278" spans="1:13" hidden="1" x14ac:dyDescent="0.15">
      <c r="A11278" t="s">
        <v>35596</v>
      </c>
      <c r="B11278" t="s">
        <v>35597</v>
      </c>
      <c r="C11278" t="s">
        <v>35598</v>
      </c>
      <c r="D11278" t="s">
        <v>35586</v>
      </c>
      <c r="E11278">
        <v>0</v>
      </c>
      <c r="F11278" t="str">
        <f>HYPERLINK("https://github.com/nextcloud/android/issues/10724", "show")</f>
        <v>show</v>
      </c>
      <c r="G11278" t="str">
        <f>HYPERLINK("https://github.com/nextcloud/android", "show")</f>
        <v>show</v>
      </c>
      <c r="H11278" t="str">
        <f>HYPERLINK("https://github.com/nextcloud/android/releases", "show")</f>
        <v>show</v>
      </c>
      <c r="I11278">
        <v>0</v>
      </c>
      <c r="J11278">
        <v>1</v>
      </c>
      <c r="K11278">
        <v>1</v>
      </c>
      <c r="L11278">
        <v>0</v>
      </c>
      <c r="M11278" t="s">
        <v>699</v>
      </c>
    </row>
    <row r="11279" spans="1:13" hidden="1" x14ac:dyDescent="0.15">
      <c r="A11279" t="s">
        <v>35599</v>
      </c>
      <c r="B11279" t="s">
        <v>35600</v>
      </c>
      <c r="C11279" t="s">
        <v>35601</v>
      </c>
      <c r="D11279" t="s">
        <v>35586</v>
      </c>
      <c r="E11279">
        <v>1</v>
      </c>
      <c r="F11279" t="str">
        <f>HYPERLINK("https://github.com/LawnchairLauncher/lawnchair/issues/2919", "show")</f>
        <v>show</v>
      </c>
      <c r="G11279" t="str">
        <f>HYPERLINK("https://github.com/LawnchairLauncher/lawnchair", "show")</f>
        <v>show</v>
      </c>
      <c r="H11279" t="str">
        <f>HYPERLINK("https://github.com/LawnchairLauncher/lawnchair/releases", "show")</f>
        <v>show</v>
      </c>
      <c r="I11279">
        <v>1</v>
      </c>
      <c r="J11279">
        <v>1</v>
      </c>
      <c r="K11279">
        <v>0</v>
      </c>
      <c r="L11279">
        <v>1</v>
      </c>
      <c r="M11279" t="s">
        <v>1894</v>
      </c>
    </row>
    <row r="11280" spans="1:13" hidden="1" x14ac:dyDescent="0.15">
      <c r="A11280" t="s">
        <v>35602</v>
      </c>
      <c r="B11280" t="s">
        <v>35603</v>
      </c>
      <c r="C11280" t="s">
        <v>35604</v>
      </c>
      <c r="D11280" t="s">
        <v>35586</v>
      </c>
      <c r="E11280">
        <v>44</v>
      </c>
      <c r="F11280" t="str">
        <f>HYPERLINK("https://github.com/nextcloud/android/issues/10722", "show")</f>
        <v>show</v>
      </c>
      <c r="G11280" t="str">
        <f>HYPERLINK("https://github.com/nextcloud/android", "show")</f>
        <v>show</v>
      </c>
      <c r="H11280" t="str">
        <f>HYPERLINK("https://github.com/nextcloud/android/releases", "show")</f>
        <v>show</v>
      </c>
      <c r="I11280">
        <v>1</v>
      </c>
      <c r="J11280">
        <v>1</v>
      </c>
      <c r="K11280">
        <v>0</v>
      </c>
      <c r="L11280">
        <v>0</v>
      </c>
      <c r="M11280" t="s">
        <v>48</v>
      </c>
    </row>
    <row r="11281" spans="1:13" hidden="1" x14ac:dyDescent="0.15">
      <c r="A11281" t="s">
        <v>35605</v>
      </c>
      <c r="B11281" t="s">
        <v>35606</v>
      </c>
      <c r="C11281" t="s">
        <v>35607</v>
      </c>
      <c r="D11281" t="s">
        <v>35608</v>
      </c>
      <c r="E11281">
        <v>190</v>
      </c>
      <c r="F11281" t="str">
        <f>HYPERLINK("https://github.com/facebook/react-native/issues/34622", "show")</f>
        <v>show</v>
      </c>
      <c r="G11281" t="str">
        <f>HYPERLINK("https://github.com/facebook/react-native", "show")</f>
        <v>show</v>
      </c>
      <c r="H11281" t="str">
        <f>HYPERLINK("https://github.com/facebook/react-native/releases", "show")</f>
        <v>show</v>
      </c>
      <c r="I11281">
        <v>1</v>
      </c>
      <c r="J11281">
        <v>1</v>
      </c>
      <c r="K11281">
        <v>0</v>
      </c>
      <c r="L11281">
        <v>0</v>
      </c>
      <c r="M11281" t="s">
        <v>48</v>
      </c>
    </row>
    <row r="11282" spans="1:13" hidden="1" x14ac:dyDescent="0.15">
      <c r="A11282" t="s">
        <v>35609</v>
      </c>
      <c r="B11282" t="s">
        <v>35610</v>
      </c>
      <c r="C11282" t="s">
        <v>35611</v>
      </c>
      <c r="D11282" t="s">
        <v>35608</v>
      </c>
      <c r="E11282">
        <v>0</v>
      </c>
      <c r="F11282" t="str">
        <f>HYPERLINK("https://github.com/Kareem100/Kidzenia-app/issues/10", "show")</f>
        <v>show</v>
      </c>
      <c r="G11282" t="str">
        <f>HYPERLINK("https://github.com/Kareem100/Kidzenia-app", "show")</f>
        <v>show</v>
      </c>
      <c r="H11282" t="str">
        <f>HYPERLINK("https://github.com/Kareem100/Kidzenia-app/releases", "show")</f>
        <v>show</v>
      </c>
      <c r="I11282">
        <v>0</v>
      </c>
      <c r="J11282">
        <v>0</v>
      </c>
      <c r="K11282">
        <v>0</v>
      </c>
      <c r="L11282">
        <v>0</v>
      </c>
      <c r="M11282" t="s">
        <v>43</v>
      </c>
    </row>
    <row r="11283" spans="1:13" x14ac:dyDescent="0.15">
      <c r="A11283" t="s">
        <v>35612</v>
      </c>
      <c r="B11283" t="s">
        <v>35613</v>
      </c>
      <c r="C11283" t="s">
        <v>35614</v>
      </c>
      <c r="D11283" t="s">
        <v>35608</v>
      </c>
      <c r="E11283">
        <v>1</v>
      </c>
      <c r="F11283" t="str">
        <f>HYPERLINK("https://github.com/ReVanced/revanced-integrations/issues/136", "show")</f>
        <v>show</v>
      </c>
      <c r="G11283" t="str">
        <f>HYPERLINK("https://github.com/ReVanced/revanced-integrations", "show")</f>
        <v>show</v>
      </c>
      <c r="H11283" t="str">
        <f>HYPERLINK("https://github.com/ReVanced/revanced-integrations/releases", "show")</f>
        <v>show</v>
      </c>
      <c r="I11283">
        <v>0</v>
      </c>
      <c r="J11283">
        <v>1</v>
      </c>
      <c r="K11283">
        <v>0</v>
      </c>
      <c r="L11283">
        <v>0</v>
      </c>
      <c r="M11283" t="s">
        <v>139</v>
      </c>
    </row>
    <row r="11284" spans="1:13" hidden="1" x14ac:dyDescent="0.15">
      <c r="A11284" t="s">
        <v>35615</v>
      </c>
      <c r="B11284" t="s">
        <v>35616</v>
      </c>
      <c r="C11284" t="s">
        <v>35617</v>
      </c>
      <c r="D11284" t="s">
        <v>35608</v>
      </c>
      <c r="E11284">
        <v>4</v>
      </c>
      <c r="F11284" t="str">
        <f>HYPERLINK("https://github.com/a7medev/react-native-ml-kit/issues/12", "show")</f>
        <v>show</v>
      </c>
      <c r="G11284" t="str">
        <f>HYPERLINK("https://github.com/a7medev/react-native-ml-kit", "show")</f>
        <v>show</v>
      </c>
      <c r="H11284" t="str">
        <f>HYPERLINK("https://github.com/a7medev/react-native-ml-kit/releases", "show")</f>
        <v>show</v>
      </c>
      <c r="I11284">
        <v>1</v>
      </c>
      <c r="J11284">
        <v>0</v>
      </c>
      <c r="K11284">
        <v>0</v>
      </c>
      <c r="L11284">
        <v>0</v>
      </c>
      <c r="M11284" t="s">
        <v>17</v>
      </c>
    </row>
    <row r="11285" spans="1:13" hidden="1" x14ac:dyDescent="0.15">
      <c r="A11285" t="s">
        <v>35618</v>
      </c>
      <c r="B11285" t="s">
        <v>35619</v>
      </c>
      <c r="C11285" t="s">
        <v>35620</v>
      </c>
      <c r="D11285" t="s">
        <v>35608</v>
      </c>
      <c r="E11285">
        <v>159</v>
      </c>
      <c r="F11285" t="str">
        <f>HYPERLINK("https://github.com/LawnchairLauncher/lawnchair/issues/2914", "show")</f>
        <v>show</v>
      </c>
      <c r="G11285" t="str">
        <f>HYPERLINK("https://github.com/LawnchairLauncher/lawnchair", "show")</f>
        <v>show</v>
      </c>
      <c r="H11285" t="str">
        <f>HYPERLINK("https://github.com/LawnchairLauncher/lawnchair/releases", "show")</f>
        <v>show</v>
      </c>
      <c r="I11285">
        <v>1</v>
      </c>
      <c r="J11285">
        <v>0</v>
      </c>
      <c r="K11285">
        <v>1</v>
      </c>
      <c r="L11285">
        <v>0</v>
      </c>
      <c r="M11285" t="s">
        <v>64</v>
      </c>
    </row>
    <row r="11286" spans="1:13" hidden="1" x14ac:dyDescent="0.15">
      <c r="A11286" t="s">
        <v>35621</v>
      </c>
      <c r="B11286" t="s">
        <v>35622</v>
      </c>
      <c r="C11286" t="s">
        <v>35623</v>
      </c>
      <c r="D11286" t="s">
        <v>35608</v>
      </c>
      <c r="E11286">
        <v>4</v>
      </c>
      <c r="F11286" t="str">
        <f>HYPERLINK("https://github.com/jellyfin/jellyfin-androidtv/issues/2041", "show")</f>
        <v>show</v>
      </c>
      <c r="G11286" t="str">
        <f>HYPERLINK("https://github.com/jellyfin/jellyfin-androidtv", "show")</f>
        <v>show</v>
      </c>
      <c r="H11286" t="str">
        <f>HYPERLINK("https://github.com/jellyfin/jellyfin-androidtv/releases", "show")</f>
        <v>show</v>
      </c>
      <c r="I11286">
        <v>0</v>
      </c>
      <c r="J11286">
        <v>0</v>
      </c>
      <c r="K11286">
        <v>0</v>
      </c>
      <c r="L11286">
        <v>0</v>
      </c>
      <c r="M11286" t="s">
        <v>43</v>
      </c>
    </row>
    <row r="11287" spans="1:13" hidden="1" x14ac:dyDescent="0.15">
      <c r="A11287" t="s">
        <v>35624</v>
      </c>
      <c r="B11287" t="s">
        <v>35625</v>
      </c>
      <c r="C11287" t="s">
        <v>35626</v>
      </c>
      <c r="D11287" t="s">
        <v>35627</v>
      </c>
      <c r="E11287">
        <v>0</v>
      </c>
      <c r="F11287" t="str">
        <f>HYPERLINK("https://github.com/LSPosed/LSPosed/issues/2102", "show")</f>
        <v>show</v>
      </c>
      <c r="G11287" t="str">
        <f>HYPERLINK("https://github.com/LSPosed/LSPosed", "show")</f>
        <v>show</v>
      </c>
      <c r="H11287" t="str">
        <f>HYPERLINK("https://github.com/LSPosed/LSPosed/releases", "show")</f>
        <v>show</v>
      </c>
      <c r="I11287">
        <v>1</v>
      </c>
      <c r="J11287">
        <v>1</v>
      </c>
      <c r="K11287">
        <v>0</v>
      </c>
      <c r="L11287">
        <v>0</v>
      </c>
      <c r="M11287" t="s">
        <v>48</v>
      </c>
    </row>
    <row r="11288" spans="1:13" hidden="1" x14ac:dyDescent="0.15">
      <c r="A11288" t="s">
        <v>35628</v>
      </c>
      <c r="B11288" t="s">
        <v>35629</v>
      </c>
      <c r="C11288" t="s">
        <v>35630</v>
      </c>
      <c r="D11288" t="s">
        <v>35627</v>
      </c>
      <c r="E11288">
        <v>1</v>
      </c>
      <c r="F11288" t="str">
        <f>HYPERLINK("https://github.com/Kareem100/Kidzenia-app/issues/3", "show")</f>
        <v>show</v>
      </c>
      <c r="G11288" t="str">
        <f>HYPERLINK("https://github.com/Kareem100/Kidzenia-app", "show")</f>
        <v>show</v>
      </c>
      <c r="H11288" t="str">
        <f>HYPERLINK("https://github.com/Kareem100/Kidzenia-app/releases", "show")</f>
        <v>show</v>
      </c>
      <c r="I11288">
        <v>1</v>
      </c>
      <c r="J11288">
        <v>0</v>
      </c>
      <c r="K11288">
        <v>0</v>
      </c>
      <c r="L11288">
        <v>0</v>
      </c>
      <c r="M11288" t="s">
        <v>17</v>
      </c>
    </row>
    <row r="11289" spans="1:13" hidden="1" x14ac:dyDescent="0.15">
      <c r="A11289" t="s">
        <v>35631</v>
      </c>
      <c r="B11289" t="s">
        <v>35632</v>
      </c>
      <c r="C11289" t="s">
        <v>35633</v>
      </c>
      <c r="D11289" t="s">
        <v>35634</v>
      </c>
      <c r="E11289">
        <v>10</v>
      </c>
      <c r="F11289" t="str">
        <f>HYPERLINK("https://github.com/PojavLauncherTeam/PojavLauncher/issues/3539", "show")</f>
        <v>show</v>
      </c>
      <c r="G11289" t="str">
        <f>HYPERLINK("https://github.com/PojavLauncherTeam/PojavLauncher", "show")</f>
        <v>show</v>
      </c>
      <c r="H11289" t="str">
        <f>HYPERLINK("https://github.com/PojavLauncherTeam/PojavLauncher/releases", "show")</f>
        <v>show</v>
      </c>
      <c r="I11289">
        <v>1</v>
      </c>
      <c r="J11289">
        <v>0</v>
      </c>
      <c r="K11289">
        <v>0</v>
      </c>
      <c r="L11289">
        <v>0</v>
      </c>
      <c r="M11289" t="s">
        <v>17</v>
      </c>
    </row>
    <row r="11290" spans="1:13" hidden="1" x14ac:dyDescent="0.15">
      <c r="A11290" t="s">
        <v>35635</v>
      </c>
      <c r="B11290" t="s">
        <v>35636</v>
      </c>
      <c r="C11290" t="s">
        <v>35637</v>
      </c>
      <c r="D11290" t="s">
        <v>35634</v>
      </c>
      <c r="E11290">
        <v>37</v>
      </c>
      <c r="F11290" t="str">
        <f>HYPERLINK("https://github.com/GoogleCloudPlatform/fda-mystudies/issues/4892", "show")</f>
        <v>show</v>
      </c>
      <c r="G11290" t="str">
        <f>HYPERLINK("https://github.com/GoogleCloudPlatform/fda-mystudies", "show")</f>
        <v>show</v>
      </c>
      <c r="H11290" t="str">
        <f>HYPERLINK("https://github.com/GoogleCloudPlatform/fda-mystudies/releases", "show")</f>
        <v>show</v>
      </c>
      <c r="I11290">
        <v>1</v>
      </c>
      <c r="J11290">
        <v>0</v>
      </c>
      <c r="K11290">
        <v>0</v>
      </c>
      <c r="L11290">
        <v>0</v>
      </c>
      <c r="M11290" t="s">
        <v>17</v>
      </c>
    </row>
    <row r="11291" spans="1:13" hidden="1" x14ac:dyDescent="0.15">
      <c r="A11291" t="s">
        <v>35638</v>
      </c>
      <c r="B11291" t="s">
        <v>35639</v>
      </c>
      <c r="C11291" t="s">
        <v>35640</v>
      </c>
      <c r="D11291" t="s">
        <v>35634</v>
      </c>
      <c r="E11291">
        <v>0</v>
      </c>
      <c r="F11291" t="str">
        <f>HYPERLINK("https://github.com/google/ExoPlayer/issues/10580", "show")</f>
        <v>show</v>
      </c>
      <c r="G11291" t="str">
        <f>HYPERLINK("https://github.com/google/ExoPlayer", "show")</f>
        <v>show</v>
      </c>
      <c r="H11291" t="str">
        <f>HYPERLINK("https://github.com/google/ExoPlayer/releases", "show")</f>
        <v>show</v>
      </c>
      <c r="I11291">
        <v>0</v>
      </c>
      <c r="J11291">
        <v>0</v>
      </c>
      <c r="K11291">
        <v>1</v>
      </c>
      <c r="L11291">
        <v>0</v>
      </c>
      <c r="M11291" t="s">
        <v>122</v>
      </c>
    </row>
    <row r="11292" spans="1:13" hidden="1" x14ac:dyDescent="0.15">
      <c r="A11292" t="s">
        <v>35641</v>
      </c>
      <c r="B11292" t="s">
        <v>35642</v>
      </c>
      <c r="C11292" t="s">
        <v>35643</v>
      </c>
      <c r="D11292" t="s">
        <v>35634</v>
      </c>
      <c r="E11292">
        <v>142</v>
      </c>
      <c r="F11292" t="str">
        <f>HYPERLINK("https://github.com/PojavLauncherTeam/PojavLauncher/issues/3537", "show")</f>
        <v>show</v>
      </c>
      <c r="G11292" t="str">
        <f>HYPERLINK("https://github.com/PojavLauncherTeam/PojavLauncher", "show")</f>
        <v>show</v>
      </c>
      <c r="H11292" t="str">
        <f>HYPERLINK("https://github.com/PojavLauncherTeam/PojavLauncher/releases", "show")</f>
        <v>show</v>
      </c>
      <c r="I11292">
        <v>1</v>
      </c>
      <c r="J11292">
        <v>1</v>
      </c>
      <c r="K11292">
        <v>0</v>
      </c>
      <c r="L11292">
        <v>0</v>
      </c>
      <c r="M11292" t="s">
        <v>48</v>
      </c>
    </row>
    <row r="11293" spans="1:13" hidden="1" x14ac:dyDescent="0.15">
      <c r="A11293" t="s">
        <v>35644</v>
      </c>
      <c r="B11293" t="s">
        <v>10882</v>
      </c>
      <c r="C11293" t="s">
        <v>35645</v>
      </c>
      <c r="D11293" t="s">
        <v>35634</v>
      </c>
      <c r="E11293">
        <v>14</v>
      </c>
      <c r="F11293" t="str">
        <f>HYPERLINK("https://github.com/PojavLauncherTeam/PojavLauncher/issues/3536", "show")</f>
        <v>show</v>
      </c>
      <c r="G11293" t="str">
        <f>HYPERLINK("https://github.com/PojavLauncherTeam/PojavLauncher", "show")</f>
        <v>show</v>
      </c>
      <c r="H11293" t="str">
        <f>HYPERLINK("https://github.com/PojavLauncherTeam/PojavLauncher/releases", "show")</f>
        <v>show</v>
      </c>
      <c r="I11293">
        <v>0</v>
      </c>
      <c r="J11293">
        <v>0</v>
      </c>
      <c r="K11293">
        <v>1</v>
      </c>
      <c r="L11293">
        <v>0</v>
      </c>
      <c r="M11293" t="s">
        <v>122</v>
      </c>
    </row>
    <row r="11294" spans="1:13" hidden="1" x14ac:dyDescent="0.15">
      <c r="A11294" t="s">
        <v>35646</v>
      </c>
      <c r="B11294" t="s">
        <v>35647</v>
      </c>
      <c r="C11294" t="s">
        <v>35648</v>
      </c>
      <c r="D11294" t="s">
        <v>35634</v>
      </c>
      <c r="E11294">
        <v>13</v>
      </c>
      <c r="F11294" t="str">
        <f>HYPERLINK("https://github.com/LawnchairLauncher/lawnchair/issues/2906", "show")</f>
        <v>show</v>
      </c>
      <c r="G11294" t="str">
        <f>HYPERLINK("https://github.com/LawnchairLauncher/lawnchair", "show")</f>
        <v>show</v>
      </c>
      <c r="H11294" t="str">
        <f>HYPERLINK("https://github.com/LawnchairLauncher/lawnchair/releases", "show")</f>
        <v>show</v>
      </c>
      <c r="I11294">
        <v>1</v>
      </c>
      <c r="J11294">
        <v>0</v>
      </c>
      <c r="K11294">
        <v>0</v>
      </c>
      <c r="L11294">
        <v>1</v>
      </c>
      <c r="M11294" t="s">
        <v>29</v>
      </c>
    </row>
    <row r="11295" spans="1:13" hidden="1" x14ac:dyDescent="0.15">
      <c r="A11295" t="s">
        <v>35649</v>
      </c>
      <c r="B11295" t="s">
        <v>35650</v>
      </c>
      <c r="C11295" t="s">
        <v>35651</v>
      </c>
      <c r="D11295" t="s">
        <v>35652</v>
      </c>
      <c r="E11295">
        <v>231</v>
      </c>
      <c r="F11295" t="str">
        <f>HYPERLINK("https://github.com/jellyfin/jellyfin-androidtv/issues/2026", "show")</f>
        <v>show</v>
      </c>
      <c r="G11295" t="str">
        <f>HYPERLINK("https://github.com/jellyfin/jellyfin-androidtv", "show")</f>
        <v>show</v>
      </c>
      <c r="H11295" t="str">
        <f>HYPERLINK("https://github.com/jellyfin/jellyfin-androidtv/releases", "show")</f>
        <v>show</v>
      </c>
      <c r="I11295">
        <v>1</v>
      </c>
      <c r="J11295">
        <v>1</v>
      </c>
      <c r="K11295">
        <v>0</v>
      </c>
      <c r="L11295">
        <v>0</v>
      </c>
      <c r="M11295" t="s">
        <v>48</v>
      </c>
    </row>
    <row r="11296" spans="1:13" hidden="1" x14ac:dyDescent="0.15">
      <c r="A11296" t="s">
        <v>35653</v>
      </c>
      <c r="B11296" t="s">
        <v>35654</v>
      </c>
      <c r="C11296" t="s">
        <v>35655</v>
      </c>
      <c r="D11296" t="s">
        <v>35652</v>
      </c>
      <c r="E11296">
        <v>0</v>
      </c>
      <c r="F11296" t="str">
        <f>HYPERLINK("https://github.com/nextcloud/android/issues/10709", "show")</f>
        <v>show</v>
      </c>
      <c r="G11296" t="str">
        <f>HYPERLINK("https://github.com/nextcloud/android", "show")</f>
        <v>show</v>
      </c>
      <c r="H11296" t="str">
        <f>HYPERLINK("https://github.com/nextcloud/android/releases", "show")</f>
        <v>show</v>
      </c>
      <c r="I11296">
        <v>1</v>
      </c>
      <c r="J11296">
        <v>1</v>
      </c>
      <c r="K11296">
        <v>1</v>
      </c>
      <c r="L11296">
        <v>0</v>
      </c>
      <c r="M11296" t="s">
        <v>59</v>
      </c>
    </row>
    <row r="11297" spans="1:13" hidden="1" x14ac:dyDescent="0.15">
      <c r="A11297" t="s">
        <v>35656</v>
      </c>
      <c r="B11297" t="s">
        <v>35657</v>
      </c>
      <c r="C11297" t="s">
        <v>35658</v>
      </c>
      <c r="D11297" t="s">
        <v>35652</v>
      </c>
      <c r="E11297">
        <v>54</v>
      </c>
      <c r="F11297" t="str">
        <f>HYPERLINK("https://github.com/itsdrnoob/DataMonitor/issues/41", "show")</f>
        <v>show</v>
      </c>
      <c r="G11297" t="str">
        <f>HYPERLINK("https://github.com/itsdrnoob/DataMonitor", "show")</f>
        <v>show</v>
      </c>
      <c r="H11297" t="str">
        <f>HYPERLINK("https://github.com/itsdrnoob/DataMonitor/releases", "show")</f>
        <v>show</v>
      </c>
      <c r="I11297">
        <v>1</v>
      </c>
      <c r="J11297">
        <v>1</v>
      </c>
      <c r="K11297">
        <v>1</v>
      </c>
      <c r="L11297">
        <v>0</v>
      </c>
      <c r="M11297" t="s">
        <v>59</v>
      </c>
    </row>
    <row r="11298" spans="1:13" hidden="1" x14ac:dyDescent="0.15">
      <c r="A11298" t="s">
        <v>35659</v>
      </c>
      <c r="B11298" t="s">
        <v>35660</v>
      </c>
      <c r="C11298" t="s">
        <v>11701</v>
      </c>
      <c r="D11298" t="s">
        <v>35652</v>
      </c>
      <c r="E11298">
        <v>0</v>
      </c>
      <c r="F11298" t="str">
        <f>HYPERLINK("https://github.com/Anuken/Mindustry/issues/7506", "show")</f>
        <v>show</v>
      </c>
      <c r="G11298" t="str">
        <f>HYPERLINK("https://github.com/Anuken/Mindustry", "show")</f>
        <v>show</v>
      </c>
      <c r="H11298" t="str">
        <f>HYPERLINK("https://github.com/Anuken/Mindustry/releases", "show")</f>
        <v>show</v>
      </c>
      <c r="I11298">
        <v>1</v>
      </c>
      <c r="J11298">
        <v>1</v>
      </c>
      <c r="K11298">
        <v>0</v>
      </c>
      <c r="L11298">
        <v>0</v>
      </c>
      <c r="M11298" t="s">
        <v>48</v>
      </c>
    </row>
    <row r="11299" spans="1:13" hidden="1" x14ac:dyDescent="0.15">
      <c r="A11299" t="s">
        <v>35661</v>
      </c>
      <c r="B11299" t="s">
        <v>35662</v>
      </c>
      <c r="C11299" t="s">
        <v>11701</v>
      </c>
      <c r="D11299" t="s">
        <v>35652</v>
      </c>
      <c r="E11299">
        <v>0</v>
      </c>
      <c r="F11299" t="str">
        <f>HYPERLINK("https://github.com/Anuken/Mindustry/issues/7505", "show")</f>
        <v>show</v>
      </c>
      <c r="G11299" t="str">
        <f>HYPERLINK("https://github.com/Anuken/Mindustry", "show")</f>
        <v>show</v>
      </c>
      <c r="H11299" t="str">
        <f>HYPERLINK("https://github.com/Anuken/Mindustry/releases", "show")</f>
        <v>show</v>
      </c>
      <c r="I11299">
        <v>1</v>
      </c>
      <c r="J11299">
        <v>1</v>
      </c>
      <c r="K11299">
        <v>0</v>
      </c>
      <c r="L11299">
        <v>0</v>
      </c>
      <c r="M11299" t="s">
        <v>48</v>
      </c>
    </row>
    <row r="11300" spans="1:13" hidden="1" x14ac:dyDescent="0.15">
      <c r="A11300" t="s">
        <v>35663</v>
      </c>
      <c r="B11300" t="s">
        <v>35664</v>
      </c>
      <c r="C11300" t="s">
        <v>35665</v>
      </c>
      <c r="D11300" t="s">
        <v>35666</v>
      </c>
      <c r="E11300">
        <v>4</v>
      </c>
      <c r="F11300" t="str">
        <f>HYPERLINK("https://github.com/Igalia/wolvic/issues/253", "show")</f>
        <v>show</v>
      </c>
      <c r="G11300" t="str">
        <f>HYPERLINK("https://github.com/Igalia/wolvic", "show")</f>
        <v>show</v>
      </c>
      <c r="H11300" t="str">
        <f>HYPERLINK("https://github.com/Igalia/wolvic/releases", "show")</f>
        <v>show</v>
      </c>
      <c r="I11300">
        <v>1</v>
      </c>
      <c r="J11300">
        <v>1</v>
      </c>
      <c r="K11300">
        <v>0</v>
      </c>
      <c r="L11300">
        <v>0</v>
      </c>
      <c r="M11300" t="s">
        <v>48</v>
      </c>
    </row>
    <row r="11301" spans="1:13" hidden="1" x14ac:dyDescent="0.15">
      <c r="A11301" t="s">
        <v>35667</v>
      </c>
      <c r="B11301" t="s">
        <v>35668</v>
      </c>
      <c r="C11301" t="s">
        <v>35669</v>
      </c>
      <c r="D11301" t="s">
        <v>35666</v>
      </c>
      <c r="E11301">
        <v>401</v>
      </c>
      <c r="F11301" t="str">
        <f>HYPERLINK("https://github.com/nextcloud/android/issues/10707", "show")</f>
        <v>show</v>
      </c>
      <c r="G11301" t="str">
        <f>HYPERLINK("https://github.com/nextcloud/android", "show")</f>
        <v>show</v>
      </c>
      <c r="H11301" t="str">
        <f>HYPERLINK("https://github.com/nextcloud/android/releases", "show")</f>
        <v>show</v>
      </c>
      <c r="I11301">
        <v>1</v>
      </c>
      <c r="J11301">
        <v>0</v>
      </c>
      <c r="K11301">
        <v>1</v>
      </c>
      <c r="L11301">
        <v>0</v>
      </c>
      <c r="M11301" t="s">
        <v>64</v>
      </c>
    </row>
    <row r="11302" spans="1:13" hidden="1" x14ac:dyDescent="0.15">
      <c r="A11302" t="s">
        <v>35670</v>
      </c>
      <c r="B11302" t="s">
        <v>35671</v>
      </c>
      <c r="C11302" t="s">
        <v>35672</v>
      </c>
      <c r="D11302" t="s">
        <v>35666</v>
      </c>
      <c r="E11302">
        <v>0</v>
      </c>
      <c r="F11302" t="str">
        <f>HYPERLINK("https://github.com/nextcloud/android/issues/10704", "show")</f>
        <v>show</v>
      </c>
      <c r="G11302" t="str">
        <f>HYPERLINK("https://github.com/nextcloud/android", "show")</f>
        <v>show</v>
      </c>
      <c r="H11302" t="str">
        <f>HYPERLINK("https://github.com/nextcloud/android/releases", "show")</f>
        <v>show</v>
      </c>
      <c r="I11302">
        <v>0</v>
      </c>
      <c r="J11302">
        <v>0</v>
      </c>
      <c r="K11302">
        <v>1</v>
      </c>
      <c r="L11302">
        <v>0</v>
      </c>
      <c r="M11302" t="s">
        <v>122</v>
      </c>
    </row>
    <row r="11303" spans="1:13" hidden="1" x14ac:dyDescent="0.15">
      <c r="A11303" t="s">
        <v>35673</v>
      </c>
      <c r="B11303" t="s">
        <v>35674</v>
      </c>
      <c r="C11303" t="s">
        <v>35675</v>
      </c>
      <c r="D11303" t="s">
        <v>35676</v>
      </c>
      <c r="E11303">
        <v>1</v>
      </c>
      <c r="F11303" t="str">
        <f>HYPERLINK("https://github.com/nextcloud/android/issues/10700", "show")</f>
        <v>show</v>
      </c>
      <c r="G11303" t="str">
        <f>HYPERLINK("https://github.com/nextcloud/android", "show")</f>
        <v>show</v>
      </c>
      <c r="H11303" t="str">
        <f>HYPERLINK("https://github.com/nextcloud/android/releases", "show")</f>
        <v>show</v>
      </c>
      <c r="I11303">
        <v>1</v>
      </c>
      <c r="J11303">
        <v>1</v>
      </c>
      <c r="K11303">
        <v>1</v>
      </c>
      <c r="L11303">
        <v>0</v>
      </c>
      <c r="M11303" t="s">
        <v>59</v>
      </c>
    </row>
    <row r="11304" spans="1:13" x14ac:dyDescent="0.15">
      <c r="A11304" t="s">
        <v>35677</v>
      </c>
      <c r="B11304" t="s">
        <v>35678</v>
      </c>
      <c r="C11304" t="s">
        <v>35679</v>
      </c>
      <c r="D11304" t="s">
        <v>35676</v>
      </c>
      <c r="E11304">
        <v>1</v>
      </c>
      <c r="F11304" t="str">
        <f>HYPERLINK("https://github.com/nextcloud/android/issues/10699", "show")</f>
        <v>show</v>
      </c>
      <c r="G11304" t="str">
        <f>HYPERLINK("https://github.com/nextcloud/android", "show")</f>
        <v>show</v>
      </c>
      <c r="H11304" t="str">
        <f>HYPERLINK("https://github.com/nextcloud/android/releases", "show")</f>
        <v>show</v>
      </c>
      <c r="I11304">
        <v>0</v>
      </c>
      <c r="J11304">
        <v>1</v>
      </c>
      <c r="K11304">
        <v>0</v>
      </c>
      <c r="L11304">
        <v>0</v>
      </c>
      <c r="M11304" t="s">
        <v>139</v>
      </c>
    </row>
    <row r="11305" spans="1:13" hidden="1" x14ac:dyDescent="0.15">
      <c r="A11305" t="s">
        <v>35680</v>
      </c>
      <c r="B11305" t="s">
        <v>35681</v>
      </c>
      <c r="C11305" t="s">
        <v>35682</v>
      </c>
      <c r="D11305" t="s">
        <v>35676</v>
      </c>
      <c r="E11305">
        <v>0</v>
      </c>
      <c r="F11305" t="str">
        <f>HYPERLINK("https://github.com/nextcloud/android/issues/10695", "show")</f>
        <v>show</v>
      </c>
      <c r="G11305" t="str">
        <f>HYPERLINK("https://github.com/nextcloud/android", "show")</f>
        <v>show</v>
      </c>
      <c r="H11305" t="str">
        <f>HYPERLINK("https://github.com/nextcloud/android/releases", "show")</f>
        <v>show</v>
      </c>
      <c r="I11305">
        <v>0</v>
      </c>
      <c r="J11305">
        <v>0</v>
      </c>
      <c r="K11305">
        <v>1</v>
      </c>
      <c r="L11305">
        <v>0</v>
      </c>
      <c r="M11305" t="s">
        <v>122</v>
      </c>
    </row>
    <row r="11306" spans="1:13" hidden="1" x14ac:dyDescent="0.15">
      <c r="A11306" t="s">
        <v>35683</v>
      </c>
      <c r="B11306" t="s">
        <v>35684</v>
      </c>
      <c r="C11306" t="s">
        <v>35685</v>
      </c>
      <c r="D11306" t="s">
        <v>35676</v>
      </c>
      <c r="E11306">
        <v>20</v>
      </c>
      <c r="F11306" t="str">
        <f>HYPERLINK("https://github.com/LawnchairLauncher/lawnchair/issues/2899", "show")</f>
        <v>show</v>
      </c>
      <c r="G11306" t="str">
        <f>HYPERLINK("https://github.com/LawnchairLauncher/lawnchair", "show")</f>
        <v>show</v>
      </c>
      <c r="H11306" t="str">
        <f>HYPERLINK("https://github.com/LawnchairLauncher/lawnchair/releases", "show")</f>
        <v>show</v>
      </c>
      <c r="I11306">
        <v>0</v>
      </c>
      <c r="J11306">
        <v>1</v>
      </c>
      <c r="K11306">
        <v>1</v>
      </c>
      <c r="L11306">
        <v>1</v>
      </c>
      <c r="M11306" t="s">
        <v>427</v>
      </c>
    </row>
    <row r="11307" spans="1:13" hidden="1" x14ac:dyDescent="0.15">
      <c r="A11307" t="s">
        <v>35686</v>
      </c>
      <c r="B11307" t="s">
        <v>35687</v>
      </c>
      <c r="C11307" t="s">
        <v>35688</v>
      </c>
      <c r="D11307" t="s">
        <v>35676</v>
      </c>
      <c r="E11307">
        <v>14</v>
      </c>
      <c r="F11307" t="str">
        <f>HYPERLINK("https://github.com/PojavLauncherTeam/PojavLauncher/issues/3526", "show")</f>
        <v>show</v>
      </c>
      <c r="G11307" t="str">
        <f>HYPERLINK("https://github.com/PojavLauncherTeam/PojavLauncher", "show")</f>
        <v>show</v>
      </c>
      <c r="H11307" t="str">
        <f>HYPERLINK("https://github.com/PojavLauncherTeam/PojavLauncher/releases", "show")</f>
        <v>show</v>
      </c>
      <c r="I11307">
        <v>1</v>
      </c>
      <c r="J11307">
        <v>1</v>
      </c>
      <c r="K11307">
        <v>0</v>
      </c>
      <c r="L11307">
        <v>0</v>
      </c>
      <c r="M11307" t="s">
        <v>48</v>
      </c>
    </row>
    <row r="11308" spans="1:13" hidden="1" x14ac:dyDescent="0.15">
      <c r="A11308" t="s">
        <v>35689</v>
      </c>
      <c r="B11308" t="s">
        <v>35690</v>
      </c>
      <c r="C11308" t="s">
        <v>35691</v>
      </c>
      <c r="D11308" t="s">
        <v>35676</v>
      </c>
      <c r="E11308">
        <v>1</v>
      </c>
      <c r="F11308" t="str">
        <f>HYPERLINK("https://github.com/gsantner/markor/issues/1833", "show")</f>
        <v>show</v>
      </c>
      <c r="G11308" t="str">
        <f>HYPERLINK("https://github.com/gsantner/markor", "show")</f>
        <v>show</v>
      </c>
      <c r="H11308" t="str">
        <f>HYPERLINK("https://github.com/gsantner/markor/releases", "show")</f>
        <v>show</v>
      </c>
      <c r="I11308">
        <v>1</v>
      </c>
      <c r="J11308">
        <v>1</v>
      </c>
      <c r="K11308">
        <v>1</v>
      </c>
      <c r="L11308">
        <v>0</v>
      </c>
      <c r="M11308" t="s">
        <v>59</v>
      </c>
    </row>
    <row r="11309" spans="1:13" hidden="1" x14ac:dyDescent="0.15">
      <c r="A11309" t="s">
        <v>35692</v>
      </c>
      <c r="B11309" t="s">
        <v>35693</v>
      </c>
      <c r="D11309" t="s">
        <v>35694</v>
      </c>
      <c r="E11309">
        <v>14</v>
      </c>
      <c r="F11309" t="str">
        <f>HYPERLINK("https://github.com/mkulesh/microMathematics/issues/121", "show")</f>
        <v>show</v>
      </c>
      <c r="G11309" t="str">
        <f>HYPERLINK("https://github.com/mkulesh/microMathematics", "show")</f>
        <v>show</v>
      </c>
      <c r="H11309" t="str">
        <f>HYPERLINK("https://github.com/mkulesh/microMathematics/releases", "show")</f>
        <v>show</v>
      </c>
      <c r="I11309">
        <v>1</v>
      </c>
      <c r="J11309">
        <v>0</v>
      </c>
      <c r="K11309">
        <v>0</v>
      </c>
      <c r="L11309">
        <v>0</v>
      </c>
      <c r="M11309" t="s">
        <v>17</v>
      </c>
    </row>
    <row r="11310" spans="1:13" hidden="1" x14ac:dyDescent="0.15">
      <c r="A11310" t="s">
        <v>35695</v>
      </c>
      <c r="B11310" t="s">
        <v>35696</v>
      </c>
      <c r="C11310" t="s">
        <v>35697</v>
      </c>
      <c r="D11310" t="s">
        <v>35694</v>
      </c>
      <c r="E11310">
        <v>1</v>
      </c>
      <c r="F11310" t="str">
        <f>HYPERLINK("https://github.com/nextcloud/android/issues/10692", "show")</f>
        <v>show</v>
      </c>
      <c r="G11310" t="str">
        <f>HYPERLINK("https://github.com/nextcloud/android", "show")</f>
        <v>show</v>
      </c>
      <c r="H11310" t="str">
        <f>HYPERLINK("https://github.com/nextcloud/android/releases", "show")</f>
        <v>show</v>
      </c>
      <c r="I11310">
        <v>1</v>
      </c>
      <c r="J11310">
        <v>0</v>
      </c>
      <c r="K11310">
        <v>1</v>
      </c>
      <c r="L11310">
        <v>0</v>
      </c>
      <c r="M11310" t="s">
        <v>64</v>
      </c>
    </row>
    <row r="11311" spans="1:13" hidden="1" x14ac:dyDescent="0.15">
      <c r="A11311" t="s">
        <v>35698</v>
      </c>
      <c r="B11311" t="s">
        <v>35699</v>
      </c>
      <c r="C11311" t="s">
        <v>35700</v>
      </c>
      <c r="D11311" t="s">
        <v>35694</v>
      </c>
      <c r="E11311">
        <v>3</v>
      </c>
      <c r="F11311" t="str">
        <f>HYPERLINK("https://github.com/gsantner/markor/issues/1831", "show")</f>
        <v>show</v>
      </c>
      <c r="G11311" t="str">
        <f>HYPERLINK("https://github.com/gsantner/markor", "show")</f>
        <v>show</v>
      </c>
      <c r="H11311" t="str">
        <f>HYPERLINK("https://github.com/gsantner/markor/releases", "show")</f>
        <v>show</v>
      </c>
      <c r="I11311">
        <v>1</v>
      </c>
      <c r="J11311">
        <v>1</v>
      </c>
      <c r="K11311">
        <v>0</v>
      </c>
      <c r="L11311">
        <v>1</v>
      </c>
      <c r="M11311" t="s">
        <v>1894</v>
      </c>
    </row>
    <row r="11312" spans="1:13" hidden="1" x14ac:dyDescent="0.15">
      <c r="A11312" t="s">
        <v>35701</v>
      </c>
      <c r="B11312" t="s">
        <v>35702</v>
      </c>
      <c r="C11312" t="s">
        <v>35703</v>
      </c>
      <c r="D11312" t="s">
        <v>35694</v>
      </c>
      <c r="E11312">
        <v>188</v>
      </c>
      <c r="F11312" t="str">
        <f>HYPERLINK("https://github.com/RoboTutorLLC/RoboTutor_2020/issues/103", "show")</f>
        <v>show</v>
      </c>
      <c r="G11312" t="str">
        <f>HYPERLINK("https://github.com/RoboTutorLLC/RoboTutor_2020", "show")</f>
        <v>show</v>
      </c>
      <c r="H11312" t="str">
        <f>HYPERLINK("https://github.com/RoboTutorLLC/RoboTutor_2020/releases", "show")</f>
        <v>show</v>
      </c>
      <c r="I11312">
        <v>1</v>
      </c>
      <c r="J11312">
        <v>1</v>
      </c>
      <c r="K11312">
        <v>0</v>
      </c>
      <c r="L11312">
        <v>0</v>
      </c>
      <c r="M11312" t="s">
        <v>48</v>
      </c>
    </row>
    <row r="11313" spans="1:13" x14ac:dyDescent="0.15">
      <c r="A11313" t="s">
        <v>35704</v>
      </c>
      <c r="B11313" t="s">
        <v>35705</v>
      </c>
      <c r="C11313" t="s">
        <v>35706</v>
      </c>
      <c r="D11313" t="s">
        <v>35694</v>
      </c>
      <c r="E11313">
        <v>0</v>
      </c>
      <c r="F11313" t="str">
        <f>HYPERLINK("https://github.com/Anuken/Mindustry/issues/7485", "show")</f>
        <v>show</v>
      </c>
      <c r="G11313" t="str">
        <f>HYPERLINK("https://github.com/Anuken/Mindustry", "show")</f>
        <v>show</v>
      </c>
      <c r="H11313" t="str">
        <f>HYPERLINK("https://github.com/Anuken/Mindustry/releases", "show")</f>
        <v>show</v>
      </c>
      <c r="I11313">
        <v>0</v>
      </c>
      <c r="J11313">
        <v>1</v>
      </c>
      <c r="K11313">
        <v>0</v>
      </c>
      <c r="L11313">
        <v>0</v>
      </c>
      <c r="M11313" t="s">
        <v>139</v>
      </c>
    </row>
    <row r="11314" spans="1:13" hidden="1" x14ac:dyDescent="0.15">
      <c r="A11314" t="s">
        <v>35707</v>
      </c>
      <c r="B11314" t="s">
        <v>35708</v>
      </c>
      <c r="C11314" t="s">
        <v>35709</v>
      </c>
      <c r="D11314" t="s">
        <v>35710</v>
      </c>
      <c r="E11314">
        <v>1</v>
      </c>
      <c r="F11314" t="str">
        <f>HYPERLINK("https://github.com/Anuken/Mindustry/issues/7484", "show")</f>
        <v>show</v>
      </c>
      <c r="G11314" t="str">
        <f>HYPERLINK("https://github.com/Anuken/Mindustry", "show")</f>
        <v>show</v>
      </c>
      <c r="H11314" t="str">
        <f>HYPERLINK("https://github.com/Anuken/Mindustry/releases", "show")</f>
        <v>show</v>
      </c>
      <c r="I11314">
        <v>1</v>
      </c>
      <c r="J11314">
        <v>1</v>
      </c>
      <c r="K11314">
        <v>0</v>
      </c>
      <c r="L11314">
        <v>1</v>
      </c>
      <c r="M11314" t="s">
        <v>1894</v>
      </c>
    </row>
    <row r="11315" spans="1:13" hidden="1" x14ac:dyDescent="0.15">
      <c r="A11315" t="s">
        <v>35711</v>
      </c>
      <c r="B11315" t="s">
        <v>35712</v>
      </c>
      <c r="C11315" t="s">
        <v>35713</v>
      </c>
      <c r="D11315" t="s">
        <v>35710</v>
      </c>
      <c r="E11315">
        <v>1</v>
      </c>
      <c r="F11315" t="str">
        <f>HYPERLINK("https://github.com/jellyfin/jellyfin-androidtv/issues/2020", "show")</f>
        <v>show</v>
      </c>
      <c r="G11315" t="str">
        <f>HYPERLINK("https://github.com/jellyfin/jellyfin-androidtv", "show")</f>
        <v>show</v>
      </c>
      <c r="H11315" t="str">
        <f>HYPERLINK("https://github.com/jellyfin/jellyfin-androidtv/releases", "show")</f>
        <v>show</v>
      </c>
      <c r="I11315">
        <v>1</v>
      </c>
      <c r="J11315">
        <v>0</v>
      </c>
      <c r="K11315">
        <v>0</v>
      </c>
      <c r="L11315">
        <v>0</v>
      </c>
      <c r="M11315" t="s">
        <v>17</v>
      </c>
    </row>
    <row r="11316" spans="1:13" hidden="1" x14ac:dyDescent="0.15">
      <c r="A11316" t="s">
        <v>35714</v>
      </c>
      <c r="B11316" t="s">
        <v>35715</v>
      </c>
      <c r="D11316" t="s">
        <v>35710</v>
      </c>
      <c r="E11316">
        <v>16</v>
      </c>
      <c r="F11316" t="str">
        <f>HYPERLINK("https://github.com/mit-cml/appinventor-sources/issues/2722", "show")</f>
        <v>show</v>
      </c>
      <c r="G11316" t="str">
        <f>HYPERLINK("https://github.com/mit-cml/appinventor-sources", "show")</f>
        <v>show</v>
      </c>
      <c r="H11316" t="str">
        <f>HYPERLINK("https://github.com/mit-cml/appinventor-sources/releases", "show")</f>
        <v>show</v>
      </c>
      <c r="I11316">
        <v>1</v>
      </c>
      <c r="J11316">
        <v>0</v>
      </c>
      <c r="K11316">
        <v>0</v>
      </c>
      <c r="L11316">
        <v>0</v>
      </c>
      <c r="M11316" t="s">
        <v>17</v>
      </c>
    </row>
    <row r="11317" spans="1:13" hidden="1" x14ac:dyDescent="0.15">
      <c r="A11317" t="s">
        <v>35716</v>
      </c>
      <c r="B11317" t="s">
        <v>35717</v>
      </c>
      <c r="D11317" t="s">
        <v>35710</v>
      </c>
      <c r="E11317">
        <v>11</v>
      </c>
      <c r="F11317" t="str">
        <f>HYPERLINK("https://github.com/xSynergyx/internal-ticketing/issues/62", "show")</f>
        <v>show</v>
      </c>
      <c r="G11317" t="str">
        <f>HYPERLINK("https://github.com/xSynergyx/internal-ticketing", "show")</f>
        <v>show</v>
      </c>
      <c r="H11317" t="str">
        <f>HYPERLINK("https://github.com/xSynergyx/internal-ticketing/releases", "show")</f>
        <v>show</v>
      </c>
      <c r="I11317">
        <v>1</v>
      </c>
      <c r="J11317">
        <v>0</v>
      </c>
      <c r="K11317">
        <v>0</v>
      </c>
      <c r="L11317">
        <v>0</v>
      </c>
      <c r="M11317" t="s">
        <v>17</v>
      </c>
    </row>
    <row r="11318" spans="1:13" hidden="1" x14ac:dyDescent="0.15">
      <c r="A11318" t="s">
        <v>35718</v>
      </c>
      <c r="B11318" t="s">
        <v>35719</v>
      </c>
      <c r="C11318" t="s">
        <v>35720</v>
      </c>
      <c r="D11318" t="s">
        <v>35710</v>
      </c>
      <c r="E11318">
        <v>1</v>
      </c>
      <c r="F11318" t="str">
        <f>HYPERLINK("https://github.com/mI-PIV/app/issues/389", "show")</f>
        <v>show</v>
      </c>
      <c r="G11318" t="str">
        <f>HYPERLINK("https://github.com/mI-PIV/app", "show")</f>
        <v>show</v>
      </c>
      <c r="H11318" t="str">
        <f>HYPERLINK("https://github.com/mI-PIV/app/releases", "show")</f>
        <v>show</v>
      </c>
      <c r="I11318">
        <v>0</v>
      </c>
      <c r="J11318">
        <v>0</v>
      </c>
      <c r="K11318">
        <v>0</v>
      </c>
      <c r="L11318">
        <v>0</v>
      </c>
      <c r="M11318" t="s">
        <v>43</v>
      </c>
    </row>
    <row r="11319" spans="1:13" hidden="1" x14ac:dyDescent="0.15">
      <c r="A11319" t="s">
        <v>35721</v>
      </c>
      <c r="B11319" t="s">
        <v>35722</v>
      </c>
      <c r="C11319" t="s">
        <v>35723</v>
      </c>
      <c r="D11319" t="s">
        <v>35710</v>
      </c>
      <c r="E11319">
        <v>25</v>
      </c>
      <c r="F11319" t="str">
        <f>HYPERLINK("https://github.com/mit-cml/appinventor-sources/issues/2721", "show")</f>
        <v>show</v>
      </c>
      <c r="G11319" t="str">
        <f>HYPERLINK("https://github.com/mit-cml/appinventor-sources", "show")</f>
        <v>show</v>
      </c>
      <c r="H11319" t="str">
        <f>HYPERLINK("https://github.com/mit-cml/appinventor-sources/releases", "show")</f>
        <v>show</v>
      </c>
      <c r="I11319">
        <v>1</v>
      </c>
      <c r="J11319">
        <v>0</v>
      </c>
      <c r="K11319">
        <v>0</v>
      </c>
      <c r="L11319">
        <v>0</v>
      </c>
      <c r="M11319" t="s">
        <v>17</v>
      </c>
    </row>
    <row r="11320" spans="1:13" hidden="1" x14ac:dyDescent="0.15">
      <c r="A11320" t="s">
        <v>35724</v>
      </c>
      <c r="B11320" t="s">
        <v>35725</v>
      </c>
      <c r="C11320" t="s">
        <v>35726</v>
      </c>
      <c r="D11320" t="s">
        <v>35710</v>
      </c>
      <c r="E11320">
        <v>72</v>
      </c>
      <c r="F11320" t="str">
        <f>HYPERLINK("https://github.com/XBigTK13X/snowgloo/issues/63", "show")</f>
        <v>show</v>
      </c>
      <c r="G11320" t="str">
        <f>HYPERLINK("https://github.com/XBigTK13X/snowgloo", "show")</f>
        <v>show</v>
      </c>
      <c r="H11320" t="str">
        <f>HYPERLINK("https://github.com/XBigTK13X/snowgloo/releases", "show")</f>
        <v>show</v>
      </c>
      <c r="I11320">
        <v>0</v>
      </c>
      <c r="J11320">
        <v>0</v>
      </c>
      <c r="K11320">
        <v>1</v>
      </c>
      <c r="L11320">
        <v>0</v>
      </c>
      <c r="M11320" t="s">
        <v>122</v>
      </c>
    </row>
    <row r="11321" spans="1:13" hidden="1" x14ac:dyDescent="0.15">
      <c r="A11321" t="s">
        <v>35727</v>
      </c>
      <c r="B11321" t="s">
        <v>35728</v>
      </c>
      <c r="C11321" t="s">
        <v>35729</v>
      </c>
      <c r="D11321" t="s">
        <v>35730</v>
      </c>
      <c r="E11321">
        <v>0</v>
      </c>
      <c r="F11321" t="str">
        <f>HYPERLINK("https://github.com/Anuken/Mindustry/issues/7477", "show")</f>
        <v>show</v>
      </c>
      <c r="G11321" t="str">
        <f>HYPERLINK("https://github.com/Anuken/Mindustry", "show")</f>
        <v>show</v>
      </c>
      <c r="H11321" t="str">
        <f>HYPERLINK("https://github.com/Anuken/Mindustry/releases", "show")</f>
        <v>show</v>
      </c>
      <c r="I11321">
        <v>1</v>
      </c>
      <c r="J11321">
        <v>1</v>
      </c>
      <c r="K11321">
        <v>0</v>
      </c>
      <c r="L11321">
        <v>1</v>
      </c>
      <c r="M11321" t="s">
        <v>1894</v>
      </c>
    </row>
    <row r="11322" spans="1:13" hidden="1" x14ac:dyDescent="0.15">
      <c r="A11322" t="s">
        <v>35731</v>
      </c>
      <c r="B11322" t="s">
        <v>35732</v>
      </c>
      <c r="C11322" t="s">
        <v>35733</v>
      </c>
      <c r="D11322" t="s">
        <v>35730</v>
      </c>
      <c r="E11322">
        <v>27</v>
      </c>
      <c r="F11322" t="str">
        <f>HYPERLINK("https://github.com/AndroidIDEOfficial/AndroidIDE/issues/418", "show")</f>
        <v>show</v>
      </c>
      <c r="G11322" t="str">
        <f>HYPERLINK("https://github.com/AndroidIDEOfficial/AndroidIDE", "show")</f>
        <v>show</v>
      </c>
      <c r="H11322" t="str">
        <f>HYPERLINK("https://github.com/AndroidIDEOfficial/AndroidIDE/releases", "show")</f>
        <v>show</v>
      </c>
      <c r="I11322">
        <v>0</v>
      </c>
      <c r="J11322">
        <v>0</v>
      </c>
      <c r="K11322">
        <v>1</v>
      </c>
      <c r="L11322">
        <v>1</v>
      </c>
      <c r="M11322" t="s">
        <v>351</v>
      </c>
    </row>
    <row r="11323" spans="1:13" hidden="1" x14ac:dyDescent="0.15">
      <c r="A11323" t="s">
        <v>35734</v>
      </c>
      <c r="B11323" t="s">
        <v>35735</v>
      </c>
      <c r="C11323" t="s">
        <v>35736</v>
      </c>
      <c r="D11323" t="s">
        <v>35730</v>
      </c>
      <c r="E11323">
        <v>4</v>
      </c>
      <c r="F11323" t="str">
        <f>HYPERLINK("https://github.com/nextcloud/android/issues/10690", "show")</f>
        <v>show</v>
      </c>
      <c r="G11323" t="str">
        <f>HYPERLINK("https://github.com/nextcloud/android", "show")</f>
        <v>show</v>
      </c>
      <c r="H11323" t="str">
        <f>HYPERLINK("https://github.com/nextcloud/android/releases", "show")</f>
        <v>show</v>
      </c>
      <c r="I11323">
        <v>1</v>
      </c>
      <c r="J11323">
        <v>0</v>
      </c>
      <c r="K11323">
        <v>1</v>
      </c>
      <c r="L11323">
        <v>0</v>
      </c>
      <c r="M11323" t="s">
        <v>64</v>
      </c>
    </row>
    <row r="11324" spans="1:13" hidden="1" x14ac:dyDescent="0.15">
      <c r="A11324" t="s">
        <v>35737</v>
      </c>
      <c r="B11324" t="s">
        <v>35738</v>
      </c>
      <c r="C11324" t="s">
        <v>35739</v>
      </c>
      <c r="D11324" t="s">
        <v>35730</v>
      </c>
      <c r="E11324">
        <v>7</v>
      </c>
      <c r="F11324" t="str">
        <f>HYPERLINK("https://github.com/Sesu8642/FeudalTactics/issues/13", "show")</f>
        <v>show</v>
      </c>
      <c r="G11324" t="str">
        <f>HYPERLINK("https://github.com/Sesu8642/FeudalTactics", "show")</f>
        <v>show</v>
      </c>
      <c r="H11324" t="str">
        <f>HYPERLINK("https://github.com/Sesu8642/FeudalTactics/releases", "show")</f>
        <v>show</v>
      </c>
      <c r="I11324">
        <v>1</v>
      </c>
      <c r="J11324">
        <v>1</v>
      </c>
      <c r="K11324">
        <v>1</v>
      </c>
      <c r="L11324">
        <v>0</v>
      </c>
      <c r="M11324" t="s">
        <v>59</v>
      </c>
    </row>
    <row r="11325" spans="1:13" hidden="1" x14ac:dyDescent="0.15">
      <c r="A11325" t="s">
        <v>35740</v>
      </c>
      <c r="B11325" t="s">
        <v>16147</v>
      </c>
      <c r="C11325" t="s">
        <v>35741</v>
      </c>
      <c r="D11325" t="s">
        <v>35730</v>
      </c>
      <c r="E11325">
        <v>9</v>
      </c>
      <c r="F11325" t="str">
        <f>HYPERLINK("https://github.com/LawnchairLauncher/lawnchair/issues/2895", "show")</f>
        <v>show</v>
      </c>
      <c r="G11325" t="str">
        <f>HYPERLINK("https://github.com/LawnchairLauncher/lawnchair", "show")</f>
        <v>show</v>
      </c>
      <c r="H11325" t="str">
        <f>HYPERLINK("https://github.com/LawnchairLauncher/lawnchair/releases", "show")</f>
        <v>show</v>
      </c>
      <c r="I11325">
        <v>1</v>
      </c>
      <c r="J11325">
        <v>1</v>
      </c>
      <c r="K11325">
        <v>0</v>
      </c>
      <c r="L11325">
        <v>0</v>
      </c>
      <c r="M11325" t="s">
        <v>48</v>
      </c>
    </row>
    <row r="11326" spans="1:13" hidden="1" x14ac:dyDescent="0.15">
      <c r="A11326" t="s">
        <v>35742</v>
      </c>
      <c r="B11326" t="s">
        <v>35743</v>
      </c>
      <c r="C11326" t="s">
        <v>35744</v>
      </c>
      <c r="D11326" t="s">
        <v>35730</v>
      </c>
      <c r="E11326">
        <v>281</v>
      </c>
      <c r="F11326" t="str">
        <f>HYPERLINK("https://github.com/devgianlu/Timeless/issues/108", "show")</f>
        <v>show</v>
      </c>
      <c r="G11326" t="str">
        <f>HYPERLINK("https://github.com/devgianlu/Timeless", "show")</f>
        <v>show</v>
      </c>
      <c r="H11326" t="str">
        <f>HYPERLINK("https://github.com/devgianlu/Timeless/releases", "show")</f>
        <v>show</v>
      </c>
      <c r="I11326">
        <v>1</v>
      </c>
      <c r="J11326">
        <v>0</v>
      </c>
      <c r="K11326">
        <v>0</v>
      </c>
      <c r="L11326">
        <v>1</v>
      </c>
      <c r="M11326" t="s">
        <v>29</v>
      </c>
    </row>
    <row r="11327" spans="1:13" hidden="1" x14ac:dyDescent="0.15">
      <c r="A11327" t="s">
        <v>35745</v>
      </c>
      <c r="B11327" t="s">
        <v>35746</v>
      </c>
      <c r="C11327" t="s">
        <v>35747</v>
      </c>
      <c r="D11327" t="s">
        <v>35730</v>
      </c>
      <c r="E11327">
        <v>1</v>
      </c>
      <c r="F11327" t="str">
        <f>HYPERLINK("https://github.com/nextcloud/android/issues/10689", "show")</f>
        <v>show</v>
      </c>
      <c r="G11327" t="str">
        <f>HYPERLINK("https://github.com/nextcloud/android", "show")</f>
        <v>show</v>
      </c>
      <c r="H11327" t="str">
        <f>HYPERLINK("https://github.com/nextcloud/android/releases", "show")</f>
        <v>show</v>
      </c>
      <c r="I11327">
        <v>1</v>
      </c>
      <c r="J11327">
        <v>1</v>
      </c>
      <c r="K11327">
        <v>1</v>
      </c>
      <c r="L11327">
        <v>0</v>
      </c>
      <c r="M11327" t="s">
        <v>59</v>
      </c>
    </row>
    <row r="11328" spans="1:13" hidden="1" x14ac:dyDescent="0.15">
      <c r="A11328" t="s">
        <v>35748</v>
      </c>
      <c r="B11328" t="s">
        <v>35749</v>
      </c>
      <c r="C11328" t="s">
        <v>35750</v>
      </c>
      <c r="D11328" t="s">
        <v>35730</v>
      </c>
      <c r="E11328">
        <v>69</v>
      </c>
      <c r="F11328" t="str">
        <f>HYPERLINK("https://github.com/react-native-share/react-native-share/issues/1272", "show")</f>
        <v>show</v>
      </c>
      <c r="G11328" t="str">
        <f>HYPERLINK("https://github.com/react-native-share/react-native-share", "show")</f>
        <v>show</v>
      </c>
      <c r="H11328" t="str">
        <f>HYPERLINK("https://github.com/react-native-share/react-native-share/releases", "show")</f>
        <v>show</v>
      </c>
      <c r="I11328">
        <v>0</v>
      </c>
      <c r="J11328">
        <v>0</v>
      </c>
      <c r="K11328">
        <v>0</v>
      </c>
      <c r="L11328">
        <v>0</v>
      </c>
      <c r="M11328" t="s">
        <v>43</v>
      </c>
    </row>
    <row r="11329" spans="1:13" hidden="1" x14ac:dyDescent="0.15">
      <c r="A11329" t="s">
        <v>35751</v>
      </c>
      <c r="B11329" t="s">
        <v>35752</v>
      </c>
      <c r="C11329" t="s">
        <v>11701</v>
      </c>
      <c r="D11329" t="s">
        <v>35730</v>
      </c>
      <c r="E11329">
        <v>0</v>
      </c>
      <c r="F11329" t="str">
        <f>HYPERLINK("https://github.com/Anuken/Mindustry/issues/7472", "show")</f>
        <v>show</v>
      </c>
      <c r="G11329" t="str">
        <f>HYPERLINK("https://github.com/Anuken/Mindustry", "show")</f>
        <v>show</v>
      </c>
      <c r="H11329" t="str">
        <f>HYPERLINK("https://github.com/Anuken/Mindustry/releases", "show")</f>
        <v>show</v>
      </c>
      <c r="I11329">
        <v>1</v>
      </c>
      <c r="J11329">
        <v>1</v>
      </c>
      <c r="K11329">
        <v>0</v>
      </c>
      <c r="L11329">
        <v>0</v>
      </c>
      <c r="M11329" t="s">
        <v>48</v>
      </c>
    </row>
    <row r="11330" spans="1:13" hidden="1" x14ac:dyDescent="0.15">
      <c r="A11330" t="s">
        <v>35753</v>
      </c>
      <c r="B11330" t="s">
        <v>35754</v>
      </c>
      <c r="C11330" t="s">
        <v>35755</v>
      </c>
      <c r="D11330" t="s">
        <v>35730</v>
      </c>
      <c r="E11330">
        <v>98</v>
      </c>
      <c r="F11330" t="str">
        <f>HYPERLINK("https://github.com/LawnchairLauncher/lawnchair/issues/2894", "show")</f>
        <v>show</v>
      </c>
      <c r="G11330" t="str">
        <f>HYPERLINK("https://github.com/LawnchairLauncher/lawnchair", "show")</f>
        <v>show</v>
      </c>
      <c r="H11330" t="str">
        <f>HYPERLINK("https://github.com/LawnchairLauncher/lawnchair/releases", "show")</f>
        <v>show</v>
      </c>
      <c r="I11330">
        <v>0</v>
      </c>
      <c r="J11330">
        <v>0</v>
      </c>
      <c r="K11330">
        <v>0</v>
      </c>
      <c r="L11330">
        <v>0</v>
      </c>
      <c r="M11330" t="s">
        <v>43</v>
      </c>
    </row>
    <row r="11331" spans="1:13" hidden="1" x14ac:dyDescent="0.15">
      <c r="A11331" t="s">
        <v>35756</v>
      </c>
      <c r="B11331" t="s">
        <v>35757</v>
      </c>
      <c r="C11331" t="s">
        <v>35758</v>
      </c>
      <c r="D11331" t="s">
        <v>35759</v>
      </c>
      <c r="E11331">
        <v>0</v>
      </c>
      <c r="F11331" t="str">
        <f>HYPERLINK("https://github.com/Anuken/Mindustry/issues/7468", "show")</f>
        <v>show</v>
      </c>
      <c r="G11331" t="str">
        <f>HYPERLINK("https://github.com/Anuken/Mindustry", "show")</f>
        <v>show</v>
      </c>
      <c r="H11331" t="str">
        <f>HYPERLINK("https://github.com/Anuken/Mindustry/releases", "show")</f>
        <v>show</v>
      </c>
      <c r="I11331">
        <v>1</v>
      </c>
      <c r="J11331">
        <v>1</v>
      </c>
      <c r="K11331">
        <v>0</v>
      </c>
      <c r="L11331">
        <v>0</v>
      </c>
      <c r="M11331" t="s">
        <v>48</v>
      </c>
    </row>
    <row r="11332" spans="1:13" hidden="1" x14ac:dyDescent="0.15">
      <c r="A11332" t="s">
        <v>35760</v>
      </c>
      <c r="B11332" t="s">
        <v>35761</v>
      </c>
      <c r="C11332" t="s">
        <v>35762</v>
      </c>
      <c r="D11332" t="s">
        <v>35759</v>
      </c>
      <c r="E11332">
        <v>0</v>
      </c>
      <c r="F11332" t="str">
        <f>HYPERLINK("https://github.com/Anuken/Mindustry/issues/7465", "show")</f>
        <v>show</v>
      </c>
      <c r="G11332" t="str">
        <f>HYPERLINK("https://github.com/Anuken/Mindustry", "show")</f>
        <v>show</v>
      </c>
      <c r="H11332" t="str">
        <f>HYPERLINK("https://github.com/Anuken/Mindustry/releases", "show")</f>
        <v>show</v>
      </c>
      <c r="I11332">
        <v>1</v>
      </c>
      <c r="J11332">
        <v>1</v>
      </c>
      <c r="K11332">
        <v>0</v>
      </c>
      <c r="L11332">
        <v>1</v>
      </c>
      <c r="M11332" t="s">
        <v>1894</v>
      </c>
    </row>
    <row r="11333" spans="1:13" hidden="1" x14ac:dyDescent="0.15">
      <c r="A11333" t="s">
        <v>35763</v>
      </c>
      <c r="B11333" t="s">
        <v>35764</v>
      </c>
      <c r="C11333" t="s">
        <v>35765</v>
      </c>
      <c r="D11333" t="s">
        <v>35759</v>
      </c>
      <c r="E11333">
        <v>18</v>
      </c>
      <c r="F11333" t="str">
        <f>HYPERLINK("https://github.com/PojavLauncherTeam/PojavLauncher/issues/3522", "show")</f>
        <v>show</v>
      </c>
      <c r="G11333" t="str">
        <f>HYPERLINK("https://github.com/PojavLauncherTeam/PojavLauncher", "show")</f>
        <v>show</v>
      </c>
      <c r="H11333" t="str">
        <f>HYPERLINK("https://github.com/PojavLauncherTeam/PojavLauncher/releases", "show")</f>
        <v>show</v>
      </c>
      <c r="I11333">
        <v>1</v>
      </c>
      <c r="J11333">
        <v>0</v>
      </c>
      <c r="K11333">
        <v>0</v>
      </c>
      <c r="L11333">
        <v>0</v>
      </c>
      <c r="M11333" t="s">
        <v>17</v>
      </c>
    </row>
    <row r="11334" spans="1:13" hidden="1" x14ac:dyDescent="0.15">
      <c r="A11334" t="s">
        <v>35766</v>
      </c>
      <c r="B11334" t="s">
        <v>35767</v>
      </c>
      <c r="C11334" t="s">
        <v>35768</v>
      </c>
      <c r="D11334" t="s">
        <v>35759</v>
      </c>
      <c r="E11334">
        <v>0</v>
      </c>
      <c r="F11334" t="str">
        <f>HYPERLINK("https://github.com/LSPosed/LSPosed/issues/2094", "show")</f>
        <v>show</v>
      </c>
      <c r="G11334" t="str">
        <f>HYPERLINK("https://github.com/LSPosed/LSPosed", "show")</f>
        <v>show</v>
      </c>
      <c r="H11334" t="str">
        <f>HYPERLINK("https://github.com/LSPosed/LSPosed/releases", "show")</f>
        <v>show</v>
      </c>
      <c r="I11334">
        <v>1</v>
      </c>
      <c r="J11334">
        <v>1</v>
      </c>
      <c r="K11334">
        <v>0</v>
      </c>
      <c r="L11334">
        <v>0</v>
      </c>
      <c r="M11334" t="s">
        <v>48</v>
      </c>
    </row>
    <row r="11335" spans="1:13" hidden="1" x14ac:dyDescent="0.15">
      <c r="A11335" t="s">
        <v>35769</v>
      </c>
      <c r="B11335" t="s">
        <v>35770</v>
      </c>
      <c r="C11335" t="s">
        <v>35771</v>
      </c>
      <c r="D11335" t="s">
        <v>35772</v>
      </c>
      <c r="E11335">
        <v>46</v>
      </c>
      <c r="F11335" t="str">
        <f>HYPERLINK("https://github.com/TeamNewPipe/NewPipe/issues/8887", "show")</f>
        <v>show</v>
      </c>
      <c r="G11335" t="str">
        <f>HYPERLINK("https://github.com/TeamNewPipe/NewPipe", "show")</f>
        <v>show</v>
      </c>
      <c r="H11335" t="str">
        <f>HYPERLINK("https://github.com/TeamNewPipe/NewPipe/releases", "show")</f>
        <v>show</v>
      </c>
      <c r="I11335">
        <v>0</v>
      </c>
      <c r="J11335">
        <v>1</v>
      </c>
      <c r="K11335">
        <v>1</v>
      </c>
      <c r="L11335">
        <v>0</v>
      </c>
      <c r="M11335" t="s">
        <v>699</v>
      </c>
    </row>
    <row r="11336" spans="1:13" hidden="1" x14ac:dyDescent="0.15">
      <c r="A11336" t="s">
        <v>35773</v>
      </c>
      <c r="B11336" t="s">
        <v>18338</v>
      </c>
      <c r="C11336" t="s">
        <v>35774</v>
      </c>
      <c r="D11336" t="s">
        <v>35772</v>
      </c>
      <c r="E11336">
        <v>0</v>
      </c>
      <c r="F11336" t="str">
        <f>HYPERLINK("https://github.com/MuntashirAkon/AppManager/issues/852", "show")</f>
        <v>show</v>
      </c>
      <c r="G11336" t="str">
        <f>HYPERLINK("https://github.com/MuntashirAkon/AppManager", "show")</f>
        <v>show</v>
      </c>
      <c r="H11336" t="str">
        <f>HYPERLINK("https://github.com/MuntashirAkon/AppManager/releases", "show")</f>
        <v>show</v>
      </c>
      <c r="I11336">
        <v>1</v>
      </c>
      <c r="J11336">
        <v>1</v>
      </c>
      <c r="K11336">
        <v>1</v>
      </c>
      <c r="L11336">
        <v>0</v>
      </c>
      <c r="M11336" t="s">
        <v>59</v>
      </c>
    </row>
    <row r="11337" spans="1:13" hidden="1" x14ac:dyDescent="0.15">
      <c r="A11337" t="s">
        <v>35775</v>
      </c>
      <c r="B11337" t="s">
        <v>35776</v>
      </c>
      <c r="C11337" t="s">
        <v>35777</v>
      </c>
      <c r="D11337" t="s">
        <v>35772</v>
      </c>
      <c r="E11337">
        <v>0</v>
      </c>
      <c r="F11337" t="str">
        <f>HYPERLINK("https://github.com/Aliucord/Aliucord/issues/262", "show")</f>
        <v>show</v>
      </c>
      <c r="G11337" t="str">
        <f>HYPERLINK("https://github.com/Aliucord/Aliucord", "show")</f>
        <v>show</v>
      </c>
      <c r="H11337" t="str">
        <f>HYPERLINK("https://github.com/Aliucord/Aliucord/releases", "show")</f>
        <v>show</v>
      </c>
      <c r="I11337">
        <v>1</v>
      </c>
      <c r="J11337">
        <v>0</v>
      </c>
      <c r="K11337">
        <v>1</v>
      </c>
      <c r="L11337">
        <v>0</v>
      </c>
      <c r="M11337" t="s">
        <v>64</v>
      </c>
    </row>
    <row r="11338" spans="1:13" hidden="1" x14ac:dyDescent="0.15">
      <c r="A11338" t="s">
        <v>35778</v>
      </c>
      <c r="B11338" t="s">
        <v>35779</v>
      </c>
      <c r="C11338" t="s">
        <v>35780</v>
      </c>
      <c r="D11338" t="s">
        <v>35781</v>
      </c>
      <c r="E11338">
        <v>147</v>
      </c>
      <c r="F11338" t="str">
        <f>HYPERLINK("https://github.com/oliexdev/openScale/issues/877", "show")</f>
        <v>show</v>
      </c>
      <c r="G11338" t="str">
        <f>HYPERLINK("https://github.com/oliexdev/openScale", "show")</f>
        <v>show</v>
      </c>
      <c r="H11338" t="str">
        <f>HYPERLINK("https://github.com/oliexdev/openScale/releases", "show")</f>
        <v>show</v>
      </c>
      <c r="I11338">
        <v>1</v>
      </c>
      <c r="J11338">
        <v>1</v>
      </c>
      <c r="K11338">
        <v>1</v>
      </c>
      <c r="L11338">
        <v>0</v>
      </c>
      <c r="M11338" t="s">
        <v>59</v>
      </c>
    </row>
    <row r="11339" spans="1:13" hidden="1" x14ac:dyDescent="0.15">
      <c r="A11339" t="s">
        <v>35782</v>
      </c>
      <c r="B11339" t="s">
        <v>35783</v>
      </c>
      <c r="D11339" t="s">
        <v>35781</v>
      </c>
      <c r="E11339">
        <v>2</v>
      </c>
      <c r="F11339" t="str">
        <f>HYPERLINK("https://github.com/SegFault03/Maatran/issues/44", "show")</f>
        <v>show</v>
      </c>
      <c r="G11339" t="str">
        <f>HYPERLINK("https://github.com/SegFault03/Maatran", "show")</f>
        <v>show</v>
      </c>
      <c r="H11339" t="str">
        <f>HYPERLINK("https://github.com/SegFault03/Maatran/releases", "show")</f>
        <v>show</v>
      </c>
      <c r="I11339">
        <v>1</v>
      </c>
      <c r="J11339">
        <v>0</v>
      </c>
      <c r="K11339">
        <v>0</v>
      </c>
      <c r="L11339">
        <v>0</v>
      </c>
      <c r="M11339" t="s">
        <v>17</v>
      </c>
    </row>
    <row r="11340" spans="1:13" x14ac:dyDescent="0.15">
      <c r="A11340" t="s">
        <v>35784</v>
      </c>
      <c r="B11340" t="s">
        <v>35785</v>
      </c>
      <c r="C11340" t="s">
        <v>35786</v>
      </c>
      <c r="D11340" t="s">
        <v>35781</v>
      </c>
      <c r="E11340">
        <v>0</v>
      </c>
      <c r="F11340" t="str">
        <f>HYPERLINK("https://github.com/RoboTutorLLC/RoboTutor_2020/issues/100", "show")</f>
        <v>show</v>
      </c>
      <c r="G11340" t="str">
        <f>HYPERLINK("https://github.com/RoboTutorLLC/RoboTutor_2020", "show")</f>
        <v>show</v>
      </c>
      <c r="H11340" t="str">
        <f>HYPERLINK("https://github.com/RoboTutorLLC/RoboTutor_2020/releases", "show")</f>
        <v>show</v>
      </c>
      <c r="I11340">
        <v>0</v>
      </c>
      <c r="J11340">
        <v>1</v>
      </c>
      <c r="K11340">
        <v>0</v>
      </c>
      <c r="L11340">
        <v>0</v>
      </c>
      <c r="M11340" t="s">
        <v>139</v>
      </c>
    </row>
    <row r="11341" spans="1:13" hidden="1" x14ac:dyDescent="0.15">
      <c r="A11341" t="s">
        <v>35787</v>
      </c>
      <c r="B11341" t="s">
        <v>35788</v>
      </c>
      <c r="C11341" t="s">
        <v>35789</v>
      </c>
      <c r="D11341" t="s">
        <v>35790</v>
      </c>
      <c r="E11341">
        <v>409</v>
      </c>
      <c r="F11341" t="str">
        <f>HYPERLINK("https://github.com/nextcloud/android/issues/10680", "show")</f>
        <v>show</v>
      </c>
      <c r="G11341" t="str">
        <f>HYPERLINK("https://github.com/nextcloud/android", "show")</f>
        <v>show</v>
      </c>
      <c r="H11341" t="str">
        <f>HYPERLINK("https://github.com/nextcloud/android/releases", "show")</f>
        <v>show</v>
      </c>
      <c r="I11341">
        <v>1</v>
      </c>
      <c r="J11341">
        <v>1</v>
      </c>
      <c r="K11341">
        <v>1</v>
      </c>
      <c r="L11341">
        <v>0</v>
      </c>
      <c r="M11341" t="s">
        <v>59</v>
      </c>
    </row>
    <row r="11342" spans="1:13" hidden="1" x14ac:dyDescent="0.15">
      <c r="A11342" t="s">
        <v>35791</v>
      </c>
      <c r="B11342" t="s">
        <v>35792</v>
      </c>
      <c r="C11342" t="s">
        <v>35793</v>
      </c>
      <c r="D11342" t="s">
        <v>35790</v>
      </c>
      <c r="E11342">
        <v>1</v>
      </c>
      <c r="F11342" t="str">
        <f>HYPERLINK("https://github.com/SkyTubeTeam/SkyTube/issues/1116", "show")</f>
        <v>show</v>
      </c>
      <c r="G11342" t="str">
        <f>HYPERLINK("https://github.com/SkyTubeTeam/SkyTube", "show")</f>
        <v>show</v>
      </c>
      <c r="H11342" t="str">
        <f>HYPERLINK("https://github.com/SkyTubeTeam/SkyTube/releases", "show")</f>
        <v>show</v>
      </c>
      <c r="I11342">
        <v>1</v>
      </c>
      <c r="J11342">
        <v>0</v>
      </c>
      <c r="K11342">
        <v>0</v>
      </c>
      <c r="L11342">
        <v>0</v>
      </c>
      <c r="M11342" t="s">
        <v>17</v>
      </c>
    </row>
    <row r="11343" spans="1:13" hidden="1" x14ac:dyDescent="0.15">
      <c r="A11343" t="s">
        <v>35794</v>
      </c>
      <c r="B11343" t="s">
        <v>35795</v>
      </c>
      <c r="C11343" t="s">
        <v>35796</v>
      </c>
      <c r="D11343" t="s">
        <v>35790</v>
      </c>
      <c r="E11343">
        <v>0</v>
      </c>
      <c r="F11343" t="str">
        <f>HYPERLINK("https://github.com/Anuken/Mindustry/issues/7444", "show")</f>
        <v>show</v>
      </c>
      <c r="G11343" t="str">
        <f>HYPERLINK("https://github.com/Anuken/Mindustry", "show")</f>
        <v>show</v>
      </c>
      <c r="H11343" t="str">
        <f>HYPERLINK("https://github.com/Anuken/Mindustry/releases", "show")</f>
        <v>show</v>
      </c>
      <c r="I11343">
        <v>1</v>
      </c>
      <c r="J11343">
        <v>0</v>
      </c>
      <c r="K11343">
        <v>0</v>
      </c>
      <c r="L11343">
        <v>0</v>
      </c>
      <c r="M11343" t="s">
        <v>17</v>
      </c>
    </row>
    <row r="11344" spans="1:13" hidden="1" x14ac:dyDescent="0.15">
      <c r="A11344" t="s">
        <v>35797</v>
      </c>
      <c r="B11344" t="s">
        <v>35798</v>
      </c>
      <c r="C11344" t="s">
        <v>35799</v>
      </c>
      <c r="D11344" t="s">
        <v>35790</v>
      </c>
      <c r="E11344">
        <v>0</v>
      </c>
      <c r="F11344" t="str">
        <f>HYPERLINK("https://github.com/nextcloud/android/issues/10676", "show")</f>
        <v>show</v>
      </c>
      <c r="G11344" t="str">
        <f>HYPERLINK("https://github.com/nextcloud/android", "show")</f>
        <v>show</v>
      </c>
      <c r="H11344" t="str">
        <f>HYPERLINK("https://github.com/nextcloud/android/releases", "show")</f>
        <v>show</v>
      </c>
      <c r="I11344">
        <v>1</v>
      </c>
      <c r="J11344">
        <v>0</v>
      </c>
      <c r="K11344">
        <v>1</v>
      </c>
      <c r="L11344">
        <v>0</v>
      </c>
      <c r="M11344" t="s">
        <v>64</v>
      </c>
    </row>
    <row r="11345" spans="1:13" hidden="1" x14ac:dyDescent="0.15">
      <c r="A11345" t="s">
        <v>35800</v>
      </c>
      <c r="B11345" t="s">
        <v>35801</v>
      </c>
      <c r="C11345" t="s">
        <v>35802</v>
      </c>
      <c r="D11345" t="s">
        <v>35790</v>
      </c>
      <c r="E11345">
        <v>151</v>
      </c>
      <c r="F11345" t="str">
        <f>HYPERLINK("https://github.com/Mini-Ware/Quoting-Words/issues/1", "show")</f>
        <v>show</v>
      </c>
      <c r="G11345" t="str">
        <f>HYPERLINK("https://github.com/Mini-Ware/Quoting-Words", "show")</f>
        <v>show</v>
      </c>
      <c r="H11345" t="str">
        <f>HYPERLINK("https://github.com/Mini-Ware/Quoting-Words/releases", "show")</f>
        <v>show</v>
      </c>
      <c r="I11345">
        <v>1</v>
      </c>
      <c r="J11345">
        <v>0</v>
      </c>
      <c r="K11345">
        <v>0</v>
      </c>
      <c r="L11345">
        <v>0</v>
      </c>
      <c r="M11345" t="s">
        <v>17</v>
      </c>
    </row>
    <row r="11346" spans="1:13" hidden="1" x14ac:dyDescent="0.15">
      <c r="A11346" t="s">
        <v>35803</v>
      </c>
      <c r="B11346" t="s">
        <v>35804</v>
      </c>
      <c r="C11346" t="s">
        <v>35805</v>
      </c>
      <c r="D11346" t="s">
        <v>35806</v>
      </c>
      <c r="E11346">
        <v>0</v>
      </c>
      <c r="F11346" t="str">
        <f>HYPERLINK("https://github.com/TrianguloY/UrlChecker/issues/72", "show")</f>
        <v>show</v>
      </c>
      <c r="G11346" t="str">
        <f>HYPERLINK("https://github.com/TrianguloY/UrlChecker", "show")</f>
        <v>show</v>
      </c>
      <c r="H11346" t="str">
        <f>HYPERLINK("https://github.com/TrianguloY/UrlChecker/releases", "show")</f>
        <v>show</v>
      </c>
      <c r="I11346">
        <v>1</v>
      </c>
      <c r="J11346">
        <v>1</v>
      </c>
      <c r="K11346">
        <v>1</v>
      </c>
      <c r="L11346">
        <v>0</v>
      </c>
      <c r="M11346" t="s">
        <v>59</v>
      </c>
    </row>
    <row r="11347" spans="1:13" hidden="1" x14ac:dyDescent="0.15">
      <c r="A11347" t="s">
        <v>35807</v>
      </c>
      <c r="B11347" t="s">
        <v>35808</v>
      </c>
      <c r="C11347" t="s">
        <v>35809</v>
      </c>
      <c r="D11347" t="s">
        <v>35806</v>
      </c>
      <c r="E11347">
        <v>28</v>
      </c>
      <c r="F11347" t="str">
        <f>HYPERLINK("https://github.com/LawnchairLauncher/lawnchair/issues/2872", "show")</f>
        <v>show</v>
      </c>
      <c r="G11347" t="str">
        <f>HYPERLINK("https://github.com/LawnchairLauncher/lawnchair", "show")</f>
        <v>show</v>
      </c>
      <c r="H11347" t="str">
        <f>HYPERLINK("https://github.com/LawnchairLauncher/lawnchair/releases", "show")</f>
        <v>show</v>
      </c>
      <c r="I11347">
        <v>0</v>
      </c>
      <c r="J11347">
        <v>0</v>
      </c>
      <c r="K11347">
        <v>1</v>
      </c>
      <c r="L11347">
        <v>0</v>
      </c>
      <c r="M11347" t="s">
        <v>122</v>
      </c>
    </row>
    <row r="11348" spans="1:13" hidden="1" x14ac:dyDescent="0.15">
      <c r="A11348" t="s">
        <v>35810</v>
      </c>
      <c r="B11348" t="s">
        <v>35811</v>
      </c>
      <c r="C11348" t="s">
        <v>35812</v>
      </c>
      <c r="D11348" t="s">
        <v>35813</v>
      </c>
      <c r="E11348">
        <v>7</v>
      </c>
      <c r="F11348" t="str">
        <f>HYPERLINK("https://github.com/facebook/react-native/issues/34483", "show")</f>
        <v>show</v>
      </c>
      <c r="G11348" t="str">
        <f>HYPERLINK("https://github.com/facebook/react-native", "show")</f>
        <v>show</v>
      </c>
      <c r="H11348" t="str">
        <f>HYPERLINK("https://github.com/facebook/react-native/releases", "show")</f>
        <v>show</v>
      </c>
      <c r="I11348">
        <v>1</v>
      </c>
      <c r="J11348">
        <v>1</v>
      </c>
      <c r="K11348">
        <v>0</v>
      </c>
      <c r="L11348">
        <v>0</v>
      </c>
      <c r="M11348" t="s">
        <v>48</v>
      </c>
    </row>
    <row r="11349" spans="1:13" hidden="1" x14ac:dyDescent="0.15">
      <c r="A11349" t="s">
        <v>35814</v>
      </c>
      <c r="B11349" t="s">
        <v>35815</v>
      </c>
      <c r="C11349" t="s">
        <v>35816</v>
      </c>
      <c r="D11349" t="s">
        <v>35813</v>
      </c>
      <c r="E11349">
        <v>149</v>
      </c>
      <c r="F11349" t="str">
        <f>HYPERLINK("https://github.com/nextcloud/android/issues/10668", "show")</f>
        <v>show</v>
      </c>
      <c r="G11349" t="str">
        <f>HYPERLINK("https://github.com/nextcloud/android", "show")</f>
        <v>show</v>
      </c>
      <c r="H11349" t="str">
        <f>HYPERLINK("https://github.com/nextcloud/android/releases", "show")</f>
        <v>show</v>
      </c>
      <c r="I11349">
        <v>1</v>
      </c>
      <c r="J11349">
        <v>0</v>
      </c>
      <c r="K11349">
        <v>1</v>
      </c>
      <c r="L11349">
        <v>0</v>
      </c>
      <c r="M11349" t="s">
        <v>64</v>
      </c>
    </row>
    <row r="11350" spans="1:13" hidden="1" x14ac:dyDescent="0.15">
      <c r="A11350" t="s">
        <v>35817</v>
      </c>
      <c r="B11350" t="s">
        <v>35818</v>
      </c>
      <c r="C11350" t="s">
        <v>35819</v>
      </c>
      <c r="D11350" t="s">
        <v>35813</v>
      </c>
      <c r="E11350">
        <v>0</v>
      </c>
      <c r="F11350" t="str">
        <f>HYPERLINK("https://github.com/gsantner/markor/issues/1815", "show")</f>
        <v>show</v>
      </c>
      <c r="G11350" t="str">
        <f>HYPERLINK("https://github.com/gsantner/markor", "show")</f>
        <v>show</v>
      </c>
      <c r="H11350" t="str">
        <f>HYPERLINK("https://github.com/gsantner/markor/releases", "show")</f>
        <v>show</v>
      </c>
      <c r="I11350">
        <v>0</v>
      </c>
      <c r="J11350">
        <v>1</v>
      </c>
      <c r="K11350">
        <v>0</v>
      </c>
      <c r="L11350">
        <v>1</v>
      </c>
      <c r="M11350" t="s">
        <v>1732</v>
      </c>
    </row>
    <row r="11351" spans="1:13" hidden="1" x14ac:dyDescent="0.15">
      <c r="A11351" t="s">
        <v>35820</v>
      </c>
      <c r="B11351" t="s">
        <v>35821</v>
      </c>
      <c r="C11351" t="s">
        <v>35822</v>
      </c>
      <c r="D11351" t="s">
        <v>35813</v>
      </c>
      <c r="E11351">
        <v>0</v>
      </c>
      <c r="F11351" t="str">
        <f>HYPERLINK("https://github.com/jMonkeyEngine/sdk/issues/369", "show")</f>
        <v>show</v>
      </c>
      <c r="G11351" t="str">
        <f>HYPERLINK("https://github.com/jMonkeyEngine/sdk", "show")</f>
        <v>show</v>
      </c>
      <c r="H11351" t="str">
        <f>HYPERLINK("https://github.com/jMonkeyEngine/sdk/releases", "show")</f>
        <v>show</v>
      </c>
      <c r="I11351">
        <v>1</v>
      </c>
      <c r="J11351">
        <v>0</v>
      </c>
      <c r="K11351">
        <v>1</v>
      </c>
      <c r="L11351">
        <v>0</v>
      </c>
      <c r="M11351" t="s">
        <v>64</v>
      </c>
    </row>
    <row r="11352" spans="1:13" hidden="1" x14ac:dyDescent="0.15">
      <c r="A11352" t="s">
        <v>35823</v>
      </c>
      <c r="B11352" t="s">
        <v>35824</v>
      </c>
      <c r="C11352" t="s">
        <v>35825</v>
      </c>
      <c r="D11352" t="s">
        <v>35826</v>
      </c>
      <c r="E11352">
        <v>415</v>
      </c>
      <c r="F11352" t="str">
        <f>HYPERLINK("https://github.com/nextcloud/android/issues/10664", "show")</f>
        <v>show</v>
      </c>
      <c r="G11352" t="str">
        <f>HYPERLINK("https://github.com/nextcloud/android", "show")</f>
        <v>show</v>
      </c>
      <c r="H11352" t="str">
        <f>HYPERLINK("https://github.com/nextcloud/android/releases", "show")</f>
        <v>show</v>
      </c>
      <c r="I11352">
        <v>1</v>
      </c>
      <c r="J11352">
        <v>1</v>
      </c>
      <c r="K11352">
        <v>1</v>
      </c>
      <c r="L11352">
        <v>0</v>
      </c>
      <c r="M11352" t="s">
        <v>59</v>
      </c>
    </row>
    <row r="11353" spans="1:13" hidden="1" x14ac:dyDescent="0.15">
      <c r="A11353" t="s">
        <v>35827</v>
      </c>
      <c r="B11353" t="s">
        <v>35828</v>
      </c>
      <c r="C11353" t="s">
        <v>35829</v>
      </c>
      <c r="D11353" t="s">
        <v>35826</v>
      </c>
      <c r="E11353">
        <v>1</v>
      </c>
      <c r="F11353" t="str">
        <f>HYPERLINK("https://github.com/gsantner/markor/issues/1814", "show")</f>
        <v>show</v>
      </c>
      <c r="G11353" t="str">
        <f>HYPERLINK("https://github.com/gsantner/markor", "show")</f>
        <v>show</v>
      </c>
      <c r="H11353" t="str">
        <f>HYPERLINK("https://github.com/gsantner/markor/releases", "show")</f>
        <v>show</v>
      </c>
      <c r="I11353">
        <v>1</v>
      </c>
      <c r="J11353">
        <v>0</v>
      </c>
      <c r="K11353">
        <v>0</v>
      </c>
      <c r="L11353">
        <v>0</v>
      </c>
      <c r="M11353" t="s">
        <v>17</v>
      </c>
    </row>
    <row r="11354" spans="1:13" hidden="1" x14ac:dyDescent="0.15">
      <c r="A11354" t="s">
        <v>35830</v>
      </c>
      <c r="B11354" t="s">
        <v>35831</v>
      </c>
      <c r="C11354" t="s">
        <v>35832</v>
      </c>
      <c r="D11354" t="s">
        <v>35826</v>
      </c>
      <c r="E11354">
        <v>0</v>
      </c>
      <c r="F11354" t="str">
        <f>HYPERLINK("https://github.com/Anuken/Mindustry/issues/7419", "show")</f>
        <v>show</v>
      </c>
      <c r="G11354" t="str">
        <f>HYPERLINK("https://github.com/Anuken/Mindustry", "show")</f>
        <v>show</v>
      </c>
      <c r="H11354" t="str">
        <f>HYPERLINK("https://github.com/Anuken/Mindustry/releases", "show")</f>
        <v>show</v>
      </c>
      <c r="I11354">
        <v>1</v>
      </c>
      <c r="J11354">
        <v>1</v>
      </c>
      <c r="K11354">
        <v>0</v>
      </c>
      <c r="L11354">
        <v>0</v>
      </c>
      <c r="M11354" t="s">
        <v>48</v>
      </c>
    </row>
    <row r="11355" spans="1:13" hidden="1" x14ac:dyDescent="0.15">
      <c r="A11355" t="s">
        <v>35833</v>
      </c>
      <c r="B11355" t="s">
        <v>35834</v>
      </c>
      <c r="C11355" t="s">
        <v>35835</v>
      </c>
      <c r="D11355" t="s">
        <v>35826</v>
      </c>
      <c r="E11355">
        <v>0</v>
      </c>
      <c r="F11355" t="str">
        <f>HYPERLINK("https://github.com/Anuken/Mindustry/issues/7412", "show")</f>
        <v>show</v>
      </c>
      <c r="G11355" t="str">
        <f>HYPERLINK("https://github.com/Anuken/Mindustry", "show")</f>
        <v>show</v>
      </c>
      <c r="H11355" t="str">
        <f>HYPERLINK("https://github.com/Anuken/Mindustry/releases", "show")</f>
        <v>show</v>
      </c>
      <c r="I11355">
        <v>1</v>
      </c>
      <c r="J11355">
        <v>0</v>
      </c>
      <c r="K11355">
        <v>0</v>
      </c>
      <c r="L11355">
        <v>1</v>
      </c>
      <c r="M11355" t="s">
        <v>29</v>
      </c>
    </row>
    <row r="11356" spans="1:13" hidden="1" x14ac:dyDescent="0.15">
      <c r="A11356" t="s">
        <v>35836</v>
      </c>
      <c r="B11356" t="s">
        <v>35837</v>
      </c>
      <c r="C11356" t="s">
        <v>35838</v>
      </c>
      <c r="D11356" t="s">
        <v>35826</v>
      </c>
      <c r="E11356">
        <v>1</v>
      </c>
      <c r="F11356" t="str">
        <f>HYPERLINK("https://github.com/SecUSo/privacy-friendly-weather/issues/198", "show")</f>
        <v>show</v>
      </c>
      <c r="G11356" t="str">
        <f>HYPERLINK("https://github.com/SecUSo/privacy-friendly-weather", "show")</f>
        <v>show</v>
      </c>
      <c r="H11356" t="str">
        <f>HYPERLINK("https://github.com/SecUSo/privacy-friendly-weather/releases", "show")</f>
        <v>show</v>
      </c>
      <c r="I11356">
        <v>0</v>
      </c>
      <c r="J11356">
        <v>0</v>
      </c>
      <c r="K11356">
        <v>0</v>
      </c>
      <c r="L11356">
        <v>0</v>
      </c>
      <c r="M11356" t="s">
        <v>43</v>
      </c>
    </row>
    <row r="11357" spans="1:13" hidden="1" x14ac:dyDescent="0.15">
      <c r="A11357" t="s">
        <v>35839</v>
      </c>
      <c r="B11357" t="s">
        <v>35840</v>
      </c>
      <c r="C11357" t="s">
        <v>35841</v>
      </c>
      <c r="D11357" t="s">
        <v>35826</v>
      </c>
      <c r="E11357">
        <v>1</v>
      </c>
      <c r="F11357" t="str">
        <f>HYPERLINK("https://github.com/gsantner/markor/issues/1813", "show")</f>
        <v>show</v>
      </c>
      <c r="G11357" t="str">
        <f>HYPERLINK("https://github.com/gsantner/markor", "show")</f>
        <v>show</v>
      </c>
      <c r="H11357" t="str">
        <f>HYPERLINK("https://github.com/gsantner/markor/releases", "show")</f>
        <v>show</v>
      </c>
      <c r="I11357">
        <v>1</v>
      </c>
      <c r="J11357">
        <v>1</v>
      </c>
      <c r="K11357">
        <v>1</v>
      </c>
      <c r="L11357">
        <v>0</v>
      </c>
      <c r="M11357" t="s">
        <v>59</v>
      </c>
    </row>
    <row r="11358" spans="1:13" hidden="1" x14ac:dyDescent="0.15">
      <c r="A11358" t="s">
        <v>35842</v>
      </c>
      <c r="B11358" t="s">
        <v>35843</v>
      </c>
      <c r="C11358" t="s">
        <v>35844</v>
      </c>
      <c r="D11358" t="s">
        <v>35826</v>
      </c>
      <c r="E11358">
        <v>1</v>
      </c>
      <c r="F11358" t="str">
        <f>HYPERLINK("https://github.com/LawnchairLauncher/lawnchair/issues/2861", "show")</f>
        <v>show</v>
      </c>
      <c r="G11358" t="str">
        <f>HYPERLINK("https://github.com/LawnchairLauncher/lawnchair", "show")</f>
        <v>show</v>
      </c>
      <c r="H11358" t="str">
        <f>HYPERLINK("https://github.com/LawnchairLauncher/lawnchair/releases", "show")</f>
        <v>show</v>
      </c>
      <c r="I11358">
        <v>1</v>
      </c>
      <c r="J11358">
        <v>1</v>
      </c>
      <c r="K11358">
        <v>1</v>
      </c>
      <c r="L11358">
        <v>0</v>
      </c>
      <c r="M11358" t="s">
        <v>59</v>
      </c>
    </row>
    <row r="11359" spans="1:13" hidden="1" x14ac:dyDescent="0.15">
      <c r="A11359" t="s">
        <v>35845</v>
      </c>
      <c r="B11359" t="s">
        <v>35846</v>
      </c>
      <c r="C11359" t="s">
        <v>35847</v>
      </c>
      <c r="D11359" t="s">
        <v>35848</v>
      </c>
      <c r="E11359">
        <v>20</v>
      </c>
      <c r="F11359" t="str">
        <f>HYPERLINK("https://github.com/cgeo/cgeo/issues/13343", "show")</f>
        <v>show</v>
      </c>
      <c r="G11359" t="str">
        <f>HYPERLINK("https://github.com/cgeo/cgeo", "show")</f>
        <v>show</v>
      </c>
      <c r="H11359" t="str">
        <f>HYPERLINK("https://github.com/cgeo/cgeo/releases", "show")</f>
        <v>show</v>
      </c>
      <c r="I11359">
        <v>1</v>
      </c>
      <c r="J11359">
        <v>0</v>
      </c>
      <c r="K11359">
        <v>1</v>
      </c>
      <c r="L11359">
        <v>0</v>
      </c>
      <c r="M11359" t="s">
        <v>64</v>
      </c>
    </row>
    <row r="11360" spans="1:13" hidden="1" x14ac:dyDescent="0.15">
      <c r="A11360" t="s">
        <v>35849</v>
      </c>
      <c r="B11360" t="s">
        <v>35850</v>
      </c>
      <c r="C11360" t="s">
        <v>35851</v>
      </c>
      <c r="D11360" t="s">
        <v>35852</v>
      </c>
      <c r="E11360">
        <v>3</v>
      </c>
      <c r="F11360" t="str">
        <f>HYPERLINK("https://github.com/mI-PIV/app/issues/372", "show")</f>
        <v>show</v>
      </c>
      <c r="G11360" t="str">
        <f>HYPERLINK("https://github.com/mI-PIV/app", "show")</f>
        <v>show</v>
      </c>
      <c r="H11360" t="str">
        <f>HYPERLINK("https://github.com/mI-PIV/app/releases", "show")</f>
        <v>show</v>
      </c>
      <c r="I11360">
        <v>1</v>
      </c>
      <c r="J11360">
        <v>0</v>
      </c>
      <c r="K11360">
        <v>0</v>
      </c>
      <c r="L11360">
        <v>0</v>
      </c>
      <c r="M11360" t="s">
        <v>17</v>
      </c>
    </row>
    <row r="11361" spans="1:13" x14ac:dyDescent="0.15">
      <c r="A11361" t="s">
        <v>35853</v>
      </c>
      <c r="B11361" t="s">
        <v>35854</v>
      </c>
      <c r="C11361" t="s">
        <v>35855</v>
      </c>
      <c r="D11361" t="s">
        <v>35852</v>
      </c>
      <c r="E11361">
        <v>0</v>
      </c>
      <c r="F11361" t="str">
        <f>HYPERLINK("https://github.com/PojavLauncherTeam/PojavLauncher/issues/3513", "show")</f>
        <v>show</v>
      </c>
      <c r="G11361" t="str">
        <f>HYPERLINK("https://github.com/PojavLauncherTeam/PojavLauncher", "show")</f>
        <v>show</v>
      </c>
      <c r="H11361" t="str">
        <f>HYPERLINK("https://github.com/PojavLauncherTeam/PojavLauncher/releases", "show")</f>
        <v>show</v>
      </c>
      <c r="I11361">
        <v>0</v>
      </c>
      <c r="J11361">
        <v>1</v>
      </c>
      <c r="K11361">
        <v>0</v>
      </c>
      <c r="L11361">
        <v>0</v>
      </c>
      <c r="M11361" t="s">
        <v>139</v>
      </c>
    </row>
    <row r="11362" spans="1:13" hidden="1" x14ac:dyDescent="0.15">
      <c r="A11362" t="s">
        <v>35856</v>
      </c>
      <c r="B11362" t="s">
        <v>35857</v>
      </c>
      <c r="C11362" t="s">
        <v>35858</v>
      </c>
      <c r="D11362" t="s">
        <v>35852</v>
      </c>
      <c r="E11362">
        <v>0</v>
      </c>
      <c r="F11362" t="str">
        <f>HYPERLINK("https://github.com/jellyfin/jellyfin-androidtv/issues/2000", "show")</f>
        <v>show</v>
      </c>
      <c r="G11362" t="str">
        <f>HYPERLINK("https://github.com/jellyfin/jellyfin-androidtv", "show")</f>
        <v>show</v>
      </c>
      <c r="H11362" t="str">
        <f>HYPERLINK("https://github.com/jellyfin/jellyfin-androidtv/releases", "show")</f>
        <v>show</v>
      </c>
      <c r="I11362">
        <v>1</v>
      </c>
      <c r="J11362">
        <v>0</v>
      </c>
      <c r="K11362">
        <v>0</v>
      </c>
      <c r="L11362">
        <v>0</v>
      </c>
      <c r="M11362" t="s">
        <v>17</v>
      </c>
    </row>
    <row r="11363" spans="1:13" hidden="1" x14ac:dyDescent="0.15">
      <c r="A11363" t="s">
        <v>35859</v>
      </c>
      <c r="B11363" t="s">
        <v>35860</v>
      </c>
      <c r="C11363" t="s">
        <v>35861</v>
      </c>
      <c r="D11363" t="s">
        <v>35852</v>
      </c>
      <c r="E11363">
        <v>0</v>
      </c>
      <c r="F11363" t="str">
        <f>HYPERLINK("https://github.com/Anuken/Mindustry/issues/7404", "show")</f>
        <v>show</v>
      </c>
      <c r="G11363" t="str">
        <f>HYPERLINK("https://github.com/Anuken/Mindustry", "show")</f>
        <v>show</v>
      </c>
      <c r="H11363" t="str">
        <f>HYPERLINK("https://github.com/Anuken/Mindustry/releases", "show")</f>
        <v>show</v>
      </c>
      <c r="I11363">
        <v>1</v>
      </c>
      <c r="J11363">
        <v>1</v>
      </c>
      <c r="K11363">
        <v>0</v>
      </c>
      <c r="L11363">
        <v>0</v>
      </c>
      <c r="M11363" t="s">
        <v>48</v>
      </c>
    </row>
    <row r="11364" spans="1:13" hidden="1" x14ac:dyDescent="0.15">
      <c r="A11364" t="s">
        <v>35862</v>
      </c>
      <c r="B11364" t="s">
        <v>35863</v>
      </c>
      <c r="C11364" t="s">
        <v>35864</v>
      </c>
      <c r="D11364" t="s">
        <v>35865</v>
      </c>
      <c r="E11364">
        <v>36</v>
      </c>
      <c r="F11364" t="str">
        <f>HYPERLINK("https://github.com/PojavLauncherTeam/PojavLauncher/issues/3512", "show")</f>
        <v>show</v>
      </c>
      <c r="G11364" t="str">
        <f>HYPERLINK("https://github.com/PojavLauncherTeam/PojavLauncher", "show")</f>
        <v>show</v>
      </c>
      <c r="H11364" t="str">
        <f>HYPERLINK("https://github.com/PojavLauncherTeam/PojavLauncher/releases", "show")</f>
        <v>show</v>
      </c>
      <c r="I11364">
        <v>1</v>
      </c>
      <c r="J11364">
        <v>1</v>
      </c>
      <c r="K11364">
        <v>0</v>
      </c>
      <c r="L11364">
        <v>0</v>
      </c>
      <c r="M11364" t="s">
        <v>48</v>
      </c>
    </row>
    <row r="11365" spans="1:13" hidden="1" x14ac:dyDescent="0.15">
      <c r="A11365" t="s">
        <v>35866</v>
      </c>
      <c r="B11365" t="s">
        <v>35867</v>
      </c>
      <c r="C11365" t="s">
        <v>35868</v>
      </c>
      <c r="D11365" t="s">
        <v>35865</v>
      </c>
      <c r="E11365">
        <v>54</v>
      </c>
      <c r="F11365" t="str">
        <f>HYPERLINK("https://github.com/GoogleCloudPlatform/fda-mystudies/issues/4840", "show")</f>
        <v>show</v>
      </c>
      <c r="G11365" t="str">
        <f>HYPERLINK("https://github.com/GoogleCloudPlatform/fda-mystudies", "show")</f>
        <v>show</v>
      </c>
      <c r="H11365" t="str">
        <f>HYPERLINK("https://github.com/GoogleCloudPlatform/fda-mystudies/releases", "show")</f>
        <v>show</v>
      </c>
      <c r="I11365">
        <v>1</v>
      </c>
      <c r="J11365">
        <v>1</v>
      </c>
      <c r="K11365">
        <v>0</v>
      </c>
      <c r="L11365">
        <v>0</v>
      </c>
      <c r="M11365" t="s">
        <v>48</v>
      </c>
    </row>
    <row r="11366" spans="1:13" hidden="1" x14ac:dyDescent="0.15">
      <c r="A11366" t="s">
        <v>35869</v>
      </c>
      <c r="B11366" t="s">
        <v>35870</v>
      </c>
      <c r="C11366" t="s">
        <v>35871</v>
      </c>
      <c r="D11366" t="s">
        <v>35865</v>
      </c>
      <c r="E11366">
        <v>38</v>
      </c>
      <c r="F11366" t="str">
        <f>HYPERLINK("https://github.com/facebook/react-native/issues/34456", "show")</f>
        <v>show</v>
      </c>
      <c r="G11366" t="str">
        <f>HYPERLINK("https://github.com/facebook/react-native", "show")</f>
        <v>show</v>
      </c>
      <c r="H11366" t="str">
        <f>HYPERLINK("https://github.com/facebook/react-native/releases", "show")</f>
        <v>show</v>
      </c>
      <c r="I11366">
        <v>1</v>
      </c>
      <c r="J11366">
        <v>0</v>
      </c>
      <c r="K11366">
        <v>0</v>
      </c>
      <c r="L11366">
        <v>0</v>
      </c>
      <c r="M11366" t="s">
        <v>17</v>
      </c>
    </row>
    <row r="11367" spans="1:13" hidden="1" x14ac:dyDescent="0.15">
      <c r="A11367" t="s">
        <v>35872</v>
      </c>
      <c r="B11367" t="s">
        <v>35873</v>
      </c>
      <c r="C11367" t="s">
        <v>35874</v>
      </c>
      <c r="D11367" t="s">
        <v>35875</v>
      </c>
      <c r="E11367">
        <v>1</v>
      </c>
      <c r="F11367" t="str">
        <f>HYPERLINK("https://github.com/Anuken/Mindustry/issues/7393", "show")</f>
        <v>show</v>
      </c>
      <c r="G11367" t="str">
        <f>HYPERLINK("https://github.com/Anuken/Mindustry", "show")</f>
        <v>show</v>
      </c>
      <c r="H11367" t="str">
        <f>HYPERLINK("https://github.com/Anuken/Mindustry/releases", "show")</f>
        <v>show</v>
      </c>
      <c r="I11367">
        <v>0</v>
      </c>
      <c r="J11367">
        <v>0</v>
      </c>
      <c r="K11367">
        <v>0</v>
      </c>
      <c r="L11367">
        <v>0</v>
      </c>
      <c r="M11367" t="s">
        <v>43</v>
      </c>
    </row>
    <row r="11368" spans="1:13" hidden="1" x14ac:dyDescent="0.15">
      <c r="A11368" t="s">
        <v>35876</v>
      </c>
      <c r="B11368" t="s">
        <v>35877</v>
      </c>
      <c r="C11368" t="s">
        <v>35878</v>
      </c>
      <c r="D11368" t="s">
        <v>35875</v>
      </c>
      <c r="E11368">
        <v>0</v>
      </c>
      <c r="F11368" t="str">
        <f>HYPERLINK("https://github.com/nextcloud/android/issues/10642", "show")</f>
        <v>show</v>
      </c>
      <c r="G11368" t="str">
        <f>HYPERLINK("https://github.com/nextcloud/android", "show")</f>
        <v>show</v>
      </c>
      <c r="H11368" t="str">
        <f>HYPERLINK("https://github.com/nextcloud/android/releases", "show")</f>
        <v>show</v>
      </c>
      <c r="I11368">
        <v>1</v>
      </c>
      <c r="J11368">
        <v>0</v>
      </c>
      <c r="K11368">
        <v>1</v>
      </c>
      <c r="L11368">
        <v>0</v>
      </c>
      <c r="M11368" t="s">
        <v>64</v>
      </c>
    </row>
    <row r="11369" spans="1:13" hidden="1" x14ac:dyDescent="0.15">
      <c r="A11369" t="s">
        <v>35879</v>
      </c>
      <c r="B11369" t="s">
        <v>35880</v>
      </c>
      <c r="D11369" t="s">
        <v>35875</v>
      </c>
      <c r="E11369">
        <v>2</v>
      </c>
      <c r="F11369" t="str">
        <f>HYPERLINK("https://github.com/lukassobotik/Quotes/issues/12", "show")</f>
        <v>show</v>
      </c>
      <c r="G11369" t="str">
        <f>HYPERLINK("https://github.com/lukassobotik/Quotes", "show")</f>
        <v>show</v>
      </c>
      <c r="H11369" t="str">
        <f>HYPERLINK("https://github.com/lukassobotik/Quotes/releases", "show")</f>
        <v>show</v>
      </c>
      <c r="I11369">
        <v>1</v>
      </c>
      <c r="J11369">
        <v>0</v>
      </c>
      <c r="K11369">
        <v>0</v>
      </c>
      <c r="L11369">
        <v>0</v>
      </c>
      <c r="M11369" t="s">
        <v>17</v>
      </c>
    </row>
    <row r="11370" spans="1:13" hidden="1" x14ac:dyDescent="0.15">
      <c r="A11370" t="s">
        <v>35881</v>
      </c>
      <c r="B11370" t="s">
        <v>35882</v>
      </c>
      <c r="C11370" t="s">
        <v>35883</v>
      </c>
      <c r="D11370" t="s">
        <v>35884</v>
      </c>
      <c r="E11370">
        <v>52</v>
      </c>
      <c r="F11370" t="str">
        <f>HYPERLINK("https://github.com/mollyim/mollyim-android/issues/120", "show")</f>
        <v>show</v>
      </c>
      <c r="G11370" t="str">
        <f>HYPERLINK("https://github.com/mollyim/mollyim-android", "show")</f>
        <v>show</v>
      </c>
      <c r="H11370" t="str">
        <f>HYPERLINK("https://github.com/mollyim/mollyim-android/releases", "show")</f>
        <v>show</v>
      </c>
      <c r="I11370">
        <v>1</v>
      </c>
      <c r="J11370">
        <v>1</v>
      </c>
      <c r="K11370">
        <v>0</v>
      </c>
      <c r="L11370">
        <v>0</v>
      </c>
      <c r="M11370" t="s">
        <v>48</v>
      </c>
    </row>
    <row r="11371" spans="1:13" hidden="1" x14ac:dyDescent="0.15">
      <c r="A11371" t="s">
        <v>35885</v>
      </c>
      <c r="B11371" t="s">
        <v>35886</v>
      </c>
      <c r="C11371" t="s">
        <v>35887</v>
      </c>
      <c r="D11371" t="s">
        <v>35884</v>
      </c>
      <c r="E11371">
        <v>0</v>
      </c>
      <c r="F11371" t="str">
        <f>HYPERLINK("https://github.com/Anuken/Mindustry/issues/7382", "show")</f>
        <v>show</v>
      </c>
      <c r="G11371" t="str">
        <f>HYPERLINK("https://github.com/Anuken/Mindustry", "show")</f>
        <v>show</v>
      </c>
      <c r="H11371" t="str">
        <f>HYPERLINK("https://github.com/Anuken/Mindustry/releases", "show")</f>
        <v>show</v>
      </c>
      <c r="I11371">
        <v>1</v>
      </c>
      <c r="J11371">
        <v>1</v>
      </c>
      <c r="K11371">
        <v>0</v>
      </c>
      <c r="L11371">
        <v>0</v>
      </c>
      <c r="M11371" t="s">
        <v>48</v>
      </c>
    </row>
    <row r="11372" spans="1:13" hidden="1" x14ac:dyDescent="0.15">
      <c r="A11372" t="s">
        <v>35888</v>
      </c>
      <c r="B11372" t="s">
        <v>35889</v>
      </c>
      <c r="C11372" t="s">
        <v>35890</v>
      </c>
      <c r="D11372" t="s">
        <v>35884</v>
      </c>
      <c r="E11372">
        <v>33</v>
      </c>
      <c r="F11372" t="str">
        <f>HYPERLINK("https://github.com/mapbox/mapbox-gestures-android/issues/100", "show")</f>
        <v>show</v>
      </c>
      <c r="G11372" t="str">
        <f>HYPERLINK("https://github.com/mapbox/mapbox-gestures-android", "show")</f>
        <v>show</v>
      </c>
      <c r="H11372" t="str">
        <f>HYPERLINK("https://github.com/mapbox/mapbox-gestures-android/releases", "show")</f>
        <v>show</v>
      </c>
      <c r="I11372">
        <v>1</v>
      </c>
      <c r="J11372">
        <v>0</v>
      </c>
      <c r="K11372">
        <v>1</v>
      </c>
      <c r="L11372">
        <v>0</v>
      </c>
      <c r="M11372" t="s">
        <v>64</v>
      </c>
    </row>
    <row r="11373" spans="1:13" hidden="1" x14ac:dyDescent="0.15">
      <c r="A11373" t="s">
        <v>35891</v>
      </c>
      <c r="B11373" t="s">
        <v>35892</v>
      </c>
      <c r="C11373" t="s">
        <v>35893</v>
      </c>
      <c r="D11373" t="s">
        <v>35884</v>
      </c>
      <c r="E11373">
        <v>0</v>
      </c>
      <c r="F11373" t="str">
        <f>HYPERLINK("https://github.com/OpenTracksApp/OpenTracks/issues/1354", "show")</f>
        <v>show</v>
      </c>
      <c r="G11373" t="str">
        <f>HYPERLINK("https://github.com/OpenTracksApp/OpenTracks", "show")</f>
        <v>show</v>
      </c>
      <c r="H11373" t="str">
        <f>HYPERLINK("https://github.com/OpenTracksApp/OpenTracks/releases", "show")</f>
        <v>show</v>
      </c>
      <c r="I11373">
        <v>1</v>
      </c>
      <c r="J11373">
        <v>1</v>
      </c>
      <c r="K11373">
        <v>1</v>
      </c>
      <c r="L11373">
        <v>0</v>
      </c>
      <c r="M11373" t="s">
        <v>59</v>
      </c>
    </row>
    <row r="11374" spans="1:13" hidden="1" x14ac:dyDescent="0.15">
      <c r="A11374" t="s">
        <v>35894</v>
      </c>
      <c r="B11374" t="s">
        <v>35895</v>
      </c>
      <c r="C11374" t="s">
        <v>35896</v>
      </c>
      <c r="D11374" t="s">
        <v>35884</v>
      </c>
      <c r="E11374">
        <v>4</v>
      </c>
      <c r="F11374" t="str">
        <f>HYPERLINK("https://github.com/patzly/doodle-android/issues/65", "show")</f>
        <v>show</v>
      </c>
      <c r="G11374" t="str">
        <f>HYPERLINK("https://github.com/patzly/doodle-android", "show")</f>
        <v>show</v>
      </c>
      <c r="H11374" t="str">
        <f>HYPERLINK("https://github.com/patzly/doodle-android/releases", "show")</f>
        <v>show</v>
      </c>
      <c r="I11374">
        <v>1</v>
      </c>
      <c r="J11374">
        <v>0</v>
      </c>
      <c r="K11374">
        <v>0</v>
      </c>
      <c r="L11374">
        <v>0</v>
      </c>
      <c r="M11374" t="s">
        <v>17</v>
      </c>
    </row>
    <row r="11375" spans="1:13" hidden="1" x14ac:dyDescent="0.15">
      <c r="A11375" t="s">
        <v>35897</v>
      </c>
      <c r="B11375" t="s">
        <v>35898</v>
      </c>
      <c r="C11375" t="s">
        <v>35899</v>
      </c>
      <c r="D11375" t="s">
        <v>35884</v>
      </c>
      <c r="E11375">
        <v>56</v>
      </c>
      <c r="F11375" t="str">
        <f>HYPERLINK("https://github.com/RoboTutorLLC/RTFace_Login/issues/20", "show")</f>
        <v>show</v>
      </c>
      <c r="G11375" t="str">
        <f>HYPERLINK("https://github.com/RoboTutorLLC/RTFace_Login", "show")</f>
        <v>show</v>
      </c>
      <c r="H11375" t="str">
        <f>HYPERLINK("https://github.com/RoboTutorLLC/RTFace_Login/releases", "show")</f>
        <v>show</v>
      </c>
      <c r="I11375">
        <v>1</v>
      </c>
      <c r="J11375">
        <v>1</v>
      </c>
      <c r="K11375">
        <v>0</v>
      </c>
      <c r="L11375">
        <v>0</v>
      </c>
      <c r="M11375" t="s">
        <v>48</v>
      </c>
    </row>
    <row r="11376" spans="1:13" hidden="1" x14ac:dyDescent="0.15">
      <c r="A11376" t="s">
        <v>35900</v>
      </c>
      <c r="B11376" t="s">
        <v>35901</v>
      </c>
      <c r="C11376" t="s">
        <v>35902</v>
      </c>
      <c r="D11376" t="s">
        <v>35903</v>
      </c>
      <c r="E11376">
        <v>1</v>
      </c>
      <c r="F11376" t="str">
        <f>HYPERLINK("https://github.com/nextcloud/android/issues/10630", "show")</f>
        <v>show</v>
      </c>
      <c r="G11376" t="str">
        <f>HYPERLINK("https://github.com/nextcloud/android", "show")</f>
        <v>show</v>
      </c>
      <c r="H11376" t="str">
        <f>HYPERLINK("https://github.com/nextcloud/android/releases", "show")</f>
        <v>show</v>
      </c>
      <c r="I11376">
        <v>1</v>
      </c>
      <c r="J11376">
        <v>1</v>
      </c>
      <c r="K11376">
        <v>1</v>
      </c>
      <c r="L11376">
        <v>0</v>
      </c>
      <c r="M11376" t="s">
        <v>59</v>
      </c>
    </row>
    <row r="11377" spans="1:13" hidden="1" x14ac:dyDescent="0.15">
      <c r="A11377" t="s">
        <v>35904</v>
      </c>
      <c r="B11377" t="s">
        <v>35905</v>
      </c>
      <c r="C11377" t="s">
        <v>35906</v>
      </c>
      <c r="D11377" t="s">
        <v>35903</v>
      </c>
      <c r="E11377">
        <v>2</v>
      </c>
      <c r="F11377" t="str">
        <f>HYPERLINK("https://github.com/TeamNewPipe/NewPipe/issues/8814", "show")</f>
        <v>show</v>
      </c>
      <c r="G11377" t="str">
        <f>HYPERLINK("https://github.com/TeamNewPipe/NewPipe", "show")</f>
        <v>show</v>
      </c>
      <c r="H11377" t="str">
        <f>HYPERLINK("https://github.com/TeamNewPipe/NewPipe/releases", "show")</f>
        <v>show</v>
      </c>
      <c r="I11377">
        <v>1</v>
      </c>
      <c r="J11377">
        <v>1</v>
      </c>
      <c r="K11377">
        <v>1</v>
      </c>
      <c r="L11377">
        <v>0</v>
      </c>
      <c r="M11377" t="s">
        <v>59</v>
      </c>
    </row>
    <row r="11378" spans="1:13" hidden="1" x14ac:dyDescent="0.15">
      <c r="A11378" t="s">
        <v>35907</v>
      </c>
      <c r="B11378" t="s">
        <v>35908</v>
      </c>
      <c r="C11378" t="s">
        <v>35909</v>
      </c>
      <c r="D11378" t="s">
        <v>35910</v>
      </c>
      <c r="E11378">
        <v>3</v>
      </c>
      <c r="F11378" t="str">
        <f>HYPERLINK("https://github.com/inaturalist/iNaturalistAndroid/issues/1216", "show")</f>
        <v>show</v>
      </c>
      <c r="G11378" t="str">
        <f>HYPERLINK("https://github.com/inaturalist/iNaturalistAndroid", "show")</f>
        <v>show</v>
      </c>
      <c r="H11378" t="str">
        <f>HYPERLINK("https://github.com/inaturalist/iNaturalistAndroid/releases", "show")</f>
        <v>show</v>
      </c>
      <c r="I11378">
        <v>1</v>
      </c>
      <c r="J11378">
        <v>0</v>
      </c>
      <c r="K11378">
        <v>1</v>
      </c>
      <c r="L11378">
        <v>0</v>
      </c>
      <c r="M11378" t="s">
        <v>64</v>
      </c>
    </row>
    <row r="11379" spans="1:13" hidden="1" x14ac:dyDescent="0.15">
      <c r="A11379" t="s">
        <v>35911</v>
      </c>
      <c r="B11379" t="s">
        <v>35912</v>
      </c>
      <c r="C11379" t="s">
        <v>11701</v>
      </c>
      <c r="D11379" t="s">
        <v>35910</v>
      </c>
      <c r="E11379">
        <v>0</v>
      </c>
      <c r="F11379" t="str">
        <f>HYPERLINK("https://github.com/Anuken/Mindustry/issues/7374", "show")</f>
        <v>show</v>
      </c>
      <c r="G11379" t="str">
        <f>HYPERLINK("https://github.com/Anuken/Mindustry", "show")</f>
        <v>show</v>
      </c>
      <c r="H11379" t="str">
        <f>HYPERLINK("https://github.com/Anuken/Mindustry/releases", "show")</f>
        <v>show</v>
      </c>
      <c r="I11379">
        <v>1</v>
      </c>
      <c r="J11379">
        <v>1</v>
      </c>
      <c r="K11379">
        <v>0</v>
      </c>
      <c r="L11379">
        <v>0</v>
      </c>
      <c r="M11379" t="s">
        <v>48</v>
      </c>
    </row>
    <row r="11380" spans="1:13" hidden="1" x14ac:dyDescent="0.15">
      <c r="A11380" t="s">
        <v>35913</v>
      </c>
      <c r="B11380" t="s">
        <v>35914</v>
      </c>
      <c r="C11380" t="s">
        <v>35915</v>
      </c>
      <c r="D11380" t="s">
        <v>35910</v>
      </c>
      <c r="E11380">
        <v>0</v>
      </c>
      <c r="F11380" t="str">
        <f>HYPERLINK("https://github.com/Anuken/Mindustry/issues/7373", "show")</f>
        <v>show</v>
      </c>
      <c r="G11380" t="str">
        <f>HYPERLINK("https://github.com/Anuken/Mindustry", "show")</f>
        <v>show</v>
      </c>
      <c r="H11380" t="str">
        <f>HYPERLINK("https://github.com/Anuken/Mindustry/releases", "show")</f>
        <v>show</v>
      </c>
      <c r="I11380">
        <v>0</v>
      </c>
      <c r="J11380">
        <v>0</v>
      </c>
      <c r="K11380">
        <v>1</v>
      </c>
      <c r="L11380">
        <v>0</v>
      </c>
      <c r="M11380" t="s">
        <v>122</v>
      </c>
    </row>
    <row r="11381" spans="1:13" hidden="1" x14ac:dyDescent="0.15">
      <c r="A11381" t="s">
        <v>35916</v>
      </c>
      <c r="B11381" t="s">
        <v>35917</v>
      </c>
      <c r="C11381" t="s">
        <v>35918</v>
      </c>
      <c r="D11381" t="s">
        <v>35910</v>
      </c>
      <c r="E11381">
        <v>31</v>
      </c>
      <c r="F11381" t="str">
        <f>HYPERLINK("https://github.com/patzly/grocy-android/issues/565", "show")</f>
        <v>show</v>
      </c>
      <c r="G11381" t="str">
        <f>HYPERLINK("https://github.com/patzly/grocy-android", "show")</f>
        <v>show</v>
      </c>
      <c r="H11381" t="str">
        <f>HYPERLINK("https://github.com/patzly/grocy-android/releases", "show")</f>
        <v>show</v>
      </c>
      <c r="I11381">
        <v>1</v>
      </c>
      <c r="J11381">
        <v>0</v>
      </c>
      <c r="K11381">
        <v>1</v>
      </c>
      <c r="L11381">
        <v>0</v>
      </c>
      <c r="M11381" t="s">
        <v>64</v>
      </c>
    </row>
    <row r="11382" spans="1:13" hidden="1" x14ac:dyDescent="0.15">
      <c r="A11382" t="s">
        <v>35919</v>
      </c>
      <c r="B11382" t="s">
        <v>35920</v>
      </c>
      <c r="C11382" t="s">
        <v>35921</v>
      </c>
      <c r="D11382" t="s">
        <v>35910</v>
      </c>
      <c r="E11382">
        <v>14</v>
      </c>
      <c r="F11382" t="str">
        <f>HYPERLINK("https://github.com/MuntashirAkon/AppManager/issues/847", "show")</f>
        <v>show</v>
      </c>
      <c r="G11382" t="str">
        <f>HYPERLINK("https://github.com/MuntashirAkon/AppManager", "show")</f>
        <v>show</v>
      </c>
      <c r="H11382" t="str">
        <f>HYPERLINK("https://github.com/MuntashirAkon/AppManager/releases", "show")</f>
        <v>show</v>
      </c>
      <c r="I11382">
        <v>1</v>
      </c>
      <c r="J11382">
        <v>0</v>
      </c>
      <c r="K11382">
        <v>0</v>
      </c>
      <c r="L11382">
        <v>1</v>
      </c>
      <c r="M11382" t="s">
        <v>29</v>
      </c>
    </row>
    <row r="11383" spans="1:13" hidden="1" x14ac:dyDescent="0.15">
      <c r="A11383" t="s">
        <v>35922</v>
      </c>
      <c r="B11383" t="s">
        <v>35923</v>
      </c>
      <c r="C11383" t="s">
        <v>35924</v>
      </c>
      <c r="D11383" t="s">
        <v>35910</v>
      </c>
      <c r="E11383">
        <v>38</v>
      </c>
      <c r="F11383" t="str">
        <f>HYPERLINK("https://github.com/SORMAS-Foundation/SORMAS-Project/issues/10132", "show")</f>
        <v>show</v>
      </c>
      <c r="G11383" t="str">
        <f>HYPERLINK("https://github.com/SORMAS-Foundation/SORMAS-Project", "show")</f>
        <v>show</v>
      </c>
      <c r="H11383" t="str">
        <f>HYPERLINK("https://github.com/SORMAS-Foundation/SORMAS-Project/releases", "show")</f>
        <v>show</v>
      </c>
      <c r="I11383">
        <v>1</v>
      </c>
      <c r="J11383">
        <v>1</v>
      </c>
      <c r="K11383">
        <v>0</v>
      </c>
      <c r="L11383">
        <v>0</v>
      </c>
      <c r="M11383" t="s">
        <v>48</v>
      </c>
    </row>
    <row r="11384" spans="1:13" hidden="1" x14ac:dyDescent="0.15">
      <c r="A11384" t="s">
        <v>35925</v>
      </c>
      <c r="B11384" t="s">
        <v>35926</v>
      </c>
      <c r="C11384" t="s">
        <v>35927</v>
      </c>
      <c r="D11384" t="s">
        <v>35910</v>
      </c>
      <c r="E11384">
        <v>31</v>
      </c>
      <c r="F11384" t="str">
        <f>HYPERLINK("https://github.com/patzly/grocy-android/issues/564", "show")</f>
        <v>show</v>
      </c>
      <c r="G11384" t="str">
        <f>HYPERLINK("https://github.com/patzly/grocy-android", "show")</f>
        <v>show</v>
      </c>
      <c r="H11384" t="str">
        <f>HYPERLINK("https://github.com/patzly/grocy-android/releases", "show")</f>
        <v>show</v>
      </c>
      <c r="I11384">
        <v>1</v>
      </c>
      <c r="J11384">
        <v>0</v>
      </c>
      <c r="K11384">
        <v>0</v>
      </c>
      <c r="L11384">
        <v>0</v>
      </c>
      <c r="M11384" t="s">
        <v>17</v>
      </c>
    </row>
    <row r="11385" spans="1:13" hidden="1" x14ac:dyDescent="0.15">
      <c r="A11385" t="s">
        <v>35928</v>
      </c>
      <c r="B11385" t="s">
        <v>35929</v>
      </c>
      <c r="C11385" t="s">
        <v>35930</v>
      </c>
      <c r="D11385" t="s">
        <v>35931</v>
      </c>
      <c r="E11385">
        <v>13</v>
      </c>
      <c r="F11385" t="str">
        <f>HYPERLINK("https://github.com/cgeo/cgeo/issues/13335", "show")</f>
        <v>show</v>
      </c>
      <c r="G11385" t="str">
        <f>HYPERLINK("https://github.com/cgeo/cgeo", "show")</f>
        <v>show</v>
      </c>
      <c r="H11385" t="str">
        <f>HYPERLINK("https://github.com/cgeo/cgeo/releases", "show")</f>
        <v>show</v>
      </c>
      <c r="I11385">
        <v>1</v>
      </c>
      <c r="J11385">
        <v>1</v>
      </c>
      <c r="K11385">
        <v>1</v>
      </c>
      <c r="L11385">
        <v>0</v>
      </c>
      <c r="M11385" t="s">
        <v>59</v>
      </c>
    </row>
    <row r="11386" spans="1:13" hidden="1" x14ac:dyDescent="0.15">
      <c r="A11386" t="s">
        <v>35932</v>
      </c>
      <c r="B11386" t="s">
        <v>35933</v>
      </c>
      <c r="C11386" t="s">
        <v>35934</v>
      </c>
      <c r="D11386" t="s">
        <v>35931</v>
      </c>
      <c r="E11386">
        <v>0</v>
      </c>
      <c r="F11386" t="str">
        <f>HYPERLINK("https://github.com/jellyfin/jellyfin-androidtv/issues/1979", "show")</f>
        <v>show</v>
      </c>
      <c r="G11386" t="str">
        <f>HYPERLINK("https://github.com/jellyfin/jellyfin-androidtv", "show")</f>
        <v>show</v>
      </c>
      <c r="H11386" t="str">
        <f>HYPERLINK("https://github.com/jellyfin/jellyfin-androidtv/releases", "show")</f>
        <v>show</v>
      </c>
      <c r="I11386">
        <v>0</v>
      </c>
      <c r="J11386">
        <v>0</v>
      </c>
      <c r="K11386">
        <v>0</v>
      </c>
      <c r="L11386">
        <v>0</v>
      </c>
      <c r="M11386" t="s">
        <v>43</v>
      </c>
    </row>
    <row r="11387" spans="1:13" x14ac:dyDescent="0.15">
      <c r="A11387" t="s">
        <v>35935</v>
      </c>
      <c r="B11387" t="s">
        <v>35936</v>
      </c>
      <c r="C11387" t="s">
        <v>35937</v>
      </c>
      <c r="D11387" t="s">
        <v>35931</v>
      </c>
      <c r="E11387">
        <v>0</v>
      </c>
      <c r="F11387" t="str">
        <f>HYPERLINK("https://github.com/Anuken/Mindustry/issues/7363", "show")</f>
        <v>show</v>
      </c>
      <c r="G11387" t="str">
        <f>HYPERLINK("https://github.com/Anuken/Mindustry", "show")</f>
        <v>show</v>
      </c>
      <c r="H11387" t="str">
        <f>HYPERLINK("https://github.com/Anuken/Mindustry/releases", "show")</f>
        <v>show</v>
      </c>
      <c r="I11387">
        <v>0</v>
      </c>
      <c r="J11387">
        <v>1</v>
      </c>
      <c r="K11387">
        <v>0</v>
      </c>
      <c r="L11387">
        <v>0</v>
      </c>
      <c r="M11387" t="s">
        <v>139</v>
      </c>
    </row>
    <row r="11388" spans="1:13" hidden="1" x14ac:dyDescent="0.15">
      <c r="A11388" t="s">
        <v>35938</v>
      </c>
      <c r="B11388" t="s">
        <v>35939</v>
      </c>
      <c r="C11388" t="s">
        <v>35940</v>
      </c>
      <c r="D11388" t="s">
        <v>35931</v>
      </c>
      <c r="E11388">
        <v>0</v>
      </c>
      <c r="F11388" t="str">
        <f>HYPERLINK("https://github.com/Anuken/Mindustry/issues/7362", "show")</f>
        <v>show</v>
      </c>
      <c r="G11388" t="str">
        <f>HYPERLINK("https://github.com/Anuken/Mindustry", "show")</f>
        <v>show</v>
      </c>
      <c r="H11388" t="str">
        <f>HYPERLINK("https://github.com/Anuken/Mindustry/releases", "show")</f>
        <v>show</v>
      </c>
      <c r="I11388">
        <v>1</v>
      </c>
      <c r="J11388">
        <v>0</v>
      </c>
      <c r="K11388">
        <v>1</v>
      </c>
      <c r="L11388">
        <v>0</v>
      </c>
      <c r="M11388" t="s">
        <v>64</v>
      </c>
    </row>
    <row r="11389" spans="1:13" hidden="1" x14ac:dyDescent="0.15">
      <c r="A11389" t="s">
        <v>35941</v>
      </c>
      <c r="B11389" t="s">
        <v>35942</v>
      </c>
      <c r="C11389" t="s">
        <v>35943</v>
      </c>
      <c r="D11389" t="s">
        <v>35931</v>
      </c>
      <c r="E11389">
        <v>0</v>
      </c>
      <c r="F11389" t="str">
        <f>HYPERLINK("https://github.com/LSPosed/LSPosed/issues/2074", "show")</f>
        <v>show</v>
      </c>
      <c r="G11389" t="str">
        <f>HYPERLINK("https://github.com/LSPosed/LSPosed", "show")</f>
        <v>show</v>
      </c>
      <c r="H11389" t="str">
        <f>HYPERLINK("https://github.com/LSPosed/LSPosed/releases", "show")</f>
        <v>show</v>
      </c>
      <c r="I11389">
        <v>1</v>
      </c>
      <c r="J11389">
        <v>0</v>
      </c>
      <c r="K11389">
        <v>0</v>
      </c>
      <c r="L11389">
        <v>0</v>
      </c>
      <c r="M11389" t="s">
        <v>17</v>
      </c>
    </row>
    <row r="11390" spans="1:13" hidden="1" x14ac:dyDescent="0.15">
      <c r="A11390" t="s">
        <v>35944</v>
      </c>
      <c r="B11390" t="s">
        <v>35945</v>
      </c>
      <c r="C11390" t="s">
        <v>35946</v>
      </c>
      <c r="D11390" t="s">
        <v>35931</v>
      </c>
      <c r="E11390">
        <v>19</v>
      </c>
      <c r="F11390" t="str">
        <f>HYPERLINK("https://github.com/BarbodH/mad-grid/issues/3", "show")</f>
        <v>show</v>
      </c>
      <c r="G11390" t="str">
        <f>HYPERLINK("https://github.com/BarbodH/mad-grid", "show")</f>
        <v>show</v>
      </c>
      <c r="H11390" t="str">
        <f>HYPERLINK("https://github.com/BarbodH/mad-grid/releases", "show")</f>
        <v>show</v>
      </c>
      <c r="I11390">
        <v>1</v>
      </c>
      <c r="J11390">
        <v>0</v>
      </c>
      <c r="K11390">
        <v>0</v>
      </c>
      <c r="L11390">
        <v>0</v>
      </c>
      <c r="M11390" t="s">
        <v>17</v>
      </c>
    </row>
    <row r="11391" spans="1:13" hidden="1" x14ac:dyDescent="0.15">
      <c r="A11391" t="s">
        <v>35947</v>
      </c>
      <c r="B11391" t="s">
        <v>35948</v>
      </c>
      <c r="C11391" t="s">
        <v>35949</v>
      </c>
      <c r="D11391" t="s">
        <v>35950</v>
      </c>
      <c r="E11391">
        <v>1</v>
      </c>
      <c r="F11391" t="str">
        <f>HYPERLINK("https://github.com/Anuken/Mindustry/issues/7359", "show")</f>
        <v>show</v>
      </c>
      <c r="G11391" t="str">
        <f>HYPERLINK("https://github.com/Anuken/Mindustry", "show")</f>
        <v>show</v>
      </c>
      <c r="H11391" t="str">
        <f>HYPERLINK("https://github.com/Anuken/Mindustry/releases", "show")</f>
        <v>show</v>
      </c>
      <c r="I11391">
        <v>1</v>
      </c>
      <c r="J11391">
        <v>1</v>
      </c>
      <c r="K11391">
        <v>1</v>
      </c>
      <c r="L11391">
        <v>0</v>
      </c>
      <c r="M11391" t="s">
        <v>59</v>
      </c>
    </row>
    <row r="11392" spans="1:13" hidden="1" x14ac:dyDescent="0.15">
      <c r="A11392" t="s">
        <v>35951</v>
      </c>
      <c r="B11392" t="s">
        <v>35952</v>
      </c>
      <c r="C11392" t="s">
        <v>35953</v>
      </c>
      <c r="D11392" t="s">
        <v>35950</v>
      </c>
      <c r="E11392">
        <v>99</v>
      </c>
      <c r="F11392" t="str">
        <f>HYPERLINK("https://github.com/LawnchairLauncher/lawnchair/issues/2836", "show")</f>
        <v>show</v>
      </c>
      <c r="G11392" t="str">
        <f>HYPERLINK("https://github.com/LawnchairLauncher/lawnchair", "show")</f>
        <v>show</v>
      </c>
      <c r="H11392" t="str">
        <f>HYPERLINK("https://github.com/LawnchairLauncher/lawnchair/releases", "show")</f>
        <v>show</v>
      </c>
      <c r="I11392">
        <v>1</v>
      </c>
      <c r="J11392">
        <v>1</v>
      </c>
      <c r="K11392">
        <v>1</v>
      </c>
      <c r="L11392">
        <v>0</v>
      </c>
      <c r="M11392" t="s">
        <v>59</v>
      </c>
    </row>
    <row r="11393" spans="1:13" hidden="1" x14ac:dyDescent="0.15">
      <c r="A11393" t="s">
        <v>35954</v>
      </c>
      <c r="B11393" t="s">
        <v>35955</v>
      </c>
      <c r="C11393" t="s">
        <v>35956</v>
      </c>
      <c r="D11393" t="s">
        <v>35950</v>
      </c>
      <c r="E11393">
        <v>0</v>
      </c>
      <c r="F11393" t="str">
        <f>HYPERLINK("https://github.com/Anuken/Mindustry/issues/7357", "show")</f>
        <v>show</v>
      </c>
      <c r="G11393" t="str">
        <f>HYPERLINK("https://github.com/Anuken/Mindustry", "show")</f>
        <v>show</v>
      </c>
      <c r="H11393" t="str">
        <f>HYPERLINK("https://github.com/Anuken/Mindustry/releases", "show")</f>
        <v>show</v>
      </c>
      <c r="I11393">
        <v>1</v>
      </c>
      <c r="J11393">
        <v>1</v>
      </c>
      <c r="K11393">
        <v>0</v>
      </c>
      <c r="L11393">
        <v>0</v>
      </c>
      <c r="M11393" t="s">
        <v>48</v>
      </c>
    </row>
    <row r="11394" spans="1:13" hidden="1" x14ac:dyDescent="0.15">
      <c r="A11394" t="s">
        <v>35957</v>
      </c>
      <c r="B11394" t="s">
        <v>35958</v>
      </c>
      <c r="C11394" t="s">
        <v>35959</v>
      </c>
      <c r="D11394" t="s">
        <v>35950</v>
      </c>
      <c r="E11394">
        <v>410</v>
      </c>
      <c r="F11394" t="str">
        <f>HYPERLINK("https://github.com/deltachat/deltachat-android/issues/2363", "show")</f>
        <v>show</v>
      </c>
      <c r="G11394" t="str">
        <f>HYPERLINK("https://github.com/deltachat/deltachat-android", "show")</f>
        <v>show</v>
      </c>
      <c r="H11394" t="str">
        <f>HYPERLINK("https://github.com/deltachat/deltachat-android/releases", "show")</f>
        <v>show</v>
      </c>
      <c r="I11394">
        <v>1</v>
      </c>
      <c r="J11394">
        <v>0</v>
      </c>
      <c r="K11394">
        <v>0</v>
      </c>
      <c r="L11394">
        <v>0</v>
      </c>
      <c r="M11394" t="s">
        <v>17</v>
      </c>
    </row>
    <row r="11395" spans="1:13" hidden="1" x14ac:dyDescent="0.15">
      <c r="A11395" t="s">
        <v>35960</v>
      </c>
      <c r="B11395" t="s">
        <v>35961</v>
      </c>
      <c r="C11395" t="s">
        <v>35962</v>
      </c>
      <c r="D11395" t="s">
        <v>35950</v>
      </c>
      <c r="E11395">
        <v>58</v>
      </c>
      <c r="F11395" t="str">
        <f>HYPERLINK("https://github.com/TeamNewPipe/NewPipe/issues/8770", "show")</f>
        <v>show</v>
      </c>
      <c r="G11395" t="str">
        <f>HYPERLINK("https://github.com/TeamNewPipe/NewPipe", "show")</f>
        <v>show</v>
      </c>
      <c r="H11395" t="str">
        <f>HYPERLINK("https://github.com/TeamNewPipe/NewPipe/releases", "show")</f>
        <v>show</v>
      </c>
      <c r="I11395">
        <v>1</v>
      </c>
      <c r="J11395">
        <v>1</v>
      </c>
      <c r="K11395">
        <v>0</v>
      </c>
      <c r="L11395">
        <v>0</v>
      </c>
      <c r="M11395" t="s">
        <v>48</v>
      </c>
    </row>
    <row r="11396" spans="1:13" hidden="1" x14ac:dyDescent="0.15">
      <c r="A11396" t="s">
        <v>35963</v>
      </c>
      <c r="B11396" t="s">
        <v>35964</v>
      </c>
      <c r="C11396" t="s">
        <v>35965</v>
      </c>
      <c r="D11396" t="s">
        <v>35950</v>
      </c>
      <c r="E11396">
        <v>0</v>
      </c>
      <c r="F11396" t="str">
        <f>HYPERLINK("https://github.com/jellyfin/jellyfin-androidtv/issues/1964", "show")</f>
        <v>show</v>
      </c>
      <c r="G11396" t="str">
        <f>HYPERLINK("https://github.com/jellyfin/jellyfin-androidtv", "show")</f>
        <v>show</v>
      </c>
      <c r="H11396" t="str">
        <f>HYPERLINK("https://github.com/jellyfin/jellyfin-androidtv/releases", "show")</f>
        <v>show</v>
      </c>
      <c r="I11396">
        <v>0</v>
      </c>
      <c r="J11396">
        <v>0</v>
      </c>
      <c r="K11396">
        <v>0</v>
      </c>
      <c r="L11396">
        <v>0</v>
      </c>
      <c r="M11396" t="s">
        <v>43</v>
      </c>
    </row>
    <row r="11397" spans="1:13" hidden="1" x14ac:dyDescent="0.15">
      <c r="A11397" t="s">
        <v>35966</v>
      </c>
      <c r="B11397" t="s">
        <v>35967</v>
      </c>
      <c r="C11397" t="s">
        <v>35968</v>
      </c>
      <c r="D11397" t="s">
        <v>35950</v>
      </c>
      <c r="E11397">
        <v>0</v>
      </c>
      <c r="F11397" t="str">
        <f>HYPERLINK("https://github.com/jellyfin/jellyfin-androidtv/issues/1963", "show")</f>
        <v>show</v>
      </c>
      <c r="G11397" t="str">
        <f>HYPERLINK("https://github.com/jellyfin/jellyfin-androidtv", "show")</f>
        <v>show</v>
      </c>
      <c r="H11397" t="str">
        <f>HYPERLINK("https://github.com/jellyfin/jellyfin-androidtv/releases", "show")</f>
        <v>show</v>
      </c>
      <c r="I11397">
        <v>1</v>
      </c>
      <c r="J11397">
        <v>0</v>
      </c>
      <c r="K11397">
        <v>1</v>
      </c>
      <c r="L11397">
        <v>0</v>
      </c>
      <c r="M11397" t="s">
        <v>64</v>
      </c>
    </row>
    <row r="11398" spans="1:13" hidden="1" x14ac:dyDescent="0.15">
      <c r="A11398" t="s">
        <v>35969</v>
      </c>
      <c r="B11398" t="s">
        <v>35970</v>
      </c>
      <c r="C11398" t="s">
        <v>35971</v>
      </c>
      <c r="D11398" t="s">
        <v>35950</v>
      </c>
      <c r="E11398">
        <v>41</v>
      </c>
      <c r="F11398" t="str">
        <f>HYPERLINK("https://github.com/Agontuk/react-native-geolocation-service/issues/369", "show")</f>
        <v>show</v>
      </c>
      <c r="G11398" t="str">
        <f>HYPERLINK("https://github.com/Agontuk/react-native-geolocation-service", "show")</f>
        <v>show</v>
      </c>
      <c r="H11398" t="str">
        <f>HYPERLINK("https://github.com/Agontuk/react-native-geolocation-service/releases", "show")</f>
        <v>show</v>
      </c>
      <c r="I11398">
        <v>1</v>
      </c>
      <c r="J11398">
        <v>0</v>
      </c>
      <c r="K11398">
        <v>0</v>
      </c>
      <c r="L11398">
        <v>0</v>
      </c>
      <c r="M11398" t="s">
        <v>17</v>
      </c>
    </row>
    <row r="11399" spans="1:13" hidden="1" x14ac:dyDescent="0.15">
      <c r="A11399" t="s">
        <v>35972</v>
      </c>
      <c r="B11399" t="s">
        <v>35973</v>
      </c>
      <c r="C11399" t="s">
        <v>35974</v>
      </c>
      <c r="D11399" t="s">
        <v>35975</v>
      </c>
      <c r="E11399">
        <v>231</v>
      </c>
      <c r="F11399" t="str">
        <f>HYPERLINK("https://github.com/ccnnde/react-native-simple-openvpn/issues/33", "show")</f>
        <v>show</v>
      </c>
      <c r="G11399" t="str">
        <f>HYPERLINK("https://github.com/ccnnde/react-native-simple-openvpn", "show")</f>
        <v>show</v>
      </c>
      <c r="H11399" t="str">
        <f>HYPERLINK("https://github.com/ccnnde/react-native-simple-openvpn/releases", "show")</f>
        <v>show</v>
      </c>
      <c r="I11399">
        <v>1</v>
      </c>
      <c r="J11399">
        <v>0</v>
      </c>
      <c r="K11399">
        <v>0</v>
      </c>
      <c r="L11399">
        <v>0</v>
      </c>
      <c r="M11399" t="s">
        <v>17</v>
      </c>
    </row>
    <row r="11400" spans="1:13" hidden="1" x14ac:dyDescent="0.15">
      <c r="A11400" t="s">
        <v>35976</v>
      </c>
      <c r="B11400" t="s">
        <v>35977</v>
      </c>
      <c r="C11400" t="s">
        <v>35978</v>
      </c>
      <c r="D11400" t="s">
        <v>35975</v>
      </c>
      <c r="E11400">
        <v>0</v>
      </c>
      <c r="F11400" t="str">
        <f>HYPERLINK("https://github.com/PojavLauncherTeam/PojavLauncher/issues/3495", "show")</f>
        <v>show</v>
      </c>
      <c r="G11400" t="str">
        <f>HYPERLINK("https://github.com/PojavLauncherTeam/PojavLauncher", "show")</f>
        <v>show</v>
      </c>
      <c r="H11400" t="str">
        <f>HYPERLINK("https://github.com/PojavLauncherTeam/PojavLauncher/releases", "show")</f>
        <v>show</v>
      </c>
      <c r="I11400">
        <v>0</v>
      </c>
      <c r="J11400">
        <v>0</v>
      </c>
      <c r="K11400">
        <v>0</v>
      </c>
      <c r="L11400">
        <v>0</v>
      </c>
      <c r="M11400" t="s">
        <v>43</v>
      </c>
    </row>
    <row r="11401" spans="1:13" hidden="1" x14ac:dyDescent="0.15">
      <c r="A11401" t="s">
        <v>35979</v>
      </c>
      <c r="B11401" t="s">
        <v>35980</v>
      </c>
      <c r="C11401" t="s">
        <v>35981</v>
      </c>
      <c r="D11401" t="s">
        <v>35975</v>
      </c>
      <c r="E11401">
        <v>21</v>
      </c>
      <c r="F11401" t="str">
        <f>HYPERLINK("https://github.com/PojavLauncherTeam/PojavLauncher/issues/3492", "show")</f>
        <v>show</v>
      </c>
      <c r="G11401" t="str">
        <f>HYPERLINK("https://github.com/PojavLauncherTeam/PojavLauncher", "show")</f>
        <v>show</v>
      </c>
      <c r="H11401" t="str">
        <f>HYPERLINK("https://github.com/PojavLauncherTeam/PojavLauncher/releases", "show")</f>
        <v>show</v>
      </c>
      <c r="I11401">
        <v>0</v>
      </c>
      <c r="J11401">
        <v>0</v>
      </c>
      <c r="K11401">
        <v>0</v>
      </c>
      <c r="L11401">
        <v>0</v>
      </c>
      <c r="M11401" t="s">
        <v>43</v>
      </c>
    </row>
    <row r="11402" spans="1:13" hidden="1" x14ac:dyDescent="0.15">
      <c r="A11402" t="s">
        <v>35982</v>
      </c>
      <c r="B11402" t="s">
        <v>35983</v>
      </c>
      <c r="C11402" t="s">
        <v>35984</v>
      </c>
      <c r="D11402" t="s">
        <v>35975</v>
      </c>
      <c r="E11402">
        <v>0</v>
      </c>
      <c r="F11402" t="str">
        <f>HYPERLINK("https://github.com/LSPosed/LSPosed/issues/2070", "show")</f>
        <v>show</v>
      </c>
      <c r="G11402" t="str">
        <f>HYPERLINK("https://github.com/LSPosed/LSPosed", "show")</f>
        <v>show</v>
      </c>
      <c r="H11402" t="str">
        <f>HYPERLINK("https://github.com/LSPosed/LSPosed/releases", "show")</f>
        <v>show</v>
      </c>
      <c r="I11402">
        <v>0</v>
      </c>
      <c r="J11402">
        <v>0</v>
      </c>
      <c r="K11402">
        <v>0</v>
      </c>
      <c r="L11402">
        <v>0</v>
      </c>
      <c r="M11402" t="s">
        <v>43</v>
      </c>
    </row>
    <row r="11403" spans="1:13" hidden="1" x14ac:dyDescent="0.15">
      <c r="A11403" t="s">
        <v>35985</v>
      </c>
      <c r="B11403" t="s">
        <v>35986</v>
      </c>
      <c r="C11403" t="s">
        <v>35987</v>
      </c>
      <c r="D11403" t="s">
        <v>35988</v>
      </c>
      <c r="E11403">
        <v>0</v>
      </c>
      <c r="F11403" t="str">
        <f>HYPERLINK("https://github.com/PojavLauncherTeam/PojavLauncher/issues/3488", "show")</f>
        <v>show</v>
      </c>
      <c r="G11403" t="str">
        <f>HYPERLINK("https://github.com/PojavLauncherTeam/PojavLauncher", "show")</f>
        <v>show</v>
      </c>
      <c r="H11403" t="str">
        <f>HYPERLINK("https://github.com/PojavLauncherTeam/PojavLauncher/releases", "show")</f>
        <v>show</v>
      </c>
      <c r="I11403">
        <v>1</v>
      </c>
      <c r="J11403">
        <v>1</v>
      </c>
      <c r="K11403">
        <v>0</v>
      </c>
      <c r="L11403">
        <v>0</v>
      </c>
      <c r="M11403" t="s">
        <v>48</v>
      </c>
    </row>
    <row r="11404" spans="1:13" hidden="1" x14ac:dyDescent="0.15">
      <c r="A11404" t="s">
        <v>35989</v>
      </c>
      <c r="B11404" t="s">
        <v>35990</v>
      </c>
      <c r="C11404" t="s">
        <v>35991</v>
      </c>
      <c r="D11404" t="s">
        <v>35992</v>
      </c>
      <c r="E11404">
        <v>45</v>
      </c>
      <c r="F11404" t="str">
        <f>HYPERLINK("https://github.com/Igalia/wolvic/issues/235", "show")</f>
        <v>show</v>
      </c>
      <c r="G11404" t="str">
        <f>HYPERLINK("https://github.com/Igalia/wolvic", "show")</f>
        <v>show</v>
      </c>
      <c r="H11404" t="str">
        <f>HYPERLINK("https://github.com/Igalia/wolvic/releases", "show")</f>
        <v>show</v>
      </c>
      <c r="I11404">
        <v>1</v>
      </c>
      <c r="J11404">
        <v>1</v>
      </c>
      <c r="K11404">
        <v>0</v>
      </c>
      <c r="L11404">
        <v>0</v>
      </c>
      <c r="M11404" t="s">
        <v>48</v>
      </c>
    </row>
    <row r="11405" spans="1:13" hidden="1" x14ac:dyDescent="0.15">
      <c r="A11405" t="s">
        <v>35993</v>
      </c>
      <c r="B11405" t="s">
        <v>35994</v>
      </c>
      <c r="C11405" t="s">
        <v>35995</v>
      </c>
      <c r="D11405" t="s">
        <v>35992</v>
      </c>
      <c r="E11405">
        <v>0</v>
      </c>
      <c r="F11405" t="str">
        <f>HYPERLINK("https://github.com/Anuken/Mindustry/issues/7344", "show")</f>
        <v>show</v>
      </c>
      <c r="G11405" t="str">
        <f>HYPERLINK("https://github.com/Anuken/Mindustry", "show")</f>
        <v>show</v>
      </c>
      <c r="H11405" t="str">
        <f>HYPERLINK("https://github.com/Anuken/Mindustry/releases", "show")</f>
        <v>show</v>
      </c>
      <c r="I11405">
        <v>1</v>
      </c>
      <c r="J11405">
        <v>1</v>
      </c>
      <c r="K11405">
        <v>0</v>
      </c>
      <c r="L11405">
        <v>0</v>
      </c>
      <c r="M11405" t="s">
        <v>48</v>
      </c>
    </row>
    <row r="11406" spans="1:13" hidden="1" x14ac:dyDescent="0.15">
      <c r="A11406" t="s">
        <v>35996</v>
      </c>
      <c r="B11406" t="s">
        <v>35997</v>
      </c>
      <c r="C11406" t="s">
        <v>35998</v>
      </c>
      <c r="D11406" t="s">
        <v>35992</v>
      </c>
      <c r="E11406">
        <v>22</v>
      </c>
      <c r="F11406" t="str">
        <f>HYPERLINK("https://github.com/PhenoApps/Field-Book/issues/487", "show")</f>
        <v>show</v>
      </c>
      <c r="G11406" t="str">
        <f>HYPERLINK("https://github.com/PhenoApps/Field-Book", "show")</f>
        <v>show</v>
      </c>
      <c r="H11406" t="str">
        <f>HYPERLINK("https://github.com/PhenoApps/Field-Book/releases", "show")</f>
        <v>show</v>
      </c>
      <c r="I11406">
        <v>1</v>
      </c>
      <c r="J11406">
        <v>1</v>
      </c>
      <c r="K11406">
        <v>0</v>
      </c>
      <c r="L11406">
        <v>0</v>
      </c>
      <c r="M11406" t="s">
        <v>48</v>
      </c>
    </row>
    <row r="11407" spans="1:13" hidden="1" x14ac:dyDescent="0.15">
      <c r="A11407" t="s">
        <v>35999</v>
      </c>
      <c r="B11407" t="s">
        <v>36000</v>
      </c>
      <c r="C11407" t="s">
        <v>36001</v>
      </c>
      <c r="D11407" t="s">
        <v>35992</v>
      </c>
      <c r="E11407">
        <v>184</v>
      </c>
      <c r="F11407" t="str">
        <f>HYPERLINK("https://github.com/prebid/prebid-mobile-android/issues/485", "show")</f>
        <v>show</v>
      </c>
      <c r="G11407" t="str">
        <f>HYPERLINK("https://github.com/prebid/prebid-mobile-android", "show")</f>
        <v>show</v>
      </c>
      <c r="H11407" t="str">
        <f>HYPERLINK("https://github.com/prebid/prebid-mobile-android/releases", "show")</f>
        <v>show</v>
      </c>
      <c r="I11407">
        <v>1</v>
      </c>
      <c r="J11407">
        <v>1</v>
      </c>
      <c r="K11407">
        <v>1</v>
      </c>
      <c r="L11407">
        <v>0</v>
      </c>
      <c r="M11407" t="s">
        <v>59</v>
      </c>
    </row>
    <row r="11408" spans="1:13" hidden="1" x14ac:dyDescent="0.15">
      <c r="A11408" t="s">
        <v>36002</v>
      </c>
      <c r="B11408" t="s">
        <v>36003</v>
      </c>
      <c r="C11408" t="s">
        <v>36004</v>
      </c>
      <c r="D11408" t="s">
        <v>35992</v>
      </c>
      <c r="E11408">
        <v>0</v>
      </c>
      <c r="F11408" t="str">
        <f>HYPERLINK("https://github.com/jellyfin/jellyfin-androidtv/issues/1950", "show")</f>
        <v>show</v>
      </c>
      <c r="G11408" t="str">
        <f>HYPERLINK("https://github.com/jellyfin/jellyfin-androidtv", "show")</f>
        <v>show</v>
      </c>
      <c r="H11408" t="str">
        <f>HYPERLINK("https://github.com/jellyfin/jellyfin-androidtv/releases", "show")</f>
        <v>show</v>
      </c>
      <c r="I11408">
        <v>1</v>
      </c>
      <c r="J11408">
        <v>1</v>
      </c>
      <c r="K11408">
        <v>1</v>
      </c>
      <c r="L11408">
        <v>0</v>
      </c>
      <c r="M11408" t="s">
        <v>59</v>
      </c>
    </row>
    <row r="11409" spans="1:13" hidden="1" x14ac:dyDescent="0.15">
      <c r="A11409" t="s">
        <v>36005</v>
      </c>
      <c r="B11409" t="s">
        <v>36006</v>
      </c>
      <c r="C11409" t="s">
        <v>36007</v>
      </c>
      <c r="D11409" t="s">
        <v>36008</v>
      </c>
      <c r="E11409">
        <v>1</v>
      </c>
      <c r="F11409" t="str">
        <f>HYPERLINK("https://github.com/material-components/material-components-android/issues/2901", "show")</f>
        <v>show</v>
      </c>
      <c r="G11409" t="str">
        <f>HYPERLINK("https://github.com/material-components/material-components-android", "show")</f>
        <v>show</v>
      </c>
      <c r="H11409" t="str">
        <f>HYPERLINK("https://github.com/material-components/material-components-android/releases", "show")</f>
        <v>show</v>
      </c>
      <c r="I11409">
        <v>1</v>
      </c>
      <c r="J11409">
        <v>0</v>
      </c>
      <c r="K11409">
        <v>1</v>
      </c>
      <c r="L11409">
        <v>0</v>
      </c>
      <c r="M11409" t="s">
        <v>64</v>
      </c>
    </row>
    <row r="11410" spans="1:13" hidden="1" x14ac:dyDescent="0.15">
      <c r="A11410" t="s">
        <v>36009</v>
      </c>
      <c r="B11410" t="s">
        <v>36010</v>
      </c>
      <c r="C11410" t="s">
        <v>36011</v>
      </c>
      <c r="D11410" t="s">
        <v>36008</v>
      </c>
      <c r="E11410">
        <v>6</v>
      </c>
      <c r="F11410" t="str">
        <f>HYPERLINK("https://github.com/MuntashirAkon/AppManager/issues/833", "show")</f>
        <v>show</v>
      </c>
      <c r="G11410" t="str">
        <f>HYPERLINK("https://github.com/MuntashirAkon/AppManager", "show")</f>
        <v>show</v>
      </c>
      <c r="H11410" t="str">
        <f>HYPERLINK("https://github.com/MuntashirAkon/AppManager/releases", "show")</f>
        <v>show</v>
      </c>
      <c r="I11410">
        <v>1</v>
      </c>
      <c r="J11410">
        <v>1</v>
      </c>
      <c r="K11410">
        <v>0</v>
      </c>
      <c r="L11410">
        <v>1</v>
      </c>
      <c r="M11410" t="s">
        <v>1894</v>
      </c>
    </row>
    <row r="11411" spans="1:13" hidden="1" x14ac:dyDescent="0.15">
      <c r="A11411" t="s">
        <v>36012</v>
      </c>
      <c r="B11411" t="s">
        <v>36013</v>
      </c>
      <c r="C11411" t="s">
        <v>36014</v>
      </c>
      <c r="D11411" t="s">
        <v>36008</v>
      </c>
      <c r="E11411">
        <v>0</v>
      </c>
      <c r="F11411" t="str">
        <f>HYPERLINK("https://github.com/itsdrnoob/DataMonitor/issues/32", "show")</f>
        <v>show</v>
      </c>
      <c r="G11411" t="str">
        <f>HYPERLINK("https://github.com/itsdrnoob/DataMonitor", "show")</f>
        <v>show</v>
      </c>
      <c r="H11411" t="str">
        <f>HYPERLINK("https://github.com/itsdrnoob/DataMonitor/releases", "show")</f>
        <v>show</v>
      </c>
      <c r="I11411">
        <v>1</v>
      </c>
      <c r="J11411">
        <v>1</v>
      </c>
      <c r="K11411">
        <v>0</v>
      </c>
      <c r="L11411">
        <v>0</v>
      </c>
      <c r="M11411" t="s">
        <v>48</v>
      </c>
    </row>
    <row r="11412" spans="1:13" hidden="1" x14ac:dyDescent="0.15">
      <c r="A11412" t="s">
        <v>36015</v>
      </c>
      <c r="B11412" t="s">
        <v>36016</v>
      </c>
      <c r="C11412" t="s">
        <v>36017</v>
      </c>
      <c r="D11412" t="s">
        <v>36008</v>
      </c>
      <c r="E11412">
        <v>0</v>
      </c>
      <c r="F11412" t="str">
        <f>HYPERLINK("https://github.com/Anuken/Mindustry/issues/7331", "show")</f>
        <v>show</v>
      </c>
      <c r="G11412" t="str">
        <f>HYPERLINK("https://github.com/Anuken/Mindustry", "show")</f>
        <v>show</v>
      </c>
      <c r="H11412" t="str">
        <f>HYPERLINK("https://github.com/Anuken/Mindustry/releases", "show")</f>
        <v>show</v>
      </c>
      <c r="I11412">
        <v>1</v>
      </c>
      <c r="J11412">
        <v>1</v>
      </c>
      <c r="K11412">
        <v>0</v>
      </c>
      <c r="L11412">
        <v>1</v>
      </c>
      <c r="M11412" t="s">
        <v>1894</v>
      </c>
    </row>
    <row r="11413" spans="1:13" hidden="1" x14ac:dyDescent="0.15">
      <c r="A11413" t="s">
        <v>36018</v>
      </c>
      <c r="B11413" t="s">
        <v>36019</v>
      </c>
      <c r="C11413" t="s">
        <v>36020</v>
      </c>
      <c r="D11413" t="s">
        <v>36008</v>
      </c>
      <c r="E11413">
        <v>4</v>
      </c>
      <c r="F11413" t="str">
        <f>HYPERLINK("https://github.com/TeamNewPipe/NewPipe/issues/8752", "show")</f>
        <v>show</v>
      </c>
      <c r="G11413" t="str">
        <f>HYPERLINK("https://github.com/TeamNewPipe/NewPipe", "show")</f>
        <v>show</v>
      </c>
      <c r="H11413" t="str">
        <f>HYPERLINK("https://github.com/TeamNewPipe/NewPipe/releases", "show")</f>
        <v>show</v>
      </c>
      <c r="I11413">
        <v>1</v>
      </c>
      <c r="J11413">
        <v>1</v>
      </c>
      <c r="K11413">
        <v>1</v>
      </c>
      <c r="L11413">
        <v>0</v>
      </c>
      <c r="M11413" t="s">
        <v>59</v>
      </c>
    </row>
    <row r="11414" spans="1:13" hidden="1" x14ac:dyDescent="0.15">
      <c r="A11414" t="s">
        <v>36021</v>
      </c>
      <c r="B11414" t="s">
        <v>36022</v>
      </c>
      <c r="C11414" t="s">
        <v>36023</v>
      </c>
      <c r="D11414" t="s">
        <v>36024</v>
      </c>
      <c r="E11414">
        <v>2</v>
      </c>
      <c r="F11414" t="str">
        <f>HYPERLINK("https://github.com/CMU-CREATE-Lab/preK-emotions-app/issues/118", "show")</f>
        <v>show</v>
      </c>
      <c r="G11414" t="str">
        <f>HYPERLINK("https://github.com/CMU-CREATE-Lab/preK-emotions-app", "show")</f>
        <v>show</v>
      </c>
      <c r="H11414" t="str">
        <f>HYPERLINK("https://github.com/CMU-CREATE-Lab/preK-emotions-app/releases", "show")</f>
        <v>show</v>
      </c>
      <c r="I11414">
        <v>1</v>
      </c>
      <c r="J11414">
        <v>0</v>
      </c>
      <c r="K11414">
        <v>0</v>
      </c>
      <c r="L11414">
        <v>0</v>
      </c>
      <c r="M11414" t="s">
        <v>17</v>
      </c>
    </row>
    <row r="11415" spans="1:13" hidden="1" x14ac:dyDescent="0.15">
      <c r="A11415" t="s">
        <v>36025</v>
      </c>
      <c r="B11415" t="s">
        <v>36026</v>
      </c>
      <c r="C11415" t="s">
        <v>36027</v>
      </c>
      <c r="D11415" t="s">
        <v>36024</v>
      </c>
      <c r="E11415">
        <v>1</v>
      </c>
      <c r="F11415" t="str">
        <f>HYPERLINK("https://github.com/AndroidIDEOfficial/AndroidIDE/issues/353", "show")</f>
        <v>show</v>
      </c>
      <c r="G11415" t="str">
        <f>HYPERLINK("https://github.com/AndroidIDEOfficial/AndroidIDE", "show")</f>
        <v>show</v>
      </c>
      <c r="H11415" t="str">
        <f>HYPERLINK("https://github.com/AndroidIDEOfficial/AndroidIDE/releases", "show")</f>
        <v>show</v>
      </c>
      <c r="I11415">
        <v>0</v>
      </c>
      <c r="J11415">
        <v>0</v>
      </c>
      <c r="K11415">
        <v>1</v>
      </c>
      <c r="L11415">
        <v>0</v>
      </c>
      <c r="M11415" t="s">
        <v>122</v>
      </c>
    </row>
    <row r="11416" spans="1:13" hidden="1" x14ac:dyDescent="0.15">
      <c r="A11416" t="s">
        <v>36028</v>
      </c>
      <c r="B11416" t="s">
        <v>36029</v>
      </c>
      <c r="C11416" t="s">
        <v>36030</v>
      </c>
      <c r="D11416" t="s">
        <v>36024</v>
      </c>
      <c r="E11416">
        <v>0</v>
      </c>
      <c r="F11416" t="str">
        <f>HYPERLINK("https://github.com/cgeo/cgeo/issues/13324", "show")</f>
        <v>show</v>
      </c>
      <c r="G11416" t="str">
        <f>HYPERLINK("https://github.com/cgeo/cgeo", "show")</f>
        <v>show</v>
      </c>
      <c r="H11416" t="str">
        <f>HYPERLINK("https://github.com/cgeo/cgeo/releases", "show")</f>
        <v>show</v>
      </c>
      <c r="I11416">
        <v>1</v>
      </c>
      <c r="J11416">
        <v>1</v>
      </c>
      <c r="K11416">
        <v>1</v>
      </c>
      <c r="L11416">
        <v>0</v>
      </c>
      <c r="M11416" t="s">
        <v>59</v>
      </c>
    </row>
    <row r="11417" spans="1:13" hidden="1" x14ac:dyDescent="0.15">
      <c r="A11417" t="s">
        <v>36031</v>
      </c>
      <c r="B11417" t="s">
        <v>36032</v>
      </c>
      <c r="C11417" t="s">
        <v>36033</v>
      </c>
      <c r="D11417" t="s">
        <v>36024</v>
      </c>
      <c r="E11417">
        <v>77</v>
      </c>
      <c r="F11417" t="str">
        <f>HYPERLINK("https://github.com/TeamNewPipe/NewPipe/issues/8748", "show")</f>
        <v>show</v>
      </c>
      <c r="G11417" t="str">
        <f>HYPERLINK("https://github.com/TeamNewPipe/NewPipe", "show")</f>
        <v>show</v>
      </c>
      <c r="H11417" t="str">
        <f>HYPERLINK("https://github.com/TeamNewPipe/NewPipe/releases", "show")</f>
        <v>show</v>
      </c>
      <c r="I11417">
        <v>1</v>
      </c>
      <c r="J11417">
        <v>1</v>
      </c>
      <c r="K11417">
        <v>1</v>
      </c>
      <c r="L11417">
        <v>0</v>
      </c>
      <c r="M11417" t="s">
        <v>59</v>
      </c>
    </row>
    <row r="11418" spans="1:13" hidden="1" x14ac:dyDescent="0.15">
      <c r="A11418" t="s">
        <v>36034</v>
      </c>
      <c r="B11418" t="s">
        <v>36035</v>
      </c>
      <c r="C11418" t="s">
        <v>36036</v>
      </c>
      <c r="D11418" t="s">
        <v>36037</v>
      </c>
      <c r="E11418">
        <v>13</v>
      </c>
      <c r="F11418" t="str">
        <f>HYPERLINK("https://github.com/gsantner/markor/issues/1786", "show")</f>
        <v>show</v>
      </c>
      <c r="G11418" t="str">
        <f>HYPERLINK("https://github.com/gsantner/markor", "show")</f>
        <v>show</v>
      </c>
      <c r="H11418" t="str">
        <f>HYPERLINK("https://github.com/gsantner/markor/releases", "show")</f>
        <v>show</v>
      </c>
      <c r="I11418">
        <v>1</v>
      </c>
      <c r="J11418">
        <v>1</v>
      </c>
      <c r="K11418">
        <v>0</v>
      </c>
      <c r="L11418">
        <v>0</v>
      </c>
      <c r="M11418" t="s">
        <v>48</v>
      </c>
    </row>
    <row r="11419" spans="1:13" hidden="1" x14ac:dyDescent="0.15">
      <c r="A11419" t="s">
        <v>36038</v>
      </c>
      <c r="B11419" t="s">
        <v>36039</v>
      </c>
      <c r="C11419" t="s">
        <v>36040</v>
      </c>
      <c r="D11419" t="s">
        <v>36041</v>
      </c>
      <c r="E11419">
        <v>0</v>
      </c>
      <c r="F11419" t="str">
        <f>HYPERLINK("https://github.com/Anuken/Mindustry/issues/7306", "show")</f>
        <v>show</v>
      </c>
      <c r="G11419" t="str">
        <f>HYPERLINK("https://github.com/Anuken/Mindustry", "show")</f>
        <v>show</v>
      </c>
      <c r="H11419" t="str">
        <f>HYPERLINK("https://github.com/Anuken/Mindustry/releases", "show")</f>
        <v>show</v>
      </c>
      <c r="I11419">
        <v>1</v>
      </c>
      <c r="J11419">
        <v>1</v>
      </c>
      <c r="K11419">
        <v>0</v>
      </c>
      <c r="L11419">
        <v>1</v>
      </c>
      <c r="M11419" t="s">
        <v>1894</v>
      </c>
    </row>
    <row r="11420" spans="1:13" hidden="1" x14ac:dyDescent="0.15">
      <c r="A11420" t="s">
        <v>36042</v>
      </c>
      <c r="B11420" t="s">
        <v>36043</v>
      </c>
      <c r="C11420" t="s">
        <v>36044</v>
      </c>
      <c r="D11420" t="s">
        <v>36045</v>
      </c>
      <c r="E11420">
        <v>1</v>
      </c>
      <c r="F11420" t="str">
        <f>HYPERLINK("https://github.com/OpenSeizureDetector/Android_Pebble_SD/issues/61", "show")</f>
        <v>show</v>
      </c>
      <c r="G11420" t="str">
        <f>HYPERLINK("https://github.com/OpenSeizureDetector/Android_Pebble_SD", "show")</f>
        <v>show</v>
      </c>
      <c r="H11420" t="str">
        <f>HYPERLINK("https://github.com/OpenSeizureDetector/Android_Pebble_SD/releases", "show")</f>
        <v>show</v>
      </c>
      <c r="I11420">
        <v>1</v>
      </c>
      <c r="J11420">
        <v>0</v>
      </c>
      <c r="K11420">
        <v>0</v>
      </c>
      <c r="L11420">
        <v>0</v>
      </c>
      <c r="M11420" t="s">
        <v>17</v>
      </c>
    </row>
    <row r="11421" spans="1:13" hidden="1" x14ac:dyDescent="0.15">
      <c r="A11421" t="s">
        <v>36046</v>
      </c>
      <c r="B11421" t="s">
        <v>36047</v>
      </c>
      <c r="C11421" t="s">
        <v>36048</v>
      </c>
      <c r="D11421" t="s">
        <v>36045</v>
      </c>
      <c r="E11421">
        <v>0</v>
      </c>
      <c r="F11421" t="str">
        <f>HYPERLINK("https://github.com/Anuken/Mindustry/issues/7299", "show")</f>
        <v>show</v>
      </c>
      <c r="G11421" t="str">
        <f>HYPERLINK("https://github.com/Anuken/Mindustry", "show")</f>
        <v>show</v>
      </c>
      <c r="H11421" t="str">
        <f>HYPERLINK("https://github.com/Anuken/Mindustry/releases", "show")</f>
        <v>show</v>
      </c>
      <c r="I11421">
        <v>1</v>
      </c>
      <c r="J11421">
        <v>1</v>
      </c>
      <c r="K11421">
        <v>0</v>
      </c>
      <c r="L11421">
        <v>1</v>
      </c>
      <c r="M11421" t="s">
        <v>1894</v>
      </c>
    </row>
    <row r="11422" spans="1:13" hidden="1" x14ac:dyDescent="0.15">
      <c r="A11422" t="s">
        <v>36049</v>
      </c>
      <c r="B11422" t="s">
        <v>36050</v>
      </c>
      <c r="C11422" t="s">
        <v>36051</v>
      </c>
      <c r="D11422" t="s">
        <v>36045</v>
      </c>
      <c r="E11422">
        <v>0</v>
      </c>
      <c r="F11422" t="str">
        <f>HYPERLINK("https://github.com/Anuken/Mindustry/issues/7298", "show")</f>
        <v>show</v>
      </c>
      <c r="G11422" t="str">
        <f>HYPERLINK("https://github.com/Anuken/Mindustry", "show")</f>
        <v>show</v>
      </c>
      <c r="H11422" t="str">
        <f>HYPERLINK("https://github.com/Anuken/Mindustry/releases", "show")</f>
        <v>show</v>
      </c>
      <c r="I11422">
        <v>1</v>
      </c>
      <c r="J11422">
        <v>0</v>
      </c>
      <c r="K11422">
        <v>0</v>
      </c>
      <c r="L11422">
        <v>0</v>
      </c>
      <c r="M11422" t="s">
        <v>17</v>
      </c>
    </row>
    <row r="11423" spans="1:13" hidden="1" x14ac:dyDescent="0.15">
      <c r="A11423" t="s">
        <v>36052</v>
      </c>
      <c r="B11423" t="s">
        <v>36053</v>
      </c>
      <c r="D11423" t="s">
        <v>36054</v>
      </c>
      <c r="E11423">
        <v>1</v>
      </c>
      <c r="F11423" t="str">
        <f>HYPERLINK("https://github.com/mixpanel/mixpanel-android/issues/797", "show")</f>
        <v>show</v>
      </c>
      <c r="G11423" t="str">
        <f>HYPERLINK("https://github.com/mixpanel/mixpanel-android", "show")</f>
        <v>show</v>
      </c>
      <c r="H11423" t="str">
        <f>HYPERLINK("https://github.com/mixpanel/mixpanel-android/releases", "show")</f>
        <v>show</v>
      </c>
      <c r="I11423">
        <v>0</v>
      </c>
      <c r="J11423">
        <v>0</v>
      </c>
      <c r="K11423">
        <v>0</v>
      </c>
      <c r="L11423">
        <v>0</v>
      </c>
      <c r="M11423" t="s">
        <v>43</v>
      </c>
    </row>
    <row r="11424" spans="1:13" hidden="1" x14ac:dyDescent="0.15">
      <c r="A11424" t="s">
        <v>36055</v>
      </c>
      <c r="B11424" t="s">
        <v>36056</v>
      </c>
      <c r="C11424" t="s">
        <v>36057</v>
      </c>
      <c r="D11424" t="s">
        <v>36054</v>
      </c>
      <c r="E11424">
        <v>5</v>
      </c>
      <c r="F11424" t="str">
        <f>HYPERLINK("https://github.com/okta/okta-oidc-android/issues/332", "show")</f>
        <v>show</v>
      </c>
      <c r="G11424" t="str">
        <f>HYPERLINK("https://github.com/okta/okta-oidc-android", "show")</f>
        <v>show</v>
      </c>
      <c r="H11424" t="str">
        <f>HYPERLINK("https://github.com/okta/okta-oidc-android/releases", "show")</f>
        <v>show</v>
      </c>
      <c r="I11424">
        <v>0</v>
      </c>
      <c r="J11424">
        <v>0</v>
      </c>
      <c r="K11424">
        <v>1</v>
      </c>
      <c r="L11424">
        <v>0</v>
      </c>
      <c r="M11424" t="s">
        <v>122</v>
      </c>
    </row>
    <row r="11425" spans="1:13" hidden="1" x14ac:dyDescent="0.15">
      <c r="A11425" t="s">
        <v>36058</v>
      </c>
      <c r="B11425" t="s">
        <v>36059</v>
      </c>
      <c r="C11425" t="s">
        <v>36060</v>
      </c>
      <c r="D11425" t="s">
        <v>36054</v>
      </c>
      <c r="E11425">
        <v>13</v>
      </c>
      <c r="F11425" t="str">
        <f>HYPERLINK("https://github.com/mollyim/mollyim-android/issues/116", "show")</f>
        <v>show</v>
      </c>
      <c r="G11425" t="str">
        <f>HYPERLINK("https://github.com/mollyim/mollyim-android", "show")</f>
        <v>show</v>
      </c>
      <c r="H11425" t="str">
        <f>HYPERLINK("https://github.com/mollyim/mollyim-android/releases", "show")</f>
        <v>show</v>
      </c>
      <c r="I11425">
        <v>1</v>
      </c>
      <c r="J11425">
        <v>1</v>
      </c>
      <c r="K11425">
        <v>1</v>
      </c>
      <c r="L11425">
        <v>0</v>
      </c>
      <c r="M11425" t="s">
        <v>59</v>
      </c>
    </row>
    <row r="11426" spans="1:13" hidden="1" x14ac:dyDescent="0.15">
      <c r="A11426" t="s">
        <v>36061</v>
      </c>
      <c r="B11426" t="s">
        <v>36062</v>
      </c>
      <c r="C11426" t="s">
        <v>36063</v>
      </c>
      <c r="D11426" t="s">
        <v>36054</v>
      </c>
      <c r="E11426">
        <v>6</v>
      </c>
      <c r="F11426" t="str">
        <f>HYPERLINK("https://github.com/PojavLauncherTeam/PojavLauncher/issues/3477", "show")</f>
        <v>show</v>
      </c>
      <c r="G11426" t="str">
        <f>HYPERLINK("https://github.com/PojavLauncherTeam/PojavLauncher", "show")</f>
        <v>show</v>
      </c>
      <c r="H11426" t="str">
        <f>HYPERLINK("https://github.com/PojavLauncherTeam/PojavLauncher/releases", "show")</f>
        <v>show</v>
      </c>
      <c r="I11426">
        <v>1</v>
      </c>
      <c r="J11426">
        <v>1</v>
      </c>
      <c r="K11426">
        <v>0</v>
      </c>
      <c r="L11426">
        <v>0</v>
      </c>
      <c r="M11426" t="s">
        <v>48</v>
      </c>
    </row>
    <row r="11427" spans="1:13" hidden="1" x14ac:dyDescent="0.15">
      <c r="A11427" t="s">
        <v>36064</v>
      </c>
      <c r="B11427" t="s">
        <v>36065</v>
      </c>
      <c r="C11427" t="s">
        <v>36066</v>
      </c>
      <c r="D11427" t="s">
        <v>36054</v>
      </c>
      <c r="E11427">
        <v>6</v>
      </c>
      <c r="F11427" t="str">
        <f>HYPERLINK("https://github.com/ZeusWPI/hydra-android/issues/628", "show")</f>
        <v>show</v>
      </c>
      <c r="G11427" t="str">
        <f>HYPERLINK("https://github.com/ZeusWPI/hydra-android", "show")</f>
        <v>show</v>
      </c>
      <c r="H11427" t="str">
        <f>HYPERLINK("https://github.com/ZeusWPI/hydra-android/releases", "show")</f>
        <v>show</v>
      </c>
      <c r="I11427">
        <v>1</v>
      </c>
      <c r="J11427">
        <v>0</v>
      </c>
      <c r="K11427">
        <v>1</v>
      </c>
      <c r="L11427">
        <v>0</v>
      </c>
      <c r="M11427" t="s">
        <v>64</v>
      </c>
    </row>
    <row r="11428" spans="1:13" hidden="1" x14ac:dyDescent="0.15">
      <c r="A11428" t="s">
        <v>36067</v>
      </c>
      <c r="B11428" t="s">
        <v>36068</v>
      </c>
      <c r="C11428" t="s">
        <v>36069</v>
      </c>
      <c r="D11428" t="s">
        <v>36070</v>
      </c>
      <c r="E11428">
        <v>181</v>
      </c>
      <c r="F11428" t="str">
        <f>HYPERLINK("https://github.com/react-native-share/react-native-share/issues/1256", "show")</f>
        <v>show</v>
      </c>
      <c r="G11428" t="str">
        <f>HYPERLINK("https://github.com/react-native-share/react-native-share", "show")</f>
        <v>show</v>
      </c>
      <c r="H11428" t="str">
        <f>HYPERLINK("https://github.com/react-native-share/react-native-share/releases", "show")</f>
        <v>show</v>
      </c>
      <c r="I11428">
        <v>1</v>
      </c>
      <c r="J11428">
        <v>0</v>
      </c>
      <c r="K11428">
        <v>0</v>
      </c>
      <c r="L11428">
        <v>0</v>
      </c>
      <c r="M11428" t="s">
        <v>17</v>
      </c>
    </row>
    <row r="11429" spans="1:13" hidden="1" x14ac:dyDescent="0.15">
      <c r="A11429" t="s">
        <v>36071</v>
      </c>
      <c r="B11429" t="s">
        <v>36072</v>
      </c>
      <c r="C11429" t="s">
        <v>36073</v>
      </c>
      <c r="D11429" t="s">
        <v>36070</v>
      </c>
      <c r="E11429">
        <v>0</v>
      </c>
      <c r="F11429" t="str">
        <f>HYPERLINK("https://github.com/mI-PIV/app/issues/351", "show")</f>
        <v>show</v>
      </c>
      <c r="G11429" t="str">
        <f>HYPERLINK("https://github.com/mI-PIV/app", "show")</f>
        <v>show</v>
      </c>
      <c r="H11429" t="str">
        <f>HYPERLINK("https://github.com/mI-PIV/app/releases", "show")</f>
        <v>show</v>
      </c>
      <c r="I11429">
        <v>1</v>
      </c>
      <c r="J11429">
        <v>0</v>
      </c>
      <c r="K11429">
        <v>0</v>
      </c>
      <c r="L11429">
        <v>0</v>
      </c>
      <c r="M11429" t="s">
        <v>17</v>
      </c>
    </row>
    <row r="11430" spans="1:13" hidden="1" x14ac:dyDescent="0.15">
      <c r="A11430" t="s">
        <v>36074</v>
      </c>
      <c r="B11430" t="s">
        <v>36075</v>
      </c>
      <c r="C11430" t="s">
        <v>36076</v>
      </c>
      <c r="D11430" t="s">
        <v>36070</v>
      </c>
      <c r="E11430">
        <v>6</v>
      </c>
      <c r="F11430" t="str">
        <f>HYPERLINK("https://github.com/jellyfin/jellyfin-androidtv/issues/1929", "show")</f>
        <v>show</v>
      </c>
      <c r="G11430" t="str">
        <f>HYPERLINK("https://github.com/jellyfin/jellyfin-androidtv", "show")</f>
        <v>show</v>
      </c>
      <c r="H11430" t="str">
        <f>HYPERLINK("https://github.com/jellyfin/jellyfin-androidtv/releases", "show")</f>
        <v>show</v>
      </c>
      <c r="I11430">
        <v>1</v>
      </c>
      <c r="J11430">
        <v>0</v>
      </c>
      <c r="K11430">
        <v>0</v>
      </c>
      <c r="L11430">
        <v>0</v>
      </c>
      <c r="M11430" t="s">
        <v>17</v>
      </c>
    </row>
    <row r="11431" spans="1:13" hidden="1" x14ac:dyDescent="0.15">
      <c r="A11431" t="s">
        <v>36077</v>
      </c>
      <c r="B11431" t="s">
        <v>36078</v>
      </c>
      <c r="C11431" t="s">
        <v>36079</v>
      </c>
      <c r="D11431" t="s">
        <v>36070</v>
      </c>
      <c r="E11431">
        <v>1</v>
      </c>
      <c r="F11431" t="str">
        <f>HYPERLINK("https://github.com/naver/nam-sdk-android/issues/12", "show")</f>
        <v>show</v>
      </c>
      <c r="G11431" t="str">
        <f>HYPERLINK("https://github.com/naver/nam-sdk-android", "show")</f>
        <v>show</v>
      </c>
      <c r="H11431" t="str">
        <f>HYPERLINK("https://github.com/naver/nam-sdk-android/releases", "show")</f>
        <v>show</v>
      </c>
      <c r="I11431">
        <v>0</v>
      </c>
      <c r="J11431">
        <v>0</v>
      </c>
      <c r="K11431">
        <v>1</v>
      </c>
      <c r="L11431">
        <v>0</v>
      </c>
      <c r="M11431" t="s">
        <v>122</v>
      </c>
    </row>
    <row r="11432" spans="1:13" hidden="1" x14ac:dyDescent="0.15">
      <c r="A11432" t="s">
        <v>36080</v>
      </c>
      <c r="B11432" t="s">
        <v>36081</v>
      </c>
      <c r="C11432" t="s">
        <v>11701</v>
      </c>
      <c r="D11432" t="s">
        <v>36082</v>
      </c>
      <c r="E11432">
        <v>0</v>
      </c>
      <c r="F11432" t="str">
        <f>HYPERLINK("https://github.com/Anuken/Mindustry/issues/7274", "show")</f>
        <v>show</v>
      </c>
      <c r="G11432" t="str">
        <f>HYPERLINK("https://github.com/Anuken/Mindustry", "show")</f>
        <v>show</v>
      </c>
      <c r="H11432" t="str">
        <f>HYPERLINK("https://github.com/Anuken/Mindustry/releases", "show")</f>
        <v>show</v>
      </c>
      <c r="I11432">
        <v>1</v>
      </c>
      <c r="J11432">
        <v>1</v>
      </c>
      <c r="K11432">
        <v>0</v>
      </c>
      <c r="L11432">
        <v>0</v>
      </c>
      <c r="M11432" t="s">
        <v>48</v>
      </c>
    </row>
    <row r="11433" spans="1:13" hidden="1" x14ac:dyDescent="0.15">
      <c r="A11433" t="s">
        <v>36083</v>
      </c>
      <c r="B11433" t="s">
        <v>36084</v>
      </c>
      <c r="C11433" t="s">
        <v>36085</v>
      </c>
      <c r="D11433" t="s">
        <v>36082</v>
      </c>
      <c r="E11433">
        <v>146</v>
      </c>
      <c r="F11433" t="str">
        <f>HYPERLINK("https://github.com/jellyfin/jellyfin-androidtv/issues/1925", "show")</f>
        <v>show</v>
      </c>
      <c r="G11433" t="str">
        <f>HYPERLINK("https://github.com/jellyfin/jellyfin-androidtv", "show")</f>
        <v>show</v>
      </c>
      <c r="H11433" t="str">
        <f>HYPERLINK("https://github.com/jellyfin/jellyfin-androidtv/releases", "show")</f>
        <v>show</v>
      </c>
      <c r="I11433">
        <v>1</v>
      </c>
      <c r="J11433">
        <v>0</v>
      </c>
      <c r="K11433">
        <v>1</v>
      </c>
      <c r="L11433">
        <v>0</v>
      </c>
      <c r="M11433" t="s">
        <v>64</v>
      </c>
    </row>
    <row r="11434" spans="1:13" hidden="1" x14ac:dyDescent="0.15">
      <c r="A11434" t="s">
        <v>36086</v>
      </c>
      <c r="B11434" t="s">
        <v>36087</v>
      </c>
      <c r="C11434" t="s">
        <v>36088</v>
      </c>
      <c r="D11434" t="s">
        <v>36082</v>
      </c>
      <c r="E11434">
        <v>1</v>
      </c>
      <c r="F11434" t="str">
        <f>HYPERLINK("https://github.com/mI-PIV/app/issues/344", "show")</f>
        <v>show</v>
      </c>
      <c r="G11434" t="str">
        <f>HYPERLINK("https://github.com/mI-PIV/app", "show")</f>
        <v>show</v>
      </c>
      <c r="H11434" t="str">
        <f>HYPERLINK("https://github.com/mI-PIV/app/releases", "show")</f>
        <v>show</v>
      </c>
      <c r="I11434">
        <v>1</v>
      </c>
      <c r="J11434">
        <v>0</v>
      </c>
      <c r="K11434">
        <v>0</v>
      </c>
      <c r="L11434">
        <v>0</v>
      </c>
      <c r="M11434" t="s">
        <v>17</v>
      </c>
    </row>
    <row r="11435" spans="1:13" hidden="1" x14ac:dyDescent="0.15">
      <c r="A11435" t="s">
        <v>36089</v>
      </c>
      <c r="B11435" t="s">
        <v>36090</v>
      </c>
      <c r="C11435" t="s">
        <v>36091</v>
      </c>
      <c r="D11435" t="s">
        <v>36082</v>
      </c>
      <c r="E11435">
        <v>14</v>
      </c>
      <c r="F11435" t="str">
        <f>HYPERLINK("https://github.com/aws-amplify/amplify-android/issues/1868", "show")</f>
        <v>show</v>
      </c>
      <c r="G11435" t="str">
        <f>HYPERLINK("https://github.com/aws-amplify/amplify-android", "show")</f>
        <v>show</v>
      </c>
      <c r="H11435" t="str">
        <f>HYPERLINK("https://github.com/aws-amplify/amplify-android/releases", "show")</f>
        <v>show</v>
      </c>
      <c r="I11435">
        <v>1</v>
      </c>
      <c r="J11435">
        <v>0</v>
      </c>
      <c r="K11435">
        <v>1</v>
      </c>
      <c r="L11435">
        <v>0</v>
      </c>
      <c r="M11435" t="s">
        <v>64</v>
      </c>
    </row>
    <row r="11436" spans="1:13" x14ac:dyDescent="0.15">
      <c r="A11436" t="s">
        <v>36092</v>
      </c>
      <c r="B11436" t="s">
        <v>36093</v>
      </c>
      <c r="C11436" t="s">
        <v>36094</v>
      </c>
      <c r="D11436" t="s">
        <v>36082</v>
      </c>
      <c r="E11436">
        <v>2</v>
      </c>
      <c r="F11436" t="str">
        <f>HYPERLINK("https://github.com/PojavLauncherTeam/PojavLauncher/issues/3473", "show")</f>
        <v>show</v>
      </c>
      <c r="G11436" t="str">
        <f>HYPERLINK("https://github.com/PojavLauncherTeam/PojavLauncher", "show")</f>
        <v>show</v>
      </c>
      <c r="H11436" t="str">
        <f>HYPERLINK("https://github.com/PojavLauncherTeam/PojavLauncher/releases", "show")</f>
        <v>show</v>
      </c>
      <c r="I11436">
        <v>0</v>
      </c>
      <c r="J11436">
        <v>1</v>
      </c>
      <c r="K11436">
        <v>0</v>
      </c>
      <c r="L11436">
        <v>0</v>
      </c>
      <c r="M11436" t="s">
        <v>139</v>
      </c>
    </row>
    <row r="11437" spans="1:13" hidden="1" x14ac:dyDescent="0.15">
      <c r="A11437" t="s">
        <v>36095</v>
      </c>
      <c r="B11437" t="s">
        <v>36096</v>
      </c>
      <c r="C11437" t="s">
        <v>36097</v>
      </c>
      <c r="D11437" t="s">
        <v>36082</v>
      </c>
      <c r="E11437">
        <v>0</v>
      </c>
      <c r="F11437" t="str">
        <f>HYPERLINK("https://github.com/jellyfin/jellyfin-androidtv/issues/1920", "show")</f>
        <v>show</v>
      </c>
      <c r="G11437" t="str">
        <f>HYPERLINK("https://github.com/jellyfin/jellyfin-androidtv", "show")</f>
        <v>show</v>
      </c>
      <c r="H11437" t="str">
        <f>HYPERLINK("https://github.com/jellyfin/jellyfin-androidtv/releases", "show")</f>
        <v>show</v>
      </c>
      <c r="I11437">
        <v>1</v>
      </c>
      <c r="J11437">
        <v>0</v>
      </c>
      <c r="K11437">
        <v>1</v>
      </c>
      <c r="L11437">
        <v>0</v>
      </c>
      <c r="M11437" t="s">
        <v>64</v>
      </c>
    </row>
    <row r="11438" spans="1:13" hidden="1" x14ac:dyDescent="0.15">
      <c r="A11438" t="s">
        <v>36098</v>
      </c>
      <c r="B11438" t="s">
        <v>36099</v>
      </c>
      <c r="C11438" t="s">
        <v>36100</v>
      </c>
      <c r="D11438" t="s">
        <v>36082</v>
      </c>
      <c r="E11438">
        <v>9</v>
      </c>
      <c r="F11438" t="str">
        <f>HYPERLINK("https://github.com/ZeusWPI/hydra-android/issues/627", "show")</f>
        <v>show</v>
      </c>
      <c r="G11438" t="str">
        <f>HYPERLINK("https://github.com/ZeusWPI/hydra-android", "show")</f>
        <v>show</v>
      </c>
      <c r="H11438" t="str">
        <f>HYPERLINK("https://github.com/ZeusWPI/hydra-android/releases", "show")</f>
        <v>show</v>
      </c>
      <c r="I11438">
        <v>1</v>
      </c>
      <c r="J11438">
        <v>0</v>
      </c>
      <c r="K11438">
        <v>1</v>
      </c>
      <c r="L11438">
        <v>0</v>
      </c>
      <c r="M11438" t="s">
        <v>64</v>
      </c>
    </row>
    <row r="11439" spans="1:13" hidden="1" x14ac:dyDescent="0.15">
      <c r="A11439" t="s">
        <v>36101</v>
      </c>
      <c r="B11439" t="s">
        <v>36102</v>
      </c>
      <c r="C11439" t="s">
        <v>36103</v>
      </c>
      <c r="D11439" t="s">
        <v>36104</v>
      </c>
      <c r="E11439">
        <v>258</v>
      </c>
      <c r="F11439" t="str">
        <f>HYPERLINK("https://github.com/jellyfin/jellyfin-androidtv/issues/1919", "show")</f>
        <v>show</v>
      </c>
      <c r="G11439" t="str">
        <f>HYPERLINK("https://github.com/jellyfin/jellyfin-androidtv", "show")</f>
        <v>show</v>
      </c>
      <c r="H11439" t="str">
        <f>HYPERLINK("https://github.com/jellyfin/jellyfin-androidtv/releases", "show")</f>
        <v>show</v>
      </c>
      <c r="I11439">
        <v>1</v>
      </c>
      <c r="J11439">
        <v>0</v>
      </c>
      <c r="K11439">
        <v>1</v>
      </c>
      <c r="L11439">
        <v>0</v>
      </c>
      <c r="M11439" t="s">
        <v>64</v>
      </c>
    </row>
    <row r="11440" spans="1:13" hidden="1" x14ac:dyDescent="0.15">
      <c r="A11440" t="s">
        <v>36105</v>
      </c>
      <c r="B11440" t="s">
        <v>36106</v>
      </c>
      <c r="C11440" t="s">
        <v>36107</v>
      </c>
      <c r="D11440" t="s">
        <v>36104</v>
      </c>
      <c r="E11440">
        <v>25</v>
      </c>
      <c r="F11440" t="str">
        <f>HYPERLINK("https://github.com/aws-amplify/aws-sdk-android/issues/2963", "show")</f>
        <v>show</v>
      </c>
      <c r="G11440" t="str">
        <f>HYPERLINK("https://github.com/aws-amplify/aws-sdk-android", "show")</f>
        <v>show</v>
      </c>
      <c r="H11440" t="str">
        <f>HYPERLINK("https://github.com/aws-amplify/aws-sdk-android/releases", "show")</f>
        <v>show</v>
      </c>
      <c r="I11440">
        <v>1</v>
      </c>
      <c r="J11440">
        <v>0</v>
      </c>
      <c r="K11440">
        <v>1</v>
      </c>
      <c r="L11440">
        <v>0</v>
      </c>
      <c r="M11440" t="s">
        <v>64</v>
      </c>
    </row>
    <row r="11441" spans="1:13" hidden="1" x14ac:dyDescent="0.15">
      <c r="A11441" t="s">
        <v>36108</v>
      </c>
      <c r="B11441" t="s">
        <v>36109</v>
      </c>
      <c r="C11441" t="s">
        <v>36110</v>
      </c>
      <c r="D11441" t="s">
        <v>36104</v>
      </c>
      <c r="E11441">
        <v>36</v>
      </c>
      <c r="F11441" t="str">
        <f>HYPERLINK("https://github.com/nextcloud/android/issues/10580", "show")</f>
        <v>show</v>
      </c>
      <c r="G11441" t="str">
        <f>HYPERLINK("https://github.com/nextcloud/android", "show")</f>
        <v>show</v>
      </c>
      <c r="H11441" t="str">
        <f>HYPERLINK("https://github.com/nextcloud/android/releases", "show")</f>
        <v>show</v>
      </c>
      <c r="I11441">
        <v>1</v>
      </c>
      <c r="J11441">
        <v>0</v>
      </c>
      <c r="K11441">
        <v>1</v>
      </c>
      <c r="L11441">
        <v>0</v>
      </c>
      <c r="M11441" t="s">
        <v>64</v>
      </c>
    </row>
    <row r="11442" spans="1:13" hidden="1" x14ac:dyDescent="0.15">
      <c r="A11442" t="s">
        <v>36111</v>
      </c>
      <c r="B11442" t="s">
        <v>36112</v>
      </c>
      <c r="C11442" t="s">
        <v>36113</v>
      </c>
      <c r="D11442" t="s">
        <v>36104</v>
      </c>
      <c r="E11442">
        <v>105</v>
      </c>
      <c r="F11442" t="str">
        <f>HYPERLINK("https://github.com/dropbox/dropbox-sdk-java/issues/406", "show")</f>
        <v>show</v>
      </c>
      <c r="G11442" t="str">
        <f>HYPERLINK("https://github.com/dropbox/dropbox-sdk-java", "show")</f>
        <v>show</v>
      </c>
      <c r="H11442" t="str">
        <f>HYPERLINK("https://github.com/dropbox/dropbox-sdk-java/releases", "show")</f>
        <v>show</v>
      </c>
      <c r="I11442">
        <v>1</v>
      </c>
      <c r="J11442">
        <v>0</v>
      </c>
      <c r="K11442">
        <v>1</v>
      </c>
      <c r="L11442">
        <v>0</v>
      </c>
      <c r="M11442" t="s">
        <v>64</v>
      </c>
    </row>
    <row r="11443" spans="1:13" hidden="1" x14ac:dyDescent="0.15">
      <c r="A11443" t="s">
        <v>36114</v>
      </c>
      <c r="B11443" t="s">
        <v>36115</v>
      </c>
      <c r="C11443" t="s">
        <v>36116</v>
      </c>
      <c r="D11443" t="s">
        <v>36104</v>
      </c>
      <c r="E11443">
        <v>0</v>
      </c>
      <c r="F11443" t="str">
        <f>HYPERLINK("https://github.com/commons-app/apps-android-commons/issues/5021", "show")</f>
        <v>show</v>
      </c>
      <c r="G11443" t="str">
        <f>HYPERLINK("https://github.com/commons-app/apps-android-commons", "show")</f>
        <v>show</v>
      </c>
      <c r="H11443" t="str">
        <f>HYPERLINK("https://github.com/commons-app/apps-android-commons/releases", "show")</f>
        <v>show</v>
      </c>
      <c r="I11443">
        <v>0</v>
      </c>
      <c r="J11443">
        <v>1</v>
      </c>
      <c r="K11443">
        <v>1</v>
      </c>
      <c r="L11443">
        <v>0</v>
      </c>
      <c r="M11443" t="s">
        <v>699</v>
      </c>
    </row>
    <row r="11444" spans="1:13" hidden="1" x14ac:dyDescent="0.15">
      <c r="A11444" t="s">
        <v>36117</v>
      </c>
      <c r="B11444" t="s">
        <v>36118</v>
      </c>
      <c r="C11444" t="s">
        <v>36119</v>
      </c>
      <c r="D11444" t="s">
        <v>36120</v>
      </c>
      <c r="E11444">
        <v>0</v>
      </c>
      <c r="F11444" t="str">
        <f>HYPERLINK("https://github.com/Anuken/Mindustry/issues/7268", "show")</f>
        <v>show</v>
      </c>
      <c r="G11444" t="str">
        <f>HYPERLINK("https://github.com/Anuken/Mindustry", "show")</f>
        <v>show</v>
      </c>
      <c r="H11444" t="str">
        <f>HYPERLINK("https://github.com/Anuken/Mindustry/releases", "show")</f>
        <v>show</v>
      </c>
      <c r="I11444">
        <v>0</v>
      </c>
      <c r="J11444">
        <v>0</v>
      </c>
      <c r="K11444">
        <v>0</v>
      </c>
      <c r="L11444">
        <v>0</v>
      </c>
      <c r="M11444" t="s">
        <v>43</v>
      </c>
    </row>
    <row r="11445" spans="1:13" hidden="1" x14ac:dyDescent="0.15">
      <c r="A11445" t="s">
        <v>36121</v>
      </c>
      <c r="B11445" t="s">
        <v>36122</v>
      </c>
      <c r="C11445" t="s">
        <v>36123</v>
      </c>
      <c r="D11445" t="s">
        <v>36124</v>
      </c>
      <c r="E11445">
        <v>0</v>
      </c>
      <c r="F11445" t="str">
        <f>HYPERLINK("https://github.com/Anuken/Mindustry/issues/7257", "show")</f>
        <v>show</v>
      </c>
      <c r="G11445" t="str">
        <f>HYPERLINK("https://github.com/Anuken/Mindustry", "show")</f>
        <v>show</v>
      </c>
      <c r="H11445" t="str">
        <f>HYPERLINK("https://github.com/Anuken/Mindustry/releases", "show")</f>
        <v>show</v>
      </c>
      <c r="I11445">
        <v>1</v>
      </c>
      <c r="J11445">
        <v>0</v>
      </c>
      <c r="K11445">
        <v>0</v>
      </c>
      <c r="L11445">
        <v>0</v>
      </c>
      <c r="M11445" t="s">
        <v>17</v>
      </c>
    </row>
    <row r="11446" spans="1:13" hidden="1" x14ac:dyDescent="0.15">
      <c r="A11446" t="s">
        <v>36125</v>
      </c>
      <c r="B11446" t="s">
        <v>36126</v>
      </c>
      <c r="C11446" t="s">
        <v>36127</v>
      </c>
      <c r="D11446" t="s">
        <v>36128</v>
      </c>
      <c r="E11446">
        <v>0</v>
      </c>
      <c r="F11446" t="str">
        <f>HYPERLINK("https://github.com/jellyfin/jellyfin-androidtv/issues/1909", "show")</f>
        <v>show</v>
      </c>
      <c r="G11446" t="str">
        <f>HYPERLINK("https://github.com/jellyfin/jellyfin-androidtv", "show")</f>
        <v>show</v>
      </c>
      <c r="H11446" t="str">
        <f>HYPERLINK("https://github.com/jellyfin/jellyfin-androidtv/releases", "show")</f>
        <v>show</v>
      </c>
      <c r="I11446">
        <v>1</v>
      </c>
      <c r="J11446">
        <v>0</v>
      </c>
      <c r="K11446">
        <v>1</v>
      </c>
      <c r="L11446">
        <v>0</v>
      </c>
      <c r="M11446" t="s">
        <v>64</v>
      </c>
    </row>
    <row r="11447" spans="1:13" hidden="1" x14ac:dyDescent="0.15">
      <c r="A11447" t="s">
        <v>36129</v>
      </c>
      <c r="B11447" t="s">
        <v>36130</v>
      </c>
      <c r="C11447" t="s">
        <v>36131</v>
      </c>
      <c r="D11447" t="s">
        <v>36128</v>
      </c>
      <c r="E11447">
        <v>10</v>
      </c>
      <c r="F11447" t="str">
        <f>HYPERLINK("https://github.com/LawnchairLauncher/lawnchair/issues/2804", "show")</f>
        <v>show</v>
      </c>
      <c r="G11447" t="str">
        <f>HYPERLINK("https://github.com/LawnchairLauncher/lawnchair", "show")</f>
        <v>show</v>
      </c>
      <c r="H11447" t="str">
        <f>HYPERLINK("https://github.com/LawnchairLauncher/lawnchair/releases", "show")</f>
        <v>show</v>
      </c>
      <c r="I11447">
        <v>1</v>
      </c>
      <c r="J11447">
        <v>1</v>
      </c>
      <c r="K11447">
        <v>0</v>
      </c>
      <c r="L11447">
        <v>1</v>
      </c>
      <c r="M11447" t="s">
        <v>1894</v>
      </c>
    </row>
    <row r="11448" spans="1:13" hidden="1" x14ac:dyDescent="0.15">
      <c r="A11448" t="s">
        <v>36132</v>
      </c>
      <c r="B11448" t="s">
        <v>36133</v>
      </c>
      <c r="C11448" t="s">
        <v>36134</v>
      </c>
      <c r="D11448" t="s">
        <v>36135</v>
      </c>
      <c r="E11448">
        <v>36</v>
      </c>
      <c r="F11448" t="str">
        <f>HYPERLINK("https://github.com/PojavLauncherTeam/PojavLauncher/issues/3465", "show")</f>
        <v>show</v>
      </c>
      <c r="G11448" t="str">
        <f>HYPERLINK("https://github.com/PojavLauncherTeam/PojavLauncher", "show")</f>
        <v>show</v>
      </c>
      <c r="H11448" t="str">
        <f>HYPERLINK("https://github.com/PojavLauncherTeam/PojavLauncher/releases", "show")</f>
        <v>show</v>
      </c>
      <c r="I11448">
        <v>0</v>
      </c>
      <c r="J11448">
        <v>1</v>
      </c>
      <c r="K11448">
        <v>1</v>
      </c>
      <c r="L11448">
        <v>0</v>
      </c>
      <c r="M11448" t="s">
        <v>699</v>
      </c>
    </row>
    <row r="11449" spans="1:13" hidden="1" x14ac:dyDescent="0.15">
      <c r="A11449" t="s">
        <v>36136</v>
      </c>
      <c r="B11449" t="s">
        <v>36137</v>
      </c>
      <c r="C11449" t="s">
        <v>36138</v>
      </c>
      <c r="D11449" t="s">
        <v>36135</v>
      </c>
      <c r="E11449">
        <v>12</v>
      </c>
      <c r="F11449" t="str">
        <f>HYPERLINK("https://github.com/jellyfin/jellyfin-androidtv/issues/1903", "show")</f>
        <v>show</v>
      </c>
      <c r="G11449" t="str">
        <f>HYPERLINK("https://github.com/jellyfin/jellyfin-androidtv", "show")</f>
        <v>show</v>
      </c>
      <c r="H11449" t="str">
        <f>HYPERLINK("https://github.com/jellyfin/jellyfin-androidtv/releases", "show")</f>
        <v>show</v>
      </c>
      <c r="I11449">
        <v>1</v>
      </c>
      <c r="J11449">
        <v>0</v>
      </c>
      <c r="K11449">
        <v>1</v>
      </c>
      <c r="L11449">
        <v>0</v>
      </c>
      <c r="M11449" t="s">
        <v>64</v>
      </c>
    </row>
    <row r="11450" spans="1:13" hidden="1" x14ac:dyDescent="0.15">
      <c r="A11450" t="s">
        <v>36139</v>
      </c>
      <c r="B11450" t="s">
        <v>36140</v>
      </c>
      <c r="C11450" t="s">
        <v>36141</v>
      </c>
      <c r="D11450" t="s">
        <v>36135</v>
      </c>
      <c r="E11450">
        <v>0</v>
      </c>
      <c r="F11450" t="str">
        <f>HYPERLINK("https://github.com/Anuken/Mindustry/issues/7246", "show")</f>
        <v>show</v>
      </c>
      <c r="G11450" t="str">
        <f>HYPERLINK("https://github.com/Anuken/Mindustry", "show")</f>
        <v>show</v>
      </c>
      <c r="H11450" t="str">
        <f>HYPERLINK("https://github.com/Anuken/Mindustry/releases", "show")</f>
        <v>show</v>
      </c>
      <c r="I11450">
        <v>0</v>
      </c>
      <c r="J11450">
        <v>0</v>
      </c>
      <c r="K11450">
        <v>0</v>
      </c>
      <c r="L11450">
        <v>0</v>
      </c>
      <c r="M11450" t="s">
        <v>43</v>
      </c>
    </row>
    <row r="11451" spans="1:13" hidden="1" x14ac:dyDescent="0.15">
      <c r="A11451" t="s">
        <v>36142</v>
      </c>
      <c r="B11451" t="s">
        <v>36143</v>
      </c>
      <c r="C11451" t="s">
        <v>36144</v>
      </c>
      <c r="D11451" t="s">
        <v>36145</v>
      </c>
      <c r="E11451">
        <v>3</v>
      </c>
      <c r="F11451" t="str">
        <f>HYPERLINK("https://github.com/fabienli/DokuwikiAndroid/issues/67", "show")</f>
        <v>show</v>
      </c>
      <c r="G11451" t="str">
        <f>HYPERLINK("https://github.com/fabienli/DokuwikiAndroid", "show")</f>
        <v>show</v>
      </c>
      <c r="H11451" t="str">
        <f>HYPERLINK("https://github.com/fabienli/DokuwikiAndroid/releases", "show")</f>
        <v>show</v>
      </c>
      <c r="I11451">
        <v>1</v>
      </c>
      <c r="J11451">
        <v>0</v>
      </c>
      <c r="K11451">
        <v>1</v>
      </c>
      <c r="L11451">
        <v>0</v>
      </c>
      <c r="M11451" t="s">
        <v>64</v>
      </c>
    </row>
    <row r="11452" spans="1:13" hidden="1" x14ac:dyDescent="0.15">
      <c r="A11452" t="s">
        <v>36146</v>
      </c>
      <c r="B11452" t="s">
        <v>36147</v>
      </c>
      <c r="C11452" t="s">
        <v>36148</v>
      </c>
      <c r="D11452" t="s">
        <v>36145</v>
      </c>
      <c r="E11452">
        <v>113</v>
      </c>
      <c r="F11452" t="str">
        <f>HYPERLINK("https://github.com/ReVanced/revanced-integrations/issues/102", "show")</f>
        <v>show</v>
      </c>
      <c r="G11452" t="str">
        <f>HYPERLINK("https://github.com/ReVanced/revanced-integrations", "show")</f>
        <v>show</v>
      </c>
      <c r="H11452" t="str">
        <f>HYPERLINK("https://github.com/ReVanced/revanced-integrations/releases", "show")</f>
        <v>show</v>
      </c>
      <c r="I11452">
        <v>1</v>
      </c>
      <c r="J11452">
        <v>1</v>
      </c>
      <c r="K11452">
        <v>1</v>
      </c>
      <c r="L11452">
        <v>0</v>
      </c>
      <c r="M11452" t="s">
        <v>59</v>
      </c>
    </row>
    <row r="11453" spans="1:13" hidden="1" x14ac:dyDescent="0.15">
      <c r="A11453" t="s">
        <v>36149</v>
      </c>
      <c r="B11453" t="s">
        <v>36150</v>
      </c>
      <c r="C11453" t="s">
        <v>36151</v>
      </c>
      <c r="D11453" t="s">
        <v>36145</v>
      </c>
      <c r="E11453">
        <v>1</v>
      </c>
      <c r="F11453" t="str">
        <f>HYPERLINK("https://github.com/Anuken/Mindustry/issues/7245", "show")</f>
        <v>show</v>
      </c>
      <c r="G11453" t="str">
        <f>HYPERLINK("https://github.com/Anuken/Mindustry", "show")</f>
        <v>show</v>
      </c>
      <c r="H11453" t="str">
        <f>HYPERLINK("https://github.com/Anuken/Mindustry/releases", "show")</f>
        <v>show</v>
      </c>
      <c r="I11453">
        <v>0</v>
      </c>
      <c r="J11453">
        <v>0</v>
      </c>
      <c r="K11453">
        <v>0</v>
      </c>
      <c r="L11453">
        <v>0</v>
      </c>
      <c r="M11453" t="s">
        <v>43</v>
      </c>
    </row>
    <row r="11454" spans="1:13" hidden="1" x14ac:dyDescent="0.15">
      <c r="A11454" t="s">
        <v>36152</v>
      </c>
      <c r="B11454" t="s">
        <v>36153</v>
      </c>
      <c r="C11454" t="s">
        <v>36154</v>
      </c>
      <c r="D11454" t="s">
        <v>36145</v>
      </c>
      <c r="E11454">
        <v>0</v>
      </c>
      <c r="F11454" t="str">
        <f>HYPERLINK("https://github.com/material-components/material-components-android/issues/2867", "show")</f>
        <v>show</v>
      </c>
      <c r="G11454" t="str">
        <f>HYPERLINK("https://github.com/material-components/material-components-android", "show")</f>
        <v>show</v>
      </c>
      <c r="H11454" t="str">
        <f>HYPERLINK("https://github.com/material-components/material-components-android/releases", "show")</f>
        <v>show</v>
      </c>
      <c r="I11454">
        <v>1</v>
      </c>
      <c r="J11454">
        <v>1</v>
      </c>
      <c r="K11454">
        <v>0</v>
      </c>
      <c r="L11454">
        <v>0</v>
      </c>
      <c r="M11454" t="s">
        <v>48</v>
      </c>
    </row>
    <row r="11455" spans="1:13" hidden="1" x14ac:dyDescent="0.15">
      <c r="A11455" t="s">
        <v>36155</v>
      </c>
      <c r="B11455" t="s">
        <v>36156</v>
      </c>
      <c r="C11455" t="s">
        <v>36157</v>
      </c>
      <c r="D11455" t="s">
        <v>36145</v>
      </c>
      <c r="E11455">
        <v>1</v>
      </c>
      <c r="F11455" t="str">
        <f>HYPERLINK("https://github.com/bk138/droidVNC-NG/issues/94", "show")</f>
        <v>show</v>
      </c>
      <c r="G11455" t="str">
        <f>HYPERLINK("https://github.com/bk138/droidVNC-NG", "show")</f>
        <v>show</v>
      </c>
      <c r="H11455" t="str">
        <f>HYPERLINK("https://github.com/bk138/droidVNC-NG/releases", "show")</f>
        <v>show</v>
      </c>
      <c r="I11455">
        <v>1</v>
      </c>
      <c r="J11455">
        <v>1</v>
      </c>
      <c r="K11455">
        <v>0</v>
      </c>
      <c r="L11455">
        <v>0</v>
      </c>
      <c r="M11455" t="s">
        <v>48</v>
      </c>
    </row>
    <row r="11456" spans="1:13" x14ac:dyDescent="0.15">
      <c r="A11456" t="s">
        <v>36158</v>
      </c>
      <c r="B11456" t="s">
        <v>36159</v>
      </c>
      <c r="C11456" t="s">
        <v>36160</v>
      </c>
      <c r="D11456" t="s">
        <v>36145</v>
      </c>
      <c r="E11456">
        <v>38</v>
      </c>
      <c r="F11456" t="str">
        <f>HYPERLINK("https://github.com/PojavLauncherTeam/PojavLauncher/issues/3462", "show")</f>
        <v>show</v>
      </c>
      <c r="G11456" t="str">
        <f>HYPERLINK("https://github.com/PojavLauncherTeam/PojavLauncher", "show")</f>
        <v>show</v>
      </c>
      <c r="H11456" t="str">
        <f>HYPERLINK("https://github.com/PojavLauncherTeam/PojavLauncher/releases", "show")</f>
        <v>show</v>
      </c>
      <c r="I11456">
        <v>0</v>
      </c>
      <c r="J11456">
        <v>1</v>
      </c>
      <c r="K11456">
        <v>0</v>
      </c>
      <c r="L11456">
        <v>0</v>
      </c>
      <c r="M11456" t="s">
        <v>139</v>
      </c>
    </row>
    <row r="11457" spans="1:13" hidden="1" x14ac:dyDescent="0.15">
      <c r="A11457" t="s">
        <v>36161</v>
      </c>
      <c r="B11457" t="s">
        <v>36162</v>
      </c>
      <c r="C11457" t="s">
        <v>36163</v>
      </c>
      <c r="D11457" t="s">
        <v>36164</v>
      </c>
      <c r="E11457">
        <v>144</v>
      </c>
      <c r="F11457" t="str">
        <f>HYPERLINK("https://github.com/VinylMusicPlayer/VinylMusicPlayer/issues/609", "show")</f>
        <v>show</v>
      </c>
      <c r="G11457" t="str">
        <f>HYPERLINK("https://github.com/VinylMusicPlayer/VinylMusicPlayer", "show")</f>
        <v>show</v>
      </c>
      <c r="H11457" t="str">
        <f>HYPERLINK("https://github.com/VinylMusicPlayer/VinylMusicPlayer/releases", "show")</f>
        <v>show</v>
      </c>
      <c r="I11457">
        <v>1</v>
      </c>
      <c r="J11457">
        <v>0</v>
      </c>
      <c r="K11457">
        <v>1</v>
      </c>
      <c r="L11457">
        <v>0</v>
      </c>
      <c r="M11457" t="s">
        <v>64</v>
      </c>
    </row>
    <row r="11458" spans="1:13" hidden="1" x14ac:dyDescent="0.15">
      <c r="A11458" t="s">
        <v>36165</v>
      </c>
      <c r="B11458" t="s">
        <v>10882</v>
      </c>
      <c r="C11458" t="s">
        <v>36166</v>
      </c>
      <c r="D11458" t="s">
        <v>36164</v>
      </c>
      <c r="E11458">
        <v>4</v>
      </c>
      <c r="F11458" t="str">
        <f>HYPERLINK("https://github.com/PojavLauncherTeam/PojavLauncher/issues/3458", "show")</f>
        <v>show</v>
      </c>
      <c r="G11458" t="str">
        <f>HYPERLINK("https://github.com/PojavLauncherTeam/PojavLauncher", "show")</f>
        <v>show</v>
      </c>
      <c r="H11458" t="str">
        <f>HYPERLINK("https://github.com/PojavLauncherTeam/PojavLauncher/releases", "show")</f>
        <v>show</v>
      </c>
      <c r="I11458">
        <v>1</v>
      </c>
      <c r="J11458">
        <v>1</v>
      </c>
      <c r="K11458">
        <v>0</v>
      </c>
      <c r="L11458">
        <v>0</v>
      </c>
      <c r="M11458" t="s">
        <v>48</v>
      </c>
    </row>
    <row r="11459" spans="1:13" hidden="1" x14ac:dyDescent="0.15">
      <c r="A11459" t="s">
        <v>36167</v>
      </c>
      <c r="B11459" t="s">
        <v>36168</v>
      </c>
      <c r="C11459" t="s">
        <v>36169</v>
      </c>
      <c r="D11459" t="s">
        <v>36170</v>
      </c>
      <c r="E11459">
        <v>3</v>
      </c>
      <c r="F11459" t="str">
        <f>HYPERLINK("https://github.com/Anuken/Mindustry/issues/7238", "show")</f>
        <v>show</v>
      </c>
      <c r="G11459" t="str">
        <f>HYPERLINK("https://github.com/Anuken/Mindustry", "show")</f>
        <v>show</v>
      </c>
      <c r="H11459" t="str">
        <f>HYPERLINK("https://github.com/Anuken/Mindustry/releases", "show")</f>
        <v>show</v>
      </c>
      <c r="I11459">
        <v>1</v>
      </c>
      <c r="J11459">
        <v>0</v>
      </c>
      <c r="K11459">
        <v>0</v>
      </c>
      <c r="L11459">
        <v>0</v>
      </c>
      <c r="M11459" t="s">
        <v>17</v>
      </c>
    </row>
    <row r="11460" spans="1:13" x14ac:dyDescent="0.15">
      <c r="A11460" t="s">
        <v>36171</v>
      </c>
      <c r="B11460" t="s">
        <v>36172</v>
      </c>
      <c r="C11460" t="s">
        <v>36173</v>
      </c>
      <c r="D11460" t="s">
        <v>36174</v>
      </c>
      <c r="E11460">
        <v>5</v>
      </c>
      <c r="F11460" t="str">
        <f>HYPERLINK("https://github.com/jellyfin/jellyfin-androidtv/issues/1889", "show")</f>
        <v>show</v>
      </c>
      <c r="G11460" t="str">
        <f>HYPERLINK("https://github.com/jellyfin/jellyfin-androidtv", "show")</f>
        <v>show</v>
      </c>
      <c r="H11460" t="str">
        <f>HYPERLINK("https://github.com/jellyfin/jellyfin-androidtv/releases", "show")</f>
        <v>show</v>
      </c>
      <c r="I11460">
        <v>0</v>
      </c>
      <c r="J11460">
        <v>1</v>
      </c>
      <c r="K11460">
        <v>0</v>
      </c>
      <c r="L11460">
        <v>0</v>
      </c>
      <c r="M11460" t="s">
        <v>139</v>
      </c>
    </row>
    <row r="11461" spans="1:13" hidden="1" x14ac:dyDescent="0.15">
      <c r="A11461" t="s">
        <v>36175</v>
      </c>
      <c r="B11461" t="s">
        <v>36176</v>
      </c>
      <c r="C11461" t="s">
        <v>36177</v>
      </c>
      <c r="D11461" t="s">
        <v>36174</v>
      </c>
      <c r="E11461">
        <v>0</v>
      </c>
      <c r="F11461" t="str">
        <f>HYPERLINK("https://github.com/LSPosed/LSPosed/issues/2049", "show")</f>
        <v>show</v>
      </c>
      <c r="G11461" t="str">
        <f>HYPERLINK("https://github.com/LSPosed/LSPosed", "show")</f>
        <v>show</v>
      </c>
      <c r="H11461" t="str">
        <f>HYPERLINK("https://github.com/LSPosed/LSPosed/releases", "show")</f>
        <v>show</v>
      </c>
      <c r="I11461">
        <v>1</v>
      </c>
      <c r="J11461">
        <v>1</v>
      </c>
      <c r="K11461">
        <v>0</v>
      </c>
      <c r="L11461">
        <v>0</v>
      </c>
      <c r="M11461" t="s">
        <v>48</v>
      </c>
    </row>
    <row r="11462" spans="1:13" hidden="1" x14ac:dyDescent="0.15">
      <c r="A11462" t="s">
        <v>36178</v>
      </c>
      <c r="B11462" t="s">
        <v>36179</v>
      </c>
      <c r="C11462" t="s">
        <v>36180</v>
      </c>
      <c r="D11462" t="s">
        <v>36174</v>
      </c>
      <c r="E11462">
        <v>4</v>
      </c>
      <c r="F11462" t="str">
        <f>HYPERLINK("https://github.com/Anuken/Mindustry/issues/7234", "show")</f>
        <v>show</v>
      </c>
      <c r="G11462" t="str">
        <f>HYPERLINK("https://github.com/Anuken/Mindustry", "show")</f>
        <v>show</v>
      </c>
      <c r="H11462" t="str">
        <f>HYPERLINK("https://github.com/Anuken/Mindustry/releases", "show")</f>
        <v>show</v>
      </c>
      <c r="I11462">
        <v>1</v>
      </c>
      <c r="J11462">
        <v>1</v>
      </c>
      <c r="K11462">
        <v>0</v>
      </c>
      <c r="L11462">
        <v>0</v>
      </c>
      <c r="M11462" t="s">
        <v>48</v>
      </c>
    </row>
    <row r="11463" spans="1:13" hidden="1" x14ac:dyDescent="0.15">
      <c r="A11463" t="s">
        <v>36181</v>
      </c>
      <c r="B11463" t="s">
        <v>36182</v>
      </c>
      <c r="C11463" t="s">
        <v>36183</v>
      </c>
      <c r="D11463" t="s">
        <v>36174</v>
      </c>
      <c r="E11463">
        <v>4</v>
      </c>
      <c r="F11463" t="str">
        <f>HYPERLINK("https://github.com/Anuken/Mindustry/issues/7233", "show")</f>
        <v>show</v>
      </c>
      <c r="G11463" t="str">
        <f>HYPERLINK("https://github.com/Anuken/Mindustry", "show")</f>
        <v>show</v>
      </c>
      <c r="H11463" t="str">
        <f>HYPERLINK("https://github.com/Anuken/Mindustry/releases", "show")</f>
        <v>show</v>
      </c>
      <c r="I11463">
        <v>0</v>
      </c>
      <c r="J11463">
        <v>0</v>
      </c>
      <c r="K11463">
        <v>0</v>
      </c>
      <c r="L11463">
        <v>0</v>
      </c>
      <c r="M11463" t="s">
        <v>43</v>
      </c>
    </row>
    <row r="11464" spans="1:13" hidden="1" x14ac:dyDescent="0.15">
      <c r="A11464" t="s">
        <v>36184</v>
      </c>
      <c r="B11464" t="s">
        <v>36185</v>
      </c>
      <c r="C11464" t="s">
        <v>36186</v>
      </c>
      <c r="D11464" t="s">
        <v>36187</v>
      </c>
      <c r="E11464">
        <v>21</v>
      </c>
      <c r="F11464" t="str">
        <f>HYPERLINK("https://github.com/anirudhmalik/xhunter/issues/41", "show")</f>
        <v>show</v>
      </c>
      <c r="G11464" t="str">
        <f>HYPERLINK("https://github.com/anirudhmalik/xhunter", "show")</f>
        <v>show</v>
      </c>
      <c r="H11464" t="str">
        <f>HYPERLINK("https://github.com/anirudhmalik/xhunter/releases", "show")</f>
        <v>show</v>
      </c>
      <c r="I11464">
        <v>1</v>
      </c>
      <c r="J11464">
        <v>0</v>
      </c>
      <c r="K11464">
        <v>1</v>
      </c>
      <c r="L11464">
        <v>0</v>
      </c>
      <c r="M11464" t="s">
        <v>64</v>
      </c>
    </row>
    <row r="11465" spans="1:13" hidden="1" x14ac:dyDescent="0.15">
      <c r="A11465" t="s">
        <v>36188</v>
      </c>
      <c r="B11465" t="s">
        <v>36189</v>
      </c>
      <c r="C11465" t="s">
        <v>36190</v>
      </c>
      <c r="D11465" t="s">
        <v>36187</v>
      </c>
      <c r="E11465">
        <v>41</v>
      </c>
      <c r="F11465" t="str">
        <f>HYPERLINK("https://github.com/PojavLauncherTeam/PojavLauncher/issues/3453", "show")</f>
        <v>show</v>
      </c>
      <c r="G11465" t="str">
        <f>HYPERLINK("https://github.com/PojavLauncherTeam/PojavLauncher", "show")</f>
        <v>show</v>
      </c>
      <c r="H11465" t="str">
        <f>HYPERLINK("https://github.com/PojavLauncherTeam/PojavLauncher/releases", "show")</f>
        <v>show</v>
      </c>
      <c r="I11465">
        <v>0</v>
      </c>
      <c r="J11465">
        <v>0</v>
      </c>
      <c r="K11465">
        <v>0</v>
      </c>
      <c r="L11465">
        <v>1</v>
      </c>
      <c r="M11465" t="s">
        <v>581</v>
      </c>
    </row>
    <row r="11466" spans="1:13" hidden="1" x14ac:dyDescent="0.15">
      <c r="A11466" t="s">
        <v>36191</v>
      </c>
      <c r="B11466" t="s">
        <v>36192</v>
      </c>
      <c r="C11466" t="s">
        <v>36193</v>
      </c>
      <c r="D11466" t="s">
        <v>36187</v>
      </c>
      <c r="E11466">
        <v>420</v>
      </c>
      <c r="F11466" t="str">
        <f>HYPERLINK("https://github.com/vladiH/flutter_vision/issues/5", "show")</f>
        <v>show</v>
      </c>
      <c r="G11466" t="str">
        <f>HYPERLINK("https://github.com/vladiH/flutter_vision", "show")</f>
        <v>show</v>
      </c>
      <c r="H11466" t="str">
        <f>HYPERLINK("https://github.com/vladiH/flutter_vision/releases", "show")</f>
        <v>show</v>
      </c>
      <c r="I11466">
        <v>0</v>
      </c>
      <c r="J11466">
        <v>0</v>
      </c>
      <c r="K11466">
        <v>0</v>
      </c>
      <c r="L11466">
        <v>1</v>
      </c>
      <c r="M11466" t="s">
        <v>581</v>
      </c>
    </row>
    <row r="11467" spans="1:13" hidden="1" x14ac:dyDescent="0.15">
      <c r="A11467" t="s">
        <v>36194</v>
      </c>
      <c r="B11467" t="s">
        <v>36195</v>
      </c>
      <c r="C11467" t="s">
        <v>36196</v>
      </c>
      <c r="D11467" t="s">
        <v>36187</v>
      </c>
      <c r="E11467">
        <v>136</v>
      </c>
      <c r="F11467" t="str">
        <f>HYPERLINK("https://github.com/jellyfin/jellyfin-androidtv/issues/1883", "show")</f>
        <v>show</v>
      </c>
      <c r="G11467" t="str">
        <f>HYPERLINK("https://github.com/jellyfin/jellyfin-androidtv", "show")</f>
        <v>show</v>
      </c>
      <c r="H11467" t="str">
        <f>HYPERLINK("https://github.com/jellyfin/jellyfin-androidtv/releases", "show")</f>
        <v>show</v>
      </c>
      <c r="I11467">
        <v>1</v>
      </c>
      <c r="J11467">
        <v>1</v>
      </c>
      <c r="K11467">
        <v>0</v>
      </c>
      <c r="L11467">
        <v>0</v>
      </c>
      <c r="M11467" t="s">
        <v>48</v>
      </c>
    </row>
    <row r="11468" spans="1:13" hidden="1" x14ac:dyDescent="0.15">
      <c r="A11468" t="s">
        <v>36197</v>
      </c>
      <c r="B11468" t="s">
        <v>36198</v>
      </c>
      <c r="C11468" t="s">
        <v>36199</v>
      </c>
      <c r="D11468" t="s">
        <v>36187</v>
      </c>
      <c r="E11468">
        <v>0</v>
      </c>
      <c r="F11468" t="str">
        <f>HYPERLINK("https://github.com/Anuken/Mindustry/issues/7228", "show")</f>
        <v>show</v>
      </c>
      <c r="G11468" t="str">
        <f>HYPERLINK("https://github.com/Anuken/Mindustry", "show")</f>
        <v>show</v>
      </c>
      <c r="H11468" t="str">
        <f>HYPERLINK("https://github.com/Anuken/Mindustry/releases", "show")</f>
        <v>show</v>
      </c>
      <c r="I11468">
        <v>1</v>
      </c>
      <c r="J11468">
        <v>0</v>
      </c>
      <c r="K11468">
        <v>0</v>
      </c>
      <c r="L11468">
        <v>0</v>
      </c>
      <c r="M11468" t="s">
        <v>17</v>
      </c>
    </row>
    <row r="11469" spans="1:13" hidden="1" x14ac:dyDescent="0.15">
      <c r="A11469" t="s">
        <v>36200</v>
      </c>
      <c r="B11469" t="s">
        <v>36201</v>
      </c>
      <c r="C11469" t="s">
        <v>36202</v>
      </c>
      <c r="D11469" t="s">
        <v>36187</v>
      </c>
      <c r="E11469">
        <v>17</v>
      </c>
      <c r="F11469" t="str">
        <f>HYPERLINK("https://github.com/LawnchairLauncher/lawnchair/issues/2788", "show")</f>
        <v>show</v>
      </c>
      <c r="G11469" t="str">
        <f>HYPERLINK("https://github.com/LawnchairLauncher/lawnchair", "show")</f>
        <v>show</v>
      </c>
      <c r="H11469" t="str">
        <f>HYPERLINK("https://github.com/LawnchairLauncher/lawnchair/releases", "show")</f>
        <v>show</v>
      </c>
      <c r="I11469">
        <v>1</v>
      </c>
      <c r="J11469">
        <v>1</v>
      </c>
      <c r="K11469">
        <v>1</v>
      </c>
      <c r="L11469">
        <v>0</v>
      </c>
      <c r="M11469" t="s">
        <v>59</v>
      </c>
    </row>
    <row r="11470" spans="1:13" hidden="1" x14ac:dyDescent="0.15">
      <c r="A11470" t="s">
        <v>36203</v>
      </c>
      <c r="B11470" t="s">
        <v>36204</v>
      </c>
      <c r="C11470" t="s">
        <v>10930</v>
      </c>
      <c r="D11470" t="s">
        <v>36187</v>
      </c>
      <c r="E11470">
        <v>26</v>
      </c>
      <c r="F11470" t="str">
        <f>HYPERLINK("https://github.com/AndroidIDEOfficial/AndroidIDE/issues/328", "show")</f>
        <v>show</v>
      </c>
      <c r="G11470" t="str">
        <f>HYPERLINK("https://github.com/AndroidIDEOfficial/AndroidIDE", "show")</f>
        <v>show</v>
      </c>
      <c r="H11470" t="str">
        <f>HYPERLINK("https://github.com/AndroidIDEOfficial/AndroidIDE/releases", "show")</f>
        <v>show</v>
      </c>
      <c r="I11470">
        <v>0</v>
      </c>
      <c r="J11470">
        <v>0</v>
      </c>
      <c r="K11470">
        <v>1</v>
      </c>
      <c r="L11470">
        <v>0</v>
      </c>
      <c r="M11470" t="s">
        <v>122</v>
      </c>
    </row>
    <row r="11471" spans="1:13" hidden="1" x14ac:dyDescent="0.15">
      <c r="A11471" t="s">
        <v>36205</v>
      </c>
      <c r="B11471" t="s">
        <v>36206</v>
      </c>
      <c r="C11471" t="s">
        <v>36207</v>
      </c>
      <c r="D11471" t="s">
        <v>36187</v>
      </c>
      <c r="E11471">
        <v>0</v>
      </c>
      <c r="F11471" t="str">
        <f>HYPERLINK("https://github.com/MuntashirAkon/AppManager/issues/811", "show")</f>
        <v>show</v>
      </c>
      <c r="G11471" t="str">
        <f>HYPERLINK("https://github.com/MuntashirAkon/AppManager", "show")</f>
        <v>show</v>
      </c>
      <c r="H11471" t="str">
        <f>HYPERLINK("https://github.com/MuntashirAkon/AppManager/releases", "show")</f>
        <v>show</v>
      </c>
      <c r="I11471">
        <v>1</v>
      </c>
      <c r="J11471">
        <v>1</v>
      </c>
      <c r="K11471">
        <v>1</v>
      </c>
      <c r="L11471">
        <v>0</v>
      </c>
      <c r="M11471" t="s">
        <v>59</v>
      </c>
    </row>
    <row r="11472" spans="1:13" hidden="1" x14ac:dyDescent="0.15">
      <c r="A11472" t="s">
        <v>36208</v>
      </c>
      <c r="B11472" t="s">
        <v>36209</v>
      </c>
      <c r="C11472" t="s">
        <v>36210</v>
      </c>
      <c r="D11472" t="s">
        <v>36211</v>
      </c>
      <c r="E11472">
        <v>0</v>
      </c>
      <c r="F11472" t="str">
        <f>HYPERLINK("https://github.com/Anuken/Mindustry/issues/7224", "show")</f>
        <v>show</v>
      </c>
      <c r="G11472" t="str">
        <f>HYPERLINK("https://github.com/Anuken/Mindustry", "show")</f>
        <v>show</v>
      </c>
      <c r="H11472" t="str">
        <f>HYPERLINK("https://github.com/Anuken/Mindustry/releases", "show")</f>
        <v>show</v>
      </c>
      <c r="I11472">
        <v>0</v>
      </c>
      <c r="J11472">
        <v>0</v>
      </c>
      <c r="K11472">
        <v>0</v>
      </c>
      <c r="L11472">
        <v>0</v>
      </c>
      <c r="M11472" t="s">
        <v>43</v>
      </c>
    </row>
    <row r="11473" spans="1:13" hidden="1" x14ac:dyDescent="0.15">
      <c r="A11473" t="s">
        <v>36212</v>
      </c>
      <c r="B11473" t="s">
        <v>36213</v>
      </c>
      <c r="C11473" t="s">
        <v>36214</v>
      </c>
      <c r="D11473" t="s">
        <v>36211</v>
      </c>
      <c r="E11473">
        <v>0</v>
      </c>
      <c r="F11473" t="str">
        <f>HYPERLINK("https://github.com/LSPosed/LSPosed/issues/2043", "show")</f>
        <v>show</v>
      </c>
      <c r="G11473" t="str">
        <f>HYPERLINK("https://github.com/LSPosed/LSPosed", "show")</f>
        <v>show</v>
      </c>
      <c r="H11473" t="str">
        <f>HYPERLINK("https://github.com/LSPosed/LSPosed/releases", "show")</f>
        <v>show</v>
      </c>
      <c r="I11473">
        <v>0</v>
      </c>
      <c r="J11473">
        <v>0</v>
      </c>
      <c r="K11473">
        <v>0</v>
      </c>
      <c r="L11473">
        <v>0</v>
      </c>
      <c r="M11473" t="s">
        <v>43</v>
      </c>
    </row>
    <row r="11474" spans="1:13" hidden="1" x14ac:dyDescent="0.15">
      <c r="A11474" t="s">
        <v>36215</v>
      </c>
      <c r="B11474" t="s">
        <v>36216</v>
      </c>
      <c r="C11474" t="s">
        <v>36217</v>
      </c>
      <c r="D11474" t="s">
        <v>36218</v>
      </c>
      <c r="E11474">
        <v>1</v>
      </c>
      <c r="F11474" t="str">
        <f>HYPERLINK("https://github.com/Anuken/Mindustry/issues/7219", "show")</f>
        <v>show</v>
      </c>
      <c r="G11474" t="str">
        <f>HYPERLINK("https://github.com/Anuken/Mindustry", "show")</f>
        <v>show</v>
      </c>
      <c r="H11474" t="str">
        <f>HYPERLINK("https://github.com/Anuken/Mindustry/releases", "show")</f>
        <v>show</v>
      </c>
      <c r="I11474">
        <v>0</v>
      </c>
      <c r="J11474">
        <v>0</v>
      </c>
      <c r="K11474">
        <v>0</v>
      </c>
      <c r="L11474">
        <v>0</v>
      </c>
      <c r="M11474" t="s">
        <v>43</v>
      </c>
    </row>
    <row r="11475" spans="1:13" hidden="1" x14ac:dyDescent="0.15">
      <c r="A11475" t="s">
        <v>36219</v>
      </c>
      <c r="B11475" t="s">
        <v>18020</v>
      </c>
      <c r="C11475" t="s">
        <v>36220</v>
      </c>
      <c r="D11475" t="s">
        <v>36218</v>
      </c>
      <c r="E11475">
        <v>0</v>
      </c>
      <c r="F11475" t="str">
        <f>HYPERLINK("https://github.com/Anuken/Mindustry/issues/7216", "show")</f>
        <v>show</v>
      </c>
      <c r="G11475" t="str">
        <f>HYPERLINK("https://github.com/Anuken/Mindustry", "show")</f>
        <v>show</v>
      </c>
      <c r="H11475" t="str">
        <f>HYPERLINK("https://github.com/Anuken/Mindustry/releases", "show")</f>
        <v>show</v>
      </c>
      <c r="I11475">
        <v>1</v>
      </c>
      <c r="J11475">
        <v>1</v>
      </c>
      <c r="K11475">
        <v>0</v>
      </c>
      <c r="L11475">
        <v>0</v>
      </c>
      <c r="M11475" t="s">
        <v>48</v>
      </c>
    </row>
    <row r="11476" spans="1:13" hidden="1" x14ac:dyDescent="0.15">
      <c r="A11476" t="s">
        <v>36221</v>
      </c>
      <c r="B11476" t="s">
        <v>18020</v>
      </c>
      <c r="C11476" t="s">
        <v>11701</v>
      </c>
      <c r="D11476" t="s">
        <v>36218</v>
      </c>
      <c r="E11476">
        <v>0</v>
      </c>
      <c r="F11476" t="str">
        <f>HYPERLINK("https://github.com/Anuken/Mindustry/issues/7215", "show")</f>
        <v>show</v>
      </c>
      <c r="G11476" t="str">
        <f>HYPERLINK("https://github.com/Anuken/Mindustry", "show")</f>
        <v>show</v>
      </c>
      <c r="H11476" t="str">
        <f>HYPERLINK("https://github.com/Anuken/Mindustry/releases", "show")</f>
        <v>show</v>
      </c>
      <c r="I11476">
        <v>1</v>
      </c>
      <c r="J11476">
        <v>1</v>
      </c>
      <c r="K11476">
        <v>0</v>
      </c>
      <c r="L11476">
        <v>0</v>
      </c>
      <c r="M11476" t="s">
        <v>48</v>
      </c>
    </row>
    <row r="11477" spans="1:13" x14ac:dyDescent="0.15">
      <c r="A11477" t="s">
        <v>36222</v>
      </c>
      <c r="B11477" t="s">
        <v>36223</v>
      </c>
      <c r="C11477" t="s">
        <v>36224</v>
      </c>
      <c r="D11477" t="s">
        <v>36218</v>
      </c>
      <c r="E11477">
        <v>22</v>
      </c>
      <c r="F11477" t="str">
        <f>HYPERLINK("https://github.com/GoogleCloudPlatform/fda-mystudies/issues/4731", "show")</f>
        <v>show</v>
      </c>
      <c r="G11477" t="str">
        <f>HYPERLINK("https://github.com/GoogleCloudPlatform/fda-mystudies", "show")</f>
        <v>show</v>
      </c>
      <c r="H11477" t="str">
        <f>HYPERLINK("https://github.com/GoogleCloudPlatform/fda-mystudies/releases", "show")</f>
        <v>show</v>
      </c>
      <c r="I11477">
        <v>0</v>
      </c>
      <c r="J11477">
        <v>1</v>
      </c>
      <c r="K11477">
        <v>0</v>
      </c>
      <c r="L11477">
        <v>0</v>
      </c>
      <c r="M11477" t="s">
        <v>139</v>
      </c>
    </row>
    <row r="11478" spans="1:13" hidden="1" x14ac:dyDescent="0.15">
      <c r="A11478" t="s">
        <v>36225</v>
      </c>
      <c r="B11478" t="s">
        <v>36226</v>
      </c>
      <c r="C11478" t="s">
        <v>36227</v>
      </c>
      <c r="D11478" t="s">
        <v>36218</v>
      </c>
      <c r="E11478">
        <v>0</v>
      </c>
      <c r="F11478" t="str">
        <f>HYPERLINK("https://github.com/Anuken/Mindustry/issues/7212", "show")</f>
        <v>show</v>
      </c>
      <c r="G11478" t="str">
        <f>HYPERLINK("https://github.com/Anuken/Mindustry", "show")</f>
        <v>show</v>
      </c>
      <c r="H11478" t="str">
        <f>HYPERLINK("https://github.com/Anuken/Mindustry/releases", "show")</f>
        <v>show</v>
      </c>
      <c r="I11478">
        <v>1</v>
      </c>
      <c r="J11478">
        <v>1</v>
      </c>
      <c r="K11478">
        <v>0</v>
      </c>
      <c r="L11478">
        <v>0</v>
      </c>
      <c r="M11478" t="s">
        <v>48</v>
      </c>
    </row>
    <row r="11479" spans="1:13" hidden="1" x14ac:dyDescent="0.15">
      <c r="A11479" t="s">
        <v>36228</v>
      </c>
      <c r="B11479" t="s">
        <v>36229</v>
      </c>
      <c r="C11479" t="s">
        <v>36230</v>
      </c>
      <c r="D11479" t="s">
        <v>36218</v>
      </c>
      <c r="E11479">
        <v>1</v>
      </c>
      <c r="F11479" t="str">
        <f>HYPERLINK("https://github.com/material-components/material-components-android/issues/2845", "show")</f>
        <v>show</v>
      </c>
      <c r="G11479" t="str">
        <f>HYPERLINK("https://github.com/material-components/material-components-android", "show")</f>
        <v>show</v>
      </c>
      <c r="H11479" t="str">
        <f>HYPERLINK("https://github.com/material-components/material-components-android/releases", "show")</f>
        <v>show</v>
      </c>
      <c r="I11479">
        <v>1</v>
      </c>
      <c r="J11479">
        <v>1</v>
      </c>
      <c r="K11479">
        <v>1</v>
      </c>
      <c r="L11479">
        <v>0</v>
      </c>
      <c r="M11479" t="s">
        <v>59</v>
      </c>
    </row>
    <row r="11480" spans="1:13" hidden="1" x14ac:dyDescent="0.15">
      <c r="A11480" t="s">
        <v>36231</v>
      </c>
      <c r="B11480" t="s">
        <v>36232</v>
      </c>
      <c r="C11480" t="s">
        <v>36233</v>
      </c>
      <c r="D11480" t="s">
        <v>36218</v>
      </c>
      <c r="E11480">
        <v>43</v>
      </c>
      <c r="F11480" t="str">
        <f>HYPERLINK("https://github.com/PojavLauncherTeam/PojavLauncher/issues/3447", "show")</f>
        <v>show</v>
      </c>
      <c r="G11480" t="str">
        <f>HYPERLINK("https://github.com/PojavLauncherTeam/PojavLauncher", "show")</f>
        <v>show</v>
      </c>
      <c r="H11480" t="str">
        <f>HYPERLINK("https://github.com/PojavLauncherTeam/PojavLauncher/releases", "show")</f>
        <v>show</v>
      </c>
      <c r="I11480">
        <v>0</v>
      </c>
      <c r="J11480">
        <v>0</v>
      </c>
      <c r="K11480">
        <v>1</v>
      </c>
      <c r="L11480">
        <v>0</v>
      </c>
      <c r="M11480" t="s">
        <v>122</v>
      </c>
    </row>
    <row r="11481" spans="1:13" hidden="1" x14ac:dyDescent="0.15">
      <c r="A11481" t="s">
        <v>36234</v>
      </c>
      <c r="B11481" t="s">
        <v>36235</v>
      </c>
      <c r="C11481" t="s">
        <v>36236</v>
      </c>
      <c r="D11481" t="s">
        <v>36237</v>
      </c>
      <c r="E11481">
        <v>2</v>
      </c>
      <c r="F11481" t="str">
        <f>HYPERLINK("https://github.com/jellyfin/jellyfin-androidtv/issues/1873", "show")</f>
        <v>show</v>
      </c>
      <c r="G11481" t="str">
        <f>HYPERLINK("https://github.com/jellyfin/jellyfin-androidtv", "show")</f>
        <v>show</v>
      </c>
      <c r="H11481" t="str">
        <f>HYPERLINK("https://github.com/jellyfin/jellyfin-androidtv/releases", "show")</f>
        <v>show</v>
      </c>
      <c r="I11481">
        <v>1</v>
      </c>
      <c r="J11481">
        <v>0</v>
      </c>
      <c r="K11481">
        <v>1</v>
      </c>
      <c r="L11481">
        <v>0</v>
      </c>
      <c r="M11481" t="s">
        <v>64</v>
      </c>
    </row>
    <row r="11482" spans="1:13" hidden="1" x14ac:dyDescent="0.15">
      <c r="A11482" t="s">
        <v>36238</v>
      </c>
      <c r="B11482" t="s">
        <v>36239</v>
      </c>
      <c r="C11482" t="s">
        <v>36240</v>
      </c>
      <c r="D11482" t="s">
        <v>36237</v>
      </c>
      <c r="E11482">
        <v>32</v>
      </c>
      <c r="F11482" t="str">
        <f>HYPERLINK("https://github.com/jellyfin/jellyfin-androidtv/issues/1872", "show")</f>
        <v>show</v>
      </c>
      <c r="G11482" t="str">
        <f>HYPERLINK("https://github.com/jellyfin/jellyfin-androidtv", "show")</f>
        <v>show</v>
      </c>
      <c r="H11482" t="str">
        <f>HYPERLINK("https://github.com/jellyfin/jellyfin-androidtv/releases", "show")</f>
        <v>show</v>
      </c>
      <c r="I11482">
        <v>1</v>
      </c>
      <c r="J11482">
        <v>0</v>
      </c>
      <c r="K11482">
        <v>0</v>
      </c>
      <c r="L11482">
        <v>0</v>
      </c>
      <c r="M11482" t="s">
        <v>17</v>
      </c>
    </row>
    <row r="11483" spans="1:13" hidden="1" x14ac:dyDescent="0.15">
      <c r="A11483" t="s">
        <v>36241</v>
      </c>
      <c r="B11483" t="s">
        <v>36242</v>
      </c>
      <c r="C11483" t="s">
        <v>36243</v>
      </c>
      <c r="D11483" t="s">
        <v>36237</v>
      </c>
      <c r="E11483">
        <v>91</v>
      </c>
      <c r="F11483" t="str">
        <f>HYPERLINK("https://github.com/LawnchairLauncher/lawnchair/issues/2783", "show")</f>
        <v>show</v>
      </c>
      <c r="G11483" t="str">
        <f>HYPERLINK("https://github.com/LawnchairLauncher/lawnchair", "show")</f>
        <v>show</v>
      </c>
      <c r="H11483" t="str">
        <f>HYPERLINK("https://github.com/LawnchairLauncher/lawnchair/releases", "show")</f>
        <v>show</v>
      </c>
      <c r="I11483">
        <v>1</v>
      </c>
      <c r="J11483">
        <v>1</v>
      </c>
      <c r="K11483">
        <v>1</v>
      </c>
      <c r="L11483">
        <v>0</v>
      </c>
      <c r="M11483" t="s">
        <v>59</v>
      </c>
    </row>
    <row r="11484" spans="1:13" hidden="1" x14ac:dyDescent="0.15">
      <c r="A11484" t="s">
        <v>36244</v>
      </c>
      <c r="B11484" t="s">
        <v>36245</v>
      </c>
      <c r="C11484" t="s">
        <v>36246</v>
      </c>
      <c r="D11484" t="s">
        <v>36237</v>
      </c>
      <c r="E11484">
        <v>48</v>
      </c>
      <c r="F11484" t="str">
        <f>HYPERLINK("https://github.com/google/ExoPlayer/issues/10458", "show")</f>
        <v>show</v>
      </c>
      <c r="G11484" t="str">
        <f>HYPERLINK("https://github.com/google/ExoPlayer", "show")</f>
        <v>show</v>
      </c>
      <c r="H11484" t="str">
        <f>HYPERLINK("https://github.com/google/ExoPlayer/releases", "show")</f>
        <v>show</v>
      </c>
      <c r="I11484">
        <v>1</v>
      </c>
      <c r="J11484">
        <v>1</v>
      </c>
      <c r="K11484">
        <v>1</v>
      </c>
      <c r="L11484">
        <v>0</v>
      </c>
      <c r="M11484" t="s">
        <v>59</v>
      </c>
    </row>
    <row r="11485" spans="1:13" x14ac:dyDescent="0.15">
      <c r="A11485" t="s">
        <v>36247</v>
      </c>
      <c r="B11485" t="s">
        <v>36248</v>
      </c>
      <c r="C11485" t="s">
        <v>36249</v>
      </c>
      <c r="D11485" t="s">
        <v>36237</v>
      </c>
      <c r="E11485">
        <v>84</v>
      </c>
      <c r="F11485" t="str">
        <f>HYPERLINK("https://github.com/GoogleCloudPlatform/fda-mystudies/issues/4721", "show")</f>
        <v>show</v>
      </c>
      <c r="G11485" t="str">
        <f>HYPERLINK("https://github.com/GoogleCloudPlatform/fda-mystudies", "show")</f>
        <v>show</v>
      </c>
      <c r="H11485" t="str">
        <f>HYPERLINK("https://github.com/GoogleCloudPlatform/fda-mystudies/releases", "show")</f>
        <v>show</v>
      </c>
      <c r="I11485">
        <v>0</v>
      </c>
      <c r="J11485">
        <v>1</v>
      </c>
      <c r="K11485">
        <v>0</v>
      </c>
      <c r="L11485">
        <v>0</v>
      </c>
      <c r="M11485" t="s">
        <v>139</v>
      </c>
    </row>
    <row r="11486" spans="1:13" hidden="1" x14ac:dyDescent="0.15">
      <c r="A11486" t="s">
        <v>36250</v>
      </c>
      <c r="B11486" t="s">
        <v>36251</v>
      </c>
      <c r="C11486" t="s">
        <v>36252</v>
      </c>
      <c r="D11486" t="s">
        <v>36237</v>
      </c>
      <c r="E11486">
        <v>0</v>
      </c>
      <c r="F11486" t="str">
        <f>HYPERLINK("https://github.com/Anuken/Mindustry/issues/7207", "show")</f>
        <v>show</v>
      </c>
      <c r="G11486" t="str">
        <f>HYPERLINK("https://github.com/Anuken/Mindustry", "show")</f>
        <v>show</v>
      </c>
      <c r="H11486" t="str">
        <f>HYPERLINK("https://github.com/Anuken/Mindustry/releases", "show")</f>
        <v>show</v>
      </c>
      <c r="I11486">
        <v>1</v>
      </c>
      <c r="J11486">
        <v>1</v>
      </c>
      <c r="K11486">
        <v>0</v>
      </c>
      <c r="L11486">
        <v>0</v>
      </c>
      <c r="M11486" t="s">
        <v>48</v>
      </c>
    </row>
    <row r="11487" spans="1:13" hidden="1" x14ac:dyDescent="0.15">
      <c r="A11487" t="s">
        <v>36253</v>
      </c>
      <c r="B11487" t="s">
        <v>36254</v>
      </c>
      <c r="C11487" t="s">
        <v>36255</v>
      </c>
      <c r="D11487" t="s">
        <v>36256</v>
      </c>
      <c r="E11487">
        <v>2</v>
      </c>
      <c r="F11487" t="str">
        <f>HYPERLINK("https://github.com/mI-PIV/app/issues/331", "show")</f>
        <v>show</v>
      </c>
      <c r="G11487" t="str">
        <f>HYPERLINK("https://github.com/mI-PIV/app", "show")</f>
        <v>show</v>
      </c>
      <c r="H11487" t="str">
        <f>HYPERLINK("https://github.com/mI-PIV/app/releases", "show")</f>
        <v>show</v>
      </c>
      <c r="I11487">
        <v>1</v>
      </c>
      <c r="J11487">
        <v>0</v>
      </c>
      <c r="K11487">
        <v>0</v>
      </c>
      <c r="L11487">
        <v>0</v>
      </c>
      <c r="M11487" t="s">
        <v>17</v>
      </c>
    </row>
    <row r="11488" spans="1:13" hidden="1" x14ac:dyDescent="0.15">
      <c r="A11488" t="s">
        <v>36257</v>
      </c>
      <c r="B11488" t="s">
        <v>36258</v>
      </c>
      <c r="C11488" t="s">
        <v>36259</v>
      </c>
      <c r="D11488" t="s">
        <v>36256</v>
      </c>
      <c r="E11488">
        <v>0</v>
      </c>
      <c r="F11488" t="str">
        <f>HYPERLINK("https://github.com/therealsujitk/android-vtop-chennai/issues/48", "show")</f>
        <v>show</v>
      </c>
      <c r="G11488" t="str">
        <f>HYPERLINK("https://github.com/therealsujitk/android-vtop-chennai", "show")</f>
        <v>show</v>
      </c>
      <c r="H11488" t="str">
        <f>HYPERLINK("https://github.com/therealsujitk/android-vtop-chennai/releases", "show")</f>
        <v>show</v>
      </c>
      <c r="I11488">
        <v>1</v>
      </c>
      <c r="J11488">
        <v>1</v>
      </c>
      <c r="K11488">
        <v>0</v>
      </c>
      <c r="L11488">
        <v>1</v>
      </c>
      <c r="M11488" t="s">
        <v>1894</v>
      </c>
    </row>
    <row r="11489" spans="1:13" hidden="1" x14ac:dyDescent="0.15">
      <c r="A11489" t="s">
        <v>36260</v>
      </c>
      <c r="B11489" t="s">
        <v>36261</v>
      </c>
      <c r="C11489" t="s">
        <v>36262</v>
      </c>
      <c r="D11489" t="s">
        <v>36256</v>
      </c>
      <c r="E11489">
        <v>0</v>
      </c>
      <c r="F11489" t="str">
        <f>HYPERLINK("https://github.com/facebook/react-native/issues/34221", "show")</f>
        <v>show</v>
      </c>
      <c r="G11489" t="str">
        <f>HYPERLINK("https://github.com/facebook/react-native", "show")</f>
        <v>show</v>
      </c>
      <c r="H11489" t="str">
        <f>HYPERLINK("https://github.com/facebook/react-native/releases", "show")</f>
        <v>show</v>
      </c>
      <c r="I11489">
        <v>1</v>
      </c>
      <c r="J11489">
        <v>1</v>
      </c>
      <c r="K11489">
        <v>0</v>
      </c>
      <c r="L11489">
        <v>0</v>
      </c>
      <c r="M11489" t="s">
        <v>48</v>
      </c>
    </row>
    <row r="11490" spans="1:13" hidden="1" x14ac:dyDescent="0.15">
      <c r="A11490" t="s">
        <v>36263</v>
      </c>
      <c r="B11490" t="s">
        <v>36264</v>
      </c>
      <c r="C11490" t="s">
        <v>36265</v>
      </c>
      <c r="D11490" t="s">
        <v>36256</v>
      </c>
      <c r="E11490">
        <v>0</v>
      </c>
      <c r="F11490" t="str">
        <f>HYPERLINK("https://github.com/Anuken/Mindustry/issues/7201", "show")</f>
        <v>show</v>
      </c>
      <c r="G11490" t="str">
        <f>HYPERLINK("https://github.com/Anuken/Mindustry", "show")</f>
        <v>show</v>
      </c>
      <c r="H11490" t="str">
        <f>HYPERLINK("https://github.com/Anuken/Mindustry/releases", "show")</f>
        <v>show</v>
      </c>
      <c r="I11490">
        <v>1</v>
      </c>
      <c r="J11490">
        <v>1</v>
      </c>
      <c r="K11490">
        <v>0</v>
      </c>
      <c r="L11490">
        <v>0</v>
      </c>
      <c r="M11490" t="s">
        <v>48</v>
      </c>
    </row>
    <row r="11491" spans="1:13" hidden="1" x14ac:dyDescent="0.15">
      <c r="A11491" t="s">
        <v>36266</v>
      </c>
      <c r="B11491" t="s">
        <v>36267</v>
      </c>
      <c r="C11491" t="s">
        <v>36268</v>
      </c>
      <c r="D11491" t="s">
        <v>36256</v>
      </c>
      <c r="E11491">
        <v>0</v>
      </c>
      <c r="F11491" t="str">
        <f>HYPERLINK("https://github.com/Anuken/Mindustry/issues/7199", "show")</f>
        <v>show</v>
      </c>
      <c r="G11491" t="str">
        <f>HYPERLINK("https://github.com/Anuken/Mindustry", "show")</f>
        <v>show</v>
      </c>
      <c r="H11491" t="str">
        <f>HYPERLINK("https://github.com/Anuken/Mindustry/releases", "show")</f>
        <v>show</v>
      </c>
      <c r="I11491">
        <v>1</v>
      </c>
      <c r="J11491">
        <v>1</v>
      </c>
      <c r="K11491">
        <v>0</v>
      </c>
      <c r="L11491">
        <v>0</v>
      </c>
      <c r="M11491" t="s">
        <v>48</v>
      </c>
    </row>
    <row r="11492" spans="1:13" hidden="1" x14ac:dyDescent="0.15">
      <c r="A11492" t="s">
        <v>36269</v>
      </c>
      <c r="B11492" t="s">
        <v>7086</v>
      </c>
      <c r="C11492" t="s">
        <v>36270</v>
      </c>
      <c r="D11492" t="s">
        <v>36256</v>
      </c>
      <c r="E11492">
        <v>2</v>
      </c>
      <c r="F11492" t="str">
        <f>HYPERLINK("https://github.com/norkator/apcupsd-monitor/issues/127", "show")</f>
        <v>show</v>
      </c>
      <c r="G11492" t="str">
        <f>HYPERLINK("https://github.com/norkator/apcupsd-monitor", "show")</f>
        <v>show</v>
      </c>
      <c r="H11492" t="str">
        <f>HYPERLINK("https://github.com/norkator/apcupsd-monitor/releases", "show")</f>
        <v>show</v>
      </c>
      <c r="I11492">
        <v>1</v>
      </c>
      <c r="J11492">
        <v>0</v>
      </c>
      <c r="K11492">
        <v>0</v>
      </c>
      <c r="L11492">
        <v>0</v>
      </c>
      <c r="M11492" t="s">
        <v>17</v>
      </c>
    </row>
    <row r="11493" spans="1:13" x14ac:dyDescent="0.15">
      <c r="A11493" t="s">
        <v>36271</v>
      </c>
      <c r="B11493" t="s">
        <v>36248</v>
      </c>
      <c r="C11493" t="s">
        <v>36272</v>
      </c>
      <c r="D11493" t="s">
        <v>36256</v>
      </c>
      <c r="E11493">
        <v>85</v>
      </c>
      <c r="F11493" t="str">
        <f>HYPERLINK("https://github.com/GoogleCloudPlatform/fda-mystudies/issues/4715", "show")</f>
        <v>show</v>
      </c>
      <c r="G11493" t="str">
        <f>HYPERLINK("https://github.com/GoogleCloudPlatform/fda-mystudies", "show")</f>
        <v>show</v>
      </c>
      <c r="H11493" t="str">
        <f>HYPERLINK("https://github.com/GoogleCloudPlatform/fda-mystudies/releases", "show")</f>
        <v>show</v>
      </c>
      <c r="I11493">
        <v>0</v>
      </c>
      <c r="J11493">
        <v>1</v>
      </c>
      <c r="K11493">
        <v>0</v>
      </c>
      <c r="L11493">
        <v>0</v>
      </c>
      <c r="M11493" t="s">
        <v>139</v>
      </c>
    </row>
    <row r="11494" spans="1:13" hidden="1" x14ac:dyDescent="0.15">
      <c r="A11494" t="s">
        <v>36273</v>
      </c>
      <c r="B11494" t="s">
        <v>36274</v>
      </c>
      <c r="C11494" t="s">
        <v>36275</v>
      </c>
      <c r="D11494" t="s">
        <v>36256</v>
      </c>
      <c r="E11494">
        <v>0</v>
      </c>
      <c r="F11494" t="str">
        <f>HYPERLINK("https://github.com/Anuken/Mindustry/issues/7196", "show")</f>
        <v>show</v>
      </c>
      <c r="G11494" t="str">
        <f>HYPERLINK("https://github.com/Anuken/Mindustry", "show")</f>
        <v>show</v>
      </c>
      <c r="H11494" t="str">
        <f>HYPERLINK("https://github.com/Anuken/Mindustry/releases", "show")</f>
        <v>show</v>
      </c>
      <c r="I11494">
        <v>1</v>
      </c>
      <c r="J11494">
        <v>1</v>
      </c>
      <c r="K11494">
        <v>0</v>
      </c>
      <c r="L11494">
        <v>0</v>
      </c>
      <c r="M11494" t="s">
        <v>48</v>
      </c>
    </row>
    <row r="11495" spans="1:13" hidden="1" x14ac:dyDescent="0.15">
      <c r="A11495" t="s">
        <v>36276</v>
      </c>
      <c r="B11495" t="s">
        <v>36277</v>
      </c>
      <c r="C11495" t="s">
        <v>36278</v>
      </c>
      <c r="D11495" t="s">
        <v>36256</v>
      </c>
      <c r="E11495">
        <v>0</v>
      </c>
      <c r="F11495" t="str">
        <f>HYPERLINK("https://github.com/Anuken/Mindustry/issues/7195", "show")</f>
        <v>show</v>
      </c>
      <c r="G11495" t="str">
        <f>HYPERLINK("https://github.com/Anuken/Mindustry", "show")</f>
        <v>show</v>
      </c>
      <c r="H11495" t="str">
        <f>HYPERLINK("https://github.com/Anuken/Mindustry/releases", "show")</f>
        <v>show</v>
      </c>
      <c r="I11495">
        <v>1</v>
      </c>
      <c r="J11495">
        <v>1</v>
      </c>
      <c r="K11495">
        <v>0</v>
      </c>
      <c r="L11495">
        <v>0</v>
      </c>
      <c r="M11495" t="s">
        <v>48</v>
      </c>
    </row>
    <row r="11496" spans="1:13" hidden="1" x14ac:dyDescent="0.15">
      <c r="A11496" t="s">
        <v>36279</v>
      </c>
      <c r="B11496" t="s">
        <v>36280</v>
      </c>
      <c r="C11496" t="s">
        <v>36281</v>
      </c>
      <c r="D11496" t="s">
        <v>36256</v>
      </c>
      <c r="E11496">
        <v>0</v>
      </c>
      <c r="F11496" t="str">
        <f>HYPERLINK("https://github.com/therealsujitk/android-vtop-chennai/issues/47", "show")</f>
        <v>show</v>
      </c>
      <c r="G11496" t="str">
        <f>HYPERLINK("https://github.com/therealsujitk/android-vtop-chennai", "show")</f>
        <v>show</v>
      </c>
      <c r="H11496" t="str">
        <f>HYPERLINK("https://github.com/therealsujitk/android-vtop-chennai/releases", "show")</f>
        <v>show</v>
      </c>
      <c r="I11496">
        <v>1</v>
      </c>
      <c r="J11496">
        <v>1</v>
      </c>
      <c r="K11496">
        <v>0</v>
      </c>
      <c r="L11496">
        <v>0</v>
      </c>
      <c r="M11496" t="s">
        <v>48</v>
      </c>
    </row>
    <row r="11497" spans="1:13" hidden="1" x14ac:dyDescent="0.15">
      <c r="A11497" t="s">
        <v>36282</v>
      </c>
      <c r="B11497" t="s">
        <v>36283</v>
      </c>
      <c r="C11497" t="s">
        <v>36284</v>
      </c>
      <c r="D11497" t="s">
        <v>36285</v>
      </c>
      <c r="E11497">
        <v>5</v>
      </c>
      <c r="F11497" t="str">
        <f>HYPERLINK("https://github.com/AndroidIDEOfficial/AndroidIDE/issues/323", "show")</f>
        <v>show</v>
      </c>
      <c r="G11497" t="str">
        <f>HYPERLINK("https://github.com/AndroidIDEOfficial/AndroidIDE", "show")</f>
        <v>show</v>
      </c>
      <c r="H11497" t="str">
        <f>HYPERLINK("https://github.com/AndroidIDEOfficial/AndroidIDE/releases", "show")</f>
        <v>show</v>
      </c>
      <c r="I11497">
        <v>0</v>
      </c>
      <c r="J11497">
        <v>0</v>
      </c>
      <c r="K11497">
        <v>1</v>
      </c>
      <c r="L11497">
        <v>0</v>
      </c>
      <c r="M11497" t="s">
        <v>122</v>
      </c>
    </row>
    <row r="11498" spans="1:13" hidden="1" x14ac:dyDescent="0.15">
      <c r="A11498" t="s">
        <v>36286</v>
      </c>
      <c r="B11498" t="s">
        <v>36287</v>
      </c>
      <c r="C11498" t="s">
        <v>36288</v>
      </c>
      <c r="D11498" t="s">
        <v>36285</v>
      </c>
      <c r="E11498">
        <v>15</v>
      </c>
      <c r="F11498" t="str">
        <f>HYPERLINK("https://github.com/PojavLauncherTeam/PojavLauncher/issues/3443", "show")</f>
        <v>show</v>
      </c>
      <c r="G11498" t="str">
        <f>HYPERLINK("https://github.com/PojavLauncherTeam/PojavLauncher", "show")</f>
        <v>show</v>
      </c>
      <c r="H11498" t="str">
        <f>HYPERLINK("https://github.com/PojavLauncherTeam/PojavLauncher/releases", "show")</f>
        <v>show</v>
      </c>
      <c r="I11498">
        <v>1</v>
      </c>
      <c r="J11498">
        <v>1</v>
      </c>
      <c r="K11498">
        <v>0</v>
      </c>
      <c r="L11498">
        <v>0</v>
      </c>
      <c r="M11498" t="s">
        <v>48</v>
      </c>
    </row>
    <row r="11499" spans="1:13" hidden="1" x14ac:dyDescent="0.15">
      <c r="A11499" t="s">
        <v>36289</v>
      </c>
      <c r="B11499" t="s">
        <v>36290</v>
      </c>
      <c r="C11499" t="s">
        <v>36291</v>
      </c>
      <c r="D11499" t="s">
        <v>36285</v>
      </c>
      <c r="E11499">
        <v>22</v>
      </c>
      <c r="F11499" t="str">
        <f>HYPERLINK("https://github.com/jellyfin/jellyfin-androidtv/issues/1859", "show")</f>
        <v>show</v>
      </c>
      <c r="G11499" t="str">
        <f>HYPERLINK("https://github.com/jellyfin/jellyfin-androidtv", "show")</f>
        <v>show</v>
      </c>
      <c r="H11499" t="str">
        <f>HYPERLINK("https://github.com/jellyfin/jellyfin-androidtv/releases", "show")</f>
        <v>show</v>
      </c>
      <c r="I11499">
        <v>1</v>
      </c>
      <c r="J11499">
        <v>1</v>
      </c>
      <c r="K11499">
        <v>1</v>
      </c>
      <c r="L11499">
        <v>0</v>
      </c>
      <c r="M11499" t="s">
        <v>59</v>
      </c>
    </row>
    <row r="11500" spans="1:13" hidden="1" x14ac:dyDescent="0.15">
      <c r="A11500" t="s">
        <v>36292</v>
      </c>
      <c r="B11500" t="s">
        <v>36293</v>
      </c>
      <c r="C11500" t="s">
        <v>36294</v>
      </c>
      <c r="D11500" t="s">
        <v>36285</v>
      </c>
      <c r="E11500">
        <v>0</v>
      </c>
      <c r="F11500" t="str">
        <f>HYPERLINK("https://github.com/Anuken/Mindustry/issues/7193", "show")</f>
        <v>show</v>
      </c>
      <c r="G11500" t="str">
        <f>HYPERLINK("https://github.com/Anuken/Mindustry", "show")</f>
        <v>show</v>
      </c>
      <c r="H11500" t="str">
        <f>HYPERLINK("https://github.com/Anuken/Mindustry/releases", "show")</f>
        <v>show</v>
      </c>
      <c r="I11500">
        <v>1</v>
      </c>
      <c r="J11500">
        <v>1</v>
      </c>
      <c r="K11500">
        <v>0</v>
      </c>
      <c r="L11500">
        <v>0</v>
      </c>
      <c r="M11500" t="s">
        <v>48</v>
      </c>
    </row>
    <row r="11501" spans="1:13" hidden="1" x14ac:dyDescent="0.15">
      <c r="A11501" t="s">
        <v>36295</v>
      </c>
      <c r="B11501" t="s">
        <v>36296</v>
      </c>
      <c r="C11501" t="s">
        <v>36297</v>
      </c>
      <c r="D11501" t="s">
        <v>36285</v>
      </c>
      <c r="E11501">
        <v>8</v>
      </c>
      <c r="F11501" t="str">
        <f>HYPERLINK("https://github.com/Igalia/wolvic/issues/204", "show")</f>
        <v>show</v>
      </c>
      <c r="G11501" t="str">
        <f>HYPERLINK("https://github.com/Igalia/wolvic", "show")</f>
        <v>show</v>
      </c>
      <c r="H11501" t="str">
        <f>HYPERLINK("https://github.com/Igalia/wolvic/releases", "show")</f>
        <v>show</v>
      </c>
      <c r="I11501">
        <v>0</v>
      </c>
      <c r="J11501">
        <v>0</v>
      </c>
      <c r="K11501">
        <v>0</v>
      </c>
      <c r="L11501">
        <v>0</v>
      </c>
      <c r="M11501" t="s">
        <v>43</v>
      </c>
    </row>
    <row r="11502" spans="1:13" hidden="1" x14ac:dyDescent="0.15">
      <c r="A11502" t="s">
        <v>36298</v>
      </c>
      <c r="B11502" t="s">
        <v>36299</v>
      </c>
      <c r="C11502" t="s">
        <v>36300</v>
      </c>
      <c r="D11502" t="s">
        <v>36285</v>
      </c>
      <c r="E11502">
        <v>0</v>
      </c>
      <c r="F11502" t="str">
        <f>HYPERLINK("https://github.com/therealsujitk/android-vtop-chennai/issues/45", "show")</f>
        <v>show</v>
      </c>
      <c r="G11502" t="str">
        <f>HYPERLINK("https://github.com/therealsujitk/android-vtop-chennai", "show")</f>
        <v>show</v>
      </c>
      <c r="H11502" t="str">
        <f>HYPERLINK("https://github.com/therealsujitk/android-vtop-chennai/releases", "show")</f>
        <v>show</v>
      </c>
      <c r="I11502">
        <v>1</v>
      </c>
      <c r="J11502">
        <v>0</v>
      </c>
      <c r="K11502">
        <v>0</v>
      </c>
      <c r="L11502">
        <v>0</v>
      </c>
      <c r="M11502" t="s">
        <v>17</v>
      </c>
    </row>
    <row r="11503" spans="1:13" hidden="1" x14ac:dyDescent="0.15">
      <c r="A11503" t="s">
        <v>36301</v>
      </c>
      <c r="B11503" t="s">
        <v>36302</v>
      </c>
      <c r="C11503" t="s">
        <v>36303</v>
      </c>
      <c r="D11503" t="s">
        <v>36304</v>
      </c>
      <c r="E11503">
        <v>143</v>
      </c>
      <c r="F11503" t="str">
        <f>HYPERLINK("https://github.com/jellyfin/jellyfin-androidtv/issues/1855", "show")</f>
        <v>show</v>
      </c>
      <c r="G11503" t="str">
        <f>HYPERLINK("https://github.com/jellyfin/jellyfin-androidtv", "show")</f>
        <v>show</v>
      </c>
      <c r="H11503" t="str">
        <f>HYPERLINK("https://github.com/jellyfin/jellyfin-androidtv/releases", "show")</f>
        <v>show</v>
      </c>
      <c r="I11503">
        <v>1</v>
      </c>
      <c r="J11503">
        <v>1</v>
      </c>
      <c r="K11503">
        <v>1</v>
      </c>
      <c r="L11503">
        <v>0</v>
      </c>
      <c r="M11503" t="s">
        <v>59</v>
      </c>
    </row>
    <row r="11504" spans="1:13" hidden="1" x14ac:dyDescent="0.15">
      <c r="A11504" t="s">
        <v>36305</v>
      </c>
      <c r="B11504" t="s">
        <v>36306</v>
      </c>
      <c r="C11504" t="s">
        <v>11701</v>
      </c>
      <c r="D11504" t="s">
        <v>36304</v>
      </c>
      <c r="E11504">
        <v>0</v>
      </c>
      <c r="F11504" t="str">
        <f>HYPERLINK("https://github.com/Anuken/Mindustry/issues/7188", "show")</f>
        <v>show</v>
      </c>
      <c r="G11504" t="str">
        <f>HYPERLINK("https://github.com/Anuken/Mindustry", "show")</f>
        <v>show</v>
      </c>
      <c r="H11504" t="str">
        <f>HYPERLINK("https://github.com/Anuken/Mindustry/releases", "show")</f>
        <v>show</v>
      </c>
      <c r="I11504">
        <v>1</v>
      </c>
      <c r="J11504">
        <v>1</v>
      </c>
      <c r="K11504">
        <v>0</v>
      </c>
      <c r="L11504">
        <v>0</v>
      </c>
      <c r="M11504" t="s">
        <v>48</v>
      </c>
    </row>
    <row r="11505" spans="1:13" hidden="1" x14ac:dyDescent="0.15">
      <c r="A11505" t="s">
        <v>36307</v>
      </c>
      <c r="B11505" t="s">
        <v>36308</v>
      </c>
      <c r="C11505" t="s">
        <v>36309</v>
      </c>
      <c r="D11505" t="s">
        <v>36304</v>
      </c>
      <c r="E11505">
        <v>19</v>
      </c>
      <c r="F11505" t="str">
        <f>HYPERLINK("https://github.com/jellyfin/jellyfin-androidtv/issues/1853", "show")</f>
        <v>show</v>
      </c>
      <c r="G11505" t="str">
        <f>HYPERLINK("https://github.com/jellyfin/jellyfin-androidtv", "show")</f>
        <v>show</v>
      </c>
      <c r="H11505" t="str">
        <f>HYPERLINK("https://github.com/jellyfin/jellyfin-androidtv/releases", "show")</f>
        <v>show</v>
      </c>
      <c r="I11505">
        <v>1</v>
      </c>
      <c r="J11505">
        <v>0</v>
      </c>
      <c r="K11505">
        <v>0</v>
      </c>
      <c r="L11505">
        <v>0</v>
      </c>
      <c r="M11505" t="s">
        <v>17</v>
      </c>
    </row>
    <row r="11506" spans="1:13" hidden="1" x14ac:dyDescent="0.15">
      <c r="A11506" t="s">
        <v>36310</v>
      </c>
      <c r="B11506" t="s">
        <v>36311</v>
      </c>
      <c r="C11506" t="s">
        <v>36312</v>
      </c>
      <c r="D11506" t="s">
        <v>36304</v>
      </c>
      <c r="E11506">
        <v>6</v>
      </c>
      <c r="F11506" t="str">
        <f>HYPERLINK("https://github.com/AndroidIDEOfficial/AndroidIDE/issues/318", "show")</f>
        <v>show</v>
      </c>
      <c r="G11506" t="str">
        <f>HYPERLINK("https://github.com/AndroidIDEOfficial/AndroidIDE", "show")</f>
        <v>show</v>
      </c>
      <c r="H11506" t="str">
        <f>HYPERLINK("https://github.com/AndroidIDEOfficial/AndroidIDE/releases", "show")</f>
        <v>show</v>
      </c>
      <c r="I11506">
        <v>0</v>
      </c>
      <c r="J11506">
        <v>0</v>
      </c>
      <c r="K11506">
        <v>1</v>
      </c>
      <c r="L11506">
        <v>0</v>
      </c>
      <c r="M11506" t="s">
        <v>122</v>
      </c>
    </row>
    <row r="11507" spans="1:13" hidden="1" x14ac:dyDescent="0.15">
      <c r="A11507" t="s">
        <v>36313</v>
      </c>
      <c r="B11507" t="s">
        <v>36314</v>
      </c>
      <c r="C11507" t="s">
        <v>36315</v>
      </c>
      <c r="D11507" t="s">
        <v>36316</v>
      </c>
      <c r="E11507">
        <v>0</v>
      </c>
      <c r="F11507" t="str">
        <f>HYPERLINK("https://github.com/Anuken/Mindustry/issues/7184", "show")</f>
        <v>show</v>
      </c>
      <c r="G11507" t="str">
        <f>HYPERLINK("https://github.com/Anuken/Mindustry", "show")</f>
        <v>show</v>
      </c>
      <c r="H11507" t="str">
        <f>HYPERLINK("https://github.com/Anuken/Mindustry/releases", "show")</f>
        <v>show</v>
      </c>
      <c r="I11507">
        <v>1</v>
      </c>
      <c r="J11507">
        <v>1</v>
      </c>
      <c r="K11507">
        <v>0</v>
      </c>
      <c r="L11507">
        <v>0</v>
      </c>
      <c r="M11507" t="s">
        <v>48</v>
      </c>
    </row>
    <row r="11508" spans="1:13" hidden="1" x14ac:dyDescent="0.15">
      <c r="A11508" t="s">
        <v>36317</v>
      </c>
      <c r="B11508" t="s">
        <v>36318</v>
      </c>
      <c r="C11508" t="s">
        <v>36319</v>
      </c>
      <c r="D11508" t="s">
        <v>36316</v>
      </c>
      <c r="E11508">
        <v>86</v>
      </c>
      <c r="F11508" t="str">
        <f>HYPERLINK("https://github.com/TeamNewPipe/NewPipe/issues/8639", "show")</f>
        <v>show</v>
      </c>
      <c r="G11508" t="str">
        <f>HYPERLINK("https://github.com/TeamNewPipe/NewPipe", "show")</f>
        <v>show</v>
      </c>
      <c r="H11508" t="str">
        <f>HYPERLINK("https://github.com/TeamNewPipe/NewPipe/releases", "show")</f>
        <v>show</v>
      </c>
      <c r="I11508">
        <v>1</v>
      </c>
      <c r="J11508">
        <v>1</v>
      </c>
      <c r="K11508">
        <v>1</v>
      </c>
      <c r="L11508">
        <v>0</v>
      </c>
      <c r="M11508" t="s">
        <v>59</v>
      </c>
    </row>
    <row r="11509" spans="1:13" hidden="1" x14ac:dyDescent="0.15">
      <c r="A11509" t="s">
        <v>36320</v>
      </c>
      <c r="B11509" t="s">
        <v>36321</v>
      </c>
      <c r="C11509" t="s">
        <v>36322</v>
      </c>
      <c r="D11509" t="s">
        <v>36316</v>
      </c>
      <c r="E11509">
        <v>48</v>
      </c>
      <c r="F11509" t="str">
        <f>HYPERLINK("https://github.com/PojavLauncherTeam/PojavLauncher/issues/3440", "show")</f>
        <v>show</v>
      </c>
      <c r="G11509" t="str">
        <f>HYPERLINK("https://github.com/PojavLauncherTeam/PojavLauncher", "show")</f>
        <v>show</v>
      </c>
      <c r="H11509" t="str">
        <f>HYPERLINK("https://github.com/PojavLauncherTeam/PojavLauncher/releases", "show")</f>
        <v>show</v>
      </c>
      <c r="I11509">
        <v>1</v>
      </c>
      <c r="J11509">
        <v>1</v>
      </c>
      <c r="K11509">
        <v>0</v>
      </c>
      <c r="L11509">
        <v>0</v>
      </c>
      <c r="M11509" t="s">
        <v>48</v>
      </c>
    </row>
    <row r="11510" spans="1:13" hidden="1" x14ac:dyDescent="0.15">
      <c r="A11510" t="s">
        <v>36323</v>
      </c>
      <c r="B11510" t="s">
        <v>36324</v>
      </c>
      <c r="C11510" t="s">
        <v>4299</v>
      </c>
      <c r="D11510" t="s">
        <v>36316</v>
      </c>
      <c r="E11510">
        <v>18</v>
      </c>
      <c r="F11510" t="str">
        <f>HYPERLINK("https://github.com/forrestguice/SuntimesWidget/issues/612", "show")</f>
        <v>show</v>
      </c>
      <c r="G11510" t="str">
        <f>HYPERLINK("https://github.com/forrestguice/SuntimesWidget", "show")</f>
        <v>show</v>
      </c>
      <c r="H11510" t="str">
        <f>HYPERLINK("https://github.com/forrestguice/SuntimesWidget/releases", "show")</f>
        <v>show</v>
      </c>
      <c r="I11510">
        <v>1</v>
      </c>
      <c r="J11510">
        <v>0</v>
      </c>
      <c r="K11510">
        <v>1</v>
      </c>
      <c r="L11510">
        <v>0</v>
      </c>
      <c r="M11510" t="s">
        <v>64</v>
      </c>
    </row>
    <row r="11511" spans="1:13" hidden="1" x14ac:dyDescent="0.15">
      <c r="A11511" t="s">
        <v>36325</v>
      </c>
      <c r="B11511" t="s">
        <v>36326</v>
      </c>
      <c r="C11511" t="s">
        <v>36327</v>
      </c>
      <c r="D11511" t="s">
        <v>36316</v>
      </c>
      <c r="E11511">
        <v>67</v>
      </c>
      <c r="F11511" t="str">
        <f>HYPERLINK("https://github.com/AndroidIDEOfficial/AndroidIDE/issues/293", "show")</f>
        <v>show</v>
      </c>
      <c r="G11511" t="str">
        <f>HYPERLINK("https://github.com/AndroidIDEOfficial/AndroidIDE", "show")</f>
        <v>show</v>
      </c>
      <c r="H11511" t="str">
        <f>HYPERLINK("https://github.com/AndroidIDEOfficial/AndroidIDE/releases", "show")</f>
        <v>show</v>
      </c>
      <c r="I11511">
        <v>0</v>
      </c>
      <c r="J11511">
        <v>1</v>
      </c>
      <c r="K11511">
        <v>1</v>
      </c>
      <c r="L11511">
        <v>0</v>
      </c>
      <c r="M11511" t="s">
        <v>699</v>
      </c>
    </row>
    <row r="11512" spans="1:13" x14ac:dyDescent="0.15">
      <c r="A11512" t="s">
        <v>36328</v>
      </c>
      <c r="B11512" t="s">
        <v>36329</v>
      </c>
      <c r="C11512" t="s">
        <v>36330</v>
      </c>
      <c r="D11512" t="s">
        <v>36331</v>
      </c>
      <c r="E11512">
        <v>0</v>
      </c>
      <c r="F11512" t="str">
        <f>HYPERLINK("https://github.com/Anuken/Mindustry/issues/7176", "show")</f>
        <v>show</v>
      </c>
      <c r="G11512" t="str">
        <f>HYPERLINK("https://github.com/Anuken/Mindustry", "show")</f>
        <v>show</v>
      </c>
      <c r="H11512" t="str">
        <f>HYPERLINK("https://github.com/Anuken/Mindustry/releases", "show")</f>
        <v>show</v>
      </c>
      <c r="I11512">
        <v>0</v>
      </c>
      <c r="J11512">
        <v>1</v>
      </c>
      <c r="K11512">
        <v>0</v>
      </c>
      <c r="L11512">
        <v>0</v>
      </c>
      <c r="M11512" t="s">
        <v>139</v>
      </c>
    </row>
    <row r="11513" spans="1:13" hidden="1" x14ac:dyDescent="0.15">
      <c r="A11513" t="s">
        <v>36332</v>
      </c>
      <c r="B11513" t="s">
        <v>36333</v>
      </c>
      <c r="C11513" t="s">
        <v>36334</v>
      </c>
      <c r="D11513" t="s">
        <v>36331</v>
      </c>
      <c r="E11513">
        <v>0</v>
      </c>
      <c r="F11513" t="str">
        <f>HYPERLINK("https://github.com/Fox2Code/FoxMagiskModuleManager/issues/176", "show")</f>
        <v>show</v>
      </c>
      <c r="G11513" t="str">
        <f>HYPERLINK("https://github.com/Fox2Code/FoxMagiskModuleManager", "show")</f>
        <v>show</v>
      </c>
      <c r="H11513" t="str">
        <f>HYPERLINK("https://github.com/Fox2Code/FoxMagiskModuleManager/releases", "show")</f>
        <v>show</v>
      </c>
      <c r="I11513">
        <v>0</v>
      </c>
      <c r="J11513">
        <v>1</v>
      </c>
      <c r="K11513">
        <v>1</v>
      </c>
      <c r="L11513">
        <v>0</v>
      </c>
      <c r="M11513" t="s">
        <v>699</v>
      </c>
    </row>
    <row r="11514" spans="1:13" x14ac:dyDescent="0.15">
      <c r="A11514" t="s">
        <v>36335</v>
      </c>
      <c r="B11514" t="s">
        <v>36336</v>
      </c>
      <c r="C11514" t="s">
        <v>36337</v>
      </c>
      <c r="D11514" t="s">
        <v>36331</v>
      </c>
      <c r="E11514">
        <v>0</v>
      </c>
      <c r="F11514" t="str">
        <f>HYPERLINK("https://github.com/Fox2Code/FoxMagiskModuleManager/issues/175", "show")</f>
        <v>show</v>
      </c>
      <c r="G11514" t="str">
        <f>HYPERLINK("https://github.com/Fox2Code/FoxMagiskModuleManager", "show")</f>
        <v>show</v>
      </c>
      <c r="H11514" t="str">
        <f>HYPERLINK("https://github.com/Fox2Code/FoxMagiskModuleManager/releases", "show")</f>
        <v>show</v>
      </c>
      <c r="I11514">
        <v>0</v>
      </c>
      <c r="J11514">
        <v>1</v>
      </c>
      <c r="K11514">
        <v>0</v>
      </c>
      <c r="L11514">
        <v>0</v>
      </c>
      <c r="M11514" t="s">
        <v>139</v>
      </c>
    </row>
    <row r="11515" spans="1:13" hidden="1" x14ac:dyDescent="0.15">
      <c r="A11515" t="s">
        <v>36338</v>
      </c>
      <c r="B11515" t="s">
        <v>36339</v>
      </c>
      <c r="C11515" t="s">
        <v>36340</v>
      </c>
      <c r="D11515" t="s">
        <v>36331</v>
      </c>
      <c r="E11515">
        <v>14</v>
      </c>
      <c r="F11515" t="str">
        <f>HYPERLINK("https://github.com/Azure/azure-iot-sdk-java/issues/1575", "show")</f>
        <v>show</v>
      </c>
      <c r="G11515" t="str">
        <f>HYPERLINK("https://github.com/Azure/azure-iot-sdk-java", "show")</f>
        <v>show</v>
      </c>
      <c r="H11515" t="str">
        <f>HYPERLINK("https://github.com/Azure/azure-iot-sdk-java/releases", "show")</f>
        <v>show</v>
      </c>
      <c r="I11515">
        <v>0</v>
      </c>
      <c r="J11515">
        <v>0</v>
      </c>
      <c r="K11515">
        <v>0</v>
      </c>
      <c r="L11515">
        <v>0</v>
      </c>
      <c r="M11515" t="s">
        <v>43</v>
      </c>
    </row>
    <row r="11516" spans="1:13" x14ac:dyDescent="0.15">
      <c r="A11516" t="s">
        <v>36341</v>
      </c>
      <c r="B11516" t="s">
        <v>36342</v>
      </c>
      <c r="C11516" t="s">
        <v>11582</v>
      </c>
      <c r="D11516" t="s">
        <v>36343</v>
      </c>
      <c r="E11516">
        <v>1</v>
      </c>
      <c r="F11516" t="str">
        <f>HYPERLINK("https://github.com/nextcloud/android/issues/10527", "show")</f>
        <v>show</v>
      </c>
      <c r="G11516" t="str">
        <f>HYPERLINK("https://github.com/nextcloud/android", "show")</f>
        <v>show</v>
      </c>
      <c r="H11516" t="str">
        <f>HYPERLINK("https://github.com/nextcloud/android/releases", "show")</f>
        <v>show</v>
      </c>
      <c r="I11516">
        <v>0</v>
      </c>
      <c r="J11516">
        <v>1</v>
      </c>
      <c r="K11516">
        <v>0</v>
      </c>
      <c r="L11516">
        <v>0</v>
      </c>
      <c r="M11516" t="s">
        <v>139</v>
      </c>
    </row>
    <row r="11517" spans="1:13" hidden="1" x14ac:dyDescent="0.15">
      <c r="A11517" t="s">
        <v>36344</v>
      </c>
      <c r="B11517" t="s">
        <v>36345</v>
      </c>
      <c r="C11517" t="s">
        <v>36346</v>
      </c>
      <c r="D11517" t="s">
        <v>36343</v>
      </c>
      <c r="E11517">
        <v>5</v>
      </c>
      <c r="F11517" t="str">
        <f>HYPERLINK("https://github.com/Igalia/wolvic/issues/201", "show")</f>
        <v>show</v>
      </c>
      <c r="G11517" t="str">
        <f>HYPERLINK("https://github.com/Igalia/wolvic", "show")</f>
        <v>show</v>
      </c>
      <c r="H11517" t="str">
        <f>HYPERLINK("https://github.com/Igalia/wolvic/releases", "show")</f>
        <v>show</v>
      </c>
      <c r="I11517">
        <v>1</v>
      </c>
      <c r="J11517">
        <v>0</v>
      </c>
      <c r="K11517">
        <v>1</v>
      </c>
      <c r="L11517">
        <v>0</v>
      </c>
      <c r="M11517" t="s">
        <v>64</v>
      </c>
    </row>
    <row r="11518" spans="1:13" hidden="1" x14ac:dyDescent="0.15">
      <c r="A11518" t="s">
        <v>36347</v>
      </c>
      <c r="B11518" t="s">
        <v>36348</v>
      </c>
      <c r="C11518" t="s">
        <v>36349</v>
      </c>
      <c r="D11518" t="s">
        <v>36343</v>
      </c>
      <c r="E11518">
        <v>278</v>
      </c>
      <c r="F11518" t="str">
        <f>HYPERLINK("https://github.com/commons-app/apps-android-commons/issues/5014", "show")</f>
        <v>show</v>
      </c>
      <c r="G11518" t="str">
        <f>HYPERLINK("https://github.com/commons-app/apps-android-commons", "show")</f>
        <v>show</v>
      </c>
      <c r="H11518" t="str">
        <f>HYPERLINK("https://github.com/commons-app/apps-android-commons/releases", "show")</f>
        <v>show</v>
      </c>
      <c r="I11518">
        <v>0</v>
      </c>
      <c r="J11518">
        <v>0</v>
      </c>
      <c r="K11518">
        <v>1</v>
      </c>
      <c r="L11518">
        <v>0</v>
      </c>
      <c r="M11518" t="s">
        <v>122</v>
      </c>
    </row>
    <row r="11519" spans="1:13" hidden="1" x14ac:dyDescent="0.15">
      <c r="A11519" t="s">
        <v>36350</v>
      </c>
      <c r="B11519" t="s">
        <v>36351</v>
      </c>
      <c r="C11519" t="s">
        <v>36352</v>
      </c>
      <c r="D11519" t="s">
        <v>36353</v>
      </c>
      <c r="E11519">
        <v>3</v>
      </c>
      <c r="F11519" t="str">
        <f>HYPERLINK("https://github.com/opensrp/opensrp-client-chw/issues/2087", "show")</f>
        <v>show</v>
      </c>
      <c r="G11519" t="str">
        <f>HYPERLINK("https://github.com/opensrp/opensrp-client-chw", "show")</f>
        <v>show</v>
      </c>
      <c r="H11519" t="str">
        <f>HYPERLINK("https://github.com/opensrp/opensrp-client-chw/releases", "show")</f>
        <v>show</v>
      </c>
      <c r="I11519">
        <v>1</v>
      </c>
      <c r="J11519">
        <v>0</v>
      </c>
      <c r="K11519">
        <v>0</v>
      </c>
      <c r="L11519">
        <v>0</v>
      </c>
      <c r="M11519" t="s">
        <v>17</v>
      </c>
    </row>
    <row r="11520" spans="1:13" hidden="1" x14ac:dyDescent="0.15">
      <c r="A11520" t="s">
        <v>36354</v>
      </c>
      <c r="B11520" t="s">
        <v>36355</v>
      </c>
      <c r="C11520" t="s">
        <v>36356</v>
      </c>
      <c r="D11520" t="s">
        <v>36357</v>
      </c>
      <c r="E11520">
        <v>0</v>
      </c>
      <c r="F11520" t="str">
        <f>HYPERLINK("https://github.com/Anuken/Mindustry/issues/7166", "show")</f>
        <v>show</v>
      </c>
      <c r="G11520" t="str">
        <f>HYPERLINK("https://github.com/Anuken/Mindustry", "show")</f>
        <v>show</v>
      </c>
      <c r="H11520" t="str">
        <f>HYPERLINK("https://github.com/Anuken/Mindustry/releases", "show")</f>
        <v>show</v>
      </c>
      <c r="I11520">
        <v>1</v>
      </c>
      <c r="J11520">
        <v>1</v>
      </c>
      <c r="K11520">
        <v>1</v>
      </c>
      <c r="L11520">
        <v>0</v>
      </c>
      <c r="M11520" t="s">
        <v>59</v>
      </c>
    </row>
    <row r="11521" spans="1:13" x14ac:dyDescent="0.15">
      <c r="A11521" t="s">
        <v>36358</v>
      </c>
      <c r="B11521" t="s">
        <v>36359</v>
      </c>
      <c r="C11521" t="s">
        <v>36360</v>
      </c>
      <c r="D11521" t="s">
        <v>36357</v>
      </c>
      <c r="E11521">
        <v>92</v>
      </c>
      <c r="F11521" t="str">
        <f>HYPERLINK("https://github.com/GoogleCloudPlatform/fda-mystudies/issues/4688", "show")</f>
        <v>show</v>
      </c>
      <c r="G11521" t="str">
        <f>HYPERLINK("https://github.com/GoogleCloudPlatform/fda-mystudies", "show")</f>
        <v>show</v>
      </c>
      <c r="H11521" t="str">
        <f>HYPERLINK("https://github.com/GoogleCloudPlatform/fda-mystudies/releases", "show")</f>
        <v>show</v>
      </c>
      <c r="I11521">
        <v>0</v>
      </c>
      <c r="J11521">
        <v>1</v>
      </c>
      <c r="K11521">
        <v>0</v>
      </c>
      <c r="L11521">
        <v>0</v>
      </c>
      <c r="M11521" t="s">
        <v>139</v>
      </c>
    </row>
    <row r="11522" spans="1:13" hidden="1" x14ac:dyDescent="0.15">
      <c r="A11522" t="s">
        <v>36361</v>
      </c>
      <c r="B11522" t="s">
        <v>36362</v>
      </c>
      <c r="C11522" t="s">
        <v>36363</v>
      </c>
      <c r="D11522" t="s">
        <v>36357</v>
      </c>
      <c r="E11522">
        <v>8</v>
      </c>
      <c r="F11522" t="str">
        <f>HYPERLINK("https://github.com/aws-amplify/amplify-android/issues/1818", "show")</f>
        <v>show</v>
      </c>
      <c r="G11522" t="str">
        <f>HYPERLINK("https://github.com/aws-amplify/amplify-android", "show")</f>
        <v>show</v>
      </c>
      <c r="H11522" t="str">
        <f>HYPERLINK("https://github.com/aws-amplify/amplify-android/releases", "show")</f>
        <v>show</v>
      </c>
      <c r="I11522">
        <v>1</v>
      </c>
      <c r="J11522">
        <v>1</v>
      </c>
      <c r="K11522">
        <v>1</v>
      </c>
      <c r="L11522">
        <v>0</v>
      </c>
      <c r="M11522" t="s">
        <v>59</v>
      </c>
    </row>
    <row r="11523" spans="1:13" x14ac:dyDescent="0.15">
      <c r="A11523" t="s">
        <v>36364</v>
      </c>
      <c r="B11523" t="s">
        <v>36365</v>
      </c>
      <c r="C11523" t="s">
        <v>36366</v>
      </c>
      <c r="D11523" t="s">
        <v>36367</v>
      </c>
      <c r="E11523">
        <v>93</v>
      </c>
      <c r="F11523" t="str">
        <f>HYPERLINK("https://github.com/GoogleCloudPlatform/fda-mystudies/issues/4681", "show")</f>
        <v>show</v>
      </c>
      <c r="G11523" t="str">
        <f>HYPERLINK("https://github.com/GoogleCloudPlatform/fda-mystudies", "show")</f>
        <v>show</v>
      </c>
      <c r="H11523" t="str">
        <f>HYPERLINK("https://github.com/GoogleCloudPlatform/fda-mystudies/releases", "show")</f>
        <v>show</v>
      </c>
      <c r="I11523">
        <v>0</v>
      </c>
      <c r="J11523">
        <v>1</v>
      </c>
      <c r="K11523">
        <v>0</v>
      </c>
      <c r="L11523">
        <v>0</v>
      </c>
      <c r="M11523" t="s">
        <v>139</v>
      </c>
    </row>
    <row r="11524" spans="1:13" hidden="1" x14ac:dyDescent="0.15">
      <c r="A11524" t="s">
        <v>36368</v>
      </c>
      <c r="B11524" t="s">
        <v>36369</v>
      </c>
      <c r="C11524" t="s">
        <v>36370</v>
      </c>
      <c r="D11524" t="s">
        <v>36367</v>
      </c>
      <c r="E11524">
        <v>0</v>
      </c>
      <c r="F11524" t="str">
        <f>HYPERLINK("https://github.com/AndroidIDEOfficial/AndroidIDE/issues/276", "show")</f>
        <v>show</v>
      </c>
      <c r="G11524" t="str">
        <f>HYPERLINK("https://github.com/AndroidIDEOfficial/AndroidIDE", "show")</f>
        <v>show</v>
      </c>
      <c r="H11524" t="str">
        <f>HYPERLINK("https://github.com/AndroidIDEOfficial/AndroidIDE/releases", "show")</f>
        <v>show</v>
      </c>
      <c r="I11524">
        <v>0</v>
      </c>
      <c r="J11524">
        <v>0</v>
      </c>
      <c r="K11524">
        <v>1</v>
      </c>
      <c r="L11524">
        <v>1</v>
      </c>
      <c r="M11524" t="s">
        <v>351</v>
      </c>
    </row>
    <row r="11525" spans="1:13" hidden="1" x14ac:dyDescent="0.15">
      <c r="A11525" t="s">
        <v>36371</v>
      </c>
      <c r="B11525" t="s">
        <v>36372</v>
      </c>
      <c r="C11525" t="s">
        <v>36373</v>
      </c>
      <c r="D11525" t="s">
        <v>36374</v>
      </c>
      <c r="E11525">
        <v>0</v>
      </c>
      <c r="F11525" t="str">
        <f>HYPERLINK("https://github.com/Anuken/Mindustry/issues/7161", "show")</f>
        <v>show</v>
      </c>
      <c r="G11525" t="str">
        <f>HYPERLINK("https://github.com/Anuken/Mindustry", "show")</f>
        <v>show</v>
      </c>
      <c r="H11525" t="str">
        <f>HYPERLINK("https://github.com/Anuken/Mindustry/releases", "show")</f>
        <v>show</v>
      </c>
      <c r="I11525">
        <v>0</v>
      </c>
      <c r="J11525">
        <v>0</v>
      </c>
      <c r="K11525">
        <v>0</v>
      </c>
      <c r="L11525">
        <v>0</v>
      </c>
      <c r="M11525" t="s">
        <v>43</v>
      </c>
    </row>
    <row r="11526" spans="1:13" hidden="1" x14ac:dyDescent="0.15">
      <c r="A11526" t="s">
        <v>36375</v>
      </c>
      <c r="B11526" t="s">
        <v>36376</v>
      </c>
      <c r="C11526" t="s">
        <v>36377</v>
      </c>
      <c r="D11526" t="s">
        <v>36374</v>
      </c>
      <c r="E11526">
        <v>0</v>
      </c>
      <c r="F11526" t="str">
        <f>HYPERLINK("https://github.com/AndroidIDEOfficial/AndroidIDE/issues/273", "show")</f>
        <v>show</v>
      </c>
      <c r="G11526" t="str">
        <f>HYPERLINK("https://github.com/AndroidIDEOfficial/AndroidIDE", "show")</f>
        <v>show</v>
      </c>
      <c r="H11526" t="str">
        <f>HYPERLINK("https://github.com/AndroidIDEOfficial/AndroidIDE/releases", "show")</f>
        <v>show</v>
      </c>
      <c r="I11526">
        <v>1</v>
      </c>
      <c r="J11526">
        <v>0</v>
      </c>
      <c r="K11526">
        <v>1</v>
      </c>
      <c r="L11526">
        <v>0</v>
      </c>
      <c r="M11526" t="s">
        <v>64</v>
      </c>
    </row>
    <row r="11527" spans="1:13" hidden="1" x14ac:dyDescent="0.15">
      <c r="A11527" t="s">
        <v>36378</v>
      </c>
      <c r="B11527" t="s">
        <v>36379</v>
      </c>
      <c r="C11527" t="s">
        <v>36380</v>
      </c>
      <c r="D11527" t="s">
        <v>36374</v>
      </c>
      <c r="E11527">
        <v>123</v>
      </c>
      <c r="F11527" t="str">
        <f>HYPERLINK("https://github.com/jellyfin/jellyfin-androidtv/issues/1833", "show")</f>
        <v>show</v>
      </c>
      <c r="G11527" t="str">
        <f>HYPERLINK("https://github.com/jellyfin/jellyfin-androidtv", "show")</f>
        <v>show</v>
      </c>
      <c r="H11527" t="str">
        <f>HYPERLINK("https://github.com/jellyfin/jellyfin-androidtv/releases", "show")</f>
        <v>show</v>
      </c>
      <c r="I11527">
        <v>1</v>
      </c>
      <c r="J11527">
        <v>0</v>
      </c>
      <c r="K11527">
        <v>0</v>
      </c>
      <c r="L11527">
        <v>0</v>
      </c>
      <c r="M11527" t="s">
        <v>17</v>
      </c>
    </row>
    <row r="11528" spans="1:13" hidden="1" x14ac:dyDescent="0.15">
      <c r="A11528" t="s">
        <v>36381</v>
      </c>
      <c r="B11528" t="s">
        <v>36382</v>
      </c>
      <c r="C11528" t="s">
        <v>36383</v>
      </c>
      <c r="D11528" t="s">
        <v>36384</v>
      </c>
      <c r="E11528">
        <v>0</v>
      </c>
      <c r="F11528" t="str">
        <f>HYPERLINK("https://github.com/Anuken/Mindustry/issues/7153", "show")</f>
        <v>show</v>
      </c>
      <c r="G11528" t="str">
        <f>HYPERLINK("https://github.com/Anuken/Mindustry", "show")</f>
        <v>show</v>
      </c>
      <c r="H11528" t="str">
        <f>HYPERLINK("https://github.com/Anuken/Mindustry/releases", "show")</f>
        <v>show</v>
      </c>
      <c r="I11528">
        <v>1</v>
      </c>
      <c r="J11528">
        <v>1</v>
      </c>
      <c r="K11528">
        <v>0</v>
      </c>
      <c r="L11528">
        <v>0</v>
      </c>
      <c r="M11528" t="s">
        <v>48</v>
      </c>
    </row>
    <row r="11529" spans="1:13" hidden="1" x14ac:dyDescent="0.15">
      <c r="A11529" t="s">
        <v>36385</v>
      </c>
      <c r="B11529" t="s">
        <v>36386</v>
      </c>
      <c r="C11529" t="s">
        <v>36387</v>
      </c>
      <c r="D11529" t="s">
        <v>36384</v>
      </c>
      <c r="E11529">
        <v>141</v>
      </c>
      <c r="F11529" t="str">
        <f>HYPERLINK("https://github.com/VinylMusicPlayer/VinylMusicPlayer/issues/607", "show")</f>
        <v>show</v>
      </c>
      <c r="G11529" t="str">
        <f>HYPERLINK("https://github.com/VinylMusicPlayer/VinylMusicPlayer", "show")</f>
        <v>show</v>
      </c>
      <c r="H11529" t="str">
        <f>HYPERLINK("https://github.com/VinylMusicPlayer/VinylMusicPlayer/releases", "show")</f>
        <v>show</v>
      </c>
      <c r="I11529">
        <v>1</v>
      </c>
      <c r="J11529">
        <v>1</v>
      </c>
      <c r="K11529">
        <v>0</v>
      </c>
      <c r="L11529">
        <v>0</v>
      </c>
      <c r="M11529" t="s">
        <v>48</v>
      </c>
    </row>
    <row r="11530" spans="1:13" hidden="1" x14ac:dyDescent="0.15">
      <c r="A11530" t="s">
        <v>36388</v>
      </c>
      <c r="B11530" t="s">
        <v>36389</v>
      </c>
      <c r="C11530" t="s">
        <v>36390</v>
      </c>
      <c r="D11530" t="s">
        <v>36391</v>
      </c>
      <c r="E11530">
        <v>32</v>
      </c>
      <c r="F11530" t="str">
        <f>HYPERLINK("https://github.com/DHBWorld/DHBWorld/issues/9", "show")</f>
        <v>show</v>
      </c>
      <c r="G11530" t="str">
        <f>HYPERLINK("https://github.com/DHBWorld/DHBWorld", "show")</f>
        <v>show</v>
      </c>
      <c r="H11530" t="str">
        <f>HYPERLINK("https://github.com/DHBWorld/DHBWorld/releases", "show")</f>
        <v>show</v>
      </c>
      <c r="I11530">
        <v>1</v>
      </c>
      <c r="J11530">
        <v>0</v>
      </c>
      <c r="K11530">
        <v>0</v>
      </c>
      <c r="L11530">
        <v>0</v>
      </c>
      <c r="M11530" t="s">
        <v>17</v>
      </c>
    </row>
    <row r="11531" spans="1:13" hidden="1" x14ac:dyDescent="0.15">
      <c r="A11531" t="s">
        <v>36392</v>
      </c>
      <c r="B11531" t="s">
        <v>36393</v>
      </c>
      <c r="C11531" t="s">
        <v>36394</v>
      </c>
      <c r="D11531" t="s">
        <v>36391</v>
      </c>
      <c r="E11531">
        <v>56</v>
      </c>
      <c r="F11531" t="str">
        <f>HYPERLINK("https://github.com/PojavLauncherTeam/PojavLauncher/issues/3424", "show")</f>
        <v>show</v>
      </c>
      <c r="G11531" t="str">
        <f>HYPERLINK("https://github.com/PojavLauncherTeam/PojavLauncher", "show")</f>
        <v>show</v>
      </c>
      <c r="H11531" t="str">
        <f>HYPERLINK("https://github.com/PojavLauncherTeam/PojavLauncher/releases", "show")</f>
        <v>show</v>
      </c>
      <c r="I11531">
        <v>1</v>
      </c>
      <c r="J11531">
        <v>1</v>
      </c>
      <c r="K11531">
        <v>0</v>
      </c>
      <c r="L11531">
        <v>0</v>
      </c>
      <c r="M11531" t="s">
        <v>48</v>
      </c>
    </row>
    <row r="11532" spans="1:13" hidden="1" x14ac:dyDescent="0.15">
      <c r="A11532" t="s">
        <v>36395</v>
      </c>
      <c r="B11532" t="s">
        <v>36396</v>
      </c>
      <c r="C11532" t="s">
        <v>36397</v>
      </c>
      <c r="D11532" t="s">
        <v>36391</v>
      </c>
      <c r="E11532">
        <v>87</v>
      </c>
      <c r="F11532" t="str">
        <f>HYPERLINK("https://github.com/androidx/media/issues/112", "show")</f>
        <v>show</v>
      </c>
      <c r="G11532" t="str">
        <f>HYPERLINK("https://github.com/androidx/media", "show")</f>
        <v>show</v>
      </c>
      <c r="H11532" t="str">
        <f>HYPERLINK("https://github.com/androidx/media/releases", "show")</f>
        <v>show</v>
      </c>
      <c r="I11532">
        <v>1</v>
      </c>
      <c r="J11532">
        <v>0</v>
      </c>
      <c r="K11532">
        <v>1</v>
      </c>
      <c r="L11532">
        <v>0</v>
      </c>
      <c r="M11532" t="s">
        <v>64</v>
      </c>
    </row>
    <row r="11533" spans="1:13" hidden="1" x14ac:dyDescent="0.15">
      <c r="A11533" t="s">
        <v>36398</v>
      </c>
      <c r="B11533" t="s">
        <v>36399</v>
      </c>
      <c r="C11533" t="s">
        <v>36400</v>
      </c>
      <c r="D11533" t="s">
        <v>36401</v>
      </c>
      <c r="E11533">
        <v>145</v>
      </c>
      <c r="F11533" t="str">
        <f>HYPERLINK("https://github.com/jellyfin/jellyfin-androidtv/issues/1824", "show")</f>
        <v>show</v>
      </c>
      <c r="G11533" t="str">
        <f>HYPERLINK("https://github.com/jellyfin/jellyfin-androidtv", "show")</f>
        <v>show</v>
      </c>
      <c r="H11533" t="str">
        <f>HYPERLINK("https://github.com/jellyfin/jellyfin-androidtv/releases", "show")</f>
        <v>show</v>
      </c>
      <c r="I11533">
        <v>1</v>
      </c>
      <c r="J11533">
        <v>0</v>
      </c>
      <c r="K11533">
        <v>1</v>
      </c>
      <c r="L11533">
        <v>1</v>
      </c>
      <c r="M11533" t="s">
        <v>1259</v>
      </c>
    </row>
    <row r="11534" spans="1:13" hidden="1" x14ac:dyDescent="0.15">
      <c r="A11534" t="s">
        <v>36402</v>
      </c>
      <c r="B11534" t="s">
        <v>36403</v>
      </c>
      <c r="C11534" t="s">
        <v>36404</v>
      </c>
      <c r="D11534" t="s">
        <v>36401</v>
      </c>
      <c r="E11534">
        <v>3</v>
      </c>
      <c r="F11534" t="str">
        <f>HYPERLINK("https://github.com/OpenTracksApp/OpenTracks/issues/1321", "show")</f>
        <v>show</v>
      </c>
      <c r="G11534" t="str">
        <f>HYPERLINK("https://github.com/OpenTracksApp/OpenTracks", "show")</f>
        <v>show</v>
      </c>
      <c r="H11534" t="str">
        <f>HYPERLINK("https://github.com/OpenTracksApp/OpenTracks/releases", "show")</f>
        <v>show</v>
      </c>
      <c r="I11534">
        <v>1</v>
      </c>
      <c r="J11534">
        <v>0</v>
      </c>
      <c r="K11534">
        <v>1</v>
      </c>
      <c r="L11534">
        <v>0</v>
      </c>
      <c r="M11534" t="s">
        <v>64</v>
      </c>
    </row>
    <row r="11535" spans="1:13" hidden="1" x14ac:dyDescent="0.15">
      <c r="A11535" t="s">
        <v>36405</v>
      </c>
      <c r="B11535" t="s">
        <v>36406</v>
      </c>
      <c r="C11535" t="s">
        <v>36407</v>
      </c>
      <c r="D11535" t="s">
        <v>36401</v>
      </c>
      <c r="E11535">
        <v>1</v>
      </c>
      <c r="F11535" t="str">
        <f>HYPERLINK("https://github.com/PojavLauncherTeam/PojavLauncher/issues/3422", "show")</f>
        <v>show</v>
      </c>
      <c r="G11535" t="str">
        <f>HYPERLINK("https://github.com/PojavLauncherTeam/PojavLauncher", "show")</f>
        <v>show</v>
      </c>
      <c r="H11535" t="str">
        <f>HYPERLINK("https://github.com/PojavLauncherTeam/PojavLauncher/releases", "show")</f>
        <v>show</v>
      </c>
      <c r="I11535">
        <v>0</v>
      </c>
      <c r="J11535">
        <v>0</v>
      </c>
      <c r="K11535">
        <v>0</v>
      </c>
      <c r="L11535">
        <v>0</v>
      </c>
      <c r="M11535" t="s">
        <v>43</v>
      </c>
    </row>
    <row r="11536" spans="1:13" hidden="1" x14ac:dyDescent="0.15">
      <c r="A11536" t="s">
        <v>36408</v>
      </c>
      <c r="B11536" t="s">
        <v>36409</v>
      </c>
      <c r="C11536" t="s">
        <v>36410</v>
      </c>
      <c r="D11536" t="s">
        <v>36401</v>
      </c>
      <c r="E11536">
        <v>458</v>
      </c>
      <c r="F11536" t="str">
        <f>HYPERLINK("https://github.com/nextcloud/android/issues/10488", "show")</f>
        <v>show</v>
      </c>
      <c r="G11536" t="str">
        <f>HYPERLINK("https://github.com/nextcloud/android", "show")</f>
        <v>show</v>
      </c>
      <c r="H11536" t="str">
        <f>HYPERLINK("https://github.com/nextcloud/android/releases", "show")</f>
        <v>show</v>
      </c>
      <c r="I11536">
        <v>1</v>
      </c>
      <c r="J11536">
        <v>1</v>
      </c>
      <c r="K11536">
        <v>0</v>
      </c>
      <c r="L11536">
        <v>0</v>
      </c>
      <c r="M11536" t="s">
        <v>48</v>
      </c>
    </row>
    <row r="11537" spans="1:13" x14ac:dyDescent="0.15">
      <c r="A11537" t="s">
        <v>36411</v>
      </c>
      <c r="B11537" t="s">
        <v>36412</v>
      </c>
      <c r="C11537" t="s">
        <v>36413</v>
      </c>
      <c r="D11537" t="s">
        <v>36401</v>
      </c>
      <c r="E11537">
        <v>0</v>
      </c>
      <c r="F11537" t="str">
        <f>HYPERLINK("https://github.com/Anuken/Mindustry/issues/7141", "show")</f>
        <v>show</v>
      </c>
      <c r="G11537" t="str">
        <f>HYPERLINK("https://github.com/Anuken/Mindustry", "show")</f>
        <v>show</v>
      </c>
      <c r="H11537" t="str">
        <f>HYPERLINK("https://github.com/Anuken/Mindustry/releases", "show")</f>
        <v>show</v>
      </c>
      <c r="I11537">
        <v>0</v>
      </c>
      <c r="J11537">
        <v>1</v>
      </c>
      <c r="K11537">
        <v>0</v>
      </c>
      <c r="L11537">
        <v>0</v>
      </c>
      <c r="M11537" t="s">
        <v>139</v>
      </c>
    </row>
    <row r="11538" spans="1:13" hidden="1" x14ac:dyDescent="0.15">
      <c r="A11538" t="s">
        <v>36414</v>
      </c>
      <c r="B11538" t="s">
        <v>36415</v>
      </c>
      <c r="C11538" t="s">
        <v>36416</v>
      </c>
      <c r="D11538" t="s">
        <v>36417</v>
      </c>
      <c r="E11538">
        <v>1</v>
      </c>
      <c r="F11538" t="str">
        <f>HYPERLINK("https://github.com/Anuken/Mindustry/issues/7139", "show")</f>
        <v>show</v>
      </c>
      <c r="G11538" t="str">
        <f>HYPERLINK("https://github.com/Anuken/Mindustry", "show")</f>
        <v>show</v>
      </c>
      <c r="H11538" t="str">
        <f>HYPERLINK("https://github.com/Anuken/Mindustry/releases", "show")</f>
        <v>show</v>
      </c>
      <c r="I11538">
        <v>1</v>
      </c>
      <c r="J11538">
        <v>0</v>
      </c>
      <c r="K11538">
        <v>0</v>
      </c>
      <c r="L11538">
        <v>0</v>
      </c>
      <c r="M11538" t="s">
        <v>17</v>
      </c>
    </row>
    <row r="11539" spans="1:13" hidden="1" x14ac:dyDescent="0.15">
      <c r="A11539" t="s">
        <v>36418</v>
      </c>
      <c r="B11539" t="s">
        <v>36419</v>
      </c>
      <c r="C11539" t="s">
        <v>10930</v>
      </c>
      <c r="D11539" t="s">
        <v>36417</v>
      </c>
      <c r="E11539">
        <v>43</v>
      </c>
      <c r="F11539" t="str">
        <f>HYPERLINK("https://github.com/AndroidIDEOfficial/AndroidIDE/issues/265", "show")</f>
        <v>show</v>
      </c>
      <c r="G11539" t="str">
        <f>HYPERLINK("https://github.com/AndroidIDEOfficial/AndroidIDE", "show")</f>
        <v>show</v>
      </c>
      <c r="H11539" t="str">
        <f>HYPERLINK("https://github.com/AndroidIDEOfficial/AndroidIDE/releases", "show")</f>
        <v>show</v>
      </c>
      <c r="I11539">
        <v>0</v>
      </c>
      <c r="J11539">
        <v>0</v>
      </c>
      <c r="K11539">
        <v>1</v>
      </c>
      <c r="L11539">
        <v>0</v>
      </c>
      <c r="M11539" t="s">
        <v>122</v>
      </c>
    </row>
    <row r="11540" spans="1:13" hidden="1" x14ac:dyDescent="0.15">
      <c r="A11540" t="s">
        <v>36420</v>
      </c>
      <c r="B11540" t="s">
        <v>36421</v>
      </c>
      <c r="C11540" t="s">
        <v>36422</v>
      </c>
      <c r="D11540" t="s">
        <v>36417</v>
      </c>
      <c r="E11540">
        <v>4</v>
      </c>
      <c r="F11540" t="str">
        <f>HYPERLINK("https://github.com/AndroidIDEOfficial/AndroidIDE/issues/264", "show")</f>
        <v>show</v>
      </c>
      <c r="G11540" t="str">
        <f>HYPERLINK("https://github.com/AndroidIDEOfficial/AndroidIDE", "show")</f>
        <v>show</v>
      </c>
      <c r="H11540" t="str">
        <f>HYPERLINK("https://github.com/AndroidIDEOfficial/AndroidIDE/releases", "show")</f>
        <v>show</v>
      </c>
      <c r="I11540">
        <v>0</v>
      </c>
      <c r="J11540">
        <v>0</v>
      </c>
      <c r="K11540">
        <v>1</v>
      </c>
      <c r="L11540">
        <v>0</v>
      </c>
      <c r="M11540" t="s">
        <v>122</v>
      </c>
    </row>
    <row r="11541" spans="1:13" hidden="1" x14ac:dyDescent="0.15">
      <c r="A11541" t="s">
        <v>36423</v>
      </c>
      <c r="B11541" t="s">
        <v>36424</v>
      </c>
      <c r="C11541" t="s">
        <v>36425</v>
      </c>
      <c r="D11541" t="s">
        <v>36417</v>
      </c>
      <c r="E11541">
        <v>0</v>
      </c>
      <c r="F11541" t="str">
        <f>HYPERLINK("https://github.com/Anuken/Mindustry/issues/7133", "show")</f>
        <v>show</v>
      </c>
      <c r="G11541" t="str">
        <f>HYPERLINK("https://github.com/Anuken/Mindustry", "show")</f>
        <v>show</v>
      </c>
      <c r="H11541" t="str">
        <f>HYPERLINK("https://github.com/Anuken/Mindustry/releases", "show")</f>
        <v>show</v>
      </c>
      <c r="I11541">
        <v>1</v>
      </c>
      <c r="J11541">
        <v>1</v>
      </c>
      <c r="K11541">
        <v>0</v>
      </c>
      <c r="L11541">
        <v>1</v>
      </c>
      <c r="M11541" t="s">
        <v>1894</v>
      </c>
    </row>
    <row r="11542" spans="1:13" hidden="1" x14ac:dyDescent="0.15">
      <c r="A11542" t="s">
        <v>36426</v>
      </c>
      <c r="B11542" t="s">
        <v>36427</v>
      </c>
      <c r="C11542" t="s">
        <v>36428</v>
      </c>
      <c r="D11542" t="s">
        <v>36429</v>
      </c>
      <c r="E11542">
        <v>8</v>
      </c>
      <c r="F11542" t="str">
        <f>HYPERLINK("https://github.com/mI-PIV/app/issues/316", "show")</f>
        <v>show</v>
      </c>
      <c r="G11542" t="str">
        <f>HYPERLINK("https://github.com/mI-PIV/app", "show")</f>
        <v>show</v>
      </c>
      <c r="H11542" t="str">
        <f>HYPERLINK("https://github.com/mI-PIV/app/releases", "show")</f>
        <v>show</v>
      </c>
      <c r="I11542">
        <v>1</v>
      </c>
      <c r="J11542">
        <v>0</v>
      </c>
      <c r="K11542">
        <v>0</v>
      </c>
      <c r="L11542">
        <v>0</v>
      </c>
      <c r="M11542" t="s">
        <v>17</v>
      </c>
    </row>
    <row r="11543" spans="1:13" hidden="1" x14ac:dyDescent="0.15">
      <c r="A11543" t="s">
        <v>36430</v>
      </c>
      <c r="B11543" t="s">
        <v>36431</v>
      </c>
      <c r="C11543" t="s">
        <v>36432</v>
      </c>
      <c r="D11543" t="s">
        <v>36429</v>
      </c>
      <c r="E11543">
        <v>0</v>
      </c>
      <c r="F11543" t="str">
        <f>HYPERLINK("https://github.com/ReVanced/revanced-integrations/issues/52", "show")</f>
        <v>show</v>
      </c>
      <c r="G11543" t="str">
        <f>HYPERLINK("https://github.com/ReVanced/revanced-integrations", "show")</f>
        <v>show</v>
      </c>
      <c r="H11543" t="str">
        <f>HYPERLINK("https://github.com/ReVanced/revanced-integrations/releases", "show")</f>
        <v>show</v>
      </c>
      <c r="I11543">
        <v>0</v>
      </c>
      <c r="J11543">
        <v>0</v>
      </c>
      <c r="K11543">
        <v>0</v>
      </c>
      <c r="L11543">
        <v>0</v>
      </c>
      <c r="M11543" t="s">
        <v>43</v>
      </c>
    </row>
    <row r="11544" spans="1:13" hidden="1" x14ac:dyDescent="0.15">
      <c r="A11544" t="s">
        <v>36433</v>
      </c>
      <c r="B11544" t="s">
        <v>36434</v>
      </c>
      <c r="C11544" t="s">
        <v>36435</v>
      </c>
      <c r="D11544" t="s">
        <v>36429</v>
      </c>
      <c r="E11544">
        <v>16</v>
      </c>
      <c r="F11544" t="str">
        <f>HYPERLINK("https://github.com/opensrp/opensrp-client-chw/issues/2079", "show")</f>
        <v>show</v>
      </c>
      <c r="G11544" t="str">
        <f>HYPERLINK("https://github.com/opensrp/opensrp-client-chw", "show")</f>
        <v>show</v>
      </c>
      <c r="H11544" t="str">
        <f>HYPERLINK("https://github.com/opensrp/opensrp-client-chw/releases", "show")</f>
        <v>show</v>
      </c>
      <c r="I11544">
        <v>1</v>
      </c>
      <c r="J11544">
        <v>0</v>
      </c>
      <c r="K11544">
        <v>1</v>
      </c>
      <c r="L11544">
        <v>0</v>
      </c>
      <c r="M11544" t="s">
        <v>64</v>
      </c>
    </row>
    <row r="11545" spans="1:13" hidden="1" x14ac:dyDescent="0.15">
      <c r="A11545" t="s">
        <v>36436</v>
      </c>
      <c r="B11545" t="s">
        <v>36437</v>
      </c>
      <c r="C11545" t="s">
        <v>36438</v>
      </c>
      <c r="D11545" t="s">
        <v>36439</v>
      </c>
      <c r="E11545">
        <v>74</v>
      </c>
      <c r="F11545" t="str">
        <f>HYPERLINK("https://github.com/therealsujitk/android-vtop-chennai/issues/44", "show")</f>
        <v>show</v>
      </c>
      <c r="G11545" t="str">
        <f>HYPERLINK("https://github.com/therealsujitk/android-vtop-chennai", "show")</f>
        <v>show</v>
      </c>
      <c r="H11545" t="str">
        <f>HYPERLINK("https://github.com/therealsujitk/android-vtop-chennai/releases", "show")</f>
        <v>show</v>
      </c>
      <c r="I11545">
        <v>1</v>
      </c>
      <c r="J11545">
        <v>0</v>
      </c>
      <c r="K11545">
        <v>0</v>
      </c>
      <c r="L11545">
        <v>1</v>
      </c>
      <c r="M11545" t="s">
        <v>29</v>
      </c>
    </row>
    <row r="11546" spans="1:13" hidden="1" x14ac:dyDescent="0.15">
      <c r="A11546" t="s">
        <v>36440</v>
      </c>
      <c r="B11546" t="s">
        <v>36441</v>
      </c>
      <c r="C11546" t="s">
        <v>36442</v>
      </c>
      <c r="D11546" t="s">
        <v>36439</v>
      </c>
      <c r="E11546">
        <v>60</v>
      </c>
      <c r="F11546" t="str">
        <f>HYPERLINK("https://github.com/PojavLauncherTeam/PojavLauncher/issues/3419", "show")</f>
        <v>show</v>
      </c>
      <c r="G11546" t="str">
        <f>HYPERLINK("https://github.com/PojavLauncherTeam/PojavLauncher", "show")</f>
        <v>show</v>
      </c>
      <c r="H11546" t="str">
        <f>HYPERLINK("https://github.com/PojavLauncherTeam/PojavLauncher/releases", "show")</f>
        <v>show</v>
      </c>
      <c r="I11546">
        <v>1</v>
      </c>
      <c r="J11546">
        <v>1</v>
      </c>
      <c r="K11546">
        <v>0</v>
      </c>
      <c r="L11546">
        <v>0</v>
      </c>
      <c r="M11546" t="s">
        <v>48</v>
      </c>
    </row>
    <row r="11547" spans="1:13" x14ac:dyDescent="0.15">
      <c r="A11547" t="s">
        <v>36443</v>
      </c>
      <c r="B11547" t="s">
        <v>36444</v>
      </c>
      <c r="C11547" t="s">
        <v>36445</v>
      </c>
      <c r="D11547" t="s">
        <v>36439</v>
      </c>
      <c r="E11547">
        <v>3</v>
      </c>
      <c r="F11547" t="str">
        <f>HYPERLINK("https://github.com/rudderlabs/rudder-sdk-android/issues/126", "show")</f>
        <v>show</v>
      </c>
      <c r="G11547" t="str">
        <f>HYPERLINK("https://github.com/rudderlabs/rudder-sdk-android", "show")</f>
        <v>show</v>
      </c>
      <c r="H11547" t="str">
        <f>HYPERLINK("https://github.com/rudderlabs/rudder-sdk-android/releases", "show")</f>
        <v>show</v>
      </c>
      <c r="I11547">
        <v>0</v>
      </c>
      <c r="J11547">
        <v>1</v>
      </c>
      <c r="K11547">
        <v>0</v>
      </c>
      <c r="L11547">
        <v>0</v>
      </c>
      <c r="M11547" t="s">
        <v>139</v>
      </c>
    </row>
    <row r="11548" spans="1:13" hidden="1" x14ac:dyDescent="0.15">
      <c r="A11548" t="s">
        <v>36446</v>
      </c>
      <c r="B11548" t="s">
        <v>141</v>
      </c>
      <c r="C11548" t="s">
        <v>10930</v>
      </c>
      <c r="D11548" t="s">
        <v>36447</v>
      </c>
      <c r="E11548">
        <v>0</v>
      </c>
      <c r="F11548" t="str">
        <f>HYPERLINK("https://github.com/AndroidIDEOfficial/AndroidIDE/issues/260", "show")</f>
        <v>show</v>
      </c>
      <c r="G11548" t="str">
        <f>HYPERLINK("https://github.com/AndroidIDEOfficial/AndroidIDE", "show")</f>
        <v>show</v>
      </c>
      <c r="H11548" t="str">
        <f>HYPERLINK("https://github.com/AndroidIDEOfficial/AndroidIDE/releases", "show")</f>
        <v>show</v>
      </c>
      <c r="I11548">
        <v>0</v>
      </c>
      <c r="J11548">
        <v>0</v>
      </c>
      <c r="K11548">
        <v>1</v>
      </c>
      <c r="L11548">
        <v>0</v>
      </c>
      <c r="M11548" t="s">
        <v>122</v>
      </c>
    </row>
    <row r="11549" spans="1:13" hidden="1" x14ac:dyDescent="0.15">
      <c r="A11549" t="s">
        <v>36448</v>
      </c>
      <c r="B11549" t="s">
        <v>36449</v>
      </c>
      <c r="C11549" t="s">
        <v>36450</v>
      </c>
      <c r="D11549" t="s">
        <v>36447</v>
      </c>
      <c r="E11549">
        <v>0</v>
      </c>
      <c r="F11549" t="str">
        <f>HYPERLINK("https://github.com/TeamNewPipe/NewPipe/issues/8570", "show")</f>
        <v>show</v>
      </c>
      <c r="G11549" t="str">
        <f>HYPERLINK("https://github.com/TeamNewPipe/NewPipe", "show")</f>
        <v>show</v>
      </c>
      <c r="H11549" t="str">
        <f>HYPERLINK("https://github.com/TeamNewPipe/NewPipe/releases", "show")</f>
        <v>show</v>
      </c>
      <c r="I11549">
        <v>0</v>
      </c>
      <c r="J11549">
        <v>0</v>
      </c>
      <c r="K11549">
        <v>1</v>
      </c>
      <c r="L11549">
        <v>0</v>
      </c>
      <c r="M11549" t="s">
        <v>122</v>
      </c>
    </row>
    <row r="11550" spans="1:13" hidden="1" x14ac:dyDescent="0.15">
      <c r="A11550" t="s">
        <v>36451</v>
      </c>
      <c r="B11550" t="s">
        <v>36452</v>
      </c>
      <c r="C11550" t="s">
        <v>36453</v>
      </c>
      <c r="D11550" t="s">
        <v>36447</v>
      </c>
      <c r="E11550">
        <v>0</v>
      </c>
      <c r="F11550" t="str">
        <f>HYPERLINK("https://github.com/Anuken/Mindustry/issues/7115", "show")</f>
        <v>show</v>
      </c>
      <c r="G11550" t="str">
        <f>HYPERLINK("https://github.com/Anuken/Mindustry", "show")</f>
        <v>show</v>
      </c>
      <c r="H11550" t="str">
        <f>HYPERLINK("https://github.com/Anuken/Mindustry/releases", "show")</f>
        <v>show</v>
      </c>
      <c r="I11550">
        <v>0</v>
      </c>
      <c r="J11550">
        <v>0</v>
      </c>
      <c r="K11550">
        <v>0</v>
      </c>
      <c r="L11550">
        <v>0</v>
      </c>
      <c r="M11550" t="s">
        <v>43</v>
      </c>
    </row>
    <row r="11551" spans="1:13" hidden="1" x14ac:dyDescent="0.15">
      <c r="A11551" t="s">
        <v>36454</v>
      </c>
      <c r="B11551" t="s">
        <v>36455</v>
      </c>
      <c r="C11551" t="s">
        <v>36456</v>
      </c>
      <c r="D11551" t="s">
        <v>36447</v>
      </c>
      <c r="E11551">
        <v>7</v>
      </c>
      <c r="F11551" t="str">
        <f>HYPERLINK("https://github.com/AndroidIDEOfficial/AndroidIDE/issues/257", "show")</f>
        <v>show</v>
      </c>
      <c r="G11551" t="str">
        <f>HYPERLINK("https://github.com/AndroidIDEOfficial/AndroidIDE", "show")</f>
        <v>show</v>
      </c>
      <c r="H11551" t="str">
        <f>HYPERLINK("https://github.com/AndroidIDEOfficial/AndroidIDE/releases", "show")</f>
        <v>show</v>
      </c>
      <c r="I11551">
        <v>0</v>
      </c>
      <c r="J11551">
        <v>0</v>
      </c>
      <c r="K11551">
        <v>1</v>
      </c>
      <c r="L11551">
        <v>0</v>
      </c>
      <c r="M11551" t="s">
        <v>122</v>
      </c>
    </row>
    <row r="11552" spans="1:13" x14ac:dyDescent="0.15">
      <c r="A11552" t="s">
        <v>36457</v>
      </c>
      <c r="B11552" t="s">
        <v>3180</v>
      </c>
      <c r="C11552" t="s">
        <v>11582</v>
      </c>
      <c r="D11552" t="s">
        <v>36447</v>
      </c>
      <c r="E11552">
        <v>1</v>
      </c>
      <c r="F11552" t="str">
        <f>HYPERLINK("https://github.com/nextcloud/android/issues/10469", "show")</f>
        <v>show</v>
      </c>
      <c r="G11552" t="str">
        <f>HYPERLINK("https://github.com/nextcloud/android", "show")</f>
        <v>show</v>
      </c>
      <c r="H11552" t="str">
        <f>HYPERLINK("https://github.com/nextcloud/android/releases", "show")</f>
        <v>show</v>
      </c>
      <c r="I11552">
        <v>0</v>
      </c>
      <c r="J11552">
        <v>1</v>
      </c>
      <c r="K11552">
        <v>0</v>
      </c>
      <c r="L11552">
        <v>0</v>
      </c>
      <c r="M11552" t="s">
        <v>139</v>
      </c>
    </row>
    <row r="11553" spans="1:13" hidden="1" x14ac:dyDescent="0.15">
      <c r="A11553" t="s">
        <v>36458</v>
      </c>
      <c r="B11553" t="s">
        <v>36459</v>
      </c>
      <c r="C11553" t="s">
        <v>31968</v>
      </c>
      <c r="D11553" t="s">
        <v>36460</v>
      </c>
      <c r="E11553">
        <v>47</v>
      </c>
      <c r="F11553" t="str">
        <f>HYPERLINK("https://github.com/nextcloud/android/issues/10467", "show")</f>
        <v>show</v>
      </c>
      <c r="G11553" t="str">
        <f>HYPERLINK("https://github.com/nextcloud/android", "show")</f>
        <v>show</v>
      </c>
      <c r="H11553" t="str">
        <f>HYPERLINK("https://github.com/nextcloud/android/releases", "show")</f>
        <v>show</v>
      </c>
      <c r="I11553">
        <v>0</v>
      </c>
      <c r="J11553">
        <v>0</v>
      </c>
      <c r="K11553">
        <v>1</v>
      </c>
      <c r="L11553">
        <v>0</v>
      </c>
      <c r="M11553" t="s">
        <v>122</v>
      </c>
    </row>
    <row r="11554" spans="1:13" x14ac:dyDescent="0.15">
      <c r="A11554" t="s">
        <v>36461</v>
      </c>
      <c r="B11554" t="s">
        <v>36462</v>
      </c>
      <c r="C11554" t="s">
        <v>36463</v>
      </c>
      <c r="D11554" t="s">
        <v>36460</v>
      </c>
      <c r="E11554">
        <v>62</v>
      </c>
      <c r="F11554" t="str">
        <f>HYPERLINK("https://github.com/PojavLauncherTeam/PojavLauncher/issues/3414", "show")</f>
        <v>show</v>
      </c>
      <c r="G11554" t="str">
        <f>HYPERLINK("https://github.com/PojavLauncherTeam/PojavLauncher", "show")</f>
        <v>show</v>
      </c>
      <c r="H11554" t="str">
        <f>HYPERLINK("https://github.com/PojavLauncherTeam/PojavLauncher/releases", "show")</f>
        <v>show</v>
      </c>
      <c r="I11554">
        <v>0</v>
      </c>
      <c r="J11554">
        <v>1</v>
      </c>
      <c r="K11554">
        <v>0</v>
      </c>
      <c r="L11554">
        <v>0</v>
      </c>
      <c r="M11554" t="s">
        <v>139</v>
      </c>
    </row>
    <row r="11555" spans="1:13" hidden="1" x14ac:dyDescent="0.15">
      <c r="A11555" t="s">
        <v>36464</v>
      </c>
      <c r="B11555" t="s">
        <v>36465</v>
      </c>
      <c r="C11555" t="s">
        <v>36466</v>
      </c>
      <c r="D11555" t="s">
        <v>36460</v>
      </c>
      <c r="E11555">
        <v>186</v>
      </c>
      <c r="F11555" t="str">
        <f>HYPERLINK("https://github.com/XBigTK13X/snowgloo/issues/62", "show")</f>
        <v>show</v>
      </c>
      <c r="G11555" t="str">
        <f>HYPERLINK("https://github.com/XBigTK13X/snowgloo", "show")</f>
        <v>show</v>
      </c>
      <c r="H11555" t="str">
        <f>HYPERLINK("https://github.com/XBigTK13X/snowgloo/releases", "show")</f>
        <v>show</v>
      </c>
      <c r="I11555">
        <v>1</v>
      </c>
      <c r="J11555">
        <v>0</v>
      </c>
      <c r="K11555">
        <v>0</v>
      </c>
      <c r="L11555">
        <v>0</v>
      </c>
      <c r="M11555" t="s">
        <v>17</v>
      </c>
    </row>
    <row r="11556" spans="1:13" hidden="1" x14ac:dyDescent="0.15">
      <c r="A11556" t="s">
        <v>36467</v>
      </c>
      <c r="B11556" t="s">
        <v>36468</v>
      </c>
      <c r="C11556" t="s">
        <v>36469</v>
      </c>
      <c r="D11556" t="s">
        <v>36460</v>
      </c>
      <c r="E11556">
        <v>45</v>
      </c>
      <c r="F11556" t="str">
        <f>HYPERLINK("https://github.com/nextcloud/android/issues/10466", "show")</f>
        <v>show</v>
      </c>
      <c r="G11556" t="str">
        <f>HYPERLINK("https://github.com/nextcloud/android", "show")</f>
        <v>show</v>
      </c>
      <c r="H11556" t="str">
        <f>HYPERLINK("https://github.com/nextcloud/android/releases", "show")</f>
        <v>show</v>
      </c>
      <c r="I11556">
        <v>1</v>
      </c>
      <c r="J11556">
        <v>1</v>
      </c>
      <c r="K11556">
        <v>0</v>
      </c>
      <c r="L11556">
        <v>0</v>
      </c>
      <c r="M11556" t="s">
        <v>48</v>
      </c>
    </row>
    <row r="11557" spans="1:13" hidden="1" x14ac:dyDescent="0.15">
      <c r="A11557" t="s">
        <v>36470</v>
      </c>
      <c r="B11557" t="s">
        <v>36471</v>
      </c>
      <c r="D11557" t="s">
        <v>36460</v>
      </c>
      <c r="E11557">
        <v>0</v>
      </c>
      <c r="F11557" t="str">
        <f>HYPERLINK("https://github.com/martinmimigames/little-music-player/issues/10", "show")</f>
        <v>show</v>
      </c>
      <c r="G11557" t="str">
        <f>HYPERLINK("https://github.com/martinmimigames/little-music-player", "show")</f>
        <v>show</v>
      </c>
      <c r="H11557" t="str">
        <f>HYPERLINK("https://github.com/martinmimigames/little-music-player/releases", "show")</f>
        <v>show</v>
      </c>
      <c r="I11557">
        <v>1</v>
      </c>
      <c r="J11557">
        <v>0</v>
      </c>
      <c r="K11557">
        <v>0</v>
      </c>
      <c r="L11557">
        <v>0</v>
      </c>
      <c r="M11557" t="s">
        <v>17</v>
      </c>
    </row>
    <row r="11558" spans="1:13" hidden="1" x14ac:dyDescent="0.15">
      <c r="A11558" t="s">
        <v>36472</v>
      </c>
      <c r="B11558" t="s">
        <v>36473</v>
      </c>
      <c r="C11558" t="s">
        <v>10930</v>
      </c>
      <c r="D11558" t="s">
        <v>36460</v>
      </c>
      <c r="E11558">
        <v>9</v>
      </c>
      <c r="F11558" t="str">
        <f>HYPERLINK("https://github.com/AndroidIDEOfficial/AndroidIDE/issues/255", "show")</f>
        <v>show</v>
      </c>
      <c r="G11558" t="str">
        <f>HYPERLINK("https://github.com/AndroidIDEOfficial/AndroidIDE", "show")</f>
        <v>show</v>
      </c>
      <c r="H11558" t="str">
        <f>HYPERLINK("https://github.com/AndroidIDEOfficial/AndroidIDE/releases", "show")</f>
        <v>show</v>
      </c>
      <c r="I11558">
        <v>0</v>
      </c>
      <c r="J11558">
        <v>0</v>
      </c>
      <c r="K11558">
        <v>1</v>
      </c>
      <c r="L11558">
        <v>0</v>
      </c>
      <c r="M11558" t="s">
        <v>122</v>
      </c>
    </row>
    <row r="11559" spans="1:13" hidden="1" x14ac:dyDescent="0.15">
      <c r="A11559" t="s">
        <v>36474</v>
      </c>
      <c r="B11559" t="s">
        <v>36475</v>
      </c>
      <c r="C11559" t="s">
        <v>36476</v>
      </c>
      <c r="D11559" t="s">
        <v>36460</v>
      </c>
      <c r="E11559">
        <v>34</v>
      </c>
      <c r="F11559" t="str">
        <f>HYPERLINK("https://github.com/kongzue/DialogX/issues/213", "show")</f>
        <v>show</v>
      </c>
      <c r="G11559" t="str">
        <f>HYPERLINK("https://github.com/kongzue/DialogX", "show")</f>
        <v>show</v>
      </c>
      <c r="H11559" t="str">
        <f>HYPERLINK("https://github.com/kongzue/DialogX/releases", "show")</f>
        <v>show</v>
      </c>
      <c r="I11559">
        <v>0</v>
      </c>
      <c r="J11559">
        <v>0</v>
      </c>
      <c r="K11559">
        <v>0</v>
      </c>
      <c r="L11559">
        <v>0</v>
      </c>
      <c r="M11559" t="s">
        <v>43</v>
      </c>
    </row>
    <row r="11560" spans="1:13" hidden="1" x14ac:dyDescent="0.15">
      <c r="A11560" t="s">
        <v>36477</v>
      </c>
      <c r="B11560" t="s">
        <v>36478</v>
      </c>
      <c r="C11560" t="s">
        <v>36479</v>
      </c>
      <c r="D11560" t="s">
        <v>36480</v>
      </c>
      <c r="E11560">
        <v>1</v>
      </c>
      <c r="F11560" t="str">
        <f>HYPERLINK("https://github.com/Marmo/debitum/issues/111", "show")</f>
        <v>show</v>
      </c>
      <c r="G11560" t="str">
        <f>HYPERLINK("https://github.com/Marmo/debitum", "show")</f>
        <v>show</v>
      </c>
      <c r="H11560" t="str">
        <f>HYPERLINK("https://github.com/Marmo/debitum/releases", "show")</f>
        <v>show</v>
      </c>
      <c r="I11560">
        <v>1</v>
      </c>
      <c r="J11560">
        <v>1</v>
      </c>
      <c r="K11560">
        <v>0</v>
      </c>
      <c r="L11560">
        <v>0</v>
      </c>
      <c r="M11560" t="s">
        <v>48</v>
      </c>
    </row>
    <row r="11561" spans="1:13" hidden="1" x14ac:dyDescent="0.15">
      <c r="A11561" t="s">
        <v>36481</v>
      </c>
      <c r="B11561" t="s">
        <v>36482</v>
      </c>
      <c r="C11561" t="s">
        <v>36483</v>
      </c>
      <c r="D11561" t="s">
        <v>36484</v>
      </c>
      <c r="E11561">
        <v>0</v>
      </c>
      <c r="F11561" t="str">
        <f>HYPERLINK("https://github.com/Anuken/Mindustry/issues/7100", "show")</f>
        <v>show</v>
      </c>
      <c r="G11561" t="str">
        <f>HYPERLINK("https://github.com/Anuken/Mindustry", "show")</f>
        <v>show</v>
      </c>
      <c r="H11561" t="str">
        <f>HYPERLINK("https://github.com/Anuken/Mindustry/releases", "show")</f>
        <v>show</v>
      </c>
      <c r="I11561">
        <v>1</v>
      </c>
      <c r="J11561">
        <v>1</v>
      </c>
      <c r="K11561">
        <v>0</v>
      </c>
      <c r="L11561">
        <v>0</v>
      </c>
      <c r="M11561" t="s">
        <v>48</v>
      </c>
    </row>
    <row r="11562" spans="1:13" hidden="1" x14ac:dyDescent="0.15">
      <c r="A11562" t="s">
        <v>36485</v>
      </c>
      <c r="B11562" t="s">
        <v>36486</v>
      </c>
      <c r="C11562" t="s">
        <v>36487</v>
      </c>
      <c r="D11562" t="s">
        <v>36484</v>
      </c>
      <c r="E11562">
        <v>139</v>
      </c>
      <c r="F11562" t="str">
        <f>HYPERLINK("https://github.com/react-native-share/react-native-share/issues/1240", "show")</f>
        <v>show</v>
      </c>
      <c r="G11562" t="str">
        <f>HYPERLINK("https://github.com/react-native-share/react-native-share", "show")</f>
        <v>show</v>
      </c>
      <c r="H11562" t="str">
        <f>HYPERLINK("https://github.com/react-native-share/react-native-share/releases", "show")</f>
        <v>show</v>
      </c>
      <c r="I11562">
        <v>1</v>
      </c>
      <c r="J11562">
        <v>1</v>
      </c>
      <c r="K11562">
        <v>0</v>
      </c>
      <c r="L11562">
        <v>0</v>
      </c>
      <c r="M11562" t="s">
        <v>48</v>
      </c>
    </row>
    <row r="11563" spans="1:13" hidden="1" x14ac:dyDescent="0.15">
      <c r="A11563" t="s">
        <v>36488</v>
      </c>
      <c r="B11563" t="s">
        <v>36489</v>
      </c>
      <c r="C11563" t="s">
        <v>36490</v>
      </c>
      <c r="D11563" t="s">
        <v>36484</v>
      </c>
      <c r="E11563">
        <v>0</v>
      </c>
      <c r="F11563" t="str">
        <f>HYPERLINK("https://github.com/TeamNewPipe/NewPipe/issues/8562", "show")</f>
        <v>show</v>
      </c>
      <c r="G11563" t="str">
        <f>HYPERLINK("https://github.com/TeamNewPipe/NewPipe", "show")</f>
        <v>show</v>
      </c>
      <c r="H11563" t="str">
        <f>HYPERLINK("https://github.com/TeamNewPipe/NewPipe/releases", "show")</f>
        <v>show</v>
      </c>
      <c r="I11563">
        <v>1</v>
      </c>
      <c r="J11563">
        <v>0</v>
      </c>
      <c r="K11563">
        <v>1</v>
      </c>
      <c r="L11563">
        <v>0</v>
      </c>
      <c r="M11563" t="s">
        <v>64</v>
      </c>
    </row>
    <row r="11564" spans="1:13" hidden="1" x14ac:dyDescent="0.15">
      <c r="A11564" t="s">
        <v>36491</v>
      </c>
      <c r="B11564" t="s">
        <v>36492</v>
      </c>
      <c r="C11564" t="s">
        <v>36493</v>
      </c>
      <c r="D11564" t="s">
        <v>36494</v>
      </c>
      <c r="E11564">
        <v>1</v>
      </c>
      <c r="F11564" t="str">
        <f>HYPERLINK("https://github.com/MuntashirAkon/AppManager/issues/792", "show")</f>
        <v>show</v>
      </c>
      <c r="G11564" t="str">
        <f>HYPERLINK("https://github.com/MuntashirAkon/AppManager", "show")</f>
        <v>show</v>
      </c>
      <c r="H11564" t="str">
        <f>HYPERLINK("https://github.com/MuntashirAkon/AppManager/releases", "show")</f>
        <v>show</v>
      </c>
      <c r="I11564">
        <v>1</v>
      </c>
      <c r="J11564">
        <v>1</v>
      </c>
      <c r="K11564">
        <v>1</v>
      </c>
      <c r="L11564">
        <v>0</v>
      </c>
      <c r="M11564" t="s">
        <v>59</v>
      </c>
    </row>
    <row r="11565" spans="1:13" hidden="1" x14ac:dyDescent="0.15">
      <c r="A11565" t="s">
        <v>36495</v>
      </c>
      <c r="B11565" t="s">
        <v>36496</v>
      </c>
      <c r="C11565" t="s">
        <v>36497</v>
      </c>
      <c r="D11565" t="s">
        <v>36494</v>
      </c>
      <c r="E11565">
        <v>226</v>
      </c>
      <c r="F11565" t="str">
        <f>HYPERLINK("https://github.com/4Q-s-r-o/ota_update/issues/81", "show")</f>
        <v>show</v>
      </c>
      <c r="G11565" t="str">
        <f>HYPERLINK("https://github.com/4Q-s-r-o/ota_update", "show")</f>
        <v>show</v>
      </c>
      <c r="H11565" t="str">
        <f>HYPERLINK("https://github.com/4Q-s-r-o/ota_update/releases", "show")</f>
        <v>show</v>
      </c>
      <c r="I11565">
        <v>0</v>
      </c>
      <c r="J11565">
        <v>0</v>
      </c>
      <c r="K11565">
        <v>1</v>
      </c>
      <c r="L11565">
        <v>0</v>
      </c>
      <c r="M11565" t="s">
        <v>122</v>
      </c>
    </row>
    <row r="11566" spans="1:13" hidden="1" x14ac:dyDescent="0.15">
      <c r="A11566" t="s">
        <v>36498</v>
      </c>
      <c r="B11566" t="s">
        <v>36499</v>
      </c>
      <c r="C11566" t="s">
        <v>36500</v>
      </c>
      <c r="D11566" t="s">
        <v>36494</v>
      </c>
      <c r="E11566">
        <v>1</v>
      </c>
      <c r="F11566" t="str">
        <f>HYPERLINK("https://github.com/getActivity/EasyHttp/issues/126", "show")</f>
        <v>show</v>
      </c>
      <c r="G11566" t="str">
        <f>HYPERLINK("https://github.com/getActivity/EasyHttp", "show")</f>
        <v>show</v>
      </c>
      <c r="H11566" t="str">
        <f>HYPERLINK("https://github.com/getActivity/EasyHttp/releases", "show")</f>
        <v>show</v>
      </c>
      <c r="I11566">
        <v>0</v>
      </c>
      <c r="J11566">
        <v>0</v>
      </c>
      <c r="K11566">
        <v>0</v>
      </c>
      <c r="L11566">
        <v>1</v>
      </c>
      <c r="M11566" t="s">
        <v>581</v>
      </c>
    </row>
    <row r="11567" spans="1:13" hidden="1" x14ac:dyDescent="0.15">
      <c r="A11567" t="s">
        <v>36501</v>
      </c>
      <c r="B11567" t="s">
        <v>36502</v>
      </c>
      <c r="C11567" t="s">
        <v>36503</v>
      </c>
      <c r="D11567" t="s">
        <v>36504</v>
      </c>
      <c r="E11567">
        <v>4</v>
      </c>
      <c r="F11567" t="str">
        <f>HYPERLINK("https://github.com/AndroidIDEOfficial/AndroidIDE/issues/240", "show")</f>
        <v>show</v>
      </c>
      <c r="G11567" t="str">
        <f>HYPERLINK("https://github.com/AndroidIDEOfficial/AndroidIDE", "show")</f>
        <v>show</v>
      </c>
      <c r="H11567" t="str">
        <f>HYPERLINK("https://github.com/AndroidIDEOfficial/AndroidIDE/releases", "show")</f>
        <v>show</v>
      </c>
      <c r="I11567">
        <v>0</v>
      </c>
      <c r="J11567">
        <v>0</v>
      </c>
      <c r="K11567">
        <v>1</v>
      </c>
      <c r="L11567">
        <v>1</v>
      </c>
      <c r="M11567" t="s">
        <v>351</v>
      </c>
    </row>
    <row r="11568" spans="1:13" hidden="1" x14ac:dyDescent="0.15">
      <c r="A11568" t="s">
        <v>36505</v>
      </c>
      <c r="B11568" t="s">
        <v>36506</v>
      </c>
      <c r="C11568" t="s">
        <v>36507</v>
      </c>
      <c r="D11568" t="s">
        <v>36504</v>
      </c>
      <c r="E11568">
        <v>0</v>
      </c>
      <c r="F11568" t="str">
        <f>HYPERLINK("https://github.com/Anuken/Mindustry/issues/7087", "show")</f>
        <v>show</v>
      </c>
      <c r="G11568" t="str">
        <f>HYPERLINK("https://github.com/Anuken/Mindustry", "show")</f>
        <v>show</v>
      </c>
      <c r="H11568" t="str">
        <f>HYPERLINK("https://github.com/Anuken/Mindustry/releases", "show")</f>
        <v>show</v>
      </c>
      <c r="I11568">
        <v>0</v>
      </c>
      <c r="J11568">
        <v>0</v>
      </c>
      <c r="K11568">
        <v>1</v>
      </c>
      <c r="L11568">
        <v>0</v>
      </c>
      <c r="M11568" t="s">
        <v>122</v>
      </c>
    </row>
    <row r="11569" spans="1:13" hidden="1" x14ac:dyDescent="0.15">
      <c r="A11569" t="s">
        <v>36508</v>
      </c>
      <c r="B11569" t="s">
        <v>36509</v>
      </c>
      <c r="C11569" t="s">
        <v>36510</v>
      </c>
      <c r="D11569" t="s">
        <v>36504</v>
      </c>
      <c r="E11569">
        <v>37</v>
      </c>
      <c r="F11569" t="str">
        <f>HYPERLINK("https://github.com/OpenTracksApp/OpenTracks/issues/1301", "show")</f>
        <v>show</v>
      </c>
      <c r="G11569" t="str">
        <f>HYPERLINK("https://github.com/OpenTracksApp/OpenTracks", "show")</f>
        <v>show</v>
      </c>
      <c r="H11569" t="str">
        <f>HYPERLINK("https://github.com/OpenTracksApp/OpenTracks/releases", "show")</f>
        <v>show</v>
      </c>
      <c r="I11569">
        <v>1</v>
      </c>
      <c r="J11569">
        <v>1</v>
      </c>
      <c r="K11569">
        <v>1</v>
      </c>
      <c r="L11569">
        <v>0</v>
      </c>
      <c r="M11569" t="s">
        <v>59</v>
      </c>
    </row>
    <row r="11570" spans="1:13" hidden="1" x14ac:dyDescent="0.15">
      <c r="A11570" t="s">
        <v>36511</v>
      </c>
      <c r="B11570" t="s">
        <v>36512</v>
      </c>
      <c r="C11570" t="s">
        <v>10930</v>
      </c>
      <c r="D11570" t="s">
        <v>36513</v>
      </c>
      <c r="E11570">
        <v>14</v>
      </c>
      <c r="F11570" t="str">
        <f>HYPERLINK("https://github.com/AndroidIDEOfficial/AndroidIDE/issues/235", "show")</f>
        <v>show</v>
      </c>
      <c r="G11570" t="str">
        <f>HYPERLINK("https://github.com/AndroidIDEOfficial/AndroidIDE", "show")</f>
        <v>show</v>
      </c>
      <c r="H11570" t="str">
        <f>HYPERLINK("https://github.com/AndroidIDEOfficial/AndroidIDE/releases", "show")</f>
        <v>show</v>
      </c>
      <c r="I11570">
        <v>0</v>
      </c>
      <c r="J11570">
        <v>0</v>
      </c>
      <c r="K11570">
        <v>1</v>
      </c>
      <c r="L11570">
        <v>0</v>
      </c>
      <c r="M11570" t="s">
        <v>122</v>
      </c>
    </row>
    <row r="11571" spans="1:13" hidden="1" x14ac:dyDescent="0.15">
      <c r="A11571" t="s">
        <v>36514</v>
      </c>
      <c r="B11571" t="s">
        <v>36515</v>
      </c>
      <c r="C11571" t="s">
        <v>36516</v>
      </c>
      <c r="D11571" t="s">
        <v>36517</v>
      </c>
      <c r="E11571">
        <v>6</v>
      </c>
      <c r="F11571" t="str">
        <f>HYPERLINK("https://github.com/TeamNewPipe/NewPipe/issues/8553", "show")</f>
        <v>show</v>
      </c>
      <c r="G11571" t="str">
        <f>HYPERLINK("https://github.com/TeamNewPipe/NewPipe", "show")</f>
        <v>show</v>
      </c>
      <c r="H11571" t="str">
        <f>HYPERLINK("https://github.com/TeamNewPipe/NewPipe/releases", "show")</f>
        <v>show</v>
      </c>
      <c r="I11571">
        <v>1</v>
      </c>
      <c r="J11571">
        <v>1</v>
      </c>
      <c r="K11571">
        <v>1</v>
      </c>
      <c r="L11571">
        <v>0</v>
      </c>
      <c r="M11571" t="s">
        <v>59</v>
      </c>
    </row>
    <row r="11572" spans="1:13" hidden="1" x14ac:dyDescent="0.15">
      <c r="A11572" t="s">
        <v>36518</v>
      </c>
      <c r="B11572" t="s">
        <v>36519</v>
      </c>
      <c r="D11572" t="s">
        <v>36520</v>
      </c>
      <c r="E11572">
        <v>49</v>
      </c>
      <c r="F11572" t="str">
        <f>HYPERLINK("https://github.com/AndroidIDEOfficial/AndroidIDE/issues/228", "show")</f>
        <v>show</v>
      </c>
      <c r="G11572" t="str">
        <f>HYPERLINK("https://github.com/AndroidIDEOfficial/AndroidIDE", "show")</f>
        <v>show</v>
      </c>
      <c r="H11572" t="str">
        <f>HYPERLINK("https://github.com/AndroidIDEOfficial/AndroidIDE/releases", "show")</f>
        <v>show</v>
      </c>
      <c r="I11572">
        <v>0</v>
      </c>
      <c r="J11572">
        <v>0</v>
      </c>
      <c r="K11572">
        <v>1</v>
      </c>
      <c r="L11572">
        <v>0</v>
      </c>
      <c r="M11572" t="s">
        <v>122</v>
      </c>
    </row>
    <row r="11573" spans="1:13" hidden="1" x14ac:dyDescent="0.15">
      <c r="A11573" t="s">
        <v>36521</v>
      </c>
      <c r="B11573" t="s">
        <v>36522</v>
      </c>
      <c r="C11573" t="s">
        <v>36523</v>
      </c>
      <c r="D11573" t="s">
        <v>36524</v>
      </c>
      <c r="E11573">
        <v>11</v>
      </c>
      <c r="F11573" t="str">
        <f>HYPERLINK("https://github.com/react-native-video/react-native-video/issues/2743", "show")</f>
        <v>show</v>
      </c>
      <c r="G11573" t="str">
        <f>HYPERLINK("https://github.com/react-native-video/react-native-video", "show")</f>
        <v>show</v>
      </c>
      <c r="H11573" t="str">
        <f>HYPERLINK("https://github.com/react-native-video/react-native-video/releases", "show")</f>
        <v>show</v>
      </c>
      <c r="I11573">
        <v>1</v>
      </c>
      <c r="J11573">
        <v>0</v>
      </c>
      <c r="K11573">
        <v>0</v>
      </c>
      <c r="L11573">
        <v>0</v>
      </c>
      <c r="M11573" t="s">
        <v>17</v>
      </c>
    </row>
    <row r="11574" spans="1:13" hidden="1" x14ac:dyDescent="0.15">
      <c r="A11574" t="s">
        <v>36525</v>
      </c>
      <c r="B11574" t="s">
        <v>36526</v>
      </c>
      <c r="C11574" t="s">
        <v>36527</v>
      </c>
      <c r="D11574" t="s">
        <v>36524</v>
      </c>
      <c r="E11574">
        <v>0</v>
      </c>
      <c r="F11574" t="str">
        <f>HYPERLINK("https://github.com/SensorApps/Sensors2OSC/issues/39", "show")</f>
        <v>show</v>
      </c>
      <c r="G11574" t="str">
        <f>HYPERLINK("https://github.com/SensorApps/Sensors2OSC", "show")</f>
        <v>show</v>
      </c>
      <c r="H11574" t="str">
        <f>HYPERLINK("https://github.com/SensorApps/Sensors2OSC/releases", "show")</f>
        <v>show</v>
      </c>
      <c r="I11574">
        <v>1</v>
      </c>
      <c r="J11574">
        <v>0</v>
      </c>
      <c r="K11574">
        <v>0</v>
      </c>
      <c r="L11574">
        <v>0</v>
      </c>
      <c r="M11574" t="s">
        <v>17</v>
      </c>
    </row>
    <row r="11575" spans="1:13" hidden="1" x14ac:dyDescent="0.15">
      <c r="A11575" t="s">
        <v>36528</v>
      </c>
      <c r="B11575" t="s">
        <v>36529</v>
      </c>
      <c r="C11575" t="s">
        <v>36530</v>
      </c>
      <c r="D11575" t="s">
        <v>36524</v>
      </c>
      <c r="E11575">
        <v>0</v>
      </c>
      <c r="F11575" t="str">
        <f>HYPERLINK("https://github.com/SensorApps/Sensors2OSC/issues/38", "show")</f>
        <v>show</v>
      </c>
      <c r="G11575" t="str">
        <f>HYPERLINK("https://github.com/SensorApps/Sensors2OSC", "show")</f>
        <v>show</v>
      </c>
      <c r="H11575" t="str">
        <f>HYPERLINK("https://github.com/SensorApps/Sensors2OSC/releases", "show")</f>
        <v>show</v>
      </c>
      <c r="I11575">
        <v>1</v>
      </c>
      <c r="J11575">
        <v>0</v>
      </c>
      <c r="K11575">
        <v>0</v>
      </c>
      <c r="L11575">
        <v>0</v>
      </c>
      <c r="M11575" t="s">
        <v>17</v>
      </c>
    </row>
    <row r="11576" spans="1:13" hidden="1" x14ac:dyDescent="0.15">
      <c r="A11576" t="s">
        <v>36531</v>
      </c>
      <c r="B11576" t="s">
        <v>36532</v>
      </c>
      <c r="C11576" t="s">
        <v>36533</v>
      </c>
      <c r="D11576" t="s">
        <v>36524</v>
      </c>
      <c r="E11576">
        <v>21</v>
      </c>
      <c r="F11576" t="str">
        <f>HYPERLINK("https://github.com/PojavLauncherTeam/PojavLauncher/issues/3404", "show")</f>
        <v>show</v>
      </c>
      <c r="G11576" t="str">
        <f>HYPERLINK("https://github.com/PojavLauncherTeam/PojavLauncher", "show")</f>
        <v>show</v>
      </c>
      <c r="H11576" t="str">
        <f>HYPERLINK("https://github.com/PojavLauncherTeam/PojavLauncher/releases", "show")</f>
        <v>show</v>
      </c>
      <c r="I11576">
        <v>1</v>
      </c>
      <c r="J11576">
        <v>0</v>
      </c>
      <c r="K11576">
        <v>0</v>
      </c>
      <c r="L11576">
        <v>0</v>
      </c>
      <c r="M11576" t="s">
        <v>17</v>
      </c>
    </row>
    <row r="11577" spans="1:13" hidden="1" x14ac:dyDescent="0.15">
      <c r="A11577" t="s">
        <v>36534</v>
      </c>
      <c r="B11577" t="s">
        <v>36535</v>
      </c>
      <c r="C11577" t="s">
        <v>36536</v>
      </c>
      <c r="D11577" t="s">
        <v>36524</v>
      </c>
      <c r="E11577">
        <v>1</v>
      </c>
      <c r="F11577" t="str">
        <f>HYPERLINK("https://github.com/Anuken/Mindustry/issues/7069", "show")</f>
        <v>show</v>
      </c>
      <c r="G11577" t="str">
        <f>HYPERLINK("https://github.com/Anuken/Mindustry", "show")</f>
        <v>show</v>
      </c>
      <c r="H11577" t="str">
        <f>HYPERLINK("https://github.com/Anuken/Mindustry/releases", "show")</f>
        <v>show</v>
      </c>
      <c r="I11577">
        <v>1</v>
      </c>
      <c r="J11577">
        <v>0</v>
      </c>
      <c r="K11577">
        <v>0</v>
      </c>
      <c r="L11577">
        <v>1</v>
      </c>
      <c r="M11577" t="s">
        <v>29</v>
      </c>
    </row>
    <row r="11578" spans="1:13" hidden="1" x14ac:dyDescent="0.15">
      <c r="A11578" t="s">
        <v>36537</v>
      </c>
      <c r="B11578" t="s">
        <v>36538</v>
      </c>
      <c r="C11578" t="s">
        <v>36539</v>
      </c>
      <c r="D11578" t="s">
        <v>36524</v>
      </c>
      <c r="E11578">
        <v>0</v>
      </c>
      <c r="F11578" t="str">
        <f>HYPERLINK("https://github.com/AndroidIDEOfficial/AndroidIDE/issues/227", "show")</f>
        <v>show</v>
      </c>
      <c r="G11578" t="str">
        <f>HYPERLINK("https://github.com/AndroidIDEOfficial/AndroidIDE", "show")</f>
        <v>show</v>
      </c>
      <c r="H11578" t="str">
        <f>HYPERLINK("https://github.com/AndroidIDEOfficial/AndroidIDE/releases", "show")</f>
        <v>show</v>
      </c>
      <c r="I11578">
        <v>0</v>
      </c>
      <c r="J11578">
        <v>0</v>
      </c>
      <c r="K11578">
        <v>1</v>
      </c>
      <c r="L11578">
        <v>0</v>
      </c>
      <c r="M11578" t="s">
        <v>122</v>
      </c>
    </row>
    <row r="11579" spans="1:13" x14ac:dyDescent="0.15">
      <c r="A11579" t="s">
        <v>36540</v>
      </c>
      <c r="B11579" t="s">
        <v>36541</v>
      </c>
      <c r="C11579" t="s">
        <v>36542</v>
      </c>
      <c r="D11579" t="s">
        <v>36524</v>
      </c>
      <c r="E11579">
        <v>0</v>
      </c>
      <c r="F11579" t="str">
        <f>HYPERLINK("https://github.com/PojavLauncherTeam/PojavLauncher/issues/3403", "show")</f>
        <v>show</v>
      </c>
      <c r="G11579" t="str">
        <f>HYPERLINK("https://github.com/PojavLauncherTeam/PojavLauncher", "show")</f>
        <v>show</v>
      </c>
      <c r="H11579" t="str">
        <f>HYPERLINK("https://github.com/PojavLauncherTeam/PojavLauncher/releases", "show")</f>
        <v>show</v>
      </c>
      <c r="I11579">
        <v>0</v>
      </c>
      <c r="J11579">
        <v>1</v>
      </c>
      <c r="K11579">
        <v>0</v>
      </c>
      <c r="L11579">
        <v>0</v>
      </c>
      <c r="M11579" t="s">
        <v>139</v>
      </c>
    </row>
    <row r="11580" spans="1:13" hidden="1" x14ac:dyDescent="0.15">
      <c r="A11580" t="s">
        <v>36543</v>
      </c>
      <c r="B11580" t="s">
        <v>36544</v>
      </c>
      <c r="C11580" t="s">
        <v>36545</v>
      </c>
      <c r="D11580" t="s">
        <v>36524</v>
      </c>
      <c r="E11580">
        <v>0</v>
      </c>
      <c r="F11580" t="str">
        <f>HYPERLINK("https://github.com/MuntashirAkon/AppManager/issues/787", "show")</f>
        <v>show</v>
      </c>
      <c r="G11580" t="str">
        <f>HYPERLINK("https://github.com/MuntashirAkon/AppManager", "show")</f>
        <v>show</v>
      </c>
      <c r="H11580" t="str">
        <f>HYPERLINK("https://github.com/MuntashirAkon/AppManager/releases", "show")</f>
        <v>show</v>
      </c>
      <c r="I11580">
        <v>1</v>
      </c>
      <c r="J11580">
        <v>1</v>
      </c>
      <c r="K11580">
        <v>0</v>
      </c>
      <c r="L11580">
        <v>1</v>
      </c>
      <c r="M11580" t="s">
        <v>1894</v>
      </c>
    </row>
    <row r="11581" spans="1:13" hidden="1" x14ac:dyDescent="0.15">
      <c r="A11581" t="s">
        <v>36546</v>
      </c>
      <c r="B11581" t="s">
        <v>36547</v>
      </c>
      <c r="C11581" t="s">
        <v>36548</v>
      </c>
      <c r="D11581" t="s">
        <v>36549</v>
      </c>
      <c r="E11581">
        <v>0</v>
      </c>
      <c r="F11581" t="str">
        <f>HYPERLINK("https://github.com/MuntashirAkon/AppManager/issues/786", "show")</f>
        <v>show</v>
      </c>
      <c r="G11581" t="str">
        <f>HYPERLINK("https://github.com/MuntashirAkon/AppManager", "show")</f>
        <v>show</v>
      </c>
      <c r="H11581" t="str">
        <f>HYPERLINK("https://github.com/MuntashirAkon/AppManager/releases", "show")</f>
        <v>show</v>
      </c>
      <c r="I11581">
        <v>1</v>
      </c>
      <c r="J11581">
        <v>1</v>
      </c>
      <c r="K11581">
        <v>1</v>
      </c>
      <c r="L11581">
        <v>0</v>
      </c>
      <c r="M11581" t="s">
        <v>59</v>
      </c>
    </row>
    <row r="11582" spans="1:13" hidden="1" x14ac:dyDescent="0.15">
      <c r="A11582" t="s">
        <v>36550</v>
      </c>
      <c r="B11582" t="s">
        <v>36551</v>
      </c>
      <c r="C11582" t="s">
        <v>36552</v>
      </c>
      <c r="D11582" t="s">
        <v>36549</v>
      </c>
      <c r="E11582">
        <v>0</v>
      </c>
      <c r="F11582" t="str">
        <f>HYPERLINK("https://github.com/Anuken/Mindustry/issues/7064", "show")</f>
        <v>show</v>
      </c>
      <c r="G11582" t="str">
        <f>HYPERLINK("https://github.com/Anuken/Mindustry", "show")</f>
        <v>show</v>
      </c>
      <c r="H11582" t="str">
        <f>HYPERLINK("https://github.com/Anuken/Mindustry/releases", "show")</f>
        <v>show</v>
      </c>
      <c r="I11582">
        <v>0</v>
      </c>
      <c r="J11582">
        <v>0</v>
      </c>
      <c r="K11582">
        <v>0</v>
      </c>
      <c r="L11582">
        <v>1</v>
      </c>
      <c r="M11582" t="s">
        <v>581</v>
      </c>
    </row>
    <row r="11583" spans="1:13" hidden="1" x14ac:dyDescent="0.15">
      <c r="A11583" t="s">
        <v>36553</v>
      </c>
      <c r="B11583" t="s">
        <v>36554</v>
      </c>
      <c r="C11583" t="s">
        <v>36555</v>
      </c>
      <c r="D11583" t="s">
        <v>36549</v>
      </c>
      <c r="E11583">
        <v>71</v>
      </c>
      <c r="F11583" t="str">
        <f>HYPERLINK("https://github.com/PojavLauncherTeam/PojavLauncher/issues/3400", "show")</f>
        <v>show</v>
      </c>
      <c r="G11583" t="str">
        <f>HYPERLINK("https://github.com/PojavLauncherTeam/PojavLauncher", "show")</f>
        <v>show</v>
      </c>
      <c r="H11583" t="str">
        <f>HYPERLINK("https://github.com/PojavLauncherTeam/PojavLauncher/releases", "show")</f>
        <v>show</v>
      </c>
      <c r="I11583">
        <v>1</v>
      </c>
      <c r="J11583">
        <v>0</v>
      </c>
      <c r="K11583">
        <v>0</v>
      </c>
      <c r="L11583">
        <v>1</v>
      </c>
      <c r="M11583" t="s">
        <v>29</v>
      </c>
    </row>
    <row r="11584" spans="1:13" hidden="1" x14ac:dyDescent="0.15">
      <c r="A11584" t="s">
        <v>36556</v>
      </c>
      <c r="B11584" t="s">
        <v>36557</v>
      </c>
      <c r="C11584" t="s">
        <v>36558</v>
      </c>
      <c r="D11584" t="s">
        <v>36559</v>
      </c>
      <c r="E11584">
        <v>72</v>
      </c>
      <c r="F11584" t="str">
        <f>HYPERLINK("https://github.com/PojavLauncherTeam/PojavLauncher/issues/3398", "show")</f>
        <v>show</v>
      </c>
      <c r="G11584" t="str">
        <f>HYPERLINK("https://github.com/PojavLauncherTeam/PojavLauncher", "show")</f>
        <v>show</v>
      </c>
      <c r="H11584" t="str">
        <f>HYPERLINK("https://github.com/PojavLauncherTeam/PojavLauncher/releases", "show")</f>
        <v>show</v>
      </c>
      <c r="I11584">
        <v>0</v>
      </c>
      <c r="J11584">
        <v>0</v>
      </c>
      <c r="K11584">
        <v>0</v>
      </c>
      <c r="L11584">
        <v>0</v>
      </c>
      <c r="M11584" t="s">
        <v>43</v>
      </c>
    </row>
    <row r="11585" spans="1:13" hidden="1" x14ac:dyDescent="0.15">
      <c r="A11585" t="s">
        <v>36560</v>
      </c>
      <c r="B11585" t="s">
        <v>36561</v>
      </c>
      <c r="C11585" t="s">
        <v>36562</v>
      </c>
      <c r="D11585" t="s">
        <v>36559</v>
      </c>
      <c r="E11585">
        <v>0</v>
      </c>
      <c r="F11585" t="str">
        <f>HYPERLINK("https://github.com/Igalia/wolvic/issues/152", "show")</f>
        <v>show</v>
      </c>
      <c r="G11585" t="str">
        <f>HYPERLINK("https://github.com/Igalia/wolvic", "show")</f>
        <v>show</v>
      </c>
      <c r="H11585" t="str">
        <f>HYPERLINK("https://github.com/Igalia/wolvic/releases", "show")</f>
        <v>show</v>
      </c>
      <c r="I11585">
        <v>1</v>
      </c>
      <c r="J11585">
        <v>0</v>
      </c>
      <c r="K11585">
        <v>1</v>
      </c>
      <c r="L11585">
        <v>0</v>
      </c>
      <c r="M11585" t="s">
        <v>64</v>
      </c>
    </row>
    <row r="11586" spans="1:13" hidden="1" x14ac:dyDescent="0.15">
      <c r="A11586" t="s">
        <v>36563</v>
      </c>
      <c r="B11586" t="s">
        <v>36564</v>
      </c>
      <c r="C11586" t="s">
        <v>36565</v>
      </c>
      <c r="D11586" t="s">
        <v>36559</v>
      </c>
      <c r="E11586">
        <v>0</v>
      </c>
      <c r="F11586" t="str">
        <f>HYPERLINK("https://github.com/Anuken/Mindustry/issues/7057", "show")</f>
        <v>show</v>
      </c>
      <c r="G11586" t="str">
        <f>HYPERLINK("https://github.com/Anuken/Mindustry", "show")</f>
        <v>show</v>
      </c>
      <c r="H11586" t="str">
        <f>HYPERLINK("https://github.com/Anuken/Mindustry/releases", "show")</f>
        <v>show</v>
      </c>
      <c r="I11586">
        <v>0</v>
      </c>
      <c r="J11586">
        <v>0</v>
      </c>
      <c r="K11586">
        <v>0</v>
      </c>
      <c r="L11586">
        <v>0</v>
      </c>
      <c r="M11586" t="s">
        <v>43</v>
      </c>
    </row>
    <row r="11587" spans="1:13" hidden="1" x14ac:dyDescent="0.15">
      <c r="A11587" t="s">
        <v>36566</v>
      </c>
      <c r="B11587" t="s">
        <v>36567</v>
      </c>
      <c r="C11587" t="s">
        <v>36568</v>
      </c>
      <c r="D11587" t="s">
        <v>36559</v>
      </c>
      <c r="E11587">
        <v>99</v>
      </c>
      <c r="F11587" t="str">
        <f>HYPERLINK("https://github.com/NordicSemiconductor/Android-BLE-Library/issues/402", "show")</f>
        <v>show</v>
      </c>
      <c r="G11587" t="str">
        <f>HYPERLINK("https://github.com/NordicSemiconductor/Android-BLE-Library", "show")</f>
        <v>show</v>
      </c>
      <c r="H11587" t="str">
        <f>HYPERLINK("https://github.com/NordicSemiconductor/Android-BLE-Library/releases", "show")</f>
        <v>show</v>
      </c>
      <c r="I11587">
        <v>0</v>
      </c>
      <c r="J11587">
        <v>0</v>
      </c>
      <c r="K11587">
        <v>1</v>
      </c>
      <c r="L11587">
        <v>0</v>
      </c>
      <c r="M11587" t="s">
        <v>122</v>
      </c>
    </row>
    <row r="11588" spans="1:13" hidden="1" x14ac:dyDescent="0.15">
      <c r="A11588" t="s">
        <v>36569</v>
      </c>
      <c r="B11588" t="s">
        <v>36570</v>
      </c>
      <c r="C11588" t="s">
        <v>36571</v>
      </c>
      <c r="D11588" t="s">
        <v>36572</v>
      </c>
      <c r="E11588">
        <v>2</v>
      </c>
      <c r="F11588" t="str">
        <f>HYPERLINK("https://github.com/nextcloud/android/issues/10422", "show")</f>
        <v>show</v>
      </c>
      <c r="G11588" t="str">
        <f>HYPERLINK("https://github.com/nextcloud/android", "show")</f>
        <v>show</v>
      </c>
      <c r="H11588" t="str">
        <f>HYPERLINK("https://github.com/nextcloud/android/releases", "show")</f>
        <v>show</v>
      </c>
      <c r="I11588">
        <v>0</v>
      </c>
      <c r="J11588">
        <v>0</v>
      </c>
      <c r="K11588">
        <v>1</v>
      </c>
      <c r="L11588">
        <v>0</v>
      </c>
      <c r="M11588" t="s">
        <v>122</v>
      </c>
    </row>
    <row r="11589" spans="1:13" hidden="1" x14ac:dyDescent="0.15">
      <c r="A11589" t="s">
        <v>36573</v>
      </c>
      <c r="B11589" t="s">
        <v>36574</v>
      </c>
      <c r="C11589" t="s">
        <v>36575</v>
      </c>
      <c r="D11589" t="s">
        <v>36576</v>
      </c>
      <c r="E11589">
        <v>8</v>
      </c>
      <c r="F11589" t="str">
        <f>HYPERLINK("https://github.com/SORMAS-Foundation/SORMAS-Project/issues/9558", "show")</f>
        <v>show</v>
      </c>
      <c r="G11589" t="str">
        <f>HYPERLINK("https://github.com/SORMAS-Foundation/SORMAS-Project", "show")</f>
        <v>show</v>
      </c>
      <c r="H11589" t="str">
        <f>HYPERLINK("https://github.com/SORMAS-Foundation/SORMAS-Project/releases", "show")</f>
        <v>show</v>
      </c>
      <c r="I11589">
        <v>1</v>
      </c>
      <c r="J11589">
        <v>1</v>
      </c>
      <c r="K11589">
        <v>0</v>
      </c>
      <c r="L11589">
        <v>0</v>
      </c>
      <c r="M11589" t="s">
        <v>48</v>
      </c>
    </row>
    <row r="11590" spans="1:13" hidden="1" x14ac:dyDescent="0.15">
      <c r="A11590" t="s">
        <v>36577</v>
      </c>
      <c r="B11590" t="s">
        <v>36578</v>
      </c>
      <c r="C11590" t="s">
        <v>36579</v>
      </c>
      <c r="D11590" t="s">
        <v>36576</v>
      </c>
      <c r="E11590">
        <v>56</v>
      </c>
      <c r="F11590" t="str">
        <f>HYPERLINK("https://github.com/smartdevicelink/sdl_java_suite/issues/1815", "show")</f>
        <v>show</v>
      </c>
      <c r="G11590" t="str">
        <f>HYPERLINK("https://github.com/smartdevicelink/sdl_java_suite", "show")</f>
        <v>show</v>
      </c>
      <c r="H11590" t="str">
        <f>HYPERLINK("https://github.com/smartdevicelink/sdl_java_suite/releases", "show")</f>
        <v>show</v>
      </c>
      <c r="I11590">
        <v>1</v>
      </c>
      <c r="J11590">
        <v>0</v>
      </c>
      <c r="K11590">
        <v>1</v>
      </c>
      <c r="L11590">
        <v>0</v>
      </c>
      <c r="M11590" t="s">
        <v>64</v>
      </c>
    </row>
    <row r="11591" spans="1:13" hidden="1" x14ac:dyDescent="0.15">
      <c r="A11591" t="s">
        <v>36580</v>
      </c>
      <c r="B11591" t="s">
        <v>36581</v>
      </c>
      <c r="C11591" t="s">
        <v>36582</v>
      </c>
      <c r="D11591" t="s">
        <v>36576</v>
      </c>
      <c r="E11591">
        <v>2</v>
      </c>
      <c r="F11591" t="str">
        <f>HYPERLINK("https://github.com/ably/ably-java/issues/802", "show")</f>
        <v>show</v>
      </c>
      <c r="G11591" t="str">
        <f>HYPERLINK("https://github.com/ably/ably-java", "show")</f>
        <v>show</v>
      </c>
      <c r="H11591" t="str">
        <f>HYPERLINK("https://github.com/ably/ably-java/releases", "show")</f>
        <v>show</v>
      </c>
      <c r="I11591">
        <v>1</v>
      </c>
      <c r="J11591">
        <v>0</v>
      </c>
      <c r="K11591">
        <v>0</v>
      </c>
      <c r="L11591">
        <v>0</v>
      </c>
      <c r="M11591" t="s">
        <v>17</v>
      </c>
    </row>
    <row r="11592" spans="1:13" hidden="1" x14ac:dyDescent="0.15">
      <c r="A11592" t="s">
        <v>36583</v>
      </c>
      <c r="B11592" t="s">
        <v>36584</v>
      </c>
      <c r="C11592" t="s">
        <v>36585</v>
      </c>
      <c r="D11592" t="s">
        <v>36576</v>
      </c>
      <c r="E11592">
        <v>0</v>
      </c>
      <c r="F11592" t="str">
        <f>HYPERLINK("https://github.com/nextcloud/android/issues/10415", "show")</f>
        <v>show</v>
      </c>
      <c r="G11592" t="str">
        <f>HYPERLINK("https://github.com/nextcloud/android", "show")</f>
        <v>show</v>
      </c>
      <c r="H11592" t="str">
        <f>HYPERLINK("https://github.com/nextcloud/android/releases", "show")</f>
        <v>show</v>
      </c>
      <c r="I11592">
        <v>1</v>
      </c>
      <c r="J11592">
        <v>0</v>
      </c>
      <c r="K11592">
        <v>1</v>
      </c>
      <c r="L11592">
        <v>0</v>
      </c>
      <c r="M11592" t="s">
        <v>64</v>
      </c>
    </row>
    <row r="11593" spans="1:13" hidden="1" x14ac:dyDescent="0.15">
      <c r="A11593" t="s">
        <v>36586</v>
      </c>
      <c r="B11593" t="s">
        <v>36587</v>
      </c>
      <c r="C11593" t="s">
        <v>36588</v>
      </c>
      <c r="D11593" t="s">
        <v>36576</v>
      </c>
      <c r="E11593">
        <v>30</v>
      </c>
      <c r="F11593" t="str">
        <f>HYPERLINK("https://github.com/MuntashirAkon/AppManager/issues/783", "show")</f>
        <v>show</v>
      </c>
      <c r="G11593" t="str">
        <f>HYPERLINK("https://github.com/MuntashirAkon/AppManager", "show")</f>
        <v>show</v>
      </c>
      <c r="H11593" t="str">
        <f>HYPERLINK("https://github.com/MuntashirAkon/AppManager/releases", "show")</f>
        <v>show</v>
      </c>
      <c r="I11593">
        <v>0</v>
      </c>
      <c r="J11593">
        <v>0</v>
      </c>
      <c r="K11593">
        <v>1</v>
      </c>
      <c r="L11593">
        <v>0</v>
      </c>
      <c r="M11593" t="s">
        <v>122</v>
      </c>
    </row>
    <row r="11594" spans="1:13" hidden="1" x14ac:dyDescent="0.15">
      <c r="A11594" t="s">
        <v>36589</v>
      </c>
      <c r="B11594" t="s">
        <v>10882</v>
      </c>
      <c r="C11594" t="s">
        <v>36590</v>
      </c>
      <c r="D11594" t="s">
        <v>36576</v>
      </c>
      <c r="E11594">
        <v>3</v>
      </c>
      <c r="F11594" t="str">
        <f>HYPERLINK("https://github.com/PojavLauncherTeam/PojavLauncher/issues/3396", "show")</f>
        <v>show</v>
      </c>
      <c r="G11594" t="str">
        <f>HYPERLINK("https://github.com/PojavLauncherTeam/PojavLauncher", "show")</f>
        <v>show</v>
      </c>
      <c r="H11594" t="str">
        <f>HYPERLINK("https://github.com/PojavLauncherTeam/PojavLauncher/releases", "show")</f>
        <v>show</v>
      </c>
      <c r="I11594">
        <v>0</v>
      </c>
      <c r="J11594">
        <v>0</v>
      </c>
      <c r="K11594">
        <v>0</v>
      </c>
      <c r="L11594">
        <v>1</v>
      </c>
      <c r="M11594" t="s">
        <v>581</v>
      </c>
    </row>
    <row r="11595" spans="1:13" hidden="1" x14ac:dyDescent="0.15">
      <c r="A11595" t="s">
        <v>36591</v>
      </c>
      <c r="B11595" t="s">
        <v>36592</v>
      </c>
      <c r="C11595" t="s">
        <v>36593</v>
      </c>
      <c r="D11595" t="s">
        <v>36594</v>
      </c>
      <c r="E11595">
        <v>0</v>
      </c>
      <c r="F11595" t="str">
        <f>HYPERLINK("https://github.com/too-da-loo/toodaloo/issues/53", "show")</f>
        <v>show</v>
      </c>
      <c r="G11595" t="str">
        <f>HYPERLINK("https://github.com/too-da-loo/toodaloo", "show")</f>
        <v>show</v>
      </c>
      <c r="H11595" t="str">
        <f>HYPERLINK("https://github.com/too-da-loo/toodaloo/releases", "show")</f>
        <v>show</v>
      </c>
      <c r="I11595">
        <v>1</v>
      </c>
      <c r="J11595">
        <v>0</v>
      </c>
      <c r="K11595">
        <v>0</v>
      </c>
      <c r="L11595">
        <v>0</v>
      </c>
      <c r="M11595" t="s">
        <v>17</v>
      </c>
    </row>
    <row r="11596" spans="1:13" x14ac:dyDescent="0.15">
      <c r="A11596" t="s">
        <v>36595</v>
      </c>
      <c r="B11596" t="s">
        <v>36596</v>
      </c>
      <c r="C11596" t="s">
        <v>36597</v>
      </c>
      <c r="D11596" t="s">
        <v>36594</v>
      </c>
      <c r="E11596">
        <v>3</v>
      </c>
      <c r="F11596" t="str">
        <f>HYPERLINK("https://github.com/PojavLauncherTeam/PojavLauncher/issues/3395", "show")</f>
        <v>show</v>
      </c>
      <c r="G11596" t="str">
        <f>HYPERLINK("https://github.com/PojavLauncherTeam/PojavLauncher", "show")</f>
        <v>show</v>
      </c>
      <c r="H11596" t="str">
        <f>HYPERLINK("https://github.com/PojavLauncherTeam/PojavLauncher/releases", "show")</f>
        <v>show</v>
      </c>
      <c r="I11596">
        <v>0</v>
      </c>
      <c r="J11596">
        <v>1</v>
      </c>
      <c r="K11596">
        <v>0</v>
      </c>
      <c r="L11596">
        <v>0</v>
      </c>
      <c r="M11596" t="s">
        <v>139</v>
      </c>
    </row>
    <row r="11597" spans="1:13" hidden="1" x14ac:dyDescent="0.15">
      <c r="A11597" t="s">
        <v>36598</v>
      </c>
      <c r="B11597" t="s">
        <v>36599</v>
      </c>
      <c r="C11597" t="s">
        <v>36600</v>
      </c>
      <c r="D11597" t="s">
        <v>36594</v>
      </c>
      <c r="E11597">
        <v>75</v>
      </c>
      <c r="F11597" t="str">
        <f>HYPERLINK("https://github.com/PojavLauncherTeam/PojavLauncher/issues/3394", "show")</f>
        <v>show</v>
      </c>
      <c r="G11597" t="str">
        <f>HYPERLINK("https://github.com/PojavLauncherTeam/PojavLauncher", "show")</f>
        <v>show</v>
      </c>
      <c r="H11597" t="str">
        <f>HYPERLINK("https://github.com/PojavLauncherTeam/PojavLauncher/releases", "show")</f>
        <v>show</v>
      </c>
      <c r="I11597">
        <v>1</v>
      </c>
      <c r="J11597">
        <v>0</v>
      </c>
      <c r="K11597">
        <v>0</v>
      </c>
      <c r="L11597">
        <v>0</v>
      </c>
      <c r="M11597" t="s">
        <v>17</v>
      </c>
    </row>
    <row r="11598" spans="1:13" hidden="1" x14ac:dyDescent="0.15">
      <c r="A11598" t="s">
        <v>36601</v>
      </c>
      <c r="B11598" t="s">
        <v>36602</v>
      </c>
      <c r="C11598" t="s">
        <v>36603</v>
      </c>
      <c r="D11598" t="s">
        <v>36594</v>
      </c>
      <c r="E11598">
        <v>75</v>
      </c>
      <c r="F11598" t="str">
        <f>HYPERLINK("https://github.com/PojavLauncherTeam/PojavLauncher/issues/3393", "show")</f>
        <v>show</v>
      </c>
      <c r="G11598" t="str">
        <f>HYPERLINK("https://github.com/PojavLauncherTeam/PojavLauncher", "show")</f>
        <v>show</v>
      </c>
      <c r="H11598" t="str">
        <f>HYPERLINK("https://github.com/PojavLauncherTeam/PojavLauncher/releases", "show")</f>
        <v>show</v>
      </c>
      <c r="I11598">
        <v>0</v>
      </c>
      <c r="J11598">
        <v>0</v>
      </c>
      <c r="K11598">
        <v>1</v>
      </c>
      <c r="L11598">
        <v>1</v>
      </c>
      <c r="M11598" t="s">
        <v>351</v>
      </c>
    </row>
    <row r="11599" spans="1:13" hidden="1" x14ac:dyDescent="0.15">
      <c r="A11599" t="s">
        <v>36604</v>
      </c>
      <c r="B11599" t="s">
        <v>36605</v>
      </c>
      <c r="C11599" t="s">
        <v>36606</v>
      </c>
      <c r="D11599" t="s">
        <v>36607</v>
      </c>
      <c r="E11599">
        <v>11</v>
      </c>
      <c r="F11599" t="str">
        <f>HYPERLINK("https://github.com/cgeo/cgeo/issues/13166", "show")</f>
        <v>show</v>
      </c>
      <c r="G11599" t="str">
        <f>HYPERLINK("https://github.com/cgeo/cgeo", "show")</f>
        <v>show</v>
      </c>
      <c r="H11599" t="str">
        <f>HYPERLINK("https://github.com/cgeo/cgeo/releases", "show")</f>
        <v>show</v>
      </c>
      <c r="I11599">
        <v>1</v>
      </c>
      <c r="J11599">
        <v>0</v>
      </c>
      <c r="K11599">
        <v>1</v>
      </c>
      <c r="L11599">
        <v>0</v>
      </c>
      <c r="M11599" t="s">
        <v>64</v>
      </c>
    </row>
    <row r="11600" spans="1:13" hidden="1" x14ac:dyDescent="0.15">
      <c r="A11600" t="s">
        <v>36608</v>
      </c>
      <c r="B11600" t="s">
        <v>36609</v>
      </c>
      <c r="C11600" t="s">
        <v>36610</v>
      </c>
      <c r="D11600" t="s">
        <v>36607</v>
      </c>
      <c r="E11600">
        <v>0</v>
      </c>
      <c r="F11600" t="str">
        <f>HYPERLINK("https://github.com/Anuken/Mindustry/issues/7040", "show")</f>
        <v>show</v>
      </c>
      <c r="G11600" t="str">
        <f>HYPERLINK("https://github.com/Anuken/Mindustry", "show")</f>
        <v>show</v>
      </c>
      <c r="H11600" t="str">
        <f>HYPERLINK("https://github.com/Anuken/Mindustry/releases", "show")</f>
        <v>show</v>
      </c>
      <c r="I11600">
        <v>1</v>
      </c>
      <c r="J11600">
        <v>1</v>
      </c>
      <c r="K11600">
        <v>0</v>
      </c>
      <c r="L11600">
        <v>0</v>
      </c>
      <c r="M11600" t="s">
        <v>48</v>
      </c>
    </row>
    <row r="11601" spans="1:13" hidden="1" x14ac:dyDescent="0.15">
      <c r="A11601" t="s">
        <v>36611</v>
      </c>
      <c r="B11601" t="s">
        <v>10882</v>
      </c>
      <c r="C11601" t="s">
        <v>36612</v>
      </c>
      <c r="D11601" t="s">
        <v>36607</v>
      </c>
      <c r="E11601">
        <v>89</v>
      </c>
      <c r="F11601" t="str">
        <f>HYPERLINK("https://github.com/PojavLauncherTeam/PojavLauncher/issues/3391", "show")</f>
        <v>show</v>
      </c>
      <c r="G11601" t="str">
        <f>HYPERLINK("https://github.com/PojavLauncherTeam/PojavLauncher", "show")</f>
        <v>show</v>
      </c>
      <c r="H11601" t="str">
        <f>HYPERLINK("https://github.com/PojavLauncherTeam/PojavLauncher/releases", "show")</f>
        <v>show</v>
      </c>
      <c r="I11601">
        <v>1</v>
      </c>
      <c r="J11601">
        <v>1</v>
      </c>
      <c r="K11601">
        <v>1</v>
      </c>
      <c r="L11601">
        <v>0</v>
      </c>
      <c r="M11601" t="s">
        <v>59</v>
      </c>
    </row>
    <row r="11602" spans="1:13" hidden="1" x14ac:dyDescent="0.15">
      <c r="A11602" t="s">
        <v>36613</v>
      </c>
      <c r="B11602" t="s">
        <v>36614</v>
      </c>
      <c r="C11602" t="s">
        <v>36615</v>
      </c>
      <c r="D11602" t="s">
        <v>36607</v>
      </c>
      <c r="E11602">
        <v>0</v>
      </c>
      <c r="F11602" t="str">
        <f>HYPERLINK("https://github.com/Anuken/Mindustry/issues/7039", "show")</f>
        <v>show</v>
      </c>
      <c r="G11602" t="str">
        <f>HYPERLINK("https://github.com/Anuken/Mindustry", "show")</f>
        <v>show</v>
      </c>
      <c r="H11602" t="str">
        <f>HYPERLINK("https://github.com/Anuken/Mindustry/releases", "show")</f>
        <v>show</v>
      </c>
      <c r="I11602">
        <v>1</v>
      </c>
      <c r="J11602">
        <v>0</v>
      </c>
      <c r="K11602">
        <v>0</v>
      </c>
      <c r="L11602">
        <v>1</v>
      </c>
      <c r="M11602" t="s">
        <v>29</v>
      </c>
    </row>
    <row r="11603" spans="1:13" hidden="1" x14ac:dyDescent="0.15">
      <c r="A11603" t="s">
        <v>36616</v>
      </c>
      <c r="B11603" t="s">
        <v>36617</v>
      </c>
      <c r="C11603" t="s">
        <v>36618</v>
      </c>
      <c r="D11603" t="s">
        <v>36619</v>
      </c>
      <c r="E11603">
        <v>95</v>
      </c>
      <c r="F11603" t="str">
        <f>HYPERLINK("https://github.com/microg/GmsCore/issues/1740", "show")</f>
        <v>show</v>
      </c>
      <c r="G11603" t="str">
        <f>HYPERLINK("https://github.com/microg/GmsCore", "show")</f>
        <v>show</v>
      </c>
      <c r="H11603" t="str">
        <f>HYPERLINK("https://github.com/microg/GmsCore/releases", "show")</f>
        <v>show</v>
      </c>
      <c r="I11603">
        <v>0</v>
      </c>
      <c r="J11603">
        <v>0</v>
      </c>
      <c r="K11603">
        <v>0</v>
      </c>
      <c r="L11603">
        <v>0</v>
      </c>
      <c r="M11603" t="s">
        <v>43</v>
      </c>
    </row>
    <row r="11604" spans="1:13" hidden="1" x14ac:dyDescent="0.15">
      <c r="A11604" t="s">
        <v>36620</v>
      </c>
      <c r="B11604" t="s">
        <v>36621</v>
      </c>
      <c r="C11604" t="s">
        <v>36622</v>
      </c>
      <c r="D11604" t="s">
        <v>36619</v>
      </c>
      <c r="E11604">
        <v>0</v>
      </c>
      <c r="F11604" t="str">
        <f>HYPERLINK("https://github.com/Anuken/Mindustry/issues/7035", "show")</f>
        <v>show</v>
      </c>
      <c r="G11604" t="str">
        <f>HYPERLINK("https://github.com/Anuken/Mindustry", "show")</f>
        <v>show</v>
      </c>
      <c r="H11604" t="str">
        <f>HYPERLINK("https://github.com/Anuken/Mindustry/releases", "show")</f>
        <v>show</v>
      </c>
      <c r="I11604">
        <v>0</v>
      </c>
      <c r="J11604">
        <v>0</v>
      </c>
      <c r="K11604">
        <v>0</v>
      </c>
      <c r="L11604">
        <v>0</v>
      </c>
      <c r="M11604" t="s">
        <v>43</v>
      </c>
    </row>
    <row r="11605" spans="1:13" hidden="1" x14ac:dyDescent="0.15">
      <c r="A11605" t="s">
        <v>36623</v>
      </c>
      <c r="B11605" t="s">
        <v>36624</v>
      </c>
      <c r="C11605" t="s">
        <v>36625</v>
      </c>
      <c r="D11605" t="s">
        <v>36619</v>
      </c>
      <c r="E11605">
        <v>55</v>
      </c>
      <c r="F11605" t="str">
        <f>HYPERLINK("https://github.com/Igalia/wolvic/issues/147", "show")</f>
        <v>show</v>
      </c>
      <c r="G11605" t="str">
        <f>HYPERLINK("https://github.com/Igalia/wolvic", "show")</f>
        <v>show</v>
      </c>
      <c r="H11605" t="str">
        <f>HYPERLINK("https://github.com/Igalia/wolvic/releases", "show")</f>
        <v>show</v>
      </c>
      <c r="I11605">
        <v>0</v>
      </c>
      <c r="J11605">
        <v>0</v>
      </c>
      <c r="K11605">
        <v>0</v>
      </c>
      <c r="L11605">
        <v>0</v>
      </c>
      <c r="M11605" t="s">
        <v>43</v>
      </c>
    </row>
    <row r="11606" spans="1:13" hidden="1" x14ac:dyDescent="0.15">
      <c r="A11606" t="s">
        <v>36626</v>
      </c>
      <c r="B11606" t="s">
        <v>36627</v>
      </c>
      <c r="C11606" t="s">
        <v>36628</v>
      </c>
      <c r="D11606" t="s">
        <v>36619</v>
      </c>
      <c r="E11606">
        <v>6</v>
      </c>
      <c r="F11606" t="str">
        <f>HYPERLINK("https://github.com/nextcloud/android/issues/10406", "show")</f>
        <v>show</v>
      </c>
      <c r="G11606" t="str">
        <f>HYPERLINK("https://github.com/nextcloud/android", "show")</f>
        <v>show</v>
      </c>
      <c r="H11606" t="str">
        <f>HYPERLINK("https://github.com/nextcloud/android/releases", "show")</f>
        <v>show</v>
      </c>
      <c r="I11606">
        <v>1</v>
      </c>
      <c r="J11606">
        <v>0</v>
      </c>
      <c r="K11606">
        <v>1</v>
      </c>
      <c r="L11606">
        <v>0</v>
      </c>
      <c r="M11606" t="s">
        <v>64</v>
      </c>
    </row>
    <row r="11607" spans="1:13" hidden="1" x14ac:dyDescent="0.15">
      <c r="A11607" t="s">
        <v>36629</v>
      </c>
      <c r="B11607" t="s">
        <v>36630</v>
      </c>
      <c r="C11607" t="s">
        <v>36631</v>
      </c>
      <c r="D11607" t="s">
        <v>36632</v>
      </c>
      <c r="E11607">
        <v>0</v>
      </c>
      <c r="F11607" t="str">
        <f>HYPERLINK("https://github.com/Anuken/Mindustry/issues/7030", "show")</f>
        <v>show</v>
      </c>
      <c r="G11607" t="str">
        <f>HYPERLINK("https://github.com/Anuken/Mindustry", "show")</f>
        <v>show</v>
      </c>
      <c r="H11607" t="str">
        <f>HYPERLINK("https://github.com/Anuken/Mindustry/releases", "show")</f>
        <v>show</v>
      </c>
      <c r="I11607">
        <v>0</v>
      </c>
      <c r="J11607">
        <v>0</v>
      </c>
      <c r="K11607">
        <v>0</v>
      </c>
      <c r="L11607">
        <v>1</v>
      </c>
      <c r="M11607" t="s">
        <v>581</v>
      </c>
    </row>
    <row r="11608" spans="1:13" hidden="1" x14ac:dyDescent="0.15">
      <c r="A11608" t="s">
        <v>36633</v>
      </c>
      <c r="B11608" t="s">
        <v>36634</v>
      </c>
      <c r="C11608" t="s">
        <v>36635</v>
      </c>
      <c r="D11608" t="s">
        <v>36632</v>
      </c>
      <c r="E11608">
        <v>0</v>
      </c>
      <c r="F11608" t="str">
        <f>HYPERLINK("https://github.com/google/ExoPlayer/issues/10348", "show")</f>
        <v>show</v>
      </c>
      <c r="G11608" t="str">
        <f>HYPERLINK("https://github.com/google/ExoPlayer", "show")</f>
        <v>show</v>
      </c>
      <c r="H11608" t="str">
        <f>HYPERLINK("https://github.com/google/ExoPlayer/releases", "show")</f>
        <v>show</v>
      </c>
      <c r="I11608">
        <v>1</v>
      </c>
      <c r="J11608">
        <v>0</v>
      </c>
      <c r="K11608">
        <v>1</v>
      </c>
      <c r="L11608">
        <v>0</v>
      </c>
      <c r="M11608" t="s">
        <v>64</v>
      </c>
    </row>
    <row r="11609" spans="1:13" hidden="1" x14ac:dyDescent="0.15">
      <c r="A11609" t="s">
        <v>36636</v>
      </c>
      <c r="B11609" t="s">
        <v>36637</v>
      </c>
      <c r="C11609" t="s">
        <v>36638</v>
      </c>
      <c r="D11609" t="s">
        <v>36632</v>
      </c>
      <c r="E11609">
        <v>7</v>
      </c>
      <c r="F11609" t="str">
        <f>HYPERLINK("https://github.com/Fox2Code/FoxMagiskModuleManager/issues/167", "show")</f>
        <v>show</v>
      </c>
      <c r="G11609" t="str">
        <f>HYPERLINK("https://github.com/Fox2Code/FoxMagiskModuleManager", "show")</f>
        <v>show</v>
      </c>
      <c r="H11609" t="str">
        <f>HYPERLINK("https://github.com/Fox2Code/FoxMagiskModuleManager/releases", "show")</f>
        <v>show</v>
      </c>
      <c r="I11609">
        <v>1</v>
      </c>
      <c r="J11609">
        <v>0</v>
      </c>
      <c r="K11609">
        <v>1</v>
      </c>
      <c r="L11609">
        <v>0</v>
      </c>
      <c r="M11609" t="s">
        <v>64</v>
      </c>
    </row>
    <row r="11610" spans="1:13" hidden="1" x14ac:dyDescent="0.15">
      <c r="A11610" t="s">
        <v>36639</v>
      </c>
      <c r="B11610" t="s">
        <v>36640</v>
      </c>
      <c r="C11610" t="s">
        <v>36641</v>
      </c>
      <c r="D11610" t="s">
        <v>36632</v>
      </c>
      <c r="E11610">
        <v>78</v>
      </c>
      <c r="F11610" t="str">
        <f>HYPERLINK("https://github.com/PojavLauncherTeam/PojavLauncher/issues/3384", "show")</f>
        <v>show</v>
      </c>
      <c r="G11610" t="str">
        <f>HYPERLINK("https://github.com/PojavLauncherTeam/PojavLauncher", "show")</f>
        <v>show</v>
      </c>
      <c r="H11610" t="str">
        <f>HYPERLINK("https://github.com/PojavLauncherTeam/PojavLauncher/releases", "show")</f>
        <v>show</v>
      </c>
      <c r="I11610">
        <v>0</v>
      </c>
      <c r="J11610">
        <v>0</v>
      </c>
      <c r="K11610">
        <v>0</v>
      </c>
      <c r="L11610">
        <v>0</v>
      </c>
      <c r="M11610" t="s">
        <v>43</v>
      </c>
    </row>
    <row r="11611" spans="1:13" hidden="1" x14ac:dyDescent="0.15">
      <c r="A11611" t="s">
        <v>36642</v>
      </c>
      <c r="B11611" t="s">
        <v>11287</v>
      </c>
      <c r="C11611" t="s">
        <v>36643</v>
      </c>
      <c r="D11611" t="s">
        <v>36632</v>
      </c>
      <c r="E11611">
        <v>0</v>
      </c>
      <c r="F11611" t="str">
        <f>HYPERLINK("https://github.com/PojavLauncherTeam/PojavLauncher/issues/3383", "show")</f>
        <v>show</v>
      </c>
      <c r="G11611" t="str">
        <f>HYPERLINK("https://github.com/PojavLauncherTeam/PojavLauncher", "show")</f>
        <v>show</v>
      </c>
      <c r="H11611" t="str">
        <f>HYPERLINK("https://github.com/PojavLauncherTeam/PojavLauncher/releases", "show")</f>
        <v>show</v>
      </c>
      <c r="I11611">
        <v>1</v>
      </c>
      <c r="J11611">
        <v>0</v>
      </c>
      <c r="K11611">
        <v>0</v>
      </c>
      <c r="L11611">
        <v>0</v>
      </c>
      <c r="M11611" t="s">
        <v>17</v>
      </c>
    </row>
    <row r="11612" spans="1:13" hidden="1" x14ac:dyDescent="0.15">
      <c r="A11612" t="s">
        <v>36644</v>
      </c>
      <c r="B11612" t="s">
        <v>36645</v>
      </c>
      <c r="C11612" t="s">
        <v>36646</v>
      </c>
      <c r="D11612" t="s">
        <v>36632</v>
      </c>
      <c r="E11612">
        <v>39</v>
      </c>
      <c r="F11612" t="str">
        <f>HYPERLINK("https://github.com/google/ExoPlayer/issues/10345", "show")</f>
        <v>show</v>
      </c>
      <c r="G11612" t="str">
        <f>HYPERLINK("https://github.com/google/ExoPlayer", "show")</f>
        <v>show</v>
      </c>
      <c r="H11612" t="str">
        <f>HYPERLINK("https://github.com/google/ExoPlayer/releases", "show")</f>
        <v>show</v>
      </c>
      <c r="I11612">
        <v>1</v>
      </c>
      <c r="J11612">
        <v>0</v>
      </c>
      <c r="K11612">
        <v>0</v>
      </c>
      <c r="L11612">
        <v>0</v>
      </c>
      <c r="M11612" t="s">
        <v>17</v>
      </c>
    </row>
    <row r="11613" spans="1:13" x14ac:dyDescent="0.15">
      <c r="A11613" t="s">
        <v>36647</v>
      </c>
      <c r="B11613" t="s">
        <v>36648</v>
      </c>
      <c r="C11613" t="s">
        <v>36649</v>
      </c>
      <c r="D11613" t="s">
        <v>36632</v>
      </c>
      <c r="E11613">
        <v>118</v>
      </c>
      <c r="F11613" t="str">
        <f>HYPERLINK("https://github.com/TeamNewPipe/NewPipe/issues/8517", "show")</f>
        <v>show</v>
      </c>
      <c r="G11613" t="str">
        <f>HYPERLINK("https://github.com/TeamNewPipe/NewPipe", "show")</f>
        <v>show</v>
      </c>
      <c r="H11613" t="str">
        <f>HYPERLINK("https://github.com/TeamNewPipe/NewPipe/releases", "show")</f>
        <v>show</v>
      </c>
      <c r="I11613">
        <v>0</v>
      </c>
      <c r="J11613">
        <v>1</v>
      </c>
      <c r="K11613">
        <v>0</v>
      </c>
      <c r="L11613">
        <v>0</v>
      </c>
      <c r="M11613" t="s">
        <v>139</v>
      </c>
    </row>
    <row r="11614" spans="1:13" hidden="1" x14ac:dyDescent="0.15">
      <c r="A11614" t="s">
        <v>36650</v>
      </c>
      <c r="B11614" t="s">
        <v>36651</v>
      </c>
      <c r="C11614" t="s">
        <v>36652</v>
      </c>
      <c r="D11614" t="s">
        <v>36653</v>
      </c>
      <c r="E11614">
        <v>4</v>
      </c>
      <c r="F11614" t="str">
        <f>HYPERLINK("https://github.com/TeamNewPipe/NewPipe/issues/8516", "show")</f>
        <v>show</v>
      </c>
      <c r="G11614" t="str">
        <f>HYPERLINK("https://github.com/TeamNewPipe/NewPipe", "show")</f>
        <v>show</v>
      </c>
      <c r="H11614" t="str">
        <f>HYPERLINK("https://github.com/TeamNewPipe/NewPipe/releases", "show")</f>
        <v>show</v>
      </c>
      <c r="I11614">
        <v>1</v>
      </c>
      <c r="J11614">
        <v>1</v>
      </c>
      <c r="K11614">
        <v>1</v>
      </c>
      <c r="L11614">
        <v>0</v>
      </c>
      <c r="M11614" t="s">
        <v>59</v>
      </c>
    </row>
    <row r="11615" spans="1:13" hidden="1" x14ac:dyDescent="0.15">
      <c r="A11615" t="s">
        <v>36654</v>
      </c>
      <c r="B11615" t="s">
        <v>36655</v>
      </c>
      <c r="C11615" t="s">
        <v>36656</v>
      </c>
      <c r="D11615" t="s">
        <v>36653</v>
      </c>
      <c r="E11615">
        <v>0</v>
      </c>
      <c r="F11615" t="str">
        <f>HYPERLINK("https://github.com/Anuken/Mindustry/issues/7025", "show")</f>
        <v>show</v>
      </c>
      <c r="G11615" t="str">
        <f>HYPERLINK("https://github.com/Anuken/Mindustry", "show")</f>
        <v>show</v>
      </c>
      <c r="H11615" t="str">
        <f>HYPERLINK("https://github.com/Anuken/Mindustry/releases", "show")</f>
        <v>show</v>
      </c>
      <c r="I11615">
        <v>1</v>
      </c>
      <c r="J11615">
        <v>0</v>
      </c>
      <c r="K11615">
        <v>0</v>
      </c>
      <c r="L11615">
        <v>0</v>
      </c>
      <c r="M11615" t="s">
        <v>17</v>
      </c>
    </row>
    <row r="11616" spans="1:13" hidden="1" x14ac:dyDescent="0.15">
      <c r="A11616" t="s">
        <v>36657</v>
      </c>
      <c r="B11616" t="s">
        <v>36658</v>
      </c>
      <c r="C11616" t="s">
        <v>36659</v>
      </c>
      <c r="D11616" t="s">
        <v>36653</v>
      </c>
      <c r="E11616">
        <v>0</v>
      </c>
      <c r="F11616" t="str">
        <f>HYPERLINK("https://github.com/Anuken/Mindustry/issues/7022", "show")</f>
        <v>show</v>
      </c>
      <c r="G11616" t="str">
        <f>HYPERLINK("https://github.com/Anuken/Mindustry", "show")</f>
        <v>show</v>
      </c>
      <c r="H11616" t="str">
        <f>HYPERLINK("https://github.com/Anuken/Mindustry/releases", "show")</f>
        <v>show</v>
      </c>
      <c r="I11616">
        <v>1</v>
      </c>
      <c r="J11616">
        <v>1</v>
      </c>
      <c r="K11616">
        <v>0</v>
      </c>
      <c r="L11616">
        <v>0</v>
      </c>
      <c r="M11616" t="s">
        <v>48</v>
      </c>
    </row>
    <row r="11617" spans="1:13" hidden="1" x14ac:dyDescent="0.15">
      <c r="A11617" t="s">
        <v>36660</v>
      </c>
      <c r="B11617" t="s">
        <v>36661</v>
      </c>
      <c r="C11617" t="s">
        <v>36662</v>
      </c>
      <c r="D11617" t="s">
        <v>36653</v>
      </c>
      <c r="E11617">
        <v>79</v>
      </c>
      <c r="F11617" t="str">
        <f>HYPERLINK("https://github.com/PojavLauncherTeam/PojavLauncher/issues/3374", "show")</f>
        <v>show</v>
      </c>
      <c r="G11617" t="str">
        <f>HYPERLINK("https://github.com/PojavLauncherTeam/PojavLauncher", "show")</f>
        <v>show</v>
      </c>
      <c r="H11617" t="str">
        <f>HYPERLINK("https://github.com/PojavLauncherTeam/PojavLauncher/releases", "show")</f>
        <v>show</v>
      </c>
      <c r="I11617">
        <v>0</v>
      </c>
      <c r="J11617">
        <v>0</v>
      </c>
      <c r="K11617">
        <v>0</v>
      </c>
      <c r="L11617">
        <v>0</v>
      </c>
      <c r="M11617" t="s">
        <v>43</v>
      </c>
    </row>
    <row r="11618" spans="1:13" hidden="1" x14ac:dyDescent="0.15">
      <c r="A11618" t="s">
        <v>36663</v>
      </c>
      <c r="B11618" t="s">
        <v>36664</v>
      </c>
      <c r="C11618" t="s">
        <v>36665</v>
      </c>
      <c r="D11618" t="s">
        <v>36666</v>
      </c>
      <c r="E11618">
        <v>37</v>
      </c>
      <c r="F11618" t="str">
        <f>HYPERLINK("https://github.com/openid/AppAuth-Android/issues/842", "show")</f>
        <v>show</v>
      </c>
      <c r="G11618" t="str">
        <f>HYPERLINK("https://github.com/openid/AppAuth-Android", "show")</f>
        <v>show</v>
      </c>
      <c r="H11618" t="str">
        <f>HYPERLINK("https://github.com/openid/AppAuth-Android/releases", "show")</f>
        <v>show</v>
      </c>
      <c r="I11618">
        <v>1</v>
      </c>
      <c r="J11618">
        <v>0</v>
      </c>
      <c r="K11618">
        <v>1</v>
      </c>
      <c r="L11618">
        <v>0</v>
      </c>
      <c r="M11618" t="s">
        <v>64</v>
      </c>
    </row>
    <row r="11619" spans="1:13" hidden="1" x14ac:dyDescent="0.15">
      <c r="A11619" t="s">
        <v>36667</v>
      </c>
      <c r="B11619" t="s">
        <v>36668</v>
      </c>
      <c r="C11619" t="s">
        <v>36669</v>
      </c>
      <c r="D11619" t="s">
        <v>36666</v>
      </c>
      <c r="E11619">
        <v>0</v>
      </c>
      <c r="F11619" t="str">
        <f>HYPERLINK("https://github.com/nextcloud/android/issues/10387", "show")</f>
        <v>show</v>
      </c>
      <c r="G11619" t="str">
        <f>HYPERLINK("https://github.com/nextcloud/android", "show")</f>
        <v>show</v>
      </c>
      <c r="H11619" t="str">
        <f>HYPERLINK("https://github.com/nextcloud/android/releases", "show")</f>
        <v>show</v>
      </c>
      <c r="I11619">
        <v>0</v>
      </c>
      <c r="J11619">
        <v>0</v>
      </c>
      <c r="K11619">
        <v>1</v>
      </c>
      <c r="L11619">
        <v>0</v>
      </c>
      <c r="M11619" t="s">
        <v>122</v>
      </c>
    </row>
    <row r="11620" spans="1:13" hidden="1" x14ac:dyDescent="0.15">
      <c r="A11620" t="s">
        <v>36670</v>
      </c>
      <c r="B11620" t="s">
        <v>36671</v>
      </c>
      <c r="C11620" t="s">
        <v>36672</v>
      </c>
      <c r="D11620" t="s">
        <v>36673</v>
      </c>
      <c r="E11620">
        <v>7</v>
      </c>
      <c r="F11620" t="str">
        <f>HYPERLINK("https://github.com/nextcloud/android/issues/10383", "show")</f>
        <v>show</v>
      </c>
      <c r="G11620" t="str">
        <f>HYPERLINK("https://github.com/nextcloud/android", "show")</f>
        <v>show</v>
      </c>
      <c r="H11620" t="str">
        <f>HYPERLINK("https://github.com/nextcloud/android/releases", "show")</f>
        <v>show</v>
      </c>
      <c r="I11620">
        <v>1</v>
      </c>
      <c r="J11620">
        <v>1</v>
      </c>
      <c r="K11620">
        <v>1</v>
      </c>
      <c r="L11620">
        <v>0</v>
      </c>
      <c r="M11620" t="s">
        <v>59</v>
      </c>
    </row>
    <row r="11621" spans="1:13" x14ac:dyDescent="0.15">
      <c r="A11621" t="s">
        <v>36674</v>
      </c>
      <c r="B11621" t="s">
        <v>36675</v>
      </c>
      <c r="C11621" t="s">
        <v>36676</v>
      </c>
      <c r="D11621" t="s">
        <v>36673</v>
      </c>
      <c r="E11621">
        <v>1</v>
      </c>
      <c r="F11621" t="str">
        <f>HYPERLINK("https://github.com/Anuken/Mindustry/issues/7011", "show")</f>
        <v>show</v>
      </c>
      <c r="G11621" t="str">
        <f>HYPERLINK("https://github.com/Anuken/Mindustry", "show")</f>
        <v>show</v>
      </c>
      <c r="H11621" t="str">
        <f>HYPERLINK("https://github.com/Anuken/Mindustry/releases", "show")</f>
        <v>show</v>
      </c>
      <c r="I11621">
        <v>0</v>
      </c>
      <c r="J11621">
        <v>1</v>
      </c>
      <c r="K11621">
        <v>0</v>
      </c>
      <c r="L11621">
        <v>0</v>
      </c>
      <c r="M11621" t="s">
        <v>139</v>
      </c>
    </row>
    <row r="11622" spans="1:13" hidden="1" x14ac:dyDescent="0.15">
      <c r="A11622" t="s">
        <v>36677</v>
      </c>
      <c r="B11622" t="s">
        <v>36678</v>
      </c>
      <c r="C11622" t="s">
        <v>36679</v>
      </c>
      <c r="D11622" t="s">
        <v>36680</v>
      </c>
      <c r="E11622">
        <v>1</v>
      </c>
      <c r="F11622" t="str">
        <f>HYPERLINK("https://github.com/PojavLauncherTeam/PojavLauncher/issues/3369", "show")</f>
        <v>show</v>
      </c>
      <c r="G11622" t="str">
        <f>HYPERLINK("https://github.com/PojavLauncherTeam/PojavLauncher", "show")</f>
        <v>show</v>
      </c>
      <c r="H11622" t="str">
        <f>HYPERLINK("https://github.com/PojavLauncherTeam/PojavLauncher/releases", "show")</f>
        <v>show</v>
      </c>
      <c r="I11622">
        <v>0</v>
      </c>
      <c r="J11622">
        <v>0</v>
      </c>
      <c r="K11622">
        <v>0</v>
      </c>
      <c r="L11622">
        <v>0</v>
      </c>
      <c r="M11622" t="s">
        <v>43</v>
      </c>
    </row>
    <row r="11623" spans="1:13" hidden="1" x14ac:dyDescent="0.15">
      <c r="A11623" t="s">
        <v>36681</v>
      </c>
      <c r="B11623" t="s">
        <v>36682</v>
      </c>
      <c r="C11623" t="s">
        <v>36683</v>
      </c>
      <c r="D11623" t="s">
        <v>36680</v>
      </c>
      <c r="E11623">
        <v>4</v>
      </c>
      <c r="F11623" t="str">
        <f>HYPERLINK("https://github.com/BresciaFrancesco/TourExperience/issues/61", "show")</f>
        <v>show</v>
      </c>
      <c r="G11623" t="str">
        <f>HYPERLINK("https://github.com/BresciaFrancesco/TourExperience", "show")</f>
        <v>show</v>
      </c>
      <c r="H11623" t="str">
        <f>HYPERLINK("https://github.com/BresciaFrancesco/TourExperience/releases", "show")</f>
        <v>show</v>
      </c>
      <c r="I11623">
        <v>0</v>
      </c>
      <c r="J11623">
        <v>0</v>
      </c>
      <c r="K11623">
        <v>0</v>
      </c>
      <c r="L11623">
        <v>0</v>
      </c>
      <c r="M11623" t="s">
        <v>43</v>
      </c>
    </row>
    <row r="11624" spans="1:13" hidden="1" x14ac:dyDescent="0.15">
      <c r="A11624" t="s">
        <v>36684</v>
      </c>
      <c r="B11624" t="s">
        <v>36685</v>
      </c>
      <c r="C11624" t="s">
        <v>36686</v>
      </c>
      <c r="D11624" t="s">
        <v>36680</v>
      </c>
      <c r="E11624">
        <v>6</v>
      </c>
      <c r="F11624" t="str">
        <f>HYPERLINK("https://github.com/K-Konstantinidis/Basketball-League/issues/46", "show")</f>
        <v>show</v>
      </c>
      <c r="G11624" t="str">
        <f>HYPERLINK("https://github.com/K-Konstantinidis/Basketball-League", "show")</f>
        <v>show</v>
      </c>
      <c r="H11624" t="str">
        <f>HYPERLINK("https://github.com/K-Konstantinidis/Basketball-League/releases", "show")</f>
        <v>show</v>
      </c>
      <c r="I11624">
        <v>0</v>
      </c>
      <c r="J11624">
        <v>0</v>
      </c>
      <c r="K11624">
        <v>0</v>
      </c>
      <c r="L11624">
        <v>0</v>
      </c>
      <c r="M11624" t="s">
        <v>43</v>
      </c>
    </row>
    <row r="11625" spans="1:13" hidden="1" x14ac:dyDescent="0.15">
      <c r="A11625" t="s">
        <v>36687</v>
      </c>
      <c r="B11625" t="s">
        <v>36688</v>
      </c>
      <c r="C11625" t="s">
        <v>36689</v>
      </c>
      <c r="D11625" t="s">
        <v>36680</v>
      </c>
      <c r="E11625">
        <v>0</v>
      </c>
      <c r="F11625" t="str">
        <f>HYPERLINK("https://github.com/Anuken/Mindustry/issues/7007", "show")</f>
        <v>show</v>
      </c>
      <c r="G11625" t="str">
        <f>HYPERLINK("https://github.com/Anuken/Mindustry", "show")</f>
        <v>show</v>
      </c>
      <c r="H11625" t="str">
        <f>HYPERLINK("https://github.com/Anuken/Mindustry/releases", "show")</f>
        <v>show</v>
      </c>
      <c r="I11625">
        <v>0</v>
      </c>
      <c r="J11625">
        <v>0</v>
      </c>
      <c r="K11625">
        <v>0</v>
      </c>
      <c r="L11625">
        <v>0</v>
      </c>
      <c r="M11625" t="s">
        <v>43</v>
      </c>
    </row>
    <row r="11626" spans="1:13" x14ac:dyDescent="0.15">
      <c r="A11626" t="s">
        <v>36690</v>
      </c>
      <c r="B11626" t="s">
        <v>36691</v>
      </c>
      <c r="C11626" t="s">
        <v>36692</v>
      </c>
      <c r="D11626" t="s">
        <v>36680</v>
      </c>
      <c r="E11626">
        <v>82</v>
      </c>
      <c r="F11626" t="str">
        <f>HYPERLINK("https://github.com/PojavLauncherTeam/PojavLauncher/issues/3366", "show")</f>
        <v>show</v>
      </c>
      <c r="G11626" t="str">
        <f>HYPERLINK("https://github.com/PojavLauncherTeam/PojavLauncher", "show")</f>
        <v>show</v>
      </c>
      <c r="H11626" t="str">
        <f>HYPERLINK("https://github.com/PojavLauncherTeam/PojavLauncher/releases", "show")</f>
        <v>show</v>
      </c>
      <c r="I11626">
        <v>0</v>
      </c>
      <c r="J11626">
        <v>1</v>
      </c>
      <c r="K11626">
        <v>0</v>
      </c>
      <c r="L11626">
        <v>0</v>
      </c>
      <c r="M11626" t="s">
        <v>139</v>
      </c>
    </row>
    <row r="11627" spans="1:13" x14ac:dyDescent="0.15">
      <c r="A11627" t="s">
        <v>36693</v>
      </c>
      <c r="B11627" t="s">
        <v>36694</v>
      </c>
      <c r="C11627" t="s">
        <v>36695</v>
      </c>
      <c r="D11627" t="s">
        <v>36696</v>
      </c>
      <c r="E11627">
        <v>0</v>
      </c>
      <c r="F11627" t="str">
        <f>HYPERLINK("https://github.com/PojavLauncherTeam/PojavLauncher/issues/3361", "show")</f>
        <v>show</v>
      </c>
      <c r="G11627" t="str">
        <f>HYPERLINK("https://github.com/PojavLauncherTeam/PojavLauncher", "show")</f>
        <v>show</v>
      </c>
      <c r="H11627" t="str">
        <f>HYPERLINK("https://github.com/PojavLauncherTeam/PojavLauncher/releases", "show")</f>
        <v>show</v>
      </c>
      <c r="I11627">
        <v>0</v>
      </c>
      <c r="J11627">
        <v>1</v>
      </c>
      <c r="K11627">
        <v>0</v>
      </c>
      <c r="L11627">
        <v>0</v>
      </c>
      <c r="M11627" t="s">
        <v>139</v>
      </c>
    </row>
    <row r="11628" spans="1:13" hidden="1" x14ac:dyDescent="0.15">
      <c r="A11628" t="s">
        <v>36697</v>
      </c>
      <c r="B11628" t="s">
        <v>36698</v>
      </c>
      <c r="C11628" t="s">
        <v>36699</v>
      </c>
      <c r="D11628" t="s">
        <v>36696</v>
      </c>
      <c r="E11628">
        <v>83</v>
      </c>
      <c r="F11628" t="str">
        <f>HYPERLINK("https://github.com/PojavLauncherTeam/PojavLauncher/issues/3360", "show")</f>
        <v>show</v>
      </c>
      <c r="G11628" t="str">
        <f>HYPERLINK("https://github.com/PojavLauncherTeam/PojavLauncher", "show")</f>
        <v>show</v>
      </c>
      <c r="H11628" t="str">
        <f>HYPERLINK("https://github.com/PojavLauncherTeam/PojavLauncher/releases", "show")</f>
        <v>show</v>
      </c>
      <c r="I11628">
        <v>0</v>
      </c>
      <c r="J11628">
        <v>0</v>
      </c>
      <c r="K11628">
        <v>0</v>
      </c>
      <c r="L11628">
        <v>0</v>
      </c>
      <c r="M11628" t="s">
        <v>43</v>
      </c>
    </row>
    <row r="11629" spans="1:13" hidden="1" x14ac:dyDescent="0.15">
      <c r="A11629" t="s">
        <v>36700</v>
      </c>
      <c r="B11629" t="s">
        <v>36701</v>
      </c>
      <c r="C11629" t="s">
        <v>36702</v>
      </c>
      <c r="D11629" t="s">
        <v>36696</v>
      </c>
      <c r="E11629">
        <v>6</v>
      </c>
      <c r="F11629" t="str">
        <f>HYPERLINK("https://github.com/AndroidIDEOfficial/AndroidIDE/issues/214", "show")</f>
        <v>show</v>
      </c>
      <c r="G11629" t="str">
        <f>HYPERLINK("https://github.com/AndroidIDEOfficial/AndroidIDE", "show")</f>
        <v>show</v>
      </c>
      <c r="H11629" t="str">
        <f>HYPERLINK("https://github.com/AndroidIDEOfficial/AndroidIDE/releases", "show")</f>
        <v>show</v>
      </c>
      <c r="I11629">
        <v>1</v>
      </c>
      <c r="J11629">
        <v>1</v>
      </c>
      <c r="K11629">
        <v>1</v>
      </c>
      <c r="L11629">
        <v>0</v>
      </c>
      <c r="M11629" t="s">
        <v>59</v>
      </c>
    </row>
    <row r="11630" spans="1:13" hidden="1" x14ac:dyDescent="0.15">
      <c r="A11630" t="s">
        <v>36703</v>
      </c>
      <c r="B11630" t="s">
        <v>36704</v>
      </c>
      <c r="C11630" t="s">
        <v>36705</v>
      </c>
      <c r="D11630" t="s">
        <v>36706</v>
      </c>
      <c r="E11630">
        <v>30</v>
      </c>
      <c r="F11630" t="str">
        <f>HYPERLINK("https://github.com/nextcloud/news-android/issues/1096", "show")</f>
        <v>show</v>
      </c>
      <c r="G11630" t="str">
        <f>HYPERLINK("https://github.com/nextcloud/news-android", "show")</f>
        <v>show</v>
      </c>
      <c r="H11630" t="str">
        <f>HYPERLINK("https://github.com/nextcloud/news-android/releases", "show")</f>
        <v>show</v>
      </c>
      <c r="I11630">
        <v>1</v>
      </c>
      <c r="J11630">
        <v>0</v>
      </c>
      <c r="K11630">
        <v>1</v>
      </c>
      <c r="L11630">
        <v>0</v>
      </c>
      <c r="M11630" t="s">
        <v>64</v>
      </c>
    </row>
    <row r="11631" spans="1:13" x14ac:dyDescent="0.15">
      <c r="A11631" t="s">
        <v>36707</v>
      </c>
      <c r="B11631" t="s">
        <v>36708</v>
      </c>
      <c r="C11631" t="s">
        <v>36709</v>
      </c>
      <c r="D11631" t="s">
        <v>36706</v>
      </c>
      <c r="E11631">
        <v>84</v>
      </c>
      <c r="F11631" t="str">
        <f>HYPERLINK("https://github.com/PojavLauncherTeam/PojavLauncher/issues/3357", "show")</f>
        <v>show</v>
      </c>
      <c r="G11631" t="str">
        <f>HYPERLINK("https://github.com/PojavLauncherTeam/PojavLauncher", "show")</f>
        <v>show</v>
      </c>
      <c r="H11631" t="str">
        <f>HYPERLINK("https://github.com/PojavLauncherTeam/PojavLauncher/releases", "show")</f>
        <v>show</v>
      </c>
      <c r="I11631">
        <v>0</v>
      </c>
      <c r="J11631">
        <v>1</v>
      </c>
      <c r="K11631">
        <v>0</v>
      </c>
      <c r="L11631">
        <v>0</v>
      </c>
      <c r="M11631" t="s">
        <v>139</v>
      </c>
    </row>
    <row r="11632" spans="1:13" hidden="1" x14ac:dyDescent="0.15">
      <c r="A11632" t="s">
        <v>36710</v>
      </c>
      <c r="B11632" t="s">
        <v>36711</v>
      </c>
      <c r="C11632" t="s">
        <v>36712</v>
      </c>
      <c r="D11632" t="s">
        <v>36706</v>
      </c>
      <c r="E11632">
        <v>84</v>
      </c>
      <c r="F11632" t="str">
        <f>HYPERLINK("https://github.com/PojavLauncherTeam/PojavLauncher/issues/3356", "show")</f>
        <v>show</v>
      </c>
      <c r="G11632" t="str">
        <f>HYPERLINK("https://github.com/PojavLauncherTeam/PojavLauncher", "show")</f>
        <v>show</v>
      </c>
      <c r="H11632" t="str">
        <f>HYPERLINK("https://github.com/PojavLauncherTeam/PojavLauncher/releases", "show")</f>
        <v>show</v>
      </c>
      <c r="I11632">
        <v>0</v>
      </c>
      <c r="J11632">
        <v>0</v>
      </c>
      <c r="K11632">
        <v>0</v>
      </c>
      <c r="L11632">
        <v>0</v>
      </c>
      <c r="M11632" t="s">
        <v>43</v>
      </c>
    </row>
    <row r="11633" spans="1:13" hidden="1" x14ac:dyDescent="0.15">
      <c r="A11633" t="s">
        <v>36713</v>
      </c>
      <c r="B11633" t="s">
        <v>36714</v>
      </c>
      <c r="C11633" t="s">
        <v>36715</v>
      </c>
      <c r="D11633" t="s">
        <v>36706</v>
      </c>
      <c r="E11633">
        <v>2</v>
      </c>
      <c r="F11633" t="str">
        <f>HYPERLINK("https://github.com/MuntashirAkon/AppManager/issues/777", "show")</f>
        <v>show</v>
      </c>
      <c r="G11633" t="str">
        <f>HYPERLINK("https://github.com/MuntashirAkon/AppManager", "show")</f>
        <v>show</v>
      </c>
      <c r="H11633" t="str">
        <f>HYPERLINK("https://github.com/MuntashirAkon/AppManager/releases", "show")</f>
        <v>show</v>
      </c>
      <c r="I11633">
        <v>0</v>
      </c>
      <c r="J11633">
        <v>1</v>
      </c>
      <c r="K11633">
        <v>1</v>
      </c>
      <c r="L11633">
        <v>0</v>
      </c>
      <c r="M11633" t="s">
        <v>699</v>
      </c>
    </row>
    <row r="11634" spans="1:13" hidden="1" x14ac:dyDescent="0.15">
      <c r="A11634" t="s">
        <v>36716</v>
      </c>
      <c r="B11634" t="s">
        <v>36717</v>
      </c>
      <c r="C11634" t="s">
        <v>36718</v>
      </c>
      <c r="D11634" t="s">
        <v>36706</v>
      </c>
      <c r="E11634">
        <v>84</v>
      </c>
      <c r="F11634" t="str">
        <f>HYPERLINK("https://github.com/PojavLauncherTeam/PojavLauncher/issues/3353", "show")</f>
        <v>show</v>
      </c>
      <c r="G11634" t="str">
        <f>HYPERLINK("https://github.com/PojavLauncherTeam/PojavLauncher", "show")</f>
        <v>show</v>
      </c>
      <c r="H11634" t="str">
        <f>HYPERLINK("https://github.com/PojavLauncherTeam/PojavLauncher/releases", "show")</f>
        <v>show</v>
      </c>
      <c r="I11634">
        <v>1</v>
      </c>
      <c r="J11634">
        <v>0</v>
      </c>
      <c r="K11634">
        <v>0</v>
      </c>
      <c r="L11634">
        <v>1</v>
      </c>
      <c r="M11634" t="s">
        <v>29</v>
      </c>
    </row>
    <row r="11635" spans="1:13" hidden="1" x14ac:dyDescent="0.15">
      <c r="A11635" t="s">
        <v>36719</v>
      </c>
      <c r="B11635" t="s">
        <v>36720</v>
      </c>
      <c r="C11635" t="s">
        <v>36721</v>
      </c>
      <c r="D11635" t="s">
        <v>36722</v>
      </c>
      <c r="E11635">
        <v>85</v>
      </c>
      <c r="F11635" t="str">
        <f>HYPERLINK("https://github.com/PojavLauncherTeam/PojavLauncher/issues/3351", "show")</f>
        <v>show</v>
      </c>
      <c r="G11635" t="str">
        <f>HYPERLINK("https://github.com/PojavLauncherTeam/PojavLauncher", "show")</f>
        <v>show</v>
      </c>
      <c r="H11635" t="str">
        <f>HYPERLINK("https://github.com/PojavLauncherTeam/PojavLauncher/releases", "show")</f>
        <v>show</v>
      </c>
      <c r="I11635">
        <v>1</v>
      </c>
      <c r="J11635">
        <v>0</v>
      </c>
      <c r="K11635">
        <v>1</v>
      </c>
      <c r="L11635">
        <v>0</v>
      </c>
      <c r="M11635" t="s">
        <v>64</v>
      </c>
    </row>
    <row r="11636" spans="1:13" x14ac:dyDescent="0.15">
      <c r="A11636" t="s">
        <v>36723</v>
      </c>
      <c r="B11636" t="s">
        <v>36724</v>
      </c>
      <c r="C11636" t="s">
        <v>36725</v>
      </c>
      <c r="D11636" t="s">
        <v>36722</v>
      </c>
      <c r="E11636">
        <v>86</v>
      </c>
      <c r="F11636" t="str">
        <f>HYPERLINK("https://github.com/PojavLauncherTeam/PojavLauncher/issues/3350", "show")</f>
        <v>show</v>
      </c>
      <c r="G11636" t="str">
        <f>HYPERLINK("https://github.com/PojavLauncherTeam/PojavLauncher", "show")</f>
        <v>show</v>
      </c>
      <c r="H11636" t="str">
        <f>HYPERLINK("https://github.com/PojavLauncherTeam/PojavLauncher/releases", "show")</f>
        <v>show</v>
      </c>
      <c r="I11636">
        <v>0</v>
      </c>
      <c r="J11636">
        <v>1</v>
      </c>
      <c r="K11636">
        <v>0</v>
      </c>
      <c r="L11636">
        <v>0</v>
      </c>
      <c r="M11636" t="s">
        <v>139</v>
      </c>
    </row>
    <row r="11637" spans="1:13" hidden="1" x14ac:dyDescent="0.15">
      <c r="A11637" t="s">
        <v>36726</v>
      </c>
      <c r="B11637" t="s">
        <v>36727</v>
      </c>
      <c r="C11637" t="s">
        <v>36728</v>
      </c>
      <c r="D11637" t="s">
        <v>36722</v>
      </c>
      <c r="E11637">
        <v>10</v>
      </c>
      <c r="F11637" t="str">
        <f>HYPERLINK("https://github.com/TeamNewPipe/NewPipe/issues/8494", "show")</f>
        <v>show</v>
      </c>
      <c r="G11637" t="str">
        <f>HYPERLINK("https://github.com/TeamNewPipe/NewPipe", "show")</f>
        <v>show</v>
      </c>
      <c r="H11637" t="str">
        <f>HYPERLINK("https://github.com/TeamNewPipe/NewPipe/releases", "show")</f>
        <v>show</v>
      </c>
      <c r="I11637">
        <v>1</v>
      </c>
      <c r="J11637">
        <v>1</v>
      </c>
      <c r="K11637">
        <v>1</v>
      </c>
      <c r="L11637">
        <v>0</v>
      </c>
      <c r="M11637" t="s">
        <v>59</v>
      </c>
    </row>
    <row r="11638" spans="1:13" hidden="1" x14ac:dyDescent="0.15">
      <c r="A11638" t="s">
        <v>36729</v>
      </c>
      <c r="B11638" t="s">
        <v>36730</v>
      </c>
      <c r="C11638" t="s">
        <v>36731</v>
      </c>
      <c r="D11638" t="s">
        <v>36722</v>
      </c>
      <c r="E11638">
        <v>1</v>
      </c>
      <c r="F11638" t="str">
        <f>HYPERLINK("https://github.com/cgeo/cgeo/issues/13112", "show")</f>
        <v>show</v>
      </c>
      <c r="G11638" t="str">
        <f>HYPERLINK("https://github.com/cgeo/cgeo", "show")</f>
        <v>show</v>
      </c>
      <c r="H11638" t="str">
        <f>HYPERLINK("https://github.com/cgeo/cgeo/releases", "show")</f>
        <v>show</v>
      </c>
      <c r="I11638">
        <v>1</v>
      </c>
      <c r="J11638">
        <v>0</v>
      </c>
      <c r="K11638">
        <v>1</v>
      </c>
      <c r="L11638">
        <v>0</v>
      </c>
      <c r="M11638" t="s">
        <v>64</v>
      </c>
    </row>
    <row r="11639" spans="1:13" x14ac:dyDescent="0.15">
      <c r="A11639" t="s">
        <v>36732</v>
      </c>
      <c r="B11639" t="s">
        <v>36733</v>
      </c>
      <c r="C11639" t="s">
        <v>36734</v>
      </c>
      <c r="D11639" t="s">
        <v>36722</v>
      </c>
      <c r="E11639">
        <v>1</v>
      </c>
      <c r="F11639" t="str">
        <f>HYPERLINK("https://github.com/nextcloud/android/issues/10366", "show")</f>
        <v>show</v>
      </c>
      <c r="G11639" t="str">
        <f>HYPERLINK("https://github.com/nextcloud/android", "show")</f>
        <v>show</v>
      </c>
      <c r="H11639" t="str">
        <f>HYPERLINK("https://github.com/nextcloud/android/releases", "show")</f>
        <v>show</v>
      </c>
      <c r="I11639">
        <v>0</v>
      </c>
      <c r="J11639">
        <v>1</v>
      </c>
      <c r="K11639">
        <v>0</v>
      </c>
      <c r="L11639">
        <v>0</v>
      </c>
      <c r="M11639" t="s">
        <v>139</v>
      </c>
    </row>
    <row r="11640" spans="1:13" hidden="1" x14ac:dyDescent="0.15">
      <c r="A11640" t="s">
        <v>36735</v>
      </c>
      <c r="B11640" t="s">
        <v>36736</v>
      </c>
      <c r="C11640" t="s">
        <v>36737</v>
      </c>
      <c r="D11640" t="s">
        <v>36722</v>
      </c>
      <c r="E11640">
        <v>19</v>
      </c>
      <c r="F11640" t="str">
        <f>HYPERLINK("https://github.com/commons-app/apps-android-commons/issues/4992", "show")</f>
        <v>show</v>
      </c>
      <c r="G11640" t="str">
        <f>HYPERLINK("https://github.com/commons-app/apps-android-commons", "show")</f>
        <v>show</v>
      </c>
      <c r="H11640" t="str">
        <f>HYPERLINK("https://github.com/commons-app/apps-android-commons/releases", "show")</f>
        <v>show</v>
      </c>
      <c r="I11640">
        <v>0</v>
      </c>
      <c r="J11640">
        <v>0</v>
      </c>
      <c r="K11640">
        <v>1</v>
      </c>
      <c r="L11640">
        <v>0</v>
      </c>
      <c r="M11640" t="s">
        <v>122</v>
      </c>
    </row>
    <row r="11641" spans="1:13" hidden="1" x14ac:dyDescent="0.15">
      <c r="A11641" t="s">
        <v>36738</v>
      </c>
      <c r="B11641" t="s">
        <v>36739</v>
      </c>
      <c r="D11641" t="s">
        <v>36722</v>
      </c>
      <c r="E11641">
        <v>1</v>
      </c>
      <c r="F11641" t="str">
        <f>HYPERLINK("https://github.com/dyjcow/SzWeather/issues/1", "show")</f>
        <v>show</v>
      </c>
      <c r="G11641" t="str">
        <f>HYPERLINK("https://github.com/dyjcow/SzWeather", "show")</f>
        <v>show</v>
      </c>
      <c r="H11641" t="str">
        <f>HYPERLINK("https://github.com/dyjcow/SzWeather/releases", "show")</f>
        <v>show</v>
      </c>
      <c r="I11641">
        <v>0</v>
      </c>
      <c r="J11641">
        <v>0</v>
      </c>
      <c r="K11641">
        <v>0</v>
      </c>
      <c r="L11641">
        <v>1</v>
      </c>
      <c r="M11641" t="s">
        <v>581</v>
      </c>
    </row>
    <row r="11642" spans="1:13" hidden="1" x14ac:dyDescent="0.15">
      <c r="A11642" t="s">
        <v>36740</v>
      </c>
      <c r="B11642" t="s">
        <v>36741</v>
      </c>
      <c r="C11642" t="s">
        <v>36742</v>
      </c>
      <c r="D11642" t="s">
        <v>36722</v>
      </c>
      <c r="E11642">
        <v>0</v>
      </c>
      <c r="F11642" t="str">
        <f>HYPERLINK("https://github.com/Anuken/Mindustry/issues/6997", "show")</f>
        <v>show</v>
      </c>
      <c r="G11642" t="str">
        <f>HYPERLINK("https://github.com/Anuken/Mindustry", "show")</f>
        <v>show</v>
      </c>
      <c r="H11642" t="str">
        <f>HYPERLINK("https://github.com/Anuken/Mindustry/releases", "show")</f>
        <v>show</v>
      </c>
      <c r="I11642">
        <v>1</v>
      </c>
      <c r="J11642">
        <v>1</v>
      </c>
      <c r="K11642">
        <v>0</v>
      </c>
      <c r="L11642">
        <v>0</v>
      </c>
      <c r="M11642" t="s">
        <v>48</v>
      </c>
    </row>
    <row r="11643" spans="1:13" hidden="1" x14ac:dyDescent="0.15">
      <c r="A11643" t="s">
        <v>36743</v>
      </c>
      <c r="B11643" t="s">
        <v>36744</v>
      </c>
      <c r="D11643" t="s">
        <v>36722</v>
      </c>
      <c r="E11643">
        <v>0</v>
      </c>
      <c r="F11643" t="str">
        <f>HYPERLINK("https://github.com/K-Konstantinidis/Basketball-League/issues/38", "show")</f>
        <v>show</v>
      </c>
      <c r="G11643" t="str">
        <f>HYPERLINK("https://github.com/K-Konstantinidis/Basketball-League", "show")</f>
        <v>show</v>
      </c>
      <c r="H11643" t="str">
        <f>HYPERLINK("https://github.com/K-Konstantinidis/Basketball-League/releases", "show")</f>
        <v>show</v>
      </c>
      <c r="I11643">
        <v>1</v>
      </c>
      <c r="J11643">
        <v>0</v>
      </c>
      <c r="K11643">
        <v>0</v>
      </c>
      <c r="L11643">
        <v>0</v>
      </c>
      <c r="M11643" t="s">
        <v>17</v>
      </c>
    </row>
    <row r="11644" spans="1:13" hidden="1" x14ac:dyDescent="0.15">
      <c r="A11644" t="s">
        <v>36745</v>
      </c>
      <c r="B11644" t="s">
        <v>36746</v>
      </c>
      <c r="C11644" t="s">
        <v>36747</v>
      </c>
      <c r="D11644" t="s">
        <v>36722</v>
      </c>
      <c r="E11644">
        <v>11</v>
      </c>
      <c r="F11644" t="str">
        <f>HYPERLINK("https://github.com/Igalia/wolvic/issues/139", "show")</f>
        <v>show</v>
      </c>
      <c r="G11644" t="str">
        <f>HYPERLINK("https://github.com/Igalia/wolvic", "show")</f>
        <v>show</v>
      </c>
      <c r="H11644" t="str">
        <f>HYPERLINK("https://github.com/Igalia/wolvic/releases", "show")</f>
        <v>show</v>
      </c>
      <c r="I11644">
        <v>0</v>
      </c>
      <c r="J11644">
        <v>0</v>
      </c>
      <c r="K11644">
        <v>1</v>
      </c>
      <c r="L11644">
        <v>0</v>
      </c>
      <c r="M11644" t="s">
        <v>122</v>
      </c>
    </row>
    <row r="11645" spans="1:13" hidden="1" x14ac:dyDescent="0.15">
      <c r="A11645" t="s">
        <v>36748</v>
      </c>
      <c r="B11645" t="s">
        <v>36749</v>
      </c>
      <c r="C11645" t="s">
        <v>36750</v>
      </c>
      <c r="D11645" t="s">
        <v>36722</v>
      </c>
      <c r="E11645">
        <v>85</v>
      </c>
      <c r="F11645" t="str">
        <f>HYPERLINK("https://github.com/PojavLauncherTeam/PojavLauncher/issues/3348", "show")</f>
        <v>show</v>
      </c>
      <c r="G11645" t="str">
        <f>HYPERLINK("https://github.com/PojavLauncherTeam/PojavLauncher", "show")</f>
        <v>show</v>
      </c>
      <c r="H11645" t="str">
        <f>HYPERLINK("https://github.com/PojavLauncherTeam/PojavLauncher/releases", "show")</f>
        <v>show</v>
      </c>
      <c r="I11645">
        <v>1</v>
      </c>
      <c r="J11645">
        <v>0</v>
      </c>
      <c r="K11645">
        <v>0</v>
      </c>
      <c r="L11645">
        <v>0</v>
      </c>
      <c r="M11645" t="s">
        <v>17</v>
      </c>
    </row>
    <row r="11646" spans="1:13" hidden="1" x14ac:dyDescent="0.15">
      <c r="A11646" t="s">
        <v>36751</v>
      </c>
      <c r="B11646" t="s">
        <v>36752</v>
      </c>
      <c r="D11646" t="s">
        <v>36753</v>
      </c>
      <c r="E11646">
        <v>6</v>
      </c>
      <c r="F11646" t="str">
        <f>HYPERLINK("https://github.com/rezolved/rezolve_sdk_sampleapp_android/issues/16", "show")</f>
        <v>show</v>
      </c>
      <c r="G11646" t="str">
        <f>HYPERLINK("https://github.com/rezolved/rezolve_sdk_sampleapp_android", "show")</f>
        <v>show</v>
      </c>
      <c r="H11646" t="str">
        <f>HYPERLINK("https://github.com/rezolved/rezolve_sdk_sampleapp_android/releases", "show")</f>
        <v>show</v>
      </c>
      <c r="I11646">
        <v>0</v>
      </c>
      <c r="J11646">
        <v>0</v>
      </c>
      <c r="K11646">
        <v>0</v>
      </c>
      <c r="L11646">
        <v>0</v>
      </c>
      <c r="M11646" t="s">
        <v>43</v>
      </c>
    </row>
    <row r="11647" spans="1:13" hidden="1" x14ac:dyDescent="0.15">
      <c r="A11647" t="s">
        <v>36754</v>
      </c>
      <c r="B11647" t="s">
        <v>36755</v>
      </c>
      <c r="C11647" t="s">
        <v>36756</v>
      </c>
      <c r="D11647" t="s">
        <v>36753</v>
      </c>
      <c r="E11647">
        <v>0</v>
      </c>
      <c r="F11647" t="str">
        <f>HYPERLINK("https://github.com/Anuken/Mindustry/issues/6993", "show")</f>
        <v>show</v>
      </c>
      <c r="G11647" t="str">
        <f>HYPERLINK("https://github.com/Anuken/Mindustry", "show")</f>
        <v>show</v>
      </c>
      <c r="H11647" t="str">
        <f>HYPERLINK("https://github.com/Anuken/Mindustry/releases", "show")</f>
        <v>show</v>
      </c>
      <c r="I11647">
        <v>0</v>
      </c>
      <c r="J11647">
        <v>0</v>
      </c>
      <c r="K11647">
        <v>0</v>
      </c>
      <c r="L11647">
        <v>0</v>
      </c>
      <c r="M11647" t="s">
        <v>43</v>
      </c>
    </row>
    <row r="11648" spans="1:13" hidden="1" x14ac:dyDescent="0.15">
      <c r="A11648" t="s">
        <v>36757</v>
      </c>
      <c r="B11648" t="s">
        <v>36758</v>
      </c>
      <c r="C11648" t="s">
        <v>36759</v>
      </c>
      <c r="D11648" t="s">
        <v>36753</v>
      </c>
      <c r="E11648">
        <v>1</v>
      </c>
      <c r="F11648" t="str">
        <f>HYPERLINK("https://github.com/PojavLauncherTeam/PojavLauncher/issues/3344", "show")</f>
        <v>show</v>
      </c>
      <c r="G11648" t="str">
        <f>HYPERLINK("https://github.com/PojavLauncherTeam/PojavLauncher", "show")</f>
        <v>show</v>
      </c>
      <c r="H11648" t="str">
        <f>HYPERLINK("https://github.com/PojavLauncherTeam/PojavLauncher/releases", "show")</f>
        <v>show</v>
      </c>
      <c r="I11648">
        <v>1</v>
      </c>
      <c r="J11648">
        <v>0</v>
      </c>
      <c r="K11648">
        <v>0</v>
      </c>
      <c r="L11648">
        <v>0</v>
      </c>
      <c r="M11648" t="s">
        <v>17</v>
      </c>
    </row>
    <row r="11649" spans="1:13" x14ac:dyDescent="0.15">
      <c r="A11649" t="s">
        <v>36760</v>
      </c>
      <c r="B11649" t="s">
        <v>36761</v>
      </c>
      <c r="C11649" t="s">
        <v>36762</v>
      </c>
      <c r="D11649" t="s">
        <v>36763</v>
      </c>
      <c r="E11649">
        <v>1</v>
      </c>
      <c r="F11649" t="str">
        <f>HYPERLINK("https://github.com/Anuken/Mindustry/issues/6987", "show")</f>
        <v>show</v>
      </c>
      <c r="G11649" t="str">
        <f>HYPERLINK("https://github.com/Anuken/Mindustry", "show")</f>
        <v>show</v>
      </c>
      <c r="H11649" t="str">
        <f>HYPERLINK("https://github.com/Anuken/Mindustry/releases", "show")</f>
        <v>show</v>
      </c>
      <c r="I11649">
        <v>0</v>
      </c>
      <c r="J11649">
        <v>1</v>
      </c>
      <c r="K11649">
        <v>0</v>
      </c>
      <c r="L11649">
        <v>0</v>
      </c>
      <c r="M11649" t="s">
        <v>139</v>
      </c>
    </row>
    <row r="11650" spans="1:13" hidden="1" x14ac:dyDescent="0.15">
      <c r="A11650" t="s">
        <v>36764</v>
      </c>
      <c r="B11650" t="s">
        <v>36765</v>
      </c>
      <c r="C11650" t="s">
        <v>36766</v>
      </c>
      <c r="D11650" t="s">
        <v>36763</v>
      </c>
      <c r="E11650">
        <v>2</v>
      </c>
      <c r="F11650" t="str">
        <f>HYPERLINK("https://github.com/BresciaFrancesco/TourExperience/issues/55", "show")</f>
        <v>show</v>
      </c>
      <c r="G11650" t="str">
        <f>HYPERLINK("https://github.com/BresciaFrancesco/TourExperience", "show")</f>
        <v>show</v>
      </c>
      <c r="H11650" t="str">
        <f>HYPERLINK("https://github.com/BresciaFrancesco/TourExperience/releases", "show")</f>
        <v>show</v>
      </c>
      <c r="I11650">
        <v>0</v>
      </c>
      <c r="J11650">
        <v>0</v>
      </c>
      <c r="K11650">
        <v>0</v>
      </c>
      <c r="L11650">
        <v>0</v>
      </c>
      <c r="M11650" t="s">
        <v>43</v>
      </c>
    </row>
    <row r="11651" spans="1:13" hidden="1" x14ac:dyDescent="0.15">
      <c r="A11651" t="s">
        <v>36767</v>
      </c>
      <c r="B11651" t="s">
        <v>36768</v>
      </c>
      <c r="C11651" t="s">
        <v>36769</v>
      </c>
      <c r="D11651" t="s">
        <v>36770</v>
      </c>
      <c r="E11651">
        <v>2</v>
      </c>
      <c r="F11651" t="str">
        <f>HYPERLINK("https://github.com/Anuken/Mindustry/issues/6984", "show")</f>
        <v>show</v>
      </c>
      <c r="G11651" t="str">
        <f>HYPERLINK("https://github.com/Anuken/Mindustry", "show")</f>
        <v>show</v>
      </c>
      <c r="H11651" t="str">
        <f>HYPERLINK("https://github.com/Anuken/Mindustry/releases", "show")</f>
        <v>show</v>
      </c>
      <c r="I11651">
        <v>0</v>
      </c>
      <c r="J11651">
        <v>0</v>
      </c>
      <c r="K11651">
        <v>0</v>
      </c>
      <c r="L11651">
        <v>0</v>
      </c>
      <c r="M11651" t="s">
        <v>43</v>
      </c>
    </row>
    <row r="11652" spans="1:13" hidden="1" x14ac:dyDescent="0.15">
      <c r="A11652" t="s">
        <v>36771</v>
      </c>
      <c r="B11652" t="s">
        <v>36772</v>
      </c>
      <c r="C11652" t="s">
        <v>36773</v>
      </c>
      <c r="D11652" t="s">
        <v>36770</v>
      </c>
      <c r="E11652">
        <v>2</v>
      </c>
      <c r="F11652" t="str">
        <f>HYPERLINK("https://github.com/Anuken/Mindustry/issues/6983", "show")</f>
        <v>show</v>
      </c>
      <c r="G11652" t="str">
        <f>HYPERLINK("https://github.com/Anuken/Mindustry", "show")</f>
        <v>show</v>
      </c>
      <c r="H11652" t="str">
        <f>HYPERLINK("https://github.com/Anuken/Mindustry/releases", "show")</f>
        <v>show</v>
      </c>
      <c r="I11652">
        <v>0</v>
      </c>
      <c r="J11652">
        <v>0</v>
      </c>
      <c r="K11652">
        <v>0</v>
      </c>
      <c r="L11652">
        <v>1</v>
      </c>
      <c r="M11652" t="s">
        <v>581</v>
      </c>
    </row>
    <row r="11653" spans="1:13" hidden="1" x14ac:dyDescent="0.15">
      <c r="A11653" t="s">
        <v>36774</v>
      </c>
      <c r="B11653" t="s">
        <v>36775</v>
      </c>
      <c r="C11653" t="s">
        <v>36776</v>
      </c>
      <c r="D11653" t="s">
        <v>36770</v>
      </c>
      <c r="E11653">
        <v>2</v>
      </c>
      <c r="F11653" t="str">
        <f>HYPERLINK("https://github.com/Anuken/Mindustry/issues/6979", "show")</f>
        <v>show</v>
      </c>
      <c r="G11653" t="str">
        <f>HYPERLINK("https://github.com/Anuken/Mindustry", "show")</f>
        <v>show</v>
      </c>
      <c r="H11653" t="str">
        <f>HYPERLINK("https://github.com/Anuken/Mindustry/releases", "show")</f>
        <v>show</v>
      </c>
      <c r="I11653">
        <v>0</v>
      </c>
      <c r="J11653">
        <v>0</v>
      </c>
      <c r="K11653">
        <v>0</v>
      </c>
      <c r="L11653">
        <v>0</v>
      </c>
      <c r="M11653" t="s">
        <v>43</v>
      </c>
    </row>
    <row r="11654" spans="1:13" hidden="1" x14ac:dyDescent="0.15">
      <c r="A11654" t="s">
        <v>36777</v>
      </c>
      <c r="B11654" t="s">
        <v>36778</v>
      </c>
      <c r="C11654" t="s">
        <v>36779</v>
      </c>
      <c r="D11654" t="s">
        <v>36770</v>
      </c>
      <c r="E11654">
        <v>0</v>
      </c>
      <c r="F11654" t="str">
        <f>HYPERLINK("https://github.com/woesss/JL-Mod/issues/50", "show")</f>
        <v>show</v>
      </c>
      <c r="G11654" t="str">
        <f>HYPERLINK("https://github.com/woesss/JL-Mod", "show")</f>
        <v>show</v>
      </c>
      <c r="H11654" t="str">
        <f>HYPERLINK("https://github.com/woesss/JL-Mod/releases", "show")</f>
        <v>show</v>
      </c>
      <c r="I11654">
        <v>1</v>
      </c>
      <c r="J11654">
        <v>0</v>
      </c>
      <c r="K11654">
        <v>0</v>
      </c>
      <c r="L11654">
        <v>0</v>
      </c>
      <c r="M11654" t="s">
        <v>17</v>
      </c>
    </row>
    <row r="11655" spans="1:13" hidden="1" x14ac:dyDescent="0.15">
      <c r="A11655" t="s">
        <v>36780</v>
      </c>
      <c r="B11655" t="s">
        <v>36781</v>
      </c>
      <c r="C11655" t="s">
        <v>36782</v>
      </c>
      <c r="D11655" t="s">
        <v>36770</v>
      </c>
      <c r="E11655">
        <v>2</v>
      </c>
      <c r="F11655" t="str">
        <f>HYPERLINK("https://github.com/nextcloud/android/issues/10344", "show")</f>
        <v>show</v>
      </c>
      <c r="G11655" t="str">
        <f>HYPERLINK("https://github.com/nextcloud/android", "show")</f>
        <v>show</v>
      </c>
      <c r="H11655" t="str">
        <f>HYPERLINK("https://github.com/nextcloud/android/releases", "show")</f>
        <v>show</v>
      </c>
      <c r="I11655">
        <v>1</v>
      </c>
      <c r="J11655">
        <v>0</v>
      </c>
      <c r="K11655">
        <v>1</v>
      </c>
      <c r="L11655">
        <v>0</v>
      </c>
      <c r="M11655" t="s">
        <v>64</v>
      </c>
    </row>
    <row r="11656" spans="1:13" hidden="1" x14ac:dyDescent="0.15">
      <c r="A11656" t="s">
        <v>36783</v>
      </c>
      <c r="B11656" t="s">
        <v>36784</v>
      </c>
      <c r="C11656" t="s">
        <v>36785</v>
      </c>
      <c r="D11656" t="s">
        <v>36786</v>
      </c>
      <c r="E11656">
        <v>102</v>
      </c>
      <c r="F11656" t="str">
        <f>HYPERLINK("https://github.com/PojavLauncherTeam/PojavLauncher/issues/3336", "show")</f>
        <v>show</v>
      </c>
      <c r="G11656" t="str">
        <f>HYPERLINK("https://github.com/PojavLauncherTeam/PojavLauncher", "show")</f>
        <v>show</v>
      </c>
      <c r="H11656" t="str">
        <f>HYPERLINK("https://github.com/PojavLauncherTeam/PojavLauncher/releases", "show")</f>
        <v>show</v>
      </c>
      <c r="I11656">
        <v>0</v>
      </c>
      <c r="J11656">
        <v>1</v>
      </c>
      <c r="K11656">
        <v>0</v>
      </c>
      <c r="L11656">
        <v>1</v>
      </c>
      <c r="M11656" t="s">
        <v>1732</v>
      </c>
    </row>
    <row r="11657" spans="1:13" hidden="1" x14ac:dyDescent="0.15">
      <c r="A11657" t="s">
        <v>36787</v>
      </c>
      <c r="B11657" t="s">
        <v>36788</v>
      </c>
      <c r="C11657" t="s">
        <v>36789</v>
      </c>
      <c r="D11657" t="s">
        <v>36786</v>
      </c>
      <c r="E11657">
        <v>0</v>
      </c>
      <c r="F11657" t="str">
        <f>HYPERLINK("https://github.com/Anuken/Mindustry/issues/6976", "show")</f>
        <v>show</v>
      </c>
      <c r="G11657" t="str">
        <f>HYPERLINK("https://github.com/Anuken/Mindustry", "show")</f>
        <v>show</v>
      </c>
      <c r="H11657" t="str">
        <f>HYPERLINK("https://github.com/Anuken/Mindustry/releases", "show")</f>
        <v>show</v>
      </c>
      <c r="I11657">
        <v>0</v>
      </c>
      <c r="J11657">
        <v>0</v>
      </c>
      <c r="K11657">
        <v>0</v>
      </c>
      <c r="L11657">
        <v>0</v>
      </c>
      <c r="M11657" t="s">
        <v>43</v>
      </c>
    </row>
    <row r="11658" spans="1:13" hidden="1" x14ac:dyDescent="0.15">
      <c r="A11658" t="s">
        <v>36790</v>
      </c>
      <c r="B11658" t="s">
        <v>36791</v>
      </c>
      <c r="C11658" t="s">
        <v>36792</v>
      </c>
      <c r="D11658" t="s">
        <v>36786</v>
      </c>
      <c r="E11658">
        <v>126</v>
      </c>
      <c r="F11658" t="str">
        <f>HYPERLINK("https://github.com/AndroidIDEOfficial/AndroidIDE/issues/213", "show")</f>
        <v>show</v>
      </c>
      <c r="G11658" t="str">
        <f>HYPERLINK("https://github.com/AndroidIDEOfficial/AndroidIDE", "show")</f>
        <v>show</v>
      </c>
      <c r="H11658" t="str">
        <f>HYPERLINK("https://github.com/AndroidIDEOfficial/AndroidIDE/releases", "show")</f>
        <v>show</v>
      </c>
      <c r="I11658">
        <v>0</v>
      </c>
      <c r="J11658">
        <v>0</v>
      </c>
      <c r="K11658">
        <v>1</v>
      </c>
      <c r="L11658">
        <v>0</v>
      </c>
      <c r="M11658" t="s">
        <v>122</v>
      </c>
    </row>
    <row r="11659" spans="1:13" hidden="1" x14ac:dyDescent="0.15">
      <c r="A11659" t="s">
        <v>36793</v>
      </c>
      <c r="B11659" t="s">
        <v>36794</v>
      </c>
      <c r="C11659" t="s">
        <v>36795</v>
      </c>
      <c r="D11659" t="s">
        <v>36786</v>
      </c>
      <c r="E11659">
        <v>0</v>
      </c>
      <c r="F11659" t="str">
        <f>HYPERLINK("https://github.com/PojavLauncherTeam/PojavLauncher/issues/3333", "show")</f>
        <v>show</v>
      </c>
      <c r="G11659" t="str">
        <f>HYPERLINK("https://github.com/PojavLauncherTeam/PojavLauncher", "show")</f>
        <v>show</v>
      </c>
      <c r="H11659" t="str">
        <f>HYPERLINK("https://github.com/PojavLauncherTeam/PojavLauncher/releases", "show")</f>
        <v>show</v>
      </c>
      <c r="I11659">
        <v>1</v>
      </c>
      <c r="J11659">
        <v>1</v>
      </c>
      <c r="K11659">
        <v>0</v>
      </c>
      <c r="L11659">
        <v>0</v>
      </c>
      <c r="M11659" t="s">
        <v>48</v>
      </c>
    </row>
    <row r="11660" spans="1:13" hidden="1" x14ac:dyDescent="0.15">
      <c r="A11660" t="s">
        <v>36796</v>
      </c>
      <c r="B11660" t="s">
        <v>36797</v>
      </c>
      <c r="C11660" t="s">
        <v>36798</v>
      </c>
      <c r="D11660" t="s">
        <v>36786</v>
      </c>
      <c r="E11660">
        <v>89</v>
      </c>
      <c r="F11660" t="str">
        <f>HYPERLINK("https://github.com/PojavLauncherTeam/PojavLauncher/issues/3329", "show")</f>
        <v>show</v>
      </c>
      <c r="G11660" t="str">
        <f>HYPERLINK("https://github.com/PojavLauncherTeam/PojavLauncher", "show")</f>
        <v>show</v>
      </c>
      <c r="H11660" t="str">
        <f>HYPERLINK("https://github.com/PojavLauncherTeam/PojavLauncher/releases", "show")</f>
        <v>show</v>
      </c>
      <c r="I11660">
        <v>1</v>
      </c>
      <c r="J11660">
        <v>0</v>
      </c>
      <c r="K11660">
        <v>1</v>
      </c>
      <c r="L11660">
        <v>0</v>
      </c>
      <c r="M11660" t="s">
        <v>64</v>
      </c>
    </row>
    <row r="11661" spans="1:13" hidden="1" x14ac:dyDescent="0.15">
      <c r="A11661" t="s">
        <v>36799</v>
      </c>
      <c r="B11661" t="s">
        <v>36800</v>
      </c>
      <c r="C11661" t="s">
        <v>36801</v>
      </c>
      <c r="D11661" t="s">
        <v>36786</v>
      </c>
      <c r="E11661">
        <v>89</v>
      </c>
      <c r="F11661" t="str">
        <f>HYPERLINK("https://github.com/PojavLauncherTeam/PojavLauncher/issues/3327", "show")</f>
        <v>show</v>
      </c>
      <c r="G11661" t="str">
        <f>HYPERLINK("https://github.com/PojavLauncherTeam/PojavLauncher", "show")</f>
        <v>show</v>
      </c>
      <c r="H11661" t="str">
        <f>HYPERLINK("https://github.com/PojavLauncherTeam/PojavLauncher/releases", "show")</f>
        <v>show</v>
      </c>
      <c r="I11661">
        <v>1</v>
      </c>
      <c r="J11661">
        <v>0</v>
      </c>
      <c r="K11661">
        <v>0</v>
      </c>
      <c r="L11661">
        <v>1</v>
      </c>
      <c r="M11661" t="s">
        <v>29</v>
      </c>
    </row>
    <row r="11662" spans="1:13" hidden="1" x14ac:dyDescent="0.15">
      <c r="A11662" t="s">
        <v>36802</v>
      </c>
      <c r="B11662" t="s">
        <v>36803</v>
      </c>
      <c r="C11662" t="s">
        <v>10930</v>
      </c>
      <c r="D11662" t="s">
        <v>36804</v>
      </c>
      <c r="E11662">
        <v>75</v>
      </c>
      <c r="F11662" t="str">
        <f>HYPERLINK("https://github.com/AndroidIDEOfficial/AndroidIDE/issues/208", "show")</f>
        <v>show</v>
      </c>
      <c r="G11662" t="str">
        <f>HYPERLINK("https://github.com/AndroidIDEOfficial/AndroidIDE", "show")</f>
        <v>show</v>
      </c>
      <c r="H11662" t="str">
        <f>HYPERLINK("https://github.com/AndroidIDEOfficial/AndroidIDE/releases", "show")</f>
        <v>show</v>
      </c>
      <c r="I11662">
        <v>1</v>
      </c>
      <c r="J11662">
        <v>0</v>
      </c>
      <c r="K11662">
        <v>1</v>
      </c>
      <c r="L11662">
        <v>0</v>
      </c>
      <c r="M11662" t="s">
        <v>64</v>
      </c>
    </row>
    <row r="11663" spans="1:13" hidden="1" x14ac:dyDescent="0.15">
      <c r="A11663" t="s">
        <v>36805</v>
      </c>
      <c r="B11663" t="s">
        <v>36806</v>
      </c>
      <c r="C11663" t="s">
        <v>36807</v>
      </c>
      <c r="D11663" t="s">
        <v>36804</v>
      </c>
      <c r="E11663">
        <v>90</v>
      </c>
      <c r="F11663" t="str">
        <f>HYPERLINK("https://github.com/PojavLauncherTeam/PojavLauncher/issues/3323", "show")</f>
        <v>show</v>
      </c>
      <c r="G11663" t="str">
        <f>HYPERLINK("https://github.com/PojavLauncherTeam/PojavLauncher", "show")</f>
        <v>show</v>
      </c>
      <c r="H11663" t="str">
        <f>HYPERLINK("https://github.com/PojavLauncherTeam/PojavLauncher/releases", "show")</f>
        <v>show</v>
      </c>
      <c r="I11663">
        <v>1</v>
      </c>
      <c r="J11663">
        <v>1</v>
      </c>
      <c r="K11663">
        <v>0</v>
      </c>
      <c r="L11663">
        <v>0</v>
      </c>
      <c r="M11663" t="s">
        <v>48</v>
      </c>
    </row>
    <row r="11664" spans="1:13" hidden="1" x14ac:dyDescent="0.15">
      <c r="A11664" t="s">
        <v>36808</v>
      </c>
      <c r="B11664" t="s">
        <v>36809</v>
      </c>
      <c r="C11664" t="s">
        <v>36810</v>
      </c>
      <c r="D11664" t="s">
        <v>36811</v>
      </c>
      <c r="E11664">
        <v>58</v>
      </c>
      <c r="F11664" t="str">
        <f>HYPERLINK("https://github.com/PojavLauncherTeam/PojavLauncher/issues/3319", "show")</f>
        <v>show</v>
      </c>
      <c r="G11664" t="str">
        <f>HYPERLINK("https://github.com/PojavLauncherTeam/PojavLauncher", "show")</f>
        <v>show</v>
      </c>
      <c r="H11664" t="str">
        <f>HYPERLINK("https://github.com/PojavLauncherTeam/PojavLauncher/releases", "show")</f>
        <v>show</v>
      </c>
      <c r="I11664">
        <v>1</v>
      </c>
      <c r="J11664">
        <v>0</v>
      </c>
      <c r="K11664">
        <v>0</v>
      </c>
      <c r="L11664">
        <v>0</v>
      </c>
      <c r="M11664" t="s">
        <v>17</v>
      </c>
    </row>
    <row r="11665" spans="1:13" hidden="1" x14ac:dyDescent="0.15">
      <c r="A11665" t="s">
        <v>36812</v>
      </c>
      <c r="B11665" t="s">
        <v>36813</v>
      </c>
      <c r="C11665" t="s">
        <v>36814</v>
      </c>
      <c r="D11665" t="s">
        <v>36815</v>
      </c>
      <c r="E11665">
        <v>1</v>
      </c>
      <c r="F11665" t="str">
        <f>HYPERLINK("https://github.com/PojavLauncherTeam/PojavLauncher/issues/3317", "show")</f>
        <v>show</v>
      </c>
      <c r="G11665" t="str">
        <f>HYPERLINK("https://github.com/PojavLauncherTeam/PojavLauncher", "show")</f>
        <v>show</v>
      </c>
      <c r="H11665" t="str">
        <f>HYPERLINK("https://github.com/PojavLauncherTeam/PojavLauncher/releases", "show")</f>
        <v>show</v>
      </c>
      <c r="I11665">
        <v>1</v>
      </c>
      <c r="J11665">
        <v>0</v>
      </c>
      <c r="K11665">
        <v>1</v>
      </c>
      <c r="L11665">
        <v>0</v>
      </c>
      <c r="M11665" t="s">
        <v>64</v>
      </c>
    </row>
    <row r="11666" spans="1:13" hidden="1" x14ac:dyDescent="0.15">
      <c r="A11666" t="s">
        <v>36816</v>
      </c>
      <c r="B11666" t="s">
        <v>17889</v>
      </c>
      <c r="C11666" t="s">
        <v>36817</v>
      </c>
      <c r="D11666" t="s">
        <v>36815</v>
      </c>
      <c r="E11666">
        <v>1</v>
      </c>
      <c r="F11666" t="str">
        <f>HYPERLINK("https://github.com/PojavLauncherTeam/PojavLauncher/issues/3315", "show")</f>
        <v>show</v>
      </c>
      <c r="G11666" t="str">
        <f>HYPERLINK("https://github.com/PojavLauncherTeam/PojavLauncher", "show")</f>
        <v>show</v>
      </c>
      <c r="H11666" t="str">
        <f>HYPERLINK("https://github.com/PojavLauncherTeam/PojavLauncher/releases", "show")</f>
        <v>show</v>
      </c>
      <c r="I11666">
        <v>0</v>
      </c>
      <c r="J11666">
        <v>1</v>
      </c>
      <c r="K11666">
        <v>0</v>
      </c>
      <c r="L11666">
        <v>1</v>
      </c>
      <c r="M11666" t="s">
        <v>1732</v>
      </c>
    </row>
    <row r="11667" spans="1:13" x14ac:dyDescent="0.15">
      <c r="A11667" t="s">
        <v>36818</v>
      </c>
      <c r="B11667" t="s">
        <v>36819</v>
      </c>
      <c r="C11667" t="s">
        <v>11582</v>
      </c>
      <c r="D11667" t="s">
        <v>36815</v>
      </c>
      <c r="E11667">
        <v>1</v>
      </c>
      <c r="F11667" t="str">
        <f>HYPERLINK("https://github.com/nextcloud/android/issues/10320", "show")</f>
        <v>show</v>
      </c>
      <c r="G11667" t="str">
        <f>HYPERLINK("https://github.com/nextcloud/android", "show")</f>
        <v>show</v>
      </c>
      <c r="H11667" t="str">
        <f>HYPERLINK("https://github.com/nextcloud/android/releases", "show")</f>
        <v>show</v>
      </c>
      <c r="I11667">
        <v>0</v>
      </c>
      <c r="J11667">
        <v>1</v>
      </c>
      <c r="K11667">
        <v>0</v>
      </c>
      <c r="L11667">
        <v>0</v>
      </c>
      <c r="M11667" t="s">
        <v>139</v>
      </c>
    </row>
    <row r="11668" spans="1:13" x14ac:dyDescent="0.15">
      <c r="A11668" t="s">
        <v>36820</v>
      </c>
      <c r="B11668" t="s">
        <v>36821</v>
      </c>
      <c r="C11668" t="s">
        <v>36822</v>
      </c>
      <c r="D11668" t="s">
        <v>36815</v>
      </c>
      <c r="E11668">
        <v>0</v>
      </c>
      <c r="F11668" t="str">
        <f>HYPERLINK("https://github.com/Anuken/Mindustry/issues/6958", "show")</f>
        <v>show</v>
      </c>
      <c r="G11668" t="str">
        <f>HYPERLINK("https://github.com/Anuken/Mindustry", "show")</f>
        <v>show</v>
      </c>
      <c r="H11668" t="str">
        <f>HYPERLINK("https://github.com/Anuken/Mindustry/releases", "show")</f>
        <v>show</v>
      </c>
      <c r="I11668">
        <v>0</v>
      </c>
      <c r="J11668">
        <v>1</v>
      </c>
      <c r="K11668">
        <v>0</v>
      </c>
      <c r="L11668">
        <v>0</v>
      </c>
      <c r="M11668" t="s">
        <v>139</v>
      </c>
    </row>
    <row r="11669" spans="1:13" hidden="1" x14ac:dyDescent="0.15">
      <c r="A11669" t="s">
        <v>36823</v>
      </c>
      <c r="B11669" t="s">
        <v>36824</v>
      </c>
      <c r="C11669" t="s">
        <v>10930</v>
      </c>
      <c r="D11669" t="s">
        <v>36825</v>
      </c>
      <c r="E11669">
        <v>1</v>
      </c>
      <c r="F11669" t="str">
        <f>HYPERLINK("https://github.com/AndroidIDEOfficial/AndroidIDE/issues/199", "show")</f>
        <v>show</v>
      </c>
      <c r="G11669" t="str">
        <f>HYPERLINK("https://github.com/AndroidIDEOfficial/AndroidIDE", "show")</f>
        <v>show</v>
      </c>
      <c r="H11669" t="str">
        <f>HYPERLINK("https://github.com/AndroidIDEOfficial/AndroidIDE/releases", "show")</f>
        <v>show</v>
      </c>
      <c r="I11669">
        <v>0</v>
      </c>
      <c r="J11669">
        <v>0</v>
      </c>
      <c r="K11669">
        <v>0</v>
      </c>
      <c r="L11669">
        <v>0</v>
      </c>
      <c r="M11669" t="s">
        <v>43</v>
      </c>
    </row>
    <row r="11670" spans="1:13" hidden="1" x14ac:dyDescent="0.15">
      <c r="A11670" t="s">
        <v>36826</v>
      </c>
      <c r="B11670" t="s">
        <v>36827</v>
      </c>
      <c r="C11670" t="s">
        <v>36828</v>
      </c>
      <c r="D11670" t="s">
        <v>36825</v>
      </c>
      <c r="E11670">
        <v>2</v>
      </c>
      <c r="F11670" t="str">
        <f>HYPERLINK("https://github.com/PojavLauncherTeam/PojavLauncher/issues/3312", "show")</f>
        <v>show</v>
      </c>
      <c r="G11670" t="str">
        <f>HYPERLINK("https://github.com/PojavLauncherTeam/PojavLauncher", "show")</f>
        <v>show</v>
      </c>
      <c r="H11670" t="str">
        <f>HYPERLINK("https://github.com/PojavLauncherTeam/PojavLauncher/releases", "show")</f>
        <v>show</v>
      </c>
      <c r="I11670">
        <v>1</v>
      </c>
      <c r="J11670">
        <v>1</v>
      </c>
      <c r="K11670">
        <v>0</v>
      </c>
      <c r="L11670">
        <v>0</v>
      </c>
      <c r="M11670" t="s">
        <v>48</v>
      </c>
    </row>
    <row r="11671" spans="1:13" hidden="1" x14ac:dyDescent="0.15">
      <c r="A11671" t="s">
        <v>36829</v>
      </c>
      <c r="B11671" t="s">
        <v>36830</v>
      </c>
      <c r="C11671" t="s">
        <v>36831</v>
      </c>
      <c r="D11671" t="s">
        <v>36825</v>
      </c>
      <c r="E11671">
        <v>44</v>
      </c>
      <c r="F11671" t="str">
        <f>HYPERLINK("https://github.com/Rapsssito/react-native-tcp-socket/issues/153", "show")</f>
        <v>show</v>
      </c>
      <c r="G11671" t="str">
        <f>HYPERLINK("https://github.com/Rapsssito/react-native-tcp-socket", "show")</f>
        <v>show</v>
      </c>
      <c r="H11671" t="str">
        <f>HYPERLINK("https://github.com/Rapsssito/react-native-tcp-socket/releases", "show")</f>
        <v>show</v>
      </c>
      <c r="I11671">
        <v>1</v>
      </c>
      <c r="J11671">
        <v>1</v>
      </c>
      <c r="K11671">
        <v>0</v>
      </c>
      <c r="L11671">
        <v>0</v>
      </c>
      <c r="M11671" t="s">
        <v>48</v>
      </c>
    </row>
    <row r="11672" spans="1:13" hidden="1" x14ac:dyDescent="0.15">
      <c r="A11672" t="s">
        <v>36832</v>
      </c>
      <c r="B11672" t="s">
        <v>36833</v>
      </c>
      <c r="C11672" t="s">
        <v>36834</v>
      </c>
      <c r="D11672" t="s">
        <v>36825</v>
      </c>
      <c r="E11672">
        <v>12</v>
      </c>
      <c r="F11672" t="str">
        <f>HYPERLINK("https://github.com/wultra/powerauth-mobile-sdk/issues/435", "show")</f>
        <v>show</v>
      </c>
      <c r="G11672" t="str">
        <f>HYPERLINK("https://github.com/wultra/powerauth-mobile-sdk", "show")</f>
        <v>show</v>
      </c>
      <c r="H11672" t="str">
        <f>HYPERLINK("https://github.com/wultra/powerauth-mobile-sdk/releases", "show")</f>
        <v>show</v>
      </c>
      <c r="I11672">
        <v>1</v>
      </c>
      <c r="J11672">
        <v>1</v>
      </c>
      <c r="K11672">
        <v>0</v>
      </c>
      <c r="L11672">
        <v>0</v>
      </c>
      <c r="M11672" t="s">
        <v>48</v>
      </c>
    </row>
    <row r="11673" spans="1:13" hidden="1" x14ac:dyDescent="0.15">
      <c r="A11673" t="s">
        <v>36835</v>
      </c>
      <c r="B11673" t="s">
        <v>36836</v>
      </c>
      <c r="C11673" t="s">
        <v>36837</v>
      </c>
      <c r="D11673" t="s">
        <v>36825</v>
      </c>
      <c r="E11673">
        <v>116</v>
      </c>
      <c r="F11673" t="str">
        <f>HYPERLINK("https://github.com/google/ExoPlayer/issues/10310", "show")</f>
        <v>show</v>
      </c>
      <c r="G11673" t="str">
        <f>HYPERLINK("https://github.com/google/ExoPlayer", "show")</f>
        <v>show</v>
      </c>
      <c r="H11673" t="str">
        <f>HYPERLINK("https://github.com/google/ExoPlayer/releases", "show")</f>
        <v>show</v>
      </c>
      <c r="I11673">
        <v>1</v>
      </c>
      <c r="J11673">
        <v>1</v>
      </c>
      <c r="K11673">
        <v>0</v>
      </c>
      <c r="L11673">
        <v>0</v>
      </c>
      <c r="M11673" t="s">
        <v>48</v>
      </c>
    </row>
    <row r="11674" spans="1:13" hidden="1" x14ac:dyDescent="0.15">
      <c r="A11674" t="s">
        <v>36838</v>
      </c>
      <c r="B11674" t="s">
        <v>36839</v>
      </c>
      <c r="C11674" t="s">
        <v>36840</v>
      </c>
      <c r="D11674" t="s">
        <v>36841</v>
      </c>
      <c r="E11674">
        <v>8</v>
      </c>
      <c r="F11674" t="str">
        <f>HYPERLINK("https://github.com/Anuken/Mindustry/issues/6952", "show")</f>
        <v>show</v>
      </c>
      <c r="G11674" t="str">
        <f>HYPERLINK("https://github.com/Anuken/Mindustry", "show")</f>
        <v>show</v>
      </c>
      <c r="H11674" t="str">
        <f>HYPERLINK("https://github.com/Anuken/Mindustry/releases", "show")</f>
        <v>show</v>
      </c>
      <c r="I11674">
        <v>1</v>
      </c>
      <c r="J11674">
        <v>0</v>
      </c>
      <c r="K11674">
        <v>0</v>
      </c>
      <c r="L11674">
        <v>1</v>
      </c>
      <c r="M11674" t="s">
        <v>29</v>
      </c>
    </row>
    <row r="11675" spans="1:13" hidden="1" x14ac:dyDescent="0.15">
      <c r="A11675" t="s">
        <v>36842</v>
      </c>
      <c r="B11675" t="s">
        <v>36843</v>
      </c>
      <c r="C11675" t="s">
        <v>36844</v>
      </c>
      <c r="D11675" t="s">
        <v>36841</v>
      </c>
      <c r="E11675">
        <v>94</v>
      </c>
      <c r="F11675" t="str">
        <f>HYPERLINK("https://github.com/PojavLauncherTeam/PojavLauncher/issues/3302", "show")</f>
        <v>show</v>
      </c>
      <c r="G11675" t="str">
        <f>HYPERLINK("https://github.com/PojavLauncherTeam/PojavLauncher", "show")</f>
        <v>show</v>
      </c>
      <c r="H11675" t="str">
        <f>HYPERLINK("https://github.com/PojavLauncherTeam/PojavLauncher/releases", "show")</f>
        <v>show</v>
      </c>
      <c r="I11675">
        <v>1</v>
      </c>
      <c r="J11675">
        <v>1</v>
      </c>
      <c r="K11675">
        <v>0</v>
      </c>
      <c r="L11675">
        <v>0</v>
      </c>
      <c r="M11675" t="s">
        <v>48</v>
      </c>
    </row>
    <row r="11676" spans="1:13" hidden="1" x14ac:dyDescent="0.15">
      <c r="A11676" t="s">
        <v>36845</v>
      </c>
      <c r="B11676" t="s">
        <v>36846</v>
      </c>
      <c r="C11676" t="s">
        <v>36847</v>
      </c>
      <c r="D11676" t="s">
        <v>36841</v>
      </c>
      <c r="E11676">
        <v>2</v>
      </c>
      <c r="F11676" t="str">
        <f>HYPERLINK("https://github.com/KonstantinosVasilopoulos/dryer_ui/issues/29", "show")</f>
        <v>show</v>
      </c>
      <c r="G11676" t="str">
        <f>HYPERLINK("https://github.com/KonstantinosVasilopoulos/dryer_ui", "show")</f>
        <v>show</v>
      </c>
      <c r="H11676" t="str">
        <f>HYPERLINK("https://github.com/KonstantinosVasilopoulos/dryer_ui/releases", "show")</f>
        <v>show</v>
      </c>
      <c r="I11676">
        <v>1</v>
      </c>
      <c r="J11676">
        <v>0</v>
      </c>
      <c r="K11676">
        <v>0</v>
      </c>
      <c r="L11676">
        <v>0</v>
      </c>
      <c r="M11676" t="s">
        <v>17</v>
      </c>
    </row>
    <row r="11677" spans="1:13" hidden="1" x14ac:dyDescent="0.15">
      <c r="A11677" t="s">
        <v>36848</v>
      </c>
      <c r="B11677" t="s">
        <v>36849</v>
      </c>
      <c r="C11677" t="s">
        <v>36850</v>
      </c>
      <c r="D11677" t="s">
        <v>36841</v>
      </c>
      <c r="E11677">
        <v>0</v>
      </c>
      <c r="F11677" t="str">
        <f>HYPERLINK("https://github.com/PojavLauncherTeam/PojavLauncher/issues/3301", "show")</f>
        <v>show</v>
      </c>
      <c r="G11677" t="str">
        <f>HYPERLINK("https://github.com/PojavLauncherTeam/PojavLauncher", "show")</f>
        <v>show</v>
      </c>
      <c r="H11677" t="str">
        <f>HYPERLINK("https://github.com/PojavLauncherTeam/PojavLauncher/releases", "show")</f>
        <v>show</v>
      </c>
      <c r="I11677">
        <v>1</v>
      </c>
      <c r="J11677">
        <v>1</v>
      </c>
      <c r="K11677">
        <v>0</v>
      </c>
      <c r="L11677">
        <v>0</v>
      </c>
      <c r="M11677" t="s">
        <v>48</v>
      </c>
    </row>
    <row r="11678" spans="1:13" hidden="1" x14ac:dyDescent="0.15">
      <c r="A11678" t="s">
        <v>36851</v>
      </c>
      <c r="B11678" t="s">
        <v>36852</v>
      </c>
      <c r="C11678" t="s">
        <v>36853</v>
      </c>
      <c r="D11678" t="s">
        <v>36854</v>
      </c>
      <c r="E11678">
        <v>9</v>
      </c>
      <c r="F11678" t="str">
        <f>HYPERLINK("https://github.com/Anuken/Mindustry/issues/6949", "show")</f>
        <v>show</v>
      </c>
      <c r="G11678" t="str">
        <f>HYPERLINK("https://github.com/Anuken/Mindustry", "show")</f>
        <v>show</v>
      </c>
      <c r="H11678" t="str">
        <f>HYPERLINK("https://github.com/Anuken/Mindustry/releases", "show")</f>
        <v>show</v>
      </c>
      <c r="I11678">
        <v>1</v>
      </c>
      <c r="J11678">
        <v>1</v>
      </c>
      <c r="K11678">
        <v>0</v>
      </c>
      <c r="L11678">
        <v>0</v>
      </c>
      <c r="M11678" t="s">
        <v>48</v>
      </c>
    </row>
    <row r="11679" spans="1:13" hidden="1" x14ac:dyDescent="0.15">
      <c r="A11679" t="s">
        <v>36855</v>
      </c>
      <c r="B11679" t="s">
        <v>36856</v>
      </c>
      <c r="C11679" t="s">
        <v>36857</v>
      </c>
      <c r="D11679" t="s">
        <v>36854</v>
      </c>
      <c r="E11679">
        <v>15</v>
      </c>
      <c r="F11679" t="str">
        <f>HYPERLINK("https://github.com/BresciaFrancesco/TourExperience/issues/46", "show")</f>
        <v>show</v>
      </c>
      <c r="G11679" t="str">
        <f>HYPERLINK("https://github.com/BresciaFrancesco/TourExperience", "show")</f>
        <v>show</v>
      </c>
      <c r="H11679" t="str">
        <f>HYPERLINK("https://github.com/BresciaFrancesco/TourExperience/releases", "show")</f>
        <v>show</v>
      </c>
      <c r="I11679">
        <v>0</v>
      </c>
      <c r="J11679">
        <v>0</v>
      </c>
      <c r="K11679">
        <v>0</v>
      </c>
      <c r="L11679">
        <v>0</v>
      </c>
      <c r="M11679" t="s">
        <v>43</v>
      </c>
    </row>
    <row r="11680" spans="1:13" hidden="1" x14ac:dyDescent="0.15">
      <c r="A11680" t="s">
        <v>36858</v>
      </c>
      <c r="B11680" t="s">
        <v>36859</v>
      </c>
      <c r="C11680" t="s">
        <v>36860</v>
      </c>
      <c r="D11680" t="s">
        <v>36854</v>
      </c>
      <c r="E11680">
        <v>0</v>
      </c>
      <c r="F11680" t="str">
        <f>HYPERLINK("https://github.com/nextcloud/android/issues/10303", "show")</f>
        <v>show</v>
      </c>
      <c r="G11680" t="str">
        <f>HYPERLINK("https://github.com/nextcloud/android", "show")</f>
        <v>show</v>
      </c>
      <c r="H11680" t="str">
        <f>HYPERLINK("https://github.com/nextcloud/android/releases", "show")</f>
        <v>show</v>
      </c>
      <c r="I11680">
        <v>1</v>
      </c>
      <c r="J11680">
        <v>1</v>
      </c>
      <c r="K11680">
        <v>1</v>
      </c>
      <c r="L11680">
        <v>0</v>
      </c>
      <c r="M11680" t="s">
        <v>59</v>
      </c>
    </row>
    <row r="11681" spans="1:13" hidden="1" x14ac:dyDescent="0.15">
      <c r="A11681" t="s">
        <v>36861</v>
      </c>
      <c r="B11681" t="s">
        <v>36862</v>
      </c>
      <c r="C11681" t="s">
        <v>36863</v>
      </c>
      <c r="D11681" t="s">
        <v>36854</v>
      </c>
      <c r="E11681">
        <v>4</v>
      </c>
      <c r="F11681" t="str">
        <f>HYPERLINK("https://github.com/PojavLauncherTeam/PojavLauncher/issues/3290", "show")</f>
        <v>show</v>
      </c>
      <c r="G11681" t="str">
        <f>HYPERLINK("https://github.com/PojavLauncherTeam/PojavLauncher", "show")</f>
        <v>show</v>
      </c>
      <c r="H11681" t="str">
        <f>HYPERLINK("https://github.com/PojavLauncherTeam/PojavLauncher/releases", "show")</f>
        <v>show</v>
      </c>
      <c r="I11681">
        <v>1</v>
      </c>
      <c r="J11681">
        <v>0</v>
      </c>
      <c r="K11681">
        <v>0</v>
      </c>
      <c r="L11681">
        <v>0</v>
      </c>
      <c r="M11681" t="s">
        <v>17</v>
      </c>
    </row>
    <row r="11682" spans="1:13" hidden="1" x14ac:dyDescent="0.15">
      <c r="A11682" t="s">
        <v>36864</v>
      </c>
      <c r="B11682" t="s">
        <v>36865</v>
      </c>
      <c r="C11682" t="s">
        <v>36866</v>
      </c>
      <c r="D11682" t="s">
        <v>36867</v>
      </c>
      <c r="E11682">
        <v>0</v>
      </c>
      <c r="F11682" t="str">
        <f>HYPERLINK("https://github.com/DIT113-V22/group-04/issues/69", "show")</f>
        <v>show</v>
      </c>
      <c r="G11682" t="str">
        <f>HYPERLINK("https://github.com/DIT113-V22/group-04", "show")</f>
        <v>show</v>
      </c>
      <c r="H11682" t="str">
        <f>HYPERLINK("https://github.com/DIT113-V22/group-04/releases", "show")</f>
        <v>show</v>
      </c>
      <c r="I11682">
        <v>1</v>
      </c>
      <c r="J11682">
        <v>1</v>
      </c>
      <c r="K11682">
        <v>0</v>
      </c>
      <c r="L11682">
        <v>0</v>
      </c>
      <c r="M11682" t="s">
        <v>48</v>
      </c>
    </row>
    <row r="11683" spans="1:13" hidden="1" x14ac:dyDescent="0.15">
      <c r="A11683" t="s">
        <v>36868</v>
      </c>
      <c r="B11683" t="s">
        <v>36869</v>
      </c>
      <c r="C11683" t="s">
        <v>36870</v>
      </c>
      <c r="D11683" t="s">
        <v>36867</v>
      </c>
      <c r="E11683">
        <v>0</v>
      </c>
      <c r="F11683" t="str">
        <f>HYPERLINK("https://github.com/DIT113-V22/group-04/issues/68", "show")</f>
        <v>show</v>
      </c>
      <c r="G11683" t="str">
        <f>HYPERLINK("https://github.com/DIT113-V22/group-04", "show")</f>
        <v>show</v>
      </c>
      <c r="H11683" t="str">
        <f>HYPERLINK("https://github.com/DIT113-V22/group-04/releases", "show")</f>
        <v>show</v>
      </c>
      <c r="I11683">
        <v>1</v>
      </c>
      <c r="J11683">
        <v>0</v>
      </c>
      <c r="K11683">
        <v>0</v>
      </c>
      <c r="L11683">
        <v>0</v>
      </c>
      <c r="M11683" t="s">
        <v>17</v>
      </c>
    </row>
    <row r="11684" spans="1:13" hidden="1" x14ac:dyDescent="0.15">
      <c r="A11684" t="s">
        <v>36871</v>
      </c>
      <c r="B11684" t="s">
        <v>36872</v>
      </c>
      <c r="C11684" t="s">
        <v>36873</v>
      </c>
      <c r="D11684" t="s">
        <v>36867</v>
      </c>
      <c r="E11684">
        <v>25</v>
      </c>
      <c r="F11684" t="str">
        <f>HYPERLINK("https://github.com/popcorn-official/popcorn-android/issues/799", "show")</f>
        <v>show</v>
      </c>
      <c r="G11684" t="str">
        <f>HYPERLINK("https://github.com/popcorn-official/popcorn-android", "show")</f>
        <v>show</v>
      </c>
      <c r="H11684" t="str">
        <f>HYPERLINK("https://github.com/popcorn-official/popcorn-android/releases", "show")</f>
        <v>show</v>
      </c>
      <c r="I11684">
        <v>1</v>
      </c>
      <c r="J11684">
        <v>1</v>
      </c>
      <c r="K11684">
        <v>0</v>
      </c>
      <c r="L11684">
        <v>0</v>
      </c>
      <c r="M11684" t="s">
        <v>48</v>
      </c>
    </row>
    <row r="11685" spans="1:13" hidden="1" x14ac:dyDescent="0.15">
      <c r="A11685" t="s">
        <v>36874</v>
      </c>
      <c r="B11685" t="s">
        <v>36875</v>
      </c>
      <c r="C11685" t="s">
        <v>36876</v>
      </c>
      <c r="D11685" t="s">
        <v>36867</v>
      </c>
      <c r="E11685">
        <v>0</v>
      </c>
      <c r="F11685" t="str">
        <f>HYPERLINK("https://github.com/LSPosed/LSPosed/issues/1967", "show")</f>
        <v>show</v>
      </c>
      <c r="G11685" t="str">
        <f>HYPERLINK("https://github.com/LSPosed/LSPosed", "show")</f>
        <v>show</v>
      </c>
      <c r="H11685" t="str">
        <f>HYPERLINK("https://github.com/LSPosed/LSPosed/releases", "show")</f>
        <v>show</v>
      </c>
      <c r="I11685">
        <v>1</v>
      </c>
      <c r="J11685">
        <v>1</v>
      </c>
      <c r="K11685">
        <v>0</v>
      </c>
      <c r="L11685">
        <v>0</v>
      </c>
      <c r="M11685" t="s">
        <v>48</v>
      </c>
    </row>
    <row r="11686" spans="1:13" hidden="1" x14ac:dyDescent="0.15">
      <c r="A11686" t="s">
        <v>36877</v>
      </c>
      <c r="B11686" t="s">
        <v>36878</v>
      </c>
      <c r="C11686" t="s">
        <v>36879</v>
      </c>
      <c r="D11686" t="s">
        <v>36867</v>
      </c>
      <c r="E11686">
        <v>0</v>
      </c>
      <c r="F11686" t="str">
        <f>HYPERLINK("https://github.com/PojavLauncherTeam/PojavLauncher/issues/3278", "show")</f>
        <v>show</v>
      </c>
      <c r="G11686" t="str">
        <f>HYPERLINK("https://github.com/PojavLauncherTeam/PojavLauncher", "show")</f>
        <v>show</v>
      </c>
      <c r="H11686" t="str">
        <f>HYPERLINK("https://github.com/PojavLauncherTeam/PojavLauncher/releases", "show")</f>
        <v>show</v>
      </c>
      <c r="I11686">
        <v>1</v>
      </c>
      <c r="J11686">
        <v>0</v>
      </c>
      <c r="K11686">
        <v>0</v>
      </c>
      <c r="L11686">
        <v>0</v>
      </c>
      <c r="M11686" t="s">
        <v>17</v>
      </c>
    </row>
    <row r="11687" spans="1:13" hidden="1" x14ac:dyDescent="0.15">
      <c r="A11687" t="s">
        <v>36880</v>
      </c>
      <c r="B11687" t="s">
        <v>36881</v>
      </c>
      <c r="C11687" t="s">
        <v>36882</v>
      </c>
      <c r="D11687" t="s">
        <v>36867</v>
      </c>
      <c r="E11687">
        <v>2</v>
      </c>
      <c r="F11687" t="str">
        <f>HYPERLINK("https://github.com/material-components/material-components-android/issues/2725", "show")</f>
        <v>show</v>
      </c>
      <c r="G11687" t="str">
        <f>HYPERLINK("https://github.com/material-components/material-components-android", "show")</f>
        <v>show</v>
      </c>
      <c r="H11687" t="str">
        <f>HYPERLINK("https://github.com/material-components/material-components-android/releases", "show")</f>
        <v>show</v>
      </c>
      <c r="I11687">
        <v>1</v>
      </c>
      <c r="J11687">
        <v>0</v>
      </c>
      <c r="K11687">
        <v>1</v>
      </c>
      <c r="L11687">
        <v>0</v>
      </c>
      <c r="M11687" t="s">
        <v>64</v>
      </c>
    </row>
    <row r="11688" spans="1:13" hidden="1" x14ac:dyDescent="0.15">
      <c r="A11688" t="s">
        <v>36883</v>
      </c>
      <c r="B11688" t="s">
        <v>10882</v>
      </c>
      <c r="C11688" t="s">
        <v>36884</v>
      </c>
      <c r="D11688" t="s">
        <v>36885</v>
      </c>
      <c r="E11688">
        <v>0</v>
      </c>
      <c r="F11688" t="str">
        <f>HYPERLINK("https://github.com/PojavLauncherTeam/PojavLauncher/issues/3277", "show")</f>
        <v>show</v>
      </c>
      <c r="G11688" t="str">
        <f>HYPERLINK("https://github.com/PojavLauncherTeam/PojavLauncher", "show")</f>
        <v>show</v>
      </c>
      <c r="H11688" t="str">
        <f>HYPERLINK("https://github.com/PojavLauncherTeam/PojavLauncher/releases", "show")</f>
        <v>show</v>
      </c>
      <c r="I11688">
        <v>1</v>
      </c>
      <c r="J11688">
        <v>0</v>
      </c>
      <c r="K11688">
        <v>0</v>
      </c>
      <c r="L11688">
        <v>1</v>
      </c>
      <c r="M11688" t="s">
        <v>29</v>
      </c>
    </row>
    <row r="11689" spans="1:13" hidden="1" x14ac:dyDescent="0.15">
      <c r="A11689" t="s">
        <v>36886</v>
      </c>
      <c r="B11689" t="s">
        <v>36887</v>
      </c>
      <c r="C11689" t="s">
        <v>36888</v>
      </c>
      <c r="D11689" t="s">
        <v>36885</v>
      </c>
      <c r="E11689">
        <v>0</v>
      </c>
      <c r="F11689" t="str">
        <f>HYPERLINK("https://github.com/popcorn-official/popcorn-android/issues/797", "show")</f>
        <v>show</v>
      </c>
      <c r="G11689" t="str">
        <f>HYPERLINK("https://github.com/popcorn-official/popcorn-android", "show")</f>
        <v>show</v>
      </c>
      <c r="H11689" t="str">
        <f>HYPERLINK("https://github.com/popcorn-official/popcorn-android/releases", "show")</f>
        <v>show</v>
      </c>
      <c r="I11689">
        <v>0</v>
      </c>
      <c r="J11689">
        <v>0</v>
      </c>
      <c r="K11689">
        <v>0</v>
      </c>
      <c r="L11689">
        <v>0</v>
      </c>
      <c r="M11689" t="s">
        <v>43</v>
      </c>
    </row>
    <row r="11690" spans="1:13" hidden="1" x14ac:dyDescent="0.15">
      <c r="A11690" t="s">
        <v>36889</v>
      </c>
      <c r="B11690" t="s">
        <v>36890</v>
      </c>
      <c r="C11690" t="s">
        <v>36891</v>
      </c>
      <c r="D11690" t="s">
        <v>36885</v>
      </c>
      <c r="E11690">
        <v>97</v>
      </c>
      <c r="F11690" t="str">
        <f>HYPERLINK("https://github.com/PojavLauncherTeam/PojavLauncher/issues/3275", "show")</f>
        <v>show</v>
      </c>
      <c r="G11690" t="str">
        <f>HYPERLINK("https://github.com/PojavLauncherTeam/PojavLauncher", "show")</f>
        <v>show</v>
      </c>
      <c r="H11690" t="str">
        <f>HYPERLINK("https://github.com/PojavLauncherTeam/PojavLauncher/releases", "show")</f>
        <v>show</v>
      </c>
      <c r="I11690">
        <v>1</v>
      </c>
      <c r="J11690">
        <v>1</v>
      </c>
      <c r="K11690">
        <v>0</v>
      </c>
      <c r="L11690">
        <v>0</v>
      </c>
      <c r="M11690" t="s">
        <v>48</v>
      </c>
    </row>
    <row r="11691" spans="1:13" hidden="1" x14ac:dyDescent="0.15">
      <c r="A11691" t="s">
        <v>36892</v>
      </c>
      <c r="B11691" t="s">
        <v>36893</v>
      </c>
      <c r="C11691" t="s">
        <v>36894</v>
      </c>
      <c r="D11691" t="s">
        <v>36885</v>
      </c>
      <c r="E11691">
        <v>6</v>
      </c>
      <c r="F11691" t="str">
        <f>HYPERLINK("https://github.com/MuntashirAkon/AppManager/issues/766", "show")</f>
        <v>show</v>
      </c>
      <c r="G11691" t="str">
        <f>HYPERLINK("https://github.com/MuntashirAkon/AppManager", "show")</f>
        <v>show</v>
      </c>
      <c r="H11691" t="str">
        <f>HYPERLINK("https://github.com/MuntashirAkon/AppManager/releases", "show")</f>
        <v>show</v>
      </c>
      <c r="I11691">
        <v>1</v>
      </c>
      <c r="J11691">
        <v>0</v>
      </c>
      <c r="K11691">
        <v>0</v>
      </c>
      <c r="L11691">
        <v>0</v>
      </c>
      <c r="M11691" t="s">
        <v>17</v>
      </c>
    </row>
    <row r="11692" spans="1:13" hidden="1" x14ac:dyDescent="0.15">
      <c r="A11692" t="s">
        <v>36895</v>
      </c>
      <c r="B11692" t="s">
        <v>36896</v>
      </c>
      <c r="C11692" t="s">
        <v>36897</v>
      </c>
      <c r="D11692" t="s">
        <v>36885</v>
      </c>
      <c r="E11692">
        <v>0</v>
      </c>
      <c r="F11692" t="str">
        <f>HYPERLINK("https://github.com/PojavLauncherTeam/PojavLauncher/issues/3274", "show")</f>
        <v>show</v>
      </c>
      <c r="G11692" t="str">
        <f>HYPERLINK("https://github.com/PojavLauncherTeam/PojavLauncher", "show")</f>
        <v>show</v>
      </c>
      <c r="H11692" t="str">
        <f>HYPERLINK("https://github.com/PojavLauncherTeam/PojavLauncher/releases", "show")</f>
        <v>show</v>
      </c>
      <c r="I11692">
        <v>1</v>
      </c>
      <c r="J11692">
        <v>1</v>
      </c>
      <c r="K11692">
        <v>0</v>
      </c>
      <c r="L11692">
        <v>0</v>
      </c>
      <c r="M11692" t="s">
        <v>48</v>
      </c>
    </row>
    <row r="11693" spans="1:13" hidden="1" x14ac:dyDescent="0.15">
      <c r="A11693" t="s">
        <v>36898</v>
      </c>
      <c r="B11693" t="s">
        <v>36899</v>
      </c>
      <c r="C11693" t="s">
        <v>36900</v>
      </c>
      <c r="D11693" t="s">
        <v>36901</v>
      </c>
      <c r="E11693">
        <v>5</v>
      </c>
      <c r="F11693" t="str">
        <f>HYPERLINK("https://github.com/MuntashirAkon/AppManager/issues/765", "show")</f>
        <v>show</v>
      </c>
      <c r="G11693" t="str">
        <f>HYPERLINK("https://github.com/MuntashirAkon/AppManager", "show")</f>
        <v>show</v>
      </c>
      <c r="H11693" t="str">
        <f>HYPERLINK("https://github.com/MuntashirAkon/AppManager/releases", "show")</f>
        <v>show</v>
      </c>
      <c r="I11693">
        <v>1</v>
      </c>
      <c r="J11693">
        <v>1</v>
      </c>
      <c r="K11693">
        <v>1</v>
      </c>
      <c r="L11693">
        <v>1</v>
      </c>
      <c r="M11693" t="s">
        <v>2875</v>
      </c>
    </row>
    <row r="11694" spans="1:13" hidden="1" x14ac:dyDescent="0.15">
      <c r="A11694" t="s">
        <v>36902</v>
      </c>
      <c r="B11694" t="s">
        <v>36903</v>
      </c>
      <c r="C11694" t="s">
        <v>36904</v>
      </c>
      <c r="D11694" t="s">
        <v>36901</v>
      </c>
      <c r="E11694">
        <v>2</v>
      </c>
      <c r="F11694" t="str">
        <f>HYPERLINK("https://github.com/commons-app/apps-android-commons/issues/4978", "show")</f>
        <v>show</v>
      </c>
      <c r="G11694" t="str">
        <f>HYPERLINK("https://github.com/commons-app/apps-android-commons", "show")</f>
        <v>show</v>
      </c>
      <c r="H11694" t="str">
        <f>HYPERLINK("https://github.com/commons-app/apps-android-commons/releases", "show")</f>
        <v>show</v>
      </c>
      <c r="I11694">
        <v>0</v>
      </c>
      <c r="J11694">
        <v>1</v>
      </c>
      <c r="K11694">
        <v>1</v>
      </c>
      <c r="L11694">
        <v>1</v>
      </c>
      <c r="M11694" t="s">
        <v>427</v>
      </c>
    </row>
    <row r="11695" spans="1:13" hidden="1" x14ac:dyDescent="0.15">
      <c r="A11695" t="s">
        <v>36905</v>
      </c>
      <c r="B11695" t="s">
        <v>36906</v>
      </c>
      <c r="C11695" t="s">
        <v>36907</v>
      </c>
      <c r="D11695" t="s">
        <v>36901</v>
      </c>
      <c r="E11695">
        <v>13</v>
      </c>
      <c r="F11695" t="str">
        <f>HYPERLINK("https://github.com/SORMAS-Foundation/SORMAS-Project/issues/9352", "show")</f>
        <v>show</v>
      </c>
      <c r="G11695" t="str">
        <f>HYPERLINK("https://github.com/SORMAS-Foundation/SORMAS-Project", "show")</f>
        <v>show</v>
      </c>
      <c r="H11695" t="str">
        <f>HYPERLINK("https://github.com/SORMAS-Foundation/SORMAS-Project/releases", "show")</f>
        <v>show</v>
      </c>
      <c r="I11695">
        <v>0</v>
      </c>
      <c r="J11695">
        <v>1</v>
      </c>
      <c r="K11695">
        <v>0</v>
      </c>
      <c r="L11695">
        <v>1</v>
      </c>
      <c r="M11695" t="s">
        <v>1732</v>
      </c>
    </row>
    <row r="11696" spans="1:13" hidden="1" x14ac:dyDescent="0.15">
      <c r="A11696" t="s">
        <v>36908</v>
      </c>
      <c r="B11696" t="s">
        <v>36909</v>
      </c>
      <c r="C11696" t="s">
        <v>36910</v>
      </c>
      <c r="D11696" t="s">
        <v>36901</v>
      </c>
      <c r="E11696">
        <v>0</v>
      </c>
      <c r="F11696" t="str">
        <f>HYPERLINK("https://github.com/google/ExoPlayer/issues/10300", "show")</f>
        <v>show</v>
      </c>
      <c r="G11696" t="str">
        <f>HYPERLINK("https://github.com/google/ExoPlayer", "show")</f>
        <v>show</v>
      </c>
      <c r="H11696" t="str">
        <f>HYPERLINK("https://github.com/google/ExoPlayer/releases", "show")</f>
        <v>show</v>
      </c>
      <c r="I11696">
        <v>0</v>
      </c>
      <c r="J11696">
        <v>0</v>
      </c>
      <c r="K11696">
        <v>1</v>
      </c>
      <c r="L11696">
        <v>0</v>
      </c>
      <c r="M11696" t="s">
        <v>122</v>
      </c>
    </row>
    <row r="11697" spans="1:13" hidden="1" x14ac:dyDescent="0.15">
      <c r="A11697" t="s">
        <v>36911</v>
      </c>
      <c r="B11697" t="s">
        <v>36912</v>
      </c>
      <c r="C11697" t="s">
        <v>36913</v>
      </c>
      <c r="D11697" t="s">
        <v>36914</v>
      </c>
      <c r="E11697">
        <v>9</v>
      </c>
      <c r="F11697" t="str">
        <f>HYPERLINK("https://github.com/House-Organizer/House-Organizer/issues/315", "show")</f>
        <v>show</v>
      </c>
      <c r="G11697" t="str">
        <f>HYPERLINK("https://github.com/House-Organizer/House-Organizer", "show")</f>
        <v>show</v>
      </c>
      <c r="H11697" t="str">
        <f>HYPERLINK("https://github.com/House-Organizer/House-Organizer/releases", "show")</f>
        <v>show</v>
      </c>
      <c r="I11697">
        <v>1</v>
      </c>
      <c r="J11697">
        <v>0</v>
      </c>
      <c r="K11697">
        <v>0</v>
      </c>
      <c r="L11697">
        <v>0</v>
      </c>
      <c r="M11697" t="s">
        <v>17</v>
      </c>
    </row>
    <row r="11698" spans="1:13" hidden="1" x14ac:dyDescent="0.15">
      <c r="A11698" t="s">
        <v>36915</v>
      </c>
      <c r="B11698" t="s">
        <v>36916</v>
      </c>
      <c r="C11698" t="s">
        <v>36917</v>
      </c>
      <c r="D11698" t="s">
        <v>36914</v>
      </c>
      <c r="E11698">
        <v>4</v>
      </c>
      <c r="F11698" t="str">
        <f>HYPERLINK("https://github.com/patzly/grocy-android/issues/550", "show")</f>
        <v>show</v>
      </c>
      <c r="G11698" t="str">
        <f>HYPERLINK("https://github.com/patzly/grocy-android", "show")</f>
        <v>show</v>
      </c>
      <c r="H11698" t="str">
        <f>HYPERLINK("https://github.com/patzly/grocy-android/releases", "show")</f>
        <v>show</v>
      </c>
      <c r="I11698">
        <v>0</v>
      </c>
      <c r="J11698">
        <v>0</v>
      </c>
      <c r="K11698">
        <v>1</v>
      </c>
      <c r="L11698">
        <v>0</v>
      </c>
      <c r="M11698" t="s">
        <v>122</v>
      </c>
    </row>
    <row r="11699" spans="1:13" hidden="1" x14ac:dyDescent="0.15">
      <c r="A11699" t="s">
        <v>36918</v>
      </c>
      <c r="B11699" t="s">
        <v>36919</v>
      </c>
      <c r="C11699" t="s">
        <v>36920</v>
      </c>
      <c r="D11699" t="s">
        <v>36914</v>
      </c>
      <c r="E11699">
        <v>0</v>
      </c>
      <c r="F11699" t="str">
        <f>HYPERLINK("https://github.com/PojavLauncherTeam/PojavLauncher/issues/3264", "show")</f>
        <v>show</v>
      </c>
      <c r="G11699" t="str">
        <f>HYPERLINK("https://github.com/PojavLauncherTeam/PojavLauncher", "show")</f>
        <v>show</v>
      </c>
      <c r="H11699" t="str">
        <f>HYPERLINK("https://github.com/PojavLauncherTeam/PojavLauncher/releases", "show")</f>
        <v>show</v>
      </c>
      <c r="I11699">
        <v>0</v>
      </c>
      <c r="J11699">
        <v>1</v>
      </c>
      <c r="K11699">
        <v>0</v>
      </c>
      <c r="L11699">
        <v>1</v>
      </c>
      <c r="M11699" t="s">
        <v>1732</v>
      </c>
    </row>
    <row r="11700" spans="1:13" hidden="1" x14ac:dyDescent="0.15">
      <c r="A11700" t="s">
        <v>36921</v>
      </c>
      <c r="B11700" t="s">
        <v>36922</v>
      </c>
      <c r="D11700" t="s">
        <v>36914</v>
      </c>
      <c r="E11700">
        <v>26</v>
      </c>
      <c r="F11700" t="str">
        <f>HYPERLINK("https://github.com/SE2Organization/Wizard/issues/48", "show")</f>
        <v>show</v>
      </c>
      <c r="G11700" t="str">
        <f>HYPERLINK("https://github.com/SE2Organization/Wizard", "show")</f>
        <v>show</v>
      </c>
      <c r="H11700" t="str">
        <f>HYPERLINK("https://github.com/SE2Organization/Wizard/releases", "show")</f>
        <v>show</v>
      </c>
      <c r="I11700">
        <v>1</v>
      </c>
      <c r="J11700">
        <v>0</v>
      </c>
      <c r="K11700">
        <v>0</v>
      </c>
      <c r="L11700">
        <v>0</v>
      </c>
      <c r="M11700" t="s">
        <v>17</v>
      </c>
    </row>
    <row r="11701" spans="1:13" hidden="1" x14ac:dyDescent="0.15">
      <c r="A11701" t="s">
        <v>36923</v>
      </c>
      <c r="B11701" t="s">
        <v>36924</v>
      </c>
      <c r="C11701" t="s">
        <v>36925</v>
      </c>
      <c r="D11701" t="s">
        <v>36914</v>
      </c>
      <c r="E11701">
        <v>0</v>
      </c>
      <c r="F11701" t="str">
        <f>HYPERLINK("https://github.com/LSPosed/LSPosed/issues/1962", "show")</f>
        <v>show</v>
      </c>
      <c r="G11701" t="str">
        <f>HYPERLINK("https://github.com/LSPosed/LSPosed", "show")</f>
        <v>show</v>
      </c>
      <c r="H11701" t="str">
        <f>HYPERLINK("https://github.com/LSPosed/LSPosed/releases", "show")</f>
        <v>show</v>
      </c>
      <c r="I11701">
        <v>0</v>
      </c>
      <c r="J11701">
        <v>0</v>
      </c>
      <c r="K11701">
        <v>0</v>
      </c>
      <c r="L11701">
        <v>0</v>
      </c>
      <c r="M11701" t="s">
        <v>43</v>
      </c>
    </row>
    <row r="11702" spans="1:13" hidden="1" x14ac:dyDescent="0.15">
      <c r="A11702" t="s">
        <v>36926</v>
      </c>
      <c r="B11702" t="s">
        <v>36927</v>
      </c>
      <c r="C11702" t="s">
        <v>36928</v>
      </c>
      <c r="D11702" t="s">
        <v>36929</v>
      </c>
      <c r="E11702">
        <v>245</v>
      </c>
      <c r="F11702" t="str">
        <f>HYPERLINK("https://github.com/PojavLauncherTeam/PojavLauncher/issues/3262", "show")</f>
        <v>show</v>
      </c>
      <c r="G11702" t="str">
        <f>HYPERLINK("https://github.com/PojavLauncherTeam/PojavLauncher", "show")</f>
        <v>show</v>
      </c>
      <c r="H11702" t="str">
        <f>HYPERLINK("https://github.com/PojavLauncherTeam/PojavLauncher/releases", "show")</f>
        <v>show</v>
      </c>
      <c r="I11702">
        <v>1</v>
      </c>
      <c r="J11702">
        <v>1</v>
      </c>
      <c r="K11702">
        <v>0</v>
      </c>
      <c r="L11702">
        <v>0</v>
      </c>
      <c r="M11702" t="s">
        <v>48</v>
      </c>
    </row>
    <row r="11703" spans="1:13" hidden="1" x14ac:dyDescent="0.15">
      <c r="A11703" t="s">
        <v>36930</v>
      </c>
      <c r="B11703" t="s">
        <v>36931</v>
      </c>
      <c r="C11703" t="s">
        <v>36932</v>
      </c>
      <c r="D11703" t="s">
        <v>36929</v>
      </c>
      <c r="E11703">
        <v>0</v>
      </c>
      <c r="F11703" t="str">
        <f>HYPERLINK("https://github.com/facebook/react-native/issues/33910", "show")</f>
        <v>show</v>
      </c>
      <c r="G11703" t="str">
        <f>HYPERLINK("https://github.com/facebook/react-native", "show")</f>
        <v>show</v>
      </c>
      <c r="H11703" t="str">
        <f>HYPERLINK("https://github.com/facebook/react-native/releases", "show")</f>
        <v>show</v>
      </c>
      <c r="I11703">
        <v>0</v>
      </c>
      <c r="J11703">
        <v>0</v>
      </c>
      <c r="K11703">
        <v>0</v>
      </c>
      <c r="L11703">
        <v>0</v>
      </c>
      <c r="M11703" t="s">
        <v>43</v>
      </c>
    </row>
    <row r="11704" spans="1:13" hidden="1" x14ac:dyDescent="0.15">
      <c r="A11704" t="s">
        <v>36933</v>
      </c>
      <c r="B11704" t="s">
        <v>36934</v>
      </c>
      <c r="C11704" t="s">
        <v>36935</v>
      </c>
      <c r="D11704" t="s">
        <v>36929</v>
      </c>
      <c r="E11704">
        <v>0</v>
      </c>
      <c r="F11704" t="str">
        <f>HYPERLINK("https://github.com/PojavLauncherTeam/PojavLauncher/issues/3260", "show")</f>
        <v>show</v>
      </c>
      <c r="G11704" t="str">
        <f>HYPERLINK("https://github.com/PojavLauncherTeam/PojavLauncher", "show")</f>
        <v>show</v>
      </c>
      <c r="H11704" t="str">
        <f>HYPERLINK("https://github.com/PojavLauncherTeam/PojavLauncher/releases", "show")</f>
        <v>show</v>
      </c>
      <c r="I11704">
        <v>1</v>
      </c>
      <c r="J11704">
        <v>1</v>
      </c>
      <c r="K11704">
        <v>0</v>
      </c>
      <c r="L11704">
        <v>0</v>
      </c>
      <c r="M11704" t="s">
        <v>48</v>
      </c>
    </row>
    <row r="11705" spans="1:13" hidden="1" x14ac:dyDescent="0.15">
      <c r="A11705" t="s">
        <v>36936</v>
      </c>
      <c r="B11705" t="s">
        <v>36937</v>
      </c>
      <c r="C11705" t="s">
        <v>36938</v>
      </c>
      <c r="D11705" t="s">
        <v>36929</v>
      </c>
      <c r="E11705">
        <v>0</v>
      </c>
      <c r="F11705" t="str">
        <f>HYPERLINK("https://github.com/BresciaFrancesco/TourExperience/issues/40", "show")</f>
        <v>show</v>
      </c>
      <c r="G11705" t="str">
        <f>HYPERLINK("https://github.com/BresciaFrancesco/TourExperience", "show")</f>
        <v>show</v>
      </c>
      <c r="H11705" t="str">
        <f>HYPERLINK("https://github.com/BresciaFrancesco/TourExperience/releases", "show")</f>
        <v>show</v>
      </c>
      <c r="I11705">
        <v>0</v>
      </c>
      <c r="J11705">
        <v>0</v>
      </c>
      <c r="K11705">
        <v>0</v>
      </c>
      <c r="L11705">
        <v>0</v>
      </c>
      <c r="M11705" t="s">
        <v>43</v>
      </c>
    </row>
    <row r="11706" spans="1:13" hidden="1" x14ac:dyDescent="0.15">
      <c r="A11706" t="s">
        <v>36939</v>
      </c>
      <c r="B11706" t="s">
        <v>36940</v>
      </c>
      <c r="C11706" t="s">
        <v>36941</v>
      </c>
      <c r="D11706" t="s">
        <v>36929</v>
      </c>
      <c r="E11706">
        <v>1</v>
      </c>
      <c r="F11706" t="str">
        <f>HYPERLINK("https://github.com/beekama/NutritionApp/issues/23", "show")</f>
        <v>show</v>
      </c>
      <c r="G11706" t="str">
        <f>HYPERLINK("https://github.com/beekama/NutritionApp", "show")</f>
        <v>show</v>
      </c>
      <c r="H11706" t="str">
        <f>HYPERLINK("https://github.com/beekama/NutritionApp/releases", "show")</f>
        <v>show</v>
      </c>
      <c r="I11706">
        <v>1</v>
      </c>
      <c r="J11706">
        <v>0</v>
      </c>
      <c r="K11706">
        <v>0</v>
      </c>
      <c r="L11706">
        <v>0</v>
      </c>
      <c r="M11706" t="s">
        <v>17</v>
      </c>
    </row>
    <row r="11707" spans="1:13" hidden="1" x14ac:dyDescent="0.15">
      <c r="A11707" t="s">
        <v>36942</v>
      </c>
      <c r="B11707" t="s">
        <v>36943</v>
      </c>
      <c r="C11707" t="s">
        <v>36944</v>
      </c>
      <c r="D11707" t="s">
        <v>36945</v>
      </c>
      <c r="E11707">
        <v>1</v>
      </c>
      <c r="F11707" t="str">
        <f>HYPERLINK("https://github.com/beekama/NutritionApp/issues/20", "show")</f>
        <v>show</v>
      </c>
      <c r="G11707" t="str">
        <f>HYPERLINK("https://github.com/beekama/NutritionApp", "show")</f>
        <v>show</v>
      </c>
      <c r="H11707" t="str">
        <f>HYPERLINK("https://github.com/beekama/NutritionApp/releases", "show")</f>
        <v>show</v>
      </c>
      <c r="I11707">
        <v>0</v>
      </c>
      <c r="J11707">
        <v>0</v>
      </c>
      <c r="K11707">
        <v>0</v>
      </c>
      <c r="L11707">
        <v>0</v>
      </c>
      <c r="M11707" t="s">
        <v>43</v>
      </c>
    </row>
    <row r="11708" spans="1:13" hidden="1" x14ac:dyDescent="0.15">
      <c r="A11708" t="s">
        <v>36946</v>
      </c>
      <c r="B11708" t="s">
        <v>36947</v>
      </c>
      <c r="C11708" t="s">
        <v>36948</v>
      </c>
      <c r="D11708" t="s">
        <v>36945</v>
      </c>
      <c r="E11708">
        <v>4</v>
      </c>
      <c r="F11708" t="str">
        <f>HYPERLINK("https://github.com/KonstantinosVasilopoulos/dryer_ui/issues/17", "show")</f>
        <v>show</v>
      </c>
      <c r="G11708" t="str">
        <f>HYPERLINK("https://github.com/KonstantinosVasilopoulos/dryer_ui", "show")</f>
        <v>show</v>
      </c>
      <c r="H11708" t="str">
        <f>HYPERLINK("https://github.com/KonstantinosVasilopoulos/dryer_ui/releases", "show")</f>
        <v>show</v>
      </c>
      <c r="I11708">
        <v>1</v>
      </c>
      <c r="J11708">
        <v>0</v>
      </c>
      <c r="K11708">
        <v>0</v>
      </c>
      <c r="L11708">
        <v>0</v>
      </c>
      <c r="M11708" t="s">
        <v>17</v>
      </c>
    </row>
    <row r="11709" spans="1:13" hidden="1" x14ac:dyDescent="0.15">
      <c r="A11709" t="s">
        <v>36949</v>
      </c>
      <c r="B11709" t="s">
        <v>141</v>
      </c>
      <c r="C11709" t="s">
        <v>36950</v>
      </c>
      <c r="D11709" t="s">
        <v>36945</v>
      </c>
      <c r="E11709">
        <v>14</v>
      </c>
      <c r="F11709" t="str">
        <f>HYPERLINK("https://github.com/nextcloud/android/issues/10284", "show")</f>
        <v>show</v>
      </c>
      <c r="G11709" t="str">
        <f>HYPERLINK("https://github.com/nextcloud/android", "show")</f>
        <v>show</v>
      </c>
      <c r="H11709" t="str">
        <f>HYPERLINK("https://github.com/nextcloud/android/releases", "show")</f>
        <v>show</v>
      </c>
      <c r="I11709">
        <v>0</v>
      </c>
      <c r="J11709">
        <v>1</v>
      </c>
      <c r="K11709">
        <v>1</v>
      </c>
      <c r="L11709">
        <v>0</v>
      </c>
      <c r="M11709" t="s">
        <v>699</v>
      </c>
    </row>
    <row r="11710" spans="1:13" hidden="1" x14ac:dyDescent="0.15">
      <c r="A11710" t="s">
        <v>36951</v>
      </c>
      <c r="B11710" t="s">
        <v>36952</v>
      </c>
      <c r="C11710" t="s">
        <v>36953</v>
      </c>
      <c r="D11710" t="s">
        <v>36945</v>
      </c>
      <c r="E11710">
        <v>99</v>
      </c>
      <c r="F11710" t="str">
        <f>HYPERLINK("https://github.com/googleads/googleads-mobile-flutter/issues/572", "show")</f>
        <v>show</v>
      </c>
      <c r="G11710" t="str">
        <f>HYPERLINK("https://github.com/googleads/googleads-mobile-flutter", "show")</f>
        <v>show</v>
      </c>
      <c r="H11710" t="str">
        <f>HYPERLINK("https://github.com/googleads/googleads-mobile-flutter/releases", "show")</f>
        <v>show</v>
      </c>
      <c r="I11710">
        <v>1</v>
      </c>
      <c r="J11710">
        <v>1</v>
      </c>
      <c r="K11710">
        <v>0</v>
      </c>
      <c r="L11710">
        <v>0</v>
      </c>
      <c r="M11710" t="s">
        <v>48</v>
      </c>
    </row>
    <row r="11711" spans="1:13" x14ac:dyDescent="0.15">
      <c r="A11711" t="s">
        <v>36954</v>
      </c>
      <c r="B11711" t="s">
        <v>36955</v>
      </c>
      <c r="C11711" t="s">
        <v>36956</v>
      </c>
      <c r="D11711" t="s">
        <v>36957</v>
      </c>
      <c r="E11711">
        <v>17</v>
      </c>
      <c r="F11711" t="str">
        <f>HYPERLINK("https://github.com/react-native-video/react-native-video/issues/2689", "show")</f>
        <v>show</v>
      </c>
      <c r="G11711" t="str">
        <f>HYPERLINK("https://github.com/react-native-video/react-native-video", "show")</f>
        <v>show</v>
      </c>
      <c r="H11711" t="str">
        <f>HYPERLINK("https://github.com/react-native-video/react-native-video/releases", "show")</f>
        <v>show</v>
      </c>
      <c r="I11711">
        <v>0</v>
      </c>
      <c r="J11711">
        <v>1</v>
      </c>
      <c r="K11711">
        <v>0</v>
      </c>
      <c r="L11711">
        <v>0</v>
      </c>
      <c r="M11711" t="s">
        <v>139</v>
      </c>
    </row>
    <row r="11712" spans="1:13" hidden="1" x14ac:dyDescent="0.15">
      <c r="A11712" t="s">
        <v>36958</v>
      </c>
      <c r="B11712" t="s">
        <v>36959</v>
      </c>
      <c r="C11712" t="s">
        <v>36960</v>
      </c>
      <c r="D11712" t="s">
        <v>36957</v>
      </c>
      <c r="E11712">
        <v>16</v>
      </c>
      <c r="F11712" t="str">
        <f>HYPERLINK("https://github.com/Anuken/Mindustry/issues/6926", "show")</f>
        <v>show</v>
      </c>
      <c r="G11712" t="str">
        <f>HYPERLINK("https://github.com/Anuken/Mindustry", "show")</f>
        <v>show</v>
      </c>
      <c r="H11712" t="str">
        <f>HYPERLINK("https://github.com/Anuken/Mindustry/releases", "show")</f>
        <v>show</v>
      </c>
      <c r="I11712">
        <v>1</v>
      </c>
      <c r="J11712">
        <v>1</v>
      </c>
      <c r="K11712">
        <v>0</v>
      </c>
      <c r="L11712">
        <v>0</v>
      </c>
      <c r="M11712" t="s">
        <v>48</v>
      </c>
    </row>
    <row r="11713" spans="1:13" x14ac:dyDescent="0.15">
      <c r="A11713" t="s">
        <v>36961</v>
      </c>
      <c r="B11713" t="s">
        <v>36962</v>
      </c>
      <c r="C11713" t="s">
        <v>36963</v>
      </c>
      <c r="D11713" t="s">
        <v>36957</v>
      </c>
      <c r="E11713">
        <v>0</v>
      </c>
      <c r="F11713" t="str">
        <f>HYPERLINK("https://github.com/LSPosed/LSPosed/issues/1956", "show")</f>
        <v>show</v>
      </c>
      <c r="G11713" t="str">
        <f>HYPERLINK("https://github.com/LSPosed/LSPosed", "show")</f>
        <v>show</v>
      </c>
      <c r="H11713" t="str">
        <f>HYPERLINK("https://github.com/LSPosed/LSPosed/releases", "show")</f>
        <v>show</v>
      </c>
      <c r="I11713">
        <v>0</v>
      </c>
      <c r="J11713">
        <v>1</v>
      </c>
      <c r="K11713">
        <v>0</v>
      </c>
      <c r="L11713">
        <v>0</v>
      </c>
      <c r="M11713" t="s">
        <v>139</v>
      </c>
    </row>
    <row r="11714" spans="1:13" hidden="1" x14ac:dyDescent="0.15">
      <c r="A11714" t="s">
        <v>36964</v>
      </c>
      <c r="B11714" t="s">
        <v>36965</v>
      </c>
      <c r="D11714" t="s">
        <v>36966</v>
      </c>
      <c r="E11714">
        <v>6</v>
      </c>
      <c r="F11714" t="str">
        <f>HYPERLINK("https://github.com/GrapheneOS/Camera/issues/233", "show")</f>
        <v>show</v>
      </c>
      <c r="G11714" t="str">
        <f>HYPERLINK("https://github.com/GrapheneOS/Camera", "show")</f>
        <v>show</v>
      </c>
      <c r="H11714" t="str">
        <f>HYPERLINK("https://github.com/GrapheneOS/Camera/releases", "show")</f>
        <v>show</v>
      </c>
      <c r="I11714">
        <v>0</v>
      </c>
      <c r="J11714">
        <v>0</v>
      </c>
      <c r="K11714">
        <v>0</v>
      </c>
      <c r="L11714">
        <v>0</v>
      </c>
      <c r="M11714" t="s">
        <v>43</v>
      </c>
    </row>
    <row r="11715" spans="1:13" hidden="1" x14ac:dyDescent="0.15">
      <c r="A11715" t="s">
        <v>36967</v>
      </c>
      <c r="B11715" t="s">
        <v>36968</v>
      </c>
      <c r="C11715" t="s">
        <v>36969</v>
      </c>
      <c r="D11715" t="s">
        <v>36966</v>
      </c>
      <c r="E11715">
        <v>17</v>
      </c>
      <c r="F11715" t="str">
        <f>HYPERLINK("https://github.com/Anuken/Mindustry/issues/6923", "show")</f>
        <v>show</v>
      </c>
      <c r="G11715" t="str">
        <f>HYPERLINK("https://github.com/Anuken/Mindustry", "show")</f>
        <v>show</v>
      </c>
      <c r="H11715" t="str">
        <f>HYPERLINK("https://github.com/Anuken/Mindustry/releases", "show")</f>
        <v>show</v>
      </c>
      <c r="I11715">
        <v>1</v>
      </c>
      <c r="J11715">
        <v>1</v>
      </c>
      <c r="K11715">
        <v>0</v>
      </c>
      <c r="L11715">
        <v>0</v>
      </c>
      <c r="M11715" t="s">
        <v>48</v>
      </c>
    </row>
    <row r="11716" spans="1:13" x14ac:dyDescent="0.15">
      <c r="A11716" t="s">
        <v>36970</v>
      </c>
      <c r="B11716" t="s">
        <v>36971</v>
      </c>
      <c r="C11716" t="s">
        <v>36972</v>
      </c>
      <c r="D11716" t="s">
        <v>36966</v>
      </c>
      <c r="E11716">
        <v>17</v>
      </c>
      <c r="F11716" t="str">
        <f>HYPERLINK("https://github.com/Anuken/Mindustry/issues/6921", "show")</f>
        <v>show</v>
      </c>
      <c r="G11716" t="str">
        <f>HYPERLINK("https://github.com/Anuken/Mindustry", "show")</f>
        <v>show</v>
      </c>
      <c r="H11716" t="str">
        <f>HYPERLINK("https://github.com/Anuken/Mindustry/releases", "show")</f>
        <v>show</v>
      </c>
      <c r="I11716">
        <v>0</v>
      </c>
      <c r="J11716">
        <v>1</v>
      </c>
      <c r="K11716">
        <v>0</v>
      </c>
      <c r="L11716">
        <v>0</v>
      </c>
      <c r="M11716" t="s">
        <v>139</v>
      </c>
    </row>
    <row r="11717" spans="1:13" hidden="1" x14ac:dyDescent="0.15">
      <c r="A11717" t="s">
        <v>36973</v>
      </c>
      <c r="B11717" t="s">
        <v>36974</v>
      </c>
      <c r="C11717" t="s">
        <v>36975</v>
      </c>
      <c r="D11717" t="s">
        <v>36966</v>
      </c>
      <c r="E11717">
        <v>1</v>
      </c>
      <c r="F11717" t="str">
        <f>HYPERLINK("https://github.com/Fox2Code/FoxMagiskModuleManager/issues/152", "show")</f>
        <v>show</v>
      </c>
      <c r="G11717" t="str">
        <f>HYPERLINK("https://github.com/Fox2Code/FoxMagiskModuleManager", "show")</f>
        <v>show</v>
      </c>
      <c r="H11717" t="str">
        <f>HYPERLINK("https://github.com/Fox2Code/FoxMagiskModuleManager/releases", "show")</f>
        <v>show</v>
      </c>
      <c r="I11717">
        <v>1</v>
      </c>
      <c r="J11717">
        <v>0</v>
      </c>
      <c r="K11717">
        <v>0</v>
      </c>
      <c r="L11717">
        <v>1</v>
      </c>
      <c r="M11717" t="s">
        <v>29</v>
      </c>
    </row>
    <row r="11718" spans="1:13" hidden="1" x14ac:dyDescent="0.15">
      <c r="A11718" t="s">
        <v>36976</v>
      </c>
      <c r="B11718" t="s">
        <v>36977</v>
      </c>
      <c r="C11718" t="s">
        <v>36978</v>
      </c>
      <c r="D11718" t="s">
        <v>36979</v>
      </c>
      <c r="E11718">
        <v>0</v>
      </c>
      <c r="F11718" t="str">
        <f>HYPERLINK("https://github.com/patzly/grocy-android/issues/544", "show")</f>
        <v>show</v>
      </c>
      <c r="G11718" t="str">
        <f>HYPERLINK("https://github.com/patzly/grocy-android", "show")</f>
        <v>show</v>
      </c>
      <c r="H11718" t="str">
        <f>HYPERLINK("https://github.com/patzly/grocy-android/releases", "show")</f>
        <v>show</v>
      </c>
      <c r="I11718">
        <v>1</v>
      </c>
      <c r="J11718">
        <v>0</v>
      </c>
      <c r="K11718">
        <v>0</v>
      </c>
      <c r="L11718">
        <v>0</v>
      </c>
      <c r="M11718" t="s">
        <v>17</v>
      </c>
    </row>
    <row r="11719" spans="1:13" hidden="1" x14ac:dyDescent="0.15">
      <c r="A11719" t="s">
        <v>36980</v>
      </c>
      <c r="B11719" t="s">
        <v>36981</v>
      </c>
      <c r="C11719" t="s">
        <v>36982</v>
      </c>
      <c r="D11719" t="s">
        <v>36979</v>
      </c>
      <c r="E11719">
        <v>18</v>
      </c>
      <c r="F11719" t="str">
        <f>HYPERLINK("https://github.com/Anuken/Mindustry/issues/6917", "show")</f>
        <v>show</v>
      </c>
      <c r="G11719" t="str">
        <f>HYPERLINK("https://github.com/Anuken/Mindustry", "show")</f>
        <v>show</v>
      </c>
      <c r="H11719" t="str">
        <f>HYPERLINK("https://github.com/Anuken/Mindustry/releases", "show")</f>
        <v>show</v>
      </c>
      <c r="I11719">
        <v>1</v>
      </c>
      <c r="J11719">
        <v>1</v>
      </c>
      <c r="K11719">
        <v>0</v>
      </c>
      <c r="L11719">
        <v>0</v>
      </c>
      <c r="M11719" t="s">
        <v>48</v>
      </c>
    </row>
    <row r="11720" spans="1:13" hidden="1" x14ac:dyDescent="0.15">
      <c r="A11720" t="s">
        <v>36983</v>
      </c>
      <c r="B11720" t="s">
        <v>36984</v>
      </c>
      <c r="C11720" t="s">
        <v>36985</v>
      </c>
      <c r="D11720" t="s">
        <v>36979</v>
      </c>
      <c r="E11720">
        <v>0</v>
      </c>
      <c r="F11720" t="str">
        <f>HYPERLINK("https://github.com/OpenTracksApp/OpenTracks/issues/1242", "show")</f>
        <v>show</v>
      </c>
      <c r="G11720" t="str">
        <f>HYPERLINK("https://github.com/OpenTracksApp/OpenTracks", "show")</f>
        <v>show</v>
      </c>
      <c r="H11720" t="str">
        <f>HYPERLINK("https://github.com/OpenTracksApp/OpenTracks/releases", "show")</f>
        <v>show</v>
      </c>
      <c r="I11720">
        <v>0</v>
      </c>
      <c r="J11720">
        <v>0</v>
      </c>
      <c r="K11720">
        <v>0</v>
      </c>
      <c r="L11720">
        <v>0</v>
      </c>
      <c r="M11720" t="s">
        <v>43</v>
      </c>
    </row>
    <row r="11721" spans="1:13" hidden="1" x14ac:dyDescent="0.15">
      <c r="A11721" t="s">
        <v>36986</v>
      </c>
      <c r="B11721" t="s">
        <v>36987</v>
      </c>
      <c r="C11721" t="s">
        <v>36988</v>
      </c>
      <c r="D11721" t="s">
        <v>36979</v>
      </c>
      <c r="E11721">
        <v>0</v>
      </c>
      <c r="F11721" t="str">
        <f>HYPERLINK("https://github.com/jpbandroid/jpbMusicV2/issues/2", "show")</f>
        <v>show</v>
      </c>
      <c r="G11721" t="str">
        <f>HYPERLINK("https://github.com/jpbandroid/jpbMusicV2", "show")</f>
        <v>show</v>
      </c>
      <c r="H11721" t="str">
        <f>HYPERLINK("https://github.com/jpbandroid/jpbMusicV2/releases", "show")</f>
        <v>show</v>
      </c>
      <c r="I11721">
        <v>1</v>
      </c>
      <c r="J11721">
        <v>0</v>
      </c>
      <c r="K11721">
        <v>0</v>
      </c>
      <c r="L11721">
        <v>0</v>
      </c>
      <c r="M11721" t="s">
        <v>17</v>
      </c>
    </row>
    <row r="11722" spans="1:13" hidden="1" x14ac:dyDescent="0.15">
      <c r="A11722" t="s">
        <v>36989</v>
      </c>
      <c r="B11722" t="s">
        <v>36990</v>
      </c>
      <c r="C11722" t="s">
        <v>36991</v>
      </c>
      <c r="D11722" t="s">
        <v>36992</v>
      </c>
      <c r="E11722">
        <v>268</v>
      </c>
      <c r="F11722" t="str">
        <f>HYPERLINK("https://github.com/material-components/material-components-android/issues/2711", "show")</f>
        <v>show</v>
      </c>
      <c r="G11722" t="str">
        <f>HYPERLINK("https://github.com/material-components/material-components-android", "show")</f>
        <v>show</v>
      </c>
      <c r="H11722" t="str">
        <f>HYPERLINK("https://github.com/material-components/material-components-android/releases", "show")</f>
        <v>show</v>
      </c>
      <c r="I11722">
        <v>1</v>
      </c>
      <c r="J11722">
        <v>0</v>
      </c>
      <c r="K11722">
        <v>1</v>
      </c>
      <c r="L11722">
        <v>0</v>
      </c>
      <c r="M11722" t="s">
        <v>64</v>
      </c>
    </row>
    <row r="11723" spans="1:13" hidden="1" x14ac:dyDescent="0.15">
      <c r="A11723" t="s">
        <v>36993</v>
      </c>
      <c r="B11723" t="s">
        <v>36994</v>
      </c>
      <c r="C11723" t="s">
        <v>36995</v>
      </c>
      <c r="D11723" t="s">
        <v>36992</v>
      </c>
      <c r="E11723">
        <v>19</v>
      </c>
      <c r="F11723" t="str">
        <f>HYPERLINK("https://github.com/Anuken/Mindustry/issues/6912", "show")</f>
        <v>show</v>
      </c>
      <c r="G11723" t="str">
        <f>HYPERLINK("https://github.com/Anuken/Mindustry", "show")</f>
        <v>show</v>
      </c>
      <c r="H11723" t="str">
        <f>HYPERLINK("https://github.com/Anuken/Mindustry/releases", "show")</f>
        <v>show</v>
      </c>
      <c r="I11723">
        <v>1</v>
      </c>
      <c r="J11723">
        <v>1</v>
      </c>
      <c r="K11723">
        <v>0</v>
      </c>
      <c r="L11723">
        <v>0</v>
      </c>
      <c r="M11723" t="s">
        <v>48</v>
      </c>
    </row>
    <row r="11724" spans="1:13" hidden="1" x14ac:dyDescent="0.15">
      <c r="A11724" t="s">
        <v>36996</v>
      </c>
      <c r="B11724" t="s">
        <v>36997</v>
      </c>
      <c r="C11724" t="s">
        <v>36998</v>
      </c>
      <c r="D11724" t="s">
        <v>36992</v>
      </c>
      <c r="E11724">
        <v>3</v>
      </c>
      <c r="F11724" t="str">
        <f>HYPERLINK("https://github.com/cgeo/cgeo/issues/13030", "show")</f>
        <v>show</v>
      </c>
      <c r="G11724" t="str">
        <f>HYPERLINK("https://github.com/cgeo/cgeo", "show")</f>
        <v>show</v>
      </c>
      <c r="H11724" t="str">
        <f>HYPERLINK("https://github.com/cgeo/cgeo/releases", "show")</f>
        <v>show</v>
      </c>
      <c r="I11724">
        <v>0</v>
      </c>
      <c r="J11724">
        <v>0</v>
      </c>
      <c r="K11724">
        <v>1</v>
      </c>
      <c r="L11724">
        <v>0</v>
      </c>
      <c r="M11724" t="s">
        <v>122</v>
      </c>
    </row>
    <row r="11725" spans="1:13" hidden="1" x14ac:dyDescent="0.15">
      <c r="A11725" t="s">
        <v>36999</v>
      </c>
      <c r="B11725" t="s">
        <v>37000</v>
      </c>
      <c r="C11725" t="s">
        <v>37001</v>
      </c>
      <c r="D11725" t="s">
        <v>36992</v>
      </c>
      <c r="E11725">
        <v>106</v>
      </c>
      <c r="F11725" t="str">
        <f>HYPERLINK("https://github.com/PojavLauncherTeam/PojavLauncher/issues/3246", "show")</f>
        <v>show</v>
      </c>
      <c r="G11725" t="str">
        <f>HYPERLINK("https://github.com/PojavLauncherTeam/PojavLauncher", "show")</f>
        <v>show</v>
      </c>
      <c r="H11725" t="str">
        <f>HYPERLINK("https://github.com/PojavLauncherTeam/PojavLauncher/releases", "show")</f>
        <v>show</v>
      </c>
      <c r="I11725">
        <v>1</v>
      </c>
      <c r="J11725">
        <v>0</v>
      </c>
      <c r="K11725">
        <v>0</v>
      </c>
      <c r="L11725">
        <v>0</v>
      </c>
      <c r="M11725" t="s">
        <v>17</v>
      </c>
    </row>
    <row r="11726" spans="1:13" hidden="1" x14ac:dyDescent="0.15">
      <c r="A11726" t="s">
        <v>37002</v>
      </c>
      <c r="B11726" t="s">
        <v>37003</v>
      </c>
      <c r="C11726" t="s">
        <v>37004</v>
      </c>
      <c r="D11726" t="s">
        <v>37005</v>
      </c>
      <c r="E11726">
        <v>2</v>
      </c>
      <c r="F11726" t="str">
        <f>HYPERLINK("https://github.com/cgeo/cgeo/issues/13027", "show")</f>
        <v>show</v>
      </c>
      <c r="G11726" t="str">
        <f>HYPERLINK("https://github.com/cgeo/cgeo", "show")</f>
        <v>show</v>
      </c>
      <c r="H11726" t="str">
        <f>HYPERLINK("https://github.com/cgeo/cgeo/releases", "show")</f>
        <v>show</v>
      </c>
      <c r="I11726">
        <v>1</v>
      </c>
      <c r="J11726">
        <v>0</v>
      </c>
      <c r="K11726">
        <v>0</v>
      </c>
      <c r="L11726">
        <v>0</v>
      </c>
      <c r="M11726" t="s">
        <v>17</v>
      </c>
    </row>
    <row r="11727" spans="1:13" x14ac:dyDescent="0.15">
      <c r="A11727" t="s">
        <v>37006</v>
      </c>
      <c r="B11727" t="s">
        <v>37007</v>
      </c>
      <c r="C11727" t="s">
        <v>37008</v>
      </c>
      <c r="D11727" t="s">
        <v>37005</v>
      </c>
      <c r="E11727">
        <v>146</v>
      </c>
      <c r="F11727" t="str">
        <f>HYPERLINK("https://github.com/GoogleCloudPlatform/fda-mystudies/issues/4598", "show")</f>
        <v>show</v>
      </c>
      <c r="G11727" t="str">
        <f>HYPERLINK("https://github.com/GoogleCloudPlatform/fda-mystudies", "show")</f>
        <v>show</v>
      </c>
      <c r="H11727" t="str">
        <f>HYPERLINK("https://github.com/GoogleCloudPlatform/fda-mystudies/releases", "show")</f>
        <v>show</v>
      </c>
      <c r="I11727">
        <v>0</v>
      </c>
      <c r="J11727">
        <v>1</v>
      </c>
      <c r="K11727">
        <v>0</v>
      </c>
      <c r="L11727">
        <v>0</v>
      </c>
      <c r="M11727" t="s">
        <v>139</v>
      </c>
    </row>
    <row r="11728" spans="1:13" hidden="1" x14ac:dyDescent="0.15">
      <c r="A11728" t="s">
        <v>37009</v>
      </c>
      <c r="B11728" t="s">
        <v>37010</v>
      </c>
      <c r="C11728" t="s">
        <v>37011</v>
      </c>
      <c r="D11728" t="s">
        <v>37005</v>
      </c>
      <c r="E11728">
        <v>1</v>
      </c>
      <c r="F11728" t="str">
        <f>HYPERLINK("https://github.com/commons-app/apps-android-commons/issues/4959", "show")</f>
        <v>show</v>
      </c>
      <c r="G11728" t="str">
        <f>HYPERLINK("https://github.com/commons-app/apps-android-commons", "show")</f>
        <v>show</v>
      </c>
      <c r="H11728" t="str">
        <f>HYPERLINK("https://github.com/commons-app/apps-android-commons/releases", "show")</f>
        <v>show</v>
      </c>
      <c r="I11728">
        <v>1</v>
      </c>
      <c r="J11728">
        <v>1</v>
      </c>
      <c r="K11728">
        <v>1</v>
      </c>
      <c r="L11728">
        <v>0</v>
      </c>
      <c r="M11728" t="s">
        <v>59</v>
      </c>
    </row>
    <row r="11729" spans="1:13" hidden="1" x14ac:dyDescent="0.15">
      <c r="A11729" t="s">
        <v>37012</v>
      </c>
      <c r="B11729" t="s">
        <v>37013</v>
      </c>
      <c r="C11729" t="s">
        <v>10930</v>
      </c>
      <c r="D11729" t="s">
        <v>37005</v>
      </c>
      <c r="E11729">
        <v>55</v>
      </c>
      <c r="F11729" t="str">
        <f>HYPERLINK("https://github.com/AndroidIDEOfficial/AndroidIDE/issues/195", "show")</f>
        <v>show</v>
      </c>
      <c r="G11729" t="str">
        <f>HYPERLINK("https://github.com/AndroidIDEOfficial/AndroidIDE", "show")</f>
        <v>show</v>
      </c>
      <c r="H11729" t="str">
        <f>HYPERLINK("https://github.com/AndroidIDEOfficial/AndroidIDE/releases", "show")</f>
        <v>show</v>
      </c>
      <c r="I11729">
        <v>0</v>
      </c>
      <c r="J11729">
        <v>0</v>
      </c>
      <c r="K11729">
        <v>1</v>
      </c>
      <c r="L11729">
        <v>0</v>
      </c>
      <c r="M11729" t="s">
        <v>122</v>
      </c>
    </row>
    <row r="11730" spans="1:13" hidden="1" x14ac:dyDescent="0.15">
      <c r="A11730" t="s">
        <v>37014</v>
      </c>
      <c r="B11730" t="s">
        <v>37015</v>
      </c>
      <c r="D11730" t="s">
        <v>37016</v>
      </c>
      <c r="E11730">
        <v>1</v>
      </c>
      <c r="F11730" t="str">
        <f>HYPERLINK("https://github.com/Marmo/debitum/issues/99", "show")</f>
        <v>show</v>
      </c>
      <c r="G11730" t="str">
        <f>HYPERLINK("https://github.com/Marmo/debitum", "show")</f>
        <v>show</v>
      </c>
      <c r="H11730" t="str">
        <f>HYPERLINK("https://github.com/Marmo/debitum/releases", "show")</f>
        <v>show</v>
      </c>
      <c r="I11730">
        <v>1</v>
      </c>
      <c r="J11730">
        <v>0</v>
      </c>
      <c r="K11730">
        <v>0</v>
      </c>
      <c r="L11730">
        <v>0</v>
      </c>
      <c r="M11730" t="s">
        <v>17</v>
      </c>
    </row>
    <row r="11731" spans="1:13" hidden="1" x14ac:dyDescent="0.15">
      <c r="A11731" t="s">
        <v>37017</v>
      </c>
      <c r="B11731" t="s">
        <v>37018</v>
      </c>
      <c r="C11731" t="s">
        <v>37019</v>
      </c>
      <c r="D11731" t="s">
        <v>37016</v>
      </c>
      <c r="E11731">
        <v>0</v>
      </c>
      <c r="F11731" t="str">
        <f>HYPERLINK("https://github.com/TacoTheDank/Scoop/issues/57", "show")</f>
        <v>show</v>
      </c>
      <c r="G11731" t="str">
        <f>HYPERLINK("https://github.com/TacoTheDank/Scoop", "show")</f>
        <v>show</v>
      </c>
      <c r="H11731" t="str">
        <f>HYPERLINK("https://github.com/TacoTheDank/Scoop/releases", "show")</f>
        <v>show</v>
      </c>
      <c r="I11731">
        <v>0</v>
      </c>
      <c r="J11731">
        <v>0</v>
      </c>
      <c r="K11731">
        <v>0</v>
      </c>
      <c r="L11731">
        <v>0</v>
      </c>
      <c r="M11731" t="s">
        <v>43</v>
      </c>
    </row>
    <row r="11732" spans="1:13" hidden="1" x14ac:dyDescent="0.15">
      <c r="A11732" t="s">
        <v>37020</v>
      </c>
      <c r="B11732" t="s">
        <v>37021</v>
      </c>
      <c r="C11732" t="s">
        <v>37022</v>
      </c>
      <c r="D11732" t="s">
        <v>37016</v>
      </c>
      <c r="E11732">
        <v>0</v>
      </c>
      <c r="F11732" t="str">
        <f>HYPERLINK("https://github.com/PojavLauncherTeam/PojavLauncher/issues/3243", "show")</f>
        <v>show</v>
      </c>
      <c r="G11732" t="str">
        <f>HYPERLINK("https://github.com/PojavLauncherTeam/PojavLauncher", "show")</f>
        <v>show</v>
      </c>
      <c r="H11732" t="str">
        <f>HYPERLINK("https://github.com/PojavLauncherTeam/PojavLauncher/releases", "show")</f>
        <v>show</v>
      </c>
      <c r="I11732">
        <v>1</v>
      </c>
      <c r="J11732">
        <v>0</v>
      </c>
      <c r="K11732">
        <v>0</v>
      </c>
      <c r="L11732">
        <v>1</v>
      </c>
      <c r="M11732" t="s">
        <v>29</v>
      </c>
    </row>
    <row r="11733" spans="1:13" hidden="1" x14ac:dyDescent="0.15">
      <c r="A11733" t="s">
        <v>37023</v>
      </c>
      <c r="B11733" t="s">
        <v>37024</v>
      </c>
      <c r="C11733" t="s">
        <v>37025</v>
      </c>
      <c r="D11733" t="s">
        <v>37016</v>
      </c>
      <c r="E11733">
        <v>21</v>
      </c>
      <c r="F11733" t="str">
        <f>HYPERLINK("https://github.com/Anuken/Mindustry/issues/6903", "show")</f>
        <v>show</v>
      </c>
      <c r="G11733" t="str">
        <f>HYPERLINK("https://github.com/Anuken/Mindustry", "show")</f>
        <v>show</v>
      </c>
      <c r="H11733" t="str">
        <f>HYPERLINK("https://github.com/Anuken/Mindustry/releases", "show")</f>
        <v>show</v>
      </c>
      <c r="I11733">
        <v>1</v>
      </c>
      <c r="J11733">
        <v>0</v>
      </c>
      <c r="K11733">
        <v>0</v>
      </c>
      <c r="L11733">
        <v>0</v>
      </c>
      <c r="M11733" t="s">
        <v>17</v>
      </c>
    </row>
    <row r="11734" spans="1:13" hidden="1" x14ac:dyDescent="0.15">
      <c r="A11734" t="s">
        <v>37026</v>
      </c>
      <c r="B11734" t="s">
        <v>37027</v>
      </c>
      <c r="C11734" t="s">
        <v>37028</v>
      </c>
      <c r="D11734" t="s">
        <v>37016</v>
      </c>
      <c r="E11734">
        <v>0</v>
      </c>
      <c r="F11734" t="str">
        <f>HYPERLINK("https://github.com/PojavLauncherTeam/PojavLauncher/issues/3242", "show")</f>
        <v>show</v>
      </c>
      <c r="G11734" t="str">
        <f>HYPERLINK("https://github.com/PojavLauncherTeam/PojavLauncher", "show")</f>
        <v>show</v>
      </c>
      <c r="H11734" t="str">
        <f>HYPERLINK("https://github.com/PojavLauncherTeam/PojavLauncher/releases", "show")</f>
        <v>show</v>
      </c>
      <c r="I11734">
        <v>1</v>
      </c>
      <c r="J11734">
        <v>0</v>
      </c>
      <c r="K11734">
        <v>0</v>
      </c>
      <c r="L11734">
        <v>0</v>
      </c>
      <c r="M11734" t="s">
        <v>17</v>
      </c>
    </row>
    <row r="11735" spans="1:13" hidden="1" x14ac:dyDescent="0.15">
      <c r="A11735" t="s">
        <v>37029</v>
      </c>
      <c r="B11735" t="s">
        <v>37030</v>
      </c>
      <c r="C11735" t="s">
        <v>37031</v>
      </c>
      <c r="D11735" t="s">
        <v>37016</v>
      </c>
      <c r="E11735">
        <v>1</v>
      </c>
      <c r="F11735" t="str">
        <f>HYPERLINK("https://github.com/Anuken/Mindustry/issues/6901", "show")</f>
        <v>show</v>
      </c>
      <c r="G11735" t="str">
        <f>HYPERLINK("https://github.com/Anuken/Mindustry", "show")</f>
        <v>show</v>
      </c>
      <c r="H11735" t="str">
        <f>HYPERLINK("https://github.com/Anuken/Mindustry/releases", "show")</f>
        <v>show</v>
      </c>
      <c r="I11735">
        <v>1</v>
      </c>
      <c r="J11735">
        <v>1</v>
      </c>
      <c r="K11735">
        <v>0</v>
      </c>
      <c r="L11735">
        <v>0</v>
      </c>
      <c r="M11735" t="s">
        <v>48</v>
      </c>
    </row>
    <row r="11736" spans="1:13" hidden="1" x14ac:dyDescent="0.15">
      <c r="A11736" t="s">
        <v>37032</v>
      </c>
      <c r="B11736" t="s">
        <v>37033</v>
      </c>
      <c r="C11736" t="s">
        <v>37034</v>
      </c>
      <c r="D11736" t="s">
        <v>37035</v>
      </c>
      <c r="E11736">
        <v>5</v>
      </c>
      <c r="F11736" t="str">
        <f>HYPERLINK("https://github.com/TeamNewPipe/NewPipe/issues/8411", "show")</f>
        <v>show</v>
      </c>
      <c r="G11736" t="str">
        <f>HYPERLINK("https://github.com/TeamNewPipe/NewPipe", "show")</f>
        <v>show</v>
      </c>
      <c r="H11736" t="str">
        <f>HYPERLINK("https://github.com/TeamNewPipe/NewPipe/releases", "show")</f>
        <v>show</v>
      </c>
      <c r="I11736">
        <v>0</v>
      </c>
      <c r="J11736">
        <v>1</v>
      </c>
      <c r="K11736">
        <v>1</v>
      </c>
      <c r="L11736">
        <v>0</v>
      </c>
      <c r="M11736" t="s">
        <v>699</v>
      </c>
    </row>
    <row r="11737" spans="1:13" hidden="1" x14ac:dyDescent="0.15">
      <c r="A11737" t="s">
        <v>37036</v>
      </c>
      <c r="B11737" t="s">
        <v>37037</v>
      </c>
      <c r="D11737" t="s">
        <v>37035</v>
      </c>
      <c r="E11737">
        <v>3</v>
      </c>
      <c r="F11737" t="str">
        <f>HYPERLINK("https://github.com/BresciaFrancesco/TourExperience/issues/32", "show")</f>
        <v>show</v>
      </c>
      <c r="G11737" t="str">
        <f>HYPERLINK("https://github.com/BresciaFrancesco/TourExperience", "show")</f>
        <v>show</v>
      </c>
      <c r="H11737" t="str">
        <f>HYPERLINK("https://github.com/BresciaFrancesco/TourExperience/releases", "show")</f>
        <v>show</v>
      </c>
      <c r="I11737">
        <v>0</v>
      </c>
      <c r="J11737">
        <v>0</v>
      </c>
      <c r="K11737">
        <v>0</v>
      </c>
      <c r="L11737">
        <v>0</v>
      </c>
      <c r="M11737" t="s">
        <v>43</v>
      </c>
    </row>
    <row r="11738" spans="1:13" hidden="1" x14ac:dyDescent="0.15">
      <c r="A11738" t="s">
        <v>37038</v>
      </c>
      <c r="B11738" t="s">
        <v>37039</v>
      </c>
      <c r="C11738" t="s">
        <v>37040</v>
      </c>
      <c r="D11738" t="s">
        <v>37035</v>
      </c>
      <c r="E11738">
        <v>261</v>
      </c>
      <c r="F11738" t="str">
        <f>HYPERLINK("https://github.com/cgeo/cgeo/issues/13021", "show")</f>
        <v>show</v>
      </c>
      <c r="G11738" t="str">
        <f>HYPERLINK("https://github.com/cgeo/cgeo", "show")</f>
        <v>show</v>
      </c>
      <c r="H11738" t="str">
        <f>HYPERLINK("https://github.com/cgeo/cgeo/releases", "show")</f>
        <v>show</v>
      </c>
      <c r="I11738">
        <v>1</v>
      </c>
      <c r="J11738">
        <v>0</v>
      </c>
      <c r="K11738">
        <v>0</v>
      </c>
      <c r="L11738">
        <v>0</v>
      </c>
      <c r="M11738" t="s">
        <v>17</v>
      </c>
    </row>
    <row r="11739" spans="1:13" hidden="1" x14ac:dyDescent="0.15">
      <c r="A11739" t="s">
        <v>37041</v>
      </c>
      <c r="B11739" t="s">
        <v>37042</v>
      </c>
      <c r="C11739" t="s">
        <v>37043</v>
      </c>
      <c r="D11739" t="s">
        <v>37044</v>
      </c>
      <c r="E11739">
        <v>23</v>
      </c>
      <c r="F11739" t="str">
        <f>HYPERLINK("https://github.com/Anuken/Mindustry/issues/6893", "show")</f>
        <v>show</v>
      </c>
      <c r="G11739" t="str">
        <f>HYPERLINK("https://github.com/Anuken/Mindustry", "show")</f>
        <v>show</v>
      </c>
      <c r="H11739" t="str">
        <f>HYPERLINK("https://github.com/Anuken/Mindustry/releases", "show")</f>
        <v>show</v>
      </c>
      <c r="I11739">
        <v>1</v>
      </c>
      <c r="J11739">
        <v>1</v>
      </c>
      <c r="K11739">
        <v>0</v>
      </c>
      <c r="L11739">
        <v>0</v>
      </c>
      <c r="M11739" t="s">
        <v>48</v>
      </c>
    </row>
    <row r="11740" spans="1:13" hidden="1" x14ac:dyDescent="0.15">
      <c r="A11740" t="s">
        <v>37045</v>
      </c>
      <c r="B11740" t="s">
        <v>37046</v>
      </c>
      <c r="C11740" t="s">
        <v>37047</v>
      </c>
      <c r="D11740" t="s">
        <v>37048</v>
      </c>
      <c r="E11740">
        <v>10</v>
      </c>
      <c r="F11740" t="str">
        <f>HYPERLINK("https://github.com/PojavLauncherTeam/PojavLauncher/issues/3232", "show")</f>
        <v>show</v>
      </c>
      <c r="G11740" t="str">
        <f>HYPERLINK("https://github.com/PojavLauncherTeam/PojavLauncher", "show")</f>
        <v>show</v>
      </c>
      <c r="H11740" t="str">
        <f>HYPERLINK("https://github.com/PojavLauncherTeam/PojavLauncher/releases", "show")</f>
        <v>show</v>
      </c>
      <c r="I11740">
        <v>1</v>
      </c>
      <c r="J11740">
        <v>1</v>
      </c>
      <c r="K11740">
        <v>0</v>
      </c>
      <c r="L11740">
        <v>0</v>
      </c>
      <c r="M11740" t="s">
        <v>48</v>
      </c>
    </row>
    <row r="11741" spans="1:13" hidden="1" x14ac:dyDescent="0.15">
      <c r="A11741" t="s">
        <v>37049</v>
      </c>
      <c r="B11741" t="s">
        <v>37050</v>
      </c>
      <c r="C11741" t="s">
        <v>37051</v>
      </c>
      <c r="D11741" t="s">
        <v>37048</v>
      </c>
      <c r="E11741">
        <v>1</v>
      </c>
      <c r="F11741" t="str">
        <f>HYPERLINK("https://github.com/nextcloud/android/issues/10250", "show")</f>
        <v>show</v>
      </c>
      <c r="G11741" t="str">
        <f>HYPERLINK("https://github.com/nextcloud/android", "show")</f>
        <v>show</v>
      </c>
      <c r="H11741" t="str">
        <f>HYPERLINK("https://github.com/nextcloud/android/releases", "show")</f>
        <v>show</v>
      </c>
      <c r="I11741">
        <v>0</v>
      </c>
      <c r="J11741">
        <v>0</v>
      </c>
      <c r="K11741">
        <v>0</v>
      </c>
      <c r="L11741">
        <v>0</v>
      </c>
      <c r="M11741" t="s">
        <v>43</v>
      </c>
    </row>
    <row r="11742" spans="1:13" hidden="1" x14ac:dyDescent="0.15">
      <c r="A11742" t="s">
        <v>37052</v>
      </c>
      <c r="B11742" t="s">
        <v>37053</v>
      </c>
      <c r="C11742" t="s">
        <v>37054</v>
      </c>
      <c r="D11742" t="s">
        <v>37048</v>
      </c>
      <c r="E11742">
        <v>24</v>
      </c>
      <c r="F11742" t="str">
        <f>HYPERLINK("https://github.com/Anuken/Mindustry/issues/6887", "show")</f>
        <v>show</v>
      </c>
      <c r="G11742" t="str">
        <f>HYPERLINK("https://github.com/Anuken/Mindustry", "show")</f>
        <v>show</v>
      </c>
      <c r="H11742" t="str">
        <f>HYPERLINK("https://github.com/Anuken/Mindustry/releases", "show")</f>
        <v>show</v>
      </c>
      <c r="I11742">
        <v>1</v>
      </c>
      <c r="J11742">
        <v>1</v>
      </c>
      <c r="K11742">
        <v>0</v>
      </c>
      <c r="L11742">
        <v>0</v>
      </c>
      <c r="M11742" t="s">
        <v>48</v>
      </c>
    </row>
    <row r="11743" spans="1:13" hidden="1" x14ac:dyDescent="0.15">
      <c r="A11743" t="s">
        <v>37055</v>
      </c>
      <c r="B11743" t="s">
        <v>37056</v>
      </c>
      <c r="C11743" t="s">
        <v>37057</v>
      </c>
      <c r="D11743" t="s">
        <v>37048</v>
      </c>
      <c r="E11743">
        <v>0</v>
      </c>
      <c r="F11743" t="str">
        <f>HYPERLINK("https://github.com/LSPosed/LSPosed/issues/1943", "show")</f>
        <v>show</v>
      </c>
      <c r="G11743" t="str">
        <f>HYPERLINK("https://github.com/LSPosed/LSPosed", "show")</f>
        <v>show</v>
      </c>
      <c r="H11743" t="str">
        <f>HYPERLINK("https://github.com/LSPosed/LSPosed/releases", "show")</f>
        <v>show</v>
      </c>
      <c r="I11743">
        <v>0</v>
      </c>
      <c r="J11743">
        <v>0</v>
      </c>
      <c r="K11743">
        <v>0</v>
      </c>
      <c r="L11743">
        <v>0</v>
      </c>
      <c r="M11743" t="s">
        <v>43</v>
      </c>
    </row>
    <row r="11744" spans="1:13" hidden="1" x14ac:dyDescent="0.15">
      <c r="A11744" t="s">
        <v>37058</v>
      </c>
      <c r="B11744" t="s">
        <v>37059</v>
      </c>
      <c r="C11744" t="s">
        <v>37060</v>
      </c>
      <c r="D11744" t="s">
        <v>37048</v>
      </c>
      <c r="E11744">
        <v>24</v>
      </c>
      <c r="F11744" t="str">
        <f>HYPERLINK("https://github.com/Anuken/Mindustry/issues/6883", "show")</f>
        <v>show</v>
      </c>
      <c r="G11744" t="str">
        <f>HYPERLINK("https://github.com/Anuken/Mindustry", "show")</f>
        <v>show</v>
      </c>
      <c r="H11744" t="str">
        <f>HYPERLINK("https://github.com/Anuken/Mindustry/releases", "show")</f>
        <v>show</v>
      </c>
      <c r="I11744">
        <v>0</v>
      </c>
      <c r="J11744">
        <v>0</v>
      </c>
      <c r="K11744">
        <v>0</v>
      </c>
      <c r="L11744">
        <v>0</v>
      </c>
      <c r="M11744" t="s">
        <v>43</v>
      </c>
    </row>
    <row r="11745" spans="1:13" hidden="1" x14ac:dyDescent="0.15">
      <c r="A11745" t="s">
        <v>37061</v>
      </c>
      <c r="B11745" t="s">
        <v>37062</v>
      </c>
      <c r="C11745" t="s">
        <v>37063</v>
      </c>
      <c r="D11745" t="s">
        <v>37048</v>
      </c>
      <c r="E11745">
        <v>0</v>
      </c>
      <c r="F11745" t="str">
        <f>HYPERLINK("https://github.com/cgeo/cgeo/issues/13014", "show")</f>
        <v>show</v>
      </c>
      <c r="G11745" t="str">
        <f>HYPERLINK("https://github.com/cgeo/cgeo", "show")</f>
        <v>show</v>
      </c>
      <c r="H11745" t="str">
        <f>HYPERLINK("https://github.com/cgeo/cgeo/releases", "show")</f>
        <v>show</v>
      </c>
      <c r="I11745">
        <v>1</v>
      </c>
      <c r="J11745">
        <v>0</v>
      </c>
      <c r="K11745">
        <v>1</v>
      </c>
      <c r="L11745">
        <v>0</v>
      </c>
      <c r="M11745" t="s">
        <v>64</v>
      </c>
    </row>
    <row r="11746" spans="1:13" hidden="1" x14ac:dyDescent="0.15">
      <c r="A11746" t="s">
        <v>37064</v>
      </c>
      <c r="B11746" t="s">
        <v>37065</v>
      </c>
      <c r="C11746" t="s">
        <v>37066</v>
      </c>
      <c r="D11746" t="s">
        <v>37067</v>
      </c>
      <c r="E11746">
        <v>2</v>
      </c>
      <c r="F11746" t="str">
        <f>HYPERLINK("https://github.com/nextcloud/android/issues/10246", "show")</f>
        <v>show</v>
      </c>
      <c r="G11746" t="str">
        <f>HYPERLINK("https://github.com/nextcloud/android", "show")</f>
        <v>show</v>
      </c>
      <c r="H11746" t="str">
        <f>HYPERLINK("https://github.com/nextcloud/android/releases", "show")</f>
        <v>show</v>
      </c>
      <c r="I11746">
        <v>1</v>
      </c>
      <c r="J11746">
        <v>1</v>
      </c>
      <c r="K11746">
        <v>1</v>
      </c>
      <c r="L11746">
        <v>0</v>
      </c>
      <c r="M11746" t="s">
        <v>59</v>
      </c>
    </row>
    <row r="11747" spans="1:13" hidden="1" x14ac:dyDescent="0.15">
      <c r="A11747" t="s">
        <v>37068</v>
      </c>
      <c r="B11747" t="s">
        <v>37069</v>
      </c>
      <c r="C11747" t="s">
        <v>37070</v>
      </c>
      <c r="D11747" t="s">
        <v>37067</v>
      </c>
      <c r="E11747">
        <v>2</v>
      </c>
      <c r="F11747" t="str">
        <f>HYPERLINK("https://github.com/BresciaFrancesco/TourExperience/issues/30", "show")</f>
        <v>show</v>
      </c>
      <c r="G11747" t="str">
        <f>HYPERLINK("https://github.com/BresciaFrancesco/TourExperience", "show")</f>
        <v>show</v>
      </c>
      <c r="H11747" t="str">
        <f>HYPERLINK("https://github.com/BresciaFrancesco/TourExperience/releases", "show")</f>
        <v>show</v>
      </c>
      <c r="I11747">
        <v>0</v>
      </c>
      <c r="J11747">
        <v>0</v>
      </c>
      <c r="K11747">
        <v>0</v>
      </c>
      <c r="L11747">
        <v>0</v>
      </c>
      <c r="M11747" t="s">
        <v>43</v>
      </c>
    </row>
    <row r="11748" spans="1:13" hidden="1" x14ac:dyDescent="0.15">
      <c r="A11748" t="s">
        <v>37071</v>
      </c>
      <c r="B11748" t="s">
        <v>37072</v>
      </c>
      <c r="C11748" t="s">
        <v>37073</v>
      </c>
      <c r="D11748" t="s">
        <v>37067</v>
      </c>
      <c r="E11748">
        <v>25</v>
      </c>
      <c r="F11748" t="str">
        <f>HYPERLINK("https://github.com/Anuken/Mindustry/issues/6878", "show")</f>
        <v>show</v>
      </c>
      <c r="G11748" t="str">
        <f>HYPERLINK("https://github.com/Anuken/Mindustry", "show")</f>
        <v>show</v>
      </c>
      <c r="H11748" t="str">
        <f>HYPERLINK("https://github.com/Anuken/Mindustry/releases", "show")</f>
        <v>show</v>
      </c>
      <c r="I11748">
        <v>0</v>
      </c>
      <c r="J11748">
        <v>0</v>
      </c>
      <c r="K11748">
        <v>0</v>
      </c>
      <c r="L11748">
        <v>1</v>
      </c>
      <c r="M11748" t="s">
        <v>581</v>
      </c>
    </row>
    <row r="11749" spans="1:13" hidden="1" x14ac:dyDescent="0.15">
      <c r="A11749" t="s">
        <v>37074</v>
      </c>
      <c r="B11749" t="s">
        <v>37075</v>
      </c>
      <c r="C11749" t="s">
        <v>37076</v>
      </c>
      <c r="D11749" t="s">
        <v>37067</v>
      </c>
      <c r="E11749">
        <v>0</v>
      </c>
      <c r="F11749" t="str">
        <f>HYPERLINK("https://github.com/LSPosed/LSPosed/issues/1940", "show")</f>
        <v>show</v>
      </c>
      <c r="G11749" t="str">
        <f>HYPERLINK("https://github.com/LSPosed/LSPosed", "show")</f>
        <v>show</v>
      </c>
      <c r="H11749" t="str">
        <f>HYPERLINK("https://github.com/LSPosed/LSPosed/releases", "show")</f>
        <v>show</v>
      </c>
      <c r="I11749">
        <v>0</v>
      </c>
      <c r="J11749">
        <v>0</v>
      </c>
      <c r="K11749">
        <v>0</v>
      </c>
      <c r="L11749">
        <v>0</v>
      </c>
      <c r="M11749" t="s">
        <v>43</v>
      </c>
    </row>
    <row r="11750" spans="1:13" hidden="1" x14ac:dyDescent="0.15">
      <c r="A11750" t="s">
        <v>37077</v>
      </c>
      <c r="B11750" t="s">
        <v>19235</v>
      </c>
      <c r="C11750" t="s">
        <v>37078</v>
      </c>
      <c r="D11750" t="s">
        <v>37067</v>
      </c>
      <c r="E11750">
        <v>19</v>
      </c>
      <c r="F11750" t="str">
        <f>HYPERLINK("https://github.com/nextcloud/android/issues/10245", "show")</f>
        <v>show</v>
      </c>
      <c r="G11750" t="str">
        <f>HYPERLINK("https://github.com/nextcloud/android", "show")</f>
        <v>show</v>
      </c>
      <c r="H11750" t="str">
        <f>HYPERLINK("https://github.com/nextcloud/android/releases", "show")</f>
        <v>show</v>
      </c>
      <c r="I11750">
        <v>0</v>
      </c>
      <c r="J11750">
        <v>0</v>
      </c>
      <c r="K11750">
        <v>1</v>
      </c>
      <c r="L11750">
        <v>0</v>
      </c>
      <c r="M11750" t="s">
        <v>122</v>
      </c>
    </row>
    <row r="11751" spans="1:13" hidden="1" x14ac:dyDescent="0.15">
      <c r="A11751" t="s">
        <v>37079</v>
      </c>
      <c r="B11751" t="s">
        <v>37080</v>
      </c>
      <c r="C11751" t="s">
        <v>37081</v>
      </c>
      <c r="D11751" t="s">
        <v>37067</v>
      </c>
      <c r="E11751">
        <v>44</v>
      </c>
      <c r="F11751" t="str">
        <f>HYPERLINK("https://github.com/material-components/material-components-android/issues/2704", "show")</f>
        <v>show</v>
      </c>
      <c r="G11751" t="str">
        <f>HYPERLINK("https://github.com/material-components/material-components-android", "show")</f>
        <v>show</v>
      </c>
      <c r="H11751" t="str">
        <f>HYPERLINK("https://github.com/material-components/material-components-android/releases", "show")</f>
        <v>show</v>
      </c>
      <c r="I11751">
        <v>0</v>
      </c>
      <c r="J11751">
        <v>0</v>
      </c>
      <c r="K11751">
        <v>0</v>
      </c>
      <c r="L11751">
        <v>0</v>
      </c>
      <c r="M11751" t="s">
        <v>43</v>
      </c>
    </row>
    <row r="11752" spans="1:13" hidden="1" x14ac:dyDescent="0.15">
      <c r="A11752" t="s">
        <v>37082</v>
      </c>
      <c r="B11752" t="s">
        <v>37083</v>
      </c>
      <c r="C11752" t="s">
        <v>37084</v>
      </c>
      <c r="D11752" t="s">
        <v>37085</v>
      </c>
      <c r="E11752">
        <v>26</v>
      </c>
      <c r="F11752" t="str">
        <f>HYPERLINK("https://github.com/Anuken/Mindustry/issues/6871", "show")</f>
        <v>show</v>
      </c>
      <c r="G11752" t="str">
        <f>HYPERLINK("https://github.com/Anuken/Mindustry", "show")</f>
        <v>show</v>
      </c>
      <c r="H11752" t="str">
        <f>HYPERLINK("https://github.com/Anuken/Mindustry/releases", "show")</f>
        <v>show</v>
      </c>
      <c r="I11752">
        <v>1</v>
      </c>
      <c r="J11752">
        <v>0</v>
      </c>
      <c r="K11752">
        <v>0</v>
      </c>
      <c r="L11752">
        <v>0</v>
      </c>
      <c r="M11752" t="s">
        <v>17</v>
      </c>
    </row>
    <row r="11753" spans="1:13" hidden="1" x14ac:dyDescent="0.15">
      <c r="A11753" t="s">
        <v>37086</v>
      </c>
      <c r="B11753" t="s">
        <v>37087</v>
      </c>
      <c r="C11753" t="s">
        <v>37088</v>
      </c>
      <c r="D11753" t="s">
        <v>37085</v>
      </c>
      <c r="E11753">
        <v>0</v>
      </c>
      <c r="F11753" t="str">
        <f>HYPERLINK("https://github.com/nextcloud/android/issues/10243", "show")</f>
        <v>show</v>
      </c>
      <c r="G11753" t="str">
        <f>HYPERLINK("https://github.com/nextcloud/android", "show")</f>
        <v>show</v>
      </c>
      <c r="H11753" t="str">
        <f>HYPERLINK("https://github.com/nextcloud/android/releases", "show")</f>
        <v>show</v>
      </c>
      <c r="I11753">
        <v>1</v>
      </c>
      <c r="J11753">
        <v>1</v>
      </c>
      <c r="K11753">
        <v>1</v>
      </c>
      <c r="L11753">
        <v>0</v>
      </c>
      <c r="M11753" t="s">
        <v>59</v>
      </c>
    </row>
    <row r="11754" spans="1:13" hidden="1" x14ac:dyDescent="0.15">
      <c r="A11754" t="s">
        <v>37089</v>
      </c>
      <c r="B11754" t="s">
        <v>37090</v>
      </c>
      <c r="C11754" t="s">
        <v>37091</v>
      </c>
      <c r="D11754" t="s">
        <v>37085</v>
      </c>
      <c r="E11754">
        <v>0</v>
      </c>
      <c r="F11754" t="str">
        <f>HYPERLINK("https://github.com/PojavLauncherTeam/PojavLauncher/issues/3226", "show")</f>
        <v>show</v>
      </c>
      <c r="G11754" t="str">
        <f>HYPERLINK("https://github.com/PojavLauncherTeam/PojavLauncher", "show")</f>
        <v>show</v>
      </c>
      <c r="H11754" t="str">
        <f>HYPERLINK("https://github.com/PojavLauncherTeam/PojavLauncher/releases", "show")</f>
        <v>show</v>
      </c>
      <c r="I11754">
        <v>1</v>
      </c>
      <c r="J11754">
        <v>1</v>
      </c>
      <c r="K11754">
        <v>0</v>
      </c>
      <c r="L11754">
        <v>0</v>
      </c>
      <c r="M11754" t="s">
        <v>48</v>
      </c>
    </row>
    <row r="11755" spans="1:13" hidden="1" x14ac:dyDescent="0.15">
      <c r="A11755" t="s">
        <v>37092</v>
      </c>
      <c r="B11755" t="s">
        <v>37093</v>
      </c>
      <c r="C11755" t="s">
        <v>37094</v>
      </c>
      <c r="D11755" t="s">
        <v>37085</v>
      </c>
      <c r="E11755">
        <v>26</v>
      </c>
      <c r="F11755" t="str">
        <f>HYPERLINK("https://github.com/Anuken/Mindustry/issues/6865", "show")</f>
        <v>show</v>
      </c>
      <c r="G11755" t="str">
        <f>HYPERLINK("https://github.com/Anuken/Mindustry", "show")</f>
        <v>show</v>
      </c>
      <c r="H11755" t="str">
        <f>HYPERLINK("https://github.com/Anuken/Mindustry/releases", "show")</f>
        <v>show</v>
      </c>
      <c r="I11755">
        <v>1</v>
      </c>
      <c r="J11755">
        <v>0</v>
      </c>
      <c r="K11755">
        <v>0</v>
      </c>
      <c r="L11755">
        <v>0</v>
      </c>
      <c r="M11755" t="s">
        <v>17</v>
      </c>
    </row>
    <row r="11756" spans="1:13" hidden="1" x14ac:dyDescent="0.15">
      <c r="A11756" t="s">
        <v>37095</v>
      </c>
      <c r="B11756" t="s">
        <v>37096</v>
      </c>
      <c r="C11756" t="s">
        <v>37097</v>
      </c>
      <c r="D11756" t="s">
        <v>37085</v>
      </c>
      <c r="E11756">
        <v>27</v>
      </c>
      <c r="F11756" t="str">
        <f>HYPERLINK("https://github.com/cgeo/cgeo/issues/13008", "show")</f>
        <v>show</v>
      </c>
      <c r="G11756" t="str">
        <f>HYPERLINK("https://github.com/cgeo/cgeo", "show")</f>
        <v>show</v>
      </c>
      <c r="H11756" t="str">
        <f>HYPERLINK("https://github.com/cgeo/cgeo/releases", "show")</f>
        <v>show</v>
      </c>
      <c r="I11756">
        <v>1</v>
      </c>
      <c r="J11756">
        <v>1</v>
      </c>
      <c r="K11756">
        <v>1</v>
      </c>
      <c r="L11756">
        <v>0</v>
      </c>
      <c r="M11756" t="s">
        <v>59</v>
      </c>
    </row>
    <row r="11757" spans="1:13" hidden="1" x14ac:dyDescent="0.15">
      <c r="A11757" t="s">
        <v>37098</v>
      </c>
      <c r="B11757" t="s">
        <v>18076</v>
      </c>
      <c r="C11757" t="s">
        <v>37099</v>
      </c>
      <c r="D11757" t="s">
        <v>37085</v>
      </c>
      <c r="E11757">
        <v>26</v>
      </c>
      <c r="F11757" t="str">
        <f>HYPERLINK("https://github.com/Anuken/Mindustry/issues/6862", "show")</f>
        <v>show</v>
      </c>
      <c r="G11757" t="str">
        <f>HYPERLINK("https://github.com/Anuken/Mindustry", "show")</f>
        <v>show</v>
      </c>
      <c r="H11757" t="str">
        <f>HYPERLINK("https://github.com/Anuken/Mindustry/releases", "show")</f>
        <v>show</v>
      </c>
      <c r="I11757">
        <v>0</v>
      </c>
      <c r="J11757">
        <v>0</v>
      </c>
      <c r="K11757">
        <v>0</v>
      </c>
      <c r="L11757">
        <v>0</v>
      </c>
      <c r="M11757" t="s">
        <v>43</v>
      </c>
    </row>
    <row r="11758" spans="1:13" hidden="1" x14ac:dyDescent="0.15">
      <c r="A11758" t="s">
        <v>37100</v>
      </c>
      <c r="B11758" t="s">
        <v>37101</v>
      </c>
      <c r="C11758" t="s">
        <v>37102</v>
      </c>
      <c r="D11758" t="s">
        <v>37085</v>
      </c>
      <c r="E11758">
        <v>0</v>
      </c>
      <c r="F11758" t="str">
        <f>HYPERLINK("https://github.com/PojavLauncherTeam/PojavLauncher/issues/3224", "show")</f>
        <v>show</v>
      </c>
      <c r="G11758" t="str">
        <f>HYPERLINK("https://github.com/PojavLauncherTeam/PojavLauncher", "show")</f>
        <v>show</v>
      </c>
      <c r="H11758" t="str">
        <f>HYPERLINK("https://github.com/PojavLauncherTeam/PojavLauncher/releases", "show")</f>
        <v>show</v>
      </c>
      <c r="I11758">
        <v>1</v>
      </c>
      <c r="J11758">
        <v>1</v>
      </c>
      <c r="K11758">
        <v>0</v>
      </c>
      <c r="L11758">
        <v>0</v>
      </c>
      <c r="M11758" t="s">
        <v>48</v>
      </c>
    </row>
    <row r="11759" spans="1:13" x14ac:dyDescent="0.15">
      <c r="A11759" t="s">
        <v>37103</v>
      </c>
      <c r="B11759" t="s">
        <v>37104</v>
      </c>
      <c r="C11759" t="s">
        <v>37105</v>
      </c>
      <c r="D11759" t="s">
        <v>37085</v>
      </c>
      <c r="E11759">
        <v>1</v>
      </c>
      <c r="F11759" t="str">
        <f>HYPERLINK("https://github.com/Anuken/Mindustry/issues/6858", "show")</f>
        <v>show</v>
      </c>
      <c r="G11759" t="str">
        <f>HYPERLINK("https://github.com/Anuken/Mindustry", "show")</f>
        <v>show</v>
      </c>
      <c r="H11759" t="str">
        <f>HYPERLINK("https://github.com/Anuken/Mindustry/releases", "show")</f>
        <v>show</v>
      </c>
      <c r="I11759">
        <v>0</v>
      </c>
      <c r="J11759">
        <v>1</v>
      </c>
      <c r="K11759">
        <v>0</v>
      </c>
      <c r="L11759">
        <v>0</v>
      </c>
      <c r="M11759" t="s">
        <v>139</v>
      </c>
    </row>
    <row r="11760" spans="1:13" hidden="1" x14ac:dyDescent="0.15">
      <c r="A11760" t="s">
        <v>37106</v>
      </c>
      <c r="B11760" t="s">
        <v>37107</v>
      </c>
      <c r="C11760" t="s">
        <v>37108</v>
      </c>
      <c r="D11760" t="s">
        <v>37085</v>
      </c>
      <c r="E11760">
        <v>2</v>
      </c>
      <c r="F11760" t="str">
        <f>HYPERLINK("https://github.com/PojavLauncherTeam/PojavLauncher/issues/3223", "show")</f>
        <v>show</v>
      </c>
      <c r="G11760" t="str">
        <f>HYPERLINK("https://github.com/PojavLauncherTeam/PojavLauncher", "show")</f>
        <v>show</v>
      </c>
      <c r="H11760" t="str">
        <f>HYPERLINK("https://github.com/PojavLauncherTeam/PojavLauncher/releases", "show")</f>
        <v>show</v>
      </c>
      <c r="I11760">
        <v>1</v>
      </c>
      <c r="J11760">
        <v>1</v>
      </c>
      <c r="K11760">
        <v>1</v>
      </c>
      <c r="L11760">
        <v>0</v>
      </c>
      <c r="M11760" t="s">
        <v>59</v>
      </c>
    </row>
    <row r="11761" spans="1:13" hidden="1" x14ac:dyDescent="0.15">
      <c r="A11761" t="s">
        <v>37109</v>
      </c>
      <c r="B11761" t="s">
        <v>37110</v>
      </c>
      <c r="C11761" t="s">
        <v>37111</v>
      </c>
      <c r="D11761" t="s">
        <v>37112</v>
      </c>
      <c r="E11761">
        <v>1</v>
      </c>
      <c r="F11761" t="str">
        <f>HYPERLINK("https://github.com/nextcloud/android/issues/10238", "show")</f>
        <v>show</v>
      </c>
      <c r="G11761" t="str">
        <f>HYPERLINK("https://github.com/nextcloud/android", "show")</f>
        <v>show</v>
      </c>
      <c r="H11761" t="str">
        <f>HYPERLINK("https://github.com/nextcloud/android/releases", "show")</f>
        <v>show</v>
      </c>
      <c r="I11761">
        <v>0</v>
      </c>
      <c r="J11761">
        <v>0</v>
      </c>
      <c r="K11761">
        <v>0</v>
      </c>
      <c r="L11761">
        <v>0</v>
      </c>
      <c r="M11761" t="s">
        <v>43</v>
      </c>
    </row>
    <row r="11762" spans="1:13" hidden="1" x14ac:dyDescent="0.15">
      <c r="A11762" t="s">
        <v>37113</v>
      </c>
      <c r="B11762" t="s">
        <v>37114</v>
      </c>
      <c r="C11762" t="s">
        <v>37115</v>
      </c>
      <c r="D11762" t="s">
        <v>37112</v>
      </c>
      <c r="E11762">
        <v>15</v>
      </c>
      <c r="F11762" t="str">
        <f>HYPERLINK("https://github.com/siavash79/AOSPMods/issues/151", "show")</f>
        <v>show</v>
      </c>
      <c r="G11762" t="str">
        <f>HYPERLINK("https://github.com/siavash79/AOSPMods", "show")</f>
        <v>show</v>
      </c>
      <c r="H11762" t="str">
        <f>HYPERLINK("https://github.com/siavash79/AOSPMods/releases", "show")</f>
        <v>show</v>
      </c>
      <c r="I11762">
        <v>1</v>
      </c>
      <c r="J11762">
        <v>1</v>
      </c>
      <c r="K11762">
        <v>0</v>
      </c>
      <c r="L11762">
        <v>0</v>
      </c>
      <c r="M11762" t="s">
        <v>48</v>
      </c>
    </row>
    <row r="11763" spans="1:13" hidden="1" x14ac:dyDescent="0.15">
      <c r="A11763" t="s">
        <v>37116</v>
      </c>
      <c r="B11763" t="s">
        <v>37117</v>
      </c>
      <c r="C11763" t="s">
        <v>37118</v>
      </c>
      <c r="D11763" t="s">
        <v>37112</v>
      </c>
      <c r="E11763">
        <v>0</v>
      </c>
      <c r="F11763" t="str">
        <f>HYPERLINK("https://github.com/PojavLauncherTeam/PojavLauncher/issues/3219", "show")</f>
        <v>show</v>
      </c>
      <c r="G11763" t="str">
        <f>HYPERLINK("https://github.com/PojavLauncherTeam/PojavLauncher", "show")</f>
        <v>show</v>
      </c>
      <c r="H11763" t="str">
        <f>HYPERLINK("https://github.com/PojavLauncherTeam/PojavLauncher/releases", "show")</f>
        <v>show</v>
      </c>
      <c r="I11763">
        <v>0</v>
      </c>
      <c r="J11763">
        <v>0</v>
      </c>
      <c r="K11763">
        <v>0</v>
      </c>
      <c r="L11763">
        <v>1</v>
      </c>
      <c r="M11763" t="s">
        <v>581</v>
      </c>
    </row>
    <row r="11764" spans="1:13" hidden="1" x14ac:dyDescent="0.15">
      <c r="A11764" t="s">
        <v>37119</v>
      </c>
      <c r="B11764" t="s">
        <v>37120</v>
      </c>
      <c r="C11764" t="s">
        <v>37121</v>
      </c>
      <c r="D11764" t="s">
        <v>37112</v>
      </c>
      <c r="E11764">
        <v>0</v>
      </c>
      <c r="F11764" t="str">
        <f>HYPERLINK("https://github.com/Anuken/Mindustry/issues/6842", "show")</f>
        <v>show</v>
      </c>
      <c r="G11764" t="str">
        <f>HYPERLINK("https://github.com/Anuken/Mindustry", "show")</f>
        <v>show</v>
      </c>
      <c r="H11764" t="str">
        <f>HYPERLINK("https://github.com/Anuken/Mindustry/releases", "show")</f>
        <v>show</v>
      </c>
      <c r="I11764">
        <v>0</v>
      </c>
      <c r="J11764">
        <v>1</v>
      </c>
      <c r="K11764">
        <v>0</v>
      </c>
      <c r="L11764">
        <v>1</v>
      </c>
      <c r="M11764" t="s">
        <v>1732</v>
      </c>
    </row>
    <row r="11765" spans="1:13" hidden="1" x14ac:dyDescent="0.15">
      <c r="A11765" t="s">
        <v>37122</v>
      </c>
      <c r="B11765" t="s">
        <v>37123</v>
      </c>
      <c r="C11765" t="s">
        <v>37124</v>
      </c>
      <c r="D11765" t="s">
        <v>37125</v>
      </c>
      <c r="E11765">
        <v>1</v>
      </c>
      <c r="F11765" t="str">
        <f>HYPERLINK("https://github.com/nextcloud/android/issues/10227", "show")</f>
        <v>show</v>
      </c>
      <c r="G11765" t="str">
        <f>HYPERLINK("https://github.com/nextcloud/android", "show")</f>
        <v>show</v>
      </c>
      <c r="H11765" t="str">
        <f>HYPERLINK("https://github.com/nextcloud/android/releases", "show")</f>
        <v>show</v>
      </c>
      <c r="I11765">
        <v>1</v>
      </c>
      <c r="J11765">
        <v>0</v>
      </c>
      <c r="K11765">
        <v>1</v>
      </c>
      <c r="L11765">
        <v>0</v>
      </c>
      <c r="M11765" t="s">
        <v>64</v>
      </c>
    </row>
    <row r="11766" spans="1:13" hidden="1" x14ac:dyDescent="0.15">
      <c r="A11766" t="s">
        <v>37126</v>
      </c>
      <c r="B11766" t="s">
        <v>37127</v>
      </c>
      <c r="C11766" t="s">
        <v>37128</v>
      </c>
      <c r="D11766" t="s">
        <v>37125</v>
      </c>
      <c r="E11766">
        <v>2</v>
      </c>
      <c r="F11766" t="str">
        <f>HYPERLINK("https://github.com/crdroidandroid/android_libcore/issues/2", "show")</f>
        <v>show</v>
      </c>
      <c r="G11766" t="str">
        <f>HYPERLINK("https://github.com/crdroidandroid/android_libcore", "show")</f>
        <v>show</v>
      </c>
      <c r="H11766" t="str">
        <f>HYPERLINK("https://github.com/crdroidandroid/android_libcore/releases", "show")</f>
        <v>show</v>
      </c>
      <c r="I11766">
        <v>0</v>
      </c>
      <c r="J11766">
        <v>0</v>
      </c>
      <c r="K11766">
        <v>0</v>
      </c>
      <c r="L11766">
        <v>0</v>
      </c>
      <c r="M11766" t="s">
        <v>43</v>
      </c>
    </row>
    <row r="11767" spans="1:13" hidden="1" x14ac:dyDescent="0.15">
      <c r="A11767" t="s">
        <v>37129</v>
      </c>
      <c r="B11767" t="s">
        <v>37130</v>
      </c>
      <c r="D11767" t="s">
        <v>37125</v>
      </c>
      <c r="E11767">
        <v>0</v>
      </c>
      <c r="F11767" t="str">
        <f>HYPERLINK("https://github.com/PhenoApps/Field-Book/issues/427", "show")</f>
        <v>show</v>
      </c>
      <c r="G11767" t="str">
        <f>HYPERLINK("https://github.com/PhenoApps/Field-Book", "show")</f>
        <v>show</v>
      </c>
      <c r="H11767" t="str">
        <f>HYPERLINK("https://github.com/PhenoApps/Field-Book/releases", "show")</f>
        <v>show</v>
      </c>
      <c r="I11767">
        <v>0</v>
      </c>
      <c r="J11767">
        <v>0</v>
      </c>
      <c r="K11767">
        <v>1</v>
      </c>
      <c r="L11767">
        <v>0</v>
      </c>
      <c r="M11767" t="s">
        <v>122</v>
      </c>
    </row>
    <row r="11768" spans="1:13" hidden="1" x14ac:dyDescent="0.15">
      <c r="A11768" t="s">
        <v>37131</v>
      </c>
      <c r="B11768" t="s">
        <v>37132</v>
      </c>
      <c r="D11768" t="s">
        <v>37125</v>
      </c>
      <c r="E11768">
        <v>0</v>
      </c>
      <c r="F11768" t="str">
        <f>HYPERLINK("https://github.com/PhenoApps/Field-Book/issues/426", "show")</f>
        <v>show</v>
      </c>
      <c r="G11768" t="str">
        <f>HYPERLINK("https://github.com/PhenoApps/Field-Book", "show")</f>
        <v>show</v>
      </c>
      <c r="H11768" t="str">
        <f>HYPERLINK("https://github.com/PhenoApps/Field-Book/releases", "show")</f>
        <v>show</v>
      </c>
      <c r="I11768">
        <v>1</v>
      </c>
      <c r="J11768">
        <v>0</v>
      </c>
      <c r="K11768">
        <v>0</v>
      </c>
      <c r="L11768">
        <v>0</v>
      </c>
      <c r="M11768" t="s">
        <v>17</v>
      </c>
    </row>
    <row r="11769" spans="1:13" hidden="1" x14ac:dyDescent="0.15">
      <c r="A11769" t="s">
        <v>37133</v>
      </c>
      <c r="B11769" t="s">
        <v>37134</v>
      </c>
      <c r="C11769" t="s">
        <v>37135</v>
      </c>
      <c r="D11769" t="s">
        <v>37125</v>
      </c>
      <c r="E11769">
        <v>0</v>
      </c>
      <c r="F11769" t="str">
        <f>HYPERLINK("https://github.com/Anuken/Mindustry/issues/6813", "show")</f>
        <v>show</v>
      </c>
      <c r="G11769" t="str">
        <f>HYPERLINK("https://github.com/Anuken/Mindustry", "show")</f>
        <v>show</v>
      </c>
      <c r="H11769" t="str">
        <f>HYPERLINK("https://github.com/Anuken/Mindustry/releases", "show")</f>
        <v>show</v>
      </c>
      <c r="I11769">
        <v>0</v>
      </c>
      <c r="J11769">
        <v>0</v>
      </c>
      <c r="K11769">
        <v>0</v>
      </c>
      <c r="L11769">
        <v>0</v>
      </c>
      <c r="M11769" t="s">
        <v>43</v>
      </c>
    </row>
    <row r="11770" spans="1:13" hidden="1" x14ac:dyDescent="0.15">
      <c r="A11770" t="s">
        <v>37136</v>
      </c>
      <c r="B11770" t="s">
        <v>37137</v>
      </c>
      <c r="C11770" t="s">
        <v>37138</v>
      </c>
      <c r="D11770" t="s">
        <v>37139</v>
      </c>
      <c r="E11770">
        <v>9</v>
      </c>
      <c r="F11770" t="str">
        <f>HYPERLINK("https://github.com/OpenTracksApp/OpenTracks/issues/1224", "show")</f>
        <v>show</v>
      </c>
      <c r="G11770" t="str">
        <f>HYPERLINK("https://github.com/OpenTracksApp/OpenTracks", "show")</f>
        <v>show</v>
      </c>
      <c r="H11770" t="str">
        <f>HYPERLINK("https://github.com/OpenTracksApp/OpenTracks/releases", "show")</f>
        <v>show</v>
      </c>
      <c r="I11770">
        <v>1</v>
      </c>
      <c r="J11770">
        <v>0</v>
      </c>
      <c r="K11770">
        <v>1</v>
      </c>
      <c r="L11770">
        <v>0</v>
      </c>
      <c r="M11770" t="s">
        <v>64</v>
      </c>
    </row>
    <row r="11771" spans="1:13" hidden="1" x14ac:dyDescent="0.15">
      <c r="A11771" t="s">
        <v>37140</v>
      </c>
      <c r="B11771" t="s">
        <v>37141</v>
      </c>
      <c r="C11771" t="s">
        <v>37142</v>
      </c>
      <c r="D11771" t="s">
        <v>37139</v>
      </c>
      <c r="E11771">
        <v>444</v>
      </c>
      <c r="F11771" t="str">
        <f>HYPERLINK("https://github.com/cgeo/cgeo/issues/12999", "show")</f>
        <v>show</v>
      </c>
      <c r="G11771" t="str">
        <f>HYPERLINK("https://github.com/cgeo/cgeo", "show")</f>
        <v>show</v>
      </c>
      <c r="H11771" t="str">
        <f>HYPERLINK("https://github.com/cgeo/cgeo/releases", "show")</f>
        <v>show</v>
      </c>
      <c r="I11771">
        <v>1</v>
      </c>
      <c r="J11771">
        <v>1</v>
      </c>
      <c r="K11771">
        <v>1</v>
      </c>
      <c r="L11771">
        <v>0</v>
      </c>
      <c r="M11771" t="s">
        <v>59</v>
      </c>
    </row>
    <row r="11772" spans="1:13" hidden="1" x14ac:dyDescent="0.15">
      <c r="A11772" t="s">
        <v>37143</v>
      </c>
      <c r="B11772" t="s">
        <v>37144</v>
      </c>
      <c r="C11772" t="s">
        <v>37145</v>
      </c>
      <c r="D11772" t="s">
        <v>37139</v>
      </c>
      <c r="E11772">
        <v>49</v>
      </c>
      <c r="F11772" t="str">
        <f>HYPERLINK("https://github.com/facebook/react-native/issues/33803", "show")</f>
        <v>show</v>
      </c>
      <c r="G11772" t="str">
        <f>HYPERLINK("https://github.com/facebook/react-native", "show")</f>
        <v>show</v>
      </c>
      <c r="H11772" t="str">
        <f>HYPERLINK("https://github.com/facebook/react-native/releases", "show")</f>
        <v>show</v>
      </c>
      <c r="I11772">
        <v>1</v>
      </c>
      <c r="J11772">
        <v>0</v>
      </c>
      <c r="K11772">
        <v>0</v>
      </c>
      <c r="L11772">
        <v>1</v>
      </c>
      <c r="M11772" t="s">
        <v>29</v>
      </c>
    </row>
    <row r="11773" spans="1:13" hidden="1" x14ac:dyDescent="0.15">
      <c r="A11773" t="s">
        <v>37146</v>
      </c>
      <c r="B11773" t="s">
        <v>37147</v>
      </c>
      <c r="C11773" t="s">
        <v>37148</v>
      </c>
      <c r="D11773" t="s">
        <v>37139</v>
      </c>
      <c r="E11773">
        <v>13</v>
      </c>
      <c r="F11773" t="str">
        <f>HYPERLINK("https://github.com/nextcloud/android/issues/10226", "show")</f>
        <v>show</v>
      </c>
      <c r="G11773" t="str">
        <f>HYPERLINK("https://github.com/nextcloud/android", "show")</f>
        <v>show</v>
      </c>
      <c r="H11773" t="str">
        <f>HYPERLINK("https://github.com/nextcloud/android/releases", "show")</f>
        <v>show</v>
      </c>
      <c r="I11773">
        <v>0</v>
      </c>
      <c r="J11773">
        <v>0</v>
      </c>
      <c r="K11773">
        <v>1</v>
      </c>
      <c r="L11773">
        <v>0</v>
      </c>
      <c r="M11773" t="s">
        <v>122</v>
      </c>
    </row>
    <row r="11774" spans="1:13" hidden="1" x14ac:dyDescent="0.15">
      <c r="A11774" t="s">
        <v>37149</v>
      </c>
      <c r="B11774" t="s">
        <v>37150</v>
      </c>
      <c r="C11774" t="s">
        <v>37151</v>
      </c>
      <c r="D11774" t="s">
        <v>37139</v>
      </c>
      <c r="E11774">
        <v>0</v>
      </c>
      <c r="F11774" t="str">
        <f>HYPERLINK("https://github.com/DIT113-V22/group-14/issues/89", "show")</f>
        <v>show</v>
      </c>
      <c r="G11774" t="str">
        <f>HYPERLINK("https://github.com/DIT113-V22/group-14", "show")</f>
        <v>show</v>
      </c>
      <c r="H11774" t="str">
        <f>HYPERLINK("https://github.com/DIT113-V22/group-14/releases", "show")</f>
        <v>show</v>
      </c>
      <c r="I11774">
        <v>1</v>
      </c>
      <c r="J11774">
        <v>0</v>
      </c>
      <c r="K11774">
        <v>0</v>
      </c>
      <c r="L11774">
        <v>0</v>
      </c>
      <c r="M11774" t="s">
        <v>17</v>
      </c>
    </row>
    <row r="11775" spans="1:13" hidden="1" x14ac:dyDescent="0.15">
      <c r="A11775" t="s">
        <v>37152</v>
      </c>
      <c r="B11775" t="s">
        <v>37153</v>
      </c>
      <c r="C11775" t="s">
        <v>37154</v>
      </c>
      <c r="D11775" t="s">
        <v>37139</v>
      </c>
      <c r="E11775">
        <v>0</v>
      </c>
      <c r="F11775" t="str">
        <f>HYPERLINK("https://github.com/Anuken/Mindustry/issues/6807", "show")</f>
        <v>show</v>
      </c>
      <c r="G11775" t="str">
        <f>HYPERLINK("https://github.com/Anuken/Mindustry", "show")</f>
        <v>show</v>
      </c>
      <c r="H11775" t="str">
        <f>HYPERLINK("https://github.com/Anuken/Mindustry/releases", "show")</f>
        <v>show</v>
      </c>
      <c r="I11775">
        <v>1</v>
      </c>
      <c r="J11775">
        <v>1</v>
      </c>
      <c r="K11775">
        <v>0</v>
      </c>
      <c r="L11775">
        <v>1</v>
      </c>
      <c r="M11775" t="s">
        <v>1894</v>
      </c>
    </row>
    <row r="11776" spans="1:13" hidden="1" x14ac:dyDescent="0.15">
      <c r="A11776" t="s">
        <v>37155</v>
      </c>
      <c r="B11776" t="s">
        <v>37156</v>
      </c>
      <c r="C11776" t="s">
        <v>37157</v>
      </c>
      <c r="D11776" t="s">
        <v>37139</v>
      </c>
      <c r="E11776">
        <v>0</v>
      </c>
      <c r="F11776" t="str">
        <f>HYPERLINK("https://github.com/androidx/media/issues/75", "show")</f>
        <v>show</v>
      </c>
      <c r="G11776" t="str">
        <f>HYPERLINK("https://github.com/androidx/media", "show")</f>
        <v>show</v>
      </c>
      <c r="H11776" t="str">
        <f>HYPERLINK("https://github.com/androidx/media/releases", "show")</f>
        <v>show</v>
      </c>
      <c r="I11776">
        <v>1</v>
      </c>
      <c r="J11776">
        <v>0</v>
      </c>
      <c r="K11776">
        <v>1</v>
      </c>
      <c r="L11776">
        <v>0</v>
      </c>
      <c r="M11776" t="s">
        <v>64</v>
      </c>
    </row>
    <row r="11777" spans="1:13" hidden="1" x14ac:dyDescent="0.15">
      <c r="A11777" t="s">
        <v>37158</v>
      </c>
      <c r="B11777" t="s">
        <v>37159</v>
      </c>
      <c r="C11777" t="s">
        <v>37160</v>
      </c>
      <c r="D11777" t="s">
        <v>37139</v>
      </c>
      <c r="E11777">
        <v>0</v>
      </c>
      <c r="F11777" t="str">
        <f>HYPERLINK("https://github.com/PojavLauncherTeam/PojavLauncher/issues/3214", "show")</f>
        <v>show</v>
      </c>
      <c r="G11777" t="str">
        <f>HYPERLINK("https://github.com/PojavLauncherTeam/PojavLauncher", "show")</f>
        <v>show</v>
      </c>
      <c r="H11777" t="str">
        <f>HYPERLINK("https://github.com/PojavLauncherTeam/PojavLauncher/releases", "show")</f>
        <v>show</v>
      </c>
      <c r="I11777">
        <v>1</v>
      </c>
      <c r="J11777">
        <v>1</v>
      </c>
      <c r="K11777">
        <v>1</v>
      </c>
      <c r="L11777">
        <v>0</v>
      </c>
      <c r="M11777" t="s">
        <v>59</v>
      </c>
    </row>
    <row r="11778" spans="1:13" hidden="1" x14ac:dyDescent="0.15">
      <c r="A11778" t="s">
        <v>37161</v>
      </c>
      <c r="B11778" t="s">
        <v>37162</v>
      </c>
      <c r="C11778" t="s">
        <v>37163</v>
      </c>
      <c r="D11778" t="s">
        <v>37139</v>
      </c>
      <c r="E11778">
        <v>5</v>
      </c>
      <c r="F11778" t="str">
        <f>HYPERLINK("https://github.com/oliexdev/openScale/issues/856", "show")</f>
        <v>show</v>
      </c>
      <c r="G11778" t="str">
        <f>HYPERLINK("https://github.com/oliexdev/openScale", "show")</f>
        <v>show</v>
      </c>
      <c r="H11778" t="str">
        <f>HYPERLINK("https://github.com/oliexdev/openScale/releases", "show")</f>
        <v>show</v>
      </c>
      <c r="I11778">
        <v>1</v>
      </c>
      <c r="J11778">
        <v>0</v>
      </c>
      <c r="K11778">
        <v>0</v>
      </c>
      <c r="L11778">
        <v>0</v>
      </c>
      <c r="M11778" t="s">
        <v>17</v>
      </c>
    </row>
    <row r="11779" spans="1:13" hidden="1" x14ac:dyDescent="0.15">
      <c r="A11779" t="s">
        <v>37164</v>
      </c>
      <c r="B11779" t="s">
        <v>37165</v>
      </c>
      <c r="C11779" t="s">
        <v>37166</v>
      </c>
      <c r="D11779" t="s">
        <v>37139</v>
      </c>
      <c r="E11779">
        <v>4</v>
      </c>
      <c r="F11779" t="str">
        <f>HYPERLINK("https://github.com/TeamNewPipe/NewPipe/issues/8383", "show")</f>
        <v>show</v>
      </c>
      <c r="G11779" t="str">
        <f>HYPERLINK("https://github.com/TeamNewPipe/NewPipe", "show")</f>
        <v>show</v>
      </c>
      <c r="H11779" t="str">
        <f>HYPERLINK("https://github.com/TeamNewPipe/NewPipe/releases", "show")</f>
        <v>show</v>
      </c>
      <c r="I11779">
        <v>1</v>
      </c>
      <c r="J11779">
        <v>1</v>
      </c>
      <c r="K11779">
        <v>1</v>
      </c>
      <c r="L11779">
        <v>0</v>
      </c>
      <c r="M11779" t="s">
        <v>59</v>
      </c>
    </row>
    <row r="11780" spans="1:13" hidden="1" x14ac:dyDescent="0.15">
      <c r="A11780" t="s">
        <v>37167</v>
      </c>
      <c r="B11780" t="s">
        <v>37168</v>
      </c>
      <c r="C11780" t="s">
        <v>37169</v>
      </c>
      <c r="D11780" t="s">
        <v>37139</v>
      </c>
      <c r="E11780">
        <v>1</v>
      </c>
      <c r="F11780" t="str">
        <f>HYPERLINK("https://github.com/okta/okta-oidc-android/issues/315", "show")</f>
        <v>show</v>
      </c>
      <c r="G11780" t="str">
        <f>HYPERLINK("https://github.com/okta/okta-oidc-android", "show")</f>
        <v>show</v>
      </c>
      <c r="H11780" t="str">
        <f>HYPERLINK("https://github.com/okta/okta-oidc-android/releases", "show")</f>
        <v>show</v>
      </c>
      <c r="I11780">
        <v>1</v>
      </c>
      <c r="J11780">
        <v>0</v>
      </c>
      <c r="K11780">
        <v>1</v>
      </c>
      <c r="L11780">
        <v>0</v>
      </c>
      <c r="M11780" t="s">
        <v>64</v>
      </c>
    </row>
    <row r="11781" spans="1:13" hidden="1" x14ac:dyDescent="0.15">
      <c r="A11781" t="s">
        <v>37170</v>
      </c>
      <c r="B11781" t="s">
        <v>37171</v>
      </c>
      <c r="C11781" t="s">
        <v>37172</v>
      </c>
      <c r="D11781" t="s">
        <v>37139</v>
      </c>
      <c r="E11781">
        <v>0</v>
      </c>
      <c r="F11781" t="str">
        <f>HYPERLINK("https://github.com/facebook/react-native/issues/33795", "show")</f>
        <v>show</v>
      </c>
      <c r="G11781" t="str">
        <f>HYPERLINK("https://github.com/facebook/react-native", "show")</f>
        <v>show</v>
      </c>
      <c r="H11781" t="str">
        <f>HYPERLINK("https://github.com/facebook/react-native/releases", "show")</f>
        <v>show</v>
      </c>
      <c r="I11781">
        <v>1</v>
      </c>
      <c r="J11781">
        <v>0</v>
      </c>
      <c r="K11781">
        <v>1</v>
      </c>
      <c r="L11781">
        <v>0</v>
      </c>
      <c r="M11781" t="s">
        <v>64</v>
      </c>
    </row>
    <row r="11782" spans="1:13" hidden="1" x14ac:dyDescent="0.15">
      <c r="A11782" t="s">
        <v>37173</v>
      </c>
      <c r="B11782" t="s">
        <v>37174</v>
      </c>
      <c r="C11782" t="s">
        <v>37175</v>
      </c>
      <c r="D11782" t="s">
        <v>37176</v>
      </c>
      <c r="E11782">
        <v>8</v>
      </c>
      <c r="F11782" t="str">
        <f>HYPERLINK("https://github.com/deepjavalibrary/djl/issues/1637", "show")</f>
        <v>show</v>
      </c>
      <c r="G11782" t="str">
        <f>HYPERLINK("https://github.com/deepjavalibrary/djl", "show")</f>
        <v>show</v>
      </c>
      <c r="H11782" t="str">
        <f>HYPERLINK("https://github.com/deepjavalibrary/djl/releases", "show")</f>
        <v>show</v>
      </c>
      <c r="I11782">
        <v>1</v>
      </c>
      <c r="J11782">
        <v>0</v>
      </c>
      <c r="K11782">
        <v>0</v>
      </c>
      <c r="L11782">
        <v>0</v>
      </c>
      <c r="M11782" t="s">
        <v>17</v>
      </c>
    </row>
    <row r="11783" spans="1:13" hidden="1" x14ac:dyDescent="0.15">
      <c r="A11783" t="s">
        <v>37177</v>
      </c>
      <c r="B11783" t="s">
        <v>37178</v>
      </c>
      <c r="C11783" t="s">
        <v>37179</v>
      </c>
      <c r="D11783" t="s">
        <v>37176</v>
      </c>
      <c r="E11783">
        <v>100</v>
      </c>
      <c r="F11783" t="str">
        <f>HYPERLINK("https://github.com/OTTAA-Project/OTTAAProject/issues/127", "show")</f>
        <v>show</v>
      </c>
      <c r="G11783" t="str">
        <f>HYPERLINK("https://github.com/OTTAA-Project/OTTAAProject", "show")</f>
        <v>show</v>
      </c>
      <c r="H11783" t="str">
        <f>HYPERLINK("https://github.com/OTTAA-Project/OTTAAProject/releases", "show")</f>
        <v>show</v>
      </c>
      <c r="I11783">
        <v>1</v>
      </c>
      <c r="J11783">
        <v>0</v>
      </c>
      <c r="K11783">
        <v>0</v>
      </c>
      <c r="L11783">
        <v>0</v>
      </c>
      <c r="M11783" t="s">
        <v>17</v>
      </c>
    </row>
    <row r="11784" spans="1:13" hidden="1" x14ac:dyDescent="0.15">
      <c r="A11784" t="s">
        <v>37180</v>
      </c>
      <c r="B11784" t="s">
        <v>37181</v>
      </c>
      <c r="C11784" t="s">
        <v>37182</v>
      </c>
      <c r="D11784" t="s">
        <v>37176</v>
      </c>
      <c r="E11784">
        <v>140</v>
      </c>
      <c r="F11784" t="str">
        <f>HYPERLINK("https://github.com/OTTAA-Project/OTTAAProject/issues/126", "show")</f>
        <v>show</v>
      </c>
      <c r="G11784" t="str">
        <f>HYPERLINK("https://github.com/OTTAA-Project/OTTAAProject", "show")</f>
        <v>show</v>
      </c>
      <c r="H11784" t="str">
        <f>HYPERLINK("https://github.com/OTTAA-Project/OTTAAProject/releases", "show")</f>
        <v>show</v>
      </c>
      <c r="I11784">
        <v>0</v>
      </c>
      <c r="J11784">
        <v>0</v>
      </c>
      <c r="K11784">
        <v>0</v>
      </c>
      <c r="L11784">
        <v>0</v>
      </c>
      <c r="M11784" t="s">
        <v>43</v>
      </c>
    </row>
    <row r="11785" spans="1:13" hidden="1" x14ac:dyDescent="0.15">
      <c r="A11785" t="s">
        <v>37183</v>
      </c>
      <c r="B11785" t="s">
        <v>37184</v>
      </c>
      <c r="C11785" t="s">
        <v>37185</v>
      </c>
      <c r="D11785" t="s">
        <v>37176</v>
      </c>
      <c r="E11785">
        <v>0</v>
      </c>
      <c r="F11785" t="str">
        <f>HYPERLINK("https://github.com/Anuken/Mindustry/issues/6797", "show")</f>
        <v>show</v>
      </c>
      <c r="G11785" t="str">
        <f t="shared" ref="G11785:G11790" si="40">HYPERLINK("https://github.com/Anuken/Mindustry", "show")</f>
        <v>show</v>
      </c>
      <c r="H11785" t="str">
        <f t="shared" ref="H11785:H11790" si="41">HYPERLINK("https://github.com/Anuken/Mindustry/releases", "show")</f>
        <v>show</v>
      </c>
      <c r="I11785">
        <v>1</v>
      </c>
      <c r="J11785">
        <v>1</v>
      </c>
      <c r="K11785">
        <v>0</v>
      </c>
      <c r="L11785">
        <v>1</v>
      </c>
      <c r="M11785" t="s">
        <v>1894</v>
      </c>
    </row>
    <row r="11786" spans="1:13" hidden="1" x14ac:dyDescent="0.15">
      <c r="A11786" t="s">
        <v>37186</v>
      </c>
      <c r="B11786" t="s">
        <v>37187</v>
      </c>
      <c r="C11786" t="s">
        <v>37188</v>
      </c>
      <c r="D11786" t="s">
        <v>37176</v>
      </c>
      <c r="E11786">
        <v>0</v>
      </c>
      <c r="F11786" t="str">
        <f>HYPERLINK("https://github.com/Anuken/Mindustry/issues/6796", "show")</f>
        <v>show</v>
      </c>
      <c r="G11786" t="str">
        <f t="shared" si="40"/>
        <v>show</v>
      </c>
      <c r="H11786" t="str">
        <f t="shared" si="41"/>
        <v>show</v>
      </c>
      <c r="I11786">
        <v>1</v>
      </c>
      <c r="J11786">
        <v>1</v>
      </c>
      <c r="K11786">
        <v>0</v>
      </c>
      <c r="L11786">
        <v>0</v>
      </c>
      <c r="M11786" t="s">
        <v>48</v>
      </c>
    </row>
    <row r="11787" spans="1:13" hidden="1" x14ac:dyDescent="0.15">
      <c r="A11787" t="s">
        <v>37189</v>
      </c>
      <c r="B11787" t="s">
        <v>37190</v>
      </c>
      <c r="C11787" t="s">
        <v>37191</v>
      </c>
      <c r="D11787" t="s">
        <v>37176</v>
      </c>
      <c r="E11787">
        <v>0</v>
      </c>
      <c r="F11787" t="str">
        <f>HYPERLINK("https://github.com/Anuken/Mindustry/issues/6792", "show")</f>
        <v>show</v>
      </c>
      <c r="G11787" t="str">
        <f t="shared" si="40"/>
        <v>show</v>
      </c>
      <c r="H11787" t="str">
        <f t="shared" si="41"/>
        <v>show</v>
      </c>
      <c r="I11787">
        <v>1</v>
      </c>
      <c r="J11787">
        <v>1</v>
      </c>
      <c r="K11787">
        <v>0</v>
      </c>
      <c r="L11787">
        <v>0</v>
      </c>
      <c r="M11787" t="s">
        <v>48</v>
      </c>
    </row>
    <row r="11788" spans="1:13" hidden="1" x14ac:dyDescent="0.15">
      <c r="A11788" t="s">
        <v>37192</v>
      </c>
      <c r="B11788" t="s">
        <v>37193</v>
      </c>
      <c r="C11788" t="s">
        <v>37194</v>
      </c>
      <c r="D11788" t="s">
        <v>37195</v>
      </c>
      <c r="E11788">
        <v>0</v>
      </c>
      <c r="F11788" t="str">
        <f>HYPERLINK("https://github.com/Anuken/Mindustry/issues/6789", "show")</f>
        <v>show</v>
      </c>
      <c r="G11788" t="str">
        <f t="shared" si="40"/>
        <v>show</v>
      </c>
      <c r="H11788" t="str">
        <f t="shared" si="41"/>
        <v>show</v>
      </c>
      <c r="I11788">
        <v>1</v>
      </c>
      <c r="J11788">
        <v>1</v>
      </c>
      <c r="K11788">
        <v>1</v>
      </c>
      <c r="L11788">
        <v>0</v>
      </c>
      <c r="M11788" t="s">
        <v>59</v>
      </c>
    </row>
    <row r="11789" spans="1:13" x14ac:dyDescent="0.15">
      <c r="A11789" t="s">
        <v>37196</v>
      </c>
      <c r="B11789" t="s">
        <v>37197</v>
      </c>
      <c r="C11789" t="s">
        <v>37198</v>
      </c>
      <c r="D11789" t="s">
        <v>37195</v>
      </c>
      <c r="E11789">
        <v>0</v>
      </c>
      <c r="F11789" t="str">
        <f>HYPERLINK("https://github.com/Anuken/Mindustry/issues/6786", "show")</f>
        <v>show</v>
      </c>
      <c r="G11789" t="str">
        <f t="shared" si="40"/>
        <v>show</v>
      </c>
      <c r="H11789" t="str">
        <f t="shared" si="41"/>
        <v>show</v>
      </c>
      <c r="I11789">
        <v>0</v>
      </c>
      <c r="J11789">
        <v>1</v>
      </c>
      <c r="K11789">
        <v>0</v>
      </c>
      <c r="L11789">
        <v>0</v>
      </c>
      <c r="M11789" t="s">
        <v>139</v>
      </c>
    </row>
    <row r="11790" spans="1:13" hidden="1" x14ac:dyDescent="0.15">
      <c r="A11790" t="s">
        <v>37199</v>
      </c>
      <c r="B11790" t="s">
        <v>37200</v>
      </c>
      <c r="C11790" t="s">
        <v>37201</v>
      </c>
      <c r="D11790" t="s">
        <v>37195</v>
      </c>
      <c r="E11790">
        <v>0</v>
      </c>
      <c r="F11790" t="str">
        <f>HYPERLINK("https://github.com/Anuken/Mindustry/issues/6781", "show")</f>
        <v>show</v>
      </c>
      <c r="G11790" t="str">
        <f t="shared" si="40"/>
        <v>show</v>
      </c>
      <c r="H11790" t="str">
        <f t="shared" si="41"/>
        <v>show</v>
      </c>
      <c r="I11790">
        <v>1</v>
      </c>
      <c r="J11790">
        <v>1</v>
      </c>
      <c r="K11790">
        <v>1</v>
      </c>
      <c r="L11790">
        <v>1</v>
      </c>
      <c r="M11790" t="s">
        <v>2875</v>
      </c>
    </row>
    <row r="11791" spans="1:13" hidden="1" x14ac:dyDescent="0.15">
      <c r="A11791" t="s">
        <v>37202</v>
      </c>
      <c r="B11791" t="s">
        <v>37203</v>
      </c>
      <c r="C11791" t="s">
        <v>37204</v>
      </c>
      <c r="D11791" t="s">
        <v>37195</v>
      </c>
      <c r="E11791">
        <v>0</v>
      </c>
      <c r="F11791" t="str">
        <f>HYPERLINK("https://github.com/nextcloud/android/issues/10205", "show")</f>
        <v>show</v>
      </c>
      <c r="G11791" t="str">
        <f>HYPERLINK("https://github.com/nextcloud/android", "show")</f>
        <v>show</v>
      </c>
      <c r="H11791" t="str">
        <f>HYPERLINK("https://github.com/nextcloud/android/releases", "show")</f>
        <v>show</v>
      </c>
      <c r="I11791">
        <v>1</v>
      </c>
      <c r="J11791">
        <v>0</v>
      </c>
      <c r="K11791">
        <v>1</v>
      </c>
      <c r="L11791">
        <v>0</v>
      </c>
      <c r="M11791" t="s">
        <v>64</v>
      </c>
    </row>
    <row r="11792" spans="1:13" hidden="1" x14ac:dyDescent="0.15">
      <c r="A11792" t="s">
        <v>37205</v>
      </c>
      <c r="B11792" t="s">
        <v>37206</v>
      </c>
      <c r="C11792" t="s">
        <v>37207</v>
      </c>
      <c r="D11792" t="s">
        <v>37195</v>
      </c>
      <c r="E11792">
        <v>1</v>
      </c>
      <c r="F11792" t="str">
        <f>HYPERLINK("https://github.com/nextcloud/android/issues/10204", "show")</f>
        <v>show</v>
      </c>
      <c r="G11792" t="str">
        <f>HYPERLINK("https://github.com/nextcloud/android", "show")</f>
        <v>show</v>
      </c>
      <c r="H11792" t="str">
        <f>HYPERLINK("https://github.com/nextcloud/android/releases", "show")</f>
        <v>show</v>
      </c>
      <c r="I11792">
        <v>0</v>
      </c>
      <c r="J11792">
        <v>0</v>
      </c>
      <c r="K11792">
        <v>1</v>
      </c>
      <c r="L11792">
        <v>0</v>
      </c>
      <c r="M11792" t="s">
        <v>122</v>
      </c>
    </row>
    <row r="11793" spans="1:13" hidden="1" x14ac:dyDescent="0.15">
      <c r="A11793" t="s">
        <v>37208</v>
      </c>
      <c r="B11793" t="s">
        <v>37209</v>
      </c>
      <c r="C11793" t="s">
        <v>37210</v>
      </c>
      <c r="D11793" t="s">
        <v>37195</v>
      </c>
      <c r="E11793">
        <v>0</v>
      </c>
      <c r="F11793" t="str">
        <f>HYPERLINK("https://github.com/Anuken/Mindustry/issues/6777", "show")</f>
        <v>show</v>
      </c>
      <c r="G11793" t="str">
        <f>HYPERLINK("https://github.com/Anuken/Mindustry", "show")</f>
        <v>show</v>
      </c>
      <c r="H11793" t="str">
        <f>HYPERLINK("https://github.com/Anuken/Mindustry/releases", "show")</f>
        <v>show</v>
      </c>
      <c r="I11793">
        <v>1</v>
      </c>
      <c r="J11793">
        <v>1</v>
      </c>
      <c r="K11793">
        <v>0</v>
      </c>
      <c r="L11793">
        <v>0</v>
      </c>
      <c r="M11793" t="s">
        <v>48</v>
      </c>
    </row>
    <row r="11794" spans="1:13" x14ac:dyDescent="0.15">
      <c r="A11794" t="s">
        <v>37211</v>
      </c>
      <c r="B11794" t="s">
        <v>37212</v>
      </c>
      <c r="C11794" t="s">
        <v>37213</v>
      </c>
      <c r="D11794" t="s">
        <v>37195</v>
      </c>
      <c r="E11794">
        <v>15</v>
      </c>
      <c r="F11794" t="str">
        <f>HYPERLINK("https://github.com/PojavLauncherTeam/PojavLauncher/issues/3207", "show")</f>
        <v>show</v>
      </c>
      <c r="G11794" t="str">
        <f>HYPERLINK("https://github.com/PojavLauncherTeam/PojavLauncher", "show")</f>
        <v>show</v>
      </c>
      <c r="H11794" t="str">
        <f>HYPERLINK("https://github.com/PojavLauncherTeam/PojavLauncher/releases", "show")</f>
        <v>show</v>
      </c>
      <c r="I11794">
        <v>0</v>
      </c>
      <c r="J11794">
        <v>1</v>
      </c>
      <c r="K11794">
        <v>0</v>
      </c>
      <c r="L11794">
        <v>0</v>
      </c>
      <c r="M11794" t="s">
        <v>139</v>
      </c>
    </row>
    <row r="11795" spans="1:13" hidden="1" x14ac:dyDescent="0.15">
      <c r="A11795" t="s">
        <v>37214</v>
      </c>
      <c r="B11795" t="s">
        <v>37215</v>
      </c>
      <c r="C11795" t="s">
        <v>37216</v>
      </c>
      <c r="D11795" t="s">
        <v>37195</v>
      </c>
      <c r="E11795">
        <v>0</v>
      </c>
      <c r="F11795" t="str">
        <f>HYPERLINK("https://github.com/Anuken/Mindustry/issues/6774", "show")</f>
        <v>show</v>
      </c>
      <c r="G11795" t="str">
        <f>HYPERLINK("https://github.com/Anuken/Mindustry", "show")</f>
        <v>show</v>
      </c>
      <c r="H11795" t="str">
        <f>HYPERLINK("https://github.com/Anuken/Mindustry/releases", "show")</f>
        <v>show</v>
      </c>
      <c r="I11795">
        <v>1</v>
      </c>
      <c r="J11795">
        <v>1</v>
      </c>
      <c r="K11795">
        <v>0</v>
      </c>
      <c r="L11795">
        <v>0</v>
      </c>
      <c r="M11795" t="s">
        <v>48</v>
      </c>
    </row>
    <row r="11796" spans="1:13" hidden="1" x14ac:dyDescent="0.15">
      <c r="A11796" t="s">
        <v>37217</v>
      </c>
      <c r="B11796" t="s">
        <v>37218</v>
      </c>
      <c r="C11796" t="s">
        <v>37219</v>
      </c>
      <c r="D11796" t="s">
        <v>37195</v>
      </c>
      <c r="E11796">
        <v>0</v>
      </c>
      <c r="F11796" t="str">
        <f>HYPERLINK("https://github.com/Anuken/Mindustry/issues/6773", "show")</f>
        <v>show</v>
      </c>
      <c r="G11796" t="str">
        <f>HYPERLINK("https://github.com/Anuken/Mindustry", "show")</f>
        <v>show</v>
      </c>
      <c r="H11796" t="str">
        <f>HYPERLINK("https://github.com/Anuken/Mindustry/releases", "show")</f>
        <v>show</v>
      </c>
      <c r="I11796">
        <v>1</v>
      </c>
      <c r="J11796">
        <v>1</v>
      </c>
      <c r="K11796">
        <v>0</v>
      </c>
      <c r="L11796">
        <v>0</v>
      </c>
      <c r="M11796" t="s">
        <v>48</v>
      </c>
    </row>
    <row r="11797" spans="1:13" hidden="1" x14ac:dyDescent="0.15">
      <c r="A11797" t="s">
        <v>37220</v>
      </c>
      <c r="B11797" t="s">
        <v>37221</v>
      </c>
      <c r="C11797" t="s">
        <v>37222</v>
      </c>
      <c r="D11797" t="s">
        <v>37223</v>
      </c>
      <c r="E11797">
        <v>0</v>
      </c>
      <c r="F11797" t="str">
        <f>HYPERLINK("https://github.com/Anuken/Mindustry/issues/6771", "show")</f>
        <v>show</v>
      </c>
      <c r="G11797" t="str">
        <f>HYPERLINK("https://github.com/Anuken/Mindustry", "show")</f>
        <v>show</v>
      </c>
      <c r="H11797" t="str">
        <f>HYPERLINK("https://github.com/Anuken/Mindustry/releases", "show")</f>
        <v>show</v>
      </c>
      <c r="I11797">
        <v>0</v>
      </c>
      <c r="J11797">
        <v>0</v>
      </c>
      <c r="K11797">
        <v>0</v>
      </c>
      <c r="L11797">
        <v>0</v>
      </c>
      <c r="M11797" t="s">
        <v>43</v>
      </c>
    </row>
    <row r="11798" spans="1:13" hidden="1" x14ac:dyDescent="0.15">
      <c r="A11798" t="s">
        <v>37224</v>
      </c>
      <c r="B11798" t="s">
        <v>37225</v>
      </c>
      <c r="C11798" t="s">
        <v>37226</v>
      </c>
      <c r="D11798" t="s">
        <v>37223</v>
      </c>
      <c r="E11798">
        <v>2</v>
      </c>
      <c r="F11798" t="str">
        <f>HYPERLINK("https://github.com/BresciaFrancesco/TourExperience/issues/26", "show")</f>
        <v>show</v>
      </c>
      <c r="G11798" t="str">
        <f>HYPERLINK("https://github.com/BresciaFrancesco/TourExperience", "show")</f>
        <v>show</v>
      </c>
      <c r="H11798" t="str">
        <f>HYPERLINK("https://github.com/BresciaFrancesco/TourExperience/releases", "show")</f>
        <v>show</v>
      </c>
      <c r="I11798">
        <v>0</v>
      </c>
      <c r="J11798">
        <v>0</v>
      </c>
      <c r="K11798">
        <v>0</v>
      </c>
      <c r="L11798">
        <v>0</v>
      </c>
      <c r="M11798" t="s">
        <v>43</v>
      </c>
    </row>
    <row r="11799" spans="1:13" hidden="1" x14ac:dyDescent="0.15">
      <c r="A11799" t="s">
        <v>37227</v>
      </c>
      <c r="B11799" t="s">
        <v>37228</v>
      </c>
      <c r="C11799" t="s">
        <v>37229</v>
      </c>
      <c r="D11799" t="s">
        <v>37223</v>
      </c>
      <c r="E11799">
        <v>0</v>
      </c>
      <c r="F11799" t="str">
        <f>HYPERLINK("https://github.com/Anuken/Mindustry/issues/6770", "show")</f>
        <v>show</v>
      </c>
      <c r="G11799" t="str">
        <f>HYPERLINK("https://github.com/Anuken/Mindustry", "show")</f>
        <v>show</v>
      </c>
      <c r="H11799" t="str">
        <f>HYPERLINK("https://github.com/Anuken/Mindustry/releases", "show")</f>
        <v>show</v>
      </c>
      <c r="I11799">
        <v>1</v>
      </c>
      <c r="J11799">
        <v>1</v>
      </c>
      <c r="K11799">
        <v>0</v>
      </c>
      <c r="L11799">
        <v>0</v>
      </c>
      <c r="M11799" t="s">
        <v>48</v>
      </c>
    </row>
    <row r="11800" spans="1:13" x14ac:dyDescent="0.15">
      <c r="A11800" t="s">
        <v>37230</v>
      </c>
      <c r="B11800" t="s">
        <v>37231</v>
      </c>
      <c r="C11800" t="s">
        <v>37232</v>
      </c>
      <c r="D11800" t="s">
        <v>37223</v>
      </c>
      <c r="E11800">
        <v>0</v>
      </c>
      <c r="F11800" t="str">
        <f>HYPERLINK("https://github.com/Anuken/Mindustry/issues/6764", "show")</f>
        <v>show</v>
      </c>
      <c r="G11800" t="str">
        <f>HYPERLINK("https://github.com/Anuken/Mindustry", "show")</f>
        <v>show</v>
      </c>
      <c r="H11800" t="str">
        <f>HYPERLINK("https://github.com/Anuken/Mindustry/releases", "show")</f>
        <v>show</v>
      </c>
      <c r="I11800">
        <v>0</v>
      </c>
      <c r="J11800">
        <v>1</v>
      </c>
      <c r="K11800">
        <v>0</v>
      </c>
      <c r="L11800">
        <v>0</v>
      </c>
      <c r="M11800" t="s">
        <v>139</v>
      </c>
    </row>
    <row r="11801" spans="1:13" hidden="1" x14ac:dyDescent="0.15">
      <c r="A11801" t="s">
        <v>37233</v>
      </c>
      <c r="B11801" t="s">
        <v>37234</v>
      </c>
      <c r="C11801" t="s">
        <v>37235</v>
      </c>
      <c r="D11801" t="s">
        <v>37236</v>
      </c>
      <c r="E11801">
        <v>12</v>
      </c>
      <c r="F11801" t="str">
        <f>HYPERLINK("https://github.com/BresciaFrancesco/TourExperience/issues/24", "show")</f>
        <v>show</v>
      </c>
      <c r="G11801" t="str">
        <f>HYPERLINK("https://github.com/BresciaFrancesco/TourExperience", "show")</f>
        <v>show</v>
      </c>
      <c r="H11801" t="str">
        <f>HYPERLINK("https://github.com/BresciaFrancesco/TourExperience/releases", "show")</f>
        <v>show</v>
      </c>
      <c r="I11801">
        <v>0</v>
      </c>
      <c r="J11801">
        <v>0</v>
      </c>
      <c r="K11801">
        <v>0</v>
      </c>
      <c r="L11801">
        <v>0</v>
      </c>
      <c r="M11801" t="s">
        <v>43</v>
      </c>
    </row>
    <row r="11802" spans="1:13" x14ac:dyDescent="0.15">
      <c r="A11802" t="s">
        <v>37237</v>
      </c>
      <c r="B11802" t="s">
        <v>37238</v>
      </c>
      <c r="C11802" t="s">
        <v>37239</v>
      </c>
      <c r="D11802" t="s">
        <v>37236</v>
      </c>
      <c r="E11802">
        <v>0</v>
      </c>
      <c r="F11802" t="str">
        <f>HYPERLINK("https://github.com/Anuken/Mindustry/issues/6755", "show")</f>
        <v>show</v>
      </c>
      <c r="G11802" t="str">
        <f>HYPERLINK("https://github.com/Anuken/Mindustry", "show")</f>
        <v>show</v>
      </c>
      <c r="H11802" t="str">
        <f>HYPERLINK("https://github.com/Anuken/Mindustry/releases", "show")</f>
        <v>show</v>
      </c>
      <c r="I11802">
        <v>0</v>
      </c>
      <c r="J11802">
        <v>1</v>
      </c>
      <c r="K11802">
        <v>0</v>
      </c>
      <c r="L11802">
        <v>0</v>
      </c>
      <c r="M11802" t="s">
        <v>139</v>
      </c>
    </row>
    <row r="11803" spans="1:13" hidden="1" x14ac:dyDescent="0.15">
      <c r="A11803" t="s">
        <v>37240</v>
      </c>
      <c r="B11803" t="s">
        <v>37241</v>
      </c>
      <c r="C11803" t="s">
        <v>37242</v>
      </c>
      <c r="D11803" t="s">
        <v>37236</v>
      </c>
      <c r="E11803">
        <v>3</v>
      </c>
      <c r="F11803" t="str">
        <f>HYPERLINK("https://github.com/nextcloud/android/issues/10193", "show")</f>
        <v>show</v>
      </c>
      <c r="G11803" t="str">
        <f>HYPERLINK("https://github.com/nextcloud/android", "show")</f>
        <v>show</v>
      </c>
      <c r="H11803" t="str">
        <f>HYPERLINK("https://github.com/nextcloud/android/releases", "show")</f>
        <v>show</v>
      </c>
      <c r="I11803">
        <v>0</v>
      </c>
      <c r="J11803">
        <v>0</v>
      </c>
      <c r="K11803">
        <v>1</v>
      </c>
      <c r="L11803">
        <v>0</v>
      </c>
      <c r="M11803" t="s">
        <v>122</v>
      </c>
    </row>
    <row r="11804" spans="1:13" hidden="1" x14ac:dyDescent="0.15">
      <c r="A11804" t="s">
        <v>37243</v>
      </c>
      <c r="B11804" t="s">
        <v>37244</v>
      </c>
      <c r="C11804" t="s">
        <v>37245</v>
      </c>
      <c r="D11804" t="s">
        <v>37236</v>
      </c>
      <c r="E11804">
        <v>17</v>
      </c>
      <c r="F11804" t="str">
        <f>HYPERLINK("https://github.com/PojavLauncherTeam/PojavLauncher/issues/3201", "show")</f>
        <v>show</v>
      </c>
      <c r="G11804" t="str">
        <f>HYPERLINK("https://github.com/PojavLauncherTeam/PojavLauncher", "show")</f>
        <v>show</v>
      </c>
      <c r="H11804" t="str">
        <f>HYPERLINK("https://github.com/PojavLauncherTeam/PojavLauncher/releases", "show")</f>
        <v>show</v>
      </c>
      <c r="I11804">
        <v>0</v>
      </c>
      <c r="J11804">
        <v>0</v>
      </c>
      <c r="K11804">
        <v>0</v>
      </c>
      <c r="L11804">
        <v>1</v>
      </c>
      <c r="M11804" t="s">
        <v>581</v>
      </c>
    </row>
    <row r="11805" spans="1:13" hidden="1" x14ac:dyDescent="0.15">
      <c r="A11805" t="s">
        <v>37246</v>
      </c>
      <c r="B11805" t="s">
        <v>37247</v>
      </c>
      <c r="C11805" t="s">
        <v>37248</v>
      </c>
      <c r="D11805" t="s">
        <v>37236</v>
      </c>
      <c r="E11805">
        <v>88</v>
      </c>
      <c r="F11805" t="str">
        <f>HYPERLINK("https://github.com/google/ExoPlayer/issues/10244", "show")</f>
        <v>show</v>
      </c>
      <c r="G11805" t="str">
        <f>HYPERLINK("https://github.com/google/ExoPlayer", "show")</f>
        <v>show</v>
      </c>
      <c r="H11805" t="str">
        <f>HYPERLINK("https://github.com/google/ExoPlayer/releases", "show")</f>
        <v>show</v>
      </c>
      <c r="I11805">
        <v>1</v>
      </c>
      <c r="J11805">
        <v>0</v>
      </c>
      <c r="K11805">
        <v>1</v>
      </c>
      <c r="L11805">
        <v>0</v>
      </c>
      <c r="M11805" t="s">
        <v>64</v>
      </c>
    </row>
    <row r="11806" spans="1:13" hidden="1" x14ac:dyDescent="0.15">
      <c r="A11806" t="s">
        <v>37249</v>
      </c>
      <c r="B11806" t="s">
        <v>37250</v>
      </c>
      <c r="C11806" t="s">
        <v>37251</v>
      </c>
      <c r="D11806" t="s">
        <v>37236</v>
      </c>
      <c r="E11806">
        <v>18</v>
      </c>
      <c r="F11806" t="str">
        <f>HYPERLINK("https://github.com/SORMAS-Foundation/SORMAS-Project/issues/9097", "show")</f>
        <v>show</v>
      </c>
      <c r="G11806" t="str">
        <f>HYPERLINK("https://github.com/SORMAS-Foundation/SORMAS-Project", "show")</f>
        <v>show</v>
      </c>
      <c r="H11806" t="str">
        <f>HYPERLINK("https://github.com/SORMAS-Foundation/SORMAS-Project/releases", "show")</f>
        <v>show</v>
      </c>
      <c r="I11806">
        <v>1</v>
      </c>
      <c r="J11806">
        <v>1</v>
      </c>
      <c r="K11806">
        <v>1</v>
      </c>
      <c r="L11806">
        <v>1</v>
      </c>
      <c r="M11806" t="s">
        <v>2875</v>
      </c>
    </row>
    <row r="11807" spans="1:13" hidden="1" x14ac:dyDescent="0.15">
      <c r="A11807" t="s">
        <v>37252</v>
      </c>
      <c r="B11807" t="s">
        <v>37253</v>
      </c>
      <c r="C11807" t="s">
        <v>37254</v>
      </c>
      <c r="D11807" t="s">
        <v>37255</v>
      </c>
      <c r="E11807">
        <v>0</v>
      </c>
      <c r="F11807" t="str">
        <f>HYPERLINK("https://github.com/marco97pa/punti-burraco/issues/67", "show")</f>
        <v>show</v>
      </c>
      <c r="G11807" t="str">
        <f>HYPERLINK("https://github.com/marco97pa/punti-burraco", "show")</f>
        <v>show</v>
      </c>
      <c r="H11807" t="str">
        <f>HYPERLINK("https://github.com/marco97pa/punti-burraco/releases", "show")</f>
        <v>show</v>
      </c>
      <c r="I11807">
        <v>1</v>
      </c>
      <c r="J11807">
        <v>1</v>
      </c>
      <c r="K11807">
        <v>0</v>
      </c>
      <c r="L11807">
        <v>0</v>
      </c>
      <c r="M11807" t="s">
        <v>48</v>
      </c>
    </row>
    <row r="11808" spans="1:13" hidden="1" x14ac:dyDescent="0.15">
      <c r="A11808" t="s">
        <v>37256</v>
      </c>
      <c r="B11808" t="s">
        <v>37257</v>
      </c>
      <c r="C11808" t="s">
        <v>37258</v>
      </c>
      <c r="D11808" t="s">
        <v>37255</v>
      </c>
      <c r="E11808">
        <v>4</v>
      </c>
      <c r="F11808" t="str">
        <f>HYPERLINK("https://github.com/facebook/react-native/issues/33769", "show")</f>
        <v>show</v>
      </c>
      <c r="G11808" t="str">
        <f>HYPERLINK("https://github.com/facebook/react-native", "show")</f>
        <v>show</v>
      </c>
      <c r="H11808" t="str">
        <f>HYPERLINK("https://github.com/facebook/react-native/releases", "show")</f>
        <v>show</v>
      </c>
      <c r="I11808">
        <v>1</v>
      </c>
      <c r="J11808">
        <v>1</v>
      </c>
      <c r="K11808">
        <v>0</v>
      </c>
      <c r="L11808">
        <v>0</v>
      </c>
      <c r="M11808" t="s">
        <v>48</v>
      </c>
    </row>
    <row r="11809" spans="1:13" hidden="1" x14ac:dyDescent="0.15">
      <c r="A11809" t="s">
        <v>37259</v>
      </c>
      <c r="B11809" t="s">
        <v>37260</v>
      </c>
      <c r="C11809" t="s">
        <v>37261</v>
      </c>
      <c r="D11809" t="s">
        <v>37255</v>
      </c>
      <c r="E11809">
        <v>1</v>
      </c>
      <c r="F11809" t="str">
        <f>HYPERLINK("https://github.com/0xpr03/VocableTrainer-Android/issues/80", "show")</f>
        <v>show</v>
      </c>
      <c r="G11809" t="str">
        <f>HYPERLINK("https://github.com/0xpr03/VocableTrainer-Android", "show")</f>
        <v>show</v>
      </c>
      <c r="H11809" t="str">
        <f>HYPERLINK("https://github.com/0xpr03/VocableTrainer-Android/releases", "show")</f>
        <v>show</v>
      </c>
      <c r="I11809">
        <v>1</v>
      </c>
      <c r="J11809">
        <v>1</v>
      </c>
      <c r="K11809">
        <v>1</v>
      </c>
      <c r="L11809">
        <v>0</v>
      </c>
      <c r="M11809" t="s">
        <v>59</v>
      </c>
    </row>
    <row r="11810" spans="1:13" hidden="1" x14ac:dyDescent="0.15">
      <c r="A11810" t="s">
        <v>37262</v>
      </c>
      <c r="B11810" t="s">
        <v>37263</v>
      </c>
      <c r="C11810" t="s">
        <v>37264</v>
      </c>
      <c r="D11810" t="s">
        <v>37265</v>
      </c>
      <c r="E11810">
        <v>19</v>
      </c>
      <c r="F11810" t="str">
        <f>HYPERLINK("https://github.com/SORMAS-Foundation/SORMAS-Project/issues/9076", "show")</f>
        <v>show</v>
      </c>
      <c r="G11810" t="str">
        <f>HYPERLINK("https://github.com/SORMAS-Foundation/SORMAS-Project", "show")</f>
        <v>show</v>
      </c>
      <c r="H11810" t="str">
        <f>HYPERLINK("https://github.com/SORMAS-Foundation/SORMAS-Project/releases", "show")</f>
        <v>show</v>
      </c>
      <c r="I11810">
        <v>0</v>
      </c>
      <c r="J11810">
        <v>1</v>
      </c>
      <c r="K11810">
        <v>1</v>
      </c>
      <c r="L11810">
        <v>0</v>
      </c>
      <c r="M11810" t="s">
        <v>699</v>
      </c>
    </row>
    <row r="11811" spans="1:13" hidden="1" x14ac:dyDescent="0.15">
      <c r="A11811" t="s">
        <v>37266</v>
      </c>
      <c r="B11811" t="s">
        <v>37267</v>
      </c>
      <c r="C11811" t="s">
        <v>37268</v>
      </c>
      <c r="D11811" t="s">
        <v>37265</v>
      </c>
      <c r="E11811">
        <v>2</v>
      </c>
      <c r="F11811" t="str">
        <f>HYPERLINK("https://github.com/nextcloud/android/issues/10162", "show")</f>
        <v>show</v>
      </c>
      <c r="G11811" t="str">
        <f>HYPERLINK("https://github.com/nextcloud/android", "show")</f>
        <v>show</v>
      </c>
      <c r="H11811" t="str">
        <f>HYPERLINK("https://github.com/nextcloud/android/releases", "show")</f>
        <v>show</v>
      </c>
      <c r="I11811">
        <v>0</v>
      </c>
      <c r="J11811">
        <v>0</v>
      </c>
      <c r="K11811">
        <v>1</v>
      </c>
      <c r="L11811">
        <v>0</v>
      </c>
      <c r="M11811" t="s">
        <v>122</v>
      </c>
    </row>
    <row r="11812" spans="1:13" hidden="1" x14ac:dyDescent="0.15">
      <c r="A11812" t="s">
        <v>37269</v>
      </c>
      <c r="B11812" t="s">
        <v>37270</v>
      </c>
      <c r="C11812" t="s">
        <v>37271</v>
      </c>
      <c r="D11812" t="s">
        <v>37265</v>
      </c>
      <c r="E11812">
        <v>1</v>
      </c>
      <c r="F11812" t="str">
        <f>HYPERLINK("https://github.com/nextcloud/android/issues/10161", "show")</f>
        <v>show</v>
      </c>
      <c r="G11812" t="str">
        <f>HYPERLINK("https://github.com/nextcloud/android", "show")</f>
        <v>show</v>
      </c>
      <c r="H11812" t="str">
        <f>HYPERLINK("https://github.com/nextcloud/android/releases", "show")</f>
        <v>show</v>
      </c>
      <c r="I11812">
        <v>0</v>
      </c>
      <c r="J11812">
        <v>0</v>
      </c>
      <c r="K11812">
        <v>1</v>
      </c>
      <c r="L11812">
        <v>0</v>
      </c>
      <c r="M11812" t="s">
        <v>122</v>
      </c>
    </row>
    <row r="11813" spans="1:13" hidden="1" x14ac:dyDescent="0.15">
      <c r="A11813" t="s">
        <v>37272</v>
      </c>
      <c r="B11813" t="s">
        <v>37273</v>
      </c>
      <c r="C11813" t="s">
        <v>37274</v>
      </c>
      <c r="D11813" t="s">
        <v>37275</v>
      </c>
      <c r="E11813">
        <v>21</v>
      </c>
      <c r="F11813" t="str">
        <f>HYPERLINK("https://github.com/PojavLauncherTeam/PojavLauncher/issues/3188", "show")</f>
        <v>show</v>
      </c>
      <c r="G11813" t="str">
        <f>HYPERLINK("https://github.com/PojavLauncherTeam/PojavLauncher", "show")</f>
        <v>show</v>
      </c>
      <c r="H11813" t="str">
        <f>HYPERLINK("https://github.com/PojavLauncherTeam/PojavLauncher/releases", "show")</f>
        <v>show</v>
      </c>
      <c r="I11813">
        <v>1</v>
      </c>
      <c r="J11813">
        <v>0</v>
      </c>
      <c r="K11813">
        <v>0</v>
      </c>
      <c r="L11813">
        <v>0</v>
      </c>
      <c r="M11813" t="s">
        <v>17</v>
      </c>
    </row>
    <row r="11814" spans="1:13" hidden="1" x14ac:dyDescent="0.15">
      <c r="A11814" t="s">
        <v>37276</v>
      </c>
      <c r="B11814" t="s">
        <v>37277</v>
      </c>
      <c r="C11814" t="s">
        <v>37278</v>
      </c>
      <c r="D11814" t="s">
        <v>37275</v>
      </c>
      <c r="E11814">
        <v>0</v>
      </c>
      <c r="F11814" t="str">
        <f>HYPERLINK("https://github.com/MuntashirAkon/AppManager/issues/740", "show")</f>
        <v>show</v>
      </c>
      <c r="G11814" t="str">
        <f>HYPERLINK("https://github.com/MuntashirAkon/AppManager", "show")</f>
        <v>show</v>
      </c>
      <c r="H11814" t="str">
        <f>HYPERLINK("https://github.com/MuntashirAkon/AppManager/releases", "show")</f>
        <v>show</v>
      </c>
      <c r="I11814">
        <v>1</v>
      </c>
      <c r="J11814">
        <v>0</v>
      </c>
      <c r="K11814">
        <v>1</v>
      </c>
      <c r="L11814">
        <v>0</v>
      </c>
      <c r="M11814" t="s">
        <v>64</v>
      </c>
    </row>
    <row r="11815" spans="1:13" x14ac:dyDescent="0.15">
      <c r="A11815" t="s">
        <v>37279</v>
      </c>
      <c r="B11815" t="s">
        <v>37280</v>
      </c>
      <c r="C11815" t="s">
        <v>37281</v>
      </c>
      <c r="D11815" t="s">
        <v>37282</v>
      </c>
      <c r="E11815">
        <v>222</v>
      </c>
      <c r="F11815" t="str">
        <f>HYPERLINK("https://github.com/deepjavalibrary/djl/issues/1618", "show")</f>
        <v>show</v>
      </c>
      <c r="G11815" t="str">
        <f>HYPERLINK("https://github.com/deepjavalibrary/djl", "show")</f>
        <v>show</v>
      </c>
      <c r="H11815" t="str">
        <f>HYPERLINK("https://github.com/deepjavalibrary/djl/releases", "show")</f>
        <v>show</v>
      </c>
      <c r="I11815">
        <v>0</v>
      </c>
      <c r="J11815">
        <v>1</v>
      </c>
      <c r="K11815">
        <v>0</v>
      </c>
      <c r="L11815">
        <v>0</v>
      </c>
      <c r="M11815" t="s">
        <v>139</v>
      </c>
    </row>
    <row r="11816" spans="1:13" hidden="1" x14ac:dyDescent="0.15">
      <c r="A11816" t="s">
        <v>37283</v>
      </c>
      <c r="B11816" t="s">
        <v>37284</v>
      </c>
      <c r="C11816" t="s">
        <v>37285</v>
      </c>
      <c r="D11816" t="s">
        <v>37282</v>
      </c>
      <c r="E11816">
        <v>25</v>
      </c>
      <c r="F11816" t="str">
        <f>HYPERLINK("https://github.com/PojavLauncherTeam/PojavLauncher/issues/3175", "show")</f>
        <v>show</v>
      </c>
      <c r="G11816" t="str">
        <f>HYPERLINK("https://github.com/PojavLauncherTeam/PojavLauncher", "show")</f>
        <v>show</v>
      </c>
      <c r="H11816" t="str">
        <f>HYPERLINK("https://github.com/PojavLauncherTeam/PojavLauncher/releases", "show")</f>
        <v>show</v>
      </c>
      <c r="I11816">
        <v>1</v>
      </c>
      <c r="J11816">
        <v>1</v>
      </c>
      <c r="K11816">
        <v>0</v>
      </c>
      <c r="L11816">
        <v>0</v>
      </c>
      <c r="M11816" t="s">
        <v>48</v>
      </c>
    </row>
    <row r="11817" spans="1:13" hidden="1" x14ac:dyDescent="0.15">
      <c r="A11817" t="s">
        <v>37286</v>
      </c>
      <c r="B11817" t="s">
        <v>37287</v>
      </c>
      <c r="C11817" t="s">
        <v>37288</v>
      </c>
      <c r="D11817" t="s">
        <v>37282</v>
      </c>
      <c r="E11817">
        <v>74</v>
      </c>
      <c r="F11817" t="str">
        <f>HYPERLINK("https://github.com/aws-amplify/amplify-android/issues/1727", "show")</f>
        <v>show</v>
      </c>
      <c r="G11817" t="str">
        <f>HYPERLINK("https://github.com/aws-amplify/amplify-android", "show")</f>
        <v>show</v>
      </c>
      <c r="H11817" t="str">
        <f>HYPERLINK("https://github.com/aws-amplify/amplify-android/releases", "show")</f>
        <v>show</v>
      </c>
      <c r="I11817">
        <v>1</v>
      </c>
      <c r="J11817">
        <v>0</v>
      </c>
      <c r="K11817">
        <v>1</v>
      </c>
      <c r="L11817">
        <v>1</v>
      </c>
      <c r="M11817" t="s">
        <v>1259</v>
      </c>
    </row>
    <row r="11818" spans="1:13" hidden="1" x14ac:dyDescent="0.15">
      <c r="A11818" t="s">
        <v>37289</v>
      </c>
      <c r="B11818" t="s">
        <v>37290</v>
      </c>
      <c r="C11818" t="s">
        <v>37291</v>
      </c>
      <c r="D11818" t="s">
        <v>37282</v>
      </c>
      <c r="E11818">
        <v>14</v>
      </c>
      <c r="F11818" t="str">
        <f>HYPERLINK("https://github.com/SORMAS-Foundation/SORMAS-Project/issues/9035", "show")</f>
        <v>show</v>
      </c>
      <c r="G11818" t="str">
        <f>HYPERLINK("https://github.com/SORMAS-Foundation/SORMAS-Project", "show")</f>
        <v>show</v>
      </c>
      <c r="H11818" t="str">
        <f>HYPERLINK("https://github.com/SORMAS-Foundation/SORMAS-Project/releases", "show")</f>
        <v>show</v>
      </c>
      <c r="I11818">
        <v>1</v>
      </c>
      <c r="J11818">
        <v>1</v>
      </c>
      <c r="K11818">
        <v>0</v>
      </c>
      <c r="L11818">
        <v>1</v>
      </c>
      <c r="M11818" t="s">
        <v>1894</v>
      </c>
    </row>
    <row r="11819" spans="1:13" hidden="1" x14ac:dyDescent="0.15">
      <c r="A11819" t="s">
        <v>37292</v>
      </c>
      <c r="B11819" t="s">
        <v>37293</v>
      </c>
      <c r="C11819" t="s">
        <v>37294</v>
      </c>
      <c r="D11819" t="s">
        <v>37295</v>
      </c>
      <c r="E11819">
        <v>0</v>
      </c>
      <c r="F11819" t="str">
        <f>HYPERLINK("https://github.com/TeamNewPipe/NewPipe/issues/8321", "show")</f>
        <v>show</v>
      </c>
      <c r="G11819" t="str">
        <f>HYPERLINK("https://github.com/TeamNewPipe/NewPipe", "show")</f>
        <v>show</v>
      </c>
      <c r="H11819" t="str">
        <f>HYPERLINK("https://github.com/TeamNewPipe/NewPipe/releases", "show")</f>
        <v>show</v>
      </c>
      <c r="I11819">
        <v>1</v>
      </c>
      <c r="J11819">
        <v>1</v>
      </c>
      <c r="K11819">
        <v>1</v>
      </c>
      <c r="L11819">
        <v>0</v>
      </c>
      <c r="M11819" t="s">
        <v>59</v>
      </c>
    </row>
    <row r="11820" spans="1:13" hidden="1" x14ac:dyDescent="0.15">
      <c r="A11820" t="s">
        <v>37296</v>
      </c>
      <c r="B11820" t="s">
        <v>37297</v>
      </c>
      <c r="C11820" t="s">
        <v>37298</v>
      </c>
      <c r="D11820" t="s">
        <v>37295</v>
      </c>
      <c r="E11820">
        <v>22</v>
      </c>
      <c r="F11820" t="str">
        <f>HYPERLINK("https://github.com/PojavLauncherTeam/PojavLauncher/issues/3168", "show")</f>
        <v>show</v>
      </c>
      <c r="G11820" t="str">
        <f>HYPERLINK("https://github.com/PojavLauncherTeam/PojavLauncher", "show")</f>
        <v>show</v>
      </c>
      <c r="H11820" t="str">
        <f>HYPERLINK("https://github.com/PojavLauncherTeam/PojavLauncher/releases", "show")</f>
        <v>show</v>
      </c>
      <c r="I11820">
        <v>1</v>
      </c>
      <c r="J11820">
        <v>0</v>
      </c>
      <c r="K11820">
        <v>0</v>
      </c>
      <c r="L11820">
        <v>0</v>
      </c>
      <c r="M11820" t="s">
        <v>17</v>
      </c>
    </row>
    <row r="11821" spans="1:13" hidden="1" x14ac:dyDescent="0.15">
      <c r="A11821" t="s">
        <v>37299</v>
      </c>
      <c r="B11821" t="s">
        <v>37300</v>
      </c>
      <c r="C11821" t="s">
        <v>37301</v>
      </c>
      <c r="D11821" t="s">
        <v>37295</v>
      </c>
      <c r="E11821">
        <v>46</v>
      </c>
      <c r="F11821" t="str">
        <f>HYPERLINK("https://github.com/AndroidIDEOfficial/AndroidIDE/issues/187", "show")</f>
        <v>show</v>
      </c>
      <c r="G11821" t="str">
        <f>HYPERLINK("https://github.com/AndroidIDEOfficial/AndroidIDE", "show")</f>
        <v>show</v>
      </c>
      <c r="H11821" t="str">
        <f>HYPERLINK("https://github.com/AndroidIDEOfficial/AndroidIDE/releases", "show")</f>
        <v>show</v>
      </c>
      <c r="I11821">
        <v>0</v>
      </c>
      <c r="J11821">
        <v>0</v>
      </c>
      <c r="K11821">
        <v>1</v>
      </c>
      <c r="L11821">
        <v>0</v>
      </c>
      <c r="M11821" t="s">
        <v>122</v>
      </c>
    </row>
    <row r="11822" spans="1:13" hidden="1" x14ac:dyDescent="0.15">
      <c r="A11822" t="s">
        <v>37302</v>
      </c>
      <c r="B11822" t="s">
        <v>37303</v>
      </c>
      <c r="C11822" t="s">
        <v>37304</v>
      </c>
      <c r="D11822" t="s">
        <v>37305</v>
      </c>
      <c r="E11822">
        <v>0</v>
      </c>
      <c r="F11822" t="str">
        <f>HYPERLINK("https://github.com/PojavLauncherTeam/PojavLauncher/issues/4750", "show")</f>
        <v>show</v>
      </c>
      <c r="G11822" t="str">
        <f>HYPERLINK("https://github.com/PojavLauncherTeam/PojavLauncher", "show")</f>
        <v>show</v>
      </c>
      <c r="H11822" t="str">
        <f>HYPERLINK("https://github.com/PojavLauncherTeam/PojavLauncher/releases", "show")</f>
        <v>show</v>
      </c>
      <c r="I11822">
        <v>0</v>
      </c>
      <c r="J11822">
        <v>0</v>
      </c>
      <c r="K11822">
        <v>1</v>
      </c>
      <c r="L11822">
        <v>0</v>
      </c>
      <c r="M11822" t="s">
        <v>122</v>
      </c>
    </row>
  </sheetData>
  <autoFilter ref="A1:M11822" xr:uid="{00000000-0001-0000-0000-000000000000}">
    <filterColumn colId="8">
      <filters>
        <filter val="0"/>
      </filters>
    </filterColumn>
    <filterColumn colId="9">
      <filters>
        <filter val="1"/>
      </filters>
    </filterColumn>
    <filterColumn colId="10">
      <filters>
        <filter val="0"/>
      </filters>
    </filterColumn>
    <filterColumn colId="11">
      <filters>
        <filter val="0"/>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WuChiu Wong</cp:lastModifiedBy>
  <dcterms:created xsi:type="dcterms:W3CDTF">2023-11-16T02:59:32Z</dcterms:created>
  <dcterms:modified xsi:type="dcterms:W3CDTF">2023-11-16T03:16:26Z</dcterms:modified>
</cp:coreProperties>
</file>